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FONDURI EUROPENE\Desktop\"/>
    </mc:Choice>
  </mc:AlternateContent>
  <xr:revisionPtr revIDLastSave="0" documentId="8_{365CD4DF-018E-477B-8709-0B8E444689CF}" xr6:coauthVersionLast="47" xr6:coauthVersionMax="47" xr10:uidLastSave="{00000000-0000-0000-0000-000000000000}"/>
  <bookViews>
    <workbookView xWindow="-108" yWindow="-108" windowWidth="23256" windowHeight="12456" activeTab="1" xr2:uid="{00000000-000D-0000-FFFF-FFFF00000000}"/>
  </bookViews>
  <sheets>
    <sheet name="MMAP" sheetId="1" r:id="rId1"/>
    <sheet name="DGPNRR" sheetId="2" r:id="rId2"/>
  </sheets>
  <definedNames>
    <definedName name="_xlnm._FilterDatabase" localSheetId="1" hidden="1">DGPNRR!$A$2:$AS$3</definedName>
    <definedName name="_xlnm._FilterDatabase" localSheetId="0" hidden="1">MMAP!$A$1:$AN$1606</definedName>
    <definedName name="_Hlk140173324" localSheetId="0">MMAP!$AN$112</definedName>
    <definedName name="A" localSheetId="0">#REF!</definedName>
    <definedName name="A">#REF!</definedName>
    <definedName name="B" localSheetId="0">#REF!</definedName>
    <definedName name="B">#REF!</definedName>
    <definedName name="bcb" localSheetId="0">#REF!</definedName>
    <definedName name="bcb">#REF!</definedName>
    <definedName name="doc" localSheetId="0">OFFSET(#REF!,,,COUNTA(#REF!),1)</definedName>
    <definedName name="doc">OFFSET(#REF!,,,COUNTA(#REF!),1)</definedName>
    <definedName name="DocTemplates" localSheetId="0">OFFSET(#REF!,,,COUNTA(#REF!),1)</definedName>
    <definedName name="DocTemplates">OFFSET(#REF!,,,COUNTA(#REF!),1)</definedName>
    <definedName name="MS" localSheetId="0">#REF!</definedName>
    <definedName name="MS">#REF!</definedName>
    <definedName name="MS_15.12.2023" localSheetId="0">OFFSET(#REF!,,,COUNTA(#REF!),1)</definedName>
    <definedName name="MS_15.12.2023">OFFSET(#REF!,,,COUNTA(#REF!),1)</definedName>
    <definedName name="MS_19.02.2024" localSheetId="0">OFFSET(#REF!,,,COUNTA(#REF!),1)</definedName>
    <definedName name="MS_19.02.2024">OFFSET(#REF!,,,COUNTA(#REF!),1)</definedName>
    <definedName name="Tip" localSheetId="0">OFFSET(#REF!,1,0,COUNTA(#REF!)-1,1)</definedName>
    <definedName name="Tip">OFFSET(#REF!,1,0,COUNTA(#REF!)-1,1)</definedName>
    <definedName name="tipa" localSheetId="0">OFFSET(#REF!,1,0,COUNTA(#REF!)-1,1)</definedName>
    <definedName name="tipa">OFFSET(#REF!,1,0,COUNTA(#REF!)-1,1)</definedName>
    <definedName name="x" localSheetId="0">#REF!</definedName>
    <definedName name="x">#REF!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30" i="1" l="1"/>
  <c r="H530" i="1"/>
  <c r="J316" i="1"/>
  <c r="H316" i="1"/>
  <c r="G316" i="1"/>
  <c r="L1573" i="1" l="1"/>
  <c r="K1573" i="1"/>
  <c r="L1589" i="1"/>
  <c r="K1589" i="1"/>
  <c r="L1595" i="1"/>
  <c r="K1595" i="1"/>
  <c r="L719" i="1"/>
  <c r="K719" i="1"/>
  <c r="J719" i="1"/>
  <c r="L712" i="1" l="1"/>
  <c r="K712" i="1"/>
  <c r="L856" i="1" l="1"/>
  <c r="K856" i="1"/>
  <c r="L1002" i="1"/>
  <c r="K1002" i="1"/>
  <c r="L885" i="1"/>
  <c r="K885" i="1"/>
  <c r="K1160" i="1"/>
  <c r="L889" i="1"/>
  <c r="K889" i="1"/>
  <c r="L1227" i="1"/>
  <c r="K1227" i="1"/>
  <c r="L838" i="1"/>
  <c r="K838" i="1"/>
  <c r="K1061" i="1"/>
  <c r="K924" i="1"/>
  <c r="L920" i="1"/>
  <c r="K920" i="1"/>
  <c r="L907" i="1"/>
  <c r="K907" i="1"/>
  <c r="K1267" i="1"/>
  <c r="L1103" i="1"/>
  <c r="K1103" i="1"/>
  <c r="L1039" i="1"/>
  <c r="K1039" i="1"/>
  <c r="L1083" i="1"/>
  <c r="K1083" i="1"/>
  <c r="L974" i="1"/>
  <c r="K974" i="1"/>
  <c r="L867" i="1"/>
  <c r="K867" i="1"/>
  <c r="L917" i="1"/>
  <c r="K917" i="1"/>
  <c r="L840" i="1"/>
  <c r="K840" i="1"/>
  <c r="L1171" i="1"/>
  <c r="K1171" i="1"/>
  <c r="K888" i="1"/>
  <c r="K1086" i="1"/>
  <c r="K1266" i="1"/>
  <c r="K1098" i="1"/>
  <c r="K1187" i="1"/>
  <c r="L979" i="1"/>
  <c r="K979" i="1"/>
  <c r="L1094" i="1"/>
  <c r="K1094" i="1"/>
  <c r="K848" i="1"/>
  <c r="K1021" i="1"/>
  <c r="K956" i="1"/>
  <c r="K1302" i="1"/>
  <c r="L1009" i="1"/>
  <c r="K1009" i="1"/>
  <c r="L1120" i="1"/>
  <c r="K1120" i="1"/>
  <c r="L1183" i="1"/>
  <c r="K1183" i="1"/>
  <c r="L1151" i="1"/>
  <c r="K1151" i="1"/>
  <c r="L1351" i="1"/>
  <c r="K1351" i="1"/>
  <c r="L1023" i="1"/>
  <c r="K1023" i="1"/>
  <c r="L1324" i="1"/>
  <c r="K1324" i="1"/>
  <c r="K942" i="1"/>
  <c r="L1311" i="1"/>
  <c r="K1311" i="1"/>
  <c r="K891" i="1"/>
  <c r="L1332" i="1"/>
  <c r="K1332" i="1"/>
  <c r="K981" i="1"/>
  <c r="K1064" i="1"/>
  <c r="L909" i="1"/>
  <c r="K909" i="1"/>
  <c r="L1168" i="1"/>
  <c r="K1168" i="1"/>
  <c r="L1325" i="1"/>
  <c r="K1325" i="1"/>
  <c r="L1341" i="1"/>
  <c r="K1341" i="1"/>
  <c r="K1255" i="1"/>
  <c r="K1152" i="1"/>
  <c r="L1152" i="1"/>
  <c r="L1562" i="1"/>
  <c r="K1562" i="1"/>
  <c r="K1304" i="1"/>
  <c r="L1249" i="1"/>
  <c r="K1249" i="1"/>
  <c r="K849" i="1"/>
  <c r="L1078" i="1"/>
  <c r="K1078" i="1"/>
  <c r="L879" i="1"/>
  <c r="K879" i="1"/>
  <c r="L1560" i="1"/>
  <c r="K1560" i="1"/>
  <c r="L995" i="1"/>
  <c r="K995" i="1"/>
  <c r="K986" i="1"/>
  <c r="L1011" i="1"/>
  <c r="K1011" i="1"/>
  <c r="L861" i="1"/>
  <c r="K861" i="1"/>
  <c r="L1141" i="1"/>
  <c r="K1141" i="1"/>
  <c r="K1355" i="1"/>
  <c r="K1117" i="1"/>
  <c r="L1337" i="1"/>
  <c r="K1337" i="1"/>
  <c r="L969" i="1"/>
  <c r="K969" i="1"/>
  <c r="K923" i="1"/>
  <c r="K892" i="1"/>
  <c r="L1365" i="1"/>
  <c r="K1365" i="1"/>
  <c r="L860" i="1"/>
  <c r="K860" i="1"/>
  <c r="K1162" i="1"/>
  <c r="L1189" i="1"/>
  <c r="K1189" i="1"/>
  <c r="L1377" i="1"/>
  <c r="K1377" i="1"/>
  <c r="L1299" i="1"/>
  <c r="K1299" i="1"/>
  <c r="L1100" i="1"/>
  <c r="K1100" i="1"/>
  <c r="L911" i="1"/>
  <c r="K911" i="1"/>
  <c r="K944" i="1"/>
  <c r="L841" i="1"/>
  <c r="K841" i="1"/>
  <c r="L1322" i="1"/>
  <c r="K1322" i="1"/>
  <c r="L1307" i="1"/>
  <c r="K1307" i="1"/>
  <c r="L939" i="1"/>
  <c r="K939" i="1"/>
  <c r="L1301" i="1"/>
  <c r="K1301" i="1"/>
  <c r="L862" i="1"/>
  <c r="K862" i="1"/>
  <c r="K1273" i="1"/>
  <c r="L1232" i="1"/>
  <c r="K1232" i="1"/>
  <c r="L1242" i="1"/>
  <c r="K1242" i="1"/>
  <c r="L873" i="1"/>
  <c r="K873" i="1"/>
  <c r="L1156" i="1"/>
  <c r="K1156" i="1"/>
  <c r="K866" i="1"/>
  <c r="L975" i="1"/>
  <c r="K975" i="1"/>
  <c r="L1145" i="1"/>
  <c r="K1145" i="1"/>
  <c r="K1191" i="1"/>
  <c r="L1194" i="1"/>
  <c r="K1194" i="1"/>
  <c r="L896" i="1"/>
  <c r="K896" i="1"/>
  <c r="L1257" i="1"/>
  <c r="K1257" i="1"/>
  <c r="L1195" i="1"/>
  <c r="K1195" i="1"/>
  <c r="K1198" i="1"/>
  <c r="K955" i="1"/>
  <c r="K1279" i="1"/>
  <c r="L1210" i="1"/>
  <c r="K1210" i="1"/>
  <c r="L887" i="1"/>
  <c r="K887" i="1"/>
  <c r="K1020" i="1"/>
  <c r="L842" i="1"/>
  <c r="K842" i="1"/>
  <c r="K1012" i="1"/>
  <c r="L351" i="1"/>
  <c r="K351" i="1"/>
  <c r="L404" i="1"/>
  <c r="K404" i="1"/>
  <c r="L428" i="1"/>
  <c r="K428" i="1"/>
  <c r="L454" i="1"/>
  <c r="K454" i="1"/>
  <c r="L435" i="1"/>
  <c r="K435" i="1"/>
  <c r="L436" i="1"/>
  <c r="K436" i="1"/>
  <c r="L470" i="1"/>
  <c r="K470" i="1"/>
  <c r="L403" i="1"/>
  <c r="K403" i="1"/>
  <c r="L360" i="1"/>
  <c r="K360" i="1"/>
  <c r="L365" i="1"/>
  <c r="K365" i="1"/>
  <c r="L442" i="1"/>
  <c r="K442" i="1"/>
  <c r="L486" i="1"/>
  <c r="K486" i="1"/>
  <c r="L460" i="1"/>
  <c r="K460" i="1"/>
  <c r="L415" i="1"/>
  <c r="K415" i="1"/>
  <c r="L440" i="1"/>
  <c r="K440" i="1"/>
  <c r="L388" i="1"/>
  <c r="K388" i="1"/>
  <c r="L352" i="1"/>
  <c r="K352" i="1"/>
  <c r="L380" i="1"/>
  <c r="K380" i="1"/>
  <c r="L387" i="1"/>
  <c r="K387" i="1"/>
  <c r="L394" i="1"/>
  <c r="K394" i="1"/>
  <c r="L368" i="1"/>
  <c r="K368" i="1"/>
  <c r="L446" i="1"/>
  <c r="K446" i="1"/>
  <c r="L378" i="1"/>
  <c r="K378" i="1"/>
  <c r="L354" i="1"/>
  <c r="K354" i="1"/>
  <c r="L429" i="1"/>
  <c r="K429" i="1"/>
  <c r="L391" i="1"/>
  <c r="K391" i="1"/>
  <c r="L400" i="1"/>
  <c r="K400" i="1"/>
  <c r="L339" i="1"/>
  <c r="K339" i="1"/>
  <c r="L444" i="1"/>
  <c r="K444" i="1"/>
  <c r="L353" i="1"/>
  <c r="K353" i="1"/>
  <c r="L588" i="1"/>
  <c r="K588" i="1"/>
  <c r="L585" i="1"/>
  <c r="K585" i="1"/>
  <c r="L578" i="1"/>
  <c r="K578" i="1"/>
  <c r="L575" i="1"/>
  <c r="K575" i="1"/>
  <c r="L577" i="1"/>
  <c r="K577" i="1"/>
  <c r="L695" i="1"/>
  <c r="K695" i="1"/>
  <c r="L552" i="1"/>
  <c r="K552" i="1"/>
  <c r="L576" i="1"/>
  <c r="K576" i="1"/>
  <c r="L624" i="1"/>
  <c r="K624" i="1"/>
  <c r="L636" i="1"/>
  <c r="K636" i="1"/>
  <c r="L641" i="1"/>
  <c r="K641" i="1"/>
  <c r="L647" i="1"/>
  <c r="K647" i="1"/>
  <c r="L638" i="1"/>
  <c r="K638" i="1"/>
  <c r="L662" i="1"/>
  <c r="K662" i="1"/>
  <c r="L675" i="1"/>
  <c r="K675" i="1"/>
  <c r="L668" i="1"/>
  <c r="K668" i="1"/>
  <c r="L661" i="1"/>
  <c r="K661" i="1"/>
  <c r="L622" i="1"/>
  <c r="K622" i="1"/>
  <c r="L621" i="1"/>
  <c r="K621" i="1"/>
  <c r="H757" i="1" l="1"/>
  <c r="L788" i="1" l="1"/>
  <c r="K788" i="1"/>
  <c r="L787" i="1"/>
  <c r="K787" i="1"/>
  <c r="L784" i="1"/>
  <c r="K784" i="1"/>
  <c r="L783" i="1"/>
  <c r="K783" i="1"/>
  <c r="L744" i="1"/>
  <c r="K744" i="1"/>
  <c r="L745" i="1"/>
  <c r="K745" i="1"/>
  <c r="L741" i="1"/>
  <c r="K741" i="1"/>
  <c r="L750" i="1"/>
  <c r="K750" i="1"/>
  <c r="L749" i="1" l="1"/>
  <c r="K749" i="1"/>
  <c r="L746" i="1"/>
  <c r="K746" i="1"/>
  <c r="L814" i="1" l="1"/>
  <c r="K814" i="1"/>
  <c r="K775" i="1" l="1"/>
  <c r="L775" i="1" s="1"/>
  <c r="L1556" i="1" l="1"/>
  <c r="K1556" i="1"/>
  <c r="L1558" i="1"/>
  <c r="K1558" i="1"/>
  <c r="K844" i="1"/>
  <c r="L1179" i="1"/>
  <c r="K1179" i="1"/>
  <c r="L1319" i="1"/>
  <c r="K1319" i="1"/>
  <c r="L1092" i="1"/>
  <c r="K1092" i="1"/>
  <c r="L1088" i="1"/>
  <c r="K1088" i="1"/>
  <c r="K1261" i="1"/>
  <c r="L1131" i="1"/>
  <c r="K1131" i="1"/>
  <c r="L1170" i="1"/>
  <c r="K1170" i="1"/>
  <c r="L1213" i="1"/>
  <c r="K1213" i="1"/>
  <c r="L1250" i="1"/>
  <c r="K1250" i="1"/>
  <c r="L1379" i="1"/>
  <c r="K1379" i="1"/>
  <c r="K1292" i="1"/>
  <c r="K940" i="1"/>
  <c r="L1050" i="1"/>
  <c r="K1050" i="1"/>
  <c r="L1265" i="1"/>
  <c r="K1265" i="1"/>
  <c r="L1297" i="1"/>
  <c r="K1297" i="1"/>
  <c r="L1217" i="1"/>
  <c r="K1217" i="1"/>
  <c r="K1214" i="1"/>
  <c r="L1080" i="1"/>
  <c r="K1080" i="1"/>
  <c r="K1063" i="1"/>
  <c r="K854" i="1"/>
  <c r="L1327" i="1"/>
  <c r="K1327" i="1"/>
  <c r="L1245" i="1"/>
  <c r="K1245" i="1"/>
  <c r="K1272" i="1"/>
  <c r="L871" i="1"/>
  <c r="K871" i="1"/>
  <c r="L898" i="1"/>
  <c r="K898" i="1"/>
  <c r="L837" i="1"/>
  <c r="K837" i="1"/>
  <c r="L1075" i="1"/>
  <c r="K1075" i="1"/>
  <c r="L1352" i="1"/>
  <c r="K1352" i="1"/>
  <c r="L1220" i="1"/>
  <c r="K1220" i="1"/>
  <c r="L855" i="1"/>
  <c r="K855" i="1"/>
  <c r="L1348" i="1"/>
  <c r="K1348" i="1"/>
  <c r="L970" i="1"/>
  <c r="K970" i="1"/>
  <c r="L1360" i="1"/>
  <c r="K1360" i="1"/>
  <c r="L1126" i="1"/>
  <c r="K1126" i="1"/>
  <c r="L1329" i="1"/>
  <c r="K1329" i="1"/>
  <c r="L1225" i="1"/>
  <c r="K1225" i="1"/>
  <c r="L1185" i="1"/>
  <c r="K1185" i="1"/>
  <c r="L1359" i="1"/>
  <c r="K1359" i="1"/>
  <c r="L983" i="1"/>
  <c r="K983" i="1"/>
  <c r="L1099" i="1"/>
  <c r="K1099" i="1"/>
  <c r="K1298" i="1"/>
  <c r="K1047" i="1"/>
  <c r="L1223" i="1"/>
  <c r="K1223" i="1"/>
  <c r="L1038" i="1"/>
  <c r="K1038" i="1"/>
  <c r="K946" i="1"/>
  <c r="K1256" i="1"/>
  <c r="K852" i="1"/>
  <c r="K1363" i="1"/>
  <c r="L1215" i="1"/>
  <c r="K1215" i="1"/>
  <c r="K1199" i="1"/>
  <c r="L902" i="1"/>
  <c r="K902" i="1"/>
  <c r="L973" i="1"/>
  <c r="K973" i="1"/>
  <c r="L937" i="1"/>
  <c r="K937" i="1"/>
  <c r="K878" i="1"/>
  <c r="K1340" i="1"/>
  <c r="K1318" i="1"/>
  <c r="K954" i="1"/>
  <c r="L1106" i="1"/>
  <c r="K1106" i="1"/>
  <c r="L1137" i="1"/>
  <c r="L1234" i="1"/>
  <c r="K1234" i="1"/>
  <c r="L1259" i="1"/>
  <c r="K1259" i="1"/>
  <c r="L1263" i="1"/>
  <c r="K1263" i="1"/>
  <c r="L839" i="1"/>
  <c r="K839" i="1"/>
  <c r="L846" i="1"/>
  <c r="K846" i="1"/>
  <c r="L1032" i="1"/>
  <c r="K1032" i="1"/>
  <c r="L1091" i="1"/>
  <c r="K1091" i="1"/>
  <c r="L1282" i="1"/>
  <c r="K1282" i="1"/>
  <c r="L1342" i="1"/>
  <c r="K1342" i="1"/>
  <c r="L1228" i="1"/>
  <c r="K1228" i="1"/>
  <c r="L1276" i="1"/>
  <c r="K1276" i="1"/>
  <c r="L1167" i="1"/>
  <c r="K1167" i="1"/>
  <c r="L1001" i="1"/>
  <c r="K1001" i="1"/>
  <c r="L1372" i="1"/>
  <c r="K1372" i="1"/>
  <c r="L1104" i="1"/>
  <c r="K1104" i="1"/>
  <c r="K931" i="1"/>
  <c r="K1367" i="1"/>
  <c r="K1321" i="1"/>
  <c r="K1030" i="1"/>
  <c r="K1029" i="1"/>
  <c r="K1334" i="1"/>
  <c r="K1071" i="1"/>
  <c r="L886" i="1"/>
  <c r="K886" i="1"/>
  <c r="L1295" i="1"/>
  <c r="K1295" i="1"/>
  <c r="L930" i="1"/>
  <c r="K930" i="1"/>
  <c r="L1051" i="1"/>
  <c r="K1051" i="1"/>
  <c r="K1277" i="1"/>
  <c r="K1084" i="1"/>
  <c r="K1169" i="1"/>
  <c r="K922" i="1"/>
  <c r="L1127" i="1"/>
  <c r="K1127" i="1"/>
  <c r="K1087" i="1"/>
  <c r="L1058" i="1"/>
  <c r="K1058" i="1"/>
  <c r="L1222" i="1"/>
  <c r="K1222" i="1"/>
  <c r="L1043" i="1"/>
  <c r="K1043" i="1"/>
  <c r="L925" i="1"/>
  <c r="K925" i="1"/>
  <c r="L1165" i="1"/>
  <c r="K1165" i="1"/>
  <c r="L1052" i="1"/>
  <c r="K1052" i="1"/>
  <c r="L929" i="1"/>
  <c r="K929" i="1"/>
  <c r="K890" i="1"/>
  <c r="L1557" i="1"/>
  <c r="K1557" i="1"/>
  <c r="L1216" i="1"/>
  <c r="K1216" i="1"/>
  <c r="L1203" i="1"/>
  <c r="K1203" i="1"/>
  <c r="K1022" i="1"/>
  <c r="K1028" i="1"/>
  <c r="K1161" i="1"/>
  <c r="K916" i="1"/>
  <c r="K1373" i="1"/>
  <c r="L1132" i="1"/>
  <c r="K1132" i="1"/>
  <c r="K943" i="1"/>
  <c r="L1077" i="1"/>
  <c r="K1077" i="1"/>
  <c r="L872" i="1"/>
  <c r="K872" i="1"/>
  <c r="L921" i="1"/>
  <c r="K921" i="1"/>
  <c r="L1172" i="1"/>
  <c r="K1172" i="1"/>
  <c r="K1109" i="1"/>
  <c r="L1378" i="1"/>
  <c r="K1378" i="1"/>
  <c r="L900" i="1"/>
  <c r="K900" i="1"/>
  <c r="L1308" i="1"/>
  <c r="K1308" i="1"/>
  <c r="L952" i="1"/>
  <c r="K952" i="1"/>
  <c r="L1138" i="1"/>
  <c r="K1138" i="1"/>
  <c r="L1097" i="1"/>
  <c r="K1097" i="1"/>
  <c r="K1258" i="1"/>
  <c r="L899" i="1"/>
  <c r="K899" i="1"/>
  <c r="L619" i="1" l="1"/>
  <c r="K619" i="1"/>
  <c r="L363" i="1"/>
  <c r="K363" i="1"/>
  <c r="L443" i="1"/>
  <c r="K443" i="1"/>
  <c r="L418" i="1"/>
  <c r="K418" i="1"/>
  <c r="L466" i="1"/>
  <c r="K466" i="1"/>
  <c r="L422" i="1"/>
  <c r="K422" i="1"/>
  <c r="L441" i="1"/>
  <c r="K441" i="1"/>
  <c r="L431" i="1"/>
  <c r="K431" i="1"/>
  <c r="L426" i="1"/>
  <c r="K426" i="1"/>
  <c r="L545" i="1"/>
  <c r="K545" i="1"/>
  <c r="L620" i="1"/>
  <c r="K620" i="1"/>
  <c r="L445" i="1"/>
  <c r="K445" i="1"/>
  <c r="L323" i="1"/>
  <c r="K323" i="1"/>
  <c r="L427" i="1"/>
  <c r="K427" i="1"/>
  <c r="L372" i="1"/>
  <c r="K372" i="1"/>
  <c r="L331" i="1"/>
  <c r="K331" i="1"/>
  <c r="L343" i="1"/>
  <c r="K343" i="1"/>
  <c r="L571" i="1"/>
  <c r="K571" i="1"/>
  <c r="L406" i="1"/>
  <c r="K406" i="1"/>
  <c r="L425" i="1"/>
  <c r="K425" i="1"/>
  <c r="L408" i="1"/>
  <c r="K408" i="1"/>
  <c r="L350" i="1"/>
  <c r="K350" i="1"/>
  <c r="L389" i="1"/>
  <c r="K389" i="1"/>
  <c r="L326" i="1"/>
  <c r="K326" i="1"/>
  <c r="L366" i="1"/>
  <c r="K366" i="1"/>
  <c r="L348" i="1"/>
  <c r="K348" i="1"/>
  <c r="K370" i="1"/>
  <c r="K250" i="1" l="1"/>
  <c r="K249" i="1"/>
  <c r="H1618" i="1" l="1"/>
  <c r="H1615" i="1"/>
  <c r="J1614" i="1"/>
  <c r="H1614" i="1"/>
  <c r="H1612" i="1"/>
  <c r="H1610" i="1"/>
  <c r="AH1601" i="1"/>
  <c r="AH1600" i="1" s="1"/>
  <c r="L1601" i="1"/>
  <c r="L1600" i="1" s="1"/>
  <c r="K1601" i="1"/>
  <c r="K1600" i="1"/>
  <c r="AH1595" i="1"/>
  <c r="AH1594" i="1" s="1"/>
  <c r="L1594" i="1"/>
  <c r="K1594" i="1"/>
  <c r="J1594" i="1"/>
  <c r="J1593" i="1" s="1"/>
  <c r="L1588" i="1"/>
  <c r="K1588" i="1"/>
  <c r="T1585" i="1"/>
  <c r="AH1565" i="1"/>
  <c r="K1564" i="1"/>
  <c r="L1564" i="1" s="1"/>
  <c r="AH1563" i="1"/>
  <c r="AH1562" i="1"/>
  <c r="AH1561" i="1"/>
  <c r="AH1560" i="1"/>
  <c r="AH1559" i="1"/>
  <c r="AH1558" i="1"/>
  <c r="AH1557" i="1"/>
  <c r="AH1556" i="1"/>
  <c r="AH1555" i="1"/>
  <c r="AH1554" i="1"/>
  <c r="AH1553" i="1"/>
  <c r="J1552" i="1"/>
  <c r="H1552" i="1"/>
  <c r="H1566" i="1" s="1"/>
  <c r="AH1549" i="1"/>
  <c r="AH1548" i="1"/>
  <c r="AH1547" i="1"/>
  <c r="AH1546" i="1"/>
  <c r="AH1545" i="1"/>
  <c r="AH1544" i="1"/>
  <c r="AH1543" i="1"/>
  <c r="AH1542" i="1"/>
  <c r="AH1541" i="1"/>
  <c r="AH1540" i="1"/>
  <c r="AH1539" i="1"/>
  <c r="AH1537" i="1"/>
  <c r="AH1536" i="1"/>
  <c r="AH1535" i="1"/>
  <c r="AH1534" i="1"/>
  <c r="AH1533" i="1"/>
  <c r="AH1532" i="1"/>
  <c r="AH1531" i="1"/>
  <c r="AH1530" i="1"/>
  <c r="AH1529" i="1"/>
  <c r="AH1528" i="1"/>
  <c r="AH1527" i="1"/>
  <c r="AH1526" i="1"/>
  <c r="AH1525" i="1"/>
  <c r="AH1524" i="1"/>
  <c r="AH1523" i="1"/>
  <c r="AH1522" i="1"/>
  <c r="AH1521" i="1"/>
  <c r="AH1520" i="1"/>
  <c r="AH1519" i="1"/>
  <c r="AH1518" i="1"/>
  <c r="AH1517" i="1"/>
  <c r="AH1516" i="1"/>
  <c r="AH1515" i="1"/>
  <c r="AH1514" i="1"/>
  <c r="AH1513" i="1"/>
  <c r="AH1512" i="1"/>
  <c r="AH1511" i="1"/>
  <c r="AH1510" i="1"/>
  <c r="AH1509" i="1"/>
  <c r="AH1508" i="1"/>
  <c r="AH1507" i="1"/>
  <c r="AH1506" i="1"/>
  <c r="K1505" i="1"/>
  <c r="AH1505" i="1" s="1"/>
  <c r="AH1504" i="1"/>
  <c r="AH1503" i="1"/>
  <c r="AH1502" i="1"/>
  <c r="AH1501" i="1"/>
  <c r="AH1500" i="1"/>
  <c r="AH1499" i="1"/>
  <c r="AH1498" i="1"/>
  <c r="AH1497" i="1"/>
  <c r="AH1496" i="1"/>
  <c r="AH1495" i="1"/>
  <c r="AH1494" i="1"/>
  <c r="AH1493" i="1"/>
  <c r="AH1492" i="1"/>
  <c r="AH1491" i="1"/>
  <c r="AH1490" i="1"/>
  <c r="AH1489" i="1"/>
  <c r="AH1488" i="1"/>
  <c r="AH1487" i="1"/>
  <c r="AH1486" i="1"/>
  <c r="AH1485" i="1"/>
  <c r="AH1484" i="1"/>
  <c r="AH1483" i="1"/>
  <c r="AH1482" i="1"/>
  <c r="AH1481" i="1"/>
  <c r="AH1480" i="1"/>
  <c r="AH1479" i="1"/>
  <c r="AH1478" i="1"/>
  <c r="AH1477" i="1"/>
  <c r="AH1476" i="1"/>
  <c r="AH1475" i="1"/>
  <c r="AH1474" i="1"/>
  <c r="AH1473" i="1"/>
  <c r="AH1472" i="1"/>
  <c r="AH1471" i="1"/>
  <c r="AH1470" i="1"/>
  <c r="AH1469" i="1"/>
  <c r="AH1468" i="1"/>
  <c r="AH1467" i="1"/>
  <c r="AH1466" i="1"/>
  <c r="K1465" i="1"/>
  <c r="AH1465" i="1" s="1"/>
  <c r="AH1464" i="1"/>
  <c r="AH1463" i="1"/>
  <c r="AH1462" i="1"/>
  <c r="AH1461" i="1"/>
  <c r="AH1460" i="1"/>
  <c r="AH1459" i="1"/>
  <c r="AH1458" i="1"/>
  <c r="AH1457" i="1"/>
  <c r="AH1456" i="1"/>
  <c r="AH1455" i="1"/>
  <c r="AH1454" i="1"/>
  <c r="AH1453" i="1"/>
  <c r="AH1452" i="1"/>
  <c r="AH1451" i="1"/>
  <c r="AH1450" i="1"/>
  <c r="AH1449" i="1"/>
  <c r="K1448" i="1"/>
  <c r="AH1447" i="1"/>
  <c r="AH1446" i="1"/>
  <c r="AH1445" i="1"/>
  <c r="AH1444" i="1"/>
  <c r="AH1443" i="1"/>
  <c r="AH1442" i="1"/>
  <c r="AH1441" i="1"/>
  <c r="AH1440" i="1"/>
  <c r="AH1439" i="1"/>
  <c r="AH1438" i="1"/>
  <c r="AH1437" i="1"/>
  <c r="AH1436" i="1"/>
  <c r="AH1435" i="1"/>
  <c r="AH1434" i="1"/>
  <c r="AH1433" i="1"/>
  <c r="AH1432" i="1"/>
  <c r="AH1431" i="1"/>
  <c r="AH1430" i="1"/>
  <c r="AH1429" i="1"/>
  <c r="AH1428" i="1"/>
  <c r="AH1427" i="1"/>
  <c r="AH1426" i="1"/>
  <c r="AH1425" i="1"/>
  <c r="AH1424" i="1"/>
  <c r="AH1423" i="1"/>
  <c r="AH1422" i="1"/>
  <c r="AH1421" i="1"/>
  <c r="AH1420" i="1"/>
  <c r="AH1419" i="1"/>
  <c r="AH1418" i="1"/>
  <c r="AH1417" i="1"/>
  <c r="AH1416" i="1"/>
  <c r="AH1415" i="1"/>
  <c r="AH1414" i="1"/>
  <c r="AH1413" i="1"/>
  <c r="AH1412" i="1"/>
  <c r="AH1411" i="1"/>
  <c r="AH1410" i="1"/>
  <c r="AH1409" i="1"/>
  <c r="AH1408" i="1"/>
  <c r="AH1407" i="1"/>
  <c r="AH1406" i="1"/>
  <c r="AH1405" i="1"/>
  <c r="AH1404" i="1"/>
  <c r="AH1403" i="1"/>
  <c r="AH1402" i="1"/>
  <c r="AH1401" i="1"/>
  <c r="AH1400" i="1"/>
  <c r="AH1399" i="1"/>
  <c r="AH1398" i="1"/>
  <c r="AH1397" i="1"/>
  <c r="AH1396" i="1"/>
  <c r="AH1395" i="1"/>
  <c r="AH1394" i="1"/>
  <c r="AH1393" i="1"/>
  <c r="AH1392" i="1"/>
  <c r="AH1391" i="1"/>
  <c r="AH1390" i="1"/>
  <c r="AH1389" i="1"/>
  <c r="AH1388" i="1"/>
  <c r="AH1387" i="1"/>
  <c r="AH1386" i="1"/>
  <c r="AH1385" i="1"/>
  <c r="AH1384" i="1"/>
  <c r="AH1383" i="1"/>
  <c r="J1382" i="1"/>
  <c r="H1382" i="1"/>
  <c r="H1550" i="1" s="1"/>
  <c r="G1382" i="1"/>
  <c r="AH1379" i="1"/>
  <c r="J1379" i="1"/>
  <c r="AH1378" i="1"/>
  <c r="J1378" i="1"/>
  <c r="AH1377" i="1"/>
  <c r="J1377" i="1"/>
  <c r="K1376" i="1"/>
  <c r="AH1376" i="1" s="1"/>
  <c r="J1376" i="1"/>
  <c r="AH1375" i="1"/>
  <c r="J1375" i="1"/>
  <c r="K1374" i="1"/>
  <c r="L1374" i="1" s="1"/>
  <c r="J1374" i="1"/>
  <c r="AH1373" i="1"/>
  <c r="J1373" i="1"/>
  <c r="AH1372" i="1"/>
  <c r="J1372" i="1"/>
  <c r="K1371" i="1"/>
  <c r="AH1371" i="1" s="1"/>
  <c r="J1371" i="1"/>
  <c r="AH1370" i="1"/>
  <c r="J1370" i="1"/>
  <c r="AH1369" i="1"/>
  <c r="J1369" i="1"/>
  <c r="AH1368" i="1"/>
  <c r="J1368" i="1"/>
  <c r="L1367" i="1"/>
  <c r="J1367" i="1"/>
  <c r="AH1366" i="1"/>
  <c r="J1366" i="1"/>
  <c r="AH1365" i="1"/>
  <c r="J1365" i="1"/>
  <c r="K1364" i="1"/>
  <c r="AH1364" i="1" s="1"/>
  <c r="J1364" i="1"/>
  <c r="AH1363" i="1"/>
  <c r="J1363" i="1"/>
  <c r="K1362" i="1"/>
  <c r="L1362" i="1" s="1"/>
  <c r="J1362" i="1"/>
  <c r="K1361" i="1"/>
  <c r="AH1361" i="1" s="1"/>
  <c r="J1361" i="1"/>
  <c r="AH1360" i="1"/>
  <c r="J1360" i="1"/>
  <c r="AH1359" i="1"/>
  <c r="J1359" i="1"/>
  <c r="AH1358" i="1"/>
  <c r="J1358" i="1"/>
  <c r="AH1357" i="1"/>
  <c r="J1357" i="1"/>
  <c r="AH1356" i="1"/>
  <c r="J1356" i="1"/>
  <c r="AH1355" i="1"/>
  <c r="J1355" i="1"/>
  <c r="AH1354" i="1"/>
  <c r="J1354" i="1"/>
  <c r="K1353" i="1"/>
  <c r="L1353" i="1" s="1"/>
  <c r="J1353" i="1"/>
  <c r="AH1352" i="1"/>
  <c r="J1352" i="1"/>
  <c r="AH1351" i="1"/>
  <c r="J1351" i="1"/>
  <c r="L1350" i="1"/>
  <c r="K1350" i="1"/>
  <c r="AH1350" i="1" s="1"/>
  <c r="J1350" i="1"/>
  <c r="AH1349" i="1"/>
  <c r="J1349" i="1"/>
  <c r="AH1348" i="1"/>
  <c r="J1348" i="1"/>
  <c r="AH1347" i="1"/>
  <c r="J1347" i="1"/>
  <c r="L1346" i="1"/>
  <c r="K1346" i="1"/>
  <c r="AH1346" i="1" s="1"/>
  <c r="J1346" i="1"/>
  <c r="AH1345" i="1"/>
  <c r="J1345" i="1"/>
  <c r="AH1344" i="1"/>
  <c r="J1344" i="1"/>
  <c r="K1343" i="1"/>
  <c r="AH1343" i="1" s="1"/>
  <c r="J1343" i="1"/>
  <c r="AH1342" i="1"/>
  <c r="J1342" i="1"/>
  <c r="AH1341" i="1"/>
  <c r="J1341" i="1"/>
  <c r="AH1340" i="1"/>
  <c r="J1340" i="1"/>
  <c r="AH1339" i="1"/>
  <c r="J1339" i="1"/>
  <c r="L1338" i="1"/>
  <c r="K1338" i="1"/>
  <c r="AH1338" i="1" s="1"/>
  <c r="J1338" i="1"/>
  <c r="AH1337" i="1"/>
  <c r="J1337" i="1"/>
  <c r="AH1336" i="1"/>
  <c r="J1336" i="1"/>
  <c r="AH1335" i="1"/>
  <c r="J1335" i="1"/>
  <c r="AH1334" i="1"/>
  <c r="J1334" i="1"/>
  <c r="N1333" i="1"/>
  <c r="M1333" i="1"/>
  <c r="L1333" i="1"/>
  <c r="K1333" i="1"/>
  <c r="AH1333" i="1" s="1"/>
  <c r="J1333" i="1"/>
  <c r="AH1332" i="1"/>
  <c r="J1332" i="1"/>
  <c r="AH1331" i="1"/>
  <c r="J1331" i="1"/>
  <c r="AH1330" i="1"/>
  <c r="J1330" i="1"/>
  <c r="AH1329" i="1"/>
  <c r="J1329" i="1"/>
  <c r="AH1328" i="1"/>
  <c r="J1328" i="1"/>
  <c r="AH1327" i="1"/>
  <c r="J1327" i="1"/>
  <c r="AH1326" i="1"/>
  <c r="J1326" i="1"/>
  <c r="AH1325" i="1"/>
  <c r="J1325" i="1"/>
  <c r="AH1324" i="1"/>
  <c r="J1324" i="1"/>
  <c r="AH1323" i="1"/>
  <c r="J1323" i="1"/>
  <c r="AH1322" i="1"/>
  <c r="J1322" i="1"/>
  <c r="AH1321" i="1"/>
  <c r="J1321" i="1"/>
  <c r="AH1320" i="1"/>
  <c r="J1320" i="1"/>
  <c r="AH1319" i="1"/>
  <c r="J1319" i="1"/>
  <c r="L1318" i="1"/>
  <c r="J1318" i="1"/>
  <c r="AH1317" i="1"/>
  <c r="J1317" i="1"/>
  <c r="AH1316" i="1"/>
  <c r="J1316" i="1"/>
  <c r="AH1315" i="1"/>
  <c r="J1315" i="1"/>
  <c r="L1314" i="1"/>
  <c r="K1314" i="1"/>
  <c r="AH1314" i="1" s="1"/>
  <c r="J1314" i="1"/>
  <c r="AH1313" i="1"/>
  <c r="J1313" i="1"/>
  <c r="AH1312" i="1"/>
  <c r="J1312" i="1"/>
  <c r="AH1311" i="1"/>
  <c r="J1311" i="1"/>
  <c r="K1310" i="1"/>
  <c r="L1310" i="1" s="1"/>
  <c r="J1310" i="1"/>
  <c r="K1309" i="1"/>
  <c r="AH1309" i="1" s="1"/>
  <c r="J1309" i="1"/>
  <c r="AH1308" i="1"/>
  <c r="J1308" i="1"/>
  <c r="AH1307" i="1"/>
  <c r="J1307" i="1"/>
  <c r="AH1306" i="1"/>
  <c r="J1306" i="1"/>
  <c r="K1305" i="1"/>
  <c r="L1305" i="1" s="1"/>
  <c r="J1305" i="1"/>
  <c r="AH1304" i="1"/>
  <c r="J1304" i="1"/>
  <c r="AH1303" i="1"/>
  <c r="J1303" i="1"/>
  <c r="AH1302" i="1"/>
  <c r="J1302" i="1"/>
  <c r="AH1301" i="1"/>
  <c r="J1301" i="1"/>
  <c r="K1300" i="1"/>
  <c r="AH1300" i="1" s="1"/>
  <c r="J1300" i="1"/>
  <c r="AH1299" i="1"/>
  <c r="J1299" i="1"/>
  <c r="L1298" i="1"/>
  <c r="J1298" i="1"/>
  <c r="AH1297" i="1"/>
  <c r="J1297" i="1"/>
  <c r="AH1296" i="1"/>
  <c r="J1296" i="1"/>
  <c r="AH1295" i="1"/>
  <c r="J1295" i="1"/>
  <c r="AH1294" i="1"/>
  <c r="J1294" i="1"/>
  <c r="AH1293" i="1"/>
  <c r="J1293" i="1"/>
  <c r="AH1292" i="1"/>
  <c r="J1292" i="1"/>
  <c r="K1291" i="1"/>
  <c r="L1291" i="1" s="1"/>
  <c r="J1291" i="1"/>
  <c r="L1290" i="1"/>
  <c r="K1290" i="1"/>
  <c r="AH1290" i="1" s="1"/>
  <c r="J1290" i="1"/>
  <c r="AH1289" i="1"/>
  <c r="J1289" i="1"/>
  <c r="AH1288" i="1"/>
  <c r="J1288" i="1"/>
  <c r="AH1287" i="1"/>
  <c r="J1287" i="1"/>
  <c r="AH1286" i="1"/>
  <c r="J1286" i="1"/>
  <c r="K1285" i="1"/>
  <c r="AH1285" i="1" s="1"/>
  <c r="J1285" i="1"/>
  <c r="AH1284" i="1"/>
  <c r="J1284" i="1"/>
  <c r="AH1283" i="1"/>
  <c r="J1283" i="1"/>
  <c r="AH1282" i="1"/>
  <c r="J1282" i="1"/>
  <c r="AH1281" i="1"/>
  <c r="J1281" i="1"/>
  <c r="L1280" i="1"/>
  <c r="K1280" i="1"/>
  <c r="AH1280" i="1" s="1"/>
  <c r="J1280" i="1"/>
  <c r="AH1279" i="1"/>
  <c r="J1279" i="1"/>
  <c r="AH1278" i="1"/>
  <c r="J1278" i="1"/>
  <c r="L1277" i="1"/>
  <c r="J1277" i="1"/>
  <c r="AH1276" i="1"/>
  <c r="J1276" i="1"/>
  <c r="AH1275" i="1"/>
  <c r="J1275" i="1"/>
  <c r="K1274" i="1"/>
  <c r="AH1274" i="1" s="1"/>
  <c r="J1274" i="1"/>
  <c r="L1273" i="1"/>
  <c r="J1273" i="1"/>
  <c r="AH1272" i="1"/>
  <c r="J1272" i="1"/>
  <c r="AH1271" i="1"/>
  <c r="J1271" i="1"/>
  <c r="AH1270" i="1"/>
  <c r="J1270" i="1"/>
  <c r="K1269" i="1"/>
  <c r="L1269" i="1" s="1"/>
  <c r="J1269" i="1"/>
  <c r="L1268" i="1"/>
  <c r="K1268" i="1"/>
  <c r="AH1268" i="1" s="1"/>
  <c r="J1268" i="1"/>
  <c r="AH1267" i="1"/>
  <c r="J1267" i="1"/>
  <c r="AH1266" i="1"/>
  <c r="J1266" i="1"/>
  <c r="AH1265" i="1"/>
  <c r="J1265" i="1"/>
  <c r="AH1264" i="1"/>
  <c r="J1264" i="1"/>
  <c r="AH1263" i="1"/>
  <c r="J1263" i="1"/>
  <c r="AH1262" i="1"/>
  <c r="J1262" i="1"/>
  <c r="AH1261" i="1"/>
  <c r="J1261" i="1"/>
  <c r="AH1260" i="1"/>
  <c r="J1260" i="1"/>
  <c r="AH1259" i="1"/>
  <c r="J1259" i="1"/>
  <c r="AH1258" i="1"/>
  <c r="J1258" i="1"/>
  <c r="AH1257" i="1"/>
  <c r="J1257" i="1"/>
  <c r="L1256" i="1"/>
  <c r="J1256" i="1"/>
  <c r="L1255" i="1"/>
  <c r="J1255" i="1"/>
  <c r="AH1254" i="1"/>
  <c r="J1254" i="1"/>
  <c r="K1253" i="1"/>
  <c r="AH1253" i="1" s="1"/>
  <c r="J1253" i="1"/>
  <c r="AH1252" i="1"/>
  <c r="J1252" i="1"/>
  <c r="K1251" i="1"/>
  <c r="L1251" i="1" s="1"/>
  <c r="J1251" i="1"/>
  <c r="AH1250" i="1"/>
  <c r="J1250" i="1"/>
  <c r="AH1249" i="1"/>
  <c r="J1249" i="1"/>
  <c r="AH1248" i="1"/>
  <c r="J1248" i="1"/>
  <c r="AH1247" i="1"/>
  <c r="J1247" i="1"/>
  <c r="L1246" i="1"/>
  <c r="K1246" i="1"/>
  <c r="AH1246" i="1" s="1"/>
  <c r="J1246" i="1"/>
  <c r="AH1245" i="1"/>
  <c r="J1245" i="1"/>
  <c r="K1244" i="1"/>
  <c r="AH1244" i="1" s="1"/>
  <c r="J1244" i="1"/>
  <c r="AH1243" i="1"/>
  <c r="J1243" i="1"/>
  <c r="AH1242" i="1"/>
  <c r="J1242" i="1"/>
  <c r="K1241" i="1"/>
  <c r="AH1241" i="1" s="1"/>
  <c r="J1241" i="1"/>
  <c r="L1240" i="1"/>
  <c r="K1240" i="1"/>
  <c r="AH1240" i="1" s="1"/>
  <c r="J1240" i="1"/>
  <c r="AH1239" i="1"/>
  <c r="J1239" i="1"/>
  <c r="AH1238" i="1"/>
  <c r="J1238" i="1"/>
  <c r="L1237" i="1"/>
  <c r="K1237" i="1"/>
  <c r="AH1237" i="1" s="1"/>
  <c r="J1237" i="1"/>
  <c r="K1236" i="1"/>
  <c r="AH1236" i="1" s="1"/>
  <c r="J1236" i="1"/>
  <c r="AH1235" i="1"/>
  <c r="J1235" i="1"/>
  <c r="AH1234" i="1"/>
  <c r="J1234" i="1"/>
  <c r="AH1233" i="1"/>
  <c r="J1233" i="1"/>
  <c r="AH1232" i="1"/>
  <c r="J1232" i="1"/>
  <c r="K1231" i="1"/>
  <c r="AH1231" i="1" s="1"/>
  <c r="J1231" i="1"/>
  <c r="K1230" i="1"/>
  <c r="AH1230" i="1" s="1"/>
  <c r="J1230" i="1"/>
  <c r="K1229" i="1"/>
  <c r="L1229" i="1" s="1"/>
  <c r="J1229" i="1"/>
  <c r="AH1228" i="1"/>
  <c r="J1228" i="1"/>
  <c r="AH1227" i="1"/>
  <c r="J1227" i="1"/>
  <c r="K1226" i="1"/>
  <c r="AH1226" i="1" s="1"/>
  <c r="J1226" i="1"/>
  <c r="AH1225" i="1"/>
  <c r="J1225" i="1"/>
  <c r="AH1224" i="1"/>
  <c r="J1224" i="1"/>
  <c r="AH1223" i="1"/>
  <c r="J1223" i="1"/>
  <c r="AH1222" i="1"/>
  <c r="J1222" i="1"/>
  <c r="AH1221" i="1"/>
  <c r="J1221" i="1"/>
  <c r="AH1220" i="1"/>
  <c r="J1220" i="1"/>
  <c r="L1219" i="1"/>
  <c r="K1219" i="1"/>
  <c r="AH1219" i="1" s="1"/>
  <c r="J1219" i="1"/>
  <c r="L1218" i="1"/>
  <c r="K1218" i="1"/>
  <c r="AH1218" i="1" s="1"/>
  <c r="J1218" i="1"/>
  <c r="AH1217" i="1"/>
  <c r="J1217" i="1"/>
  <c r="AH1216" i="1"/>
  <c r="J1216" i="1"/>
  <c r="AH1215" i="1"/>
  <c r="J1215" i="1"/>
  <c r="L1214" i="1"/>
  <c r="J1214" i="1"/>
  <c r="AH1213" i="1"/>
  <c r="J1213" i="1"/>
  <c r="AH1212" i="1"/>
  <c r="J1212" i="1"/>
  <c r="L1211" i="1"/>
  <c r="K1211" i="1"/>
  <c r="AH1211" i="1" s="1"/>
  <c r="J1211" i="1"/>
  <c r="AH1210" i="1"/>
  <c r="J1210" i="1"/>
  <c r="AH1209" i="1"/>
  <c r="J1209" i="1"/>
  <c r="AH1208" i="1"/>
  <c r="J1208" i="1"/>
  <c r="AH1207" i="1"/>
  <c r="J1207" i="1"/>
  <c r="AH1206" i="1"/>
  <c r="J1206" i="1"/>
  <c r="K1205" i="1"/>
  <c r="L1205" i="1" s="1"/>
  <c r="J1205" i="1"/>
  <c r="AH1204" i="1"/>
  <c r="J1204" i="1"/>
  <c r="AH1203" i="1"/>
  <c r="J1203" i="1"/>
  <c r="K1202" i="1"/>
  <c r="L1202" i="1" s="1"/>
  <c r="J1202" i="1"/>
  <c r="L1201" i="1"/>
  <c r="K1201" i="1"/>
  <c r="AH1201" i="1" s="1"/>
  <c r="J1201" i="1"/>
  <c r="AH1200" i="1"/>
  <c r="J1200" i="1"/>
  <c r="AH1199" i="1"/>
  <c r="J1199" i="1"/>
  <c r="AH1198" i="1"/>
  <c r="J1198" i="1"/>
  <c r="K1197" i="1"/>
  <c r="L1197" i="1" s="1"/>
  <c r="J1197" i="1"/>
  <c r="L1196" i="1"/>
  <c r="K1196" i="1"/>
  <c r="AH1196" i="1" s="1"/>
  <c r="J1196" i="1"/>
  <c r="AH1195" i="1"/>
  <c r="J1195" i="1"/>
  <c r="AH1194" i="1"/>
  <c r="J1194" i="1"/>
  <c r="AH1193" i="1"/>
  <c r="J1193" i="1"/>
  <c r="K1192" i="1"/>
  <c r="AH1192" i="1" s="1"/>
  <c r="J1192" i="1"/>
  <c r="AH1191" i="1"/>
  <c r="J1191" i="1"/>
  <c r="AH1190" i="1"/>
  <c r="J1190" i="1"/>
  <c r="AH1189" i="1"/>
  <c r="J1189" i="1"/>
  <c r="L1188" i="1"/>
  <c r="K1188" i="1"/>
  <c r="AH1188" i="1" s="1"/>
  <c r="J1188" i="1"/>
  <c r="AH1187" i="1"/>
  <c r="J1187" i="1"/>
  <c r="AH1186" i="1"/>
  <c r="J1186" i="1"/>
  <c r="AH1185" i="1"/>
  <c r="J1185" i="1"/>
  <c r="K1184" i="1"/>
  <c r="AH1184" i="1" s="1"/>
  <c r="J1184" i="1"/>
  <c r="AH1183" i="1"/>
  <c r="J1183" i="1"/>
  <c r="AH1182" i="1"/>
  <c r="W1182" i="1"/>
  <c r="J1182" i="1"/>
  <c r="W1181" i="1"/>
  <c r="L1181" i="1"/>
  <c r="K1181" i="1"/>
  <c r="AH1181" i="1" s="1"/>
  <c r="J1181" i="1"/>
  <c r="W1180" i="1"/>
  <c r="K1180" i="1"/>
  <c r="AH1180" i="1" s="1"/>
  <c r="J1180" i="1"/>
  <c r="AH1179" i="1"/>
  <c r="W1179" i="1"/>
  <c r="J1179" i="1"/>
  <c r="AH1178" i="1"/>
  <c r="W1178" i="1"/>
  <c r="J1178" i="1"/>
  <c r="W1177" i="1"/>
  <c r="K1177" i="1"/>
  <c r="AH1177" i="1" s="1"/>
  <c r="J1177" i="1"/>
  <c r="AH1176" i="1"/>
  <c r="W1176" i="1"/>
  <c r="J1176" i="1"/>
  <c r="W1175" i="1"/>
  <c r="L1175" i="1"/>
  <c r="K1175" i="1"/>
  <c r="AH1175" i="1" s="1"/>
  <c r="J1175" i="1"/>
  <c r="AH1174" i="1"/>
  <c r="W1174" i="1"/>
  <c r="J1174" i="1"/>
  <c r="AH1173" i="1"/>
  <c r="W1173" i="1"/>
  <c r="L1173" i="1"/>
  <c r="J1173" i="1"/>
  <c r="W1172" i="1"/>
  <c r="AH1172" i="1"/>
  <c r="J1172" i="1"/>
  <c r="AH1171" i="1"/>
  <c r="W1171" i="1"/>
  <c r="J1171" i="1"/>
  <c r="AH1170" i="1"/>
  <c r="W1170" i="1"/>
  <c r="J1170" i="1"/>
  <c r="W1169" i="1"/>
  <c r="L1169" i="1"/>
  <c r="J1169" i="1"/>
  <c r="AH1168" i="1"/>
  <c r="W1168" i="1"/>
  <c r="J1168" i="1"/>
  <c r="AH1167" i="1"/>
  <c r="W1167" i="1"/>
  <c r="J1167" i="1"/>
  <c r="AH1166" i="1"/>
  <c r="W1166" i="1"/>
  <c r="J1166" i="1"/>
  <c r="AH1165" i="1"/>
  <c r="W1165" i="1"/>
  <c r="J1165" i="1"/>
  <c r="W1164" i="1"/>
  <c r="K1164" i="1"/>
  <c r="AH1164" i="1" s="1"/>
  <c r="J1164" i="1"/>
  <c r="W1163" i="1"/>
  <c r="L1163" i="1"/>
  <c r="K1163" i="1"/>
  <c r="AH1163" i="1" s="1"/>
  <c r="J1163" i="1"/>
  <c r="W1162" i="1"/>
  <c r="L1162" i="1"/>
  <c r="J1162" i="1"/>
  <c r="W1161" i="1"/>
  <c r="J1161" i="1"/>
  <c r="W1160" i="1"/>
  <c r="AH1160" i="1"/>
  <c r="J1160" i="1"/>
  <c r="AH1159" i="1"/>
  <c r="W1159" i="1"/>
  <c r="J1159" i="1"/>
  <c r="W1158" i="1"/>
  <c r="L1158" i="1"/>
  <c r="K1158" i="1"/>
  <c r="AH1158" i="1" s="1"/>
  <c r="J1158" i="1"/>
  <c r="W1157" i="1"/>
  <c r="J1157" i="1"/>
  <c r="K1157" i="1" s="1"/>
  <c r="AH1157" i="1" s="1"/>
  <c r="W1156" i="1"/>
  <c r="AH1156" i="1"/>
  <c r="J1156" i="1"/>
  <c r="W1155" i="1"/>
  <c r="K1155" i="1"/>
  <c r="L1155" i="1" s="1"/>
  <c r="J1155" i="1"/>
  <c r="AH1154" i="1"/>
  <c r="W1154" i="1"/>
  <c r="J1154" i="1"/>
  <c r="AH1153" i="1"/>
  <c r="W1153" i="1"/>
  <c r="J1153" i="1"/>
  <c r="W1152" i="1"/>
  <c r="AH1152" i="1"/>
  <c r="J1152" i="1"/>
  <c r="AH1151" i="1"/>
  <c r="W1151" i="1"/>
  <c r="J1151" i="1"/>
  <c r="W1150" i="1"/>
  <c r="L1150" i="1"/>
  <c r="K1150" i="1"/>
  <c r="AH1150" i="1" s="1"/>
  <c r="J1150" i="1"/>
  <c r="AH1149" i="1"/>
  <c r="W1149" i="1"/>
  <c r="J1149" i="1"/>
  <c r="AH1148" i="1"/>
  <c r="W1148" i="1"/>
  <c r="J1148" i="1"/>
  <c r="AH1147" i="1"/>
  <c r="W1147" i="1"/>
  <c r="J1147" i="1"/>
  <c r="AH1146" i="1"/>
  <c r="W1146" i="1"/>
  <c r="J1146" i="1"/>
  <c r="W1145" i="1"/>
  <c r="AH1145" i="1"/>
  <c r="J1145" i="1"/>
  <c r="AH1144" i="1"/>
  <c r="W1144" i="1"/>
  <c r="J1144" i="1"/>
  <c r="W1143" i="1"/>
  <c r="K1143" i="1"/>
  <c r="AH1143" i="1" s="1"/>
  <c r="J1143" i="1"/>
  <c r="AH1142" i="1"/>
  <c r="W1142" i="1"/>
  <c r="J1142" i="1"/>
  <c r="AH1141" i="1"/>
  <c r="W1141" i="1"/>
  <c r="J1141" i="1"/>
  <c r="W1140" i="1"/>
  <c r="K1140" i="1"/>
  <c r="AH1140" i="1" s="1"/>
  <c r="J1140" i="1"/>
  <c r="W1139" i="1"/>
  <c r="K1139" i="1"/>
  <c r="L1139" i="1" s="1"/>
  <c r="J1139" i="1"/>
  <c r="AH1138" i="1"/>
  <c r="W1138" i="1"/>
  <c r="J1138" i="1"/>
  <c r="AH1137" i="1"/>
  <c r="W1137" i="1"/>
  <c r="J1137" i="1"/>
  <c r="W1136" i="1"/>
  <c r="L1136" i="1"/>
  <c r="K1136" i="1"/>
  <c r="AH1136" i="1" s="1"/>
  <c r="J1136" i="1"/>
  <c r="W1135" i="1"/>
  <c r="L1135" i="1"/>
  <c r="K1135" i="1"/>
  <c r="AH1135" i="1" s="1"/>
  <c r="J1135" i="1"/>
  <c r="W1134" i="1"/>
  <c r="K1134" i="1"/>
  <c r="L1134" i="1" s="1"/>
  <c r="J1134" i="1"/>
  <c r="AH1133" i="1"/>
  <c r="W1133" i="1"/>
  <c r="J1133" i="1"/>
  <c r="W1132" i="1"/>
  <c r="AH1132" i="1"/>
  <c r="J1132" i="1"/>
  <c r="AH1131" i="1"/>
  <c r="W1131" i="1"/>
  <c r="J1131" i="1"/>
  <c r="W1130" i="1"/>
  <c r="K1130" i="1"/>
  <c r="AH1130" i="1" s="1"/>
  <c r="J1130" i="1"/>
  <c r="AH1129" i="1"/>
  <c r="W1129" i="1"/>
  <c r="J1129" i="1"/>
  <c r="AH1128" i="1"/>
  <c r="W1128" i="1"/>
  <c r="J1128" i="1"/>
  <c r="AH1127" i="1"/>
  <c r="W1127" i="1"/>
  <c r="J1127" i="1"/>
  <c r="AH1126" i="1"/>
  <c r="W1126" i="1"/>
  <c r="J1126" i="1"/>
  <c r="W1125" i="1"/>
  <c r="K1125" i="1"/>
  <c r="L1125" i="1" s="1"/>
  <c r="J1125" i="1"/>
  <c r="W1124" i="1"/>
  <c r="L1124" i="1"/>
  <c r="K1124" i="1"/>
  <c r="AH1124" i="1" s="1"/>
  <c r="J1124" i="1"/>
  <c r="W1123" i="1"/>
  <c r="L1123" i="1"/>
  <c r="K1123" i="1"/>
  <c r="AH1123" i="1" s="1"/>
  <c r="J1123" i="1"/>
  <c r="W1122" i="1"/>
  <c r="K1122" i="1"/>
  <c r="L1122" i="1" s="1"/>
  <c r="J1122" i="1"/>
  <c r="W1121" i="1"/>
  <c r="K1121" i="1"/>
  <c r="AH1121" i="1" s="1"/>
  <c r="J1121" i="1"/>
  <c r="AH1120" i="1"/>
  <c r="W1120" i="1"/>
  <c r="J1120" i="1"/>
  <c r="W1119" i="1"/>
  <c r="L1119" i="1"/>
  <c r="K1119" i="1"/>
  <c r="AH1119" i="1" s="1"/>
  <c r="J1119" i="1"/>
  <c r="W1118" i="1"/>
  <c r="L1118" i="1"/>
  <c r="K1118" i="1"/>
  <c r="AH1118" i="1" s="1"/>
  <c r="J1118" i="1"/>
  <c r="W1117" i="1"/>
  <c r="L1117" i="1"/>
  <c r="J1117" i="1"/>
  <c r="W1116" i="1"/>
  <c r="L1116" i="1"/>
  <c r="K1116" i="1"/>
  <c r="AH1116" i="1" s="1"/>
  <c r="J1116" i="1"/>
  <c r="W1115" i="1"/>
  <c r="K1115" i="1"/>
  <c r="L1115" i="1" s="1"/>
  <c r="J1115" i="1"/>
  <c r="W1114" i="1"/>
  <c r="L1114" i="1"/>
  <c r="K1114" i="1"/>
  <c r="AH1114" i="1" s="1"/>
  <c r="J1114" i="1"/>
  <c r="AH1113" i="1"/>
  <c r="W1113" i="1"/>
  <c r="J1113" i="1"/>
  <c r="W1112" i="1"/>
  <c r="K1112" i="1"/>
  <c r="AH1112" i="1" s="1"/>
  <c r="J1112" i="1"/>
  <c r="AH1111" i="1"/>
  <c r="W1111" i="1"/>
  <c r="J1111" i="1"/>
  <c r="AH1110" i="1"/>
  <c r="W1110" i="1"/>
  <c r="J1110" i="1"/>
  <c r="W1109" i="1"/>
  <c r="L1109" i="1"/>
  <c r="J1109" i="1"/>
  <c r="AH1108" i="1"/>
  <c r="W1108" i="1"/>
  <c r="J1108" i="1"/>
  <c r="W1107" i="1"/>
  <c r="K1107" i="1"/>
  <c r="L1107" i="1" s="1"/>
  <c r="J1107" i="1"/>
  <c r="AH1106" i="1"/>
  <c r="W1106" i="1"/>
  <c r="J1106" i="1"/>
  <c r="W1105" i="1"/>
  <c r="K1105" i="1"/>
  <c r="L1105" i="1" s="1"/>
  <c r="J1105" i="1"/>
  <c r="AH1104" i="1"/>
  <c r="W1104" i="1"/>
  <c r="J1104" i="1"/>
  <c r="AH1103" i="1"/>
  <c r="W1103" i="1"/>
  <c r="J1103" i="1"/>
  <c r="W1102" i="1"/>
  <c r="L1102" i="1"/>
  <c r="K1102" i="1"/>
  <c r="AH1102" i="1" s="1"/>
  <c r="J1102" i="1"/>
  <c r="W1101" i="1"/>
  <c r="K1101" i="1"/>
  <c r="L1101" i="1" s="1"/>
  <c r="J1101" i="1"/>
  <c r="AH1100" i="1"/>
  <c r="W1100" i="1"/>
  <c r="J1100" i="1"/>
  <c r="AH1099" i="1"/>
  <c r="W1099" i="1"/>
  <c r="J1099" i="1"/>
  <c r="W1098" i="1"/>
  <c r="AH1098" i="1"/>
  <c r="J1098" i="1"/>
  <c r="AH1097" i="1"/>
  <c r="W1097" i="1"/>
  <c r="J1097" i="1"/>
  <c r="W1096" i="1"/>
  <c r="K1096" i="1"/>
  <c r="L1096" i="1" s="1"/>
  <c r="J1096" i="1"/>
  <c r="W1095" i="1"/>
  <c r="K1095" i="1"/>
  <c r="AH1095" i="1" s="1"/>
  <c r="J1095" i="1"/>
  <c r="AH1094" i="1"/>
  <c r="W1094" i="1"/>
  <c r="J1094" i="1"/>
  <c r="AH1093" i="1"/>
  <c r="W1093" i="1"/>
  <c r="J1093" i="1"/>
  <c r="AH1092" i="1"/>
  <c r="W1092" i="1"/>
  <c r="J1092" i="1"/>
  <c r="AH1091" i="1"/>
  <c r="W1091" i="1"/>
  <c r="J1091" i="1"/>
  <c r="W1090" i="1"/>
  <c r="K1090" i="1"/>
  <c r="AH1090" i="1" s="1"/>
  <c r="J1090" i="1"/>
  <c r="AH1089" i="1"/>
  <c r="W1089" i="1"/>
  <c r="J1089" i="1"/>
  <c r="AH1088" i="1"/>
  <c r="W1088" i="1"/>
  <c r="J1088" i="1"/>
  <c r="W1087" i="1"/>
  <c r="L1087" i="1"/>
  <c r="J1087" i="1"/>
  <c r="W1086" i="1"/>
  <c r="AH1086" i="1"/>
  <c r="J1086" i="1"/>
  <c r="W1085" i="1"/>
  <c r="L1085" i="1"/>
  <c r="K1085" i="1"/>
  <c r="AH1085" i="1" s="1"/>
  <c r="J1085" i="1"/>
  <c r="W1084" i="1"/>
  <c r="L1084" i="1"/>
  <c r="J1084" i="1"/>
  <c r="AH1083" i="1"/>
  <c r="W1083" i="1"/>
  <c r="J1083" i="1"/>
  <c r="W1082" i="1"/>
  <c r="K1082" i="1"/>
  <c r="L1082" i="1" s="1"/>
  <c r="J1082" i="1"/>
  <c r="AH1081" i="1"/>
  <c r="W1081" i="1"/>
  <c r="J1081" i="1"/>
  <c r="AH1080" i="1"/>
  <c r="W1080" i="1"/>
  <c r="J1080" i="1"/>
  <c r="W1079" i="1"/>
  <c r="L1079" i="1"/>
  <c r="K1079" i="1"/>
  <c r="AH1079" i="1" s="1"/>
  <c r="J1079" i="1"/>
  <c r="AH1078" i="1"/>
  <c r="W1078" i="1"/>
  <c r="J1078" i="1"/>
  <c r="W1077" i="1"/>
  <c r="AH1077" i="1"/>
  <c r="J1077" i="1"/>
  <c r="AH1076" i="1"/>
  <c r="W1076" i="1"/>
  <c r="L1076" i="1"/>
  <c r="J1076" i="1"/>
  <c r="AH1075" i="1"/>
  <c r="W1075" i="1"/>
  <c r="J1075" i="1"/>
  <c r="W1074" i="1"/>
  <c r="K1074" i="1"/>
  <c r="AH1074" i="1" s="1"/>
  <c r="J1074" i="1"/>
  <c r="AH1073" i="1"/>
  <c r="W1073" i="1"/>
  <c r="L1073" i="1"/>
  <c r="J1073" i="1"/>
  <c r="W1072" i="1"/>
  <c r="L1072" i="1"/>
  <c r="K1072" i="1"/>
  <c r="AH1072" i="1" s="1"/>
  <c r="J1072" i="1"/>
  <c r="W1071" i="1"/>
  <c r="AH1071" i="1"/>
  <c r="J1071" i="1"/>
  <c r="W1070" i="1"/>
  <c r="K1070" i="1"/>
  <c r="AH1070" i="1" s="1"/>
  <c r="J1070" i="1"/>
  <c r="W1069" i="1"/>
  <c r="L1069" i="1"/>
  <c r="K1069" i="1"/>
  <c r="AH1069" i="1" s="1"/>
  <c r="J1069" i="1"/>
  <c r="W1068" i="1"/>
  <c r="L1068" i="1"/>
  <c r="K1068" i="1"/>
  <c r="AH1068" i="1" s="1"/>
  <c r="J1068" i="1"/>
  <c r="W1067" i="1"/>
  <c r="K1067" i="1"/>
  <c r="L1067" i="1" s="1"/>
  <c r="J1067" i="1"/>
  <c r="AH1066" i="1"/>
  <c r="W1066" i="1"/>
  <c r="J1066" i="1"/>
  <c r="AH1065" i="1"/>
  <c r="W1065" i="1"/>
  <c r="J1065" i="1"/>
  <c r="W1064" i="1"/>
  <c r="L1064" i="1"/>
  <c r="J1064" i="1"/>
  <c r="W1063" i="1"/>
  <c r="AH1063" i="1"/>
  <c r="J1063" i="1"/>
  <c r="W1062" i="1"/>
  <c r="L1062" i="1"/>
  <c r="K1062" i="1"/>
  <c r="AH1062" i="1" s="1"/>
  <c r="J1062" i="1"/>
  <c r="W1061" i="1"/>
  <c r="L1061" i="1"/>
  <c r="J1061" i="1"/>
  <c r="W1060" i="1"/>
  <c r="K1060" i="1"/>
  <c r="L1060" i="1" s="1"/>
  <c r="J1060" i="1"/>
  <c r="W1059" i="1"/>
  <c r="K1059" i="1"/>
  <c r="AH1059" i="1" s="1"/>
  <c r="J1059" i="1"/>
  <c r="AH1058" i="1"/>
  <c r="W1058" i="1"/>
  <c r="J1058" i="1"/>
  <c r="AH1057" i="1"/>
  <c r="W1057" i="1"/>
  <c r="J1057" i="1"/>
  <c r="AH1056" i="1"/>
  <c r="W1056" i="1"/>
  <c r="J1056" i="1"/>
  <c r="W1055" i="1"/>
  <c r="L1055" i="1"/>
  <c r="K1055" i="1"/>
  <c r="AH1055" i="1" s="1"/>
  <c r="J1055" i="1"/>
  <c r="W1054" i="1"/>
  <c r="K1054" i="1"/>
  <c r="L1054" i="1" s="1"/>
  <c r="J1054" i="1"/>
  <c r="W1053" i="1"/>
  <c r="K1053" i="1"/>
  <c r="L1053" i="1" s="1"/>
  <c r="J1053" i="1"/>
  <c r="AH1052" i="1"/>
  <c r="W1052" i="1"/>
  <c r="J1052" i="1"/>
  <c r="W1051" i="1"/>
  <c r="AH1051" i="1"/>
  <c r="J1051" i="1"/>
  <c r="W1050" i="1"/>
  <c r="N1050" i="1"/>
  <c r="M1050" i="1"/>
  <c r="AH1050" i="1"/>
  <c r="J1050" i="1"/>
  <c r="AH1049" i="1"/>
  <c r="W1049" i="1"/>
  <c r="J1049" i="1"/>
  <c r="W1048" i="1"/>
  <c r="L1048" i="1"/>
  <c r="K1048" i="1"/>
  <c r="AH1048" i="1" s="1"/>
  <c r="J1048" i="1"/>
  <c r="W1047" i="1"/>
  <c r="L1047" i="1"/>
  <c r="J1047" i="1"/>
  <c r="W1046" i="1"/>
  <c r="K1046" i="1"/>
  <c r="AH1046" i="1" s="1"/>
  <c r="J1046" i="1"/>
  <c r="AH1045" i="1"/>
  <c r="W1045" i="1"/>
  <c r="J1045" i="1"/>
  <c r="AH1044" i="1"/>
  <c r="W1044" i="1"/>
  <c r="J1044" i="1"/>
  <c r="W1043" i="1"/>
  <c r="AH1043" i="1"/>
  <c r="J1043" i="1"/>
  <c r="AH1042" i="1"/>
  <c r="J1042" i="1"/>
  <c r="AH1041" i="1"/>
  <c r="J1041" i="1"/>
  <c r="AH1040" i="1"/>
  <c r="J1040" i="1"/>
  <c r="AH1039" i="1"/>
  <c r="J1039" i="1"/>
  <c r="AH1038" i="1"/>
  <c r="W1038" i="1"/>
  <c r="J1038" i="1"/>
  <c r="AH1037" i="1"/>
  <c r="W1037" i="1"/>
  <c r="J1037" i="1"/>
  <c r="W1036" i="1"/>
  <c r="L1036" i="1"/>
  <c r="K1036" i="1"/>
  <c r="AH1036" i="1" s="1"/>
  <c r="J1036" i="1"/>
  <c r="W1035" i="1"/>
  <c r="K1035" i="1"/>
  <c r="L1035" i="1" s="1"/>
  <c r="J1035" i="1"/>
  <c r="AH1034" i="1"/>
  <c r="W1034" i="1"/>
  <c r="J1034" i="1"/>
  <c r="W1033" i="1"/>
  <c r="L1033" i="1"/>
  <c r="K1033" i="1"/>
  <c r="AH1033" i="1" s="1"/>
  <c r="J1033" i="1"/>
  <c r="AH1032" i="1"/>
  <c r="W1032" i="1"/>
  <c r="J1032" i="1"/>
  <c r="W1031" i="1"/>
  <c r="L1031" i="1"/>
  <c r="K1031" i="1"/>
  <c r="AH1031" i="1" s="1"/>
  <c r="J1031" i="1"/>
  <c r="W1030" i="1"/>
  <c r="L1030" i="1"/>
  <c r="J1030" i="1"/>
  <c r="W1029" i="1"/>
  <c r="L1029" i="1"/>
  <c r="J1029" i="1"/>
  <c r="W1028" i="1"/>
  <c r="L1028" i="1"/>
  <c r="J1028" i="1"/>
  <c r="AH1027" i="1"/>
  <c r="W1027" i="1"/>
  <c r="J1027" i="1"/>
  <c r="AH1026" i="1"/>
  <c r="W1026" i="1"/>
  <c r="J1026" i="1"/>
  <c r="W1025" i="1"/>
  <c r="L1025" i="1"/>
  <c r="K1025" i="1"/>
  <c r="AH1025" i="1" s="1"/>
  <c r="J1025" i="1"/>
  <c r="AH1024" i="1"/>
  <c r="W1024" i="1"/>
  <c r="J1024" i="1"/>
  <c r="AH1023" i="1"/>
  <c r="W1023" i="1"/>
  <c r="J1023" i="1"/>
  <c r="W1022" i="1"/>
  <c r="AH1022" i="1"/>
  <c r="J1022" i="1"/>
  <c r="W1021" i="1"/>
  <c r="AH1021" i="1"/>
  <c r="J1021" i="1"/>
  <c r="W1020" i="1"/>
  <c r="L1020" i="1"/>
  <c r="J1020" i="1"/>
  <c r="W1019" i="1"/>
  <c r="K1019" i="1"/>
  <c r="AH1019" i="1" s="1"/>
  <c r="J1019" i="1"/>
  <c r="AH1018" i="1"/>
  <c r="W1018" i="1"/>
  <c r="J1018" i="1"/>
  <c r="W1017" i="1"/>
  <c r="L1017" i="1"/>
  <c r="K1017" i="1"/>
  <c r="AH1017" i="1" s="1"/>
  <c r="J1017" i="1"/>
  <c r="AH1016" i="1"/>
  <c r="W1016" i="1"/>
  <c r="J1016" i="1"/>
  <c r="AH1015" i="1"/>
  <c r="W1015" i="1"/>
  <c r="J1015" i="1"/>
  <c r="AH1014" i="1"/>
  <c r="W1014" i="1"/>
  <c r="J1014" i="1"/>
  <c r="W1013" i="1"/>
  <c r="L1013" i="1"/>
  <c r="K1013" i="1"/>
  <c r="AH1013" i="1" s="1"/>
  <c r="J1013" i="1"/>
  <c r="W1012" i="1"/>
  <c r="L1012" i="1"/>
  <c r="J1012" i="1"/>
  <c r="W1011" i="1"/>
  <c r="AH1011" i="1"/>
  <c r="J1011" i="1"/>
  <c r="W1010" i="1"/>
  <c r="K1010" i="1"/>
  <c r="L1010" i="1" s="1"/>
  <c r="J1010" i="1"/>
  <c r="AH1009" i="1"/>
  <c r="W1009" i="1"/>
  <c r="J1009" i="1"/>
  <c r="AH1008" i="1"/>
  <c r="J1008" i="1"/>
  <c r="AH1007" i="1"/>
  <c r="W1007" i="1"/>
  <c r="J1007" i="1"/>
  <c r="AH1006" i="1"/>
  <c r="W1006" i="1"/>
  <c r="J1006" i="1"/>
  <c r="W1005" i="1"/>
  <c r="K1005" i="1"/>
  <c r="AH1005" i="1" s="1"/>
  <c r="J1005" i="1"/>
  <c r="AH1004" i="1"/>
  <c r="W1004" i="1"/>
  <c r="J1004" i="1"/>
  <c r="AH1003" i="1"/>
  <c r="W1003" i="1"/>
  <c r="J1003" i="1"/>
  <c r="AH1002" i="1"/>
  <c r="W1002" i="1"/>
  <c r="J1002" i="1"/>
  <c r="AH1001" i="1"/>
  <c r="W1001" i="1"/>
  <c r="J1001" i="1"/>
  <c r="W1000" i="1"/>
  <c r="K1000" i="1"/>
  <c r="AH1000" i="1" s="1"/>
  <c r="J1000" i="1"/>
  <c r="W999" i="1"/>
  <c r="K999" i="1"/>
  <c r="L999" i="1" s="1"/>
  <c r="J999" i="1"/>
  <c r="W998" i="1"/>
  <c r="K998" i="1"/>
  <c r="L998" i="1" s="1"/>
  <c r="J998" i="1"/>
  <c r="AH997" i="1"/>
  <c r="J997" i="1"/>
  <c r="AH996" i="1"/>
  <c r="J996" i="1"/>
  <c r="AH995" i="1"/>
  <c r="J995" i="1"/>
  <c r="W994" i="1"/>
  <c r="K994" i="1"/>
  <c r="AH994" i="1" s="1"/>
  <c r="J994" i="1"/>
  <c r="L993" i="1"/>
  <c r="K993" i="1"/>
  <c r="AH993" i="1" s="1"/>
  <c r="J993" i="1"/>
  <c r="K992" i="1"/>
  <c r="AH992" i="1" s="1"/>
  <c r="J992" i="1"/>
  <c r="W991" i="1"/>
  <c r="K991" i="1"/>
  <c r="AH991" i="1" s="1"/>
  <c r="J991" i="1"/>
  <c r="AH990" i="1"/>
  <c r="W990" i="1"/>
  <c r="J990" i="1"/>
  <c r="W989" i="1"/>
  <c r="L989" i="1"/>
  <c r="K989" i="1"/>
  <c r="AH989" i="1" s="1"/>
  <c r="J989" i="1"/>
  <c r="W988" i="1"/>
  <c r="L988" i="1"/>
  <c r="K988" i="1"/>
  <c r="AH988" i="1" s="1"/>
  <c r="J988" i="1"/>
  <c r="W987" i="1"/>
  <c r="K987" i="1"/>
  <c r="L987" i="1" s="1"/>
  <c r="J987" i="1"/>
  <c r="W986" i="1"/>
  <c r="AH986" i="1"/>
  <c r="J986" i="1"/>
  <c r="AH985" i="1"/>
  <c r="W985" i="1"/>
  <c r="J985" i="1"/>
  <c r="W984" i="1"/>
  <c r="L984" i="1"/>
  <c r="K984" i="1"/>
  <c r="AH984" i="1" s="1"/>
  <c r="J984" i="1"/>
  <c r="AH983" i="1"/>
  <c r="W983" i="1"/>
  <c r="J983" i="1"/>
  <c r="W982" i="1"/>
  <c r="K982" i="1"/>
  <c r="L982" i="1" s="1"/>
  <c r="J982" i="1"/>
  <c r="W981" i="1"/>
  <c r="AH981" i="1"/>
  <c r="J981" i="1"/>
  <c r="W980" i="1"/>
  <c r="K980" i="1"/>
  <c r="L980" i="1" s="1"/>
  <c r="J980" i="1"/>
  <c r="W979" i="1"/>
  <c r="AH979" i="1"/>
  <c r="J979" i="1"/>
  <c r="W978" i="1"/>
  <c r="L978" i="1"/>
  <c r="K978" i="1"/>
  <c r="AH978" i="1" s="1"/>
  <c r="J978" i="1"/>
  <c r="W977" i="1"/>
  <c r="L977" i="1"/>
  <c r="K977" i="1"/>
  <c r="AH977" i="1" s="1"/>
  <c r="J977" i="1"/>
  <c r="AH976" i="1"/>
  <c r="W976" i="1"/>
  <c r="J976" i="1"/>
  <c r="AH975" i="1"/>
  <c r="W975" i="1"/>
  <c r="J975" i="1"/>
  <c r="AH974" i="1"/>
  <c r="J974" i="1"/>
  <c r="AH973" i="1"/>
  <c r="J973" i="1"/>
  <c r="W972" i="1"/>
  <c r="K972" i="1"/>
  <c r="AH972" i="1" s="1"/>
  <c r="J972" i="1"/>
  <c r="AH971" i="1"/>
  <c r="W971" i="1"/>
  <c r="J971" i="1"/>
  <c r="AH970" i="1"/>
  <c r="W970" i="1"/>
  <c r="J970" i="1"/>
  <c r="W969" i="1"/>
  <c r="AH969" i="1"/>
  <c r="J969" i="1"/>
  <c r="W968" i="1"/>
  <c r="K968" i="1"/>
  <c r="AH968" i="1" s="1"/>
  <c r="J968" i="1"/>
  <c r="W967" i="1"/>
  <c r="K967" i="1"/>
  <c r="AH967" i="1" s="1"/>
  <c r="J967" i="1"/>
  <c r="AH966" i="1"/>
  <c r="W966" i="1"/>
  <c r="J966" i="1"/>
  <c r="W965" i="1"/>
  <c r="K965" i="1"/>
  <c r="AH965" i="1" s="1"/>
  <c r="J965" i="1"/>
  <c r="W964" i="1"/>
  <c r="K964" i="1"/>
  <c r="L964" i="1" s="1"/>
  <c r="J964" i="1"/>
  <c r="AH963" i="1"/>
  <c r="W963" i="1"/>
  <c r="J963" i="1"/>
  <c r="W962" i="1"/>
  <c r="L962" i="1"/>
  <c r="K962" i="1"/>
  <c r="AH962" i="1" s="1"/>
  <c r="J962" i="1"/>
  <c r="AH961" i="1"/>
  <c r="W961" i="1"/>
  <c r="J961" i="1"/>
  <c r="L960" i="1"/>
  <c r="K960" i="1"/>
  <c r="AH960" i="1" s="1"/>
  <c r="J960" i="1"/>
  <c r="AH959" i="1"/>
  <c r="J959" i="1"/>
  <c r="AH958" i="1"/>
  <c r="J958" i="1"/>
  <c r="L957" i="1"/>
  <c r="K957" i="1"/>
  <c r="AH957" i="1" s="1"/>
  <c r="J957" i="1"/>
  <c r="AH956" i="1"/>
  <c r="J956" i="1"/>
  <c r="AH955" i="1"/>
  <c r="J955" i="1"/>
  <c r="L954" i="1"/>
  <c r="J954" i="1"/>
  <c r="K953" i="1"/>
  <c r="AH953" i="1" s="1"/>
  <c r="J953" i="1"/>
  <c r="AH952" i="1"/>
  <c r="J952" i="1"/>
  <c r="L951" i="1"/>
  <c r="K951" i="1"/>
  <c r="AH951" i="1" s="1"/>
  <c r="J951" i="1"/>
  <c r="AH950" i="1"/>
  <c r="J950" i="1"/>
  <c r="AH949" i="1"/>
  <c r="J949" i="1"/>
  <c r="L948" i="1"/>
  <c r="K948" i="1"/>
  <c r="AH948" i="1" s="1"/>
  <c r="J948" i="1"/>
  <c r="K947" i="1"/>
  <c r="L947" i="1" s="1"/>
  <c r="J947" i="1"/>
  <c r="AH946" i="1"/>
  <c r="J946" i="1"/>
  <c r="AH945" i="1"/>
  <c r="J945" i="1"/>
  <c r="AH944" i="1"/>
  <c r="J944" i="1"/>
  <c r="J943" i="1"/>
  <c r="AH942" i="1"/>
  <c r="J942" i="1"/>
  <c r="AH941" i="1"/>
  <c r="J941" i="1"/>
  <c r="AH940" i="1"/>
  <c r="J940" i="1"/>
  <c r="AH939" i="1"/>
  <c r="J939" i="1"/>
  <c r="L938" i="1"/>
  <c r="K938" i="1"/>
  <c r="AH938" i="1" s="1"/>
  <c r="J938" i="1"/>
  <c r="AH937" i="1"/>
  <c r="J937" i="1"/>
  <c r="K936" i="1"/>
  <c r="AH936" i="1" s="1"/>
  <c r="J936" i="1"/>
  <c r="L935" i="1"/>
  <c r="K935" i="1"/>
  <c r="AH935" i="1" s="1"/>
  <c r="J935" i="1"/>
  <c r="L934" i="1"/>
  <c r="K934" i="1"/>
  <c r="AH934" i="1" s="1"/>
  <c r="J934" i="1"/>
  <c r="K933" i="1"/>
  <c r="L933" i="1" s="1"/>
  <c r="J933" i="1"/>
  <c r="L932" i="1"/>
  <c r="K932" i="1"/>
  <c r="AH932" i="1" s="1"/>
  <c r="J932" i="1"/>
  <c r="AH931" i="1"/>
  <c r="J931" i="1"/>
  <c r="AH930" i="1"/>
  <c r="J930" i="1"/>
  <c r="AH929" i="1"/>
  <c r="J929" i="1"/>
  <c r="K928" i="1"/>
  <c r="AH928" i="1" s="1"/>
  <c r="J928" i="1"/>
  <c r="AH927" i="1"/>
  <c r="J927" i="1"/>
  <c r="L926" i="1"/>
  <c r="K926" i="1"/>
  <c r="AH926" i="1" s="1"/>
  <c r="J926" i="1"/>
  <c r="AH925" i="1"/>
  <c r="J925" i="1"/>
  <c r="L924" i="1"/>
  <c r="J924" i="1"/>
  <c r="L923" i="1"/>
  <c r="J923" i="1"/>
  <c r="AH922" i="1"/>
  <c r="J922" i="1"/>
  <c r="AH921" i="1"/>
  <c r="J921" i="1"/>
  <c r="AH920" i="1"/>
  <c r="J920" i="1"/>
  <c r="AH919" i="1"/>
  <c r="J919" i="1"/>
  <c r="K918" i="1"/>
  <c r="J918" i="1"/>
  <c r="AH917" i="1"/>
  <c r="J917" i="1"/>
  <c r="AH916" i="1"/>
  <c r="J916" i="1"/>
  <c r="AH915" i="1"/>
  <c r="J915" i="1"/>
  <c r="AH914" i="1"/>
  <c r="J914" i="1"/>
  <c r="K913" i="1"/>
  <c r="L913" i="1" s="1"/>
  <c r="J913" i="1"/>
  <c r="K912" i="1"/>
  <c r="AH912" i="1" s="1"/>
  <c r="J912" i="1"/>
  <c r="AH911" i="1"/>
  <c r="J911" i="1"/>
  <c r="AH910" i="1"/>
  <c r="J910" i="1"/>
  <c r="AH909" i="1"/>
  <c r="J909" i="1"/>
  <c r="AH908" i="1"/>
  <c r="J908" i="1"/>
  <c r="AH907" i="1"/>
  <c r="J907" i="1"/>
  <c r="K906" i="1"/>
  <c r="AH906" i="1" s="1"/>
  <c r="J906" i="1"/>
  <c r="L905" i="1"/>
  <c r="K905" i="1"/>
  <c r="AH905" i="1" s="1"/>
  <c r="J905" i="1"/>
  <c r="K904" i="1"/>
  <c r="AH904" i="1" s="1"/>
  <c r="J904" i="1"/>
  <c r="L903" i="1"/>
  <c r="K903" i="1"/>
  <c r="AH903" i="1" s="1"/>
  <c r="J903" i="1"/>
  <c r="AH902" i="1"/>
  <c r="J902" i="1"/>
  <c r="K901" i="1"/>
  <c r="AH901" i="1" s="1"/>
  <c r="J901" i="1"/>
  <c r="AH900" i="1"/>
  <c r="J900" i="1"/>
  <c r="AH899" i="1"/>
  <c r="J899" i="1"/>
  <c r="AH898" i="1"/>
  <c r="J898" i="1"/>
  <c r="K897" i="1"/>
  <c r="L897" i="1" s="1"/>
  <c r="J897" i="1"/>
  <c r="AH896" i="1"/>
  <c r="J896" i="1"/>
  <c r="K895" i="1"/>
  <c r="AH895" i="1" s="1"/>
  <c r="J895" i="1"/>
  <c r="AH894" i="1"/>
  <c r="J894" i="1"/>
  <c r="AH893" i="1"/>
  <c r="J893" i="1"/>
  <c r="AH892" i="1"/>
  <c r="J892" i="1"/>
  <c r="AH891" i="1"/>
  <c r="J891" i="1"/>
  <c r="L890" i="1"/>
  <c r="J890" i="1"/>
  <c r="AH889" i="1"/>
  <c r="J889" i="1"/>
  <c r="L888" i="1"/>
  <c r="J888" i="1"/>
  <c r="AH887" i="1"/>
  <c r="J887" i="1"/>
  <c r="AH886" i="1"/>
  <c r="J886" i="1"/>
  <c r="AH885" i="1"/>
  <c r="J885" i="1"/>
  <c r="K884" i="1"/>
  <c r="L884" i="1" s="1"/>
  <c r="J884" i="1"/>
  <c r="L883" i="1"/>
  <c r="K883" i="1" s="1"/>
  <c r="AH883" i="1" s="1"/>
  <c r="J883" i="1"/>
  <c r="K882" i="1"/>
  <c r="AH882" i="1" s="1"/>
  <c r="J882" i="1"/>
  <c r="L881" i="1"/>
  <c r="K881" i="1"/>
  <c r="AH881" i="1" s="1"/>
  <c r="J881" i="1"/>
  <c r="K880" i="1"/>
  <c r="AH880" i="1" s="1"/>
  <c r="J880" i="1"/>
  <c r="AH879" i="1"/>
  <c r="J879" i="1"/>
  <c r="AH878" i="1"/>
  <c r="J878" i="1"/>
  <c r="K877" i="1"/>
  <c r="L877" i="1" s="1"/>
  <c r="J877" i="1"/>
  <c r="K876" i="1"/>
  <c r="J876" i="1"/>
  <c r="K875" i="1"/>
  <c r="AH875" i="1" s="1"/>
  <c r="J875" i="1"/>
  <c r="L874" i="1"/>
  <c r="K874" i="1"/>
  <c r="AH874" i="1" s="1"/>
  <c r="J874" i="1"/>
  <c r="AH873" i="1"/>
  <c r="J873" i="1"/>
  <c r="AH872" i="1"/>
  <c r="J872" i="1"/>
  <c r="AH871" i="1"/>
  <c r="J871" i="1"/>
  <c r="K870" i="1"/>
  <c r="AH870" i="1" s="1"/>
  <c r="J870" i="1"/>
  <c r="AH869" i="1"/>
  <c r="J869" i="1"/>
  <c r="K868" i="1"/>
  <c r="AH868" i="1" s="1"/>
  <c r="J868" i="1"/>
  <c r="AH867" i="1"/>
  <c r="J867" i="1"/>
  <c r="AH866" i="1"/>
  <c r="J866" i="1"/>
  <c r="K865" i="1"/>
  <c r="J865" i="1"/>
  <c r="AH864" i="1"/>
  <c r="J864" i="1"/>
  <c r="AH863" i="1"/>
  <c r="J863" i="1"/>
  <c r="AH862" i="1"/>
  <c r="J862" i="1"/>
  <c r="AH861" i="1"/>
  <c r="J861" i="1"/>
  <c r="AH860" i="1"/>
  <c r="J860" i="1"/>
  <c r="K859" i="1"/>
  <c r="AH859" i="1" s="1"/>
  <c r="J859" i="1"/>
  <c r="K858" i="1"/>
  <c r="J858" i="1"/>
  <c r="L857" i="1"/>
  <c r="K857" i="1"/>
  <c r="AH857" i="1" s="1"/>
  <c r="J857" i="1"/>
  <c r="AH856" i="1"/>
  <c r="J856" i="1"/>
  <c r="AH855" i="1"/>
  <c r="J855" i="1"/>
  <c r="J854" i="1"/>
  <c r="L853" i="1"/>
  <c r="K853" i="1"/>
  <c r="AH853" i="1" s="1"/>
  <c r="J853" i="1"/>
  <c r="AH852" i="1"/>
  <c r="J852" i="1"/>
  <c r="K851" i="1"/>
  <c r="J851" i="1"/>
  <c r="AH850" i="1"/>
  <c r="J850" i="1"/>
  <c r="L849" i="1"/>
  <c r="J849" i="1"/>
  <c r="AH848" i="1"/>
  <c r="J848" i="1"/>
  <c r="AH847" i="1"/>
  <c r="J847" i="1"/>
  <c r="AH846" i="1"/>
  <c r="J846" i="1"/>
  <c r="AH845" i="1"/>
  <c r="J845" i="1"/>
  <c r="AH844" i="1"/>
  <c r="J844" i="1"/>
  <c r="AH843" i="1"/>
  <c r="J843" i="1"/>
  <c r="AH842" i="1"/>
  <c r="J842" i="1"/>
  <c r="AH841" i="1"/>
  <c r="J841" i="1"/>
  <c r="AH840" i="1"/>
  <c r="J840" i="1"/>
  <c r="AH839" i="1"/>
  <c r="J839" i="1"/>
  <c r="AH838" i="1"/>
  <c r="J838" i="1"/>
  <c r="AH837" i="1"/>
  <c r="J837" i="1"/>
  <c r="AH836" i="1"/>
  <c r="J836" i="1"/>
  <c r="K835" i="1"/>
  <c r="AH835" i="1" s="1"/>
  <c r="J835" i="1"/>
  <c r="K834" i="1"/>
  <c r="L834" i="1" s="1"/>
  <c r="J834" i="1"/>
  <c r="H833" i="1"/>
  <c r="H1380" i="1" s="1"/>
  <c r="G833" i="1"/>
  <c r="AC821" i="1"/>
  <c r="AA821" i="1"/>
  <c r="Y821" i="1"/>
  <c r="W821" i="1"/>
  <c r="U821" i="1"/>
  <c r="S821" i="1"/>
  <c r="Q821" i="1"/>
  <c r="AC820" i="1"/>
  <c r="AA820" i="1"/>
  <c r="Y820" i="1"/>
  <c r="W820" i="1"/>
  <c r="U820" i="1"/>
  <c r="S820" i="1"/>
  <c r="Q820" i="1"/>
  <c r="AA818" i="1"/>
  <c r="Y818" i="1"/>
  <c r="W818" i="1"/>
  <c r="U818" i="1"/>
  <c r="S818" i="1"/>
  <c r="AA817" i="1"/>
  <c r="W817" i="1"/>
  <c r="U817" i="1"/>
  <c r="S817" i="1"/>
  <c r="AA816" i="1"/>
  <c r="U816" i="1"/>
  <c r="AC815" i="1"/>
  <c r="AA815" i="1"/>
  <c r="Y815" i="1"/>
  <c r="W815" i="1"/>
  <c r="U815" i="1"/>
  <c r="S815" i="1"/>
  <c r="Q815" i="1"/>
  <c r="AA814" i="1"/>
  <c r="W814" i="1"/>
  <c r="U814" i="1"/>
  <c r="S814" i="1"/>
  <c r="Q814" i="1"/>
  <c r="AC812" i="1"/>
  <c r="AA812" i="1"/>
  <c r="Y812" i="1"/>
  <c r="W812" i="1"/>
  <c r="U812" i="1"/>
  <c r="S812" i="1"/>
  <c r="Q812" i="1"/>
  <c r="AC811" i="1"/>
  <c r="AA811" i="1"/>
  <c r="Y811" i="1"/>
  <c r="W811" i="1"/>
  <c r="U811" i="1"/>
  <c r="S811" i="1"/>
  <c r="Q811" i="1"/>
  <c r="K811" i="1"/>
  <c r="L811" i="1" s="1"/>
  <c r="AA810" i="1"/>
  <c r="U810" i="1"/>
  <c r="S810" i="1"/>
  <c r="Q810" i="1"/>
  <c r="AC809" i="1"/>
  <c r="AA809" i="1"/>
  <c r="Y809" i="1"/>
  <c r="W809" i="1"/>
  <c r="U809" i="1"/>
  <c r="S809" i="1"/>
  <c r="Q809" i="1"/>
  <c r="AC808" i="1"/>
  <c r="AA808" i="1"/>
  <c r="Y808" i="1"/>
  <c r="W808" i="1"/>
  <c r="U808" i="1"/>
  <c r="S808" i="1"/>
  <c r="Q808" i="1"/>
  <c r="AC807" i="1"/>
  <c r="AA807" i="1"/>
  <c r="Y807" i="1"/>
  <c r="W807" i="1"/>
  <c r="U807" i="1"/>
  <c r="S807" i="1"/>
  <c r="Q807" i="1"/>
  <c r="AC806" i="1"/>
  <c r="AA806" i="1"/>
  <c r="Y806" i="1"/>
  <c r="W806" i="1"/>
  <c r="U806" i="1"/>
  <c r="S806" i="1"/>
  <c r="Q806" i="1"/>
  <c r="AC805" i="1"/>
  <c r="AA805" i="1"/>
  <c r="Y805" i="1"/>
  <c r="W805" i="1"/>
  <c r="U805" i="1"/>
  <c r="S805" i="1"/>
  <c r="Q805" i="1"/>
  <c r="AC804" i="1"/>
  <c r="AA804" i="1"/>
  <c r="Y804" i="1"/>
  <c r="W804" i="1"/>
  <c r="U804" i="1"/>
  <c r="S804" i="1"/>
  <c r="Q804" i="1"/>
  <c r="AC803" i="1"/>
  <c r="AA803" i="1"/>
  <c r="Y803" i="1"/>
  <c r="W803" i="1"/>
  <c r="U803" i="1"/>
  <c r="S803" i="1"/>
  <c r="Q803" i="1"/>
  <c r="AC802" i="1"/>
  <c r="AA802" i="1"/>
  <c r="Y802" i="1"/>
  <c r="W802" i="1"/>
  <c r="U802" i="1"/>
  <c r="S802" i="1"/>
  <c r="Q802" i="1"/>
  <c r="AC801" i="1"/>
  <c r="AA801" i="1"/>
  <c r="Y801" i="1"/>
  <c r="W801" i="1"/>
  <c r="U801" i="1"/>
  <c r="S801" i="1"/>
  <c r="Q801" i="1"/>
  <c r="AC800" i="1"/>
  <c r="AA800" i="1"/>
  <c r="Y800" i="1"/>
  <c r="W800" i="1"/>
  <c r="U800" i="1"/>
  <c r="S800" i="1"/>
  <c r="Q800" i="1"/>
  <c r="AC799" i="1"/>
  <c r="AA799" i="1"/>
  <c r="Y799" i="1"/>
  <c r="W799" i="1"/>
  <c r="U799" i="1"/>
  <c r="S799" i="1"/>
  <c r="Q799" i="1"/>
  <c r="AC796" i="1"/>
  <c r="AA796" i="1"/>
  <c r="Y796" i="1"/>
  <c r="W796" i="1"/>
  <c r="U796" i="1"/>
  <c r="S796" i="1"/>
  <c r="Q796" i="1"/>
  <c r="AC795" i="1"/>
  <c r="AA795" i="1"/>
  <c r="Y795" i="1"/>
  <c r="W795" i="1"/>
  <c r="U795" i="1"/>
  <c r="S795" i="1"/>
  <c r="Q795" i="1"/>
  <c r="K795" i="1"/>
  <c r="L795" i="1" s="1"/>
  <c r="H795" i="1"/>
  <c r="AC794" i="1"/>
  <c r="AA794" i="1"/>
  <c r="Y794" i="1"/>
  <c r="W794" i="1"/>
  <c r="U794" i="1"/>
  <c r="S794" i="1"/>
  <c r="Q794" i="1"/>
  <c r="K794" i="1"/>
  <c r="L794" i="1" s="1"/>
  <c r="H794" i="1"/>
  <c r="AC793" i="1"/>
  <c r="AA793" i="1"/>
  <c r="Y793" i="1"/>
  <c r="W793" i="1"/>
  <c r="U793" i="1"/>
  <c r="S793" i="1"/>
  <c r="Q793" i="1"/>
  <c r="AC792" i="1"/>
  <c r="AA792" i="1"/>
  <c r="Y792" i="1"/>
  <c r="W792" i="1"/>
  <c r="U792" i="1"/>
  <c r="S792" i="1"/>
  <c r="Q792" i="1"/>
  <c r="AC790" i="1"/>
  <c r="AA790" i="1"/>
  <c r="Y790" i="1"/>
  <c r="W790" i="1"/>
  <c r="U790" i="1"/>
  <c r="S790" i="1"/>
  <c r="Q790" i="1"/>
  <c r="AC789" i="1"/>
  <c r="AA789" i="1"/>
  <c r="Y789" i="1"/>
  <c r="W789" i="1"/>
  <c r="U789" i="1"/>
  <c r="S789" i="1"/>
  <c r="Q789" i="1"/>
  <c r="AC786" i="1"/>
  <c r="AA786" i="1"/>
  <c r="Y786" i="1"/>
  <c r="W786" i="1"/>
  <c r="U786" i="1"/>
  <c r="S786" i="1"/>
  <c r="Q786" i="1"/>
  <c r="AC785" i="1"/>
  <c r="AA785" i="1"/>
  <c r="Y785" i="1"/>
  <c r="W785" i="1"/>
  <c r="U785" i="1"/>
  <c r="S785" i="1"/>
  <c r="Q785" i="1"/>
  <c r="L785" i="1"/>
  <c r="H785" i="1"/>
  <c r="Y782" i="1"/>
  <c r="S782" i="1"/>
  <c r="Q782" i="1"/>
  <c r="Y781" i="1"/>
  <c r="S781" i="1"/>
  <c r="Q781" i="1"/>
  <c r="Y780" i="1"/>
  <c r="S780" i="1"/>
  <c r="Q780" i="1"/>
  <c r="AC779" i="1"/>
  <c r="AA779" i="1"/>
  <c r="Y779" i="1"/>
  <c r="W779" i="1"/>
  <c r="U779" i="1"/>
  <c r="S779" i="1"/>
  <c r="Q779" i="1"/>
  <c r="H779" i="1"/>
  <c r="AC778" i="1"/>
  <c r="AA778" i="1"/>
  <c r="Y778" i="1"/>
  <c r="W778" i="1"/>
  <c r="U778" i="1"/>
  <c r="S778" i="1"/>
  <c r="Q778" i="1"/>
  <c r="AC777" i="1"/>
  <c r="AA777" i="1"/>
  <c r="Y777" i="1"/>
  <c r="W777" i="1"/>
  <c r="U777" i="1"/>
  <c r="S777" i="1"/>
  <c r="Q777" i="1"/>
  <c r="AC776" i="1"/>
  <c r="AA776" i="1"/>
  <c r="Y776" i="1"/>
  <c r="W776" i="1"/>
  <c r="U776" i="1"/>
  <c r="S776" i="1"/>
  <c r="Q776" i="1"/>
  <c r="L776" i="1"/>
  <c r="J776" i="1"/>
  <c r="H776" i="1"/>
  <c r="AC775" i="1"/>
  <c r="AA775" i="1"/>
  <c r="Y775" i="1"/>
  <c r="W775" i="1"/>
  <c r="U775" i="1"/>
  <c r="S775" i="1"/>
  <c r="Q775" i="1"/>
  <c r="AC773" i="1"/>
  <c r="AA773" i="1"/>
  <c r="Y773" i="1"/>
  <c r="W773" i="1"/>
  <c r="U773" i="1"/>
  <c r="S773" i="1"/>
  <c r="Q773" i="1"/>
  <c r="AC772" i="1"/>
  <c r="AA772" i="1"/>
  <c r="Y772" i="1"/>
  <c r="W772" i="1"/>
  <c r="U772" i="1"/>
  <c r="S772" i="1"/>
  <c r="Q772" i="1"/>
  <c r="AC771" i="1"/>
  <c r="AA771" i="1"/>
  <c r="Y771" i="1"/>
  <c r="W771" i="1"/>
  <c r="U771" i="1"/>
  <c r="S771" i="1"/>
  <c r="Q771" i="1"/>
  <c r="AC769" i="1"/>
  <c r="AA769" i="1"/>
  <c r="Y769" i="1"/>
  <c r="W769" i="1"/>
  <c r="U769" i="1"/>
  <c r="S769" i="1"/>
  <c r="Q769" i="1"/>
  <c r="L759" i="1"/>
  <c r="L754" i="1"/>
  <c r="J753" i="1"/>
  <c r="L751" i="1"/>
  <c r="K748" i="1"/>
  <c r="L747" i="1"/>
  <c r="J747" i="1"/>
  <c r="H747" i="1"/>
  <c r="L743" i="1"/>
  <c r="K743" i="1"/>
  <c r="J743" i="1"/>
  <c r="H743" i="1"/>
  <c r="J742" i="1"/>
  <c r="AH740" i="1"/>
  <c r="AH738" i="1" s="1"/>
  <c r="AH739" i="1" s="1"/>
  <c r="J738" i="1"/>
  <c r="AH734" i="1"/>
  <c r="AH733" i="1" s="1"/>
  <c r="AH732" i="1" s="1"/>
  <c r="L734" i="1"/>
  <c r="L733" i="1" s="1"/>
  <c r="J734" i="1"/>
  <c r="H734" i="1"/>
  <c r="J732" i="1"/>
  <c r="L731" i="1"/>
  <c r="H731" i="1"/>
  <c r="L730" i="1"/>
  <c r="H730" i="1"/>
  <c r="L729" i="1"/>
  <c r="H729" i="1"/>
  <c r="L728" i="1"/>
  <c r="H728" i="1"/>
  <c r="L727" i="1"/>
  <c r="H727" i="1"/>
  <c r="L726" i="1"/>
  <c r="H726" i="1"/>
  <c r="K725" i="1"/>
  <c r="K724" i="1" s="1"/>
  <c r="J725" i="1"/>
  <c r="AH719" i="1"/>
  <c r="AH718" i="1" s="1"/>
  <c r="AH717" i="1" s="1"/>
  <c r="H719" i="1"/>
  <c r="AH711" i="1"/>
  <c r="AH710" i="1" s="1"/>
  <c r="L711" i="1"/>
  <c r="K711" i="1"/>
  <c r="J711" i="1"/>
  <c r="J708" i="1"/>
  <c r="J1618" i="1" s="1"/>
  <c r="H708" i="1"/>
  <c r="L708" i="1"/>
  <c r="L707" i="1" s="1"/>
  <c r="K708" i="1"/>
  <c r="K707" i="1" s="1"/>
  <c r="AH707" i="1"/>
  <c r="AH706" i="1"/>
  <c r="AH703" i="1" s="1"/>
  <c r="K706" i="1"/>
  <c r="H685" i="1"/>
  <c r="H684" i="1"/>
  <c r="H683" i="1"/>
  <c r="H682" i="1"/>
  <c r="H681" i="1"/>
  <c r="H680" i="1"/>
  <c r="H679" i="1"/>
  <c r="H678" i="1"/>
  <c r="H677" i="1"/>
  <c r="H676" i="1"/>
  <c r="H675" i="1"/>
  <c r="H674" i="1"/>
  <c r="H673" i="1"/>
  <c r="H672" i="1"/>
  <c r="H671" i="1"/>
  <c r="H670" i="1"/>
  <c r="H669" i="1"/>
  <c r="H668" i="1"/>
  <c r="H667" i="1"/>
  <c r="H666" i="1"/>
  <c r="H665" i="1"/>
  <c r="H664" i="1"/>
  <c r="H663" i="1"/>
  <c r="H662" i="1"/>
  <c r="H661" i="1"/>
  <c r="H660" i="1"/>
  <c r="H659" i="1"/>
  <c r="H658" i="1"/>
  <c r="H657" i="1"/>
  <c r="H656" i="1"/>
  <c r="H655" i="1"/>
  <c r="H654" i="1"/>
  <c r="H653" i="1"/>
  <c r="H652" i="1"/>
  <c r="H651" i="1"/>
  <c r="H650" i="1"/>
  <c r="H649" i="1"/>
  <c r="H648" i="1"/>
  <c r="H647" i="1"/>
  <c r="AH646" i="1"/>
  <c r="L646" i="1"/>
  <c r="K646" i="1"/>
  <c r="J646" i="1"/>
  <c r="J645" i="1" s="1"/>
  <c r="G646" i="1"/>
  <c r="AH645" i="1"/>
  <c r="L613" i="1"/>
  <c r="K613" i="1"/>
  <c r="L612" i="1"/>
  <c r="K612" i="1"/>
  <c r="AH611" i="1"/>
  <c r="AH610" i="1" s="1"/>
  <c r="J611" i="1"/>
  <c r="H611" i="1"/>
  <c r="G611" i="1"/>
  <c r="AA609" i="1"/>
  <c r="L572" i="1"/>
  <c r="K572" i="1"/>
  <c r="L570" i="1"/>
  <c r="K570" i="1"/>
  <c r="L561" i="1"/>
  <c r="K561" i="1"/>
  <c r="L559" i="1"/>
  <c r="K559" i="1"/>
  <c r="L550" i="1"/>
  <c r="K550" i="1"/>
  <c r="L546" i="1"/>
  <c r="K546" i="1"/>
  <c r="L544" i="1"/>
  <c r="K544" i="1"/>
  <c r="L541" i="1"/>
  <c r="K541" i="1"/>
  <c r="N538" i="1"/>
  <c r="M538" i="1"/>
  <c r="L538" i="1"/>
  <c r="K538" i="1"/>
  <c r="L537" i="1"/>
  <c r="K537" i="1"/>
  <c r="L535" i="1"/>
  <c r="K535" i="1"/>
  <c r="L534" i="1"/>
  <c r="K534" i="1"/>
  <c r="L533" i="1"/>
  <c r="K533" i="1"/>
  <c r="L532" i="1"/>
  <c r="K532" i="1"/>
  <c r="L531" i="1"/>
  <c r="K531" i="1"/>
  <c r="AH530" i="1"/>
  <c r="AH529" i="1" s="1"/>
  <c r="J529" i="1"/>
  <c r="H604" i="1"/>
  <c r="G530" i="1"/>
  <c r="G529" i="1"/>
  <c r="H528" i="1"/>
  <c r="L423" i="1"/>
  <c r="K423" i="1"/>
  <c r="L417" i="1"/>
  <c r="K417" i="1"/>
  <c r="L416" i="1"/>
  <c r="K416" i="1"/>
  <c r="L410" i="1"/>
  <c r="K410" i="1"/>
  <c r="L407" i="1"/>
  <c r="K407" i="1"/>
  <c r="L405" i="1"/>
  <c r="K405" i="1"/>
  <c r="L398" i="1"/>
  <c r="K398" i="1"/>
  <c r="L392" i="1"/>
  <c r="K392" i="1"/>
  <c r="L390" i="1"/>
  <c r="K390" i="1"/>
  <c r="L384" i="1"/>
  <c r="K384" i="1"/>
  <c r="L381" i="1"/>
  <c r="K381" i="1"/>
  <c r="L376" i="1"/>
  <c r="K376" i="1"/>
  <c r="L375" i="1"/>
  <c r="K375" i="1"/>
  <c r="N374" i="1"/>
  <c r="M374" i="1"/>
  <c r="L374" i="1"/>
  <c r="K374" i="1"/>
  <c r="L373" i="1"/>
  <c r="K373" i="1"/>
  <c r="L371" i="1"/>
  <c r="K371" i="1"/>
  <c r="L369" i="1"/>
  <c r="K369" i="1"/>
  <c r="L367" i="1"/>
  <c r="K367" i="1"/>
  <c r="L364" i="1"/>
  <c r="K364" i="1"/>
  <c r="L362" i="1"/>
  <c r="K362" i="1"/>
  <c r="L357" i="1"/>
  <c r="K357" i="1"/>
  <c r="L356" i="1"/>
  <c r="K356" i="1"/>
  <c r="L355" i="1"/>
  <c r="K355" i="1"/>
  <c r="L349" i="1"/>
  <c r="K349" i="1"/>
  <c r="L347" i="1"/>
  <c r="K347" i="1"/>
  <c r="L345" i="1"/>
  <c r="K345" i="1"/>
  <c r="L344" i="1"/>
  <c r="K344" i="1"/>
  <c r="L341" i="1"/>
  <c r="K341" i="1"/>
  <c r="L340" i="1"/>
  <c r="K340" i="1"/>
  <c r="L338" i="1"/>
  <c r="K338" i="1"/>
  <c r="L337" i="1"/>
  <c r="K337" i="1"/>
  <c r="L336" i="1"/>
  <c r="K336" i="1"/>
  <c r="L334" i="1"/>
  <c r="K334" i="1"/>
  <c r="L332" i="1"/>
  <c r="K332" i="1"/>
  <c r="L330" i="1"/>
  <c r="K330" i="1"/>
  <c r="L329" i="1"/>
  <c r="K329" i="1"/>
  <c r="L328" i="1"/>
  <c r="K328" i="1"/>
  <c r="N327" i="1"/>
  <c r="M327" i="1"/>
  <c r="L327" i="1"/>
  <c r="K327" i="1"/>
  <c r="L325" i="1"/>
  <c r="K325" i="1"/>
  <c r="L322" i="1"/>
  <c r="K322" i="1"/>
  <c r="L319" i="1"/>
  <c r="K319" i="1"/>
  <c r="L318" i="1"/>
  <c r="K318" i="1"/>
  <c r="L317" i="1"/>
  <c r="K317" i="1"/>
  <c r="AH316" i="1"/>
  <c r="AH315" i="1" s="1"/>
  <c r="J315" i="1"/>
  <c r="G315" i="1"/>
  <c r="J308" i="1"/>
  <c r="AH307" i="1"/>
  <c r="AH306" i="1" s="1"/>
  <c r="H307" i="1"/>
  <c r="H306" i="1" s="1"/>
  <c r="H305" i="1"/>
  <c r="AH303" i="1"/>
  <c r="AH302" i="1" s="1"/>
  <c r="L303" i="1"/>
  <c r="L302" i="1" s="1"/>
  <c r="K302" i="1"/>
  <c r="H294" i="1"/>
  <c r="J294" i="1" s="1"/>
  <c r="L291" i="1"/>
  <c r="K291" i="1"/>
  <c r="H288"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AH223" i="1"/>
  <c r="AH222" i="1" s="1"/>
  <c r="K223" i="1"/>
  <c r="K222" i="1" s="1"/>
  <c r="J223" i="1"/>
  <c r="H223" i="1"/>
  <c r="AH2" i="1"/>
  <c r="L2" i="1"/>
  <c r="K2" i="1"/>
  <c r="J2" i="1"/>
  <c r="L530" i="1" l="1"/>
  <c r="K316" i="1"/>
  <c r="K315" i="1" s="1"/>
  <c r="K530" i="1"/>
  <c r="K740" i="1"/>
  <c r="K739" i="1" s="1"/>
  <c r="K738" i="1" s="1"/>
  <c r="L740" i="1"/>
  <c r="L739" i="1" s="1"/>
  <c r="L738" i="1" s="1"/>
  <c r="J740" i="1"/>
  <c r="J314" i="1"/>
  <c r="J609" i="1"/>
  <c r="K1593" i="1"/>
  <c r="K1615" i="1" s="1"/>
  <c r="AH1117" i="1"/>
  <c r="AH1125" i="1"/>
  <c r="L1177" i="1"/>
  <c r="AH1273" i="1"/>
  <c r="L1021" i="1"/>
  <c r="L1019" i="1"/>
  <c r="AH1061" i="1"/>
  <c r="K1382" i="1"/>
  <c r="K1381" i="1" s="1"/>
  <c r="L1465" i="1"/>
  <c r="AH834" i="1"/>
  <c r="L1071" i="1"/>
  <c r="L1098" i="1"/>
  <c r="AH954" i="1"/>
  <c r="L940" i="1"/>
  <c r="J1612" i="1"/>
  <c r="AH1229" i="1"/>
  <c r="AH1564" i="1"/>
  <c r="AH1552" i="1" s="1"/>
  <c r="AH1551" i="1" s="1"/>
  <c r="L848" i="1"/>
  <c r="L922" i="1"/>
  <c r="L994" i="1"/>
  <c r="L1266" i="1"/>
  <c r="L835" i="1"/>
  <c r="AH1291" i="1"/>
  <c r="AH1367" i="1"/>
  <c r="AH877" i="1"/>
  <c r="AH884" i="1"/>
  <c r="AH1202" i="1"/>
  <c r="AH1256" i="1"/>
  <c r="AH1277" i="1"/>
  <c r="AH1318" i="1"/>
  <c r="L868" i="1"/>
  <c r="L1005" i="1"/>
  <c r="AH1010" i="1"/>
  <c r="AH1012" i="1"/>
  <c r="AH1298" i="1"/>
  <c r="L1448" i="1"/>
  <c r="AH982" i="1"/>
  <c r="AH1028" i="1"/>
  <c r="AH1105" i="1"/>
  <c r="AH1448" i="1"/>
  <c r="AH1382" i="1" s="1"/>
  <c r="AH1381" i="1" s="1"/>
  <c r="AH980" i="1"/>
  <c r="AH1310" i="1"/>
  <c r="L1340" i="1"/>
  <c r="AH1353" i="1"/>
  <c r="AH998" i="1"/>
  <c r="AH1101" i="1"/>
  <c r="L906" i="1"/>
  <c r="J1615" i="1"/>
  <c r="L611" i="1"/>
  <c r="AH924" i="1"/>
  <c r="AH933" i="1"/>
  <c r="L942" i="1"/>
  <c r="AH1054" i="1"/>
  <c r="AH1362" i="1"/>
  <c r="L1143" i="1"/>
  <c r="L1302" i="1"/>
  <c r="K611" i="1"/>
  <c r="AH947" i="1"/>
  <c r="L1022" i="1"/>
  <c r="L1090" i="1"/>
  <c r="L1095" i="1"/>
  <c r="AH1269" i="1"/>
  <c r="AH1305" i="1"/>
  <c r="AH1197" i="1"/>
  <c r="AH1593" i="1"/>
  <c r="AH1615" i="1" s="1"/>
  <c r="K308" i="1"/>
  <c r="K306" i="1" s="1"/>
  <c r="AH964" i="1"/>
  <c r="L991" i="1"/>
  <c r="AH1155" i="1"/>
  <c r="K529" i="1"/>
  <c r="AH609" i="1"/>
  <c r="AH1029" i="1"/>
  <c r="AH1047" i="1"/>
  <c r="AH1134" i="1"/>
  <c r="L1261" i="1"/>
  <c r="L1309" i="1"/>
  <c r="L1373" i="1"/>
  <c r="AH888" i="1"/>
  <c r="AH1205" i="1"/>
  <c r="AH1255" i="1"/>
  <c r="AH849" i="1"/>
  <c r="L1552" i="1"/>
  <c r="L1551" i="1" s="1"/>
  <c r="L223" i="1"/>
  <c r="L222" i="1"/>
  <c r="K723" i="1"/>
  <c r="L892" i="1"/>
  <c r="L895" i="1"/>
  <c r="AH897" i="1"/>
  <c r="J610" i="1"/>
  <c r="H725" i="1"/>
  <c r="J833" i="1"/>
  <c r="G610" i="1"/>
  <c r="H646" i="1"/>
  <c r="J1611" i="1" s="1"/>
  <c r="AH890" i="1"/>
  <c r="L1180" i="1"/>
  <c r="L1241" i="1"/>
  <c r="AH1374" i="1"/>
  <c r="AH1214" i="1"/>
  <c r="L1253" i="1"/>
  <c r="L967" i="1"/>
  <c r="H291" i="1"/>
  <c r="AH314" i="1"/>
  <c r="AH1611" i="1" s="1"/>
  <c r="L880" i="1"/>
  <c r="L882" i="1"/>
  <c r="L891" i="1"/>
  <c r="AH913" i="1"/>
  <c r="AH923" i="1"/>
  <c r="L936" i="1"/>
  <c r="L953" i="1"/>
  <c r="L965" i="1"/>
  <c r="L981" i="1"/>
  <c r="AH1053" i="1"/>
  <c r="AH1064" i="1"/>
  <c r="AH1139" i="1"/>
  <c r="AH1162" i="1"/>
  <c r="AH1169" i="1"/>
  <c r="L1285" i="1"/>
  <c r="J291" i="1"/>
  <c r="J290" i="1" s="1"/>
  <c r="J289" i="1" s="1"/>
  <c r="J1610" i="1" s="1"/>
  <c r="L316" i="1"/>
  <c r="L315" i="1" s="1"/>
  <c r="AH999" i="1"/>
  <c r="AH1020" i="1"/>
  <c r="AH1030" i="1"/>
  <c r="AH1060" i="1"/>
  <c r="AH1251" i="1"/>
  <c r="L1164" i="1"/>
  <c r="AH724" i="1"/>
  <c r="AH723" i="1" s="1"/>
  <c r="AH1612" i="1" s="1"/>
  <c r="L946" i="1"/>
  <c r="L956" i="1"/>
  <c r="AH1067" i="1"/>
  <c r="AH1109" i="1"/>
  <c r="AH1122" i="1"/>
  <c r="AH1082" i="1"/>
  <c r="AH1096" i="1"/>
  <c r="AH1107" i="1"/>
  <c r="L1593" i="1"/>
  <c r="H1611" i="1"/>
  <c r="H1619" i="1" s="1"/>
  <c r="H1617" i="1"/>
  <c r="AH1610" i="1"/>
  <c r="AH725" i="1"/>
  <c r="AH851" i="1"/>
  <c r="L851" i="1"/>
  <c r="L901" i="1"/>
  <c r="L904" i="1"/>
  <c r="L912" i="1"/>
  <c r="L916" i="1"/>
  <c r="AH943" i="1"/>
  <c r="L943" i="1"/>
  <c r="L1059" i="1"/>
  <c r="L1070" i="1"/>
  <c r="H740" i="1"/>
  <c r="K1610" i="1"/>
  <c r="M1610" i="1" s="1"/>
  <c r="L725" i="1"/>
  <c r="L986" i="1"/>
  <c r="AH865" i="1"/>
  <c r="L865" i="1"/>
  <c r="L852" i="1"/>
  <c r="L944" i="1"/>
  <c r="L992" i="1"/>
  <c r="L1130" i="1"/>
  <c r="L1112" i="1"/>
  <c r="AH1115" i="1"/>
  <c r="L844" i="1"/>
  <c r="L866" i="1"/>
  <c r="AH918" i="1"/>
  <c r="L918" i="1"/>
  <c r="L1086" i="1"/>
  <c r="L870" i="1"/>
  <c r="L878" i="1"/>
  <c r="L955" i="1"/>
  <c r="L968" i="1"/>
  <c r="AH858" i="1"/>
  <c r="L858" i="1"/>
  <c r="AH987" i="1"/>
  <c r="L1000" i="1"/>
  <c r="L1046" i="1"/>
  <c r="L1063" i="1"/>
  <c r="L1074" i="1"/>
  <c r="L1121" i="1"/>
  <c r="L1140" i="1"/>
  <c r="L1160" i="1"/>
  <c r="L529" i="1"/>
  <c r="L706" i="1"/>
  <c r="K833" i="1"/>
  <c r="K832" i="1" s="1"/>
  <c r="L875" i="1"/>
  <c r="L972" i="1"/>
  <c r="AH854" i="1"/>
  <c r="L854" i="1"/>
  <c r="L859" i="1"/>
  <c r="L928" i="1"/>
  <c r="L931" i="1"/>
  <c r="AH1035" i="1"/>
  <c r="AH1084" i="1"/>
  <c r="L1161" i="1"/>
  <c r="AH1161" i="1"/>
  <c r="AH876" i="1"/>
  <c r="L876" i="1"/>
  <c r="AH1087" i="1"/>
  <c r="K1552" i="1"/>
  <c r="K1551" i="1" s="1"/>
  <c r="L1187" i="1"/>
  <c r="L1191" i="1"/>
  <c r="L1198" i="1"/>
  <c r="L1226" i="1"/>
  <c r="L1230" i="1"/>
  <c r="L1258" i="1"/>
  <c r="L1267" i="1"/>
  <c r="L1274" i="1"/>
  <c r="L1363" i="1"/>
  <c r="L1371" i="1"/>
  <c r="L1279" i="1"/>
  <c r="L1292" i="1"/>
  <c r="L1300" i="1"/>
  <c r="L1304" i="1"/>
  <c r="L1355" i="1"/>
  <c r="L1184" i="1"/>
  <c r="L1192" i="1"/>
  <c r="L1199" i="1"/>
  <c r="L1231" i="1"/>
  <c r="L1236" i="1"/>
  <c r="L1244" i="1"/>
  <c r="L1272" i="1"/>
  <c r="L1321" i="1"/>
  <c r="L1334" i="1"/>
  <c r="L1343" i="1"/>
  <c r="L1361" i="1"/>
  <c r="L1364" i="1"/>
  <c r="L1376" i="1"/>
  <c r="L1505" i="1"/>
  <c r="J1617" i="1" l="1"/>
  <c r="J1619" i="1" s="1"/>
  <c r="K307" i="1"/>
  <c r="L1382" i="1"/>
  <c r="L1381" i="1" s="1"/>
  <c r="K1618" i="1"/>
  <c r="M1618" i="1" s="1"/>
  <c r="AH1618" i="1"/>
  <c r="AH1617" i="1"/>
  <c r="K1612" i="1"/>
  <c r="M1612" i="1" s="1"/>
  <c r="L308" i="1"/>
  <c r="L307" i="1" s="1"/>
  <c r="AH833" i="1"/>
  <c r="AH832" i="1" s="1"/>
  <c r="AH1614" i="1" s="1"/>
  <c r="L314" i="1"/>
  <c r="L1610" i="1"/>
  <c r="K314" i="1"/>
  <c r="K1617" i="1" s="1"/>
  <c r="M1617" i="1" s="1"/>
  <c r="K1614" i="1"/>
  <c r="M1614" i="1" s="1"/>
  <c r="L833" i="1"/>
  <c r="L832" i="1" s="1"/>
  <c r="L724" i="1"/>
  <c r="L723" i="1"/>
  <c r="L1612" i="1" s="1"/>
  <c r="L1614" i="1" l="1"/>
  <c r="AH1619" i="1"/>
  <c r="K1611" i="1"/>
  <c r="M1611" i="1" s="1"/>
  <c r="L306" i="1"/>
  <c r="L1617" i="1" s="1"/>
  <c r="K1619" i="1"/>
  <c r="M1619" i="1" s="1"/>
  <c r="L1618" i="1"/>
  <c r="L1611" i="1" l="1"/>
  <c r="L16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Claudia Pipera</author>
    <author/>
    <author>Gina</author>
    <author>Ioana Sandu</author>
    <author>Cristina Ioana CRAINIC</author>
    <author>Gabriela Mirea</author>
  </authors>
  <commentList>
    <comment ref="K192" authorId="0" shapeId="0" xr:uid="{00000000-0006-0000-0000-000001000000}">
      <text>
        <r>
          <rPr>
            <b/>
            <sz val="9"/>
            <color indexed="81"/>
            <rFont val="Tahoma"/>
            <family val="2"/>
          </rPr>
          <t>Claudia Pipera:</t>
        </r>
        <r>
          <rPr>
            <sz val="9"/>
            <color indexed="81"/>
            <rFont val="Tahoma"/>
            <family val="2"/>
          </rPr>
          <t xml:space="preserve">
Sumele vor fi defalcate pe contracte de finanțare luna viitoare
+OP nr. 878/15.02.2024
</t>
        </r>
      </text>
    </comment>
    <comment ref="K223" authorId="0" shapeId="0" xr:uid="{00000000-0006-0000-0000-000002000000}">
      <text>
        <r>
          <rPr>
            <b/>
            <sz val="9"/>
            <color indexed="81"/>
            <rFont val="Tahoma"/>
            <family val="2"/>
          </rPr>
          <t>Claudia Pipera:</t>
        </r>
        <r>
          <rPr>
            <sz val="9"/>
            <color indexed="81"/>
            <rFont val="Tahoma"/>
            <family val="2"/>
          </rPr>
          <t xml:space="preserve">
Sumele vor fi defalcate pe contracte de finanțare luna viitoare
+OP nr. 878/15.02.2024
+OP nr. 958/20.02.2024</t>
        </r>
      </text>
    </comment>
    <comment ref="B315" authorId="1" shapeId="0" xr:uid="{00000000-0006-0000-0000-000003000000}">
      <text>
        <r>
          <rPr>
            <sz val="11"/>
            <color rgb="FF000000"/>
            <rFont val="Calibri"/>
            <family val="2"/>
          </rPr>
          <t>Comment:
    Subinvestiția I.1.A</t>
        </r>
      </text>
    </comment>
    <comment ref="C315" authorId="1" shapeId="0" xr:uid="{00000000-0006-0000-0000-000004000000}">
      <text>
        <r>
          <rPr>
            <sz val="11"/>
            <color rgb="FF000000"/>
            <rFont val="Calibri"/>
            <family val="2"/>
          </rPr>
          <t>Comment:
    "Sprijin pentru Investiții în noi suprafețe ocupate de 
păduri” -potrivit Ghidului publicat pe site-ul MMAP</t>
        </r>
      </text>
    </comment>
    <comment ref="E317" authorId="2" shapeId="0" xr:uid="{00000000-0006-0000-0000-000005000000}">
      <text>
        <r>
          <rPr>
            <b/>
            <sz val="9"/>
            <color rgb="FF000000"/>
            <rFont val="Tahoma"/>
            <family val="2"/>
          </rPr>
          <t>Gina:</t>
        </r>
        <r>
          <rPr>
            <sz val="9"/>
            <color rgb="FF000000"/>
            <rFont val="Tahoma"/>
            <family val="2"/>
          </rPr>
          <t xml:space="preserve">
se va mentiona si tinta, intrucat T25 si T 26 au termene diferite</t>
        </r>
      </text>
    </comment>
    <comment ref="B529" authorId="1" shapeId="0" xr:uid="{00000000-0006-0000-0000-000006000000}">
      <text>
        <r>
          <rPr>
            <sz val="11"/>
            <color rgb="FF000000"/>
            <rFont val="Calibri"/>
            <family val="2"/>
          </rPr>
          <t>Comment:
    Subinvestiția I.1.B</t>
        </r>
      </text>
    </comment>
    <comment ref="C529" authorId="1" shapeId="0" xr:uid="{00000000-0006-0000-0000-000007000000}">
      <text>
        <r>
          <rPr>
            <sz val="11"/>
            <color rgb="FF000000"/>
            <rFont val="Calibri"/>
            <family val="2"/>
          </rPr>
          <t>Comment:
    "Sprijin pentru refacerea potențialului forestier 
afectat de incendii, de fenomene meteorologice nefavorabile care pot fi asimilate unei calamități 
naturale, de infestări ale plantelor cu organisme dăunătoare și de evenimente catastrofale”</t>
        </r>
      </text>
    </comment>
    <comment ref="C704" authorId="1" shapeId="0" xr:uid="{00000000-0006-0000-0000-000008000000}">
      <text>
        <r>
          <rPr>
            <sz val="11"/>
            <color rgb="FF000000"/>
            <rFont val="Calibri"/>
            <family val="2"/>
          </rPr>
          <t>Comment:
    Se vor completa coloanele P-AC</t>
        </r>
      </text>
    </comment>
    <comment ref="E708" authorId="2" shapeId="0" xr:uid="{00000000-0006-0000-0000-000009000000}">
      <text>
        <r>
          <rPr>
            <b/>
            <sz val="9"/>
            <color rgb="FF000000"/>
            <rFont val="Tahoma"/>
            <family val="2"/>
          </rPr>
          <t>Gina:</t>
        </r>
        <r>
          <rPr>
            <sz val="9"/>
            <color rgb="FF000000"/>
            <rFont val="Tahoma"/>
            <family val="2"/>
          </rPr>
          <t xml:space="preserve">
se va mentiona un singur Jalon, intrucat cele doua jaloane au termene diferite</t>
        </r>
        <r>
          <rPr>
            <sz val="9"/>
            <color rgb="FF000000"/>
            <rFont val="Tahoma"/>
            <family val="2"/>
          </rPr>
          <t xml:space="preserve">
Angelica: ordinul de finanțare pentru această subinvstiție este pentru ambele jaloane, 34 și 35</t>
        </r>
      </text>
    </comment>
    <comment ref="H709" authorId="3" shapeId="0" xr:uid="{00000000-0006-0000-0000-00000A000000}">
      <text>
        <r>
          <rPr>
            <b/>
            <sz val="9"/>
            <color indexed="81"/>
            <rFont val="Tahoma"/>
            <family val="2"/>
          </rPr>
          <t>Ioana Sandu:</t>
        </r>
        <r>
          <rPr>
            <sz val="9"/>
            <color indexed="81"/>
            <rFont val="Tahoma"/>
            <family val="2"/>
          </rPr>
          <t xml:space="preserve">
corectare eroare conversie curs valutar</t>
        </r>
      </text>
    </comment>
    <comment ref="H711" authorId="1" shapeId="0" xr:uid="{00000000-0006-0000-0000-00000B000000}">
      <text>
        <r>
          <rPr>
            <sz val="11"/>
            <color rgb="FF000000"/>
            <rFont val="Calibri"/>
            <family val="2"/>
          </rPr>
          <t>Comment:
    Se va mentiona bugetul PNRR alocat</t>
        </r>
      </text>
    </comment>
    <comment ref="H712" authorId="1" shapeId="0" xr:uid="{00000000-0006-0000-0000-00000C000000}">
      <text>
        <r>
          <rPr>
            <sz val="11"/>
            <color rgb="FF000000"/>
            <rFont val="Calibri"/>
            <family val="2"/>
          </rPr>
          <t>Comment:
    Se va mentiona Bugetul PNRR alocat</t>
        </r>
      </text>
    </comment>
    <comment ref="K725" authorId="0" shapeId="0" xr:uid="{00000000-0006-0000-0000-00000D000000}">
      <text>
        <r>
          <rPr>
            <b/>
            <sz val="9"/>
            <color indexed="81"/>
            <rFont val="Tahoma"/>
            <family val="2"/>
          </rPr>
          <t>Claudia Pipera:</t>
        </r>
        <r>
          <rPr>
            <sz val="9"/>
            <color indexed="81"/>
            <rFont val="Tahoma"/>
            <family val="2"/>
          </rPr>
          <t xml:space="preserve">
OP 6468/18.12.2023 și OP 6568/20.12.2023
Op nr. 227/16.01.2024
OP nr. 876/16.02.2024
</t>
        </r>
      </text>
    </comment>
    <comment ref="K739" authorId="3" shapeId="0" xr:uid="{00000000-0006-0000-0000-00000E000000}">
      <text>
        <r>
          <rPr>
            <b/>
            <sz val="9"/>
            <color indexed="81"/>
            <rFont val="Tahoma"/>
            <family val="2"/>
          </rPr>
          <t>Ioana Sandu:</t>
        </r>
        <r>
          <rPr>
            <sz val="9"/>
            <color indexed="81"/>
            <rFont val="Tahoma"/>
            <family val="2"/>
          </rPr>
          <t xml:space="preserve">
op5818/17.11.2023</t>
        </r>
      </text>
    </comment>
    <comment ref="L739" authorId="4" shapeId="0" xr:uid="{00000000-0006-0000-0000-00000F000000}">
      <text>
        <r>
          <rPr>
            <b/>
            <sz val="9"/>
            <color indexed="81"/>
            <rFont val="Tahoma"/>
            <family val="2"/>
          </rPr>
          <t>Cristina Ioana CRAINIC:</t>
        </r>
        <r>
          <rPr>
            <sz val="9"/>
            <color indexed="81"/>
            <rFont val="Tahoma"/>
            <family val="2"/>
          </rPr>
          <t xml:space="preserve">
OP 4921/05.10.2023în valoare de 1881968.01 lei</t>
        </r>
      </text>
    </comment>
    <comment ref="C740" authorId="1" shapeId="0" xr:uid="{00000000-0006-0000-0000-000010000000}">
      <text>
        <r>
          <rPr>
            <sz val="11"/>
            <color rgb="FF000000"/>
            <rFont val="Calibri"/>
            <family val="2"/>
          </rPr>
          <t xml:space="preserve">Comment:
    Se vor introduce pe randuri separate toate contractele: de servicii, executie lucrări, etc. </t>
        </r>
      </text>
    </comment>
    <comment ref="P740" authorId="5" shapeId="0" xr:uid="{00000000-0006-0000-0000-000011000000}">
      <text>
        <r>
          <rPr>
            <b/>
            <sz val="9"/>
            <color indexed="81"/>
            <rFont val="Tahoma"/>
            <family val="2"/>
          </rPr>
          <t>Gabriela Mirea:</t>
        </r>
        <r>
          <rPr>
            <sz val="9"/>
            <color indexed="81"/>
            <rFont val="Tahoma"/>
            <family val="2"/>
          </rPr>
          <t xml:space="preserve">
fara SF, conf raportarii dl Robu Daniel</t>
        </r>
      </text>
    </comment>
    <comment ref="H753" authorId="3" shapeId="0" xr:uid="{00000000-0006-0000-0000-000012000000}">
      <text>
        <r>
          <rPr>
            <b/>
            <sz val="9"/>
            <color indexed="81"/>
            <rFont val="Tahoma"/>
            <family val="2"/>
          </rPr>
          <t>Ioana Sandu:</t>
        </r>
        <r>
          <rPr>
            <sz val="9"/>
            <color indexed="81"/>
            <rFont val="Tahoma"/>
            <family val="2"/>
          </rPr>
          <t xml:space="preserve">
sunt contracte semnate si livrate inainte de pnrr, platite din bugetul de stat dar care contribuie la realizarea jalonului</t>
        </r>
      </text>
    </comment>
    <comment ref="H776" authorId="3" shapeId="0" xr:uid="{00000000-0006-0000-0000-000013000000}">
      <text>
        <r>
          <rPr>
            <b/>
            <sz val="9"/>
            <color indexed="81"/>
            <rFont val="Tahoma"/>
            <family val="2"/>
          </rPr>
          <t>Ioana Sandu:</t>
        </r>
        <r>
          <rPr>
            <sz val="9"/>
            <color indexed="81"/>
            <rFont val="Tahoma"/>
            <family val="2"/>
          </rPr>
          <t xml:space="preserve">
s-a platit doar DHNS din PNRR)</t>
        </r>
      </text>
    </comment>
    <comment ref="C787" authorId="3" shapeId="0" xr:uid="{00000000-0006-0000-0000-000014000000}">
      <text>
        <r>
          <rPr>
            <b/>
            <sz val="9"/>
            <color indexed="81"/>
            <rFont val="Tahoma"/>
            <family val="2"/>
          </rPr>
          <t>Ioana Sandu:</t>
        </r>
        <r>
          <rPr>
            <sz val="9"/>
            <color indexed="81"/>
            <rFont val="Tahoma"/>
            <family val="2"/>
          </rPr>
          <t xml:space="preserve">
corectare eroare - contract executie nu dirigentie</t>
        </r>
      </text>
    </comment>
    <comment ref="H791" authorId="3" shapeId="0" xr:uid="{00000000-0006-0000-0000-000015000000}">
      <text>
        <r>
          <rPr>
            <b/>
            <sz val="9"/>
            <color indexed="81"/>
            <rFont val="Tahoma"/>
            <family val="2"/>
          </rPr>
          <t>Ioana Sandu:</t>
        </r>
        <r>
          <rPr>
            <sz val="9"/>
            <color indexed="81"/>
            <rFont val="Tahoma"/>
            <family val="2"/>
          </rPr>
          <t xml:space="preserve">
Contract asociat unui memoriu justificativ aflat în lucru la nivelul DGPNRR. Situația contractului va fi clarificată la următoarea raportare</t>
        </r>
      </text>
    </comment>
    <comment ref="J791" authorId="3" shapeId="0" xr:uid="{00000000-0006-0000-0000-000016000000}">
      <text>
        <r>
          <rPr>
            <b/>
            <sz val="9"/>
            <color indexed="81"/>
            <rFont val="Tahoma"/>
            <family val="2"/>
          </rPr>
          <t>Ioana Sandu:</t>
        </r>
        <r>
          <rPr>
            <sz val="9"/>
            <color indexed="81"/>
            <rFont val="Tahoma"/>
            <family val="2"/>
          </rPr>
          <t xml:space="preserve">
Contract asociat unui memoriu justificativ aflat în lucru la nivelul DGPNRR. Situația contractului va fi clarificată la următoarea raportare</t>
        </r>
      </text>
    </comment>
    <comment ref="A794" authorId="3" shapeId="0" xr:uid="{00000000-0006-0000-0000-000017000000}">
      <text>
        <r>
          <rPr>
            <b/>
            <sz val="9"/>
            <color indexed="81"/>
            <rFont val="Tahoma"/>
            <family val="2"/>
          </rPr>
          <t>Ioana Sandu:</t>
        </r>
        <r>
          <rPr>
            <sz val="9"/>
            <color indexed="81"/>
            <rFont val="Tahoma"/>
            <family val="2"/>
          </rPr>
          <t xml:space="preserve">
Ei au raportat procedurile ca fiind inc urs de atribuire????</t>
        </r>
      </text>
    </comment>
    <comment ref="K811" authorId="3" shapeId="0" xr:uid="{00000000-0006-0000-0000-000018000000}">
      <text>
        <r>
          <rPr>
            <b/>
            <sz val="9"/>
            <color indexed="81"/>
            <rFont val="Tahoma"/>
            <family val="2"/>
          </rPr>
          <t>Ioana Sandu:</t>
        </r>
        <r>
          <rPr>
            <sz val="9"/>
            <color indexed="81"/>
            <rFont val="Tahoma"/>
            <family val="2"/>
          </rPr>
          <t xml:space="preserve">
rectificare eroare RNP</t>
        </r>
      </text>
    </comment>
    <comment ref="H833" authorId="3" shapeId="0" xr:uid="{00000000-0006-0000-0000-000019000000}">
      <text>
        <r>
          <rPr>
            <b/>
            <sz val="9"/>
            <color indexed="81"/>
            <rFont val="Tahoma"/>
            <family val="2"/>
          </rPr>
          <t>Ioana Sandu:</t>
        </r>
        <r>
          <rPr>
            <sz val="9"/>
            <color indexed="81"/>
            <rFont val="Tahoma"/>
            <family val="2"/>
          </rPr>
          <t xml:space="preserve">
valoarea raportata anterior era diferita datorita faptului ca unele celule nu erau formatate corespunzător, astfel incat la calcularea sumei nu erau luate in considerare</t>
        </r>
      </text>
    </comment>
    <comment ref="C976" authorId="3" shapeId="0" xr:uid="{00000000-0006-0000-0000-00001A000000}">
      <text>
        <r>
          <rPr>
            <b/>
            <sz val="9"/>
            <color indexed="81"/>
            <rFont val="Tahoma"/>
            <family val="2"/>
          </rPr>
          <t>Ioana Sandu:</t>
        </r>
        <r>
          <rPr>
            <sz val="9"/>
            <color indexed="81"/>
            <rFont val="Tahoma"/>
            <family val="2"/>
          </rPr>
          <t xml:space="preserve">
corectare eroare materiala -numar contract</t>
        </r>
      </text>
    </comment>
    <comment ref="C987" authorId="3" shapeId="0" xr:uid="{00000000-0006-0000-0000-00001B000000}">
      <text>
        <r>
          <rPr>
            <b/>
            <sz val="9"/>
            <color indexed="81"/>
            <rFont val="Tahoma"/>
            <family val="2"/>
          </rPr>
          <t>Ioana Sandu:</t>
        </r>
        <r>
          <rPr>
            <sz val="9"/>
            <color indexed="81"/>
            <rFont val="Tahoma"/>
            <family val="2"/>
          </rPr>
          <t xml:space="preserve">
restant</t>
        </r>
      </text>
    </comment>
    <comment ref="H1040" authorId="3" shapeId="0" xr:uid="{00000000-0006-0000-0000-00001C000000}">
      <text>
        <r>
          <rPr>
            <b/>
            <sz val="9"/>
            <color indexed="81"/>
            <rFont val="Tahoma"/>
            <family val="2"/>
          </rPr>
          <t>Ioana Sandu:</t>
        </r>
        <r>
          <rPr>
            <sz val="9"/>
            <color indexed="81"/>
            <rFont val="Tahoma"/>
            <family val="2"/>
          </rPr>
          <t xml:space="preserve">
eroare materiala</t>
        </r>
      </text>
    </comment>
    <comment ref="C1081" authorId="3" shapeId="0" xr:uid="{00000000-0006-0000-0000-00001D000000}">
      <text>
        <r>
          <rPr>
            <b/>
            <sz val="9"/>
            <color indexed="81"/>
            <rFont val="Tahoma"/>
            <family val="2"/>
          </rPr>
          <t>Ioana Sandu:</t>
        </r>
        <r>
          <rPr>
            <sz val="9"/>
            <color indexed="81"/>
            <rFont val="Tahoma"/>
            <family val="2"/>
          </rPr>
          <t xml:space="preserve">
corectare eroare materiala - numar contract</t>
        </r>
      </text>
    </comment>
    <comment ref="H1159" authorId="3" shapeId="0" xr:uid="{00000000-0006-0000-0000-00001E000000}">
      <text>
        <r>
          <rPr>
            <b/>
            <sz val="9"/>
            <color indexed="81"/>
            <rFont val="Tahoma"/>
            <family val="2"/>
          </rPr>
          <t>Ioana Sandu:</t>
        </r>
        <r>
          <rPr>
            <sz val="9"/>
            <color indexed="81"/>
            <rFont val="Tahoma"/>
            <family val="2"/>
          </rPr>
          <t xml:space="preserve">
raportare anterioara eronata</t>
        </r>
      </text>
    </comment>
    <comment ref="H1263" authorId="3" shapeId="0" xr:uid="{00000000-0006-0000-0000-00001F000000}">
      <text>
        <r>
          <rPr>
            <b/>
            <sz val="9"/>
            <color indexed="81"/>
            <rFont val="Tahoma"/>
            <family val="2"/>
          </rPr>
          <t>Ioana Sandu:</t>
        </r>
        <r>
          <rPr>
            <sz val="9"/>
            <color indexed="81"/>
            <rFont val="Tahoma"/>
            <family val="2"/>
          </rPr>
          <t xml:space="preserve">
raportare gresita anterioara</t>
        </r>
      </text>
    </comment>
    <comment ref="H1295" authorId="3" shapeId="0" xr:uid="{00000000-0006-0000-0000-000020000000}">
      <text>
        <r>
          <rPr>
            <b/>
            <sz val="9"/>
            <color indexed="81"/>
            <rFont val="Tahoma"/>
            <family val="2"/>
          </rPr>
          <t>Ioana Sandu:</t>
        </r>
        <r>
          <rPr>
            <sz val="9"/>
            <color indexed="81"/>
            <rFont val="Tahoma"/>
            <family val="2"/>
          </rPr>
          <t xml:space="preserve">
eroare de raportare</t>
        </r>
      </text>
    </comment>
    <comment ref="H1340" authorId="3" shapeId="0" xr:uid="{00000000-0006-0000-0000-000021000000}">
      <text>
        <r>
          <rPr>
            <b/>
            <sz val="9"/>
            <color indexed="81"/>
            <rFont val="Tahoma"/>
            <family val="2"/>
          </rPr>
          <t>Ioana Sandu:</t>
        </r>
        <r>
          <rPr>
            <sz val="9"/>
            <color indexed="81"/>
            <rFont val="Tahoma"/>
            <family val="2"/>
          </rPr>
          <t xml:space="preserve">
raportare anterioara eronata</t>
        </r>
      </text>
    </comment>
    <comment ref="H1383" authorId="3" shapeId="0" xr:uid="{00000000-0006-0000-0000-000022000000}">
      <text>
        <r>
          <rPr>
            <b/>
            <sz val="9"/>
            <color indexed="81"/>
            <rFont val="Tahoma"/>
            <family val="2"/>
          </rPr>
          <t>Ioana Sandu:</t>
        </r>
        <r>
          <rPr>
            <sz val="9"/>
            <color indexed="81"/>
            <rFont val="Tahoma"/>
            <family val="2"/>
          </rPr>
          <t xml:space="preserve">
contractele au fost aditionate. A fost realizata acum actualizarea valorilor, la zi</t>
        </r>
      </text>
    </comment>
    <comment ref="C1565" authorId="3" shapeId="0" xr:uid="{00000000-0006-0000-0000-000023000000}">
      <text>
        <r>
          <rPr>
            <b/>
            <sz val="9"/>
            <color indexed="81"/>
            <rFont val="Tahoma"/>
            <family val="2"/>
          </rPr>
          <t>Ioana Sandu:</t>
        </r>
        <r>
          <rPr>
            <sz val="9"/>
            <color indexed="81"/>
            <rFont val="Tahoma"/>
            <family val="2"/>
          </rPr>
          <t xml:space="preserve">
dintr-o eroare a fost raportat de 2 ori contractul de finantare 0012/cav mare. A fost remediată eroarea prin eliminarea contractului inregistrat cu dată eronată</t>
        </r>
      </text>
    </comment>
    <comment ref="C1574" authorId="3" shapeId="0" xr:uid="{00000000-0006-0000-0000-000024000000}">
      <text>
        <r>
          <rPr>
            <b/>
            <sz val="9"/>
            <color indexed="81"/>
            <rFont val="Tahoma"/>
            <family val="2"/>
          </rPr>
          <t>Ioana Sandu:</t>
        </r>
        <r>
          <rPr>
            <sz val="9"/>
            <color indexed="81"/>
            <rFont val="Tahoma"/>
            <family val="2"/>
          </rPr>
          <t xml:space="preserve">
inca nu au fost finalizate achizițiile. Raman pe albastru
</t>
        </r>
      </text>
    </comment>
    <comment ref="G1593" authorId="3" shapeId="0" xr:uid="{00000000-0006-0000-0000-000025000000}">
      <text>
        <r>
          <rPr>
            <b/>
            <sz val="9"/>
            <color indexed="81"/>
            <rFont val="Tahoma"/>
            <family val="2"/>
          </rPr>
          <t>Ioana Sandu:</t>
        </r>
        <r>
          <rPr>
            <sz val="9"/>
            <color indexed="81"/>
            <rFont val="Tahoma"/>
            <family val="2"/>
          </rPr>
          <t xml:space="preserve">
32 servicii pe J168 +SUMAL pe 167</t>
        </r>
      </text>
    </comment>
    <comment ref="J1602" authorId="3" shapeId="0" xr:uid="{00000000-0006-0000-0000-000026000000}">
      <text>
        <r>
          <rPr>
            <b/>
            <sz val="9"/>
            <color indexed="81"/>
            <rFont val="Tahoma"/>
            <family val="2"/>
          </rPr>
          <t>Ioana Sandu:</t>
        </r>
        <r>
          <rPr>
            <sz val="9"/>
            <color indexed="81"/>
            <rFont val="Tahoma"/>
            <family val="2"/>
          </rPr>
          <t xml:space="preserve">
corectare eroare conversie curs valutar</t>
        </r>
      </text>
    </comment>
    <comment ref="AH1602" authorId="3" shapeId="0" xr:uid="{00000000-0006-0000-0000-000027000000}">
      <text>
        <r>
          <rPr>
            <b/>
            <sz val="9"/>
            <color indexed="81"/>
            <rFont val="Tahoma"/>
            <family val="2"/>
          </rPr>
          <t>Ioana Sandu:</t>
        </r>
        <r>
          <rPr>
            <sz val="9"/>
            <color indexed="81"/>
            <rFont val="Tahoma"/>
            <family val="2"/>
          </rPr>
          <t xml:space="preserve">
corectare eroare materiala</t>
        </r>
      </text>
    </comment>
  </commentList>
</comments>
</file>

<file path=xl/sharedStrings.xml><?xml version="1.0" encoding="utf-8"?>
<sst xmlns="http://schemas.openxmlformats.org/spreadsheetml/2006/main" count="26464" uniqueCount="4132">
  <si>
    <t>Componenta</t>
  </si>
  <si>
    <t xml:space="preserve">
Responsabil raportare</t>
  </si>
  <si>
    <t>Nr. Jalon/
Țintă</t>
  </si>
  <si>
    <t>Indicator</t>
  </si>
  <si>
    <t>Cantitate</t>
  </si>
  <si>
    <t>Buget PNRR alocat
(€)</t>
  </si>
  <si>
    <t>Grant/Loan</t>
  </si>
  <si>
    <t>Valoare Contract de finanțare fără TVA(€)</t>
  </si>
  <si>
    <t>Buget PNRR executat(€)</t>
  </si>
  <si>
    <t>Buget total executat investiție (reformă)/proiect/contract fără TVA(€)</t>
  </si>
  <si>
    <t>Județ
implementare</t>
  </si>
  <si>
    <t>Localitate
implementare</t>
  </si>
  <si>
    <t>Beneficiar</t>
  </si>
  <si>
    <t>Studiu Fezabilitate 
[DA/NU/NA]</t>
  </si>
  <si>
    <t>Dacă NU, 
data planificată</t>
  </si>
  <si>
    <t>Alte avize, autorizații, exemplu aviz de mediu
[DA/NU/NA]</t>
  </si>
  <si>
    <t>Ajutor de stat, de minimis
[DA/NU/NA]</t>
  </si>
  <si>
    <t>Lansare licitație [DA/NU/NA]</t>
  </si>
  <si>
    <t>Semnare contract [DA/NU/NA]</t>
  </si>
  <si>
    <t>Lansare apeluri pentru aplicații
 [DA/NU/NA]</t>
  </si>
  <si>
    <t>Dată începere proiect /contract</t>
  </si>
  <si>
    <t>Data finalizare  contract</t>
  </si>
  <si>
    <t>Data CID Trim.</t>
  </si>
  <si>
    <t>Data CID 
An</t>
  </si>
  <si>
    <t xml:space="preserve">Valoare contract de achiziții lucrări/servicii/bunuri semnat fără TVA(lei) </t>
  </si>
  <si>
    <t>Ofertant declarat câștigător CUI</t>
  </si>
  <si>
    <t>Anunț atribuire procedura achiziție</t>
  </si>
  <si>
    <t>Stadiul implementării contractului (în termen, întârziat, în avans) / Dificultăți</t>
  </si>
  <si>
    <t>Șantier PNRR deschis
 [DA/NU/NA]</t>
  </si>
  <si>
    <t>Stadiul fizic  (progres %)</t>
  </si>
  <si>
    <t>Principalele blocaje, întârzieri si măsuri de remediere</t>
  </si>
  <si>
    <t>C1</t>
  </si>
  <si>
    <t>R2</t>
  </si>
  <si>
    <t xml:space="preserve"> Reconfigurarea actualului mecanism economic al Administrației Naționale Apele Române (ANAR) în vederea asigurării modernizării și întreținerii sistemului național de gospodărire a apelor, precum și a implementării corespunzătoare a Directivei-cadru privind apa și a Directivei privind inundațiile</t>
  </si>
  <si>
    <t>MMAP</t>
  </si>
  <si>
    <t>nr</t>
  </si>
  <si>
    <t>Loan</t>
  </si>
  <si>
    <t xml:space="preserve"> București</t>
  </si>
  <si>
    <t>București</t>
  </si>
  <si>
    <t>Administrația Națională Apele Române</t>
  </si>
  <si>
    <t>NA</t>
  </si>
  <si>
    <t>NU</t>
  </si>
  <si>
    <t>Q3</t>
  </si>
  <si>
    <t>în termen</t>
  </si>
  <si>
    <t>Cerere de transfer pentru suma de 1,159,199.58 lei, OP nr....... Si OP 5182/13.10.2023 pentru 1.725.032,16 lei</t>
  </si>
  <si>
    <t>I1</t>
  </si>
  <si>
    <t>Q3 &amp; Q2</t>
  </si>
  <si>
    <t>2024 &amp; 2026</t>
  </si>
  <si>
    <t>I2</t>
  </si>
  <si>
    <t>Olt</t>
  </si>
  <si>
    <t>Alba</t>
  </si>
  <si>
    <t>Giurgiu</t>
  </si>
  <si>
    <t>Comuna Izvoarele</t>
  </si>
  <si>
    <t>Teleorman</t>
  </si>
  <si>
    <t>Maramureș</t>
  </si>
  <si>
    <t>Iași</t>
  </si>
  <si>
    <t>Comuna Stejaru</t>
  </si>
  <si>
    <t>Mehedinți</t>
  </si>
  <si>
    <t>Cluj</t>
  </si>
  <si>
    <t>Neamț</t>
  </si>
  <si>
    <t>Mureș</t>
  </si>
  <si>
    <t>Iasi</t>
  </si>
  <si>
    <t>Prahova</t>
  </si>
  <si>
    <t>Arad</t>
  </si>
  <si>
    <t>DA</t>
  </si>
  <si>
    <t>Q2</t>
  </si>
  <si>
    <t>Călărași</t>
  </si>
  <si>
    <t>Dâmbovița</t>
  </si>
  <si>
    <t>Gorj</t>
  </si>
  <si>
    <t>Buzău</t>
  </si>
  <si>
    <t>N/A</t>
  </si>
  <si>
    <t>Ialomița</t>
  </si>
  <si>
    <t>Ilfov</t>
  </si>
  <si>
    <t>Bihor</t>
  </si>
  <si>
    <t>Nealocat 31 decembrie 2023</t>
  </si>
  <si>
    <t>I4.1</t>
  </si>
  <si>
    <t>Vâlcea</t>
  </si>
  <si>
    <t>Finalizat</t>
  </si>
  <si>
    <t>31.03.2026</t>
  </si>
  <si>
    <t>Harghita</t>
  </si>
  <si>
    <t>Vrancea</t>
  </si>
  <si>
    <t xml:space="preserve">ABA Siret </t>
  </si>
  <si>
    <t>Brașov</t>
  </si>
  <si>
    <t>Ghimbav</t>
  </si>
  <si>
    <t>Dolj</t>
  </si>
  <si>
    <t>I4.2</t>
  </si>
  <si>
    <t>16, 17</t>
  </si>
  <si>
    <t>C1/I.4/2/50566/26.07.2022 - Servicii de proiectare pentru investiția ”Adaptarea la schimbările climatice prin automatizarea și digitalizarea echipamentelor de evacuare și stocare a apei la acumulările existente pentru asigurarea debitului ecologic și creșterea siguranței alimentării cu apă a populației și reducerea riscului la inundații”- Reabilitarea acumulărilor existente care necesită intervenții de urgență pentru exploatarea în condiții de siguranță</t>
  </si>
  <si>
    <t>Q1</t>
  </si>
  <si>
    <t xml:space="preserve"> op5448/31.10.2023+OP5719/09.11.2023+OP5820/15.11.2023+op5891/23.11.2023-op8079/24.11.2023 (aferent factura penalitati)+op6011/29.11.2023</t>
  </si>
  <si>
    <t>Q2 &amp; Q1</t>
  </si>
  <si>
    <t>2023 &amp; 2026</t>
  </si>
  <si>
    <t>Comuna Gilău</t>
  </si>
  <si>
    <t xml:space="preserve"> ABA Someș - Tisa</t>
  </si>
  <si>
    <t>Contract nr. 6/ 11.03.2022 Servicii de expertiză tehnică în vederea realizării de investiții - Îmbunătățirea condițiilor de funcționare în siguranță a acumulării Gilău, județul Cluj
Gilău – lot II MECMA (Ie). SC Uzinsider General Contractor</t>
  </si>
  <si>
    <t xml:space="preserve">Contract nr. 4/ 24.03.2023 Servicii de proiectare faza DALI pentru proiectul de investiție - Îmbunătățirea condițiilor de funcționare în siguranță a acumulării Gilău, județul Cluj.  SC Aqua Prociv Proiect SRL
</t>
  </si>
  <si>
    <t>Contract nr. 9/ 28.03.2022 Servicii de expertiză tehnică în vederea realizării de investiții - Asigurarea atenuarii si tranzitarii in siguranta a volumelor de viitura pe raul Crasna, aval de acumularea Varsolt , judetul Satu Mare
expertiza A7, B5. PFA Bociort Lucretia</t>
  </si>
  <si>
    <t>Satu - Mare</t>
  </si>
  <si>
    <t>Comuna Supuru de Jos
Comuna Moftin</t>
  </si>
  <si>
    <t>Adoptarea hotărârii de guvern/ordinului ministerial, după caz</t>
  </si>
  <si>
    <t>20 baraje existente reabilitate</t>
  </si>
  <si>
    <t>Contract nr. 8/ 28.03.2022 Servicii de expertiză tehnică în vederea realizării de investiții - Imbunatatirea conditiilor de functionare in siguranta a acumularii nepermanente Cuceu, judetul Salaj. expertiza A7, B5. PFA Bociort Lucretia</t>
  </si>
  <si>
    <t>Salaj</t>
  </si>
  <si>
    <t>Comuna Mirșid
Oraș Jibou</t>
  </si>
  <si>
    <t xml:space="preserve">Contract nr. 2/ 21.03.2023 Servicii de proiectare toate fazele (DALI, PT, DE, Asistenta tehnica pe perioada executiei) pentru proiectul de investiție - Îmbunătățirea condițiilor de funcționare în siguranță  a acumulării nepermanente Cuceu, județul Sălaj.  SC Aqua Prociv Proiect SRL.
</t>
  </si>
  <si>
    <t>Contract nr. 10/ 07.04.22 Servicii de expertiză tehnică în vederea realizării de investiții - Îmbunătățirea condițiilor de funcționare în siguranță a Acumulării Leșu, jud. Bihor. SC AQUAPROIECT SA</t>
  </si>
  <si>
    <t>Comuna Bulz</t>
  </si>
  <si>
    <t>ABA Crișuri</t>
  </si>
  <si>
    <t>Contract nr. 4/ 22.02.2023 Servicii de proiectare faza DALI pentru proiectul de investiție - Îmbunătățirea condițiilor de funcționare în siguranță a Acumulării Leșu, jud. Bihor. S.C. AQUAPROIECT S.A.</t>
  </si>
  <si>
    <t>Contract nr. 83/ 27.12.21 Servicii de expertiză tehnică în vederea realizării de investiții - Îmbunătățirea condițiilor de funcționare în siguranță a Acumulării Tămașda, jud. Bihor. SC AQUA PROCIV PROIECT SRL</t>
  </si>
  <si>
    <t>Comuna Avram Iancu
Comuna Ciumeghiu</t>
  </si>
  <si>
    <t>Contract nr. 9/ 03.03.2023 Servicii de proiectare toate fazele (DALI, PT, DE, Asistenta tehnica pe perioada executiei) pentru proiectul de investiție  - Îmbunătățirea condițiilor de funcționare în siguranță a Acumulării Tămașda, jud. Bihor. S.C. AQUAPROIECT S.A.</t>
  </si>
  <si>
    <t>februarie 2026</t>
  </si>
  <si>
    <t>Contract nr. 11/ 07.04.22 Servicii de expertiză tehnică în vederea realizării de investiții - Îmbunătățirea condițiilor de funcționare în siguranță a Acumulării Cigher, jud. Arad. SC HYDRO STREAM SRL</t>
  </si>
  <si>
    <t>Comuna Zarand</t>
  </si>
  <si>
    <t xml:space="preserve">Contract nr. 1/ 21.02.2023 Servicii de proiectare toate fazele (DALI, PT, DE, Asistenta tehnica pe perioada executiei) pentru proiectul de investiție -Îmbunătățirea condițiilor de funcționare în siguranță a Acumulării Cigher, jud. Arad. SC AQUA PROCIV PROIECT SRL – Lider de asociere. SC GEODESIGN SRL – Asociat 1. VIZITERV CONSULT - Ungaria – Subcontractant SC BDS TOPOGRAFIE SRL – Tert si subcontractant.
</t>
  </si>
  <si>
    <t>Contract nr. 84/ 27.12.21 Servicii de expertiză tehnică în vederea realizării de investiții - Îmbunătățirea condițiilor de funcționare în siguranță a Acumulării Zerindu Mic, jud. Arad. SC AQUA PROCIV PROIECT SRL.</t>
  </si>
  <si>
    <t>Comuna Mișca
Sat Zerindu Mic</t>
  </si>
  <si>
    <t xml:space="preserve">Contract nr. 3/ 21.02.2023 Servicii de proiectare toate fazele (DALI, PT, DE, Asistenta tehnica pe perioada executiei) pentru proiectul de investiție -Îmbunătățirea condițiilor de funcționare în siguranță a Acumulării Zerindu Mic, jud. Arad. SC AQUA PROCIV PROIECT SRL – Lider de asociere SC GEODESIGN SRL – Asociat 1 VIZITERV CONSULT - Ungaria – Subcontractant SC BDS TOPOGRAFIE SRL – Tert si subcontractant.
</t>
  </si>
  <si>
    <t xml:space="preserve">Contract nr. 12/ 07.04.22 Servicii de expertiză tehnică în vederea realizării de investiții - Îmbunătățirea condițiilor de funcționare în siguranță a Acumulării Șicula, jud. Arad. SC HYDRO STREAM SRL
</t>
  </si>
  <si>
    <t>Comuna Șicula</t>
  </si>
  <si>
    <t xml:space="preserve">Contract nr. 2/ 21.02.2023 Servicii de proiectare toate fazele (DALI, PT, DE, Asistenta tehnica pe perioada executiei) pentru proiectul de investiție - Îmbunătățirea condițiilor de funcționare în siguranță a Acumulării Șicula, jud. Arad. SC AQUA PROCIV PROIECT SRL – Lider de asociere. SC GEODESIGN SRL – Asociat 1 VIZITERV CONSULT - Ungaria – Subcontractant SC BDS TOPOGRAFIE SRL – Tert si subcontractant
</t>
  </si>
  <si>
    <t>Contract nr.13/07.04.22 Servicii de expertiză tehnică în vederea realizării de investiții - Îmbunătățirea condițiilor de funcționare în siguranță a Acumulării Sălard, jud. Bihor. SC HYDRO STREAM SRL.</t>
  </si>
  <si>
    <t>Comuna Sălard</t>
  </si>
  <si>
    <t xml:space="preserve">Contract nr. 8/ 03.03.2023 Servicii de proiectare toate fazele (DALI, PT, DE, Asistenta tehnică pe perioada execuției) pentru proiectul de investiție - Îmbunătățirea condițiilor de funcționare în siguranță a Acumulării Sălard, jud. Bihor. SC AQUA PROCIV PROIECT SRL – Lider de asociere SC GEODESIGN SRL – Asociat 1 VIZITERV CONSULT - Ungaria – Subcontractant SC BDS TOPOGRAFIE SRL – Tert si subcontractant.
</t>
  </si>
  <si>
    <t>Contract nr. 9/ 28.02.2023/Servicii de proiectare faza DALI pentru proiectul de investiție - Îmbunătățirea condițiilor de funcționare în siguranță a Nodului Hidrotehnic de pe râul Mureș din municipiul Târgu Mureș, jud. Mureș” 
SC AQUA PROCIV PROIECT SRL
Asociat SC HIDROTIM SRL</t>
  </si>
  <si>
    <t>Mun.Tg.Mureș
Comuna Sâncraiu de Mureș
Comuna Sântana de Mureș</t>
  </si>
  <si>
    <t>ABA Mureș</t>
  </si>
  <si>
    <t>4 luni de la data semnării contractului</t>
  </si>
  <si>
    <t>Contract nr. 15/ 10.03.2023/Servicii de proiectare toate fazele (DALI, PT, DE, Asistenta tehnica pe perioada executiei) pentru proiectul de investiție - Polder Comlod , județul Bistrița Năsăud
S.C. 4C PROJECT CONSULTING S.R.L.C67:C99</t>
  </si>
  <si>
    <t>Bistrița Năsăud</t>
  </si>
  <si>
    <t>Comunele: Milaș, Urmenis, Crăiești, Râciu, Șincai, Mădăraș, Band, Iclănzel</t>
  </si>
  <si>
    <t>Contract nr. 15/ 29.04.2022/Servicii de expertiză tehnică în vederea realizării de investiții - Îmbunătățirea condițiilor de funcționare în siguranță a Nodului Hidrotehnic Coștei, județul Timiș
CUNDA CONSTRUCT SRL</t>
  </si>
  <si>
    <t>Timiș</t>
  </si>
  <si>
    <t>Comuna Coșteiu</t>
  </si>
  <si>
    <t>ABA Banat</t>
  </si>
  <si>
    <t>Contract nr. 22/ 31.03.2023 /Contract nr. 22/ 31.03.2023 /Servicii de proiectare faza DALI pentru proiectul de investiție  - Îmbunătățirea condițiilor de funcționare în siguranță a Acumulării Surduc, jud. Timiș. SC AQUA PROCIV PROIECT SRL</t>
  </si>
  <si>
    <t>Comuna Fârdea</t>
  </si>
  <si>
    <t>4 luni de la data emiterii ordinului de începere</t>
  </si>
  <si>
    <t xml:space="preserve">Contract nr. 16/ 29.04.2022/Servicii de expertiză tehnică în vederea realizării de investiții - Asigurarea atenuării și tranzitării în siguranță a volumelor de viitură pe râul Caraș și afluenți pe tronsonul Ticvaniu Mare-frontiera Serbia, județul Caraș-Severin CUNDA CONSTRUCT SRL
</t>
  </si>
  <si>
    <t>Caraș-Severin</t>
  </si>
  <si>
    <t>Comuna Ticvaniu Mare</t>
  </si>
  <si>
    <t>Contract nr. 117/22.12.2021 - A.A. nr. 1/17.01.2022/Servicii de expertiză tehnică în vederea realizării de investiții - Îmbunătățirea condițiilor de funcționare în siguranță a Acumulării nepermanente Rovinari, județul Gorj
SC HIDROTEHNICA DESIGN EXPERT SRL</t>
  </si>
  <si>
    <t>Oraș Rovinari</t>
  </si>
  <si>
    <t>ABA Jiu</t>
  </si>
  <si>
    <t>Contract nr. 29/ 05.04.2023/Servicii de proiectare toate fazele (DALI, PT, DE, Asistenta tehnica pe perioada executiei) pentru proiectul de investiție
Îmbunătățirea condițiilor de funcționare în siguranță a Acumulării nepermanente Rovinari, județul Gorj
S.C. AQUAPROIECT S.A.</t>
  </si>
  <si>
    <t>Contract nr. 3/ 23.02.2022/Servicii de expertiză tehnică în vederea realizării de investiții - Îmbunătățirea condițiilor de funcționare în siguranță a Acumulării Frumoasa, jud. Harghita 
S.C HIDROTEHNICA DESIGN EXPERT SRL</t>
  </si>
  <si>
    <t>Comuna Frumoasa</t>
  </si>
  <si>
    <t>ABA Olt</t>
  </si>
  <si>
    <t>Contract nr. 2/ 06.02.2023/Servicii de proiectare faza DALI pentru proiectul de investiție  - Îmbunătățirea condițiilor de funcționare în siguranță a Acumulării Frumoasa, jud. Harghita 
cu ofertantul AQUAPROIECT SA</t>
  </si>
  <si>
    <t>Contract nr. 68/ 10.05.2022/Servicii de expertiză tehnică în vederea realizării de investiții - Îmbunătățirea condițiilor de funcționare în siguranță a Acumularii Budeasa, județul Argeș
S.C. HYDROAPLIX  S.R.L. BUCURESTI</t>
  </si>
  <si>
    <t>Argeș</t>
  </si>
  <si>
    <t>Comuna Budeasa
Comuna Bascov 
Comuna Merișani</t>
  </si>
  <si>
    <t xml:space="preserve"> ABA Argeș Vedea</t>
  </si>
  <si>
    <t>Contract nr. 26/ 22.02.2023Servicii de proiectare faza DALI pentru proiectul de investiție  - Îmbunătățirea condițiilor de funcționare în siguranță a Acumulării Budeasa, jud. Argeș
S.C. AQUAPROIECT S.A.</t>
  </si>
  <si>
    <t>3 luni de la data emiterii ordinului de începere</t>
  </si>
  <si>
    <t xml:space="preserve">Contract nr. 65/ 10.05.2022/Servicii de expertiză tehnică în vederea realizării de investiții - Îmbunătățirea condițiilor de funcționare în siguranță a Acumularii Râușor, judetul Argeș
P.F.A.  DAN  STEMATIU
</t>
  </si>
  <si>
    <t xml:space="preserve">Comuna Lerești </t>
  </si>
  <si>
    <t>Contract nr. 69/ 10.05.2022/Servicii de expertiză tehnică în vederea realizării de investiții - Îmbunătățirea condițiilor de funcționare în siguranță a Acumulării Bascov, județul Argeș
S.C. HYDROAPLIX  S.R.L. BUCURESTI</t>
  </si>
  <si>
    <t>Comuna Bascov
Mun.  Pitești</t>
  </si>
  <si>
    <t>Contract nr. 67/ 10.05.2022/Servicii de expertiză tehnică în vederea realizării de investiții - Îmbunatățirea condițiilor de funcționare în siguranță a Acumulării Zăvoiul Orbului, județul Dâmbovița  
HYDROAPLIX  S.R.L. BUCURESTI</t>
  </si>
  <si>
    <t>Comuna Mogoșani</t>
  </si>
  <si>
    <t xml:space="preserve">Contract nr. 70/ 10.05.2022/Servicii de expertiză tehnică în vederea realizării de investiții - Îmbunătățirea condițiilor de funcționare în siguranță a Acumulării  Mărăcineni – județul Argeș
P.F.A.  GHEORGHE  BRATIANU   </t>
  </si>
  <si>
    <t>Comuna Mărăcineni
Oraș Ștefănești</t>
  </si>
  <si>
    <t>Contract nr. 27/ 27.02.2023/Servicii de proiectare faza DALI pentru proiectul de investiție  - Îmbunătățirea condițiilor de funcționare în siguranță a Acumulării Mărăcineni, jud. Argeș
SC AQUA PROCIV PROIECT SRL</t>
  </si>
  <si>
    <t>Contract nr. 63/ 10.05.2022/Servicii de expertiză tehnică în vederea realizării de investiții - Îmbunătățirea condițiilor de funcționare în siguranță a  Acumulării Văcărești, județul  Dâmbovița  
UTCB</t>
  </si>
  <si>
    <t>Comuna Văcărești</t>
  </si>
  <si>
    <t>Contract nr. 66/ 10.05.2022/Servicii de expertiză tehnică în vederea realizării de investiții - Îmbunătățirea condițiilor de funcționare în siguranță a Acumulărilor de pe Valea  Ilfov – Bunget II, Brătești, Adunați , Ilfoveni, județul  Dâmbovița
P.F.A.  GHEORGHE  BRATIANU</t>
  </si>
  <si>
    <t>Comuna Ulmi        
Comuna Văcărești
Comuna Nucet</t>
  </si>
  <si>
    <t>Contract nr. 64/10.05.2022/Servicii de expertiză tehnică în vederea realizării de investiții - Îmbunătățirea condițiilor de funcționare în siguranță a Acumulării Buftea, județul  Ilfov
UTCB</t>
  </si>
  <si>
    <t xml:space="preserve">Oraș  Buftea
Comuna Ciocănești         </t>
  </si>
  <si>
    <t>Contract nr. 47/ 03.04.2023/Servicii de proiectare faza DALI pentru proiectul de investiție - Îmbunătățirea condițiilor de funcționare în siguranță a Acumulării Buftea, județul  Ilfov
S.C. AQUAPROIECT S.A.</t>
  </si>
  <si>
    <t xml:space="preserve">Contract nr. 231c/ 04.04.2022/Servicii de expertiză tehnică în vederea realizării de investiții - Îmbunătățirea condițiilor de funcționare în siguranță a Acumulării Siriu, județul Buzău
PFA Dan STEMATIU
</t>
  </si>
  <si>
    <t xml:space="preserve">Buzău
</t>
  </si>
  <si>
    <t>Comuna Chiojdu
Comuna Siriu</t>
  </si>
  <si>
    <t>ABA Buzău Ialomița</t>
  </si>
  <si>
    <t xml:space="preserve">Contract nr. 230c/ 04.04.2022/Servicii de expertiză tehnică în vederea realizării de investiții - Îmbunătățirea condițiilor de funcționare în siguranță a Acumulării Dridu, județul Ialomița
PFA Corneliu Radu SARGHIUTA
</t>
  </si>
  <si>
    <t>Comuna Dridu</t>
  </si>
  <si>
    <t>Contract nr. 1/ 29.04.2022/Servicii de expertiză tehnică în vederea realizării de investiții - Lucrări de conservare a Lacului Roșu, jud. Harghita. 
HYDRO PROIECT INVEST SRL</t>
  </si>
  <si>
    <t>Mun. Gheorghieni</t>
  </si>
  <si>
    <t>Contract nr. 12/ 09.03.2023 /Servicii de proiectare faza DALI pentru proiectul de investiție - Lucrări de conservare a Lacului Roșu, jud. Harghita
SC 4C Project Consulting S.R.L.</t>
  </si>
  <si>
    <t>Situația juridică a terenurilor ce urmeza a fi ocupate de lucrări (HG Expropriere); Termenele legale pentru emiterea de către terți a avizelor și acordurilor.</t>
  </si>
  <si>
    <t xml:space="preserve">Contract nr. 1/222/ 19.04.2022/Servicii de expertiză tehnică în vederea realizării obiectivului de investiții - Reducerea riscului la inundații pe râul Tazlău prin reabilitarea barajalui Belci ca acumuluare nepermanentă, județul Bacău
DELIU C.PETRU P.F.A
</t>
  </si>
  <si>
    <t>Bacău</t>
  </si>
  <si>
    <t>Mun. Onești</t>
  </si>
  <si>
    <t>Contract nr. 11/ 06.03.2023 /Servicii de proiectare toate fazele (DALI, PT, DE, Asistenta tehnică pe perioada execuției) pentru proiectul de investiție - Reducerea riscului la inundații pe râul Tazlău prin reabilitarea barajalui Belci ca acumuluare nepermanentă, județul Bacău
S.C. AQUAPROIECT S.A.</t>
  </si>
  <si>
    <t>Termenele legale pentru emiterea de către terți a avizelor și acordurilor.</t>
  </si>
  <si>
    <t xml:space="preserve">Contract nr. 108/ 28.12.2021/Servicii de expertizare tehnică a construcțiilor amenajării hidrotehnice acumulare permanentă Cucuteni, pentru domeniul de atestare A7, B5
SC WATER PIN SRL
</t>
  </si>
  <si>
    <t>Comuna Lețcani</t>
  </si>
  <si>
    <t>ABA Prut Bârlad</t>
  </si>
  <si>
    <t>Contract nr. 4/ 23.02.2023/Servicii de proiectare faza DALI pentru proiectul de investiție - Îmbunătățirea condițiilor de funcționare în siguranță a acumulării permanente Cucuteni, județul Iași
S.C. AQUAPROIECT S.A.</t>
  </si>
  <si>
    <t>Contract nr. 103/ 28.12.2021/Servicii de expertizare tehnică a construcțiilor amenajării hidrotehnice acumulare permanentă Ciric III, pentru domeniul de atestare A7, B5
SC CERCON PROIECT SRL</t>
  </si>
  <si>
    <t>Mun. Iași</t>
  </si>
  <si>
    <t>Contract nr. 111/ 28.12.2021/Servicii de expertizare tehnica a constructiilor amenajarii hidrotehnice acumulare permanenta Aroneanu, pentru domeniul de atestare A7, B5
PF DELIU C PETRU</t>
  </si>
  <si>
    <t>Comuna Aroneanu</t>
  </si>
  <si>
    <t>Contract nr. 105/ 28.12.2021/Servicii de expertizare tehnică a construcțiilor amenajării hidrotehnice acumulare permanentă Ciurbești, pentru domeniul de atestare A7, B5
SC CERCON PROIECT SRL</t>
  </si>
  <si>
    <t>Comuna Ciurea
Comuna Miroslava</t>
  </si>
  <si>
    <t>Contract nr. 104/ 28.12.2021/Servicii de expertizare tehnică a construcțiilor amenajării hidrotehnice acumulare permanentă Hâlceni, pentru domeniul de atestare A7, B5
SC CERCON PROIECT SRL</t>
  </si>
  <si>
    <t>Comuna Vlădeni</t>
  </si>
  <si>
    <t>Contract nr. 106/ 28.12.2021 Servicii de expertizare tehnică a construcțiilor amenajării hidrotehnice acumulare permanentă Mânjești, pentru domeniul de atestare A7, B5
PF DELIU C PETRU</t>
  </si>
  <si>
    <t>Vaslui</t>
  </si>
  <si>
    <t>Comuna Muntenii de Jos
Comuna Oltenești</t>
  </si>
  <si>
    <t>Contract nr. 110/ 28.12.2021 Servicii de expertizare tehnică a construcțiilor amenajării hidrotehnice acumulare permanentă Căzănești, pentru domeniul de atestare A7, B5
PF DELIU C PETRU</t>
  </si>
  <si>
    <t>Vaslui
Iași</t>
  </si>
  <si>
    <t>Comuna Negrești
Comuna Drăgușeni</t>
  </si>
  <si>
    <t>Contract nr.3 /23.02.2023 Servicii de proiectare faza DALI pentru proiectul de investiție - Îmbunătățirea condițiilor de funcționare în siguranță a acumulării permanente Căzănești, râul Stavnic, județul Vaslui
SC AQUAPROIECT SA</t>
  </si>
  <si>
    <t>03.06.2023</t>
  </si>
  <si>
    <t>Contract nr. 107/ 28.12.2021 Servicii de expertizare tehnica a constructiilor amenajarii hidrotehnice acumulare permanenta Cuibul Vulturilor, pentru domeniul de atestare A7, B5
PF DELIU C PETRU</t>
  </si>
  <si>
    <t>Comuna Perieni</t>
  </si>
  <si>
    <t>Contract nr. 109/ 28.12.2021 Servicii de expertizare tehnica a constructiilor amenajarii hidrotehnice acumulare permanenta Solesti, pentru domeniul de atestare A7, B5
PF DELIU C PETRU</t>
  </si>
  <si>
    <t>Comunca Solești
Comuna Miclești</t>
  </si>
  <si>
    <t>Contract nr. 2/ 23.02.2023 Servicii de proiectare faza DALI pentru proiectul de investiție - Îmbunătățirea condițiilor de funcționare în siguranță a acumulării Solești, județul Vaslui 
SC AQUAPROIECT SA</t>
  </si>
  <si>
    <t>Contract nr. 112/ 28.12.2021 Servicii de expertizare tehnica a constructiilor amenajarii hidrotehnice acumulare nepermanenta Vulturesti, pentru domeniiul de atestare A7, B5
SC HYDRO PROIECT INVEST SRL</t>
  </si>
  <si>
    <t>Oraș Negrești
Comuna Vulturești</t>
  </si>
  <si>
    <t xml:space="preserve">C1 </t>
  </si>
  <si>
    <t>Comuna  DRAGOMIRESTI  Orasul  CHIAJNA</t>
  </si>
  <si>
    <t>27.07.2023</t>
  </si>
  <si>
    <t>Mun. București</t>
  </si>
  <si>
    <t>Contract nr.74 /17.05.2022 Servicii de expertiză tehnică în vederea realizării de investiții - Îmbunătățirea  condițiilor de funcționare în siguranță a lucrărilor hidrotehnice  pe râul Dâmbovița, aval Acumulare Lacul Morii – Nod hidrotehnic Tânganu , Municipiul  București, Județul Ilfov și județul Călărași
S.C. HIDROTEHNICA DESIGN EXPERT S.R.L. BUCURESTI</t>
  </si>
  <si>
    <t>Ilfov
Călărași</t>
  </si>
  <si>
    <t>Contract nr.70/02.05.2023 Servicii de proiectare faza DALI pentru proiectul de investiție - Îmbunătățirea  condițiilor de funcționare în siguranță a lucrărilor hidrotehnice  pe râul Dâmbovița, aval Acumulare Lacul Morii – Nod hidrotehnic Tânganu , Municipiul  București, Județul Ilfov și județul Călărași
S.C. AQUAPROIECT S.A.</t>
  </si>
  <si>
    <t>Contract nr. 43/ 04.05.2023 Servicii de proiectare toate fazele (DALI, PT, DE, Asistenta tehnica pe perioada executiei) pentru proiectul de investiție - Asigurarea atenuării și tranzitării în siguranță a volumelor de viitură pe râul Caraș și afluenți pe tronsonul Ticvaniu Mare-frontiera Serbia, județul Caraș-Severin
SC AQUA PROCIV PROIECT SRL</t>
  </si>
  <si>
    <t>Nealocat la 31 decembrie 2023</t>
  </si>
  <si>
    <t>I5</t>
  </si>
  <si>
    <t>Dotarea adecvată a administrațiilor bazinale pentru monitorizarea infrastructurii, prevenirea și gestionarea situațiilor de urgență</t>
  </si>
  <si>
    <t>La nivelul Sediului Central al Administrației Naționale ”Apele Române” și la nivelul celor 11 Administrații Bazinale de Apă</t>
  </si>
  <si>
    <t>Proiect A</t>
  </si>
  <si>
    <t>”Investiția 5. Dotarea adecvată a administrațiilor bazinale pentru monitorizarea infrastructurii, prevenirea și gestionarea situațiilor de urgență”</t>
  </si>
  <si>
    <t>Contract a</t>
  </si>
  <si>
    <t>C1/I.5/50565/26.07.2022 - Investiția 5. Dotarea adecvată a administrațiilor bazinale pentru monitorizarea infrastructurii, prevenirea și gestionarea situațiilor de urgență</t>
  </si>
  <si>
    <t>HG 502/2023 Hotărâre pentru aprobarea Notei de fundamentare
privind necesitatea și oportunitatea efectuării
cheltuielilor de investiții aferente proiectului „Dotarea
adecvată a administrațiilor bazinale pentru
monitorizarea infrastructurii, prevenirea și gestionarea 
situațiilor de urgență”</t>
  </si>
  <si>
    <t>Contract achiziție soluție informatică integrată, pentru asigurarea recuperării datelor în caz de dezastru/ 237/20.12.2023</t>
  </si>
  <si>
    <t>SC IT ABOUT IT SRL/ 35313787</t>
  </si>
  <si>
    <t>Contract achiziție Echipamente rețea comunicații date/238/21.12.2023</t>
  </si>
  <si>
    <t>DC Smart Control SRL/15362947</t>
  </si>
  <si>
    <t>12/04.03.2024/Excavator pe șenile cu braț lung</t>
  </si>
  <si>
    <t>SC Vestra Industry SRL</t>
  </si>
  <si>
    <t>CAN 1122302/11.03.2024</t>
  </si>
  <si>
    <t>15/04.03.2024/Utilaje șenilate anfibii cu bena incorporata pentru acces in zonele greu accesibile in conditii de interventie in regim de urgenta</t>
  </si>
  <si>
    <t>13/04.03.2024/Utilaje șenilate anfibii pentru accesul in zone greu accesibile(mlastini, ape interioare) a excavatoarelor pentru interventii in regim de urtență in mlastian si ape de pana la 5m adancime</t>
  </si>
  <si>
    <t>14/04.03.2024/Skimmer multifinctional pentru colectarea plutitorilor de pe acumulari si cursuri de apa lina</t>
  </si>
  <si>
    <t>23/03.04.2024/Unmaned aerial vehicles dotate cu echipamente LiDar/Flir multispectru si alti senzori, inclusiv training</t>
  </si>
  <si>
    <t>Teledata net SRL</t>
  </si>
  <si>
    <t>22/02.04.2024/Echipamente pentru tomografia digurilor geo-electro-rezistiv/geo-radar inclusiv training</t>
  </si>
  <si>
    <t>Imocon SRL</t>
  </si>
  <si>
    <t>I6</t>
  </si>
  <si>
    <t xml:space="preserve"> Realizarea cadastrului apelor</t>
  </si>
  <si>
    <t>Q4</t>
  </si>
  <si>
    <t>C1_I6_0_71601/ 29.11.2023/ Realizarea cadastrului apelor</t>
  </si>
  <si>
    <t>Național</t>
  </si>
  <si>
    <t>I7</t>
  </si>
  <si>
    <t xml:space="preserve"> Extinderea rețelei naționale de observații din cadrul Sistemului Meteorologic Integrat Național (SIMIN)</t>
  </si>
  <si>
    <t>20 (T) &amp; 21 (J)</t>
  </si>
  <si>
    <t>Proiectul se va implementa în amplasamentele ce vor respecta condițiile de reprezentativitate meteorologică și agrometeorologică, precum și a sistemelor de comunicații, monitorizare, alimentare, iar distribuția acestor amplasamente la nivel național se va face cu respectarea principiului de creștere a gradului de reprezentativitate a informațiilor meteorologice din cadrul SIMIN, pentru o eficiență mai ridicată a prognozelor și avertizărilor meteorologice la apariția riscului de producere a inundațiilor și pentru o mai bună identificare a posibilelor consecințe ale fenomenelor meteorologice periculoase.</t>
  </si>
  <si>
    <t>Administrația Națională de Meteorologie în parteneriat cu Serviciul de Telecomunicații Speciale</t>
  </si>
  <si>
    <t>Q4 &amp; Q2</t>
  </si>
  <si>
    <t>2025 &amp; 2026</t>
  </si>
  <si>
    <t xml:space="preserve">Contractul de finantare este in termen.                                 Exista intarziere fata de graficul de implementare propus in fisa de proiect aferenta contractul de finanțare a achizitiei de servicii pentru elaborarea documentaţiei necesare pentru realizarea investitiilor (documentație Studiu de fezabilitate), din cauza prelungirii etapei de identificare a celor 400 de amplasamente, care se realizează de către ANM și STS și care va fi pusă la dispoziția contractantului ce va elabora documentaţia necesara pentru realizarea investitiilor (documentație Studiu de fezabilitate).  Partenerii apreciaza ca aceasta intarziere poate fi recuperata in cadrul contractului prin filtrarea realizata in activitatea de identificare a celor 400 de terenuri care a inclus si aspecte juridice, administrative si de respectare a reglementarilor de mediu. </t>
  </si>
  <si>
    <t>Extinderea rețelei naționale de observații din cadrul Sistemului Meteorologic Integrat Național (SIMIN)</t>
  </si>
  <si>
    <t>C1_I7_0_51722_23_11_2022 -”Extinderea rețelei naționale de observații din cadrul Sistemului Meteorologic Integrat Național (SIMIN)”</t>
  </si>
  <si>
    <t xml:space="preserve">Contractul de finantare este in termen.                                 Exista intarziere fata de graficul de implementare propus in fisa de proiect aferenta contractul de finanțare a achizitiei de servicii pentru elaborarea documentaţiei necesare pentru realizarea investitiilor (documentație Studiu de fezabilitate), din cauza prelungirii etapei de identificare a amplasamentelor care se realizează de către ANM și STS și va fi pusă la dispoziția contractantului ce va elabora documentaţia necesara pentru realizarea investitiilor (documentație Studiu de fezabilitate).  Partenerii apreciaza ca aceasta intaziere poate fi recuperata in cadrul contractului prin filtrarea realizata in activitatea de identificare a terenurilor care a inclus di aspecte juridice, administrative si de respectare a reglementarilor de mediu. </t>
  </si>
  <si>
    <t>Achizitia de servicii de publicare a comunicatului de presă de început de proiect/Contract de achiziție pe bază de factură fiscală nr. 561 din 09.01.2023</t>
  </si>
  <si>
    <t>AD PRESS PUBLICITY SRL CIF 40247191</t>
  </si>
  <si>
    <t>Achizitie directa 
Cod unic achizitie: DA32344786</t>
  </si>
  <si>
    <t>C2</t>
  </si>
  <si>
    <t>R1</t>
  </si>
  <si>
    <t>Reforma sistemului de management și a celui privind guvernanța în domeniul forestier prin dezvoltarea unei noi Strategii forestiere naționale și a legislației subsecvente</t>
  </si>
  <si>
    <t>Grant</t>
  </si>
  <si>
    <t>Reforma 1. Reforma sistemului de management și a celui privind guvernanța în domeniul forestier prin dezvoltarea unei Strategii forestiere naționale și a legislației subsecvente, Componenta 2: Păduri și protecția biodiversității, din cadrul Planului național de redresare și reziliență</t>
  </si>
  <si>
    <t>C2/R1/2235/18.08.2022 -”Reforma 1. Reforma sistemului de management și a celui privind guvernanța în domeniul forestier prin dezvoltarea unei Strategii forestiere naționale și a legislației subsecvente, Componenta 2: Păduri și protecția biodiversității, din cadrul Planului național de redresare și reziliență”</t>
  </si>
  <si>
    <t>C2/R1/16/01.03.2023 - Studii pentru proiectul noului Cod Silvic și a modelului de structurare a legislației silvice subsecvente</t>
  </si>
  <si>
    <t>C2/R1/188/04.12.2023 - Organizarea unui eveniment de tip conferință, finanțat din proiectul Reforma sistemului de management și a celui de guvernanță în domeniul forestier prin dezvoltarea unei Strategii forestiere naționale și a legislației subsecvente din cadrul Planului Național de Redresare și Reziliență</t>
  </si>
  <si>
    <t>RO15971591</t>
  </si>
  <si>
    <t>C2/R1/198/13.12.2023 - Servicii de organizare a unei campanii media, finanțată din proiectul Reforma sistemului de management și a celui de guvernanță în domeniul forestier prin dezvoltarea unei Strategii forestiere naționale și a legislației subsecvente din cadrul Planului Național de Redresare și Reziliență</t>
  </si>
  <si>
    <t>Campania națională de împădurire și reîmpădurire, inclusiv păduri urbane</t>
  </si>
  <si>
    <t>25, 26, 27, 28</t>
  </si>
  <si>
    <t>ha
m2</t>
  </si>
  <si>
    <t>26760
3150000</t>
  </si>
  <si>
    <t>Q4 &amp;Q2</t>
  </si>
  <si>
    <t>2023 &amp;2026</t>
  </si>
  <si>
    <t>I.1A</t>
  </si>
  <si>
    <t>Sprijin pentru investiții în suprafețe ocupate de păduri</t>
  </si>
  <si>
    <t>25, 26</t>
  </si>
  <si>
    <t xml:space="preserve">         NU</t>
  </si>
  <si>
    <t>PN7967764410180/23.03.2023 - ÎMPADURIRE TERENURI AGRICOLE-SCORNICEȘTI</t>
  </si>
  <si>
    <t xml:space="preserve">ha
</t>
  </si>
  <si>
    <t xml:space="preserve">Mărgineni Slobozia, Oraș Scornicești </t>
  </si>
  <si>
    <t>SC Moda Tânără SRL</t>
  </si>
  <si>
    <t>RO15436939</t>
  </si>
  <si>
    <t>PN3682175077372/09.06.2023 ,,Impadurirea terenului agricol situat in comuna Lechinta, judetul Bistrita Nasaud, in suprafata de 2.84 ha, beneficiar SC Ettera Tranzactii Imobiliare SRL”</t>
  </si>
  <si>
    <t>Bistrița-Năsăud</t>
  </si>
  <si>
    <t>Lechinta</t>
  </si>
  <si>
    <t>SC Ettera Tranzactii Imobiliare SRL</t>
  </si>
  <si>
    <t>PN9676087663634/25.05.2023 - „ÎMPADURIRE TEREN AGRICOL BREBENI”</t>
  </si>
  <si>
    <t>Brebeni</t>
  </si>
  <si>
    <t>P.F.  Rotaru Mihail Leonard</t>
  </si>
  <si>
    <t>PN2430132853344/ 29.05.2023 - „SPRIJIN PENTRU INVESTIȚII ÎN NOI SUPRAFEȚE OCUPATE DE PĂDURI”</t>
  </si>
  <si>
    <t>Voinesti</t>
  </si>
  <si>
    <t>P.F.  DANILĂ CARMINA</t>
  </si>
  <si>
    <t>PN1087014743217/25.05.2023 - ”SPRIJIN PENTRU INVESTIȚII ÎN NOI SUPRAFEȚE OCUPATE DE PĂDURI”</t>
  </si>
  <si>
    <t>Averești</t>
  </si>
  <si>
    <t>I.I. FENEA D</t>
  </si>
  <si>
    <t>PN7683055264698/25.05.2023 -  „ÎMPĂDURIREA TERENURILOR AGRICOLE DEȚINUTE DE GHEORGHEȘ IONUȚ - VADU MOLDOVEI, JUDEȚUL SUCEAVA”</t>
  </si>
  <si>
    <t>Suceava</t>
  </si>
  <si>
    <t>Vadul Moldovei</t>
  </si>
  <si>
    <t>P.F. Ionuț GHEORGHEȘ</t>
  </si>
  <si>
    <t>PN3493216768334/25.05.2023 -  „ÎMPĂDURIREA TERENURILOR AGRICOLE DEȚINUTE DE RĂȚOI - MACOVEI CONSTANTIN - ZVORÂȘTEA, JUDEȚUL SUCEAVA”</t>
  </si>
  <si>
    <t>Zvorâștea</t>
  </si>
  <si>
    <t>P.F. CONSTANTIN RĂȚOI - MACOVEI</t>
  </si>
  <si>
    <t>PN8908547874450/31.05.2023 „SPRIJIN PENTRU INVESTIȚII ÎN NOI SUPRAFEȚE OCUPATE DE PĂDURI”</t>
  </si>
  <si>
    <t>Slobozia Ciorasti</t>
  </si>
  <si>
    <t>P.F. Mario-Robert-Valică CROITORU</t>
  </si>
  <si>
    <t>PN9846560522604/31.05.2023 - „Împădurirea terenului agricol proprietate a persoanei fizice Vlad-Drăghici Horaţiu-George situat în extravilanul satului Cobor, comuna Ticușu, judeţul Braşov”</t>
  </si>
  <si>
    <t>sat. Cobor, com.Ticușu</t>
  </si>
  <si>
    <t>P.F. Vlad-Drăghici Horațiu-George</t>
  </si>
  <si>
    <t>PN6002208799097/12.06.2023 „Sprijin pentru investiții în noi suprafețe ocupate de păduri, beneficiar persoana fizică Băluță Răzvan”</t>
  </si>
  <si>
    <t>Brăila</t>
  </si>
  <si>
    <t>Ianca</t>
  </si>
  <si>
    <t>P.F. Băluță Răzvan</t>
  </si>
  <si>
    <t xml:space="preserve"> PN6668657882548/31.05.2023„Sprijin pentru investiții în noi suprafețe ocupate de păduri beneficiar persoana fizica Munteanu Crina Mihaela”</t>
  </si>
  <si>
    <t>P.F. Crina-Mihaela MUNTEANU</t>
  </si>
  <si>
    <t>PN5019771742179/06.06.2023 „Sprijin pentru investiții în noi suprafețe ocupate de păduri beneficiar persoana fizica Oprea Nicoleta”</t>
  </si>
  <si>
    <t>Galați</t>
  </si>
  <si>
    <t>Negrilesti</t>
  </si>
  <si>
    <t>P.F. Nicoleta OPREA</t>
  </si>
  <si>
    <t xml:space="preserve"> PN5832727095332/ 31.05.2023 „Sprijin pentru investiții în noi suprafețe ocupate de păduri beneficiar persoana fizica Dajbog Adrian”</t>
  </si>
  <si>
    <t>Targu Bujor</t>
  </si>
  <si>
    <t>P.F. Adrian DAJBOG</t>
  </si>
  <si>
    <t xml:space="preserve">PN4736302130810/31.05.2023 „Sprijin pentru investiții în noi suprafețe ocupate de păduri” </t>
  </si>
  <si>
    <t>Panciu</t>
  </si>
  <si>
    <t>P.F. Dorinel-Costică POSTOLACHE</t>
  </si>
  <si>
    <t xml:space="preserve">PN9342214605889/05.07.2023„SPRIJIN PENTRU INVESTIȚII ÎN NOI SUPRAFEȚE OCUPATE DE PĂDURI” </t>
  </si>
  <si>
    <t>Galati</t>
  </si>
  <si>
    <t>Umbraresti
Draguseni
Conachi</t>
  </si>
  <si>
    <t>P.F. DRĂGAN CIPRIAN-IULIAN</t>
  </si>
  <si>
    <t xml:space="preserve">PN7561601628988 /31.07.2023 Sprijin pentru investiții în noi suprafețe ocupate de păduri </t>
  </si>
  <si>
    <t>Sihlea</t>
  </si>
  <si>
    <t xml:space="preserve">Întreprindere Familiala Brânzei Gheorghe </t>
  </si>
  <si>
    <t>PN5983632993349 /31.07.2023 Împădurirea terenului agricol proprietatea lui Horga Emilian IF, amplasat în localitatea Slătinita, județul Bistrița Năsăud</t>
  </si>
  <si>
    <t>Bistrita-Nasaud</t>
  </si>
  <si>
    <t>Slatinita</t>
  </si>
  <si>
    <t>Horga I Emilian Întreprindere Familială</t>
  </si>
  <si>
    <t>PN4849484916048 /31.07.2023 Împădurirea terenului agricol denumit Măgura-Zîmbru, amplasat în comuna Măgura Ilvei, județul Bistrița Năsăud, prin PNRR</t>
  </si>
  <si>
    <t>Magura Ilvei</t>
  </si>
  <si>
    <t>Poll  Eduard</t>
  </si>
  <si>
    <t>69838/ Nota pentru indreptare eroare materiala/suprafata neeligibilă</t>
  </si>
  <si>
    <t xml:space="preserve">PN4901162425008/29.06.2023 „PRIMA ÎMPĂDURIRE A SUPRAFEȚEI DE 2,93 HA TEREN AGRICOL AMPLASATE ÎN COMUNA POGONEȘTI, JUDEȚUL VASLUI, PROPRIETAR CĂLIN CRISTINA-ZAMFIRA ÎNTREPRINDERE INDIVIDUALĂ” </t>
  </si>
  <si>
    <t>Pogonesti</t>
  </si>
  <si>
    <t>Î.I CĂLIN CRISTINA - ZAMFIRA</t>
  </si>
  <si>
    <t>2780817441551</t>
  </si>
  <si>
    <t xml:space="preserve">PN3835425525368/29.06.2023„ÎMPĂDURIRE TRUP DE PĂDURE ÎN COMUNA CHILIA VECHE, JUDEȚUL TULCEA” </t>
  </si>
  <si>
    <t>Tulcea</t>
  </si>
  <si>
    <t>Chilia Veche</t>
  </si>
  <si>
    <t>P.F. CĂLUIAN SILVIU CRISTIAN</t>
  </si>
  <si>
    <t>2840917171715</t>
  </si>
  <si>
    <t>PN7994008608738 /31.07.2023 Împădurire trup de pădure în comuna Pardina, județul Tulcea</t>
  </si>
  <si>
    <t>Pardina</t>
  </si>
  <si>
    <t>Timofan Cornel</t>
  </si>
  <si>
    <t>1570131374073</t>
  </si>
  <si>
    <t>PN0027327211808 /31.07.2023 Împădurire trup de pădure, în sat Pardina, comuna Pardina, județ Tulcea</t>
  </si>
  <si>
    <t>Neagu Soitarau Bogdan</t>
  </si>
  <si>
    <t>PN7740521307534 /20.07.2023 Împădurirea suprafeței de 3,6585 ha teren arabil amplasat în comuna Ferești, județul Vaslui</t>
  </si>
  <si>
    <t>Feresti</t>
  </si>
  <si>
    <t xml:space="preserve">Intreprindere Individuala Arteni Nicoleta-Genoveva </t>
  </si>
  <si>
    <t>PN1399277063184 /20.07.2023 PNRR: Împădurirea terenurilor agricole deținute de Turliu Claudia-Dagâța-Iași</t>
  </si>
  <si>
    <t>Dagâța</t>
  </si>
  <si>
    <t>Turliu Claudia</t>
  </si>
  <si>
    <t>PN1910180370491 /20.07.2023 Sprijin pentru investiții în noi păduri beneficiar persoană fizică Antoche Ianina Cătălina</t>
  </si>
  <si>
    <t>Ivești</t>
  </si>
  <si>
    <t>Antohe Ianina-Catalina</t>
  </si>
  <si>
    <t>PN1525206923121 /20.07.2023 Împădurirea suprafeței de 7,2683 ha teren arabil amplasat în comuna Pădureni, județul Vaslui</t>
  </si>
  <si>
    <t>Padureni</t>
  </si>
  <si>
    <t>Gardea Marin</t>
  </si>
  <si>
    <t>PN0314166941547 /31.07.2023 Sprijin pentru investiții în noi suprafețe ocupate de păduri în orașul Nădlac, județul Arad - Kelo Milan Eden Nădlac ÎI</t>
  </si>
  <si>
    <t>Nădlac</t>
  </si>
  <si>
    <t> KELO MILAN "EDEN-NADLAC" ÎNTREPRINDERE INDIVIDUALĂ</t>
  </si>
  <si>
    <t>PN4377743481899 /31.07.2023 Sprijin pentru investiții în suprafețe ocupate de păduri în localitatea Gălpaia, județul Sălaj-Filiala Ocolul Silvic Blidaru</t>
  </si>
  <si>
    <t>Galpaia</t>
  </si>
  <si>
    <t>FILIALA OCOLUL SILVIC BLIDARU</t>
  </si>
  <si>
    <t>RO25534861</t>
  </si>
  <si>
    <t>PN5768140946183 /31.07.2023 Împădurire trup de pădure, Danilencu Adina, în comuna Pardina, județul Tulcea</t>
  </si>
  <si>
    <t>Danilencu Adina</t>
  </si>
  <si>
    <t>PN2640034466377 /31.07.2023 Împădurire trup de pădure,sat Camena, comuna Baia, județul Tulcea</t>
  </si>
  <si>
    <t>Camena</t>
  </si>
  <si>
    <t>Siret Dumitrel</t>
  </si>
  <si>
    <t xml:space="preserve">	PN7339064348188 / 31.07.2023Împădurire trup de pădure,sat Camena, comuna Baia, județul Tulcea </t>
  </si>
  <si>
    <t>Barcea</t>
  </si>
  <si>
    <t>Serban Mihai-Ciprian întreprindere Individuală</t>
  </si>
  <si>
    <t>PN5234268592381 /31.07.2023 Sprijin pentru investiții în noi suprafețe ocupate de păduri beneficiar persoană fizică Postolache Danuț</t>
  </si>
  <si>
    <t>Munteni</t>
  </si>
  <si>
    <t>Postolache Dănuț</t>
  </si>
  <si>
    <t>PN5605952548366 / 31.07.2023Sprijin pentru investiții în noi suprafețe ocupate de păduri beneficiar persoană fizică Vintilă Nicuța</t>
  </si>
  <si>
    <t>Vârlezi</t>
  </si>
  <si>
    <t>Vintilă Nicuța</t>
  </si>
  <si>
    <t>PN7691284920742 / 03.08.2023 Împădurire trup de pădure, în comuna Valea Teilor, județul Tulcea</t>
  </si>
  <si>
    <t>Teilor</t>
  </si>
  <si>
    <t>Sârbu Catălin Paul</t>
  </si>
  <si>
    <t>PN6318816652142 /31.07.2023 Împădurirea terenului agricol degradat proprietatea lui Horga Elena, amplasat în localitatea Feldru, județul Bistrița Năsăud</t>
  </si>
  <si>
    <t xml:space="preserve">Bistrita-Nasaud	</t>
  </si>
  <si>
    <t>Feldru</t>
  </si>
  <si>
    <t>Horga Elena</t>
  </si>
  <si>
    <t>PN9070620604518 /07.08.2023 Impădurirea trenurilor agricole Mereuță Gică Laurențiu</t>
  </si>
  <si>
    <t>Puiești</t>
  </si>
  <si>
    <t>Mereuță Gică Laurențiu</t>
  </si>
  <si>
    <t>1700805370012</t>
  </si>
  <si>
    <t>PN6755278623232 /31.08.2023/ Împădurirea suprafeței de 5,0968 ha teren arabil amplasat în comuna Codăești, județul Vaslui</t>
  </si>
  <si>
    <t>Codăești</t>
  </si>
  <si>
    <t>Ciurusniuc Daniel-Mihai</t>
  </si>
  <si>
    <t>PN6084622328110 /30.08.2023/ Investiții în noi suprafețe ocupate de Păduri-Perimetrul Enache Morărit situat pe raza Municipiului Husi, judetul Vaslui</t>
  </si>
  <si>
    <t>Huși</t>
  </si>
  <si>
    <t>ENACHE-MORARIT S.R.L.</t>
  </si>
  <si>
    <t>PN2368490405094 /31.08.2023/ Împădurire trup de pădure, în comuna Cobadin, județul Constanța</t>
  </si>
  <si>
    <t>Constanța</t>
  </si>
  <si>
    <t>Cobadin</t>
  </si>
  <si>
    <t>Grasu Hristu</t>
  </si>
  <si>
    <t>PN4018326058613 /04.09.2023/ Împădurire trup de pădure, în comuna Chilia Veche, județul Tulcea, PNRR</t>
  </si>
  <si>
    <t>POHILCA ADINA</t>
  </si>
  <si>
    <t>PN0845432960617/30.08.2023 / Împădurire trup de pădure în comuna Cerna, județul Tulcea</t>
  </si>
  <si>
    <t>Cerma</t>
  </si>
  <si>
    <t xml:space="preserve"> SARA TOM COMPANY</t>
  </si>
  <si>
    <t>PN8380748883550/10.10.2023/Proiect tehnic de împădurire Remeți pe Someș - Dorca Denis</t>
  </si>
  <si>
    <t>Remeti pe Somes</t>
  </si>
  <si>
    <t>DORCA DENIS</t>
  </si>
  <si>
    <t>1920907245056;</t>
  </si>
  <si>
    <t>PN9085004530288/10.10.2023/Sprijin pentru investiții în noi suprafețe ocupate de păduri finanțat prin PNRR, Pustă Ogești</t>
  </si>
  <si>
    <t>Sâmbata</t>
  </si>
  <si>
    <t>DĂRĂȘTEAN SABIN</t>
  </si>
  <si>
    <t>PN9688461360045/10.10.2023/Sprijin pentru investiții în noi suprafețe ocupate de păduri în comuna Sâmbăta, Județul Bihor - Dem Ioan</t>
  </si>
  <si>
    <t>DEM IOAN</t>
  </si>
  <si>
    <t>PN2283073242840/10.10.2023/Proiect tehnic de împădurire Cîțcău Platon Adrian</t>
  </si>
  <si>
    <t>Cîțcău</t>
  </si>
  <si>
    <t>ADRIAN-VASILE PLATON</t>
  </si>
  <si>
    <t>PN4815828834862/10.10.2023/Înființare trup de pădure, în comuna Cobadin, județul Constanța</t>
  </si>
  <si>
    <t>MERGEANI ELENA</t>
  </si>
  <si>
    <t>PN5624779716382/10.10.2023/Împădurire trup de pădure în comuna Valea Teilor, județul Tulcea</t>
  </si>
  <si>
    <t>Baia</t>
  </si>
  <si>
    <t>SÂRBU DANIEL-CRISTIAN</t>
  </si>
  <si>
    <t>PN3215700652072/10.10.2023/Înființare trup de pădure, în sat Cobadin, județul Constanța</t>
  </si>
  <si>
    <t>BOARȚĂ VASILE-EMILIAN</t>
  </si>
  <si>
    <t>PN8669351638293/10.10.2023/Împădurirea terenurilor agricole Prindii Sergiu Narcis”</t>
  </si>
  <si>
    <t>Delești</t>
  </si>
  <si>
    <t>Sergiu-Narcis Prindii</t>
  </si>
  <si>
    <t>PN9040201628603/10.10.2023/Înființare trup de pădure, în comuna Ion Corvin, județul Constanța</t>
  </si>
  <si>
    <t>Ion Corvin</t>
  </si>
  <si>
    <t>VERGINIA STANCA</t>
  </si>
  <si>
    <t>PN2051489427526/10.10.2023/Înființare trup de pădure în comuna Chilia Veche, județul Tulcea</t>
  </si>
  <si>
    <t>Lucian-Nicolae GRIGOROV</t>
  </si>
  <si>
    <t>PN7126238628381/10.10.2023/Împădurirea suprafeței de 6,452 ha teren arabil amplasat în comuna Pochidia, județul Vaslui</t>
  </si>
  <si>
    <t>Pochidia</t>
  </si>
  <si>
    <t>CIOCAN I. PAULA ÎNTREPRINDERE INDIVIDUALĂ</t>
  </si>
  <si>
    <t>PN9215004016748/10.10.2023/Împădurire trup de pădure, în comuna Ion Corvin, județul Constanța</t>
  </si>
  <si>
    <t>Iulian STAMAT</t>
  </si>
  <si>
    <t>PN0291508763994/11.10.2023/Împădurirea suprafeței de 10,3861 ha teren arabil, proprietar AGRARCRIS SRL, județul Vaslui</t>
  </si>
  <si>
    <t>Zăpodeni
Ștefan Cel Mare</t>
  </si>
  <si>
    <t>AGRARCRIS S.R.L.</t>
  </si>
  <si>
    <t>PN7686586018964/11.10.2023/Sprijin pentru investiții în noi suprafețe ocupate de păduri beneficiar persoana fizică Marioara Cristina</t>
  </si>
  <si>
    <t>Umbrărești</t>
  </si>
  <si>
    <t>CRISTINA MARIOARA</t>
  </si>
  <si>
    <t>PN9352555186569/11.10.2023/Sprijin pentru investiții în noi suprafețe ocupate de păduri din cadrul PNRR-Copăcel</t>
  </si>
  <si>
    <t>Copăcel</t>
  </si>
  <si>
    <t>SATMARI ALIN-VASILE</t>
  </si>
  <si>
    <t>PN7943552112547/12.10.2023/Înființare trup de pădure, în sat Viișoara, județul Constanța</t>
  </si>
  <si>
    <t>Viișoara</t>
  </si>
  <si>
    <t>Costea Ștefania-Cerasela</t>
  </si>
  <si>
    <t>2940913210015</t>
  </si>
  <si>
    <t>PN1780830906453/12.10.2023/Sprijin pentru investiții în noi suprafețe ocupate de păduri beneficiar persoană fizică Popa Georgică</t>
  </si>
  <si>
    <t>Popa Georgică</t>
  </si>
  <si>
    <t>1680731173183</t>
  </si>
  <si>
    <t>PN2886102165455/13.10.2023/Împădurirea suprafeței de 0,9662 ha teren arabil amplasat în comuna Matca, județul Galați</t>
  </si>
  <si>
    <t>Matca</t>
  </si>
  <si>
    <t>Nare Valentin</t>
  </si>
  <si>
    <t>PN3555879021526/13.10.2023/Sprijin pentru investiții in noi suprafețe ocupate de păduri” beneficiar persoana fizică Enică Dumitru</t>
  </si>
  <si>
    <t>Schela</t>
  </si>
  <si>
    <t>Enică Dumitru</t>
  </si>
  <si>
    <t>PN2456398121592/19.10.2023/Împădurirea suprafeței de 56,4339 ha teren agricol amplasat în comuna Pogana, județul Vaslui</t>
  </si>
  <si>
    <t>Pogana</t>
  </si>
  <si>
    <t>POMICOLA PUIEȘTI S.R.L.</t>
  </si>
  <si>
    <t>46478470</t>
  </si>
  <si>
    <t>PN8861928154361/19.10.2023/Împădurirea suprafeței de 1,50 ha situată în extravilanul localității Mahmudia, județul Tulcea pe amplasamentul denumit La livadă</t>
  </si>
  <si>
    <t>Mahmudia</t>
  </si>
  <si>
    <t>Ancuta-Iuliana Calciu</t>
  </si>
  <si>
    <t>2790102364233</t>
  </si>
  <si>
    <t>PN8742891627407/19.10.2023/Împădurirea a 2,84 ha pe raza comunei Izvoarele, jud. Teleorman, prin PNRR</t>
  </si>
  <si>
    <t>Izvoarele</t>
  </si>
  <si>
    <t>Stela Culcea</t>
  </si>
  <si>
    <t>2670528345387</t>
  </si>
  <si>
    <t>PN2214496456027/24.10.2023/Sprijin pentru investiții în noi suprafețe ocupate de păduri - beneficiar persoană fizică Răgălie Filip-Ciprian</t>
  </si>
  <si>
    <t>Tortoman</t>
  </si>
  <si>
    <t>Filip Ciprian Ragalie</t>
  </si>
  <si>
    <t>PN9993717204643/07.11.2023/Înființarea perdelelor forestiere prin împădurirea terenurilor agricole Ianca</t>
  </si>
  <si>
    <t>Marcel Măncioiu</t>
  </si>
  <si>
    <t>1531215282201</t>
  </si>
  <si>
    <t xml:space="preserve">PN3200048438620/07.11.2023/Proiect tehnic de împădurire Mintiu-Gherlii, Târnovan Ana-Maria </t>
  </si>
  <si>
    <t>Salatiu</t>
  </si>
  <si>
    <t>Ana Maria Târnovan</t>
  </si>
  <si>
    <t>2780823124033</t>
  </si>
  <si>
    <t>PN0412362162356/07.11.2023/Sprijin pentru investiții în noi suprafețe ocupate de păduri finanțat prin PNRR - Parohia ortodoxă română Topa de sus, comuna Dobrești, județul Bihor</t>
  </si>
  <si>
    <t>Dobrești</t>
  </si>
  <si>
    <t>Parohia Ortodoxă Română Topa de Sus</t>
  </si>
  <si>
    <t>10559124</t>
  </si>
  <si>
    <t>PN5401726265445/07.11.2023/PNRR: Împădurirea terenurilor agricole deținute de Samoilă Costel - Vadu Moldovei, județul Suceava</t>
  </si>
  <si>
    <t>Nigotești</t>
  </si>
  <si>
    <t xml:space="preserve">COSTEL SAMOILĂ </t>
  </si>
  <si>
    <t>1850508080168</t>
  </si>
  <si>
    <t>PN1472479800016/07.11.2023/PNRR: Împădurirea terenurilor agricole deținute de Dîrțu Gheorghe - Ilișești, județul Suceava</t>
  </si>
  <si>
    <t>Ilișești</t>
  </si>
  <si>
    <t>GHEORGHE DÎRȚU</t>
  </si>
  <si>
    <t>1710425332142</t>
  </si>
  <si>
    <t>PN8272503321615/07.11.2023/Împădurirea terenurilor agricole deținute de Coșman Elena Sorina - Suceava, județul Suceava</t>
  </si>
  <si>
    <t xml:space="preserve">Elena-Sorina Coșman </t>
  </si>
  <si>
    <t>2660317332145</t>
  </si>
  <si>
    <t>PN9806596164227/07.11.2023/Împădurirea terenurilor agricole deținute de Seserman Maria Mihaela - Ilișești, județul Suceava</t>
  </si>
  <si>
    <t>MARIA-MIHAELA SESERMAN</t>
  </si>
  <si>
    <t>2771215332141</t>
  </si>
  <si>
    <t>PN8312423617078/07.11.2023/Împădurirea terenurilor agricole deținute de Rusu Florin - Ilișești, județul Suceava</t>
  </si>
  <si>
    <t>Florin Rusu</t>
  </si>
  <si>
    <t>1740406332149</t>
  </si>
  <si>
    <t>PN1127213459088/14.11.2023/Sprijin pentru investiții în noi suprafețe ocupate de păduri</t>
  </si>
  <si>
    <t>Galbeanu</t>
  </si>
  <si>
    <t>SC ACSOR AGRO S.R.L.</t>
  </si>
  <si>
    <t>39870772</t>
  </si>
  <si>
    <t>PN9397042642924/14.11.2023/Sprijin pentru investiții în noi suprafețe ocupate de păduri</t>
  </si>
  <si>
    <t>Deleni
Cobadin</t>
  </si>
  <si>
    <t>Valentin Neagu</t>
  </si>
  <si>
    <t>1740904131271</t>
  </si>
  <si>
    <t>PN3059182394590/14.11.2023/Înființare trup de pădure în comuna Nicolae Bălcescu, județul Constanța</t>
  </si>
  <si>
    <t>Nicolae Bălcescu</t>
  </si>
  <si>
    <t>ALBU NICOLAE</t>
  </si>
  <si>
    <t>1550710131215</t>
  </si>
  <si>
    <t>PN6813043547940/14.11.2023/Împădurirea suprafeței de 0,74 ha situată în extravilanul localității Agighiol, județul Tulcea</t>
  </si>
  <si>
    <t xml:space="preserve">Valea Nucarilor </t>
  </si>
  <si>
    <t>Tozaru Niculai</t>
  </si>
  <si>
    <t>1650416364231</t>
  </si>
  <si>
    <t>PN9929211372962/14.11.2023/ÎMPĂDURIREA UNOR SUPRAFEȚE AGRICOLE PRIN PNRR./C2/I.1.A COMPONENTA 2 PĂDURI ȘI PROTECȚIA BIODIVERSITĂȚII - Florin Cosmin Cozma</t>
  </si>
  <si>
    <t>Satu-Mare</t>
  </si>
  <si>
    <t>Bârsău</t>
  </si>
  <si>
    <t>FLORIN-COSMIN COZMA</t>
  </si>
  <si>
    <t>1830501302778</t>
  </si>
  <si>
    <t>PN0766471761416/14.11.2023/Împădurirea suprafeței de 8,94 ha teren arabil, proprietar Humă Viorel din comuna Ștefan cel Mare, județul Vaslui</t>
  </si>
  <si>
    <t>Ștefan cel Mare</t>
  </si>
  <si>
    <t>Viorel Huma</t>
  </si>
  <si>
    <t>1660627373466</t>
  </si>
  <si>
    <t>PN3135931751306/22.11.2023/Înființare trup de pădure în comuna Ciobanu, județul Constanța</t>
  </si>
  <si>
    <t>Ciobanu</t>
  </si>
  <si>
    <t>Adrian CAMBURU</t>
  </si>
  <si>
    <t>1850115134166</t>
  </si>
  <si>
    <t>PN4711664314636/20.11.2023/Sprijin pentru investiții în noi suprafețe ocupate de păduri</t>
  </si>
  <si>
    <t>Șcheia și Schitu Duca</t>
  </si>
  <si>
    <t>Fenea D întreprindere individuală</t>
  </si>
  <si>
    <t>PN7425919310855/20.11.2023/Împădurirea terenurilor agricole Munteanu Marcel Cicerone</t>
  </si>
  <si>
    <t>Grivița</t>
  </si>
  <si>
    <t>MARCEL MUNTEANU CICERONE</t>
  </si>
  <si>
    <t>1741003370021</t>
  </si>
  <si>
    <t>PN3308585570437/20.11.2023/Împădurire trup de pădure, în comuna Săcele, județul Constanța</t>
  </si>
  <si>
    <t>Săcele</t>
  </si>
  <si>
    <t>ION TIRIBENDEA</t>
  </si>
  <si>
    <t>1800121134135</t>
  </si>
  <si>
    <t>PN5270989204648/29.11.2023/Împădurirea terenului agricol Munteanu Alina-Iuliana prin accesarea Schemei de ajutor de stat ,,Sprijin pentru investiții în noi suprafețe ocupate de păduri” din PNRR</t>
  </si>
  <si>
    <t>ALINA IULIANA MUNTEANU</t>
  </si>
  <si>
    <t>2781022370057</t>
  </si>
  <si>
    <t>PN0635035051699/29.11.2023/Împădurirea suprafețelor agricole în loc. Ostrov, jud. Constanța</t>
  </si>
  <si>
    <t>Ostrov</t>
  </si>
  <si>
    <t>Andrei-Alexandru STEFĂNICĂ</t>
  </si>
  <si>
    <t>1870117510017</t>
  </si>
  <si>
    <t>PN2586348280379/29.11.2023/Sprijin pentru investiții în noi suprafețe ocupate de păduri din cadrul PNRR –TOMA AUGUSTIN - Salonta</t>
  </si>
  <si>
    <t>Salonta</t>
  </si>
  <si>
    <t>Augustin Toma</t>
  </si>
  <si>
    <t>1840808057639</t>
  </si>
  <si>
    <t>PN5514810957690/29.11.2023/Perdele forestiere Academia Română-Constanța</t>
  </si>
  <si>
    <t>Grădina</t>
  </si>
  <si>
    <t>Fundația Patrimoniu</t>
  </si>
  <si>
    <t>17954260</t>
  </si>
  <si>
    <t>PN9425040094087/29.11.2023/Schema de ajutor de stat sprijin pentru investiții în noi suprafețe ocupate de păduri din PNRR, pentru suprafața de 2,6018 ha, beneficiar Berceanu Alin - loc. Daneți, județul Dolj</t>
  </si>
  <si>
    <t>Daneti</t>
  </si>
  <si>
    <t xml:space="preserve"> Alin BERCEANU</t>
  </si>
  <si>
    <t>1830508160081</t>
  </si>
  <si>
    <t>PN9822700290672/29.11.2023/Schema de ajutor de stat sprijin pentru investiții în noi suprafețe ocupate de păduri din PNRR, pentru suprafața de 3,4289 ha, beneficiar Căpățînă Ion - loc. Daneți, jud. Dolj</t>
  </si>
  <si>
    <t>Ion CĂPĂȚÎNĂ</t>
  </si>
  <si>
    <t>1600923161037</t>
  </si>
  <si>
    <t>PN6657341837446/29.11.2023/Sprijin pentru investiții în noi suprafețe ocupate de păduri beneficiar persoană fizică Chitic Florin</t>
  </si>
  <si>
    <t>Florin Chitic</t>
  </si>
  <si>
    <t>1890419171703</t>
  </si>
  <si>
    <t>PN7337152301218/29.11.2023/Sprijin pentru investiții în noi suprafețe ocupate de păduri din cadrul PNRR - VIERU DIANA CRISTINA</t>
  </si>
  <si>
    <t>Măgești</t>
  </si>
  <si>
    <t>DIANA-CRISTINA VIERU</t>
  </si>
  <si>
    <t>2770903050011</t>
  </si>
  <si>
    <t>PN1550589072356/29.11.2023/Sprijin pentru investiții în noi suprafețe ocupate de păduri beneficiar persoană fizică Haimana Ionela</t>
  </si>
  <si>
    <t>Suraia</t>
  </si>
  <si>
    <t>Ionela Haimana</t>
  </si>
  <si>
    <t>2790408390032</t>
  </si>
  <si>
    <t>PN4484615440843/29.11.2023/PNRR: Împădurirea terenurilor agricole deținute de Pleșu Gheorghe - UAT Băcani -  Județul Vaslui</t>
  </si>
  <si>
    <t>Băcani</t>
  </si>
  <si>
    <t>GHEORGHE PLEȘU</t>
  </si>
  <si>
    <t>1580913370035</t>
  </si>
  <si>
    <t>PN4823894694334/05.12.2023/Sprijin pentru investiții în noi suprafețe ocupate de păduri în comuna Remetea, județul Bihor - Antal Ștefan</t>
  </si>
  <si>
    <t>Remetea</t>
  </si>
  <si>
    <t xml:space="preserve">Ștefan ANTAL </t>
  </si>
  <si>
    <t>5030712051156</t>
  </si>
  <si>
    <t>PN6053048643294/05.12.2023/Sprijin pentru investiții în noi suprafețe ocupate de păduri, beneficiar perosană fizică Druță Dănuț Vasile</t>
  </si>
  <si>
    <t>Dănuț Vasile Druță</t>
  </si>
  <si>
    <t>1960131171690</t>
  </si>
  <si>
    <t>PN5529218438247/06.12.2023/„Înființare perdele forestiere de protecție, în cadrul Universității de Științe Agricole și Medicină Veterinară a Banatului „REGELE MIHAI I al României” din Timișoara”</t>
  </si>
  <si>
    <t>Timișoara</t>
  </si>
  <si>
    <t>UNIVERSITATEA DE ȘTIINȚELE VIEȚII „REGELE MIHAI I”DIN TIMIȘOARA</t>
  </si>
  <si>
    <t>3487181</t>
  </si>
  <si>
    <t>PN6249065260202/12.12.2023/Proiect tehnic de împădurire - persoană fizică Jujonescu Cerasela-Daiana</t>
  </si>
  <si>
    <t>Belinț</t>
  </si>
  <si>
    <t>Cerasela Daiana Jujonescu</t>
  </si>
  <si>
    <t>PN2026539023725/12.12.2023/SPRIJIN PENTRU INVESTIȚII ÎN NOI SUPRAFEȚE OCUPATE DE PĂDURI DIN CADRUL PNRR – LUGOJAN DELIA–ELISABETA, sat Bucium, comuna Ceica, județul Bihor</t>
  </si>
  <si>
    <t>Ceica</t>
  </si>
  <si>
    <t>Delia Elisabeta Lugojan</t>
  </si>
  <si>
    <t>PN4619145103227/18.12.2023/Împădurirea a 1,00 ha pe raza comunei Dobrotești, județul Teleorman, prin PNRR</t>
  </si>
  <si>
    <t>Dobrotești</t>
  </si>
  <si>
    <t>NICULAE MANEA</t>
  </si>
  <si>
    <t>1600904341711</t>
  </si>
  <si>
    <t>PN4980594882288/18.12.2023/Împădurirea suprafeței de 2,0 ha situată în extravilanul localității Ceamurlia de Sus, comuna Baia, județul Tulcea, pe amplasamentul denumit Ceamurlia</t>
  </si>
  <si>
    <t>Culuș Culuș</t>
  </si>
  <si>
    <t>1490503360013</t>
  </si>
  <si>
    <t xml:space="preserve">PN1286273064406/01.02.2024/Sprijin pentru investiții în noi suprafețe ocupate de păduri beneficiar persoană fizică Lazăr Marian </t>
  </si>
  <si>
    <t>Marian Lazăr</t>
  </si>
  <si>
    <t>1800907174032</t>
  </si>
  <si>
    <t>PN0779277184187/01.02.2024/Sprijin pentru investiții în noi suprafețe ocupate de păduri beneficiar persoană fizică Anghel Viorel</t>
  </si>
  <si>
    <t>Viorel ANGHEL</t>
  </si>
  <si>
    <t>1841031174033</t>
  </si>
  <si>
    <t>PN3257396329354/02.02.2024/Împădurire teren agricol Roșia de Amaradia-Fluieruși</t>
  </si>
  <si>
    <t>Roșia de Amaradia</t>
  </si>
  <si>
    <t>Gheorghe FLUERUȘI</t>
  </si>
  <si>
    <t>1670702181177</t>
  </si>
  <si>
    <t>PN8895829373946/01.02.2024/Împădurirea terenurilor agricole Barnea Silvian Ștefan prin accesarea Schemei de ajutor de stat Sprijin pentru investiții în noi suprafețe ocupate de păduri din PNRR</t>
  </si>
  <si>
    <t>Dumești</t>
  </si>
  <si>
    <t>Silvian Ștefan BARNEA</t>
  </si>
  <si>
    <t>PN0595992024212/16.02.2024/Împădurirea suprafeței de 3,9119 ha teren agricol amplasat în comuna Pădureni, județul Vaslui</t>
  </si>
  <si>
    <t>Pădureni</t>
  </si>
  <si>
    <t>Darie Vergil</t>
  </si>
  <si>
    <t>1670809372237</t>
  </si>
  <si>
    <t>PN5969592011196/16.02.2024/Împădurirea terenurilor agricole deținute de Pricopi Tudor - UAT Ștefănești - Botoșani</t>
  </si>
  <si>
    <t>Botoșani</t>
  </si>
  <si>
    <t>Ștefănești</t>
  </si>
  <si>
    <t>Tudor Pricopi</t>
  </si>
  <si>
    <t>1520115226323</t>
  </si>
  <si>
    <t>PN5613174029786/16.02.2024/Sprijin pentru investiții în noi suprafețe ocupate de păduri beneficiar persoană fizică Seciu Costel</t>
  </si>
  <si>
    <t>Movilița</t>
  </si>
  <si>
    <t>COSTEL SECIU</t>
  </si>
  <si>
    <t>1720517393705</t>
  </si>
  <si>
    <t>PN6818043717670/16.02.2024/Sprijin pentru investiții în noi suprafețe ocupate de păduri beneficiar persoană fizică Arghire Florin</t>
  </si>
  <si>
    <t>Munteni
Barcea
Drăgănești</t>
  </si>
  <si>
    <t>Florin ARGIRE</t>
  </si>
  <si>
    <t>1830710171751</t>
  </si>
  <si>
    <t>PN8748264104175/16.02.2024/Împădurirea terenului agricol din comuna Teaca, beneficiar Fodor Emil</t>
  </si>
  <si>
    <t>Teaca</t>
  </si>
  <si>
    <t>EMIL FODOR</t>
  </si>
  <si>
    <t>1800328064243</t>
  </si>
  <si>
    <t>PN2940563726016/16.02.2024/PNRR: Împădurirea terenurilor agricole deținute de Gheorgheș Ionuț - proiect 2 - Vadu Moldovei Județul Suceava</t>
  </si>
  <si>
    <t>Vadu Moldovei</t>
  </si>
  <si>
    <t>Ionuț GHEORGHEȘ</t>
  </si>
  <si>
    <t>1870824336382</t>
  </si>
  <si>
    <t>PN5220760293822/16.02.2024/PNRR: Împădurirea terenurilor agricole deținute de Petrescu Otilia - Preutești Județul Suceava</t>
  </si>
  <si>
    <t>Preutești</t>
  </si>
  <si>
    <t>Otilia PETRESCU</t>
  </si>
  <si>
    <t>2790606224538</t>
  </si>
  <si>
    <t>PN3533227131538/16.02.2024/PNRR: Împădurirea terenurilor agricole deținute de Mihalescu Alexandru - Horodniceni - Suceava</t>
  </si>
  <si>
    <t>Horodniceni</t>
  </si>
  <si>
    <t>Alexandru MIHALESCU</t>
  </si>
  <si>
    <t>1930304330212</t>
  </si>
  <si>
    <t>PN0256020877721/16.02.2024/Proiect tehnic de împădurire - persoană fizică Mitru Camelia Lavinia</t>
  </si>
  <si>
    <t>Traian Vuia</t>
  </si>
  <si>
    <t>Camelia Lavinia MITRU</t>
  </si>
  <si>
    <t>2800217204978</t>
  </si>
  <si>
    <t>PN4238463262169/16.02.2024/Sprijin pentru investiții în noi suprafețe ocupate de păduri beneficiar persoană fizică BARARU ION</t>
  </si>
  <si>
    <t>Ghidigeni</t>
  </si>
  <si>
    <t>Ion BĂRARU</t>
  </si>
  <si>
    <t>1710107173156</t>
  </si>
  <si>
    <t>PN4384043932873/16.02.2024/Sprijin pentru investiții în noi suprafețe ocupate de păduri din cadrul PNRR – DEGĂU LĂCRIMIOARA ALINA, localitatea Miziești, comuna Drăgănești, județul Bihor</t>
  </si>
  <si>
    <t>Drăgănești</t>
  </si>
  <si>
    <t>Lăcrămioara-Alina DEGĂU</t>
  </si>
  <si>
    <t>2791122120686</t>
  </si>
  <si>
    <t>PN3833043731955/16.02.2024/Împădurirea suprafeței de 3,5 ha situată în extravilanul localității Topalu, județul Constanța, pe amplasamentul denumit Stanciu Valentin</t>
  </si>
  <si>
    <t>Topalu</t>
  </si>
  <si>
    <t>Valentin Stanciu</t>
  </si>
  <si>
    <t>1690621133108</t>
  </si>
  <si>
    <t>PN3634813253021/16.02.2024/ÎMPĂDURIRE PĂȘUNE NICOLAE BĂLCESCU - ORĂȘANU</t>
  </si>
  <si>
    <t>Alina-Magdalena Orasanu</t>
  </si>
  <si>
    <t>2790224384221</t>
  </si>
  <si>
    <t>PN4293513738230/16.02.2024/SPRIJIN PENTRU INVESTIȚII ÎN NOI SUPRAFEȚE OCUPATE DE PĂDURI DIN CADRUL PNRR –ARCHIȘ – MARTA TRAIAN, SAT GROȘENI, JUDEȚUL ARAD</t>
  </si>
  <si>
    <t>Groșeni</t>
  </si>
  <si>
    <t>Traian Marta</t>
  </si>
  <si>
    <t>1640513022804</t>
  </si>
  <si>
    <t>PN5476257791452/21.02.2024/Împădurirea terenului agricol amplasat în localitatea Sieu, județul Bistrița Năsăud, în suprafață de 1,0943 ha</t>
  </si>
  <si>
    <t>Sieu</t>
  </si>
  <si>
    <t>Doru Alin Suciu</t>
  </si>
  <si>
    <t>1790914060812</t>
  </si>
  <si>
    <t>PN8437535383638/21.02.2024/Schemă de ajutor de stat SPRIJIN PENTRU INVESTIȚII ÎN NOI SUPRAFEȚE OCUPATE DE PĂDURI din PNRR, pentru suprafața de 7,0925 ha, beneficiar MITRAN N. MIRCEA PFA - loc. Dobrești, jud. Dolj</t>
  </si>
  <si>
    <t>MITRAN N. MIRCEA PERSOANĂ FIZICĂ AUTORIZATĂ</t>
  </si>
  <si>
    <t>26938876</t>
  </si>
  <si>
    <t xml:space="preserve">PN1203923004457/21.02.2024/Schema de ajutor de stat SPRIJIN PENTRU INVESTITII ÎN NOI SUPRAFEȚE OCUPATE DE PĂDURI din PNRR, pentru suprafața de 4,3976 ha, beneficiar MITRAN DANUT FLORIN PERSOANĂ FIZICĂ AUTORIZATĂ - localitatea Dobrești, jud. Dolj </t>
  </si>
  <si>
    <t>MITRAN DĂNUȚ FLORIN PERSOANĂ FIZICĂ AUTORIZATĂ</t>
  </si>
  <si>
    <t xml:space="preserve">30524821
</t>
  </si>
  <si>
    <t>PN4432610598709/26.02.2024/Împădurirea terenurilor agricole deținute de Bîrsan Beniamin Ilie - Mihai Eminescu - Botoșani</t>
  </si>
  <si>
    <t>Mihai Eminescu</t>
  </si>
  <si>
    <t>Beniamin-Ilie Bîrsan</t>
  </si>
  <si>
    <t>5030611070031</t>
  </si>
  <si>
    <t>PN4962874461844/26.02.2024/Sprijin pentru investiții în noi suprafețe ocupate de păduri în oraș Lipova, județul Arad denumit ”Butuca”</t>
  </si>
  <si>
    <t>Lipova</t>
  </si>
  <si>
    <t>BC CODRU DAFIN S.R.L.</t>
  </si>
  <si>
    <t>1780301024489</t>
  </si>
  <si>
    <t>PN4239244255189/26.02.2024/SPRIJIN PENTRU INVESTIȚII ÎN NOI SUPRAFEȚE OCUPATE DE PĂDURI DIN CADRUL PNRR –TAU IOAN</t>
  </si>
  <si>
    <t>Răbăgani</t>
  </si>
  <si>
    <t>Ioan TAU</t>
  </si>
  <si>
    <t>1610926054678</t>
  </si>
  <si>
    <t>PN4045912280060/26.02.2024/Schema de ajutor de stat SPRIJIN PENTRU INVESTITII ÎN NOI SUPRAFETE OCUPATE DE PĂDURI din PNRR, pentru suprafața de 15,7923 ha, beneficiar  MĂCEȘANU NICOLAE-FLORIAN PFA - loc. Daneți, jud. Dolj</t>
  </si>
  <si>
    <t>Daneți</t>
  </si>
  <si>
    <t>MĂCEȘANU NICOLAE-FLORIAN PERSOANĂ FIZICĂ AUTORIZATĂ</t>
  </si>
  <si>
    <t>35813472</t>
  </si>
  <si>
    <t>PN8757840881320/26.02.2024/Schemă de ajutor de stat SPRIJIN PENTRU INVESTIȚII ÎN NOI SUPRAFEȚE OCUPATE DE PĂDURI din PNRR, pentru suprafața de 6,2887 ha, beneficiar BOBOC FLORIAN - loc. Daneți, jud. Dolj</t>
  </si>
  <si>
    <t>Florian BOBOC</t>
  </si>
  <si>
    <t>1780611161037</t>
  </si>
  <si>
    <t>PN6868836943514/26.02.2024/Împădurirea unor terenuri din județul Suceava, deținător Prindii Sergiu-Narcis</t>
  </si>
  <si>
    <t>Bosanci</t>
  </si>
  <si>
    <t>Sergiu Narcis PRINDII</t>
  </si>
  <si>
    <t>1810323334127</t>
  </si>
  <si>
    <t>PN3090924211971/26.02.2024/Împădurirea unor terenuri din județul Bacău, deținător Prindii Sergiu-Narcis</t>
  </si>
  <si>
    <t>Dealul Morii</t>
  </si>
  <si>
    <t>PN2254619027143/26.02.2024/Împădurirea terenului agricol Scurtu Vasile</t>
  </si>
  <si>
    <t>Vasile SCURTU</t>
  </si>
  <si>
    <t>1730101370029</t>
  </si>
  <si>
    <t>PN8509436592256/29.02.2024/ÎNFIINȚAREA UNEI PLANTAȚII FORESTIERE ȘI ÎMPREJMUIREA TERENULUI, cu suprafața de 0,9285 ha, beneficiar COJARU AURELIAN-loc. Coșoveni, jud. Dolj</t>
  </si>
  <si>
    <t>Coșoveni</t>
  </si>
  <si>
    <t>Aurelian-Cosmin COJOCARU</t>
  </si>
  <si>
    <t>1781104182792</t>
  </si>
  <si>
    <t>PN8043490912586/29.02.2024/Împădurirea suprafeței de 4,50 ha teren agricol amplasat în comuna Zăpodeni, județul Vaslui</t>
  </si>
  <si>
    <t>Zapodeni</t>
  </si>
  <si>
    <t>Constantin ILIE</t>
  </si>
  <si>
    <t>1641010374060</t>
  </si>
  <si>
    <t>PN9466368134203/05.03.2024/Împădurire teren agricol în UAT Borăscu, pe suprafața de 2,5 ha, pentru beneficiar MIERLĂ PARASCHIVA</t>
  </si>
  <si>
    <t>Borascu</t>
  </si>
  <si>
    <t xml:space="preserve">Paraschiva MIERLĂ </t>
  </si>
  <si>
    <t>2430920400030</t>
  </si>
  <si>
    <t>PN6535050653718/05.03.2024/Împădurirea suprafeței de 48,00 ha terenuri agricole utilizate de către SC Agro-Solomonescu SRL</t>
  </si>
  <si>
    <t>Drăgușeni</t>
  </si>
  <si>
    <t>AGRO-SOLOMONESCU S.R.L.</t>
  </si>
  <si>
    <t>RO 15222870</t>
  </si>
  <si>
    <t>PN5062108665138/05.03.2024/Schema de ajutor de stat SPRIJIN PENTRU INVESTITII ÎN NOI SUPRAFETE OCUPATE DE PĂDURI din PNRR, pentru suprafața de 41,9996 ha, beneficiar BC CODRU DAFIN SRL, amplasat pe raza UAT Salcia, județul Mehedinți</t>
  </si>
  <si>
    <t>Salcia</t>
  </si>
  <si>
    <t>PN9274791496313/05.03.2024/Împădurirea a 0,57 ha pe raza com. Gratia, jud. Teleorman, prin PNRR</t>
  </si>
  <si>
    <t>Gratia</t>
  </si>
  <si>
    <t>Fănuța BOEROAIA</t>
  </si>
  <si>
    <t>2610118280797</t>
  </si>
  <si>
    <t>PN8016309808585/05.03.2024/ÎMPĂDURIRE ȘI CREAREA DE SUPRAFEȚE IMPĂDURITE, CONSTITUITĂ ÎN PERIMETRUL ”KEK HAL” COMUNA LUETA, JUDEȚUL HARGHITA, ÎN SUPRAFAȚĂ DE 44,8883 HA</t>
  </si>
  <si>
    <t>Lueta</t>
  </si>
  <si>
    <t>KEK HAL S.R.L.</t>
  </si>
  <si>
    <t>PN9247854846438/05.03.2024/PNRR: Împădurirea terenurilor agricole deținute de SC Yelby Max SRL - Deleni-Lutu Galben - Iași</t>
  </si>
  <si>
    <t>Deleni</t>
  </si>
  <si>
    <t>SC Yelby Max S.R.L.</t>
  </si>
  <si>
    <t>PN0833485779576/05.03.2024/Investiții în noi suprafețe de păduri, meziunea Szarkakőalya şi Bükktető proprietatea publică şi privată al Municipiului Odorheiu Secuiesc</t>
  </si>
  <si>
    <t>Odorhoiul Secuiesc</t>
  </si>
  <si>
    <t>Municipiul Odorheiu Secuiesc</t>
  </si>
  <si>
    <t>PN3710486609370/05.03.2024/PROIECT TEHNIC DE ÎMPĂDURIRE – PERSOANĂ FIZICĂ ZAIȚ ȘTEFAN</t>
  </si>
  <si>
    <t>Timis</t>
  </si>
  <si>
    <t>Racovița</t>
  </si>
  <si>
    <t>Ștefan ZAIȚ</t>
  </si>
  <si>
    <t>1610616352620</t>
  </si>
  <si>
    <t>PN7522352404490/06.03.2024/Împădurire terenuri agricole Brastavățu</t>
  </si>
  <si>
    <t>Brastavățu</t>
  </si>
  <si>
    <t>UAT COMUNA BRASTAVĂȚU</t>
  </si>
  <si>
    <t>PN7698427256818/06.03.2024/ÎMPĂDURIRE TEREN PRIN PNRR, AMPLASAT ÎN COMUNA RODNA, EXTRAVILAN, CF NR. 25794, JUDEȚUL BISTRIȚA-NĂSĂUD</t>
  </si>
  <si>
    <t>Bistrița - Năsăud</t>
  </si>
  <si>
    <t>Rodna</t>
  </si>
  <si>
    <t>Alexandru DOMIDE</t>
  </si>
  <si>
    <t>1880728245098</t>
  </si>
  <si>
    <t>PN8310491858388/06.03.2024/Împădurirea terenului agricol denumit Arșița, amplasat în comuna Măgura-Ilvei, județul Bistrița-Năsăud</t>
  </si>
  <si>
    <t>Măgura-Ilvei</t>
  </si>
  <si>
    <t>Eduard POLL</t>
  </si>
  <si>
    <t>1861127060588</t>
  </si>
  <si>
    <t>PN5456158570572/06.03.2024/Proiectul tehnic de împădurire SC AGRO-SOLOMONESCU SRL prin Schema de ajutor de stat ”Sprijin pentru investiții în noi suprafețe ocupate de păduri” din PNRR</t>
  </si>
  <si>
    <t>Hănești</t>
  </si>
  <si>
    <t>RO15222870</t>
  </si>
  <si>
    <t>PN7032457935480/11.03.2024/Împădurirea suprafeței de 1,0 ha situată în extravilanul localității Luncavița, județul Tulcea, pe amplasamentul denumit Luncavița-Ilie Marian</t>
  </si>
  <si>
    <t>Luncavița</t>
  </si>
  <si>
    <t>Marian ILIE</t>
  </si>
  <si>
    <t>1810113360681</t>
  </si>
  <si>
    <t>PN0109409179409/11.03.2024/ÎNFIINȚARE TRUP DE PĂDURE, ÎN COMUNA PARDINA, JUDEŢUL TULCEA</t>
  </si>
  <si>
    <t>Iordan DANILENCU</t>
  </si>
  <si>
    <t>1620118364221</t>
  </si>
  <si>
    <t>PN9308531317853/11.03.2024/ÎMPĂDURIREA TERENULUI AGRICOL SITUAT ÎN LOCALITATEA BLÂNDEȘTI, JUDEȚUL BOTOȘANI, BENEFICIAR NIȚULESCU ALEXANDRU</t>
  </si>
  <si>
    <t>Blândești</t>
  </si>
  <si>
    <t>Alexandru NITULESCU</t>
  </si>
  <si>
    <t>1900122250013</t>
  </si>
  <si>
    <t>PN6578661852210/11.03.2024/PNRR: Împădurirea terenurilor agricole deținute de Tomniuc Cristian - Stroiești - Suceava</t>
  </si>
  <si>
    <t>Stroiești</t>
  </si>
  <si>
    <t>Cristian Tomniuc</t>
  </si>
  <si>
    <t>1770218073541</t>
  </si>
  <si>
    <t>PN0218721714341/11.03.2024/SPRIJIN PENTRU INVESTIȚII ÎN NOI SUPRAFEȚE OCUPATE DE PĂDURI ÎN COMUNA CETARIU, JUDEȚUL BIHOR - PASCALĂU IOAN</t>
  </si>
  <si>
    <t>Cetariu</t>
  </si>
  <si>
    <t>Ioan Pașcalău</t>
  </si>
  <si>
    <t>1620527054666</t>
  </si>
  <si>
    <t>PN2233188571209/11.03.2024/Împădurirea terenului agricol Mijocenii Birgaului, beneficiar Dosan Aurel Cristian</t>
  </si>
  <si>
    <t>Mijocenii Birgaului</t>
  </si>
  <si>
    <t>AUREL CRISTIAN DOSAN</t>
  </si>
  <si>
    <t>1910504060035</t>
  </si>
  <si>
    <t>PN2024916342053/12.03.2024/Împădurirea terenului agricol Ilva Mare, beneficiar Sângeorzan Vasile</t>
  </si>
  <si>
    <t>Ilva Mare</t>
  </si>
  <si>
    <t>Vasile Sângeorzan</t>
  </si>
  <si>
    <t>PN3182865573637/13.03.2024/ÎMPĂDURIRE TERENURI AGRICOLE - S.C. PRESTOCOM S.R.L.</t>
  </si>
  <si>
    <t>S.C. PRESTOCOM S.R.L.</t>
  </si>
  <si>
    <t>PN1281076908817/13.03.2024/PROIECT TEHNIC DE ÎMPĂDURIRE - PERSOANĂ FIZICĂ BLOȚIU GHEORGHE RADU</t>
  </si>
  <si>
    <t>Petroman</t>
  </si>
  <si>
    <t>Gheorghe-Radu Boltiu</t>
  </si>
  <si>
    <t>1551202354727</t>
  </si>
  <si>
    <t>PN1120768194135/13.03.2024/Împădurirea terenului agricol denumit Măgura - Vârful Stegii, amplasat în comuna Măgura Ilvei, județul Bistrița Năsăud</t>
  </si>
  <si>
    <t>Arșita</t>
  </si>
  <si>
    <t>Gheorghe IACOB</t>
  </si>
  <si>
    <t>1920623060609</t>
  </si>
  <si>
    <t>PN8157305552922/13.03.2024/SPRIJIN PENTRU INVESTIȚII ÎN NOI SUPRAFEȚE OCUPATE DE PĂDURI  DIN CADRU PNRR - NADĂȘ - COIȘ PAVEL</t>
  </si>
  <si>
    <t>Tauț</t>
  </si>
  <si>
    <t>Pavel Coiș</t>
  </si>
  <si>
    <t>1690725020041</t>
  </si>
  <si>
    <t>PN1388361669322/13.03.2024/SPRIJIN PENTRU INVESTIȚII ÎN NOI SUPRAFEȚE OCUPATE DE PĂDURI DIN CADRUL PNRR – SCHULSCHI DANIELA - LUCIA ”, SAT TOPA DE SUS, COMUNA DOBREȘTI, JUDEȚUL BIHOR</t>
  </si>
  <si>
    <t>Topa de Sus</t>
  </si>
  <si>
    <t>DANIELA-LUCIA SCHULSCHI</t>
  </si>
  <si>
    <t>2690706051102</t>
  </si>
  <si>
    <t>PN7046864996759/18.03.2024/PNRR: Împădurirea terenurilor agricole deținute de Bolohan Antonela-Laura – UAT Deleni – Județul Iași</t>
  </si>
  <si>
    <t>Antonela Laura BOLOHAN</t>
  </si>
  <si>
    <t>2770220335041</t>
  </si>
  <si>
    <t>PN0975962715699/18.03.2024/Împădurirea unor terenuri cu suprafața totală de 1,91 ha, situate în comunana Jilavele, jud. Ialomița, în scopul accesării fondurilor aferente Planului Național de Redresare și Reziliență în cadrul apelului de proiecte PNRR/2022/C2/I.1.A – Campania Națională de Împădurire și Reîmpădurire, inclusiv păduri urbane, schemă de ajutor de stat”</t>
  </si>
  <si>
    <t>Jilavele</t>
  </si>
  <si>
    <t>Alina Cătălina IONIȚĂ</t>
  </si>
  <si>
    <t>2810228410041</t>
  </si>
  <si>
    <t>PN2166913961639/18.03.2024/ÎMPĂDURIREA TERENULUI AGRICOL „GOMBOȘ” PROPRIETATEA PERSOANEI FIZICE ERŐSS JÓZSEF-ISTVÁN, SITUAT ÎN EXTRAVILANUL SATULUI CRIȘENI, COMUNA ATID, JUDEȚUL HARGHITA</t>
  </si>
  <si>
    <t>Atid</t>
  </si>
  <si>
    <t>JÓZSEF-ISTVÁN ERŐSS</t>
  </si>
  <si>
    <t>1790822192472</t>
  </si>
  <si>
    <t>PN3217020062368/18.03.2024/Împădurirea terenului agricol denumit Dealu Condrii, amplasat în comuna Maieru, județul Bistrița Năsăud</t>
  </si>
  <si>
    <t>Maieru</t>
  </si>
  <si>
    <t>Dan CANDALE</t>
  </si>
  <si>
    <t>1880728060588</t>
  </si>
  <si>
    <t>PN3813927459179/18.03.2024/Schema de ajutor de stat SPRIJIN PENTRU INVESTIȚII ÎN NOI SUPRAFEȚE OCUPATE DE PĂDURI din PNRR, pentru suprafața de 33,7604 ha, beneficiar BC CODRU DAFIN S.R.L., amplasat pe raza UAT Dăbuleni, jud. Dolj</t>
  </si>
  <si>
    <t>Dăbuleni</t>
  </si>
  <si>
    <t>PN5868719621590/18.03.2024/Sprijin pentru investiții în noi suprafețe ocupate de păduri în U.A.T. Sita Buzăului, Județul Covasna</t>
  </si>
  <si>
    <t>Covasna</t>
  </si>
  <si>
    <t>Sita Buzăului</t>
  </si>
  <si>
    <t>Constantin Dumitru Popică</t>
  </si>
  <si>
    <t>1841025142172</t>
  </si>
  <si>
    <t>PN9214582024683/18.03.2024/Împădurirea suprafeței arabile situată în extravilanul localității Zebil, comuna Sarichioi, județul Tulcea, pe amplasamentul denumit Zebil</t>
  </si>
  <si>
    <t>Sarichioi</t>
  </si>
  <si>
    <t>Victor-Adrian Bașchir</t>
  </si>
  <si>
    <t>1891231360319</t>
  </si>
  <si>
    <t>PN1061709724929/18.03.2024/Schema de ajutor de stat SPRIJIN PENTRU INVESTIȚII ÎN NOI SUPRAFEȚE OCUPATE DE PĂDURI DIN PNRR, pentru suprafața de 4,1083 ha, beneficiar DOBRICĂ REMUS- GEORGIAN, amplasat pe raza UAT Dăbuleni, județul Dolj</t>
  </si>
  <si>
    <t>Dabuleni</t>
  </si>
  <si>
    <t>REMUS-GEORGIAN DOBRICĂ</t>
  </si>
  <si>
    <t>1770305161041</t>
  </si>
  <si>
    <t>PN6659691943351/19.03.2024/Împădurirea terenului agricol denumit Colund, amplasat în comuna Măgura-Ilvei, județul Bistrița-Năsăud</t>
  </si>
  <si>
    <t>Beniamin-Mihai Pop-Buia</t>
  </si>
  <si>
    <t>1880720060586</t>
  </si>
  <si>
    <t>PN0135942445344/19.03.2024/Sprijin pentru investiții în noi suprafețe ocupate de păduri, beneficiar persoana fizică Naidin Florea</t>
  </si>
  <si>
    <t>Peștera</t>
  </si>
  <si>
    <t>Florea NAIDIN</t>
  </si>
  <si>
    <t>1680109130916</t>
  </si>
  <si>
    <t>PN7664609278182/19.03.2024/ÎMPĂDURIREA SUPRAFEȚELOR AFRICOLE APARȚINÂND SOCIETĂȚII COMERCIALE CONCORDIA AGRO S.R.L., AFLATE PE TERITORIUL UNITĂȚILOR ADMINISTRATIV TERITORIALE ROSEȚI, ȘTEFAN VODĂ ȘI PERIȘORU, JUD. CĂLĂRAȘI</t>
  </si>
  <si>
    <t>ROSEȚI
ȘTEFAN VODĂ
PERIȘORU</t>
  </si>
  <si>
    <t>S.C. CONCORDIA AGRO S.R.L.</t>
  </si>
  <si>
    <t xml:space="preserve">RO13622595
</t>
  </si>
  <si>
    <t>PN0162424398750/19.03.2024/Împădurirea terenului agricol denumit Hantoaia, comuna Maieru, județul Bistrița Nasaud</t>
  </si>
  <si>
    <t>AUGUSTIN HĂDĂRĂU</t>
  </si>
  <si>
    <t xml:space="preserve"> 1640310064334</t>
  </si>
  <si>
    <t>PN3923526042254/19.03.2024/Împădurire teren agricol Roșia de Amaradia</t>
  </si>
  <si>
    <t>Alexandru-Ionut Ancuta</t>
  </si>
  <si>
    <t>1891204180068</t>
  </si>
  <si>
    <t>PN7079287672662/26.03.2024/PROIECTUL TEHNIC DE ÎMPĂDURIRE TARLA 44, PARCELA 1445/1,TARNAVA PRIN SCHEMA DE AJUTOR DE STAT "SPRIJIN PENTRU INVESTIŢII ÎN NOI SUPRAFEŢE OCUPATE DE PĂDURI” DIN PNRR</t>
  </si>
  <si>
    <t>Sibiu</t>
  </si>
  <si>
    <t>Târnava</t>
  </si>
  <si>
    <t>Maria MORARU</t>
  </si>
  <si>
    <t>2690620322254</t>
  </si>
  <si>
    <t>PN7321097178140/26.03.2024/Împădurirea terenului agricol, situat în satul Tigau, comuna Lechinta, județul Bistrița-Năsăud</t>
  </si>
  <si>
    <t>Tigau</t>
  </si>
  <si>
    <t>Levente Sándor Bálint</t>
  </si>
  <si>
    <t>1760401060795</t>
  </si>
  <si>
    <t>PN2048218603225/26.03.2024/Schema de ajutor de stat SPRIJIN PENTRU INVESTIȚII ÎN NOI SUPRAFEȚE OCUPATE DE PĂDURI DIN PNRR, pentru suprafața de 7,8965 ha, beneficiar DOBRICĂ ȘTEFAN - amplasat în raza UAT Dăbuleni, județul Dolj</t>
  </si>
  <si>
    <t>ȘTEFAN DOBRICĂ</t>
  </si>
  <si>
    <t>1481003161037</t>
  </si>
  <si>
    <t>PN2152924694098/26.03.2024/Împădurirea terenurilor agricole deținute de Primăria Ilișești - Suceava, județul Suceava</t>
  </si>
  <si>
    <t>ILIȘEȘTI</t>
  </si>
  <si>
    <t>UAT COMUNA ILIȘEȘTI</t>
  </si>
  <si>
    <t>4326930</t>
  </si>
  <si>
    <t>PN4381721344733/26.03.2024/Împădurirea terenului agricol a beneficiarului Stretea Eugen-Ieronim, amplasat în comuna Măgura Ilvei, județul Bistrița Năsăud</t>
  </si>
  <si>
    <t>EUGEN-IERONIM STRETEA</t>
  </si>
  <si>
    <t>1900819060619</t>
  </si>
  <si>
    <t>PN7163411084157/26.03.2024/Păduri pe nisipuri - Grădiștea, Călărași</t>
  </si>
  <si>
    <t>Grădiștea</t>
  </si>
  <si>
    <t>PN1804750366008/29.03.2024/Împădurirea terenurilor agricole U.A.T. ȘULETEA</t>
  </si>
  <si>
    <t>Șuletea</t>
  </si>
  <si>
    <t>UAT SULETEA</t>
  </si>
  <si>
    <t>3394287</t>
  </si>
  <si>
    <t>PN7309088119923/29.03.2024/Împădurire terenuri agricole Poboru</t>
  </si>
  <si>
    <t>Poboru</t>
  </si>
  <si>
    <t>MARIA-MIHAELA  CONSTANTINESCU</t>
  </si>
  <si>
    <t>2950814286049</t>
  </si>
  <si>
    <t>PN2762010556457/29.03.2024/Împădurirea unui teren agricol amplasat în comuna Bogdana, județul Vaslui, deținător Popa Răducu</t>
  </si>
  <si>
    <t>Bogdana</t>
  </si>
  <si>
    <t>Răducu Popa</t>
  </si>
  <si>
    <t>1820102374529</t>
  </si>
  <si>
    <t>PN4845179700120/29.03.2024/SPRIJIN PENTRU INVESTIȚII ÎN NOI SUPRAFEȚE OCUPATE DE PĂDURI DIN CADRUL PNRR - VARNIȚA - ȘOFINEȚI MIHAI</t>
  </si>
  <si>
    <t>Șiștarovăț</t>
  </si>
  <si>
    <t>Mihai Șofineți</t>
  </si>
  <si>
    <t>1811105244494</t>
  </si>
  <si>
    <t>PN3825503239103/29.03.2024/SPRIJIN PENTRU INVESTIȚII ÎN NOI SUPRAFEȚE, OCUPATE DE PĂDURI ÎN COMUNA SĂUCA, JUDEȚUL SATU-MARE - TUNS SIMONA - CLEOPATRA</t>
  </si>
  <si>
    <t>Săuca</t>
  </si>
  <si>
    <t>SIMONA-CLEOPATRA TUNS</t>
  </si>
  <si>
    <t>2700726304010</t>
  </si>
  <si>
    <t>PN8557941577264/29.03.2024/PERDELE FORESTIERE DE PROTECȚIE DIN ZONA DE CÂMPIE, PROPRIETATEA UNITĂȚII ADMINISTRATIV TERITORIALE VIȘINA JUDEȚUL DÂMBOVIȚA</t>
  </si>
  <si>
    <t>Vișina</t>
  </si>
  <si>
    <t>UAT Vișina</t>
  </si>
  <si>
    <t>4344228</t>
  </si>
  <si>
    <t>Nealocat Aprilie 2023</t>
  </si>
  <si>
    <t>I.1B</t>
  </si>
  <si>
    <t>Sprijin pentru refacerea potențialului forestier afectat de incendii, de fenomene meteorologice nefavorabile care pot fi asimilate unei cala,ități naturale, de infestări ale plantelor cu organismen dăunătoare și de evenimente catastrofale</t>
  </si>
  <si>
    <t>C2I1B0123000001/13.04.2023 - COMPOSESORATUL LAZAREA - GHIDUT</t>
  </si>
  <si>
    <t>Lazărea</t>
  </si>
  <si>
    <t>AS Composesoratul Lazărea</t>
  </si>
  <si>
    <t>RO 12750251</t>
  </si>
  <si>
    <t>C2I1B0123000002/26.04.2023 - Composesoratul Ciumani</t>
  </si>
  <si>
    <t>Joseni</t>
  </si>
  <si>
    <t>Composesoratul Ciumani</t>
  </si>
  <si>
    <t>C2I1B0123000003/13.04.2023 - COMPOSESORATUL JOSENI</t>
  </si>
  <si>
    <t>Composesoratul Joseni</t>
  </si>
  <si>
    <t>C2I1B0123000004/13.04.2023 - SPRIJIN PENTRU REFACEREA POTENTIALULUI FORESTIER</t>
  </si>
  <si>
    <t>Vârșag</t>
  </si>
  <si>
    <t>Asociația Composesorat Bolygo</t>
  </si>
  <si>
    <t>RO 13012970</t>
  </si>
  <si>
    <t>C2I1B0123000005/13.04.2023 - SPRIJIN PENTRU REFACEREA POTENCIALULUI FORESTIER</t>
  </si>
  <si>
    <t>Asociația Composesorat Bogarfalva Kozbirtokossaga</t>
  </si>
  <si>
    <t>C2I1B0123000006/13.04.2023 - SPRIJIN PENTRU REFACEREA POTENTIALULUI FORESTIER</t>
  </si>
  <si>
    <t>Căpâlnița</t>
  </si>
  <si>
    <t>Asociația Composesoratul Kapolnas</t>
  </si>
  <si>
    <t>C2I1B0123000007/13.04.2023 - Reîmpădurirea suprafețelor afectate de doborâturi de vânt din anul 2020 – Asociația Composesorală Sândominic</t>
  </si>
  <si>
    <t>Sândominic</t>
  </si>
  <si>
    <t>Asociația Composesorală Sândominic</t>
  </si>
  <si>
    <t>C2I1B0123000008/13.04.2023 - SPRIJIN PENTRU REFACEREA POTENTIALULUI FORESTIER</t>
  </si>
  <si>
    <t>Asociația Composesorat Forraskoze</t>
  </si>
  <si>
    <t>C2I1B0123000009/09.06.2023- SPRIJIN PENTRU REFACEREA POTENTIALULUI FORESTIER</t>
  </si>
  <si>
    <t>Capalnita</t>
  </si>
  <si>
    <t xml:space="preserve">COMPOSESORATUL DE PADURE SI PASUNE OTENI </t>
  </si>
  <si>
    <t>C2I1B0123000010/13.04.2023 - SPRIJIN PENTRU REFACEREA POTENTIALULUI FORESTIER</t>
  </si>
  <si>
    <t>Zetea</t>
  </si>
  <si>
    <t>Asociația Composesorat Kozbirtokossag</t>
  </si>
  <si>
    <t>C2I1B0123000011/31.05.2023 - SPRIJIN PENTRU REFACEREA POTENTIALULUI FORESTIER</t>
  </si>
  <si>
    <t>Varsag</t>
  </si>
  <si>
    <t>ASOCIAȚIA “COMPOSESORAT BISERICANI”</t>
  </si>
  <si>
    <t>C2I1B0123000014/31.05.2023 - SPRIJIN PENTRU REFACEREA POTENTIALULUI FORESTIER</t>
  </si>
  <si>
    <t>Suseni</t>
  </si>
  <si>
    <t>GRUPUL ASOCIATIV DE PĂDURE NR.3 "BARATOSSARKA",</t>
  </si>
  <si>
    <t>RO15127143</t>
  </si>
  <si>
    <t>C2I1B0123000015/29.05.2023 - SPRIJIN PENTRU REFACEREA POTENTIALULUI FORESTIER</t>
  </si>
  <si>
    <t>BAKÓ CSABA</t>
  </si>
  <si>
    <t>C2I1B0123000016/29.05.2023 - ”REÎMPĂDURIRI TRUP BUNICA-I APELE VII”</t>
  </si>
  <si>
    <t>Apele Vii</t>
  </si>
  <si>
    <t>OCOLUL SILVIC "RENAŞTEREA PĂDURII"</t>
  </si>
  <si>
    <t>C2I1B0123000017/29.05.2023 - ”REÎMPĂDURIRI TRUP BUNICA-II APELE VII”</t>
  </si>
  <si>
    <t>C2I1B0123000018/29.05.2023 -”REÎMPĂDURIRI TRUP BUNICA-III APELE VII”</t>
  </si>
  <si>
    <t>C2I1B0123000019/31.05.2023 - ”REÎMPĂDURIREA 99,01 HA AFECTATE DE DOBORĂTURI DE VÂNT APARȚINÂND COMPOSESORATULUI GHEORGHENI”</t>
  </si>
  <si>
    <t>Gheorgheni</t>
  </si>
  <si>
    <t>COMPOSESORATULUI GHEORGHENI</t>
  </si>
  <si>
    <t>RO13641660</t>
  </si>
  <si>
    <t>C2I1B0123000020/31.05.2023 - ”REÎMPĂDURIREA 5,69 HA AFECTATE DE DOBORATURI DE VANT APARTINAND COMPOSESORATULUI SUSENI”</t>
  </si>
  <si>
    <t>COMPOSESORATUL SUSENI,</t>
  </si>
  <si>
    <t>RO12836469</t>
  </si>
  <si>
    <t>C2I1B0123000021/ 28.06.2023 Reimpadurirea 16.5 ha afectate de doboraturi de vant apartinand Composesoratului Valea Stramba</t>
  </si>
  <si>
    <t>COMPOSESORATUL VALEA STRAMBA</t>
  </si>
  <si>
    <t>C2I1B0123000022/13.06.2023”SPRIJIN PENTRU REFACEREA
POTENTIALULUI FORESTIER 2”</t>
  </si>
  <si>
    <t>ASOCIAȚIA COMPOSESORAT BOLYGO</t>
  </si>
  <si>
    <t>C2I1B0123000023/12.06.2023”SPRIJIN PENTRU REFACEREA POTENȚIALULUI FORESTIER AFECTAT DE
INCENDII, DE FENOMENE METEOROLOGICE NEFAVORABILE CARE POT FI ASIMILATE UNEI
CALAMITĂȚI NATURALE, DE INFESTĂRI ALE PLANTELOR CU ORGANISME DĂUNĂTOARE”</t>
  </si>
  <si>
    <t>Moroeni</t>
  </si>
  <si>
    <t xml:space="preserve">OCOLUL SILVIC IALOMICIOARA </t>
  </si>
  <si>
    <t>C2I1B0123000024/13.06.2023”PROIECT DE IMPADURIRE A
DOBORÂTURII DE VÎNT ASOCIAȚIA COMPOSESORALĂ CASINU NOU”</t>
  </si>
  <si>
    <t>Plăieșii de Jos</t>
  </si>
  <si>
    <t>ASOCIAȚIA COMPOSESORALĂ CASINU NOU</t>
  </si>
  <si>
    <t xml:space="preserve">C2I1B0123000025/27.06.2023 Reimpadurire fond forestier afectat de calamitati naturale UP II Voslabeni, </t>
  </si>
  <si>
    <t>COMUNA VOSLABENI</t>
  </si>
  <si>
    <t>C2I1B0123000026/27.06.2023„SPRIJIN PENTRU REFACEREA POTENȚIALULUI FORESTIER AFLAT IN PROPRIETATEA COMUNA REMETEA AFECTAT DE  FENOMENE METEOROLOGICE NEFAVORABILE</t>
  </si>
  <si>
    <t>Secu</t>
  </si>
  <si>
    <t>COMUNA REMETEA</t>
  </si>
  <si>
    <t>C2I1B0123000027/28.06.2023Reimpadurirea 1.5 ha afectate de doboraturi de vant apartinand persoanei fizice Gal Emil</t>
  </si>
  <si>
    <t>C2I1B0123000028/28.06.2023Reimpadurirea 1.8 ha afectate de doboraturi de incendii de padure apartinand persoanei fizice Szabo Ferenc</t>
  </si>
  <si>
    <t>Ditrau</t>
  </si>
  <si>
    <t>C2I1B0123000029/28.06.2023 Reimpadurirea 4.6 ha afectate de doboraturi de vant apartinand persoanei fizice Hagemeister Iren</t>
  </si>
  <si>
    <t>C2I1B0123000030/13.06.2023 Reîmpădurire UP 2 Salva ua 49B si 39B</t>
  </si>
  <si>
    <t>Salva</t>
  </si>
  <si>
    <t>OCOLUL SILVIC SOMEŞ-ŢIBLEŞ</t>
  </si>
  <si>
    <t>C2I1B0123000032/12.06.2023 Reimpadurirea si refacerea potentialului forestier al suprafetei de padure situata in UP I Feldru, UA 289D, UA 219C, afectata de fenomene meteorologice nefavoraile</t>
  </si>
  <si>
    <t>OCOLUL SILVIC FELDRU</t>
  </si>
  <si>
    <t>C2I1B0123000033/13.06.2023 Proiect de reimpadurire</t>
  </si>
  <si>
    <t>Lueta, Merești</t>
  </si>
  <si>
    <t>COMPOSESORATUL "LOVETE KOZBIRTOKOSSAG" LUETA</t>
  </si>
  <si>
    <t>C2I1B0123000034/13.06.2023 SPRIJIN PENTRU REFACEREA POTENTIALULUI FORESTIER AFECTAT DE INCENDII,DE FENOMENE METEOROLOGICE NEFAVORABILE CARE POT FI ASIMILATE UNEI CALAMITATI NATURALE,</t>
  </si>
  <si>
    <t>Sîngeorz-Băi</t>
  </si>
  <si>
    <t>OCOLUL SILVIC CORMAIA ANIES RA</t>
  </si>
  <si>
    <t>C2I1B0123000035/21.07.2023 Reîmpădurirea suprafețelor afectate de doborâturi de vânt -UP I Vâlsan</t>
  </si>
  <si>
    <t>Arefu</t>
  </si>
  <si>
    <t>C2I1B0123000036 / 06.07.2023 Reîmpădurirea și refacerea potențialului forestier al suprafeței de pădure situată în UP-1-Măgura-Ilvei, ua:100F(us1;us2); 105D(us3);123A(us4) și 123B(us5), afectată de fenomene meteorologice nefavorabile</t>
  </si>
  <si>
    <t>COMUNA MĂGURA-ILVEI</t>
  </si>
  <si>
    <t>C2I1B0123000012/21.07.2023/REIMPADURIRE DOBORATURI</t>
  </si>
  <si>
    <t>Sânmartin</t>
  </si>
  <si>
    <t>21.07C2I1B0123000037/ 21.07.2023  Sprijin pentru refacerea potențialului forestier afectat de incendii, de fenomene meteorologice nefavorabile care pot fi asimilate unei calamități naturale, de infestări ale plantelor cu organisme dăunătoare</t>
  </si>
  <si>
    <t>Nistorești și Nereju</t>
  </si>
  <si>
    <t>Obștea Chiliile Zboinei Spinești</t>
  </si>
  <si>
    <t>C2I1B0123000041/11.10.2023/Reîmpădurirea suprafețelor provenite din arborete afectate de secetă la Ocolul Silvic Ianca</t>
  </si>
  <si>
    <t>Brăila/Buzău</t>
  </si>
  <si>
    <t>REGIA NAȚIONALĂ A PĂDURILOR ROMSILVA RA - DIRECȚIA SILVICĂ BRĂILA</t>
  </si>
  <si>
    <t>C2I1B0123000042/19.10.2023/REFACEREA POTENTIALULUI FORESTIER AFECTAT DE  FENOMENE METEOROLOGICE NEFAVORABILE CARE POT FI ASIMILATE UNEI CALAMITATI NATURALE</t>
  </si>
  <si>
    <t>Musatesti</t>
  </si>
  <si>
    <t>REGIA NATIONALA A PADURILOR RA DIRECTIA SILVICA ARGES OCOLUL SILVIC MUSATESTI</t>
  </si>
  <si>
    <t>C2I1B0123000043/19.10.2023/REFACEREA POTENTIALULUI FORESTIER AFECTAT DE FENOMENE METEOROLOGICE NEFAVORABILE CARE POT FI ASIMILATE UNEI CALAMITATI NATURALE</t>
  </si>
  <si>
    <t>Domnesti</t>
  </si>
  <si>
    <t>REGIA NATIONALA A PADURILOR RA DIRECTIA SILVICA ARGES OCOLUL SILVIC DOMNESTI</t>
  </si>
  <si>
    <t>C2I1B0123000044/19.10.2023/REFACEREA POTENTIALULUI FORESTIER AFECTAT DE FENOMENE METEOROLOGICE NEFAVORABILE CARE POT FI ASIMILATE UNEI CALAMITATI NATURALE</t>
  </si>
  <si>
    <t>Berevoiesti</t>
  </si>
  <si>
    <t xml:space="preserve">REGIA NATIONALA A PADURILOR RA DIRECTIA SILVICA ARGES OCOLUL SILVIC ANINOASA	</t>
  </si>
  <si>
    <t>C2I1B0123000045/25.10.2023/Reîmpăduriri Trup BALTA LUI PREDUȘ - Mîrșani</t>
  </si>
  <si>
    <t>Mîrșani</t>
  </si>
  <si>
    <t>25798588</t>
  </si>
  <si>
    <t>C2I1B0123000046/25.10.2023/Reîmpăduriri Trup BALTA GALEȘU - Mîrșani</t>
  </si>
  <si>
    <t>C2I1B0123000047/25.10.2023/Reîmpăduriri Trup DRUMUL SĂRII - Mîrșani</t>
  </si>
  <si>
    <t>C2I1B0123000049/07.11.2023/Proiect reimpadurire Trup padure Rascrucea</t>
  </si>
  <si>
    <t>Rast</t>
  </si>
  <si>
    <t>REGIA NAȚIONALĂ A PĂDURILOR ROMSILVA RA - DIRECȚIA SILVICĂ DOLJ</t>
  </si>
  <si>
    <t>17032287</t>
  </si>
  <si>
    <t>C2I1B0123000048/14.11.2023/SPRIJIN PENTRU REFACEREA POTENTIALULUI FORESTIER AFECTAT DE INCENDII, DE FENOMENE METEOROLOGICE NEFAVORABILE CARE POT FI ASIMILATE UNEI CALAMITATI NATURALE, DE INFESTARI ALE</t>
  </si>
  <si>
    <t>Runcu</t>
  </si>
  <si>
    <t>WILDLAND SRL</t>
  </si>
  <si>
    <t>C2I1B0123000050/16.02.2024/„Reîmpăduriri Trup LA SONDĂ - Celaru”</t>
  </si>
  <si>
    <t>Celaru</t>
  </si>
  <si>
    <t>C2I1B0123000051/16.02.2024/„Reîmpăduriri Trup LA PANIȚĂ - Mîrșani”</t>
  </si>
  <si>
    <t>Mârșani</t>
  </si>
  <si>
    <t>C2I1B0123000052/16.02.2024/„Reîmpăduriri Trup BUNICA IV- Apele Vii”</t>
  </si>
  <si>
    <t>C2I1B0123000053/16.02.2024/„Reîmpăduriri Trup BUNICA V- Apele Vii”</t>
  </si>
  <si>
    <t>C2I1B0123000055/21.02.2024/Reîmpăduriri Trup STADION I - Poiana Mare</t>
  </si>
  <si>
    <t>C2I1B0123000056/22.02.2024/Reîmpăduriri Trup ILARU I - Poiana Mare</t>
  </si>
  <si>
    <t>C2I1B0123000058/11.03.2024/Reîmpăduriri Trup LA CIOACE - Mîrșani</t>
  </si>
  <si>
    <t>C2I1B0123000059/11.03.2024/Reîmpăduriri Trup DRUMUL TÂRGULUI - Mîrșani</t>
  </si>
  <si>
    <t>C2I1B0123000060/11.03.2024/Reîmpăduriri Trup FÂNTÂNA STUPARILOR - Mîrșani</t>
  </si>
  <si>
    <t>C2I1B0123000061/11.03.2024/Reîmpăduriri Trup LA MĂLINI - Mîrșani</t>
  </si>
  <si>
    <t>C2I1B0123000062/11.03.2024/Reîmpăduriri Trup ILARU II - Poiana Mare</t>
  </si>
  <si>
    <t>C2I1B0123000063/11.03.2024/Reîmpăduriri Trup ILARU III - Poiana Mare</t>
  </si>
  <si>
    <t>C2I1B0123000064/11.03.2024/Reîmpăduriri Trup STADION II - Poiana Mare</t>
  </si>
  <si>
    <t>C2I1B0123000054/11.03.2024/Reîmpăduriri Trup BUNICA VI - Apele Vii</t>
  </si>
  <si>
    <t>C2I1B0123000066/13.03.2024/Reîmpădurirea suprafețelor afectate de doborâturi de vânt din anul 2020 - Asociația Composesorală Sândominic</t>
  </si>
  <si>
    <t>ASOCIATIA COMPOSESORALĂ SÂNDOMINIC</t>
  </si>
  <si>
    <t>C2I1B0123000067/15.03.2024/Reimpădurirea și refacerea potențialului forestier al suprafețelor de pădure situate în UP-I-Poiana Ilvei, ua 3C(us1), 5B (us2), 8D (us3), 9E (us4), 10A (us5), 10E (us6), 11A (us7), 20B (us8), 22E (us9), 25G (us10), 29C (us 11), 29D (us 12), 51B (us13), 64E (us14) afectate de fenomenele meteorologice nefavoraile și de infestări ale gândacilor de scoarță</t>
  </si>
  <si>
    <t>Șanț</t>
  </si>
  <si>
    <t>UAT COMUNA POIANA ILVEI</t>
  </si>
  <si>
    <t>C2I1B0123000057/26.03.2024/SPRIJIN PENTRU REFACEREA POTENȚIALULUI FORESTIER AFECTAT DE INCENDII, DE FENOMENE METEOROLOGICE NEFAVORABILE CARE POT FI ASIMILATE UNEI CALAMITĂȚI NATURALE, DE INFESTĂRI ALE PLANTELOR CU ORGANISME DĂUNĂTOARE ȘI DE EVENIMENTE CATASTROFALE</t>
  </si>
  <si>
    <t>Cornu Lunci</t>
  </si>
  <si>
    <t>OCOLUL SILVIC BAŞOTĂ</t>
  </si>
  <si>
    <t>I.1C</t>
  </si>
  <si>
    <t>Campania națională de împădurire și reîmpădurire, inclusiv păduri urbane (împăduriri retroactive)</t>
  </si>
  <si>
    <t>............</t>
  </si>
  <si>
    <t>I.1D</t>
  </si>
  <si>
    <t>Campania națională de împădurire și reîmpădurire, inclusiv păduri urbane (păduri urbane)</t>
  </si>
  <si>
    <t>27, 28</t>
  </si>
  <si>
    <t>m2</t>
  </si>
  <si>
    <t>Dezvoltarea de capacități moderne de producere a materialului forestier de reproducere</t>
  </si>
  <si>
    <t>I.2.A</t>
  </si>
  <si>
    <t>Acordarea de sprijin de stat pentru dezvoltarea de capacități moderne de producere a materialului forestier de reproducere</t>
  </si>
  <si>
    <t>C2I2A0123000012/20.11.2023/Dezvoltarea activității de producere a materialului forestier de reproducere la Asociația “Composesorat Bolygó”</t>
  </si>
  <si>
    <t>HARGHITA</t>
  </si>
  <si>
    <t>Dealu</t>
  </si>
  <si>
    <t>ASOCIATIA COMPOSESORAT BOLYGO</t>
  </si>
  <si>
    <t>13012970</t>
  </si>
  <si>
    <t>C2I2A0123000014/20.11.2023/Dezvoltarea activităților de producție a materialului săditor în scopul realizării proiectelor de împădurire în fond forestier și în afara fondului forestier</t>
  </si>
  <si>
    <t>Vărșag, Corund, Dealu, Brădești, Zetea</t>
  </si>
  <si>
    <t>OCOLUL SILVIC DE REGIM ZETEA S.A.</t>
  </si>
  <si>
    <t>35279375</t>
  </si>
  <si>
    <t>C2I2A0123000015/20.11.2023/MODERNIZAREA SI DOTAREA CU ECHIPAMENTE SPECIFICE A PEPINIEREI SILVICE SILHOASA, COMUNA LUNCA ILVEI, JUDETUL BISTRITA-NASAUD</t>
  </si>
  <si>
    <t>BISTRIŢA-NĂSĂUD</t>
  </si>
  <si>
    <t>Lunca Ilvei</t>
  </si>
  <si>
    <t>COMUNA LUNCA ILVEI</t>
  </si>
  <si>
    <t>13564982</t>
  </si>
  <si>
    <t>C2I2A0123000017/20.11.2023/Înființare pepinieră forestieră pentru producerea puieților de rășinoase și foioase containerizați</t>
  </si>
  <si>
    <t>ALBA</t>
  </si>
  <si>
    <t>Vinerea</t>
  </si>
  <si>
    <t>OCOLUL SILVIC SAPCEA CUGIR RA</t>
  </si>
  <si>
    <t>16181981</t>
  </si>
  <si>
    <t>C2I2A0123000020/20.11.2023/CONSTRUIRE SOLARII PENTRU PRODUCERE PUIEȚI  FORESTIERI</t>
  </si>
  <si>
    <t>VÂLCEA</t>
  </si>
  <si>
    <t>Bunești</t>
  </si>
  <si>
    <t>DARDU SILVA S.R.L.</t>
  </si>
  <si>
    <t>38632586</t>
  </si>
  <si>
    <t>C2I2A0123000022/20.11.2023/Înființarea unei pepiniere silvice în comuna Ștefan cel Mare, județul Vaslui, la AGRARCRIS SRL</t>
  </si>
  <si>
    <t>VASLUI</t>
  </si>
  <si>
    <t>5270412</t>
  </si>
  <si>
    <t>C2I2A0123000026/20.11.2023/ÎNFIINȚARE PEPINIERA PENTRU PRODUCEREA DE MFR ÎN SISTEM CONTAINERIZAT, CONSTRUIRE HALE TEHNOLOGICE, PLATFORME BETONATE ȘI PANOURI FOTOVOLTAICE LA TERRA SILVA S.R.L.</t>
  </si>
  <si>
    <t>DOLJ</t>
  </si>
  <si>
    <t>Segarcea</t>
  </si>
  <si>
    <t>TERRA SILVA SRL</t>
  </si>
  <si>
    <t>18089362</t>
  </si>
  <si>
    <t>C2I2A0123000030/20.11.2023/Înființare pepinieră silvică containerizată TREELOGY</t>
  </si>
  <si>
    <t>ILFOV</t>
  </si>
  <si>
    <t>Pomârla</t>
  </si>
  <si>
    <t>TREELOGY S.R.L.</t>
  </si>
  <si>
    <t>47687815</t>
  </si>
  <si>
    <t>C2I2A0123000039/20.11.2023/Modernizare pepiniera Demăcușa</t>
  </si>
  <si>
    <t>Demăcușa</t>
  </si>
  <si>
    <t>INSTITUTUL NAŢIONAL DE CERCETARE-DEZVOLTARE ÎN SILVICULTURĂ "MARIN DRĂCEA"</t>
  </si>
  <si>
    <t>34638446</t>
  </si>
  <si>
    <t>C2I2A0123000040/20.11.2023/Modernizare pepiniera Bolotești</t>
  </si>
  <si>
    <t>Bolotești</t>
  </si>
  <si>
    <t>C2I2A0123000041/20.11.2023/Modernizare pepiniera Ștefănești</t>
  </si>
  <si>
    <t>C2I2A0123000046/20.11.2023/ÎNFIINȚARE PEPINIERĂ PENTRU PRODUCEREA DE MFR ÎN SISTEM CONTAINERIZAT</t>
  </si>
  <si>
    <t>BRAŞOV</t>
  </si>
  <si>
    <t>Prejmer</t>
  </si>
  <si>
    <t>ZANION COM S.R.L.</t>
  </si>
  <si>
    <t>46762366</t>
  </si>
  <si>
    <t>C2I2A0123000048/20.11.2023/Modernizarea capacitatilor de productie a materialului forestier - Pepiniera Silvica Ianca, Ocolul Silvic Corabia</t>
  </si>
  <si>
    <t>OLT</t>
  </si>
  <si>
    <t>REGIA NAŢIONALĂ A PĂDURILOR ROMSILVA R.A. BUCUREŞTI DIRECŢIA SILVICĂ OLT RA</t>
  </si>
  <si>
    <t>13767618</t>
  </si>
  <si>
    <t>C2I2A0123000049/20.11.2023/Dezvoltarea de capacități moderne de producere a materialului forestier de reproducere la Pepiniera Silvică Berc – O.S Târnăveni</t>
  </si>
  <si>
    <t>MUREŞ</t>
  </si>
  <si>
    <t>Gănești</t>
  </si>
  <si>
    <t>REGIA NATIONALA A PADURILOR ROMSILVA RA DIRECTIA SILVICA MURES</t>
  </si>
  <si>
    <t>2852670</t>
  </si>
  <si>
    <t>C2I2A0123000061/07.02.2024/MODERNIZARE PEPINIERA RECAȘ</t>
  </si>
  <si>
    <t>TIMIȘ</t>
  </si>
  <si>
    <t>Recaș</t>
  </si>
  <si>
    <t>REGIA NAȚIONALĂ A PĂDURILOR ROMSILVA RA BUCUREȘTI SUCURSALA DIRECȚIA SILVICĂ TIMIȘ</t>
  </si>
  <si>
    <t>C2I2A0123000023/16.02.2024/EXTINDEREA CAPACITĂȚII DE PRODUCȚIE DE MFR ÎN CADRUL HORTI NOVA CULTURE S.R.L.</t>
  </si>
  <si>
    <t xml:space="preserve">Carcea </t>
  </si>
  <si>
    <t>HORTI NOVA CULTURE S.R.L.</t>
  </si>
  <si>
    <t>C2I2A0123000024/16.02.2024/ÎNFIINȚARE PEPINIERĂ DE PLOP ȘI SALCIE ÎN SISTEM CONTAINERIZAT ÎN CADRUL HORTI NOVA CULTURE S.R.L.</t>
  </si>
  <si>
    <t>C2I2A0123000036/16.02.2024/ÎNFIINȚARE PEPINIERĂ SILVICĂ ÎN SISTEM CLASIC, CU RĂDĂCINĂ NUDĂ</t>
  </si>
  <si>
    <t>Predești</t>
  </si>
  <si>
    <t>GREEN INOVATIONS FARM COOPERATIVĂ AGRICOLĂ</t>
  </si>
  <si>
    <t>C2I2A0123000037/16.02.2024/MODERNIZAREA PEPINIEREI PERESCHIV</t>
  </si>
  <si>
    <t>Priponești</t>
  </si>
  <si>
    <t>Regia Națională a Pădurilor Romsilva RA București - Direcția Silvică Galați</t>
  </si>
  <si>
    <t>C2I2A0123000038/16.02.2024/DEZVOLTAREA DE CAPACITĂȚI MODERNE DE PRODUCERE A MATERIALULUI FORESTIER DE REPRODUCERE IN PEPINIERA SILVICĂ SIMILEASCA</t>
  </si>
  <si>
    <t>Regia Națională a Pădurilor Romsilva RA București - Direcția Silvică Buzău</t>
  </si>
  <si>
    <t>C2I2A0123000043/16.02.2024/Pepiniera Gornovita</t>
  </si>
  <si>
    <t>Gornovița</t>
  </si>
  <si>
    <t>RATDOB S.R.L.</t>
  </si>
  <si>
    <t>RO13346139</t>
  </si>
  <si>
    <t>C2I2A0123000044/16.02.2024/Dezvoltarea de capacități de producere a materialului forestier de reproducere (MFR) în Pepiniera Silvică Cocoș – Ocolul Silvic Niculițel</t>
  </si>
  <si>
    <t xml:space="preserve">Niculițel </t>
  </si>
  <si>
    <t>Regia Națională a Pădurilor Romsilva RA București - Direcția Silvică Tulcea</t>
  </si>
  <si>
    <t>C2I2A0123000053/16.02.2024/Modernizarea și retehnologizarea Pepinieră Silvică Salcea – Ocolul Silvic Adâncata</t>
  </si>
  <si>
    <t xml:space="preserve">Salcea </t>
  </si>
  <si>
    <t>Regia Națională a Pădurilor Romsilva RA București – Sucursala Direcția Silvică Suceava</t>
  </si>
  <si>
    <t>C2I2A0123000055/16.02.2024/Modernizarea și retehnologizarea Pepiniera Silvică Prisaca Dornei – Ocolul Silvic Vama</t>
  </si>
  <si>
    <t>Vama</t>
  </si>
  <si>
    <t>C2I2A0123000068/16.02.2024/Modernizarea și retehnologizarea Pepinierei Silvice Solonet</t>
  </si>
  <si>
    <t xml:space="preserve">Bivolari </t>
  </si>
  <si>
    <t>Regia Națională a Pădurilor Romsilva RA București – Sucursala Direcția Silvică Iași</t>
  </si>
  <si>
    <t>C2I2A0123000051/21.02.2024/„Înființare pepinieră silvică containerizată GREEN AGENCY”</t>
  </si>
  <si>
    <t>Dambovita</t>
  </si>
  <si>
    <t>Crevedia</t>
  </si>
  <si>
    <t>GREEN AGENCY S.R.L.</t>
  </si>
  <si>
    <t>26078569</t>
  </si>
  <si>
    <t>C2I2A0123000052/21.02.2024/REABILITARE/MODERNIZARE PEPINIERĂ SILVICĂ SĂCUENI</t>
  </si>
  <si>
    <t>BIHOR</t>
  </si>
  <si>
    <t>Săcueni</t>
  </si>
  <si>
    <t>REGIA NAŢIONALĂ A PĂDURILOR ROMSILVA RA - DIRECŢIA SILVICĂ BIHOR</t>
  </si>
  <si>
    <t>54779</t>
  </si>
  <si>
    <t>C2I2A0123000054/21.02.2024/Dotarea și modernizarea pepinierei Păpăuți în scopul producerii de puieți forestieri în container prin metode moderne de lucru la Ocolul Silvic Comandău</t>
  </si>
  <si>
    <t>COVASNA</t>
  </si>
  <si>
    <t>Zagon</t>
  </si>
  <si>
    <t>REGIA NAŢIONALĂ A PĂDURILOR ROMSILVA RA BUCUREȘTI DIRECŢIA SILVICĂ COVASNA</t>
  </si>
  <si>
    <t>14083057</t>
  </si>
  <si>
    <t>C2I2A0123000059/21.02.2024/Modernizare Pepiniera Silvică Godeni</t>
  </si>
  <si>
    <t>Melinești</t>
  </si>
  <si>
    <t>REGIA NAȚIONALĂ A PĂDURILOR ROMSILVA RA BUCUREȘTI - DIRECTIA SILVICĂ DOLJ</t>
  </si>
  <si>
    <t>13717440</t>
  </si>
  <si>
    <t>C2I2A0123000064/21.02.2024/DEZVOLTAREA DE CAPACITATI MODERNE DE PRODUCERE A MATERIALULUI FORESTIER DE REPRODUCERE – PEPINIERA GURANDA</t>
  </si>
  <si>
    <t>BOTOŞANI</t>
  </si>
  <si>
    <t>Durnești</t>
  </si>
  <si>
    <t>REGIA NAȚIONALĂ A PĂDURILOR ROMSILVA RA - DIRECȚIA SILVICĂ BOTOȘANI</t>
  </si>
  <si>
    <t>13695210</t>
  </si>
  <si>
    <t>C2I2A0123000058/26.02.2024/MODERNIZAREA CAPACITĂȚILOR DE PRODUCȚIE A MATERIALULUI FORESTIER ÎN PEPINIERA BASTA</t>
  </si>
  <si>
    <t>Horia</t>
  </si>
  <si>
    <t>REGIA NAŢIONALĂ A PĂDURILOR ROMSILVA RA BUCUREȘTI DIRECŢIA SILVICĂ NEAMŢ</t>
  </si>
  <si>
    <t>C2I2A0123000065/29.02.2024/MODERNIZARE PEPINIERA PENTRU PRODUCERE MFR IN SISTEM CONTAINERIZAT</t>
  </si>
  <si>
    <t>GAMA O.M.G. S.R.L.</t>
  </si>
  <si>
    <t>15320330</t>
  </si>
  <si>
    <t>C2I2A0123000071/29.02.2024/Reabilitare și modernizare Pepiniera Mihai Viteazu</t>
  </si>
  <si>
    <t>Turda</t>
  </si>
  <si>
    <t>REGIA NAȚIONALĂ A PĂDURILOR ROMSILVA RA - DIRECȚIA SILVICĂ CLUJ</t>
  </si>
  <si>
    <t>252148</t>
  </si>
  <si>
    <t>I.2.B</t>
  </si>
  <si>
    <t xml:space="preserve">Acordarea de sprijin de minimis pentru dezvoltarea de capacități moderne 
de producere a materialului forestier de reproducere </t>
  </si>
  <si>
    <t xml:space="preserve">Acordarea de sprijin de minimis pentru dezvoltarea de capacități moderne </t>
  </si>
  <si>
    <t>C2I2B0123000001/20.11.2023/Pepinieră silvică containerizată Alias Green Forest</t>
  </si>
  <si>
    <t>Văcărești</t>
  </si>
  <si>
    <t>ALIAS GREEN FOREST S.R.L.</t>
  </si>
  <si>
    <t>C2I2B0123000002/20.11.2023/Pepinieră silvică containerizată composesorală Săndominic</t>
  </si>
  <si>
    <t>ASOCIATIA COMPOSESORALA SANDOMINIC</t>
  </si>
  <si>
    <t>C2I2B0123000003/20.11.2023/Pepiniera silvica containerizata Irisz Fenyo</t>
  </si>
  <si>
    <t>IRISZ FENYO S.R.L.</t>
  </si>
  <si>
    <t>C2I2B0123000004/20.11.2023/Dezvoltarea capacității de producere a materialului forestier de reproducere în cadrul ROBINIA SRL</t>
  </si>
  <si>
    <t>Lugoj</t>
  </si>
  <si>
    <t>ROBINIA S.R.L.</t>
  </si>
  <si>
    <t>15312469</t>
  </si>
  <si>
    <t>C2I2B0123000005/20.11.2023/MODERNIZARE PEPINIERA FORESTIERA SELFICOM SI CREAREA DE CAPACITATI DE PRELUCRARE SI CONDITIONARE A SEMINTELOR FORESTIERE</t>
  </si>
  <si>
    <t>Tecuci</t>
  </si>
  <si>
    <t>SELFICOM S.R.L.</t>
  </si>
  <si>
    <t>9182569</t>
  </si>
  <si>
    <t>C2I2B0123000007/20.11.2023/Înființarea pepinieră și achiziția de utilaje moderne în cadrul societății DENDROSILVA SRL</t>
  </si>
  <si>
    <t>Rotărești</t>
  </si>
  <si>
    <t>DENDROSILVA S.R.L.</t>
  </si>
  <si>
    <t>46874262</t>
  </si>
  <si>
    <t>C2I2B0123000008/20.11.2023/Dezvoltarea capacității de producere a materialului forestier de reproducere în cadrul Ocolului Silvic Valea Orăștiei</t>
  </si>
  <si>
    <t>Hunedoara</t>
  </si>
  <si>
    <t>Romos</t>
  </si>
  <si>
    <t>REGIA PUBLICĂ LOCALĂ OCOLUL SILVIC VALEA ORAŞTIEI RA</t>
  </si>
  <si>
    <t>20064092</t>
  </si>
  <si>
    <t>C2I2B0123000011/20.11.2023/Înființarea pepinierei silvice Stejarul Matca</t>
  </si>
  <si>
    <t>MĂRMUREANU GIONI ÎNTREPRINDERE INDIVIDUALĂ</t>
  </si>
  <si>
    <t>31528597</t>
  </si>
  <si>
    <t>C2I2B0123000014/20.11.2023/DEZVOLTAREA DE CAPACITATI MODERNE DE PRODUCERE A MATERIALULUI FORESTIER DE REPRODUCERE IN COMUNA POIANA STAMPEI</t>
  </si>
  <si>
    <t>Poiana Stampei</t>
  </si>
  <si>
    <t>COMUNA POIANA STAMPEI</t>
  </si>
  <si>
    <t>5021250</t>
  </si>
  <si>
    <t>C2I2B0123000020/20.11.2023/Achizitionarea de utilaje si echipamente pentru dezvoltarea de capacități moderne de producere a materialului forestier de reproducere</t>
  </si>
  <si>
    <t>SICRAN 2002 SRL</t>
  </si>
  <si>
    <t>14645015</t>
  </si>
  <si>
    <t>C2I2B0123000027/20.11.2023/Dezvoltarea de capacitati moderne de producere a materialului forestier de reproducere de catre Abies Forte SRL</t>
  </si>
  <si>
    <t>Racu</t>
  </si>
  <si>
    <t>ABIES FORTE SRL</t>
  </si>
  <si>
    <t>24564368</t>
  </si>
  <si>
    <t>C2I2B0123000028/20.11.2023/„Dezvoltarea de capacități moderne de producere a materialului forestier de reproducere în cadrul Regiei Publice Locale a Pădurilor Kronstadt R.A.”</t>
  </si>
  <si>
    <t>REGIA PUBLICA LOCALA A PADURILOR KRONSTADT RA</t>
  </si>
  <si>
    <t>17730816</t>
  </si>
  <si>
    <t>C2I2B0123000029/20.11.2023/Dezvoltarea de capacitati moderne de producere a materialului forestier de reproducere de catre Kormos Silva SRL</t>
  </si>
  <si>
    <t>Bărduț</t>
  </si>
  <si>
    <t>KORMOS SILVA SRL</t>
  </si>
  <si>
    <t>22713730</t>
  </si>
  <si>
    <t>C2I2B0123000031/20.11.2023/Infiintarea unei pepiniere pentru SC OCOLUL SILVIC SIRIU SRL in sat Coltu Pietri, comuna Siriu ,judetul Buzau</t>
  </si>
  <si>
    <t>Siriu</t>
  </si>
  <si>
    <t>OCOLUL SILVIC SIRIU SRL</t>
  </si>
  <si>
    <t>39152616</t>
  </si>
  <si>
    <t>C2I2B0123000032/20.11.2023/Înființare pepinieră silvică containerizată TIM FOREST GREEN</t>
  </si>
  <si>
    <t>TIM FOREST GREEN S.R.L.</t>
  </si>
  <si>
    <t>47695583</t>
  </si>
  <si>
    <t>C2I2B0123000034/20.11.2023/Înființare pepinieră silvică containerizată Natur Logistics</t>
  </si>
  <si>
    <t>NATUR LOGISTICS S.R.L.</t>
  </si>
  <si>
    <t>37852990</t>
  </si>
  <si>
    <t>C2I2B0123000035/20.11.2023/CREAREA UNOR PEPINIERE LA TERRA BAM SRL</t>
  </si>
  <si>
    <t>Malu Mare</t>
  </si>
  <si>
    <t>TERRA BAM SRL</t>
  </si>
  <si>
    <t>28471962</t>
  </si>
  <si>
    <t>C2I2B0123000040/20.11.2023/MODERNIZARE PEPINIERA PRIN ACHIZITIA DE UTILAJE LA LEVANT SRL</t>
  </si>
  <si>
    <t>LEVANT SRL</t>
  </si>
  <si>
    <t>4048540</t>
  </si>
  <si>
    <t>C2I2B0123000045/20.11.2023/PEPINIERA SILVICA IN SISTEM CONTAINERIZAT, LA DAVIAND FOREST SRL</t>
  </si>
  <si>
    <t>Bujoreni</t>
  </si>
  <si>
    <t>DAVIAND FOREST S.R.L.</t>
  </si>
  <si>
    <t>33934257</t>
  </si>
  <si>
    <t>C2I2B0123000010/20.11.2023/Înființare pepinieră silvică containerizată</t>
  </si>
  <si>
    <t>Dumbrăveni</t>
  </si>
  <si>
    <t>RUBUSHIRTUS S.R.L.</t>
  </si>
  <si>
    <t>39974102</t>
  </si>
  <si>
    <t>C2I2B0123000021/20.11.2023/Dezvoltarea și modernizarea capacităților de producție a puieților forestieri, la pepinierele S.C. SILVOPLANT S.R.L.</t>
  </si>
  <si>
    <t>Mărtiniș, Lueta</t>
  </si>
  <si>
    <t>SILVOPLANT S.R.L.</t>
  </si>
  <si>
    <t>15046294</t>
  </si>
  <si>
    <t>C2I2B0123000023/20.11.2023/Înființare pepinieră modernă pentru producerea puieților forestieri cu rădăcină protejată</t>
  </si>
  <si>
    <t>Răchitiș</t>
  </si>
  <si>
    <t>AGROFARM BILBOR SRL</t>
  </si>
  <si>
    <t>C2I2B0123000042/20.11.2023/CREAREA UNOR PEPINIERE LA SARALEMS SRL</t>
  </si>
  <si>
    <t>SARALEMS S.R.L.</t>
  </si>
  <si>
    <t>37750311</t>
  </si>
  <si>
    <t>C2I2B0123000048/20.11.2023/MODERNIZAREA PEPINIEREI GREENLAND SRL</t>
  </si>
  <si>
    <t>Traian</t>
  </si>
  <si>
    <t>GREENLAND S.R.L.</t>
  </si>
  <si>
    <t>24601474</t>
  </si>
  <si>
    <t>C2I2B0123000006/29.11.2023/DEZVOLTAREA SOCIETATII
RARVALSERV SRL</t>
  </si>
  <si>
    <t>Padeș</t>
  </si>
  <si>
    <t>SOCIETATEA COMERCIALĂ RARVALSERV S.R.L.</t>
  </si>
  <si>
    <t>C2I2B0123000033/29.11.2023/Înființare pepinieră Lemnia</t>
  </si>
  <si>
    <t>Bărduț și Filia</t>
  </si>
  <si>
    <t>SOCIETATEA COMERCIALĂ OCOLUL SILVIC PRIVAT MERENI</t>
  </si>
  <si>
    <t>C2I2B0123000016/12.12.2023/Înființare pepinieră silvică containerizată</t>
  </si>
  <si>
    <t>Tulnici, sat Greșu</t>
  </si>
  <si>
    <t>OBSTEA DE MOSNENI SAT TULNICI</t>
  </si>
  <si>
    <t>C2I2B0123000043/12.12.2023/Înființare pepinieră silvică containerizată P.T.G. SRL</t>
  </si>
  <si>
    <t>Tutora</t>
  </si>
  <si>
    <t>SOCIETATEA COMERCIALĂ P.T.G. SRL</t>
  </si>
  <si>
    <t>C2I2B0123000063/12.12.2023/Înființare pepinieră silvică containerizată</t>
  </si>
  <si>
    <t>Chichiș</t>
  </si>
  <si>
    <t>SOCIETATEA COMERCIALĂ PEPINIERA BRAZI ARGINTII S.R.L.</t>
  </si>
  <si>
    <t>C2I2B0123000030/18.12.2023/INFIINTAREA UNEI CAPACITATI DE PRODUCTIE PEPINIERE IDEAL PLANT</t>
  </si>
  <si>
    <t>Lucieni</t>
  </si>
  <si>
    <t>IDEALPLANT EXPERT S.R.L.</t>
  </si>
  <si>
    <t>47370980</t>
  </si>
  <si>
    <t>C2I2B0123000051/18.12.2023/Infiintare pepiniera silvica de catre NIC FOREST PREST SRL</t>
  </si>
  <si>
    <t>IALOMIŢA</t>
  </si>
  <si>
    <t>Cosambești</t>
  </si>
  <si>
    <t>NIC FOREST PREST S.R.L.</t>
  </si>
  <si>
    <t>46524801</t>
  </si>
  <si>
    <t>C2I2B0123000059/18.12.2023/Înființare pepinieră silvică containerizată</t>
  </si>
  <si>
    <t>PRAHOVA</t>
  </si>
  <si>
    <t>Zalhanaua, comuna Mănești</t>
  </si>
  <si>
    <t>FAMYLY FOREST S.R.L.</t>
  </si>
  <si>
    <t>21166953</t>
  </si>
  <si>
    <t>C2I2B0123000015/20.12.2023/TEHNOLOGII NOI PENTRU PEPINIERA SC MIKRRO PRROJECT SRL</t>
  </si>
  <si>
    <t>Cozmeni</t>
  </si>
  <si>
    <t>MIKRRO PRROJECT S.R.L.</t>
  </si>
  <si>
    <t>18941501</t>
  </si>
  <si>
    <t>C2I2B0123000019/22.12.2023/Înființarea pepinierei forestiere Mountain Garden</t>
  </si>
  <si>
    <t>MOUNTAIN GARDEN S.R.L.</t>
  </si>
  <si>
    <t>39935243</t>
  </si>
  <si>
    <t>C2I2B0123000047/22.12.2023/Modernizare și extinderea pepinierei silvice Ivo, proprietatea Asociația Composesorat ”Kozbirtokossag” Zetea</t>
  </si>
  <si>
    <t>ASOCIATIA COMPOSESORAT "KOZBIRTOKOSSAG" ZETEA</t>
  </si>
  <si>
    <t>13884430</t>
  </si>
  <si>
    <t>C2I2B0123000069/22.12.2023/Pepinieră silvică containerizată Asociația Composesorală Misentea</t>
  </si>
  <si>
    <t>Misentea</t>
  </si>
  <si>
    <t>ASOCIATIA COMPOSESORALA MISENTEA</t>
  </si>
  <si>
    <t>13140898</t>
  </si>
  <si>
    <t xml:space="preserve">C2I2B0123000074/22.12.2023/Dezvoltarea activității de producere a puieților forestieri  în sistem containerizat și cu rădăcină nudă în solar de către Topo Silva Albac SRL </t>
  </si>
  <si>
    <t>Albac</t>
  </si>
  <si>
    <t>TOPO SILVA ALBAC SRL</t>
  </si>
  <si>
    <t>28187252</t>
  </si>
  <si>
    <t>C2I2B0123000054/28.12.2023/Dezvoltarea capacității de producere a materialului forestier de reproducere la Ocolul Silvic de Regim Gheorgheni S.A.</t>
  </si>
  <si>
    <t>Borzont</t>
  </si>
  <si>
    <t>OCOLUL SILVIC DE REGIM GHEORGHENI S.A.</t>
  </si>
  <si>
    <t>C2I2B0123000017/29.12.2023/”Dezvoltarea de capacități moderne de producere a materialului forestier de reproducere în Comuna Poșaga, județul Alba”</t>
  </si>
  <si>
    <t>Poșaga, loc. Lunca</t>
  </si>
  <si>
    <t>OCOLUL SILVIC MUNTELE MARE S.R.L.</t>
  </si>
  <si>
    <t>C2I2B0123000068/16.02.2024/Realizare pepinieră silvică pentru producerea de puieți containerizați pentru R.P.L. Ocolul Silvic Tălmaciu RA</t>
  </si>
  <si>
    <t>Tălmaciu</t>
  </si>
  <si>
    <t>REGIA PUBLICĂ LOCALĂ OCOLUL SILVIC TĂLMACIU RA</t>
  </si>
  <si>
    <t>RO22140498</t>
  </si>
  <si>
    <t>C2I2B0123000071/16.02.2024/Înființare pepinieră silvică containerizată INVESTROM PRODEXIM SRL</t>
  </si>
  <si>
    <t xml:space="preserve">Sfințești </t>
  </si>
  <si>
    <t>INVESTROM PRODEXIM S.R.L.</t>
  </si>
  <si>
    <t>C2I2B0123000012/21.02.2024/Dezvoltarea pepinierelor societății PAIPER SILVA SRL prin achiziția de echipamente performante și eficiente</t>
  </si>
  <si>
    <t>Moisei</t>
  </si>
  <si>
    <t>PAIPER SILVA S.R.L.</t>
  </si>
  <si>
    <t>34236201</t>
  </si>
  <si>
    <t>C2I2B0123000036/21.02.2024/Pepiniere silvică containerizată composesorală Văcăresti</t>
  </si>
  <si>
    <t>Mihăileni</t>
  </si>
  <si>
    <t>ASOCIAȚIA COMPOSESORALĂ VĂCĂREȘTI</t>
  </si>
  <si>
    <t>13013010</t>
  </si>
  <si>
    <t>C2I2B0123000057/21.02.2024/Înființare pepinieră silvică containerizată OCOLUL SILVIC COMUNAL JOSENII BÎRGĂULUI RA</t>
  </si>
  <si>
    <t>OCOLUL SILVIC COMUNAL JOSENII BIRGAULUI RA</t>
  </si>
  <si>
    <t>27924739</t>
  </si>
  <si>
    <t>C2I2B0123000065/21.02.2024/Infiintare  pepeniera din initiativa COMPOSESORATUL EREMITU</t>
  </si>
  <si>
    <t>Eremitu</t>
  </si>
  <si>
    <t>COMPOSESORATUL EREMITU</t>
  </si>
  <si>
    <t>13678014</t>
  </si>
  <si>
    <t>C2I2B0123000075/21.02.2024/Înființare pepinieră silvică containerizată BIALEX GARDEN</t>
  </si>
  <si>
    <t>Pângărați</t>
  </si>
  <si>
    <t>BIALEX GARDEN S.R.L.</t>
  </si>
  <si>
    <t>47545926</t>
  </si>
  <si>
    <t>C2I2B0123000076/22.02.2024/Proiect IMM pentrun modernizare pepiniera</t>
  </si>
  <si>
    <t>Sovata</t>
  </si>
  <si>
    <t>COMPOSESORATUL " MURESUL"</t>
  </si>
  <si>
    <t xml:space="preserve">C2I2B0123000083/22.02.2024/Înființarea unei secții de producere a puieților de foioase cu rădăcină protejată în pepiniera silvică Tonciu SC PROSPERITY SRL  </t>
  </si>
  <si>
    <t>Galații Bistriței</t>
  </si>
  <si>
    <t>PROSPERITY SRL</t>
  </si>
  <si>
    <t>C2I2B0123000058/22.02.2024/Extindere pepinieră silvică containerizată CAPOTA MARIUS VLAD ÎNTREPRINDERE INDIVIDUALĂ</t>
  </si>
  <si>
    <t>Mărgău</t>
  </si>
  <si>
    <t>CAPOTA MARIUS VLAD ÎNTREPRINDERE INDIVIDUALĂ</t>
  </si>
  <si>
    <t>C2I2B0123000081/22.02.2024/Infiintare pepiniera forestiera de catre S.C. TIFIDI FRUIT IMPEX SRL, in localitatea Schela, Jud. Galati</t>
  </si>
  <si>
    <t xml:space="preserve">Schela </t>
  </si>
  <si>
    <t>TIFIDI FRUIT IMPEX S.R.L.</t>
  </si>
  <si>
    <t>C2I2B0123000053/26.02.2024/Modernizarea pepinierei forestiere Plesanu Floarea PFA</t>
  </si>
  <si>
    <t>Malaia</t>
  </si>
  <si>
    <t>PLESANU FLOAREA PERSOANA FIZICA AUTORIZATA</t>
  </si>
  <si>
    <t>21233629</t>
  </si>
  <si>
    <t>C2I2B0123000060/26.02.2024/Pepinieră silvică containerizată Asociația Composesorală Nicolești</t>
  </si>
  <si>
    <t>Frumoasa</t>
  </si>
  <si>
    <t>ASOCIATIA COMPOSESORALA NICOLESTI</t>
  </si>
  <si>
    <t>13225226</t>
  </si>
  <si>
    <t>C2I2B0123000066/26.02.2024/Înființare capacitate de producție a puieților forestieri Pepinieră ABIES KONSILVA</t>
  </si>
  <si>
    <t>Bistra</t>
  </si>
  <si>
    <t>ABIES KONSILVA S.R.L.</t>
  </si>
  <si>
    <t>39653595</t>
  </si>
  <si>
    <t>C2I2B0123000082/26.02.2024/Modernizarea pepinierei silvice – Composesoratul Gheorgheni</t>
  </si>
  <si>
    <t>COMPOSESORATUL GHEORGHENI</t>
  </si>
  <si>
    <t>13641660</t>
  </si>
  <si>
    <t>C2I2B0123000090/26.02.2024/Înființare pepinieră silvică containerizată - S.C. Petmond S.R.L.</t>
  </si>
  <si>
    <t>Mărgineni</t>
  </si>
  <si>
    <t>PETMOND SRL</t>
  </si>
  <si>
    <t>10439144</t>
  </si>
  <si>
    <t xml:space="preserve">C2I2B0123000073/29.02.2024/MODERNIZAREA CAPACITĂȚII DE PRODUCȚIE A PUIEȚILOR FORESTIERI IN CADRUL SOCIETATII GREEN TREE BRAILA S.R.L. PRIN ACHIZITIA DE UTILAJE PERFORMANTE   </t>
  </si>
  <si>
    <t>Movila Miresii
Traian</t>
  </si>
  <si>
    <t>GREEN TREE BRAILA S.R.L.</t>
  </si>
  <si>
    <t xml:space="preserve">I.3. </t>
  </si>
  <si>
    <t>Actualizarea planurilor de management aprobate și identificarea zonelor potențiale de protecție strictă în habitate naturale terestre și marine în vederea punerii în aplicare a Strategiei UE privind biodiversitatea pentru 2030</t>
  </si>
  <si>
    <t>32,33,34,35</t>
  </si>
  <si>
    <t>I.3.1</t>
  </si>
  <si>
    <t xml:space="preserve"> Actualizarea planurilor de management aprobate</t>
  </si>
  <si>
    <t>32, 33</t>
  </si>
  <si>
    <t>C2_I3.1_0_18430_17_08_2023 -  Actualizarea planurilor de management aprobate și identificarea zonelor potențiale de protecție strictă în habitate naturale terestre și marine în vederea punerii în aplicare a Strategiei UE privind biodiversitatea pentru 2030 - Investiția I3.1. Actualizarea planurilor de management aprobate - Componenta 2: Păduri și protecția biodiversității</t>
  </si>
  <si>
    <t>32,33</t>
  </si>
  <si>
    <t>I3.2</t>
  </si>
  <si>
    <t xml:space="preserve"> Identificarea zonelor potențiale de protecție strictă în habitate naturale terestre și marine în vederea punerii în aplicare a Strategiei UE privind biodiversitatea pentru 2030</t>
  </si>
  <si>
    <t>34, 35</t>
  </si>
  <si>
    <t xml:space="preserve">Dispozitie legala care indica intrarea in vigoare a actului normativ </t>
  </si>
  <si>
    <t xml:space="preserve"> 16.08.2023</t>
  </si>
  <si>
    <t xml:space="preserve"> 31.12.2025</t>
  </si>
  <si>
    <t>In termen</t>
  </si>
  <si>
    <t>C2/I3.2/2237/18.08.2022 - Subinvestiția 3.2. Identificarea zonelor potențiale de protecție strictă în habitate naturale terestre și marine în vederea punerii în aplicare a Strategiei UE privind biodiveritatea pentru 2030 - Investitia 3. Actualizarea planurilor de management aprobate și identificarea zonelor potențiale de protecție strictă în habitate naturale terestre și marine în vederea punerii în aplicare a Strategiei UE privind biodiveritatea pentru 2030, Componenta 2: Păduri și protecția biodiversitații, din cadrul PLanului național de redresare și reziliență</t>
  </si>
  <si>
    <t xml:space="preserve">Contract nr.119/16.08.2023  avand ca obiect Elaborarea unui studiu pentru ”Identificarea zonelor potențiale de non intervenție (protecție strictă) în habitate naturale terestre și marine în vederea punerii în aplicare a strategiei  europene privind biodiversitatea pentru perioada 2021-2030” </t>
  </si>
  <si>
    <t>Asocierea formată din Pro Biodiversitas S.R.L. (Lider), Omnia Development S.R.L. (Asociat 1) și M&amp;S Ecoproiect S.R.L. (Asociat 2), reprezentată prin liderul de asociere PRO BIODIVERSITAS S.R.L.,  cod unic de înregistrare RO 31790848</t>
  </si>
  <si>
    <t xml:space="preserve"> Eliminarea obstacolelor din cursurile de apă în scopul facilitării refacerii conectivității habitatelor și speciilor dependente de apă</t>
  </si>
  <si>
    <t>Anunt: raportul procedurii si comunicari: 12.07.2023</t>
  </si>
  <si>
    <t xml:space="preserve">Servicii de proiectare pentru investitia eliminarea obstacolelor din cursurile de apa in scopul facilitarii refacerii conectivitatii habitatelor si speciilor dependente de apa </t>
  </si>
  <si>
    <t>București, Bihor, Dolj</t>
  </si>
  <si>
    <t>București, Oradea, Craiova</t>
  </si>
  <si>
    <t>Administrația Națională Apele Române în parteneriat cu Agenția Națională pentru Arii Naționale Protejate</t>
  </si>
  <si>
    <t xml:space="preserve">C2/I4.1/52326/19.12.2022 - Servicii de proiectare pentru investitia eliminarea obstacolelor din cursurile de apa in scopul facilitarii refacerii conectivitatii habitatelor si speciilor dependente de apa </t>
  </si>
  <si>
    <t xml:space="preserve"> Reconstrucția habitatelor de pajiști în ariile naturale protejate</t>
  </si>
  <si>
    <t xml:space="preserve"> C2_I4.2_0_69130_17_08_2023 -  Reconstrucția habitatelor de pajiști în ariile naturale protejate - I4- Investiții integrate de reconstrucție ecologică a habitatelor și conservarea speciilor
aferente pajiștilor, zonelor acvatice și dependente de apă - Componenta 2: Păduri și protecția biodiversității</t>
  </si>
  <si>
    <t>I4.3</t>
  </si>
  <si>
    <t xml:space="preserve"> Decolmatarea lacurilor Uzlina și Fortuna din Delta Dunării pentru reducerea eutrofizării și menținerea diversității biologice</t>
  </si>
  <si>
    <t>Administrația Rezervației Biosferei Delta Dunării</t>
  </si>
  <si>
    <t>C2/I4.3/52294/19.12.2022 - ”Decolmatarea lacurilor din Delta Dunarii pentru reducerea eutrofizării și menținerea diversității biologice”</t>
  </si>
  <si>
    <t xml:space="preserve"> Achiziție directă - Contract de servicii - nr. 42/08.07.2022  - având ca obiect cerere de finanțare, </t>
  </si>
  <si>
    <t xml:space="preserve">I4.3 </t>
  </si>
  <si>
    <t>I4.4</t>
  </si>
  <si>
    <t xml:space="preserve"> Implementarea unui sistem de monitorizare a sturionilor sălbatici de-a lungul Dunării de Jos</t>
  </si>
  <si>
    <t>Rețea operaționalizată de monitorizare, comunicare și transmitere date a sturionilor sălbatici</t>
  </si>
  <si>
    <t>De-a lungul Dunării, de la Marea Neagră 1500 km, inclusiv brațele importante</t>
  </si>
  <si>
    <t>Institutul National de Cercetare-Dezvoltare pentru Protectia Mediului</t>
  </si>
  <si>
    <t>C2/I4.4/6878/23/08/2022 - ”Implementarea unui sistem de monitorizare a sturionilor sălbatici de-a lungul Dunării de Jos, finanțat prin Planul Național de Redresare și Reziliență”</t>
  </si>
  <si>
    <t>Realizarea studiului de fezabilitate, a proiectului tehnic și obținerea avizelor și acordurilor necesare pentru amenajarea si reabilitarea cladirii pentru CmAvG-Sturioni cu parcare aferentă  situat la sediul INCDPM/Contract nr. 35/13.03.2023</t>
  </si>
  <si>
    <t>Institutul National de Cercetare-Dezvoltare pentru Protectia Mediului București</t>
  </si>
  <si>
    <t xml:space="preserve">NA </t>
  </si>
  <si>
    <t>13.03.2023</t>
  </si>
  <si>
    <t>31.05.2023</t>
  </si>
  <si>
    <t>MD SOLUTIONS HUB SRL
RO 28555338</t>
  </si>
  <si>
    <t>DA32478125/03.02.2023</t>
  </si>
  <si>
    <t>Termenul de derulare a contractului de 90 de zile calendaristice va decurge de la data obținerii documentelor de intabulare a terenului și clădirii aferente Centrului de Monitorizare Alarmare și Verificare Genomică a Sturionilor Sălbatici (CmAvG-Sturioni). Până în momentul de față  s-a lucrat la identificarea soluțiilor optime pentru intabularea terenului și clădirilor, având în vedere suprapunerile de terenuri constatate faptic.</t>
  </si>
  <si>
    <t xml:space="preserve">A fost necesară identificarea unor soluții optime pentru intabularea terenului și clădirii aferente Centrului de Monitorizare Alarmare și Verificare Genomică a Sturionilor Sălbatici (CmAvG-Sturioni), având în vedere suprapunerile de terenuri constatate faptic. Încheierea unui Act Adițional la contractul nr. 6878/23.08.2022 pentru modificarea calendarului activităților </t>
  </si>
  <si>
    <t>Amenajarea unui laborator de secvențiere genomică a sturionilor bazat pe date istorice (2011- prezent), inclusiv instruirea a două persoane, asigurarea transportului și montajul echipamentelor/
Contract nr. 62/08.06.2023</t>
  </si>
  <si>
    <t xml:space="preserve">NA  </t>
  </si>
  <si>
    <t>08.06.2023</t>
  </si>
  <si>
    <t>31.12.2023</t>
  </si>
  <si>
    <t>SC ELTA 90 MEDICAL RESEARCH SRL
RO 27344880</t>
  </si>
  <si>
    <t>CAN1105566/
14.06.2023</t>
  </si>
  <si>
    <t xml:space="preserve">Achiziționarea de laptop-uri, monitoare 85” și 24”, a ecranului pentru vizualizare status rețea și a echipamentelor pentru rețea rezilientă/Contract nr. 36/14.03.2023 </t>
  </si>
  <si>
    <t>15.12.2023</t>
  </si>
  <si>
    <t>VODAFONE ROMANIA
RO 89717263</t>
  </si>
  <si>
    <t>CAN1099690/
15.03.2023</t>
  </si>
  <si>
    <t>Nu este cazul</t>
  </si>
  <si>
    <t>Bărci cu capacitate de minim 100 CP,  inclusiv peridoc, adaptate pentru masuratori single-beam si prelevarea de probe de apa/ monitorizare cu VR100 + Bărci cu capacitate de minim 140 CP, inclusiv peridoc, adaptate pentru masuratori multi-beam si Sonar pentru sedimente/ monitorizare cu VR100
Contract 86/18.07.2023</t>
  </si>
  <si>
    <t>18.07.2023</t>
  </si>
  <si>
    <t>17.11.2023</t>
  </si>
  <si>
    <t>SC PRONAUTICA SRL
RO 17530567</t>
  </si>
  <si>
    <t>CAN1108240/
27.07.2023</t>
  </si>
  <si>
    <t>Întârziată</t>
  </si>
  <si>
    <t xml:space="preserve">Încheierea unui Act Adițional la contractul nr. 6878/23.08.2022 pentru modificarea calendarului activităților </t>
  </si>
  <si>
    <t xml:space="preserve">Vehicule hybrid de teren pregatite pentru conditii de iarna si drumuri grele pentru asigurarea mentenanței sistemului de monitorizare și transport probe ADN și tractare ambarcatiuni
Contract nr. 171/13.12.2023 </t>
  </si>
  <si>
    <t>Eurokuip Int. STL CUI 10687700</t>
  </si>
  <si>
    <t>CAN1117870 / 26.12.2023</t>
  </si>
  <si>
    <t>Achiziționarea pontonului amenajat pentru marcarea sturionilor și asigurare condiții de cazare și lucru în teren și a echipamentelor de producere a  energiei electrice în regim propriu pentru ponton
Contract nr. 104/29.08.2023</t>
  </si>
  <si>
    <t>21.08.2023</t>
  </si>
  <si>
    <t>21.03.2024</t>
  </si>
  <si>
    <t>31.11.2023</t>
  </si>
  <si>
    <t>QWERTY DEVELOPMENT MACADA-M
RO 37108355</t>
  </si>
  <si>
    <t>SCNA1091714/
05.09.2023</t>
  </si>
  <si>
    <t>I4.5</t>
  </si>
  <si>
    <t xml:space="preserve"> Reconfigurarea infrastructurii publice de acces și vizitare a Deltei Dunării pentru reducerea presiunii turismului asupra habitatelor și speciilor</t>
  </si>
  <si>
    <t>C2/I4.5/52293/19.12.2022 - ”Reconfigurarea infrastructurii publice de acces și vizitare a Deltei Dunării pentru reducerea presiunii asupra habitatelor și speciilor”</t>
  </si>
  <si>
    <t xml:space="preserve"> 52293/19.12.2022 Achiziție directă - Contract de servicii - nr. 43/08.07.2022 valoare 130900 lei - având ca obiect cerere de finanțare</t>
  </si>
  <si>
    <t xml:space="preserve">52293/ 19.12.2022. Achiziție directă și Anunț 8918/21.04.2023- Contract de servicii suport achiziții publice - nr. 40/30.06.2023 valoare 278460 lei </t>
  </si>
  <si>
    <t>În termen</t>
  </si>
  <si>
    <t xml:space="preserve"> Sisteme integrate de reducere a riscurilor generate de viituri torențiale în bazinete forestiere expuse unor astfel de fenomene </t>
  </si>
  <si>
    <t>41, 42</t>
  </si>
  <si>
    <t xml:space="preserve"> Bacău, Buzău, Suceava, Neamț, Hunedoara, Prahova, Valcea, Vrancea</t>
  </si>
  <si>
    <t>Regia Nationala a Padurilor - Romsilva</t>
  </si>
  <si>
    <t>Q1/Q2</t>
  </si>
  <si>
    <t>2023/2026</t>
  </si>
  <si>
    <t>C2/I5/50708/01/09/2022"Lucrări de corectare a torenților pentru reducerea riscurilor generate de viituri torențiale în bazinetele amplasate în fondul forestier național administrat de Regia Națională a Pădurilor – ROMSILVA pe raza județelor Bacău, Buzău, Suceava, Neamț, Hunedoara, Prahova, Valcea, Vrancea</t>
  </si>
  <si>
    <t xml:space="preserve">  Bacău, Buzău, Suceava, Neamț, Hunedoara, Prahova, Valcea, Vrancea</t>
  </si>
  <si>
    <t>C2/I5/50708/01/09/2022" Lucrari de corectare a torentilor pentru reducerea riscurilor generate de viituri torentiale in bazinetele aplasate in fondul forestier national administrat de RNP-ROMSILVA pe raza judetelor Bacau, Buzau, Hunedoara, Neamt, Prahova, Suceava, Valcea, Vrancea"</t>
  </si>
  <si>
    <t>A. Refacere structuri deteriorate de retenție a aluviunilor (buc)
B. Construcții aluvionare noi (buc)
C. Terenuri refăcute prin împădurire sau construire de garduri de vegetație (ha)
D. Restaurare albii torențiale (km)</t>
  </si>
  <si>
    <t>A. 6 buc
B. 30 buc
C. 4 ha
D. 30 km</t>
  </si>
  <si>
    <t>Achiziție publică privind execuția de lucrări de corectare a torenților din bazinul hidrografic Grozea, etapa III, jud. Bacău. SC CONHIDRO SRL/Contract nr. 3487/29.03.2023</t>
  </si>
  <si>
    <t>A.0 buc
B.6 buc
C.0 buc
D.0.718 km</t>
  </si>
  <si>
    <t xml:space="preserve">Bacău </t>
  </si>
  <si>
    <t>Regia Nationala a Padurilor - Romsilva, DS Bacău</t>
  </si>
  <si>
    <t> </t>
  </si>
  <si>
    <t>30.06.2026</t>
  </si>
  <si>
    <t>in termen</t>
  </si>
  <si>
    <t>24,13%</t>
  </si>
  <si>
    <t>12519/15.11.2021 - Verificare PT Grozea</t>
  </si>
  <si>
    <t>SERVCII DE PROIECTARE CT GROZEA ET III/Contract nr. 15577/12.12.2017</t>
  </si>
  <si>
    <t>DARMANESTI</t>
  </si>
  <si>
    <t>57,52%</t>
  </si>
  <si>
    <t>CONTRACT SERVICII CONSULTANTA SSM CT GROZEA ET III, PFA IACOB CARMEN/Contract nr. 4203/19.04.2023</t>
  </si>
  <si>
    <t>Contract servicii dirigintie santier CT GROZEA ET III, SC MIRONCONST SRL/Contract nr. 4685/03.05.2023</t>
  </si>
  <si>
    <t>Achiziție publică privind execuția de lucrări de corectare a torenților din bazinul hidrografic MAIERUS, jud. Bacău. SC CONHIDRO SRL/Contract nr. 3488/29.03.2023</t>
  </si>
  <si>
    <t>A.0 buc
B.10 buc
C.0 buc
D.0.91 km</t>
  </si>
  <si>
    <t>ASAU</t>
  </si>
  <si>
    <t>SERVCII DE PROIECTARE CT MAIERUS/Contract nr. 15580/12.12.2017</t>
  </si>
  <si>
    <t>93,64%</t>
  </si>
  <si>
    <t>SERVICII DE ACTUALIZARE PLAN DE SITUATIE VIZAT DE OCPI BACAU AFERENT OBIECTIVULUI DE INVESTITII CT MAIERUS, SC JUGLANS SRL/Contract nr. 12703/10.11.2022</t>
  </si>
  <si>
    <t>10.11.2023</t>
  </si>
  <si>
    <t>Contract servicii dirigintie santier CT MAIERUS SC MIRONCONST SRL/Contract nr. 4686/03.05.2023</t>
  </si>
  <si>
    <t>CONTRACT SERVICII CONSULTANTA SSM CT MAIERUS PFA IACOB CARMEN/Contract nr. 4204/19.04.2023</t>
  </si>
  <si>
    <t>SERVCII DE PROIECTARE CT PARAUL NEGRU/Contract nr. 15581/12.12.2017</t>
  </si>
  <si>
    <t>91,57%</t>
  </si>
  <si>
    <t>CONTRACT SERVICII VERIFICARE PROIECT TEHNIC CORECTAREA TORENTILOR DIN BAZINUL HIDROGRAFIC PARAUL NEGRU, SC MARACINE NICOMAR SRL/Contract nr. 4216/19.04.2023</t>
  </si>
  <si>
    <t>19.04.2024</t>
  </si>
  <si>
    <t>12601/16.01.2021 - Verificare PT Măieruș</t>
  </si>
  <si>
    <t>SERVCII DE PROIECTARE CT IZVORUL NEGRU ET II/Contract nr. 15578/12.12.2017</t>
  </si>
  <si>
    <t>61,96%</t>
  </si>
  <si>
    <t>CONTRACT SERVICII VERIFICARE PROIECT TEHNIC CORECTAREA TORENTILOR DIN BAZINUL HIDROGRAFIC IZVORUL NEGRU ET II, SC MARACINE NICOMAR SRL/Contract nr. 4217/19.04.2023</t>
  </si>
  <si>
    <t>SERVCII DE PROIECTARE CORECTARE TORENTI SI STABILIZARE VERSANT STRAMTURA SCAUNE, PARAUL ASAU, SC ALFRID SRL/Contract nr. 8160/29.07.2020</t>
  </si>
  <si>
    <t>CONTRACT INTRABULARE PENTRU OBTINERE AVIZ OCPI FAZA DTAC PENTRU OBIECTIVUL DE INVESTITII CORECTAREA TORENTILOR SI STABILIZARE VERZANT STRAMTURA SCAUNE PARAUL ASAU, SC JUGLANS SRL/Contract nr. 4201/19.04.2023</t>
  </si>
  <si>
    <t>19.05.2023</t>
  </si>
  <si>
    <t>12930/18.12.2023 - Execuție lucrpri Corectarea torenților și stabilizare versant Strâmtura Scaune, Pârâul Asău, jud. Bacau</t>
  </si>
  <si>
    <t>CONTRACT SERVICII INTOCMIRE STUDIU PEDOSTATIONAL CORECTAREA TORENTILOR SI STABILIZARE VERSANT STRAMTURA SCAUNE PARAUL ASAU, AC ALFRID SRL/Contract nr. 4202/19.04.2023</t>
  </si>
  <si>
    <t>CONTRACT SERVICII VERIFICARE PROIECT TEHNIC CORECTAREA TORENTILOR SI STABILIZARE VERSANT STRAMTURA SCAUNE PARAUL ASAU, SC MARACINE NICOMAR SRL/Contract nr. 4218/19.04.2023</t>
  </si>
  <si>
    <t>Servicii de proiectare SF+PT+AT Corectarea torentilor din bazinul hidrografic paraul Tisau-Cheia, jud. Buzau. ALFRID S.R.L./Contract 8501/14.10.2022</t>
  </si>
  <si>
    <t>Tisău</t>
  </si>
  <si>
    <t>Regia Nationala a Padurilor - Romsilva, DS Buzău</t>
  </si>
  <si>
    <t>Da</t>
  </si>
  <si>
    <t>81,51%</t>
  </si>
  <si>
    <t>11037/21.12.2023 - Execuție lucrări Corectarea torenților din bazinul hidrografic pârâul Tisău-Cheia, jud. Buzau</t>
  </si>
  <si>
    <t>0%</t>
  </si>
  <si>
    <t>Servicii de verificare tehnica a Proiectului Tehnic pentru investitia
"Corectarea torentilor din bazinul hidrografic Tisau Cheia, jud. Buzău"/Contract nr. 5815/06.07.2023</t>
  </si>
  <si>
    <t>intarziat</t>
  </si>
  <si>
    <t>100%</t>
  </si>
  <si>
    <t>in concordanta cu elaborarea proiectului tehnic care depinde de obtinerea avizelor cerute in certificatul urbanism</t>
  </si>
  <si>
    <t>Servicii de proiectare SF+PT+AT Corec,area torentilor din  bazinul hidrografic paraul Casele Bisocii, jud. Buzau. ALFRID S.R.L./Contract 8502/14.10.2022</t>
  </si>
  <si>
    <t>Manzalesti-Bisoca</t>
  </si>
  <si>
    <t>85,96%</t>
  </si>
  <si>
    <t>Servicii de verificare tehnica a Proiectului Tehnic pentru investitia
"Corectarea torentilor din bazinul hidrografic Casele Bisocii, jud. Buzău"/Contract nr. 5814/06.07.2023</t>
  </si>
  <si>
    <t>11036/21.12.2023 - Executie lucrari Corectarea torenților din bazinul hidrografic pârâul Casele Bisocii, jud. Buzau</t>
  </si>
  <si>
    <t>Achiziție publică privind execuția de lucrări de corectare a torenților din bazinul hidrografic Martinu, jud. Buzău CONSTRUCT TRANS SRL/Contract 3500/20.04.2023</t>
  </si>
  <si>
    <t>A. 0 buc
B. 15 buc
C. 0,3 ha
D. 2,89</t>
  </si>
  <si>
    <t>51,08%</t>
  </si>
  <si>
    <t>Servicii de proiectare SF+PT+AT Corectarea torentilor din  bazinul hidrografic paraul Martinu, jud. Buzau. ALFRID S.R.L./Contract 6643/16.10.2019</t>
  </si>
  <si>
    <t>98%</t>
  </si>
  <si>
    <t>Servicii de verificare tehnica a Proiectului Tehnic pentru investitia
"Corectarea torentilor din bazinul hidrografic Martinu, jud. Buzău". MARACINE NICOMAR SRL/Contract 4270/16.05.2022</t>
  </si>
  <si>
    <t>Servicii de dirigentie de santier la obiectivul de investitii Corectare a torenților din bazinul hidrografic Martinu, jud. Buzău MONTANA EDIL SRL/Contract 3968/08.05.2023</t>
  </si>
  <si>
    <t>Identificarea operatorilor economici atestatati in domeniu si inregistrati la ONRC ca beneficiar real s-a facut cu dificultate.</t>
  </si>
  <si>
    <t>Servicii de consultanta SSM la obiectivul de investitii Corectare a torenților din bazinul hidrografic Martinu, jud. Buzău - HARALAMBIE SRL/Contract nr. 5455/26.06.2023</t>
  </si>
  <si>
    <t>SERVICII DE PROIECTARE "CORECTAREA TORENTILOR FETITA MARE" DS HUNEDOARA 2021 335HDCC314. S.C. ALFRID S.R.L./Contract 19277/29.12.2021</t>
  </si>
  <si>
    <t>Petrila</t>
  </si>
  <si>
    <t>Regia Nationala a Padurilor - Romsilva, DS Hunedoara</t>
  </si>
  <si>
    <t>89,74%</t>
  </si>
  <si>
    <t>Servicii analiza DNSH "Corectarea torentilor Fetita Mare" DS Hunedoara 2022. S.C. ALFRID S.R.L./Contract DA31997546/25.11.2022</t>
  </si>
  <si>
    <t>Servicii de verificare proiect tehnic obiectiv de investitii
“Corectarea Torentilor Fetita Mare” D.S. Hunedoara S.C. ARGIF PROIECT S.R.L./Contract nr. 8084/12.05.2023</t>
  </si>
  <si>
    <t>Regia nationala a Padurilor - Romsilva, DS Hunedoara</t>
  </si>
  <si>
    <t>15.05.2023</t>
  </si>
  <si>
    <t>98,57%</t>
  </si>
  <si>
    <t>Execuție lucrări  "Corectarea torenților Fetița Mare, jud. Hunedoara" DS Hunedoara S.C. CHIMPROMET S.R.L./Contract nr. 14890/06.09.2023</t>
  </si>
  <si>
    <t xml:space="preserve">A. 0 buc
B. 12 buc.
C. 1,5 ha
D. 3,1 km
</t>
  </si>
  <si>
    <t>S.C. CHIMPROMET S.R.L.</t>
  </si>
  <si>
    <t>SCNA1091889/08.09.2023</t>
  </si>
  <si>
    <t>13,30%</t>
  </si>
  <si>
    <t xml:space="preserve">Dirigenție de șantier  "Corectarea torenților Fetița Mare, jud. Hunedoara"/Contract nr. 15743/22.09.2023 </t>
  </si>
  <si>
    <t>P.F.A.SANDA ION - DIRIGINTE DE SANTIER</t>
  </si>
  <si>
    <t>Servicii de proiectare SF+PT+AT Corectarea torentilor din bazinul hidrografic cuprins întrepr. Grefeniș și pr. Schitu, Jud. Neamț - SC DENDRO PROIECT SRL/Contract nr. 315/30.12.2021</t>
  </si>
  <si>
    <t>Piatra Neamt</t>
  </si>
  <si>
    <t>Regia Nationala a Padurilor - Romsilva, DS Neamț</t>
  </si>
  <si>
    <t>86,47%</t>
  </si>
  <si>
    <t>Servicii de de verificare PT Corectarea torentilor din bazinul hidrografic cuprins întrepr. Grefeniș și pr. Schitu, Jud. Neamț - SC MARACINE NICOMAR SRL/125/15.05.2023</t>
  </si>
  <si>
    <t>Execuție lucrări la obiectivul de investitii Corectarea torentilor din bazinul hidrografic cuprins întrepr. Grefeniș și pr. Schitu, Jud. Neamț - /Contract nr 210/15.09.2023</t>
  </si>
  <si>
    <t>A. 0 buc
B. 8 buc
C. 1,3065ha
D. 0,667 km</t>
  </si>
  <si>
    <t xml:space="preserve">SC ANDREI CONSTRUCT RO22091018 </t>
  </si>
  <si>
    <t>SCNA1092778/26.09.2023</t>
  </si>
  <si>
    <t>21,43%</t>
  </si>
  <si>
    <t>Servicii de dirigentie de santier la obiectivul de investitii Corectarea torentilor din bazinul hidrografic cuprins întrepr. Grefeniș și pr. Schitu, Jud. Neamț - PFA PASCOVICI T. CONSTANTIN/Contract nr 215/21.09.2023</t>
  </si>
  <si>
    <t xml:space="preserve">PFA PASCOVOICI T. CONSTANTIN  19362567
</t>
  </si>
  <si>
    <t>Servicii de proiectare în vederea elaborării documentației tehnico-economice pentru obiectivul de investiții Corectarea torenților Valea Rea, etapa a II-a. INCDS Marin Dracea / Contract nr. 77/19.04.2022</t>
  </si>
  <si>
    <t>Sinaia</t>
  </si>
  <si>
    <t>Regia Nationala a Padurilor - Romsilva, DS Prahova</t>
  </si>
  <si>
    <t>69,28%</t>
  </si>
  <si>
    <t>s-a solicitat prelungirea 
termenului de predare proiect tehnic pana la 28.07.2023; s-a incheiat act aditional</t>
  </si>
  <si>
    <t>Servicii se verificare a proiectului tehnic la obiectivul de investitii Corectarea torenților Valea Rea, etapa a II-a. SC MARACINE NICOMAR SRL / Contract nr. 5575/15.05.2023</t>
  </si>
  <si>
    <t>proiectul tehnic nu este predat de catre proiectant</t>
  </si>
  <si>
    <t>Servicii de verificare proiect tehnic, DTAC, DTOE si dispozitii de santier la cerintele A4, B2, D la Corectarea Torentilor Valea Rea etapa a II-a SC GRIGO DESIGN SRL / Contract nr. 11839/30.10.2023</t>
  </si>
  <si>
    <t>SC GRIGO DESIGN SRL
RO24484064</t>
  </si>
  <si>
    <t>97,37%</t>
  </si>
  <si>
    <t>proiectul tehnic a fost verificat</t>
  </si>
  <si>
    <t>Servicii de proiectare la obiectivul de investiții "Corectarea torenților din bazinul hidrografic Bucșoița, OS Frasin"  DS Suceava. INCDS Marin Dracea/Contract 17633/05.10.2022</t>
  </si>
  <si>
    <t>orașul Frasin, orașul Gura Humorului</t>
  </si>
  <si>
    <t>Regia Nationala a Padurilor - Romsilva, DS Suceava</t>
  </si>
  <si>
    <t>68%</t>
  </si>
  <si>
    <t>Servicii verificare proiect tehnic Corectarea torenților din bazinul hidrografic Bucșoița. Sc Water Pin  SRL /Contract nr. 14649 / 19.06.2023</t>
  </si>
  <si>
    <t>Frasin / Gura Humorului</t>
  </si>
  <si>
    <t>Servicii de proiectare lucrări de corectarea torenților din bazinul hidrografic Pârâul Leșului OS Crucea, DS Suceava . INCDS Marin Dracea/Contract nr. 17632/05.10.2022</t>
  </si>
  <si>
    <t>comuna Crucea</t>
  </si>
  <si>
    <t>37,69%</t>
  </si>
  <si>
    <t>Servicii verificare proiect tehnic ”Corectarea torenților din bazinul hidrografic Pârâul Leșului”. Sc Water Pin  SRL /Contract nr. 14650 / 19.06.2023</t>
  </si>
  <si>
    <t>Crucea</t>
  </si>
  <si>
    <t>Servicii de proiectare lucrări de Corectarea torenților din bazinul hidrografic Maghernița, OS Crucea. SC Sursa Com SRL/Contract nr.  18634/15.11.2022</t>
  </si>
  <si>
    <t>Slatina</t>
  </si>
  <si>
    <t>contract nefinalizat</t>
  </si>
  <si>
    <t>77,29%</t>
  </si>
  <si>
    <t>10505/17.01.2024 - Execuție lucrări Corectarea torenților din bazinul hidrografic Maghernița, jud. Suceava</t>
  </si>
  <si>
    <t>Servicii verificare proiect tehnic ”Corectarea torenților din bazinul hidrografic Maghernița”. Sc Water Pin  SRL Contract nr. 14651 / 19.06.2023</t>
  </si>
  <si>
    <t>Contract execuție lucrări CT IZVORUL GOVOREI, SC COVAMAR SRL/Contract nr. 4047/138/ 10.04.2023</t>
  </si>
  <si>
    <t>A. 0 buc
B. 14 buc
C. 0,6 ha
D. 1,29 km</t>
  </si>
  <si>
    <t>Costești</t>
  </si>
  <si>
    <t>Regia Nationala a Padurilor - Romsilva, DS Vâlcea</t>
  </si>
  <si>
    <t>56,91%</t>
  </si>
  <si>
    <t xml:space="preserve">Contract servicii de proiectare privind corectarea torenților CT IZVORUL GOVOREI, SC ALFRID SRL/Contract nr. 11564/345/ 20.11.2018 </t>
  </si>
  <si>
    <t>96,6%</t>
  </si>
  <si>
    <t>Contract servicii verificare proiet tehnic CT IZVORUL GOVOREI, SC ARGIF PROIECT SRL/Contract nr. 4816/ 03.06.2021</t>
  </si>
  <si>
    <t>Contract de consultanță și studii pentru protecția mediului -DNSH CT IZVORUL GOVOREI, SC ALFRID SRL/Contract nr. 7222/210/ 01.08.2022</t>
  </si>
  <si>
    <t>01.09.2022</t>
  </si>
  <si>
    <t>Contract servicii dirigenție șantier CT IZVORUL GOVOREI, SC VASILESCU EXPERT SRL/Contract nr. 5126/162/ 11.05.2023</t>
  </si>
  <si>
    <t>56,54%</t>
  </si>
  <si>
    <t>Contract execuție lucrări CT VALEA LUNGĂ, SC CHIMPROMET  SRL/Contract nr. 4197/141/ 12.04.2023</t>
  </si>
  <si>
    <t>A. 0 buc
B. 12 buc
C. 1 ha
D. 1,95 km</t>
  </si>
  <si>
    <t>Olănești</t>
  </si>
  <si>
    <t>61,79%</t>
  </si>
  <si>
    <t>Contract servicii de proiectare privind corectarea torenților CT VALEA LUNGĂ, SC ALFRID SRL/Contract nr. 11565/346/ 20.11.2018</t>
  </si>
  <si>
    <t>91%</t>
  </si>
  <si>
    <t>Contract servicii verificare proiect tehnic CT VALEA LUNGĂ, SC MĂRĂCINE NICOMAR SRL/Contract nr. 7006/202/ 16.07.2019</t>
  </si>
  <si>
    <t>01.08.2019</t>
  </si>
  <si>
    <t>Contract de consultanță și studii pentru protecția mediului -DNSH CT VALEA LUNGĂ, SC ALFRID SRL/Contract nr. 7220/208/ 01.08.2022</t>
  </si>
  <si>
    <t>Contract servicii dirigenție șantier CT VALEA LUNGĂ, SC VASILESCU EXPERT SRL/Contract nr. 5653/188/ 29.05.2023</t>
  </si>
  <si>
    <t>61.59%</t>
  </si>
  <si>
    <t>Contract execuție lucrări CT SCANTEIA, SC COVAMAR SRL/Contract nr. 7240/223/ 18.07.2023</t>
  </si>
  <si>
    <t>A. 0 buc
B. 12 buc
C. 0,5 ha
D. 1,4 km</t>
  </si>
  <si>
    <t>28,5%</t>
  </si>
  <si>
    <t>Contract servicii de proiectare privind corectarea torenților CT SCÂNTEIA, SC ALFRID SRL/Contract nr.  2016/54/ 01.03.2021</t>
  </si>
  <si>
    <t>97,7%</t>
  </si>
  <si>
    <t>Contract servicii verificare PT- CT SCÂNTEIA , SC ARGIF PROIECT SRL/Contract nr. 453/103/ 06.03.2023</t>
  </si>
  <si>
    <t>15.03.2022</t>
  </si>
  <si>
    <t>9545/03.10.2023 - Verificare proiect tehnic Corectarea torenților Bistricioara, etapa a II-a, jud. Valcea</t>
  </si>
  <si>
    <t>28.5%</t>
  </si>
  <si>
    <t>Contract servicii de proiectare privind corectarea torenților CT BISTRICIOARA - ETATPA II, SC ALFRID SRL/Contract nr.  11888/410/ 31.12.2021</t>
  </si>
  <si>
    <t>Horezu</t>
  </si>
  <si>
    <t>93,99%</t>
  </si>
  <si>
    <t>Achiziția publică de servicii de proiectare în vederea actualizării / elaborării documentațiilor tehnico-economice pentru obiectivul de investiții ”Corectarea torenților Fetig etapa a III-a”. INCDS Marin Drăcea/Contract nr. 5500 /22 / 20.09.2022</t>
  </si>
  <si>
    <t>Andreiașu de Jos</t>
  </si>
  <si>
    <t>Regia Națională a Pădurilor - Romsilva, DS Vrancea</t>
  </si>
  <si>
    <t>69.61%</t>
  </si>
  <si>
    <t>Prestări servicii Expertiza tehnică studiu de fezabilitate ”Corectarea torenților Fetig etapa a III-a”. PFA Pintilie N Vasile/Contract nr. 954 / 15.02.2023</t>
  </si>
  <si>
    <t>20.02.2023</t>
  </si>
  <si>
    <t>Servicii verificare proiect tehnic Fetig et. a III-a, jud. Vrancea. SC Maracine Nicomar  SRL /Contract nr. 4236 / 10.07.2023</t>
  </si>
  <si>
    <t>100</t>
  </si>
  <si>
    <t xml:space="preserve"> Materiale de publicitate personalizate pentru proiectul PNRR "Lucrari de corectarea torentilor pentru reducereariscurilor generate de viituri torentiale in bazinetele amplasate in fondul forestier national administrat de RNPROMSILVA pe raza judetelor Bacau, Buzau, Suceava, Neamt, Hunedoara, Prahova, Valcea, Vrancea)". Unique Promo SRL/Contract nr. 4/16.01.2023</t>
  </si>
  <si>
    <t>15/03/2023</t>
  </si>
  <si>
    <t xml:space="preserve"> Panouri temporare de publicitate/informare pentru proiectul PNRR "Lucrari de corectarea torentilor pentru reducerea riscurilor generate de viituri torentiale in bazinetele amplasate in fondul forestier national administrat de RNP-ROMSILVA pe raza judetelor Bacau, Buzau, Suceava, Neamt, Hunedoara, Prahova, Valcea, Vrancea)". Unique Promo SRL/Contract nr. 54/10.04.2023</t>
  </si>
  <si>
    <t>C3</t>
  </si>
  <si>
    <t>I1.a</t>
  </si>
  <si>
    <t>Înființarea de centre de colectare prin aport voluntar</t>
  </si>
  <si>
    <t>48, 49</t>
  </si>
  <si>
    <t>0-250. 250 - 565</t>
  </si>
  <si>
    <t xml:space="preserve">Prin Ghidul specific, a fost pus la dispoziția beneficiarilor un proiect tip. Pentru a facilita și simplifica înființarea CAV-urilor, achiziția de containere se realizează centralizat de către MMAP. </t>
  </si>
  <si>
    <t>C3/I1.A/51134/20.10.2022-Construire centru de colectare prin aport voluntar în comuna Toboliu, județul Bihor</t>
  </si>
  <si>
    <t>Toboliu</t>
  </si>
  <si>
    <t>UAT Comuna Toboliu</t>
  </si>
  <si>
    <t xml:space="preserve">În prezent, achiziția este în fază avansată de pregătire. Astfe,  Direcția Economic, Investiții și Administrativ, prin Serviciul Achiziții, centralizează contractele de finanțare și acordurile de asociere pentru definirea finală a valorii estimate dar și a loturilor. </t>
  </si>
  <si>
    <t xml:space="preserve">C3/I1.A/51135/20.10.2022-Înființare centru de aport voluntar în Municipiul Fetești </t>
  </si>
  <si>
    <t>Fetești</t>
  </si>
  <si>
    <t>UAT MUNICIPIUL FETEȘTI</t>
  </si>
  <si>
    <t xml:space="preserve">Serviciul achiziții este, de asemnea, în curs de veriificare a acordurilor de asociere care reprezintă mandatarea MMAP pentru efectuarea achiziției. </t>
  </si>
  <si>
    <t>C3/I1.A/51136/20.10.2022-Construire centru de colectare prin aport voluntar în orașul Ocna Mureș, județul Alba</t>
  </si>
  <si>
    <t>Ocna Mureș</t>
  </si>
  <si>
    <t>UAT ORAȘ OCNA MUREȘ</t>
  </si>
  <si>
    <t xml:space="preserve">La 30 octombrie sunt 546 de beneficiari pentru 594 de CAV-uri. </t>
  </si>
  <si>
    <t>C3/I1.A/51137/20.10.2022-Înființare centru de colectare prin aport voluntar în Municipiul Râmnicu Vâlcea</t>
  </si>
  <si>
    <t>Râmnicu Vîlcea</t>
  </si>
  <si>
    <t>UAT MUNICIPIUL RÂMNICU VÂLCEA</t>
  </si>
  <si>
    <r>
      <t xml:space="preserve">Valoarea estimată a achiziției este de aproximativ </t>
    </r>
    <r>
      <rPr>
        <b/>
        <sz val="11"/>
        <color theme="1"/>
        <rFont val="Trebuchet MS"/>
        <family val="2"/>
      </rPr>
      <t>620,35 milioane lei.</t>
    </r>
  </si>
  <si>
    <t>C3/I1.A/51138/20.10.2022-Construire centru de colectare prin aport voluntar în comuna Biharia, județul Bihor</t>
  </si>
  <si>
    <t>Biharia</t>
  </si>
  <si>
    <t>UAT COMUNA BIHARIA</t>
  </si>
  <si>
    <t>Publicare în SEAP(estimata) în cursul săptămânii 24-27 iulie 2023.</t>
  </si>
  <si>
    <t>C3/I1.A/51139/20.10.2022-Înființarea unui centru de colectare prin aport voluntar (CAV) în orașul Vicovu de Sus</t>
  </si>
  <si>
    <t>Vicovu de Sus</t>
  </si>
  <si>
    <t>UAT ORAȘ VICOVU DE SUS</t>
  </si>
  <si>
    <t xml:space="preserve">Termenul de demarare a procedurii de achizitie nu este precizat. </t>
  </si>
  <si>
    <t>C3/I1.A/51140/20.10.2022-Construirea de centre de colectare prin aport voluntar în orașul Chișineu - Criș, Județul Arad</t>
  </si>
  <si>
    <t>Chișineu-Criș</t>
  </si>
  <si>
    <t>UAT ORAȘ CHIȘINEU-CRIȘ</t>
  </si>
  <si>
    <t xml:space="preserve">Evaluare oferte 1-2 luni, minim. </t>
  </si>
  <si>
    <t>C3/I1.A/51141/20.10.2022-Construire centru de colectare prin aport voluntar în comuna Pomezeu, județul Bihor</t>
  </si>
  <si>
    <t>Pomezeu</t>
  </si>
  <si>
    <t>UAT COMUNA POMEZEU</t>
  </si>
  <si>
    <t>Semnare acorduri cadru: ianuarie-februarie 2024 (estimare MIPE).</t>
  </si>
  <si>
    <t>C3/I1.A/51142/20.10.2022-Înființarea unui centru de colectare prin aport voluntar în Municipiul Sighișoara, județul Mureș</t>
  </si>
  <si>
    <t>Sighișoara</t>
  </si>
  <si>
    <t>UAT MUNICIPIUL SIGHIȘOARA</t>
  </si>
  <si>
    <t xml:space="preserve">După această etapă vor începe lucrările propriu zise de realizare a Centrelor de Aport Voluntar care presupun din partea beneficiarilor doar montarea și racordarea la utilități. </t>
  </si>
  <si>
    <t>C3/I1.A/51143/20.10.2022-Înființare unui centru de colectare prin aport voluntar în orașul Petrila, județul Hunedoara</t>
  </si>
  <si>
    <t>UAT ORAȘ PETRILA</t>
  </si>
  <si>
    <t>pentru 250 de CAV termenul de finalizare a contractului trebuie sa fie T4 2024. In prezent toate contractele au termen de finalizare T2 2026</t>
  </si>
  <si>
    <t>C3/I1.A/51144/20.10.2022-Înființarea unui centru de colectare prin aport voluntar pentru comuna Bălăușeri</t>
  </si>
  <si>
    <t>Bălăușeri</t>
  </si>
  <si>
    <t>UAT COMUNA BĂLĂUȘERI</t>
  </si>
  <si>
    <t>In prezent (decembrie 2023), MMAP are in lucru aproximativ 400 de cereri de aditionare a contractelor de finantare.</t>
  </si>
  <si>
    <t>C3/I1.A/51145/20.10.2022-Înființarea unui centru de colectare cu aport voluntar (CAV) în municipiul Botoșani, Județul Botoșani</t>
  </si>
  <si>
    <t>UAT MUNICIPIUL BOTOȘANI</t>
  </si>
  <si>
    <t>C3/I1.A/51146/20.10.2022-Înființare unui centru de colectare prin aport voluntar în Municipiul Reghin, Județul Mureș</t>
  </si>
  <si>
    <t>Rreghin</t>
  </si>
  <si>
    <t>UAT MUNICIPIUL REGHIN</t>
  </si>
  <si>
    <t>C3/I1.A/51147/20.10.2022-Centre de colectare prin aport voluntar în municipiul Arad</t>
  </si>
  <si>
    <t>UAT MUNICIPIUL ARAD</t>
  </si>
  <si>
    <t xml:space="preserve">C3/I1.A/51148/20.10.2022-Înființarea unui centru de colectare a deșeurilor prin aport voluntar în municipiul Târgoviște, județul Dâmbovița </t>
  </si>
  <si>
    <t>Târgoviște</t>
  </si>
  <si>
    <t>UAT MUNICIPIUL TÂRGOVIȘTE</t>
  </si>
  <si>
    <t>C3/I1.A/51149/20.10.2022-Înființarea unui centru de colectare prin aport voluntar în Oarșul Uricani, județul Hunedoara</t>
  </si>
  <si>
    <t>Uricani</t>
  </si>
  <si>
    <t>UAT ORAȘ URICANI</t>
  </si>
  <si>
    <t>C3/I1.A/51151/20.10.2022-Înființarea unui centru de colectare prin aport voluntar în comuna Sângeorgiu de Mureș</t>
  </si>
  <si>
    <t>Sângeorgiu de Mureș</t>
  </si>
  <si>
    <t>UAT COMUNA SÂNGEORGIU DE MUREȘ</t>
  </si>
  <si>
    <t>C3/I1.A/51152/20.10.2022-Înființarea unui centru de colectare prin aport voluntar pentru comuna Gornești</t>
  </si>
  <si>
    <t>Gornești</t>
  </si>
  <si>
    <t>UAT COMUNA GORNEȘTI</t>
  </si>
  <si>
    <t xml:space="preserve">C3/I1.A/51153/20.10.2022-Înființarea unui centru de colectare prin aport voluntar în orașul Zlatna </t>
  </si>
  <si>
    <t>Zlatna</t>
  </si>
  <si>
    <t>UAT ORAȘ ZLATNA</t>
  </si>
  <si>
    <t>C3/I1.A/51155/20.10.2022-Construire centru de colectare prin aport voluntar în comuna Lupșa, județul Alba</t>
  </si>
  <si>
    <t>Lupșa</t>
  </si>
  <si>
    <t>UAT COMUNA LUPȘA</t>
  </si>
  <si>
    <t>C3/I1.A/51156/20.10.2022-Înființare centru de colectare prin aport voluntar în comuna Porumbacu de Jos, județul Sibiu</t>
  </si>
  <si>
    <t>Porumbacu de Jos</t>
  </si>
  <si>
    <t>UAT COMUNA PORUMBACU DE JOS</t>
  </si>
  <si>
    <t>C3/I1.A/51157/20.10.2022-Înființarea unui centru de colectare prin aport voluntar în Municipiul Onești</t>
  </si>
  <si>
    <t>Onești</t>
  </si>
  <si>
    <t>UAT MUNICIPIUL ONEȘTI</t>
  </si>
  <si>
    <t>C3/I1.A/51158/20.10.2022-Înființarea și dotarea de centre de colectare prin aport colectiv</t>
  </si>
  <si>
    <t>UAT MUNICIPIUL BRAȘOV</t>
  </si>
  <si>
    <t>C3/I1.A/51159/20.10.2022-Înființarea unui centru de colectare a deșeurilor prin aport voluntar în municipiul Odorheiu Secuiesc, județul Harghita</t>
  </si>
  <si>
    <t>Odorheiu Secuiesc</t>
  </si>
  <si>
    <t>UAT MUNICIPIUL ODORHEIU SECUIESC</t>
  </si>
  <si>
    <t>C3/I1.A/51598/16.11.2022-Înființarea a două centre de colectare prin aport voluntar în Municipiul Bistrița</t>
  </si>
  <si>
    <t>Bistrița</t>
  </si>
  <si>
    <t>UAT MUNICIPIUL BISTRITA</t>
  </si>
  <si>
    <t>C3/I1.A/51602/16.11.2022-Înfiintare centru de colectare deșeuri prin aport voluntar în comuna Biertan, Județul Sibiu</t>
  </si>
  <si>
    <t>Biertan</t>
  </si>
  <si>
    <t>UAT COMUNA BIERTAN</t>
  </si>
  <si>
    <t>C3/I1.A/51835/28.11.2022-Înființarea și dotarea unui centru de colectare prin aport voluntar în comuna Baciu</t>
  </si>
  <si>
    <t>Baciu</t>
  </si>
  <si>
    <t>UAT COMUNA BACIU</t>
  </si>
  <si>
    <t>C3/I1.A/51838/28.11.2022-Înființarea unui centru de colectare prin aport voluntar în oraș Sovata, județul Mureș</t>
  </si>
  <si>
    <t>UAT ORAȘ SOVATA</t>
  </si>
  <si>
    <t>C3/I1.A/51833/28.11.2022-Înființarea de centre de colectare prin aport voluntar Galați</t>
  </si>
  <si>
    <t>UAT Municipiul Galați</t>
  </si>
  <si>
    <t>C3/I1.A/51836/28.11.2022-Înființarea unui centru de colectare prin aport voluntar în municipiul Adjud</t>
  </si>
  <si>
    <t>Adjud</t>
  </si>
  <si>
    <t>UAT MUNICIPIUL ADJUD</t>
  </si>
  <si>
    <t>C3/I1.A/51826/28.11.2022-Înființarea și dotarea unui centru de colectare prin aport voluntar în orașul Hârșova</t>
  </si>
  <si>
    <t>Hârșova</t>
  </si>
  <si>
    <t>UAT Hârșova</t>
  </si>
  <si>
    <t xml:space="preserve">C3/I1.A/51827/28.11.2022-Înființarea unui centru de colectare prin aport voluntar pentru municipiul Târnăveni </t>
  </si>
  <si>
    <t>Târnăveni</t>
  </si>
  <si>
    <t>MUNICIPIUL TÂRNĂVENI</t>
  </si>
  <si>
    <t>C3/I1.A/51828/28.11.2022-Înființarea și dotarea unui centru de colectare prin aport voluntar în orașul Baia de Arieș</t>
  </si>
  <si>
    <t>Baia de Arieș</t>
  </si>
  <si>
    <t>UAT Orașul Baia de Arieș</t>
  </si>
  <si>
    <t xml:space="preserve">C3/I1.A/51830/28.11.2022-Înființarea unui centru de colectare prin aport voluntar în comuna Scânteia, județul Ialomița </t>
  </si>
  <si>
    <t>Scânteia</t>
  </si>
  <si>
    <t>UAT COMUNA SCÂNTEIA</t>
  </si>
  <si>
    <t xml:space="preserve">C3/I1.A/51831/28.11.2022-Înființarea unui centru de colectare prin aport voluntar în orașul Darabani, județul Botoșani </t>
  </si>
  <si>
    <t>Darabani</t>
  </si>
  <si>
    <t>UAT Oraș Darabani</t>
  </si>
  <si>
    <t>C3/I1.A/51832/28.11.2022-Construire centru de colectare deșeuri prin aport voluntar în comuna Giroc, județul Timiș</t>
  </si>
  <si>
    <t>Giroc</t>
  </si>
  <si>
    <t>UAT COMUNA GIROC</t>
  </si>
  <si>
    <t>C3/I1.A/51840/29.11.2022-Înființare centru de aport voluntar pentru deșeuri în comuna Șiria</t>
  </si>
  <si>
    <t>Șiria</t>
  </si>
  <si>
    <t>UAT Comuna Șiria</t>
  </si>
  <si>
    <t>C3/I1.A/51841/29.11.2022-Înființare centru de aport voluntar pentru deșeuri în comuna Gurahonț</t>
  </si>
  <si>
    <t>Gurahont</t>
  </si>
  <si>
    <t>UAT COMUNA GURAHONȚ</t>
  </si>
  <si>
    <t>C3/I1.A/51842/29.11.2022-Construirea de centre de colectare a deșeurilor prin aport voluntar în Municipiul Slobozia, județul Ialomița</t>
  </si>
  <si>
    <t>Slobozia</t>
  </si>
  <si>
    <t>UAT MUNICIPIUL SLOBOZIA</t>
  </si>
  <si>
    <t>C3/I1.A/51843/29.11.2022-Înființare centru de aport voluntar pentru deșeuri în comuna Sintea Mare</t>
  </si>
  <si>
    <t>Sintea Mare</t>
  </si>
  <si>
    <t>UAT COMUNA SINTEA MARE</t>
  </si>
  <si>
    <t>C3/I1.A/51844/29.11.2022-Înființare centru de aport voluntar pentru deșeuri în comuna Iratosu</t>
  </si>
  <si>
    <t>Iratosu</t>
  </si>
  <si>
    <t>UAT COMUNA IRATOȘU</t>
  </si>
  <si>
    <t>C3/I1.A/51852/29.11.2022-Înființare centru de colectare a deșeurilor prin aport voluntar în Comuna Bistreț, județul Dolj</t>
  </si>
  <si>
    <t>Bistreț</t>
  </si>
  <si>
    <t>UAT COMUNA BISTREȚ</t>
  </si>
  <si>
    <t>C3/I1.A/51853/29.11.2022-Dezvoltarea sistemului de management integrat al deșeurilor prin înființarea unui centru de colectare prin aport voluntar în comuna Mihălășeni, județul Botoșani</t>
  </si>
  <si>
    <t>Mihălășeni</t>
  </si>
  <si>
    <t>UAT Comuna Mihălășeni</t>
  </si>
  <si>
    <t>C3/I1.A/51854/29.11.2022-Înființare centru de colectare prin aport voluntar în comuna Racovița, județul Sibiu</t>
  </si>
  <si>
    <t>Racoviță</t>
  </si>
  <si>
    <t>UAT COMUNA RACOVIȚA</t>
  </si>
  <si>
    <t>C3/I1.A/51956/08.12.2022-Înființarea și dotarea unui centru de colectare prin aport voluntar în comuna Tătăruși, Județul Iași, runda I</t>
  </si>
  <si>
    <t>Tătăruși</t>
  </si>
  <si>
    <t>UAT TĂTĂRUȘI</t>
  </si>
  <si>
    <t>C3/I1.A/52083/14.12.2022-Înființarea unui centru de colectare prin aport voluntar în comuna Buzescu, Județul Teleorman</t>
  </si>
  <si>
    <t>Buzescu</t>
  </si>
  <si>
    <t>UAT COMUNA BUZESCU</t>
  </si>
  <si>
    <t>C3/I1.A/52323/19.12.2022-DEZVOLTAREA SISTEMULUI DE MANAGEMENT INTEGRAT AL DEȘEURILOR PRIN ÎNFIINȚAREA UNUI CENTRU DE COLECTARE PRIN APORT VOLUNTAR ÎN ORAȘUL FLĂMÂNZI, JUDEȚUL BOTOȘANI</t>
  </si>
  <si>
    <t>Flamânzi</t>
  </si>
  <si>
    <t>UAT ORAȘUL FLĂMÂNZI</t>
  </si>
  <si>
    <t>C3/I1.A/64777/09.01.2023 - Înființarea unui centru de colectare prin aport voluntar în orașul Mărășești județul Vrancea</t>
  </si>
  <si>
    <t>Mărășești</t>
  </si>
  <si>
    <t>UAT ORAȘUL MĂRĂȘEȘTI</t>
  </si>
  <si>
    <t>C3/I1.A/64798/09.01.2023 - ÎNFIINTARE CENTRU DE APORT VOLUNTAR PENTRU DEȘEURI ÎN ORAȘUL SÂNTANA ȘI SATUL APARȚINĂTOR CAPORAL ALEXA</t>
  </si>
  <si>
    <t>Sântana</t>
  </si>
  <si>
    <t>UAT ORAȘUL SÂNTANA</t>
  </si>
  <si>
    <t>C3/I1.A/64865/11.01.2023 - ÎNFIINȚARE CENTRE DE COLECTARE, ÎN COMUNA DRĂGEȘTI, JUDEȚUL BIHOR</t>
  </si>
  <si>
    <t>Drăgești</t>
  </si>
  <si>
    <t>UAT COMUNA DRĂGEȘTI</t>
  </si>
  <si>
    <t>C3/I1.A/64864/11.01.2023 - ÎNFIINȚARE CENTRU DE APORT VOLUNTAR PENTRU DEȘEURI ÎN COMUNA PĂULIȘ</t>
  </si>
  <si>
    <t>Păuliș</t>
  </si>
  <si>
    <t>UAT COMUNA PĂULIȘ</t>
  </si>
  <si>
    <t>C3/I1.A/64867/11.01.2023 - CONSTRUIRE CENTRU DE COLECTARE PRIN APORT VOLUNTAR ÎN COMUNA IP, JUDEȚUL SĂLAJ</t>
  </si>
  <si>
    <t>Sălaj</t>
  </si>
  <si>
    <t>Ip</t>
  </si>
  <si>
    <t>UAT COMUNA IP</t>
  </si>
  <si>
    <t>C3/I1.A/65039/17.01.2023 - ÎNFIINȚARE CENTRU DE COLECTARE DEȘEURI PRIN APORT VOLUNTAR ÎN ORAȘUL VÂNJU MARE, JUDEȚUL MEHEDINȚI</t>
  </si>
  <si>
    <t>Vânju Mare</t>
  </si>
  <si>
    <t>UAT VÂNJU MARE</t>
  </si>
  <si>
    <t>C3/I1.A/65040/17.01.2023 - CONSTRUIRE CENTRU DE COLECTARE PRIN APORT VOLUNTAR ÎN COMUNA SĂCĂDAT, JUDEȚUL BIHOR</t>
  </si>
  <si>
    <t>Săcădat</t>
  </si>
  <si>
    <t>UAT SĂCĂDAT</t>
  </si>
  <si>
    <t>C3/I1.A/65041/17.01.2023 - ÎNFIINȚARE CENTRU DE COLECTARE DEȘEURI ÎN COMUNA TĂMĂȘEU, JUDEȚUL BIHOR</t>
  </si>
  <si>
    <t>Tămășeu</t>
  </si>
  <si>
    <t>UAT TĂMĂȘEU</t>
  </si>
  <si>
    <t>C3/I1.A/65565/03.02.2023 - ÎNFIINȚARE CENTRU DE COLECTARE PRIN APORT VOLUNTAR ÎN COMUNA BĂNEASA, JUDEȚUL CONSTANȚA</t>
  </si>
  <si>
    <t>Băneasa</t>
  </si>
  <si>
    <t>UAT Comuna Băneasa</t>
  </si>
  <si>
    <t>C3I1A0122000062/10.02.2023 - Înființarea unui centru de colectare prin aport voluntar la nivelul Municipiul Blaj</t>
  </si>
  <si>
    <t>Blaj</t>
  </si>
  <si>
    <t>UAT Municipiul Blaj</t>
  </si>
  <si>
    <t>C3I1A0122000064/07.02.2023 - Înființarea unui centru de colectare prin aport voluntar în Comuna Beidaud, Județul Tulcea</t>
  </si>
  <si>
    <t>Beidaud</t>
  </si>
  <si>
    <t>UAT COMUNA BEIDAUD</t>
  </si>
  <si>
    <t>C3I1A0122000065/07.02.2023 - Înființarea unui centru de colectare prin aport voluntar în Municipiul Deva</t>
  </si>
  <si>
    <t xml:space="preserve"> Sântuhalm</t>
  </si>
  <si>
    <t>MUNICIPIUL DEVA</t>
  </si>
  <si>
    <t>C3I1A0122000066/07.02.2023 - Înființarea unui centru de colectare prin aport voluntar în Comuna Ploșca, Județul Teleorman</t>
  </si>
  <si>
    <t>Ploșca</t>
  </si>
  <si>
    <t xml:space="preserve">COMUNA PLOSCA </t>
  </si>
  <si>
    <t>C3I1A0122000070/07.02.2023 - Înființarea unui centru de colectare prin aport voluntar în Comuna Paltin, Județul Vrancea</t>
  </si>
  <si>
    <t xml:space="preserve"> Paltin</t>
  </si>
  <si>
    <t>UAT COMUNA PALTIN</t>
  </si>
  <si>
    <t>C3I1A0122000073/07.02.2023 - Înființarea unui centru de colectare prin aport voluntar în Comuna Nicolae Bălcescu, Județul Constanța</t>
  </si>
  <si>
    <t>Constanta</t>
  </si>
  <si>
    <t xml:space="preserve"> Nicolae Bălcescu</t>
  </si>
  <si>
    <t>UAT COMUNA NICOLAE BALCESCU</t>
  </si>
  <si>
    <t>C3I1A0122000074/07.02.2023 - Înființarea unui centru de colectare prin aport voluntar în Comuna Pristol, Județul Mehedinți</t>
  </si>
  <si>
    <t xml:space="preserve"> Pristol</t>
  </si>
  <si>
    <t>UAT COMUNA PRISTOL</t>
  </si>
  <si>
    <t>C3I1A0122000075/07.02.2023 - Înființarea unui centru de colectare prin aport voluntar în Comuna Valu Lui Traian, Județul Constanța</t>
  </si>
  <si>
    <t xml:space="preserve"> Valu lui Traian</t>
  </si>
  <si>
    <t>UAT COMUNA VALU LUI TRAIAN</t>
  </si>
  <si>
    <t>C3I1A0122000080/07.02.2023 - Înființarea unui centru de colectare prin aport voluntar</t>
  </si>
  <si>
    <t xml:space="preserve"> Făgăraș</t>
  </si>
  <si>
    <t>MUNICIPIUL FAGARAS</t>
  </si>
  <si>
    <t>C3I1A0122000082/07.02.2023 - Înființare centru de colectare deșeuri în Comuna Groși, județul Maramureș</t>
  </si>
  <si>
    <t>Comuna Groși, Loc. Satu Nou de Jos</t>
  </si>
  <si>
    <t>COMUNA GROȘI</t>
  </si>
  <si>
    <t>C3I1A0122000084/07.02.2023 - Înființarea unui centru de colectare prin aport voluntar în Municipiul Fălticeni - Runda I</t>
  </si>
  <si>
    <t>Municipiul Fălticeni</t>
  </si>
  <si>
    <t>MUNICIPIUL FALTICENI</t>
  </si>
  <si>
    <t>C3I1A0122000085/07.02.2023 - Înființarea unui centru de colectare prin aport voluntar în Comuna Obârșia de Câmp, Județul Mehedinți</t>
  </si>
  <si>
    <t>Comuna Obârșia de Câmp</t>
  </si>
  <si>
    <t>UAT COMUNA OBARSIA DE CAMP</t>
  </si>
  <si>
    <t>C3I1A0122000087/07.02.2023 - Înființarea unui centru de colectare prin aport voluntar în Orașul Șomcuța Mare</t>
  </si>
  <si>
    <t>Orașul Șomcuța Mare</t>
  </si>
  <si>
    <t>UAT ORAȘ ȘOMCUTA MARE</t>
  </si>
  <si>
    <t>C3I1A0122000089/07.02.2023 - Înființarea unui centru de colectare prin aport voluntar în Comuna Cioroiași, Județul Dolj</t>
  </si>
  <si>
    <t>Comuna Cioroiași</t>
  </si>
  <si>
    <t>COMUNA CIOROIASI</t>
  </si>
  <si>
    <t>C3I1A0122000091/07.02.2023 - Înființarea unui centru de colectare prin aport voluntar în Municipiul Orăștie, Județul Hunedoara</t>
  </si>
  <si>
    <t>Orăștie</t>
  </si>
  <si>
    <t>UAT MUNICIPIUL ORASTIE</t>
  </si>
  <si>
    <t>C3I1A0122000098/07.02.2023 - Înființarea unui centru de colectare prin aport voluntar în Comuna Holboca, Jud. Iași - Runda I</t>
  </si>
  <si>
    <t>Comuna Holboca</t>
  </si>
  <si>
    <t>COMUNA HOLBOCA</t>
  </si>
  <si>
    <t>C3I1A0122000100/09.02.2023 - Înființarea unui centru de colectare prin aport voluntar în Municipiul Alba Iulia, Județul Alba</t>
  </si>
  <si>
    <t xml:space="preserve"> Jud. Alba</t>
  </si>
  <si>
    <t>MUNICIPIUL ALBA IULIA</t>
  </si>
  <si>
    <t>C3I1A0122000102/07.02.2023 - Înființarea unui centru de colectare prin aport voluntar în Comuna Gogosu, Jud. Mehedinți</t>
  </si>
  <si>
    <t>Comuna Gogosu</t>
  </si>
  <si>
    <t>UAT COMUNA GOGOSU</t>
  </si>
  <si>
    <t>C3I1A0122000103/07.02.2023 - Înființarea unui centru de colectare prin aport voluntar în Comuna Teasc, Jud. Dolj</t>
  </si>
  <si>
    <t>Comuna Teasc</t>
  </si>
  <si>
    <t>COMUNA TEASC</t>
  </si>
  <si>
    <t>C3I1A0122000106/07.02.2023 - Înființarea unui centru de colectare prin aport voluntar în Comuna Baia, Jud. Suceava -Runda I</t>
  </si>
  <si>
    <t>Comuna Baia</t>
  </si>
  <si>
    <t>COMUNA BAIA</t>
  </si>
  <si>
    <t>C3I1A0122000111/07.02.2023 - Înființarea unui centru de colectare prin aport voluntar în Comuna Zimnicea, Jud. Teleorman</t>
  </si>
  <si>
    <t>Oraș Zimnicea</t>
  </si>
  <si>
    <t>UAT ORAS ZIMNICEA</t>
  </si>
  <si>
    <t>C3I1A0122000112 /07.02.2023- Construire centru de colectare prin aport voluntar în Comuna Moșna, Jud. Iași</t>
  </si>
  <si>
    <t>Moșna</t>
  </si>
  <si>
    <t>COMUNA MOȘNA</t>
  </si>
  <si>
    <t>C3I1A0122000113/07.02.2023 - Înființare centru de colectare prin aport voluntar în Municipiul Tecuci, Jud. Galați</t>
  </si>
  <si>
    <t>UAT MUNICIPIUL TECUCI</t>
  </si>
  <si>
    <t>C3I1A0122000115/07.02.2023 - Înființarea de centre de colectare selectivă a deșeurilor prin aport voluntar în Comuna Nenciulești, Jud. Teleorman</t>
  </si>
  <si>
    <t>Nenciulești</t>
  </si>
  <si>
    <t xml:space="preserve">UAT COMUNA NENCIULESTI </t>
  </si>
  <si>
    <t>C3I1A0122000116/09.02.2023 - Înființarea unui centru de colectare a deșeurilor prin aport voluntar în Orașul Răcari, Jud. Dâmbovița</t>
  </si>
  <si>
    <t>Răcari</t>
  </si>
  <si>
    <t>ORASUL RACARI</t>
  </si>
  <si>
    <t>C3I1A0122000119/07.02.2023 - Dezvoltarea, modernizarea și completarea sistemelor de management integrat al deșeurilor în Municipiul Pașcani prin înfiintarea unui centru de colectare prin aport voluntar</t>
  </si>
  <si>
    <t>Pașcani</t>
  </si>
  <si>
    <t>UAT MUNICIPIUL PAȘCANI</t>
  </si>
  <si>
    <t>C3I1A0122000122/07.02.2023 - Înființarea unui centru de colectare prin aport voluntar în Comuna Odorheu</t>
  </si>
  <si>
    <t>Odorheu</t>
  </si>
  <si>
    <t>UAT ODOREU</t>
  </si>
  <si>
    <t>C3I1A0122000124/07.02.2023 - Înființarea centru de colectare cu aport voluntar în Comuna Slimnic</t>
  </si>
  <si>
    <t>Slimnic</t>
  </si>
  <si>
    <t>COMUNA SLIMNIC</t>
  </si>
  <si>
    <t>C3I1A0122000130/07.02.2023 - Înființarea unui centru de colectare a deșeurilor prin aport voluntar în Comuna Bârca, Jud. Dolj</t>
  </si>
  <si>
    <t>Bârca</t>
  </si>
  <si>
    <t>COMUNA BÂRCA</t>
  </si>
  <si>
    <t>C3I1A0122000133/07.02.2023 - Înființarea și dotarea unui centru de colectare prin aport voluntar în Orașul Măgherăuș, Jud. Dâmbovița</t>
  </si>
  <si>
    <t>Tăuții Măgheruș</t>
  </si>
  <si>
    <t>ORAȘUL TĂUȚII MĂGHERĂUȘ</t>
  </si>
  <si>
    <t>C3I1A0122000176/07.02.2023 - Construire centru de colectare cu aport voluntar și depozitare temporară deșeuri în Ariceștii Rahtivani, Jud. Prahova</t>
  </si>
  <si>
    <t>Ariceștii Rahtivani</t>
  </si>
  <si>
    <t>COMUNA ARICESTII RAHTIVANI</t>
  </si>
  <si>
    <t>C3I1A0122000076/09.02.2023 -Înființarea centru de colectare prin aport voluntar în Comuna Miroslava - CAV Miroslava</t>
  </si>
  <si>
    <t>Miroslava</t>
  </si>
  <si>
    <t>UAT COMUNA MIROSLAVA</t>
  </si>
  <si>
    <t>C3I1A0122000079/09.02.2023 - Înființarea și dotarea unui centru de colectare prin aport voluntar în Orașul Ulmeni</t>
  </si>
  <si>
    <t>Ulmeni</t>
  </si>
  <si>
    <t>UAT ORAȘ ULMENI</t>
  </si>
  <si>
    <t>C3I1A0122000092/09.02.2023 - Înființarea și dotarea unui centru de colectare prin aport voluntar în Comuna Zorleni, Jud. Vaslui - Runda I</t>
  </si>
  <si>
    <t>Zorleni</t>
  </si>
  <si>
    <t>COMUNA ZORLENI</t>
  </si>
  <si>
    <t>C3I1A0122000097/09.02.2023 - Înființare centru de colectare deșeuri prin aport voluntar în Comuna Jiana, Jud. Mehedinți</t>
  </si>
  <si>
    <t>Jiana</t>
  </si>
  <si>
    <t>UAT COMUNA JIANA</t>
  </si>
  <si>
    <t>C3I1A0122000118/09.02.2023 - Dezvoltarea, modernizarea și completarea sistemelor de management integrat al deșeurilor municipale în Municipiul Reșița prin construirea unui număr de 2 (două) centre de colectare prin aport voluntar</t>
  </si>
  <si>
    <t>Reșița</t>
  </si>
  <si>
    <t>UAT MUNICIPIUL REȘIȚA</t>
  </si>
  <si>
    <t>C3I1A0122000136/09.02.2023 - Înființarea centrului de colectare prin aport voluntar în Comuna Șura Mare</t>
  </si>
  <si>
    <t>Șura Mare</t>
  </si>
  <si>
    <t>UAT  SURA MARE</t>
  </si>
  <si>
    <t>C3I1A0122000137/09.02.2023 - Înființarea unui centru de colectare prin aport voluntar în Comuna Negoi, Jud. Dolj</t>
  </si>
  <si>
    <t>Negoi</t>
  </si>
  <si>
    <t>COMUNA NEGOI</t>
  </si>
  <si>
    <t>C3I1A0122000139/09.02.2023 - Înființarea și dotarea unui centru de colectare prin aport voluntar (CAV) în Orașul Milișăuți, Jud. Suceava</t>
  </si>
  <si>
    <t>Milișăuți</t>
  </si>
  <si>
    <t>UAT ORASUL MILISAUTI</t>
  </si>
  <si>
    <t>C3I1A0122000141/09.02.2023 - Construire centru de colectare prin aport voluntar în Comuna Derna, Jud. Bihor</t>
  </si>
  <si>
    <t>Derna</t>
  </si>
  <si>
    <t>COMUNA DERNA</t>
  </si>
  <si>
    <t>C3I1A0122000145/09.02.2023 - Înființarea și dotarea unui centru de colectare prin aport voluntar (CAV) în Orașul Tărgu Frumos, Jud. Iași</t>
  </si>
  <si>
    <t xml:space="preserve">Iași </t>
  </si>
  <si>
    <t>Târgu Frumos</t>
  </si>
  <si>
    <t>UAT ORAS TARGU FRUMOS</t>
  </si>
  <si>
    <t>C3I1A0122000153/09.02.2023 - Înființarea centru de colectare selectivă prin aport voluntar în Comuna Dragalina, Jud. Călărași</t>
  </si>
  <si>
    <t>Dragalina</t>
  </si>
  <si>
    <t>COMUNA DRAGALINA</t>
  </si>
  <si>
    <t>C3I1A0122000154/09.02.2023 - Dezvoltarea, modernizarea și completarea sistemului de management integrat al deșeurilor municipale prin înființarea unui centru de colectare a deșeurilor prin aport voluntar în Municipiul Miercurea-Ciuc</t>
  </si>
  <si>
    <t>Miercurea Ciuc</t>
  </si>
  <si>
    <t>MUNICIPIUL MIERCUREA-CIUC</t>
  </si>
  <si>
    <t>C3I1A0122000155/09.02.2023 - Construire centru de colectare deșeuri prin aport voluntar în Comuna Baciu, Jud. Hunedoara</t>
  </si>
  <si>
    <t>Băcia</t>
  </si>
  <si>
    <t>COMUNA BĂCIA</t>
  </si>
  <si>
    <t>C3I1A0122000158/10.02.2023 - Înființare centru de colectare deșeuri în Comuna Dobrești, Jud. Bihor</t>
  </si>
  <si>
    <t>COMUNA DOBRESTI</t>
  </si>
  <si>
    <t>C3I1A0122000159/10.02.2023 - Înființare și dotare centru de colectare a deșeurilor cu aport voluntar în Comuna Perieți, Jud. Olt</t>
  </si>
  <si>
    <t>Perieți</t>
  </si>
  <si>
    <t>UAT PERIETI</t>
  </si>
  <si>
    <t>C3I1A0122000160/10.02.2023 - Înființare centru de colectare prin aport voluntar în Comuna Marpod, Jud. Sibiu</t>
  </si>
  <si>
    <t>Marpod</t>
  </si>
  <si>
    <t>COMUNA MARPOD</t>
  </si>
  <si>
    <t>C3I1A0122000164/09.02.2023 - Înființare centru de colectare prin aport voluntar în Comuna Unirea, Jud. Călărași</t>
  </si>
  <si>
    <t>Unirea</t>
  </si>
  <si>
    <t>UAT COMUNA UNIREA</t>
  </si>
  <si>
    <t>C3I1A0122000166/09.02.2023 - Înființare centru de colectare deșeuri prin aport voluntar în Comuna Bârghiș, Jud. Sibiu</t>
  </si>
  <si>
    <t>Bârghiș</t>
  </si>
  <si>
    <t>COMUNA BARGHIS</t>
  </si>
  <si>
    <t>C3I1A0122000171/09.02.2023 - Înființare centru de colectare prin aport voluntar în Comuna Socond</t>
  </si>
  <si>
    <t>Socod</t>
  </si>
  <si>
    <t>SOCOND</t>
  </si>
  <si>
    <t>C3I1A0122000174/10.02.2023 - Înființare centru de colectare prin aport voluntar în Comuna Zetea, Jud. Harghita</t>
  </si>
  <si>
    <t>COMUNA ZETEA</t>
  </si>
  <si>
    <t>C3I1A0122000175/09.02.2023 - Construire centru de aport voluntar pentru colectare deșeuri  în Comuna Liești, Jud. Galați</t>
  </si>
  <si>
    <t>Liești</t>
  </si>
  <si>
    <t>UAT LIEȘTI</t>
  </si>
  <si>
    <t>C3I1A0122000177/09.02.2023 - Înființare centru de colectare prin aport voluntar în Comuna Gălănești, Jud. Suceava</t>
  </si>
  <si>
    <t>Gălănești</t>
  </si>
  <si>
    <t>COMUNA GĂLĂNEȘTI</t>
  </si>
  <si>
    <t>C3I1A0122000178/09.02.2023 - Înființarea unui centru de colectare prin aport voluntar în Comuna Bicaz, Jud. Maramureș</t>
  </si>
  <si>
    <t>Bicaz</t>
  </si>
  <si>
    <t>COMUNA BICAZ</t>
  </si>
  <si>
    <t>C3I1A0122000181/09.02.2023 - Construirea unui centru de colectare prin aport voluntar în Comuna Siculeni</t>
  </si>
  <si>
    <t>Siculeni</t>
  </si>
  <si>
    <t>COMUNA SICULENI</t>
  </si>
  <si>
    <t>C3I1A0122000182/10.02.2023 - Construire centru de aport voluntar pentru colectare deșeuri în Comuna Braniștea, Jud. Galați</t>
  </si>
  <si>
    <t>Braniștea</t>
  </si>
  <si>
    <t>UAT BRANIȘTEA</t>
  </si>
  <si>
    <t>C3I1A0122000184/10.02.2023 - Înființare și dotare centru de colectare a deșeurilor cu aport voluntar în Comuna Seleuș, Jud. Arad</t>
  </si>
  <si>
    <t>Seleuș</t>
  </si>
  <si>
    <t>UAT SELEUS</t>
  </si>
  <si>
    <t>C3I1A0122000186/10.02.2023 - Înființarea unui centru de colectare prin aport voluntar în Comuna Călan, Jud. Hunedoara</t>
  </si>
  <si>
    <t>Călan</t>
  </si>
  <si>
    <t>ORAȘUL CĂLAN</t>
  </si>
  <si>
    <t>C3I1A0122000187/09.02.2023 - Înființarea unui centru de colectare prin aport voluntar în Comuna Călinești, Jud. Teleorman</t>
  </si>
  <si>
    <t>Călinești</t>
  </si>
  <si>
    <t>COMUNA CĂLINEȘTI</t>
  </si>
  <si>
    <t xml:space="preserve">C3I1A0122000189/27.02.2023 - Înființare centrun de colectare prin aport propriu voluntar comuna Unirea, județul Alba </t>
  </si>
  <si>
    <t>UAT Comuna Unirea</t>
  </si>
  <si>
    <t>C3I1A0122000190/10.02.2023 - Înființare centru de colectare selectivă a deșeurilor, cu aport voluntar în Comuna Săvârșin, Jud. Arad</t>
  </si>
  <si>
    <t>Săvârșin</t>
  </si>
  <si>
    <t>UAT SAVARSIN</t>
  </si>
  <si>
    <t>C3I1A0122000078/10.02.2023 - Înființarea unui centru de colectare prin aport voluntar - Runda I</t>
  </si>
  <si>
    <t>Cluj-Napoca</t>
  </si>
  <si>
    <t>UAT CLUJ NAPOCA</t>
  </si>
  <si>
    <t>C3I1A0122000083/10.02.2023 - Înființarea și dotarea unui centru de colectare prin aport voluntar în Orașul Brezoi</t>
  </si>
  <si>
    <t>Brezoi</t>
  </si>
  <si>
    <t>UAT BREZOI</t>
  </si>
  <si>
    <t>C3I1A0122000094/10.02.2023 - Construire centru de colectare deșeuri prin aport voluntar în Municipiul Câmpina</t>
  </si>
  <si>
    <t>Câmpina</t>
  </si>
  <si>
    <t>UAT CÂMPINA</t>
  </si>
  <si>
    <t>C3I1A0122000104/10.02.2023 - Dezvoltarea rețelei integrate de centre de colectare deșeuri prin aport voluntar în Municipiul Baia Mare</t>
  </si>
  <si>
    <t>Baia Mare</t>
  </si>
  <si>
    <t>UAT BAIA MARE</t>
  </si>
  <si>
    <t>C3I1A0122000125/10.02.2023 - Înființare centru de colectare prin aport voluntar în Orașul Târgu Neamț, Jud. Neamț</t>
  </si>
  <si>
    <t>Târgu Neamț</t>
  </si>
  <si>
    <t>UAT TÂRGU NEAMȚ</t>
  </si>
  <si>
    <t>C3I1A0122000157/10.02.2023  - Înființarea unui centru de colectare prin aport voluntar în Comuna Sarasău, Jud. Maramureș</t>
  </si>
  <si>
    <t>Sarasău</t>
  </si>
  <si>
    <t>UAT SARASĂU</t>
  </si>
  <si>
    <t>C3I1A0122000191/13.02.2023 - Înființare centru de colectare prin aport voluntar în Comuna Ernei</t>
  </si>
  <si>
    <t>Ernei</t>
  </si>
  <si>
    <t>UAT ERNEI</t>
  </si>
  <si>
    <t>C3I1A0122000195/10.02.2023 - Înființare centru de colectare deșeuri prin aport voluntar în Comuna Horodnic de Sus, Jud. Suceava</t>
  </si>
  <si>
    <t>Horodnic de Sus</t>
  </si>
  <si>
    <t>UAT HORODNIC DE SUS</t>
  </si>
  <si>
    <t>C3I1A0122000196/10.02.2023 - Înființare centru de colectare selectivă a deșeurilor prin aport voluntar în Comuna Bethausen, Jud. Timiș</t>
  </si>
  <si>
    <t>Bethausen</t>
  </si>
  <si>
    <t>UAT BETHAUSEN</t>
  </si>
  <si>
    <t>C3I1A0122000199/10.02.2023 - Înființarea unui centru de colectare prin aport voluntar pentru Comuna Suplac</t>
  </si>
  <si>
    <t>Suplac</t>
  </si>
  <si>
    <t>UAT SUPLAC</t>
  </si>
  <si>
    <t>C3I1A0122000201/10.02.2023 - Înființarea și dotarea unui centru de colectare prin aport voluntar în Orașul Mizil, Jud. Prahova</t>
  </si>
  <si>
    <t>Mizil</t>
  </si>
  <si>
    <t>UAT MIZIL</t>
  </si>
  <si>
    <t>C3I1A0122000208/10.02.2023 - Construire centru de aport voluntar pentru colectare deșeuri în Comuna Băneasa, Jud. Galați</t>
  </si>
  <si>
    <t>UAT BĂNEASA</t>
  </si>
  <si>
    <t>C3I1A0122000211/10.02.2023 - Extinderea și modernizarea sistemului de colectare separată a deșeurilor în Municipiul Lupeni prin achiziția și amplasarea de centre de colectare prin aport voluntar</t>
  </si>
  <si>
    <t>Lupeni</t>
  </si>
  <si>
    <t>UAT LUPENI</t>
  </si>
  <si>
    <t>C3I1A0122000212/13.02.2023 - Înființarea unui centru de colectare a deșeurilor prin aport voluntar în Comuna Adunații Copăceni, Jud. Giurgiu</t>
  </si>
  <si>
    <t>Adunații Copăceni</t>
  </si>
  <si>
    <t>UAT ADUNAȚII COPĂCENI</t>
  </si>
  <si>
    <t>C3I1A0122000213/10.02.2023 - Înființarea unui centru de colectare prin aport voluntar în Comuna Fălciu, Jud. Vaslui</t>
  </si>
  <si>
    <t>Fălciu</t>
  </si>
  <si>
    <t>UAT FALCIU</t>
  </si>
  <si>
    <t>C3I1A0122000217/10.02.2023 - Înființarea unui centru de colectare prin aport voluntar în Comuna Cârța, Jud. Harghita</t>
  </si>
  <si>
    <t>Cârța</t>
  </si>
  <si>
    <t>UAT CÂRȚA</t>
  </si>
  <si>
    <t>C3I1A0122000225/10.02.2023 - Înființarea unui centru de colectare prin aport voluntar în Orașul Târgu Lăpuș, Jud. Maramureș</t>
  </si>
  <si>
    <t>Târgu Lăpuș</t>
  </si>
  <si>
    <t>UAT TÂRGU LAPUS</t>
  </si>
  <si>
    <t>C3I1A0122000226/10.02.2023 - Înființarea unui centru de colectare a deșeurilor prin aport voluntar în Comuna Tutova, Jud. Vaslui</t>
  </si>
  <si>
    <t>Tutova</t>
  </si>
  <si>
    <t>UAT TUTOVA</t>
  </si>
  <si>
    <t>C3I1A0122000230/13.02.2023 - Construire centru de colectare deșeuri prin aport voluntar în Comuna Mădăraș, Jud. Harghita</t>
  </si>
  <si>
    <t>Mădăraș</t>
  </si>
  <si>
    <t>UAT MĂDĂRAȘ</t>
  </si>
  <si>
    <t>C3I1A0122000237/13.02.2023 - Înființarea unui centru de colectare prin aport voluntar în Municipiul Drobeta Turnu Severinj</t>
  </si>
  <si>
    <t>Municipiul Drobeta Turnu Severin</t>
  </si>
  <si>
    <t>UAT DROBETA TURNU SEVERIN</t>
  </si>
  <si>
    <t>C3I1A0122000241/13.02.2023 - Înființarea și dotarea unui centru de colectare prin aport propriu tip  în Comuna Săvădisla, Sat Vlaha, Jud. Cluj</t>
  </si>
  <si>
    <t>Comuna Săvădisla, Sat Vlaha</t>
  </si>
  <si>
    <t>UAT SĂVĂDISLA</t>
  </si>
  <si>
    <t>C3I1A0122000244/13.02.2023 - Înființare centru de colectare prin aport voluntar în Comuna Conțești</t>
  </si>
  <si>
    <t>Conțești</t>
  </si>
  <si>
    <t>UAT CONȚEȘTI</t>
  </si>
  <si>
    <t>C3I1A0122000261/27.02.2023 - ÎNFIINȚAREA UNUI CENTRU DE COLECTARE PRIN APORT VOLUNTAR ÎN ORAȘUL HAȚEG</t>
  </si>
  <si>
    <t>Hațeg</t>
  </si>
  <si>
    <t>UAT Orașul Hațeg</t>
  </si>
  <si>
    <t>2026</t>
  </si>
  <si>
    <t>C3I1A0122000295/27.02.2023 - Înființarea unui centru de colectare prin aport voluntar în comuna Curtuișeni, județul Bihor</t>
  </si>
  <si>
    <t>Curtuișeni</t>
  </si>
  <si>
    <t xml:space="preserve">UAT Comuna Curtuișeni </t>
  </si>
  <si>
    <t xml:space="preserve">C3I1A0122000096/13.02.2023 - Înființare centru de colectare prin aport voluntar în comuna Corbii Mari, județul Dâmbovița </t>
  </si>
  <si>
    <t>Corbii Mari</t>
  </si>
  <si>
    <t>UAT Comuna Corbii Mari</t>
  </si>
  <si>
    <t>C3I1A0122000072/14.02.2023 - Înființarea unui centru de colectare prin aport voluntar în Municipiul Târgu Jiu</t>
  </si>
  <si>
    <t>Târgu Jiu</t>
  </si>
  <si>
    <t>UAT Municipiul Târgu Jiu</t>
  </si>
  <si>
    <t>C3I1A0122000099/16.02.2023 - Înființare și dotarea unui centru de colectare prin aport voluntar în comuna Brăești, județul Iași</t>
  </si>
  <si>
    <t>Brăești</t>
  </si>
  <si>
    <t>UAT Comuna Brăești</t>
  </si>
  <si>
    <t>C3I1A0122000105/13.02.2023 - Înființare centru de colectare prin aport voluntar în cadrul obiectivului de investiții Dezvoltarea, modernizarea și completarea sistemelui pentru managementul integrat al deșeurilor pentru tranziția la economia circulară în Municipiul Caracal</t>
  </si>
  <si>
    <t>Caracal</t>
  </si>
  <si>
    <t xml:space="preserve">UAT Municipiul Caracal </t>
  </si>
  <si>
    <t>C3I1A0122000120/13.02.2023 - Înființarea unui centru de colectare prin aport voluntar în oraș Pucioasa, județul Dâmbovița</t>
  </si>
  <si>
    <t>Pucioasa</t>
  </si>
  <si>
    <t xml:space="preserve">UAT oraș Pucioasa </t>
  </si>
  <si>
    <t>C3I1A0122000121/23.02.2023 - Realizarea unui sistem digital de monitorizare și eficientizare a activității de depozitare selectivă a deșeurilor, centru de aport voluntar - la nivelul orașului Slănic Moldova</t>
  </si>
  <si>
    <t>Slănic Moldova</t>
  </si>
  <si>
    <t xml:space="preserve">UAT Slănic Moldova </t>
  </si>
  <si>
    <t>C3I1A0122000126/13.02.2023 - Înființarea unui centru de colectare a deșeurilor prin aport voluntar în comuna Băleni, județul Dâmbovița</t>
  </si>
  <si>
    <t>Băleni</t>
  </si>
  <si>
    <t>UAT Comuna Băleni</t>
  </si>
  <si>
    <t>C3I1A0122000127/14.02.2023 - Construcție centru de colectare deșeuri cu aport voluntar în localitatea Rebricea, județul Vaslui</t>
  </si>
  <si>
    <t>Rebricea</t>
  </si>
  <si>
    <t>UAT Comuna Rebricea</t>
  </si>
  <si>
    <t>C3I1A0122000128/15.02.2023 - Înființare centru de colectare selectivă a deșeurilor, cu aport voluntar, în comuna Ciceu, județul Harghita</t>
  </si>
  <si>
    <t>Ciceu</t>
  </si>
  <si>
    <t xml:space="preserve">Comuna Ciceu </t>
  </si>
  <si>
    <t>C3I1A0122000131/13.02.2023 - Înființarea unui centru de colectare a deșeurilor prin aport voluntar în comuna Ulmi, județul Dâmbovița</t>
  </si>
  <si>
    <t>Ulmi</t>
  </si>
  <si>
    <t>UAT Comuna Ulmi</t>
  </si>
  <si>
    <t>C3I1A0122000138/13.02.2023 - Centru de colectare selectivă deșeuri prin aport voluntar în comuna Giarmata, județul Timiș</t>
  </si>
  <si>
    <t>Giarmata</t>
  </si>
  <si>
    <t>Comuna Giarmata</t>
  </si>
  <si>
    <t>C3I1A0122000140/13.02.2023 - Înființare centru de colectare prin aport voluntar în municipiul Petroșani</t>
  </si>
  <si>
    <t>Petroșani</t>
  </si>
  <si>
    <t>UAT Municipiul Petroșani</t>
  </si>
  <si>
    <t>C3I1A0122000236/ 13.02.2023/ Înființarea și dotarea unui centru de colectare prin aport voluntar (CAV) în comuna Mănăstirea Humorului, județul Suceava</t>
  </si>
  <si>
    <t>48,49</t>
  </si>
  <si>
    <t>Mănăstirea Humorului</t>
  </si>
  <si>
    <t>UAT Mănăstirea Humorului</t>
  </si>
  <si>
    <t>C3I1A0122000143/14.02.2023 - Înființarea unui centru de colectare prin aport voluntar în comuna Ciumani</t>
  </si>
  <si>
    <t>Ciumani</t>
  </si>
  <si>
    <t>Comuna Ciuman</t>
  </si>
  <si>
    <t>C3I1A0122000144/14.02.2023 - Înființare centru de colectare selectivă a deșeurilor, cu aport voluntar, în comuna Ghioroc, județul Arad</t>
  </si>
  <si>
    <t>Ghioroc</t>
  </si>
  <si>
    <t>UAT Comuna Ghioroc</t>
  </si>
  <si>
    <t xml:space="preserve">C3I1A0122000147/14.02.2023 - Înființarea și dotarea unui centru de colectare prin aport voluntar </t>
  </si>
  <si>
    <t>Cugir</t>
  </si>
  <si>
    <t>UAT Orașul Cugir</t>
  </si>
  <si>
    <t>C3I1A0122000150/15.02.2023 - Centru de colectare deșeuri non - menajere, cu aport voluntar în comuna Săcălășeni</t>
  </si>
  <si>
    <t>Săcălășeni</t>
  </si>
  <si>
    <t>UAT Comuna Săcălășeni</t>
  </si>
  <si>
    <t>C3I1A0122000170/23.02.2023 - ÎNFIINȚARE ȘI DOTARE CENTRU DE COLECTARE PRIN APORT VOLUNTAR (CAV) ÎN ORAȘUL ODOBEȘTI, JUDEȚUL VRANCEA</t>
  </si>
  <si>
    <t>Odobești</t>
  </si>
  <si>
    <t>UAT orașul Odobești</t>
  </si>
  <si>
    <t>C3I1A0122000192/27.02.2023 - ÎNFIINȚARE CENTRU DE COLECTARE PRIN APORT VOLUNTAR ÎN COMUNA APA</t>
  </si>
  <si>
    <t>Apa</t>
  </si>
  <si>
    <t>UAT comuna Apa</t>
  </si>
  <si>
    <t>C3I1A0122000162/16.02.2023 - Înființarea a două centre de colectare prin aport voluntar în Municipiul Suceava</t>
  </si>
  <si>
    <t>UAT Municipiul Suceava</t>
  </si>
  <si>
    <t>C3I1A0122000194/23.02.2023 - CENTRU DE COLECTARE DEȘEURI CU APORT VOLUNTAR ÎN MUNICIPIUL ZALĂU</t>
  </si>
  <si>
    <t>Zalău</t>
  </si>
  <si>
    <t xml:space="preserve">UAT municipiul Zalău </t>
  </si>
  <si>
    <t>C3I1A0122000197/16.02.2023 - Înființare și operaționalizare centru de colectare prin aport voluntar în orașul Ghimbav</t>
  </si>
  <si>
    <t xml:space="preserve">UAT Orașul Ghimbav </t>
  </si>
  <si>
    <t>C3I1A0122000206/14.02.2023 - ÎNFIINȚAREA ȘI DOTAREA UNUI CENTRU DE COLECTARE PRIN APORT VOLUNTAR (CAV) ÎN COMUNA CORDUN, JUDEȚUL NEAMȚ</t>
  </si>
  <si>
    <t>Cordun</t>
  </si>
  <si>
    <t>UAT comuna Cordun</t>
  </si>
  <si>
    <t>C3I1A0122000207/23.02.2023 - Înființarea unui centru de colectare prin aport voluntar pentru comuna Răchiți, județul Botoșani</t>
  </si>
  <si>
    <t>Răchiți</t>
  </si>
  <si>
    <t>UAT Comuna Răchiți</t>
  </si>
  <si>
    <t>C3I1A0122000210/14.02.2023 - Înființare centru de colectare prin aport voluntar în comuna Ciucsângeorgiu</t>
  </si>
  <si>
    <t>Ciucsângiorgiu</t>
  </si>
  <si>
    <t>Comuna Ciucsângiorgiu</t>
  </si>
  <si>
    <t xml:space="preserve">C3I1A0122000215/15.02.2023 - Înființare centru de colectare prin aport voluntar în comuna Castelu, județul Constanța </t>
  </si>
  <si>
    <t>Castelu</t>
  </si>
  <si>
    <t>UAT Comuna Castelu</t>
  </si>
  <si>
    <t>C3I1A0122000222/13.02.2023 - Înființare centru de colectare selectivă a deșeurilor, cu aport voluntar în comuna Măxineni, județul Brăilă</t>
  </si>
  <si>
    <t>Măxineni</t>
  </si>
  <si>
    <t>UAT Măxineni</t>
  </si>
  <si>
    <t>C3I1A0122000219/14.02.2023 - Înființarea unui centru de colectare prin aport voluntar în comuna Palanca, județul Bacău</t>
  </si>
  <si>
    <t>Palanca</t>
  </si>
  <si>
    <t>Comuna Palanca</t>
  </si>
  <si>
    <t>C3I1A0122000224/28.02.2023 - Înființare centru de colectare selectivă a deșeurilor, cu aport voluntar în comuna Șuțești, județul Brăila</t>
  </si>
  <si>
    <t>Șuțești</t>
  </si>
  <si>
    <t>UAT Șuțești</t>
  </si>
  <si>
    <t>C3I1A0122000227/15.02.2023 - Înființarea și dotarea unui centru de colectare prin aport voluntar în comuna Cenad, jud. Timiș</t>
  </si>
  <si>
    <t>Cenad</t>
  </si>
  <si>
    <t xml:space="preserve">UAT Comuna Cenad </t>
  </si>
  <si>
    <t>C3I1A0122000232/14.02.2023 - Înființare centru de colectare prin aport voluntar</t>
  </si>
  <si>
    <t>Semlac</t>
  </si>
  <si>
    <t>UAT Comuna Semlac</t>
  </si>
  <si>
    <t>C3I1A0122000240/13.02.2023 - Înființarea unui centru de colectare prin aport voluntar în comuna Tomești</t>
  </si>
  <si>
    <t>Tomești</t>
  </si>
  <si>
    <t xml:space="preserve">UAT Comuna Tomești </t>
  </si>
  <si>
    <t>C3I1A0122000239/15.02.2023 - Înființare centru de aport voluntar pentru deșeuri în comuna Vinga</t>
  </si>
  <si>
    <t>Vinga</t>
  </si>
  <si>
    <t>Comuna Vinga</t>
  </si>
  <si>
    <t>C3I1A0122000169/13.02.2023 - Înființare centru de colectare selectivă a deșeurilor cu aport voluntar în comuna Viziru, județul Brăila</t>
  </si>
  <si>
    <t xml:space="preserve"> Viziru</t>
  </si>
  <si>
    <t>UAT Comuna Viziru</t>
  </si>
  <si>
    <t xml:space="preserve">C3I1A0122000246/28.02.2023 - Înființarea unui centru de colectare prin aport voluntar în municipiul Moinești </t>
  </si>
  <si>
    <t>Moinești</t>
  </si>
  <si>
    <t>UAT Municipiul Moinești</t>
  </si>
  <si>
    <t xml:space="preserve">C3I1A0122000245/27.03.2023 - Înființare centru de colectare prin aport voluntar </t>
  </si>
  <si>
    <t>Pecica</t>
  </si>
  <si>
    <t xml:space="preserve">UAT Oraș Pecica </t>
  </si>
  <si>
    <t>C3I1A0122000250/27.02.2023 - Înființare centru de colectare prin aport voluntar</t>
  </si>
  <si>
    <t>Vladimirescu</t>
  </si>
  <si>
    <t>Comuna Vladimirescu</t>
  </si>
  <si>
    <t xml:space="preserve">C3I1A0122000251/27.02.2023 - Înființare centru de colectare prin aport voluntar în comuna Topolog, județul Tulcea </t>
  </si>
  <si>
    <t>Topolog</t>
  </si>
  <si>
    <t>UAT Comuna Topolog</t>
  </si>
  <si>
    <t>C3I1A0122000252/28.02.2023 - Înființarea unui centru de colectare prin aport voluntar în municipiul Aiud</t>
  </si>
  <si>
    <t>Aiud</t>
  </si>
  <si>
    <t>Municipiul Aiud</t>
  </si>
  <si>
    <t>C3I1A0122000257/27.02.2023 - Înființarea centrului de colectare prin aport voluntar în orașul Agnita, județul Sibiu</t>
  </si>
  <si>
    <t>Agnita</t>
  </si>
  <si>
    <t xml:space="preserve">UAT Orașul Agnita </t>
  </si>
  <si>
    <t>C3I1A0122000266/27.02.2023 - Înființarea și dotarea centrului de colectare prin aport voluntar Chirpar, județul Sibiu</t>
  </si>
  <si>
    <t>Chirpar</t>
  </si>
  <si>
    <t xml:space="preserve">UAT Comuna Chirpar </t>
  </si>
  <si>
    <t xml:space="preserve">C3I1A0122000269/27.02.2023 - Construire centru de colectare deșeuri prin aport voluntar în comuna Totești, județul Hunedoara </t>
  </si>
  <si>
    <t>Totești</t>
  </si>
  <si>
    <t>Comuna Totești</t>
  </si>
  <si>
    <t>C3I1A0122000271/24.02.2023 - Înființarea și dotarea unui centru de colectare prin aport voluntar (CAV) în comuna Arbore, județul Suceava</t>
  </si>
  <si>
    <t>Arbore</t>
  </si>
  <si>
    <t xml:space="preserve">UAT Arbore </t>
  </si>
  <si>
    <t>C3I1A0122000272/28.02.2023 - Înființare centru de colectare deșeuri prin aport voluntar în comuna Horodnic de Jos, județul Suceava</t>
  </si>
  <si>
    <t>Horodnic de Jos</t>
  </si>
  <si>
    <t>UAT Comuna Horodnic de Jos</t>
  </si>
  <si>
    <t xml:space="preserve">C3I1A0122000281/27.02.2023 - Construire centru de colectare deșeuri prin aport voluntar în comuna Lungulețu, județul Dâmbovița </t>
  </si>
  <si>
    <t>Lungulețu</t>
  </si>
  <si>
    <t>UAT Comuna Lungulețu</t>
  </si>
  <si>
    <t>C3I1A0122000282/27.02.2023 - Construire centru de colectare deșeuri prin aport voluntar, comuna Victoria, județul Iași</t>
  </si>
  <si>
    <t>Victoria</t>
  </si>
  <si>
    <t>UAT Comuna Victoria</t>
  </si>
  <si>
    <t>C3I1A0122000285/27.02.2023 - Înființare de centru de colectare prin aport voluntar în comuna Poiana Stampei, județul Suceava</t>
  </si>
  <si>
    <t xml:space="preserve">UAT Comuna Poiana Stampei </t>
  </si>
  <si>
    <t>C3I1A0122000292/27.02.2023 - Înființarea de centre de colectare prin aport voluntar în comuna Chiselet, județul Călărași</t>
  </si>
  <si>
    <t>Chiselet</t>
  </si>
  <si>
    <t>UAT Comuna Chiselet</t>
  </si>
  <si>
    <t>C3I1A0122000297/27.02.2023 - Înființarea unui centru de colectare prin aport voluntar în comuna Sălacea, județul Bihor</t>
  </si>
  <si>
    <t>Sălcea</t>
  </si>
  <si>
    <t>Comuna Sălacea</t>
  </si>
  <si>
    <t>C3I1A0122000300/27.03.2023 - Înființare centru de colectare deșeuri prin aport voluntar în comuna Frătăuții Vechi, județul Suceava</t>
  </si>
  <si>
    <t>Frătății Vechi</t>
  </si>
  <si>
    <t>UAT Comuna Frătăuții Vechi</t>
  </si>
  <si>
    <t>C3I1A0122000312/27.02.2023 - Înființarea unui centru de colectare a deșeurilor prin aport voluntar în comuna Galicea Mare, județul Dolj</t>
  </si>
  <si>
    <t>Galicea Mare</t>
  </si>
  <si>
    <t>Comuna Galicea Mare</t>
  </si>
  <si>
    <t>C3I1A0122000315/27.02.2023 - Înființare centru de colectare prin aport voluntar în comuna Schela, județul Galați</t>
  </si>
  <si>
    <t>UAT Comuna Schela</t>
  </si>
  <si>
    <t>C3I1A0122000317/27.02.2023 - Înființarea unui centru de colectare prin aport voluntar în comuna Halmășd, județul Sălaj</t>
  </si>
  <si>
    <t>Halmășd</t>
  </si>
  <si>
    <t>UAT Comuna Halmășd</t>
  </si>
  <si>
    <t>C3I1A0122000311/28.02.2023 - Înființare și dotare centru de colectare prin aport voluntar, comuna Șeica Mare, județul Sibiu</t>
  </si>
  <si>
    <t>Șeica Mare</t>
  </si>
  <si>
    <t>UAT Comuna Șeica Mare</t>
  </si>
  <si>
    <t>C3I1A01220000713.03.2023 - Construire centru de colectare deșeuri prin aport voluntar în comuna Dobrun, județul Olt</t>
  </si>
  <si>
    <t>Dobrun</t>
  </si>
  <si>
    <t>UAT Comuna Dobrun</t>
  </si>
  <si>
    <t>C3I1A0122000095/27.03.2023 - Înființarea a două centre de colectare prin aport voluntar (CAV) în municipiul Giurgiu</t>
  </si>
  <si>
    <t>Municipiul Giurgiu</t>
  </si>
  <si>
    <t>C3I1A0122000101/27.03.2023 - Înființare și dotarea unui centru de colectare prin aport voluntar în orașul Podu Iloaiei, jud. Iași</t>
  </si>
  <si>
    <t>Podu Iloaiei</t>
  </si>
  <si>
    <t>UAT Podu Iloaiei</t>
  </si>
  <si>
    <t>C3I1A0122000117/27.03.2023 - Înființarea unui centru de colectare a deșeurilor prin aport voluntar în Municipiul Moreni, județul Dâmbovița</t>
  </si>
  <si>
    <t>Moreni</t>
  </si>
  <si>
    <t>Municipiul Moreni</t>
  </si>
  <si>
    <t>C3I1A0122000148/13.03.2023 - Înființarea și dotarea unui centru de colectare prin aport voluntar (CAV) în comun Hănțești</t>
  </si>
  <si>
    <t>Hănțești</t>
  </si>
  <si>
    <t>Comuna Hănțești</t>
  </si>
  <si>
    <t>C3I1A0122000151/27.03.2023 - Înființarea de centre de colectare prin aport voluntar voluntar în municipiul Focșani</t>
  </si>
  <si>
    <t>Focșani</t>
  </si>
  <si>
    <t>UAT Municipiul Focșani</t>
  </si>
  <si>
    <t>C3I1A0122000152/27.03.2023 - Construire centru de aport voluntar pentru colectare deșeuri</t>
  </si>
  <si>
    <t>Tulucești</t>
  </si>
  <si>
    <t>UAT Comuna Tulucești</t>
  </si>
  <si>
    <t>C3I1A0122000156/14.03.2023 - Construire centru de colectare deșeuri prin aport voluntar în comuna Săcălaz, județul Timiș</t>
  </si>
  <si>
    <t>Săcălaz</t>
  </si>
  <si>
    <t>UAT Comuna Săcălaz</t>
  </si>
  <si>
    <t>C3I1A0122000161/27.03.2023 - Înființare centru de colectare selectivă a deșeurilor, cu aport voluntar, în comuna Lipova, județul Arad</t>
  </si>
  <si>
    <t>UAT Lipova</t>
  </si>
  <si>
    <t>C3I1A0122000168/27.03.2023 - Înființare centru de colectare prin aport voluntar (CAV) în orașul Drăgănești - Olt, județul Olt</t>
  </si>
  <si>
    <t>UAT Orașul Drăgănești - Olt</t>
  </si>
  <si>
    <t>C3I1A0122000229/09.06.2023 - CONSTRUIRE CENTRU DE COLECTARE DEȘEURI PRIN APORT VOLUNTAR - PROIECT TIP CAV ÎN ORAȘUL BĂLCEȘTI, JUDEȚUL VÂLCEA”,</t>
  </si>
  <si>
    <t>Bălcești</t>
  </si>
  <si>
    <t>UAT orașul Bălcești</t>
  </si>
  <si>
    <t>C3I1A0122000564/09.06.2023 - ÎNFIINȚAREA DE CENTRE DE COLECTARE PRIN APORT VOLUNTAR ÎN JUDEŢUL VÂLCEA – ZONA 1”,</t>
  </si>
  <si>
    <t>Zona 1</t>
  </si>
  <si>
    <t>CJ Vâlcea</t>
  </si>
  <si>
    <t>C3I1A0122000565/09.06.2023 - ÎNFIINȚAREA DE CENTRE DE COLECTARE PRIN APORT VOLUNTAR ÎN JUDEŢUL VÂLCEA – ZONA 2”,</t>
  </si>
  <si>
    <t>Zona 2</t>
  </si>
  <si>
    <t>C3I1A0122000566/09.06.2023 - ÎNFIINȚAREA DE CENTRE DE COLECTARE PRIN APORT VOLUNTAR ÎN JUDEŢUL VÂLCEA – ZONA 3”,</t>
  </si>
  <si>
    <t>Zona 3</t>
  </si>
  <si>
    <t>C3I1A0122000188/27.03.2023 - Înființare centru de colectare deșeuri în comuna Ciumeghiu, județul Bihor</t>
  </si>
  <si>
    <t>Ciumeghiu</t>
  </si>
  <si>
    <t>Comuna Ciumeghiu</t>
  </si>
  <si>
    <t>C3I1A0122000198/27.03.2023 - Înființare centru de colectare prin aport voluntar în Comuna Ghindari</t>
  </si>
  <si>
    <t>Ghindari</t>
  </si>
  <si>
    <t>Comuna Ghindari</t>
  </si>
  <si>
    <t xml:space="preserve">C3I1A0122000204/27.03.2023 - Centru de colectare prin aport voluntar în comuna Culciu, județul Satu - Mare </t>
  </si>
  <si>
    <t>Culciu</t>
  </si>
  <si>
    <t>UAT Comuna Culciu</t>
  </si>
  <si>
    <t>C3I1A0122000231/06.03.2023 - Înființarea unui centru de colectare a deșeurilor prin aport voluntar în comuna Valea Seacă, județul Iași</t>
  </si>
  <si>
    <t>Valea Seacă</t>
  </si>
  <si>
    <t>Comuna Valea Seacă</t>
  </si>
  <si>
    <t>C3I1A0122000242/27.03.2023 - Înființarea și dotarea unui centru de colectare prin aport voluntar (CAV) în comuna Stulpicani, județul Suceava</t>
  </si>
  <si>
    <t>Stulpicani</t>
  </si>
  <si>
    <t>UAT Comuna Stulpicani</t>
  </si>
  <si>
    <t>C3I1A0122000256/27.03.2023 - Înființarea unui centru de colectare prin aport voluntar în comuna Tătărăni, județul Vaslui</t>
  </si>
  <si>
    <t>Tătărăni</t>
  </si>
  <si>
    <t>Comuna Tătărăni</t>
  </si>
  <si>
    <t>C3I1A0122000258/06.03.2023 - nființarea și dotarea unui centru de colectare prin aport voluntar în orașul Copșa Mică, județul Sibiu</t>
  </si>
  <si>
    <t>Copșa Mică</t>
  </si>
  <si>
    <t>UAT Copșa Mică</t>
  </si>
  <si>
    <t>C3I1A0122000262/27.03.2023 - Centru de colectare cu aport voluntar în comuna Hilișeu - Horia</t>
  </si>
  <si>
    <t>UAT Comuna Hilișeu - Horia</t>
  </si>
  <si>
    <t>C3I1A0122000267/13.03.2023 - Înființarea unui centru de colectare a deșeurilor prin aport voluntar în comuna Pădureni, județul Vaslui</t>
  </si>
  <si>
    <t>UAT Comuna Pădureni</t>
  </si>
  <si>
    <t>C3I1A0122000268/22.03.2023 - Înființare centru de colectare prin aport voluntar în comuna Mica</t>
  </si>
  <si>
    <t>Mica</t>
  </si>
  <si>
    <t>Comuna Mica</t>
  </si>
  <si>
    <t>C3I1A0122000273/17.03.2023 - Construire centru de colectare deșeuri prin aport voluntar în comuna Dumbrăvița, județul Timiș</t>
  </si>
  <si>
    <t>Dumbrăvița</t>
  </si>
  <si>
    <t>UAT Comuna Dumbrăvița</t>
  </si>
  <si>
    <t>C3I1A0122000275/22.03.2023 - Centru de colectare selectivă a deșeurilor prin aport voluntar în comuna Măgurele, județul Prahova</t>
  </si>
  <si>
    <t>Măgurele</t>
  </si>
  <si>
    <t xml:space="preserve">UAT Comuna Măgurele </t>
  </si>
  <si>
    <t>C3I1A0122000276/13.03.2023 - Înființare centru de colectare selectivă a deșeurilor, cu aport voluntar, în comuna Brăteiu, județul Sibiu</t>
  </si>
  <si>
    <t>Brăteiu</t>
  </si>
  <si>
    <t>UAT Comuna Brăteiu</t>
  </si>
  <si>
    <t>C3I1A0122000284/27.03.2023 - Înființarea unui centru de colectare deșeuri prin aport voluntar în comuna Dudeștii Vechi</t>
  </si>
  <si>
    <t>Dudeștii Vechi</t>
  </si>
  <si>
    <t>UAT Comuna Dudeștii Vechi</t>
  </si>
  <si>
    <t>C3I1A0122000287/27.03.2023 - Înființare centru de colectare prin aport voluntar în orașul Băile Tușnad, județul Harghita</t>
  </si>
  <si>
    <t>Băile Tușnad</t>
  </si>
  <si>
    <t>UAT Orașul Băile Tușnad</t>
  </si>
  <si>
    <t>C3I1A0122000289/27.03.2023 - Înființarea unui centru de colectare prin aport voluntar în municipiul Vulcan, județul Hunedoara</t>
  </si>
  <si>
    <t>Vulcan</t>
  </si>
  <si>
    <t>Municipiul Vulcan</t>
  </si>
  <si>
    <t xml:space="preserve">C3I1A0122000291/15.03.2023 - Înființarea unui centru de colectare a deșeurilor prin aport voluntar în comuna Vetrișoaia, județul Vaslui </t>
  </si>
  <si>
    <t>Vetrișoaia</t>
  </si>
  <si>
    <t>UAT Comuna Vetrișoaia</t>
  </si>
  <si>
    <t>C3I1A0122000293/27.03.2023 - Construire centru de colectare deșeuri prin aport voluntar în orașul Comănești, județul Bacău</t>
  </si>
  <si>
    <t>Comănești</t>
  </si>
  <si>
    <t xml:space="preserve">UAT Orașul Comănești </t>
  </si>
  <si>
    <t>C3I1A0122000294/27.03.2023 - Înființarea unui centru de colectare a deșeurilor prin aport voluntar în comuna Băcani, județul Vaslui</t>
  </si>
  <si>
    <t>Comuna Băcani</t>
  </si>
  <si>
    <t>C3I1A0122000296/27.03.2023 - Înființarea unui centru de colectare a deșeurilor prin aport voluntar în comuna Calvini, județul Buzău</t>
  </si>
  <si>
    <t>Calvini</t>
  </si>
  <si>
    <t>UAT Comuna Calvini</t>
  </si>
  <si>
    <t>C3I1A0122000298/27.03.2023 - Înființarea unui centru de colectare prin aport voluntar în orașul Borsec, județul Harghita</t>
  </si>
  <si>
    <t>Borsec</t>
  </si>
  <si>
    <t>Orașul Borsec</t>
  </si>
  <si>
    <t xml:space="preserve">C3I1A0122000301/06.03.2023 - Înființarea unui centru de colectare a deșeurilor prin aport voluntar în comuna Valea Chioarului, județul Maramureș </t>
  </si>
  <si>
    <t>Valea Chioarului</t>
  </si>
  <si>
    <t xml:space="preserve">UAT Comuna Valea Chioarului </t>
  </si>
  <si>
    <t>C3I1A0122000302/15.03.2023 - Înființarea unui centru de colectare prin aport voluntar în comuna Abrămuț, județul Bihor</t>
  </si>
  <si>
    <t>Abrămuț</t>
  </si>
  <si>
    <t>UAT Comuna Abrămuț</t>
  </si>
  <si>
    <t>C3I1A0122000305/27.03.2023 - Înființarea și dotarea unui centru prin aport voluntar (CAV) în comuna Calafindești, județul Suceava</t>
  </si>
  <si>
    <t>Calafindești</t>
  </si>
  <si>
    <t>UAT comuna Calafindești</t>
  </si>
  <si>
    <t>C3I1A0122000306/13.03.2023 - Înființarea centrelor de colectare prin aport voluntar în orașul Dărmănești, județul Bacău</t>
  </si>
  <si>
    <t>Dărmănești</t>
  </si>
  <si>
    <t>UAT Orașul Dărmănești</t>
  </si>
  <si>
    <t>C3I1A0122000307/27.03.2023 - Înființare centru de colectare prin aport voluntar în comuna Baru, județul Hunedoara</t>
  </si>
  <si>
    <t>Baru</t>
  </si>
  <si>
    <t>UAT Comuna Baru</t>
  </si>
  <si>
    <t xml:space="preserve">C3I1A0122000310/27.03.2023 - Înființarea unui centru de colectare a deșeurilor prin aport voluntar în comuna Casimcea, județul Tulcea </t>
  </si>
  <si>
    <t>Casimcea</t>
  </si>
  <si>
    <t>Comuna Casimcea</t>
  </si>
  <si>
    <t>C3I1A0122000319/27.03.2023 - Centru de colectare selectivă a deșeurilor prin aport voluntar în comuna Berceni, județul Prahova</t>
  </si>
  <si>
    <t>Berceni</t>
  </si>
  <si>
    <t>Comuna Berceni</t>
  </si>
  <si>
    <t xml:space="preserve">C3I1A0122000320/13.03.2023 - Înființare centru de colectare prin aport voluntar în comuna Ivești, județul Galați </t>
  </si>
  <si>
    <t>UAT Comuna Ivești</t>
  </si>
  <si>
    <t>C3I1A0122000322/27.03.2023 - Înființare centru de colectare prin aport voluntar în comuna Eremitu</t>
  </si>
  <si>
    <t>Comuna Eremitu</t>
  </si>
  <si>
    <t>C3I1A0122000325/27.03.2023 - Înființarea unui centru de colectare prin aport voluntar pentru comuna Ghelința</t>
  </si>
  <si>
    <t>Ghelnița</t>
  </si>
  <si>
    <t>UAT Comuna Ghelința</t>
  </si>
  <si>
    <t>C3I1A0122000326/27.03.2023 - Înființarea unui centru de colectare prin aport voluntar pentru comuna Hoghiz</t>
  </si>
  <si>
    <t>Hoghiz</t>
  </si>
  <si>
    <t>UAT Comuna Hoghiz</t>
  </si>
  <si>
    <t>C3I1A0122000327/15.03.2023 - Înființarea și dotarea unui centru de colectare prin aport voluntar în comuna Sâniob, județul Bihor</t>
  </si>
  <si>
    <t>Sâniob</t>
  </si>
  <si>
    <t>UAT Comuna Sâniob</t>
  </si>
  <si>
    <t xml:space="preserve">C3I1A0122000328/13.03.2023 - Înființarea unui centru de colectare prin aport voluntar în comuna Tazlău, județul Neamț </t>
  </si>
  <si>
    <t>Tazlău</t>
  </si>
  <si>
    <t>UAT Tazlău</t>
  </si>
  <si>
    <t>C3I1A0122000333/13.03.2023 - Înființarea unui centru de colectare prin aport voluntar în comuna Daneți, județul Dolj</t>
  </si>
  <si>
    <t>Dăneț</t>
  </si>
  <si>
    <t>UAT Comuna Daneți</t>
  </si>
  <si>
    <t>C3I1A0122000336/27.03.2023 - Amenajare centru de colectare prin aport voluntar în orașul Nădlac, jud. Arad</t>
  </si>
  <si>
    <t xml:space="preserve">UAT Orașul Nădlac </t>
  </si>
  <si>
    <t>C3I1A0122000337/27.03.2023 - Înființarea unui centru de colectare a deșeurilor prin aport voluntar în comuna Epureni, județul Vaslui</t>
  </si>
  <si>
    <t>Epureni</t>
  </si>
  <si>
    <t>UAT Comuna Epureni</t>
  </si>
  <si>
    <t>C3I1A0122000340/27.03.2023 - Înființarea unui centru de colectare prin aport voluntar în comuna Albești, județul Botoșani</t>
  </si>
  <si>
    <t>Albești</t>
  </si>
  <si>
    <t xml:space="preserve">Comuna Albești </t>
  </si>
  <si>
    <t>C3I1A0122000341/13.03.2023 - Înființare centru de colectare deșeuri prin aport voluntar în orașul Salcea, județul Suceava</t>
  </si>
  <si>
    <t>Salcea</t>
  </si>
  <si>
    <t>Orașul Salcea</t>
  </si>
  <si>
    <t>C3I1A0122000345/13.03.2023 - Înființarea unui centru de colectare prin aport voluntar în valea Călugărească, județul Prahova</t>
  </si>
  <si>
    <t>Vașlea Călugărească</t>
  </si>
  <si>
    <t>UAT Comuna Valea Călugărească</t>
  </si>
  <si>
    <t>C3I1A0122000350/27.03.2023 - Înființare centru de colectare prin aport voluntar în comuna Găvănești, județul Olt</t>
  </si>
  <si>
    <t>Găvănești</t>
  </si>
  <si>
    <t>UAT Comuna Găvănești</t>
  </si>
  <si>
    <t xml:space="preserve">C3I1A0122000353/13.03.2023 - Înființare centru de colectare prin aport voluntar în comuna Rasova, județul Constanța </t>
  </si>
  <si>
    <t>Rasova</t>
  </si>
  <si>
    <t>UAT Comuna Rasova</t>
  </si>
  <si>
    <t>C3I1A0122000356/27.03.2023 - Centru de colectare a deșeurilor prin aport voluntar în comuna Copalnic Mănăștur</t>
  </si>
  <si>
    <t>Copalnic Mănăștur</t>
  </si>
  <si>
    <t xml:space="preserve">Comuna Copalnic Mănăștur </t>
  </si>
  <si>
    <t>C3I1A0122000358/13.03.2023 - Construire centru de colectare deșeuri prin aport voluntar, comuna Lunca, județul Botoșani</t>
  </si>
  <si>
    <t>Lunca</t>
  </si>
  <si>
    <t>UAT Comuna Lunca</t>
  </si>
  <si>
    <t xml:space="preserve">C3I1A0122000359/27.03.2023 - Înființarea unui centru de colectare prin aport voluntar în comuna Groșii Țibleșului, județul Maramureș  </t>
  </si>
  <si>
    <t xml:space="preserve">Groșii Țibleșului </t>
  </si>
  <si>
    <t xml:space="preserve">UAT Comuna Groșii Țibleșului </t>
  </si>
  <si>
    <t>C3I1A0122000362/13.03.2023 - Construire centru de colectare prin aport voluntar în comuna Căldăraru, județul Argeș</t>
  </si>
  <si>
    <t>Căldăraru</t>
  </si>
  <si>
    <t>UAT Comuna Căldăraru</t>
  </si>
  <si>
    <t>C3I1A0122000363/27.03.2023 - Centru de colectare selectivă a deșeurilor prin apor voluntar în comuna Cicârlău, județul Maramureș</t>
  </si>
  <si>
    <t>Cicârlău</t>
  </si>
  <si>
    <t>Comuna Cicârlău</t>
  </si>
  <si>
    <t xml:space="preserve">C3I1A0122000365/13.03.2023 - Centru de colectare selectivă a deșeurilor prin aport voluntar în comuna Rozavlea, județul Maramureș </t>
  </si>
  <si>
    <t>Rozavlea</t>
  </si>
  <si>
    <t>UAT Comuna Rozavlea</t>
  </si>
  <si>
    <t xml:space="preserve">C3I1A0122000370/13.03.2023 - Construire centru de colectare prin aport voluntar în comuna Miroși, județul Argeș </t>
  </si>
  <si>
    <t>Miroși</t>
  </si>
  <si>
    <t>UAT Comuna Miroși</t>
  </si>
  <si>
    <t>C3I1A0122000371/13.03.2023 - Înființarea unui centru de colectare a deșeurilor prin aport voluntar în comuna Vărăști, județul Giurgiu</t>
  </si>
  <si>
    <t>Vărăști</t>
  </si>
  <si>
    <t xml:space="preserve">Comuna Vărăști </t>
  </si>
  <si>
    <t>C3I1A0122000377/13.03.2023 - Construire centru de colectare prin aport voluntar în comuna Dobrotești, județul Teleorman</t>
  </si>
  <si>
    <t>UAT Comuna Dobrotești</t>
  </si>
  <si>
    <t>C3I1A0122000378/15.03.2023 - Construire centru de colectare prin aport voluntar în comuna Lunca Corbului, județul Argeș</t>
  </si>
  <si>
    <t>Lunca Corbului</t>
  </si>
  <si>
    <t>UAT Comuna Lunca Corbului</t>
  </si>
  <si>
    <t>C3I1A0122000381/13.03.2023 - Construire centru de colectare prin aport voluntar, în comuna Tăuteu, județul Bihor</t>
  </si>
  <si>
    <t>Tăuteu</t>
  </si>
  <si>
    <t>UAT Comuna Tăuteu</t>
  </si>
  <si>
    <t xml:space="preserve">C3I1A0122000382/13.03.2023 - Centru de colectare selectivă a deșeurilor prin aport voluntar în comuna Botiza, județul Maramureș </t>
  </si>
  <si>
    <t>Botiza</t>
  </si>
  <si>
    <t xml:space="preserve">UAT Comuna Botiza </t>
  </si>
  <si>
    <t xml:space="preserve">C3I1A0122000383/27.03.2023 - Construire centru de colectare prin aport voluntar în comuna Drăgăneștii de Vede, județul Teleorman </t>
  </si>
  <si>
    <t>Drăgăneștii de Vede</t>
  </si>
  <si>
    <t xml:space="preserve">UAT Comuna Drăgăneștii de Vede </t>
  </si>
  <si>
    <t>C3I1A0122000384/27.03.2023 - Înființarea unui centru de colectare deșeuri prin aport voluntar în municipiul Roșiorii de Vede</t>
  </si>
  <si>
    <t>Roșiorii de Vede</t>
  </si>
  <si>
    <t>UAT Municipiul Roșiorii de Vede</t>
  </si>
  <si>
    <t>C3I1A0122000387/13.03.2023 - Construire centru de colectare prin aport voluntar în comuna Nicolae Titulescu, județul Olt</t>
  </si>
  <si>
    <t>nicolae Titulescu</t>
  </si>
  <si>
    <t>UAT Comuna Nicolae Titulescu</t>
  </si>
  <si>
    <t>C3I1A0122000388/27.03.2023 - Înființare centru de colectare prin aprot voluntar în comuna Rediu, județul Galați</t>
  </si>
  <si>
    <t>Rediu</t>
  </si>
  <si>
    <t>UAT Comuna Rediu</t>
  </si>
  <si>
    <t>C3I1A0122000392/13.03.2023 - Centru de colectare selectivă a deșeurilor prin aport voluntar în comuna Bogdan Vodă, județul Maramureș</t>
  </si>
  <si>
    <t>Bogdan Vodă</t>
  </si>
  <si>
    <t>UAT Comuna Bogdan Vodă</t>
  </si>
  <si>
    <t>C3I1A0122000393/13.03.2023 - Construire centru de colectare prin aport voluntar în comuna Movileni, județul Olt</t>
  </si>
  <si>
    <t>Movileni</t>
  </si>
  <si>
    <t>Comuna Movileni</t>
  </si>
  <si>
    <t>C3I1A0122000396/15.03.2023 - Înființarea unui centru de colectare prin aport voluntar în comuna Lugașu de Jos</t>
  </si>
  <si>
    <t>Lungașu de Jos</t>
  </si>
  <si>
    <t>UAT Comuna Lugașu de Jos</t>
  </si>
  <si>
    <t>C3I1A0122000397/13.03.2023 - Construire centru de colectare prin aport voluntar în comuna Ghimpețeni, județul Olt</t>
  </si>
  <si>
    <t>Ghimpețeni</t>
  </si>
  <si>
    <t>Comuna Ghimpețeni</t>
  </si>
  <si>
    <t>C3I1A0122000398/15.03.2023 - Centru de colectare selectivă a deșeurilor prin aport voluntar în comuna Ocna Șugatag, județul Maramureș</t>
  </si>
  <si>
    <t>Ocna Șugatag</t>
  </si>
  <si>
    <t>UAT Ocna Șugatag</t>
  </si>
  <si>
    <t>C3I1A0122000401/15.03.2023 - Construire centru de colectare prin aport voluntar în comuna Mărunței, județul Olt</t>
  </si>
  <si>
    <t>Mărunței</t>
  </si>
  <si>
    <t>UAT Comuna Mărunței</t>
  </si>
  <si>
    <t>C3I1A0122000403/15.03.2023 - Înființarea unui centru de colectare a deșeurilor prin aport voluntar în comuna Negrilești, județul Galați</t>
  </si>
  <si>
    <t>Negrilești</t>
  </si>
  <si>
    <t>Comuna Negrilești</t>
  </si>
  <si>
    <t>C3I1A0122000408/15.03.2023 - Construire centru de colectare prin aport voluntar în comuna Crâmpoia, județul Olt</t>
  </si>
  <si>
    <t>Crâmpoia</t>
  </si>
  <si>
    <t>UAT Comuna Crâmpoia</t>
  </si>
  <si>
    <t xml:space="preserve">C3I1A0122000411/15.03.2023 - Înființarea unui centru de colectare a deșeurilor prin aport voluntar în comuna Ghergheasa, județul Buzău </t>
  </si>
  <si>
    <t>Ghergheasa</t>
  </si>
  <si>
    <t>UAT Comuna Ghergheasa</t>
  </si>
  <si>
    <t>C3I1A0122000418/13.03.2023 - Centru de colectare cu aport voluntar în comuna Peștișani, județul Gorj</t>
  </si>
  <si>
    <t>Peștișani</t>
  </si>
  <si>
    <t>UAT Comuna Peștișani</t>
  </si>
  <si>
    <t>C3I1A0122000431/15.03.2023 - Înființarea unui centru de colectare prin aport voluntar în comuna Gura Techii</t>
  </si>
  <si>
    <t>Gura Teghii</t>
  </si>
  <si>
    <t>UAT Comuna Gura Teghii</t>
  </si>
  <si>
    <t>C3I1A0122000432/13.03.2023 - Constuire centru de colectare deșeuri prin aport voluntar în comuna Iecea Mare, județul Timiș</t>
  </si>
  <si>
    <t>Iecea Mare</t>
  </si>
  <si>
    <t>Comuna Iecea Mare</t>
  </si>
  <si>
    <t>C3I1A0122000433/15.03.2023 - Înființarea unui centru de colectare prin aport voluntar în comuna Limanu, județul Constanța</t>
  </si>
  <si>
    <t>Limanu</t>
  </si>
  <si>
    <t>UAT Comuna Limanu</t>
  </si>
  <si>
    <t>C3I1A0122000440/27.03.2023 - Centru de colectare selectivă a deșeurilor prin aport voluntar în comuna Frumosu, județul Suceava</t>
  </si>
  <si>
    <t>Frumosu</t>
  </si>
  <si>
    <t>UAT Comuna Frumosu</t>
  </si>
  <si>
    <t>C3I1A0122000441/27.03.2023 - Înființarea unui centru de colectare a deșeurilor prin aport voluntar în comuna Adășeni, județul Botoșani</t>
  </si>
  <si>
    <t>Adășeni</t>
  </si>
  <si>
    <t>UAT Comuna Adășeni</t>
  </si>
  <si>
    <t>C3I1A0122000456/27.03.2023 - Înființare centru de colectare prin aport voluntar în comuna Beștepe, județul Tulcea</t>
  </si>
  <si>
    <t>Beștepe</t>
  </si>
  <si>
    <t>UAT Comuna Beștepe</t>
  </si>
  <si>
    <t>C3I1A0122000462/27.03.2023 - Înființarea centru de colectare prin aport voluntar în municipiul Hunedoara</t>
  </si>
  <si>
    <t>UAT Municipiul Hunedoara</t>
  </si>
  <si>
    <t>C3I1A0122000463/27.03.2023 - Construire centru de colectare deșeuri prin aport voluntar în comuna Râu de mori, județul Hunedoara</t>
  </si>
  <si>
    <t>Râu de Mori</t>
  </si>
  <si>
    <t>UAT Comuna Râu de Mori</t>
  </si>
  <si>
    <t>C3I1A0122000467/27.03.2023 - Înființarea unui centru de colectare a deșeurilor prin aport voluntar în comuna Unirea, județul Brăila</t>
  </si>
  <si>
    <t xml:space="preserve">UAT Comuna Unirea </t>
  </si>
  <si>
    <t>C3I1A0122000469/27.03.2023 - Înființare centru de colectare prin aport voluntar comuna Drajna, județul Prahova</t>
  </si>
  <si>
    <t>Drajna</t>
  </si>
  <si>
    <t>UAT Comuna Drajna</t>
  </si>
  <si>
    <t>C3I1A0122000472/27.03.2023 - Înființarea unui centru de colectare deșeuri prin aport voluntar în comuna Slatina - Timiș</t>
  </si>
  <si>
    <t>UAT Comuna Slatina- Timiș</t>
  </si>
  <si>
    <t>C3I1A0122000474/27.03.2023 - Înființare centru de colectare prin aport voluntar în comuna Adâncata, județul Suceava</t>
  </si>
  <si>
    <t>Adâncata</t>
  </si>
  <si>
    <t>Comuna Adâncata</t>
  </si>
  <si>
    <t>C3I1A0122000480/27.03.2023 - Înființare centru de colectare selectivă a deșeurilor, cu aport voluntar, în comuna Olari, județul Arad</t>
  </si>
  <si>
    <t>Olari</t>
  </si>
  <si>
    <t>UAT Comuna Olari</t>
  </si>
  <si>
    <t>C3I1A0122000482/27.03.2023 - Înființarea și dotarea unui centru de colectare prin aport voluntar în comuna Românești, jud. Iași - Runda I</t>
  </si>
  <si>
    <t>Românești</t>
  </si>
  <si>
    <t>UAT Comuna Românești</t>
  </si>
  <si>
    <t>C3I1A0122000486/27.03.2023 - Construire centru de colectare deșeuri prin aport voluntar în comuna Mândra, județul Brașov</t>
  </si>
  <si>
    <t>Mândra</t>
  </si>
  <si>
    <t>UAT Comuna Mândra</t>
  </si>
  <si>
    <t>C3I1A0122000487/27.03.2023 -Înființarea unui centru de colectare deșeuri prin aport voluntar în comuna Măureni, județul Caraș - Severin</t>
  </si>
  <si>
    <t>Severin</t>
  </si>
  <si>
    <t>Măureni</t>
  </si>
  <si>
    <t>UAT Comuna Măureni</t>
  </si>
  <si>
    <t>C3I1A0122000492/27.03.2023 - Înființare centru de colectare prin aport voluntar în comuna Zamostea, județul Suceava</t>
  </si>
  <si>
    <t>Zamostea</t>
  </si>
  <si>
    <t>UAT Comuna Zamostea</t>
  </si>
  <si>
    <t>C3I1A0122000505/27.03.2023 - Înființarea unui centru de colectare prin aport voluntar în comuna Cherechiu, județul Bihor</t>
  </si>
  <si>
    <t>Cherechiu</t>
  </si>
  <si>
    <t>UAT Comuna Cherechiu</t>
  </si>
  <si>
    <t>C3I1A0122000506/27.03.2023 - Înființare centru de colectare prin aport voluntar în comuna Moșna, județul Sibiu</t>
  </si>
  <si>
    <t>Comuna Moșna</t>
  </si>
  <si>
    <t>C3I1A0122000511/27.03.2023 - Înființare centru de colectare prin aport voluntar în comuna Matca, județul Galați</t>
  </si>
  <si>
    <t>UAT Matca</t>
  </si>
  <si>
    <t>C3I1A0122000519/27.03.2023 - Înființare centru de colectare prin aport voluntar în comuna Copălău, județul Botoșani</t>
  </si>
  <si>
    <t>Copălău</t>
  </si>
  <si>
    <t>Comuna Copălău</t>
  </si>
  <si>
    <t>C3I1A0122000523/27.03.2023 - Înființare centru de colectare deșeuri prin aport voluntar în comuna Grozești, județul Mehedinți</t>
  </si>
  <si>
    <t>Grozești</t>
  </si>
  <si>
    <t>UAT Comuna Grozești</t>
  </si>
  <si>
    <t>C3I1A0122000525/27.03.2023 - Înființarea unui centru de colectare prin aport voluntar în comuna Blăgești, județul Bacău</t>
  </si>
  <si>
    <t>Blăgești</t>
  </si>
  <si>
    <t>UAT Comuna Blăgești</t>
  </si>
  <si>
    <t>C3I1A0122000530/27.03.2023 - Înființarea unui centru de colectare prin aport voluntar în comuna Cojocna, județul Cluj</t>
  </si>
  <si>
    <t>Cojocna</t>
  </si>
  <si>
    <t xml:space="preserve">Comuna Cojocna </t>
  </si>
  <si>
    <t>C3I1A0122000537/27.03.2023 - Înființare centru de colectare prin aport voluntar în municipiul Câmpulung Moldovenesc, județul Suceava</t>
  </si>
  <si>
    <t>Câmpulung Moldovenesc</t>
  </si>
  <si>
    <t>Municipiul Câmpulung Moldovenesc</t>
  </si>
  <si>
    <t>C3I1A0122000543/27.03.2023 - Înființarea unui centru de colectare deșeuri prin aport voluntar în comuna Periam</t>
  </si>
  <si>
    <t>Periam</t>
  </si>
  <si>
    <t xml:space="preserve">Comuna Periam </t>
  </si>
  <si>
    <t>C3I1A0122000545/27.03.2023 - Înființare centru de colectare prin aport voluntar în comuna Slatina, județul Suceava</t>
  </si>
  <si>
    <t xml:space="preserve">UAT Comuna Slatina </t>
  </si>
  <si>
    <t>C3I1A0122000548/27.03.2023 - Construirea unui centru de colectare deșeuri prin aport voluntar în comuna Pomi, județul Satu Mare</t>
  </si>
  <si>
    <t>Mare</t>
  </si>
  <si>
    <t>Pomi</t>
  </si>
  <si>
    <t>UAT Comuna Pomi</t>
  </si>
  <si>
    <t>C3I1A0122000555/27.03.2023 - Înființarea unui centru de colectare a deșeurilor prin aport voluntar în comuna Vinderei, județul Vaslui</t>
  </si>
  <si>
    <t>Vindrei</t>
  </si>
  <si>
    <t>Comuna Vinderei</t>
  </si>
  <si>
    <t>C3I1A0122000560/27.03.2023 - Înființarea unui centru de colectare prin aport voluntar în comuna Brusturi, județul Neamț</t>
  </si>
  <si>
    <t>Valea Viilor</t>
  </si>
  <si>
    <t>UAT Comuna Valea Viilor</t>
  </si>
  <si>
    <t>C3I1A0122000570/27.03.2023 - Înființarea unui centru de colectare prin aport voluntar în comuna Brusturi, județul Neamț</t>
  </si>
  <si>
    <t>Brusturi</t>
  </si>
  <si>
    <t>UAT Comuna Brusturi</t>
  </si>
  <si>
    <t>C3I1A0122000571/27.03.2023 - Înființarea și dotarea unui centru de colectare prin aport voluntar (CAV) în orașul Siret, județul Suceava</t>
  </si>
  <si>
    <t>Șiret</t>
  </si>
  <si>
    <t>UAT Orașul Siret</t>
  </si>
  <si>
    <t>C3I1A0122000580/27.03.2023 - Proiect tip - Construire centru de colectare deșeuri prin aport voluntar - Comuna Godeanu, județul Mehedinți</t>
  </si>
  <si>
    <t>Godeanu</t>
  </si>
  <si>
    <t>UAT Godeanu</t>
  </si>
  <si>
    <t>C3I1A0122000581/27.03.2023 - Construire centru de colectare prin aport voluntar în comuna Sândominic, județul Harghita</t>
  </si>
  <si>
    <t>Comuna Sândominic</t>
  </si>
  <si>
    <t>C3I1A0122000582/27.03.2023 - Înființare centru de colectare deșeuri prin aport voluntar în comuna Marginea, județul Suceava</t>
  </si>
  <si>
    <t>Marginea</t>
  </si>
  <si>
    <t>Comuna Marginea</t>
  </si>
  <si>
    <t>C3I1A0122000264/13.03.2023 - Înființarea unui centru de colectare prin aport voluntar în Municipiul Lugoj</t>
  </si>
  <si>
    <t>UAT Municipiul Lugoj</t>
  </si>
  <si>
    <t>C3I1A0122000218/27.03.2023 - Înființarea unui centru de colectare prin aport voluntar în Comuna Certești</t>
  </si>
  <si>
    <t>Certești</t>
  </si>
  <si>
    <t>UAT Certești</t>
  </si>
  <si>
    <t>C3I1A0122000233/27.03.2023 - Înființarea și dotarea centrului de colectare prin aport voluntar în Bazna, Județul Sibiu</t>
  </si>
  <si>
    <t>Bazna</t>
  </si>
  <si>
    <t>UAT Comuna Bazna</t>
  </si>
  <si>
    <t>C3I1A0122000586/27.03.2023 - Centru de colectare deșeuri prin aport voluntar în Comuna Vărlezi, Județul Galați</t>
  </si>
  <si>
    <t>Vărlez</t>
  </si>
  <si>
    <t>UAT Comuna Vărlez</t>
  </si>
  <si>
    <t>C3I1A0122000179/03.04.2023 - Înființarea și dotarea unui centru de colectare prin aport voluntar (CAV) în Comuna Săbăoani, județul Neamț</t>
  </si>
  <si>
    <t>Săbăoani</t>
  </si>
  <si>
    <t>UAT Comuna Săbăoani</t>
  </si>
  <si>
    <t xml:space="preserve">C3I1A0122000214/03.04.2023 - Înființarea unui centru de colectare prin aport voluntar în comuna Barcani, județul Covasna </t>
  </si>
  <si>
    <t>Barcani</t>
  </si>
  <si>
    <t>Comuna Barcani</t>
  </si>
  <si>
    <t>C3I1A0122000223/03.04.2023 -Construire centru de colectare deșeuri prin aport voluntar în comuna Sântimbru, județul Harghita</t>
  </si>
  <si>
    <t>Sântimbru</t>
  </si>
  <si>
    <t>Comuna Sântimbru</t>
  </si>
  <si>
    <t>C3I1A0122000228/03.04.2023 - Înființare centru de colectare prin aport voluntar în comuna Mărtiniș</t>
  </si>
  <si>
    <t>Mărtiniș</t>
  </si>
  <si>
    <t>UAT Comuna Mărtiniș</t>
  </si>
  <si>
    <t>C3I1A0122000259/03.04.2023 -  Înființare centru de colectare deșeuri prin aport voluntar în comuna Frătăuții Noi, județul Suceava</t>
  </si>
  <si>
    <t>Frătăuții Noi</t>
  </si>
  <si>
    <t>Comuna Frătăuții Noi</t>
  </si>
  <si>
    <t>C3I1A0122000260/03.04.2023 -  Construire centru de colectare deșeuri prin aport voluntar în comuna Bălușeni</t>
  </si>
  <si>
    <t>Bălușeni</t>
  </si>
  <si>
    <t>Comuna Bălușeni</t>
  </si>
  <si>
    <t>C3I1A0122000279/03.04.2023 - Înființarea unui centru de colectare cu aport voluntar (CAV) în municipiul Dorohoi, județul Botoșani</t>
  </si>
  <si>
    <t>Dorohoi</t>
  </si>
  <si>
    <t>Municipiul Dorohoi</t>
  </si>
  <si>
    <t>C3I1A0122000303/03.04.2023 - Centre integrate de colectare separată prin aport voluntar</t>
  </si>
  <si>
    <t>Prejmer, Vama Buzăului, Sânpetru</t>
  </si>
  <si>
    <t>ADI INTERSAL</t>
  </si>
  <si>
    <t>C3I1A0122000335/03.04.2023 - Înființarea unui centru de colectare a deșeurilor prin aport voluntar în comuna Stănilești, județul Vaslui</t>
  </si>
  <si>
    <t>Stănilești</t>
  </si>
  <si>
    <t>Comuna Stănilești</t>
  </si>
  <si>
    <t>C3I1A0122000338/03.04.2023 - Înființarea de centre de colectare prin aport voluntar în municipiul Iași</t>
  </si>
  <si>
    <t>UAT Municipiul Iași</t>
  </si>
  <si>
    <t xml:space="preserve">C3I1A0122000342/03.04.2023 - Înființarea unui centru de colectare prin aport voluntar în orașul Breaza, județul Prahova </t>
  </si>
  <si>
    <t>Breaza</t>
  </si>
  <si>
    <t>UAT Oraș Breaza</t>
  </si>
  <si>
    <t>C3I1A0122000349/03.04.2023 - Înființarea de centre de colectare prin aport voluntar voluntar</t>
  </si>
  <si>
    <t>Țărcaia</t>
  </si>
  <si>
    <t>UAT Comuna Tărcaia</t>
  </si>
  <si>
    <t>C3I1A0122000355/03.04.2023 -Construire de centre de colectare prin aport voluntar comuna Zerind, județul Arad</t>
  </si>
  <si>
    <t>Zerind</t>
  </si>
  <si>
    <t>Comuna Zerind</t>
  </si>
  <si>
    <t>C3I1A0122000357/03.04.2023 - Înființarea unui centru de colectare deșeuri prin aport voluntar în comuna Coțușca, județul Botoșani</t>
  </si>
  <si>
    <t>Coțușca</t>
  </si>
  <si>
    <t xml:space="preserve">Comuna Coțușca </t>
  </si>
  <si>
    <t>C3I1A0122000364/03.04.2023 - Înființarea unui centru de colectare prin aport voluntar în comuna Stănița, județul Neamț</t>
  </si>
  <si>
    <t>Stănița</t>
  </si>
  <si>
    <t xml:space="preserve">Comuna Stănița </t>
  </si>
  <si>
    <t>C3I1A0122000367/03.04.2023 - Centru de colectare selectivă a deșeurilor prin aport voluntar în orașul Sânnicolau Mare, județul Timiș</t>
  </si>
  <si>
    <t>Sânnicolau Mare</t>
  </si>
  <si>
    <t>UAT Orașul Sânnicolau Mare</t>
  </si>
  <si>
    <t>C3I1A0122000368/03.04.2023 - Înființare și dotare centru de colectare prin aport voluntar (CAV), comuna Crasna, județul Gorj</t>
  </si>
  <si>
    <t>Crasna</t>
  </si>
  <si>
    <t xml:space="preserve">UAT Comuna Crasna </t>
  </si>
  <si>
    <t xml:space="preserve">C3I1A0122000373/03.04.2023 - Construire centru de colectare prin aport voluntar în comuna Hârsești, județul Argeș </t>
  </si>
  <si>
    <t>Hârsești</t>
  </si>
  <si>
    <t>Comuna Hârsești</t>
  </si>
  <si>
    <t>C3I1A0122000375/03.04.2023 - Înființare centru de colectare deșeuri prin aport voluntar în comuna Ipotești, județul Suceava</t>
  </si>
  <si>
    <t>Ipotești</t>
  </si>
  <si>
    <t>Comuna Ipotești</t>
  </si>
  <si>
    <t>C3I1A0122000386/03.04.2023 - Înființarea unui centru de colectare a deșeurilor prin aport voluntar în comuna Surdilă - Găiseanca, județul Brăila</t>
  </si>
  <si>
    <t xml:space="preserve"> Surdila - Găiseanca</t>
  </si>
  <si>
    <t>UAT Comuna Surdila - Găiseanca</t>
  </si>
  <si>
    <t>C3I1A0122000395/03.04.2023 - Înființare centru de colectare deșeuri prin aport voluntar în comuna Zvoriștea, județul Suceava</t>
  </si>
  <si>
    <t>Zvoriștea</t>
  </si>
  <si>
    <t>Comuna Zvoriștea</t>
  </si>
  <si>
    <t xml:space="preserve">C3I1A0122000399/03.04.2023 - Înființare centru de colectare prin aport voluntar în comuna Gârliciu, județul Constanța </t>
  </si>
  <si>
    <t>Gârliciu</t>
  </si>
  <si>
    <t>UAT Comuna Gârliciu</t>
  </si>
  <si>
    <t>C3I1A0122000402/03.04.2023 - Înființarea unui centru de colectare a deșeurilor prin aport voluntar în comuna Pogana, județul Vaslui</t>
  </si>
  <si>
    <t>Comuna Pogana</t>
  </si>
  <si>
    <t>C3I1A0122000405/03.04.2023 - Înființarea unui centru de colectare a deșeurilor prin aport voluntar în oraș Vălenii de Munte, județul Prahova</t>
  </si>
  <si>
    <t>Vălenii de Munte</t>
  </si>
  <si>
    <t>Oraș Vălenii de Munte</t>
  </si>
  <si>
    <t>C3I1A0122000406/03.04.2023 - Înființarea și dotarea unui centru de colectare prin aport voluntar (CAV), în municipiul Călărași</t>
  </si>
  <si>
    <t>UAT Municipiul Călărași</t>
  </si>
  <si>
    <t xml:space="preserve">C3I1A0122000407/03.04.2023 - Centru de colectare selectivă a deșeurilor prin aport voluntar în comuna Filipeștii de Pădure </t>
  </si>
  <si>
    <t>Filipeștii de Pădure</t>
  </si>
  <si>
    <t>UAT Comuna Filipeștii de Pădure</t>
  </si>
  <si>
    <t>C3I1A0122000412//03.04.2023 - Înființare centru de colectare deșeuri prin aport voluntar în comuna Satu Mare, județul Suceava</t>
  </si>
  <si>
    <t>Satu Mare</t>
  </si>
  <si>
    <t>UAT Comuna Satu Mare</t>
  </si>
  <si>
    <t xml:space="preserve">C3I1A0122000413/03.04.2023 - Construire centru de colectare prin aport voluntar în comuna Micești, județul Argeș </t>
  </si>
  <si>
    <t>Micești</t>
  </si>
  <si>
    <t>UAT Comuna Micești</t>
  </si>
  <si>
    <t>C3I1A0122000424/03.04.2023 - Înființare centre de colectare prin aport voluntar</t>
  </si>
  <si>
    <t>Mediaș</t>
  </si>
  <si>
    <t>Municipiul Mediaș</t>
  </si>
  <si>
    <t>C3I1A0122000425/03.04.2023 - Construire centru de colectare prin aport voluntar în comuna Redea, județul Olt</t>
  </si>
  <si>
    <t>Redea</t>
  </si>
  <si>
    <t>Comuna Redea</t>
  </si>
  <si>
    <t xml:space="preserve"> C3I1A0122000447/03.04.2023 - Centru de colectare selectivă prin aport voluntar în comuna Bârsana, județul Maramureș </t>
  </si>
  <si>
    <t>Bârsana</t>
  </si>
  <si>
    <t>UAT Comuna Bârsana</t>
  </si>
  <si>
    <t xml:space="preserve">C3I1A0122000448/03.04.2023 - Construire centru de colectare prin aport voluntar în comuna Dracsenei, județul Teleorman </t>
  </si>
  <si>
    <t>Dracsenei</t>
  </si>
  <si>
    <t>UAT Comuna Dracsenei</t>
  </si>
  <si>
    <t>C3I1A0122000452/03.04.2023 - Înființare și dotare centru de colectare prin aport voluntar, (CAV), comuna Lelești, județul Gorj</t>
  </si>
  <si>
    <t>Lelești</t>
  </si>
  <si>
    <t>UAT Comuna Lelești</t>
  </si>
  <si>
    <t xml:space="preserve">C3I1A0122000458/03.04.2023 - Centru de colectare selectivă prin aport voluntar în comuna Ruscova, județul Maramureș </t>
  </si>
  <si>
    <t>Ruscova</t>
  </si>
  <si>
    <t>UAT Comuna Ruscova</t>
  </si>
  <si>
    <t xml:space="preserve">C3I1A0122000494/03.04.2023 - Înființare centru de colectare prin aport voluntar în cadrul UAT Mănești </t>
  </si>
  <si>
    <t>Mănești</t>
  </si>
  <si>
    <t>UAT Mănești</t>
  </si>
  <si>
    <t xml:space="preserve"> C3I1A0122000499/03.04.2023 - Înființare centru de colectare deșeuri prin aport voluntar în comuna Dorna - Arini, județul Suceava</t>
  </si>
  <si>
    <t>Dorna-Arini</t>
  </si>
  <si>
    <t>UAT Comuna Dorna - Arini</t>
  </si>
  <si>
    <t xml:space="preserve">C3I1A0122000504/03.04.2023 - Înființarea unui centru de colectare prin aport voluntar în comuna Nușfalău, județul Sălaj </t>
  </si>
  <si>
    <t>Nușfalău</t>
  </si>
  <si>
    <t>UAT Comuna Nușfalău</t>
  </si>
  <si>
    <t>C3I1A0122000526/03.04.2023 - Înființarea unui centru de colectare a deșeurilor prin aport voluntar în comuna Mihail Kogălniceanu</t>
  </si>
  <si>
    <t>Mihail Kogălniceanu</t>
  </si>
  <si>
    <t>UAT Comuna Mihail Kogălniceanu</t>
  </si>
  <si>
    <t>C3I1A0122000556/03.04.2023 - Proiect - tip - Construire centru de colectare deșeuri prin aport voluntar - comuna Șimian, județul Mehedinți</t>
  </si>
  <si>
    <t>Șimian</t>
  </si>
  <si>
    <t>UAT Șimian</t>
  </si>
  <si>
    <t>C3I1A0122000562/03.04.2023 - Înființarea centrului de colectare prin aport voluntar Turda</t>
  </si>
  <si>
    <t>UAT Municipiul Turda</t>
  </si>
  <si>
    <t>C3I1A0122000563/03.04.2023 - Proiect tip - construire centru dec colectare deșeuri prin aport voluntar în comuna Pârjol, județul Sibiu</t>
  </si>
  <si>
    <t>Pârjol</t>
  </si>
  <si>
    <t>UAT Comuna Pârjol</t>
  </si>
  <si>
    <t>C3I1A0122000288/04.04.2023 - Înființarea unui centru de colectare a deșeurilor prin aport voluntar în comuna Băiuț, județul Maramureș</t>
  </si>
  <si>
    <t>Băiuț</t>
  </si>
  <si>
    <t>Comuna Băiuț</t>
  </si>
  <si>
    <t>C3I1A0122000575/04.04.2023 - Proiect - tip - Construire centru de colectare deșeuri prin aport voluntar - comuna Corcova, județul Mehedinți</t>
  </si>
  <si>
    <t>Corcova</t>
  </si>
  <si>
    <t xml:space="preserve">UAT Corcova </t>
  </si>
  <si>
    <t xml:space="preserve"> C3I1A0122000578/04.04.2023 - Înființare centru de colectare selectivă a deșeurilor, cu aport voluntar, în comuna Pilu, județul Arad</t>
  </si>
  <si>
    <t>Pilu</t>
  </si>
  <si>
    <t>UAT Comuna Pilu</t>
  </si>
  <si>
    <t>C3I1A0122000589/04.04.2023 - Construire centru de colectare prin aport voluntar în oraș Solca, județul Suceava</t>
  </si>
  <si>
    <t>Solca</t>
  </si>
  <si>
    <t>UAT Oraș Solca</t>
  </si>
  <si>
    <t>C3I1A0122000593/04.04.2023 - Construire și dotare centru de colectare deșeuri prin aport voluntar în comuna Sfântul Gheorghe, județul Tulcea</t>
  </si>
  <si>
    <t>Sfântu Gheorghe</t>
  </si>
  <si>
    <t>UAT Comuna Sfântul Gheorghe</t>
  </si>
  <si>
    <t>C3I1A0122000603/04.04.2023 - Înființare centru de colectare prin aport voluntar comuna Bistra, județul Maramureș</t>
  </si>
  <si>
    <t>UAT Comuna Bistra</t>
  </si>
  <si>
    <t>C3I1A0122000417/05.04.2023 - Centru de colectare selectivă a deșeurilor prin aport voluntar în comuna Criscior, județul Hunedoara</t>
  </si>
  <si>
    <t>Criscior</t>
  </si>
  <si>
    <t>UAT Comuna Criscior</t>
  </si>
  <si>
    <t>C3I1A0122000584/06.04.2023 - Înființarea și dotarea unui centru de colectare deșeuri prin aport voluntar Vidra</t>
  </si>
  <si>
    <t>Vidra</t>
  </si>
  <si>
    <t>UAT Comuna Vidra</t>
  </si>
  <si>
    <t>C3I1A0122000429/06.04.2023 - Înființarea de centre de colectare prin aport voluntar în județul Ilfov</t>
  </si>
  <si>
    <t>Grădiștea, Moara Vlăsiei, Mogoșoaia, Islaz</t>
  </si>
  <si>
    <t>Consiliul Județean Ilfov</t>
  </si>
  <si>
    <t>C3I1A0122000404/12.04.2023 - PROIECT TIP - CONSTRUIRE CENTRU DE COLECTARE DEȘEURI PRIN APORT VOLUNTAR ÎN COMUNA DUMBRĂVENI, JUDEȚUL SUCEAVA</t>
  </si>
  <si>
    <t xml:space="preserve"> Suceava</t>
  </si>
  <si>
    <t xml:space="preserve">UAT Comuna Dumbrăveni </t>
  </si>
  <si>
    <t xml:space="preserve">C3I1A0122000248/19.04/2023 - Înființarea și dotarea unui centru de colectare prin aport voluntar în orașul Murfatlar, jud. Constanța </t>
  </si>
  <si>
    <t>Murfatlar</t>
  </si>
  <si>
    <t xml:space="preserve">UAT Oraș Murfatlar </t>
  </si>
  <si>
    <t xml:space="preserve">C3I1A0122000253/19.04/2023 - Înființarea unui centru de colectare prin aport voluntar în UAT Băilești, județul Dolj </t>
  </si>
  <si>
    <t>Băilești</t>
  </si>
  <si>
    <t xml:space="preserve">Asociația de dezvoltare intracomunitară de gestionare a Deșeurilor Ecodolj </t>
  </si>
  <si>
    <t>C3I1A0122000265/19.04/2023 - Înființarea și dotarea centrelor de colectare prin aport voluntar în localitățile Țăndărei, Fierbinți - Târg, Bărcanești, Miloșești din județul Ialomița</t>
  </si>
  <si>
    <t>Țăndărei, Fierbinți-Târg, Bărcănești, Miloșești</t>
  </si>
  <si>
    <t>ADI ECOO 2009</t>
  </si>
  <si>
    <t>C3I1A0122000314/19.04/2023 -  Înființare centru de colectare prin aport colectiv în Comuna Pantelimon</t>
  </si>
  <si>
    <t>Pantelimon</t>
  </si>
  <si>
    <t>UAT Comuna Pantelimon</t>
  </si>
  <si>
    <t>C3I1A0122000331/19.04/2023 -  Înființare centru de colectare deșeuri prin aport voluntar în comuna Forăști, județul Suceava</t>
  </si>
  <si>
    <t>Forăști</t>
  </si>
  <si>
    <t>UAT Comuna Forăști</t>
  </si>
  <si>
    <t>C3I1A0122000339/19.04/2023 -  Înființarea centrului de colectare a deșeurilor prin aport voluntar Grădiștea - județul Brăila</t>
  </si>
  <si>
    <t>Comuna Grădiștea</t>
  </si>
  <si>
    <t>C3I1A0122000348/19.04/2023 -  Înființarea unui centru de colectare prin aport voluntar în comuna Clinceni</t>
  </si>
  <si>
    <t>Clinceni</t>
  </si>
  <si>
    <t>Comuna Clinceni</t>
  </si>
  <si>
    <t>C3I1A0122000596/26.04.2023 - PROIECT TIP - CONSTRUIRE CENTRU DE COLECTARE DEȘEURI PRIN APORT VOLUNTAR – COMUNA BUSTUCHIN JUDEȚUL GORJ</t>
  </si>
  <si>
    <t xml:space="preserve">Butuschin </t>
  </si>
  <si>
    <t>UAT comuna Butuschin</t>
  </si>
  <si>
    <t>C3I1A0122000372/19.04/2023 -  Construire centru de colectare deșeuri prin aport voluntar în comuna Săuca, județul Satu Mare</t>
  </si>
  <si>
    <t xml:space="preserve">UAT Comuna Săuca </t>
  </si>
  <si>
    <t>C3I1A0122000374/19.04/2023 -  Înființarea unui centru de colectare prin aport voluntar în municipiul Roman</t>
  </si>
  <si>
    <t>Roman</t>
  </si>
  <si>
    <t>UAT Municipiul Roman</t>
  </si>
  <si>
    <t>C3I1A0122000379/19.04/2023 -  Construire centru de colectare prin aport voluntar în comuna Ciolănești, județul Teleorman</t>
  </si>
  <si>
    <t>Ciolănești</t>
  </si>
  <si>
    <t>UAT Comuna Ciolănești</t>
  </si>
  <si>
    <t xml:space="preserve">C3I1A0122000385/19.04/2023 -  Construire centru de colectare prin aport voluntar în comuna Didești, județul Teleorman </t>
  </si>
  <si>
    <t>Didești</t>
  </si>
  <si>
    <t>Comuna Didești</t>
  </si>
  <si>
    <t>C3I1A0122000389/19.04/2023 - Construire centru de colectare prin aport voluntar în comuna Buzoești, județul Argeș</t>
  </si>
  <si>
    <t>Buzoești</t>
  </si>
  <si>
    <t>UAT Comuna Buzoești</t>
  </si>
  <si>
    <t>C3I1A0122000435/19.04/2023 -  Înființarea unui centru de colectare prin aport voluntar în comuna Săpânța, județul Maramureș</t>
  </si>
  <si>
    <t>Săpânța</t>
  </si>
  <si>
    <t xml:space="preserve">Comuna Săpânța </t>
  </si>
  <si>
    <t>C3I1A0122000517/19.04/2023 -  Înființarea unor centre de colectare cu aport voluntar în județul Timiș - Lot 1</t>
  </si>
  <si>
    <t xml:space="preserve">Timiș </t>
  </si>
  <si>
    <t>Belint, Deta, Făget, Jimbolia, Satchinez</t>
  </si>
  <si>
    <t>ADID Timiș</t>
  </si>
  <si>
    <t>C3I1A0122000518/19.04/2023 -  Înființarea unor centre de colectare cu aport voluntar în județul Timiș - Lot 2</t>
  </si>
  <si>
    <t>Biled, Ghiroda, Penciu Nou, Tomnatic, Topolovatu</t>
  </si>
  <si>
    <t>C3I1A0122000594/19.04/2023 -  Înființarea unui centru de colectare prin aport voluntar în comuna Drăguțești</t>
  </si>
  <si>
    <t>Drăguțești</t>
  </si>
  <si>
    <t>Comuna Drăguțești</t>
  </si>
  <si>
    <t>C3I1A0122000595/19.04/2023 -  Construire centru de colectare prin aport voluntar în comuna Necșești, județul Teleorman</t>
  </si>
  <si>
    <t>Necșești</t>
  </si>
  <si>
    <t xml:space="preserve">Comuna Necșești </t>
  </si>
  <si>
    <t>C3I1A0122000597/19.04/2023 -  Înființare centru de colectare prin aport voluntar în comuna Săveni, județul Ialomița</t>
  </si>
  <si>
    <t>Săveni</t>
  </si>
  <si>
    <t>Comuna Săveni</t>
  </si>
  <si>
    <t>C3I1A0122000598/19.04/2023 -  Proiect tip - Construire centru de colectare deșeuri prin aport voluntar - Comuna Voloiac, județul Mehedinți</t>
  </si>
  <si>
    <t>Voloiac</t>
  </si>
  <si>
    <t>UAT Voloiac</t>
  </si>
  <si>
    <t>C3I1A0122000599/19.04/2023 - Centru de colectare prin aport voluntar</t>
  </si>
  <si>
    <t>Baraolt</t>
  </si>
  <si>
    <t>Orașul Baraolt</t>
  </si>
  <si>
    <t>C3I1A0122000568/20.04.2023 - Înființare centru de colectare prin aport voluntar în comuna Fântâna Mare, județul Suceava</t>
  </si>
  <si>
    <t>Fântâna Mare</t>
  </si>
  <si>
    <t>UAT Comuna Fântâna Mare</t>
  </si>
  <si>
    <t>C3I1A0122000573/20.04.2023 - - Înființarea unui centru de colectare a deșeurilor prin aport voluntar în comuna Mihai Bravu</t>
  </si>
  <si>
    <t>Bravu</t>
  </si>
  <si>
    <t>Mihai Bravu</t>
  </si>
  <si>
    <t>UAT Comuna Mihai Bravu</t>
  </si>
  <si>
    <t>C3I1A0122000535/20.04.2023 - Înființarea unui centru de colectare prin aport voluntar în comuna Sânpaul, județul Mureș</t>
  </si>
  <si>
    <t>Sânpaul</t>
  </si>
  <si>
    <t>UAT Comuna Sânpaul</t>
  </si>
  <si>
    <t>C3I1A0122000536/20.04.2023 - Înființare centru de colectare deșeuri prin aport voluntar în comuna Dorna Cândrenilor, județul Suceava</t>
  </si>
  <si>
    <t>Dorna Cândrenilor</t>
  </si>
  <si>
    <t>UAT Comuna Dorna Cândrenilor</t>
  </si>
  <si>
    <t>C3I1A0122000538/20.04.2023 - Înființarea unui centru de colectare prin aport voluntar în orașul Ineu, județul Arad</t>
  </si>
  <si>
    <t>Ineu</t>
  </si>
  <si>
    <t>UAT Orașul Ineu</t>
  </si>
  <si>
    <t>C3I1A0122000539/20.04.2023 - Înființare centru de colectare prin aport voluntar în comuna Berchișești, județul Suceava</t>
  </si>
  <si>
    <t>Berchișești</t>
  </si>
  <si>
    <t>UAT Comuna Berchișești</t>
  </si>
  <si>
    <t>C3I1A0122000542/20.04.2023 - Construire centru de colectare deșeuri prin aport voluntar în comuna Bretea Română, județul Hunedoara</t>
  </si>
  <si>
    <t>Bretea Română</t>
  </si>
  <si>
    <t>UAT Comuna Bretea Română</t>
  </si>
  <si>
    <t xml:space="preserve">C3I1A0122000549/20.04.2023 - Centre integrate de colectare separată prin aport voluntar </t>
  </si>
  <si>
    <t>Rupea</t>
  </si>
  <si>
    <t>Asociația de dezvoltare intercomunitară Eco Zona Rupea</t>
  </si>
  <si>
    <t>C3I1A0122000488/20.04.2023 - Construirea unui centru de colectare prin aport voluntar în comuna Supur, județul Satu Mare</t>
  </si>
  <si>
    <t>Supur</t>
  </si>
  <si>
    <t>UAT Comuna Supur</t>
  </si>
  <si>
    <t>C3I1A0122000512/20.04.2023 - Înființare centru de colectare prin aport voluntar în comuna Stejaru, județul Tulcea</t>
  </si>
  <si>
    <t>Stejaru</t>
  </si>
  <si>
    <t>C3I1A0122000520/20.04.2023 - - Construire centru de colectare prin aport voluntar comuna Coteana, județul Olt</t>
  </si>
  <si>
    <t>Coteana</t>
  </si>
  <si>
    <t>UAT Comuna Coteana</t>
  </si>
  <si>
    <t>C3I1A0122000524/20.04.2023 - - Construire centru de colectare deșeuri prin aport voluntar, comuna Păulești, județul Satu Mare</t>
  </si>
  <si>
    <t>Păulești</t>
  </si>
  <si>
    <t>UAT Comuna Păulești</t>
  </si>
  <si>
    <t>C3I1A0122000532/20.04.2023 - Înființare centru de colectare prin aport voluntar în comuna Lespezi, județul Iași</t>
  </si>
  <si>
    <t>Lespezi</t>
  </si>
  <si>
    <t>UAT Comuna Lespezi</t>
  </si>
  <si>
    <t>C3I1A0122000209/20.04.2023 - Înființare centru de colectare prin aport voluntar</t>
  </si>
  <si>
    <t>Sebeș</t>
  </si>
  <si>
    <t>UAT Municipiul Sebeș</t>
  </si>
  <si>
    <t>C3I1A0122000238/20.04.2023 - Înființarea unui centru de colectare a deșeurilor prin aport voluntar în comuna Breaza, județul Buzău</t>
  </si>
  <si>
    <t xml:space="preserve"> Buzău</t>
  </si>
  <si>
    <t>UAT Comuna Breaza</t>
  </si>
  <si>
    <t>C3I1A0122000309/20.04.2023 - Înființare centru de colectare selectivă a deșeurilor cu aport voluntar în comuna Troianul, județul Teleorman</t>
  </si>
  <si>
    <t>Troianul</t>
  </si>
  <si>
    <t>Comuna Troianul</t>
  </si>
  <si>
    <t>C3I1A0122000329/20.04.2023 - Proiect tip - Construire centru de colectare deșeuri prin aport voluntar în comuna Ghimș - Făget, județul Bacău</t>
  </si>
  <si>
    <t>Ghimeș-Făget</t>
  </si>
  <si>
    <t>UAT Comuna Ghimeș - Făget</t>
  </si>
  <si>
    <t xml:space="preserve">C3I1A0122000451/20.04.2023 - Centre integrate de colectare separată prin aport voluntar </t>
  </si>
  <si>
    <t>Homorod</t>
  </si>
  <si>
    <t>ADO ECO ZONA RUPEA</t>
  </si>
  <si>
    <t xml:space="preserve">C3I1A0122000457/20.04.2023 - Înființare centru de colectare prin aport voluntar în comuna Crucea, județul Constanța </t>
  </si>
  <si>
    <t>UAT Comuna Crucea</t>
  </si>
  <si>
    <t>C3I1A0122000468/20.04.2023 - Înființare centru de colectare prin aport voluntar comuna Luncoiu de Jos, județul Hunedoara</t>
  </si>
  <si>
    <t>Luncoiu de Jos</t>
  </si>
  <si>
    <t>UAT Comuna Luncoiu de Jos</t>
  </si>
  <si>
    <t>C3I1A0122000478/20.04.2023 - Construire centru de colectare deșeuri prin aport voluntar în comuna Suhaia, județul Teleorman</t>
  </si>
  <si>
    <t>Suhaia</t>
  </si>
  <si>
    <t>Comuna Suhaia</t>
  </si>
  <si>
    <t>C3I1A0122000479/20.04.2023 - Construirea unui centru de colectare prin aport voluntar în comuna Ciuruleasa, județul Alba</t>
  </si>
  <si>
    <t>Ciuruleasa</t>
  </si>
  <si>
    <t>UAT Comuna Ciuruleasa</t>
  </si>
  <si>
    <t>C3I1A01220002541/24.04.2023 - Înființarea unui centru de colectare prin aport voluntar în UAT Cârcea, județul Dolj</t>
  </si>
  <si>
    <t>Cârcea</t>
  </si>
  <si>
    <t xml:space="preserve">ADI Ecodolj </t>
  </si>
  <si>
    <t>C3I1A0122000255/24.04.2023 - Înființarea unui centru de colectare prin aport voluntar în UAT Dăbuleni, județul Dolj</t>
  </si>
  <si>
    <t>C3I1A0122000278/24.04.2023 - Înființare centru de colectare prin aport voluntar în comuna Glodeni</t>
  </si>
  <si>
    <t>Glodeni</t>
  </si>
  <si>
    <t>UAT Comuna Glodeni</t>
  </si>
  <si>
    <t>C3I1A0122000304/24.04.2023 - Înființare centru de colectare selectivă a deșeurilor, cu aport voluntar în comuna Livada, județul Arad</t>
  </si>
  <si>
    <t>Livada</t>
  </si>
  <si>
    <t>UAT Livada</t>
  </si>
  <si>
    <t>C3I1A0122000313/24.04.2023 - Înființare centru de colectare prin aport voluntar în comuna Hulubești</t>
  </si>
  <si>
    <t>Hulubești</t>
  </si>
  <si>
    <t>UAT Comuna Hulubești</t>
  </si>
  <si>
    <t>C3I1A0122000318/24.04.2023 - Înființarea unui centru de colectare prin aport voluntar în comuna Dognecea, județul Caraș - Severin</t>
  </si>
  <si>
    <t>Dognecea</t>
  </si>
  <si>
    <t>Comuna Dognecea</t>
  </si>
  <si>
    <t>C3I1A0122000324/24.04.2023 - Înființare centru de colectare prin aport voluntar în comuna Tarna Mare</t>
  </si>
  <si>
    <t>Târna Mare</t>
  </si>
  <si>
    <t>UAT Comuna Tarna Mare</t>
  </si>
  <si>
    <t>C3I1A0122000347/24.04.2023 - Înființarea unui centru de colectare prin aport voluntar în comuna Trușești, județul Botoșani</t>
  </si>
  <si>
    <t>Trușești</t>
  </si>
  <si>
    <t>Comuna Trușești</t>
  </si>
  <si>
    <t>C3I1A0122000351/24.04.2023 - Înființarea unui centru de colectare a deșeurilor prin aport voluntar în comuna Ion Roată, județul Ialomița</t>
  </si>
  <si>
    <t>Ion Roată</t>
  </si>
  <si>
    <t>UAT Comuna Ion Roată</t>
  </si>
  <si>
    <t>C3I1A0122000442/24.04.2023 - Înființare centru de colectare selectivă a deșeurilor, cu aport voluntar în comuna Chieșd, județul Sălaj</t>
  </si>
  <si>
    <t>Chieșd</t>
  </si>
  <si>
    <t>UAT Comuna Chieșd</t>
  </si>
  <si>
    <t>C3I1A0122000446/24.04.2023 - Înființare și dotare centru de colectare prin aport voluntar (CAV), comuna Crușeț, județ Gorj 632</t>
  </si>
  <si>
    <t>Crușeț</t>
  </si>
  <si>
    <t>UAT Comuna Crușeț</t>
  </si>
  <si>
    <t>C3I1A0122000453/24.04.2023 - Construire centru de colectare deșeuri prin aport voluntar în comuna Vălcani, județul Timiș</t>
  </si>
  <si>
    <t>Vălcani</t>
  </si>
  <si>
    <t>UAT Comuna Vălcani</t>
  </si>
  <si>
    <t xml:space="preserve">C3I1A0122000473/24.04.2023 - Înființare centru de colectare prin aport voluntar în comuna Lumina, județul Constanța </t>
  </si>
  <si>
    <t>Lumina</t>
  </si>
  <si>
    <t>UAT Comuna Lumina</t>
  </si>
  <si>
    <t>C3I1A0122000498/24.04.2023 - Construirea unui centru de colectare prin aport voluntar, în comuna Pișcolț, județul Satu Mare</t>
  </si>
  <si>
    <t xml:space="preserve"> Satu Mare</t>
  </si>
  <si>
    <t>Pișcolț</t>
  </si>
  <si>
    <t>UAT Comuna Pișcolț</t>
  </si>
  <si>
    <t>C3I1A0122000510/24.04.2023 - Construire centru de colectare deșeuri prin aport voluntar - comuna Racova, județul Mehedinți</t>
  </si>
  <si>
    <t>Racova</t>
  </si>
  <si>
    <t>UAT Comuna Racova</t>
  </si>
  <si>
    <t>C3I1A0122000554/24.04.2023 - Construire centru de colectare deșeuri prin aport voluntar - comuna Bălăcița, județul Mehedinți</t>
  </si>
  <si>
    <t>Bălăcița</t>
  </si>
  <si>
    <t xml:space="preserve">UAT Comuna Bălăcița </t>
  </si>
  <si>
    <t>C3I1A0122000574/24.04.2023 - Înființarea unui centru de colectare a deșeurilor prin aport voluntar în comuna Drăgușeni, județul Botoșani</t>
  </si>
  <si>
    <t>Comuna Drăgușeni</t>
  </si>
  <si>
    <t>C3I1A0122000591/24.04.2023 - Înființare centru de colectare deșeuri prin aport voluntar în comuna Goicea, județul Dolj</t>
  </si>
  <si>
    <t>Goicea</t>
  </si>
  <si>
    <t>Comuna Goicea</t>
  </si>
  <si>
    <t xml:space="preserve">C3I1A0122000592/24.04.2023 - Înființarea unui centru de colectare a deșeurilor non - menajere prin aport voluntar în comuna Turcoaia, județul Tulcea </t>
  </si>
  <si>
    <t>Turcoaia</t>
  </si>
  <si>
    <t xml:space="preserve">UAT Comuna Turcoaia </t>
  </si>
  <si>
    <t>C3I1A0122000600/24.04.2023 - Proiect tip - Construire centru de colectare deșeuri prin aport voluntar - comuna Vânjuleț, județul Mehedinți</t>
  </si>
  <si>
    <t>Vânjuleț</t>
  </si>
  <si>
    <t>UAT Vânjuleț</t>
  </si>
  <si>
    <t>C3I1A0122000601/24.04.2023 - Înființarea unui centru de colectare prin aport voluntar în comuna Dimitrie Cantemir, județul Vaslui</t>
  </si>
  <si>
    <t>Dimitrie Cantemir</t>
  </si>
  <si>
    <t>UAT Comuna Dimitrie Cantemir</t>
  </si>
  <si>
    <t xml:space="preserve">C3I1A0122000193/25.04.2023 - Înființare centru de colectare prin aport voluntar în orașul Întorsura Buzăului, județul Covasna </t>
  </si>
  <si>
    <t>Întorsura Buzăului</t>
  </si>
  <si>
    <t>UAT Orașul Întorsura Buzăului</t>
  </si>
  <si>
    <t>C3I1A0122000243/25.04.2023 - Înființare centru de colectare prin aport voluntar în sat Nicolae Bălcescu, comuna Alexandru Odobescu, județul Călărași</t>
  </si>
  <si>
    <t>Alexandru Odobescu</t>
  </si>
  <si>
    <t>Comuna Alexandru Odobescu</t>
  </si>
  <si>
    <t xml:space="preserve">C3I1A0122000334/25.04.2023 - Înființare centru de colectare prin aport voluntar în municipiul Oltenița </t>
  </si>
  <si>
    <t>Oltenița</t>
  </si>
  <si>
    <t>UAT Municipiul Oltenița</t>
  </si>
  <si>
    <t>C3I1A0122000390/25.04.2023 - Înființare centru de colectare prin aport voluntar în comuna Horia, județul Tulcea</t>
  </si>
  <si>
    <t>UAT Comuna Horia</t>
  </si>
  <si>
    <t>C3I1A0122000400/25.04.2023 - Centru de colectare selectivă a deșeurilor prin aport voluntar în comuna Băița, județul Hunedoara</t>
  </si>
  <si>
    <t>Băița</t>
  </si>
  <si>
    <t>Comuna Băița</t>
  </si>
  <si>
    <t>C3I1A0122000439/03.05.2023  Înființarea și dotarea unui centru de colectare prin aport voluntar în orașul Râșnov</t>
  </si>
  <si>
    <t>Râșnov</t>
  </si>
  <si>
    <t>ADI ISO MEDIU</t>
  </si>
  <si>
    <t>C3I1A0122000444/18.05.2023 Construire centru de colectare deșeuri prin aport voluntar în Municipiul Pitești</t>
  </si>
  <si>
    <t>Pitești</t>
  </si>
  <si>
    <t>UAT Municipiul Pitești</t>
  </si>
  <si>
    <t>C3I1A0122000490/09.05.2023 Înființarea unui centru de colectare a deșeurilor prin aport voluntar în comuna Ruginoasa, județul Neamț</t>
  </si>
  <si>
    <t xml:space="preserve"> Neamț</t>
  </si>
  <si>
    <t>Ruginoasa</t>
  </si>
  <si>
    <t>Comuna Ruginoasa</t>
  </si>
  <si>
    <t xml:space="preserve">C3I1A0122000501/18.05.2023 Centru de colectare selectivă a deșeurilor prin aport voluntar în comuna Mireșu Mare, județul Maramureș </t>
  </si>
  <si>
    <t xml:space="preserve"> Maramureș</t>
  </si>
  <si>
    <t xml:space="preserve"> Mireșu Mare</t>
  </si>
  <si>
    <t>Comuna Mireșu Mare</t>
  </si>
  <si>
    <t>C3I1A0122000531/09.05.2023 Înființarea unui centru de colectare prin aport voluntar în UAT Filiași, județul Dolj</t>
  </si>
  <si>
    <t>Filiași</t>
  </si>
  <si>
    <t>ADI ECODOLJ</t>
  </si>
  <si>
    <t xml:space="preserve">C3I1A0122000283/03.05.2023 Înființarea unui centru de colectare a deșeurilor prin aport voluntar în orașul Negru Vodă, județul Constanța </t>
  </si>
  <si>
    <t xml:space="preserve">Constanța </t>
  </si>
  <si>
    <t>Negru Vodă</t>
  </si>
  <si>
    <t>UAT Orașul Negru Vodă</t>
  </si>
  <si>
    <t>C3I1A0122000323/03.05.2023 Înființare centru de colectare prin aport voluntar în comuna Acățari</t>
  </si>
  <si>
    <t>Acățari</t>
  </si>
  <si>
    <t xml:space="preserve">UAT Comuna Acățari </t>
  </si>
  <si>
    <t>C3I1A0122000585/03.05.2023 Înființarea unui centru de colectare prin aport voluntar în comuna Ferești, județul Vaslui</t>
  </si>
  <si>
    <t>Ferești</t>
  </si>
  <si>
    <t>UAT Ferești</t>
  </si>
  <si>
    <t>C3I1A0122000587/03.05.2023 Înființarea și dotarea unui centru de colectare prin aport voluntar în orașul Dumbrăveni, județul Sibiu</t>
  </si>
  <si>
    <t>UAT Oraș Dumbraveni</t>
  </si>
  <si>
    <t>C3I1A0122000588/03.05.2023 Înființarea unui centru de colectare prin aport voluntar în comuna Șimand, județul Arad</t>
  </si>
  <si>
    <t>Șimand</t>
  </si>
  <si>
    <t>UAT Șimand</t>
  </si>
  <si>
    <t xml:space="preserve">C3I1A0122000263/03.05.2023 Înființarea unui centru de colectare a deșeurilor în comuna Lucieni, județul Dâmbovița </t>
  </si>
  <si>
    <t xml:space="preserve"> Dâmbovița</t>
  </si>
  <si>
    <t>UAT Comuna Lucieni</t>
  </si>
  <si>
    <t>C3I1A0122000428/03.05.2023 Înființarea unui centru de colectare prin aport voluntar în comuna Poieni, județul Cluj</t>
  </si>
  <si>
    <t>Poieni</t>
  </si>
  <si>
    <t>UAT Comuna Poieni</t>
  </si>
  <si>
    <t>C3I1A0122000445/03.05.2023 Construire centru de colectare prin aport voluntar în comuna Osica de Jos, județul Olt</t>
  </si>
  <si>
    <t>Osica de Jos</t>
  </si>
  <si>
    <t>Comuna Osica de Jos</t>
  </si>
  <si>
    <t>C3I1A0122000529/03.05.2023 Construire centru de colectare deșeuri prin aport voluntar, în comuna Diosig, județul Bihor</t>
  </si>
  <si>
    <t>Diosig</t>
  </si>
  <si>
    <t>UAT Comuna Diosig</t>
  </si>
  <si>
    <t>C3I1A0122000534/03.05.2023 Înființare centru de colectare prin aport voluntar în comuna Mihăileni</t>
  </si>
  <si>
    <t xml:space="preserve">Comuna Mihăileni </t>
  </si>
  <si>
    <t>C3I1A0122000110/04.05.2023 Centre de colectare selectivă a deșeurilor prin aport voluntar în județul Galați</t>
  </si>
  <si>
    <t>UAT Consiliul Județean Galați</t>
  </si>
  <si>
    <t>C3I1A0122000173/04.05.2023 Înființarea unui centru de colectare prin aport voluntar în comuna Rojiște, județul Dolj</t>
  </si>
  <si>
    <t>Rojiște</t>
  </si>
  <si>
    <t xml:space="preserve">UAT Comuna Rojiște </t>
  </si>
  <si>
    <t xml:space="preserve">C3I1A0122000183/03.05.2023 Înființare centru de colectare selectivă a deșeurilor cu aport voluntar în comuna Uliești, județul Dâmbovița </t>
  </si>
  <si>
    <t xml:space="preserve">Dâmbovița </t>
  </si>
  <si>
    <t>Uliești</t>
  </si>
  <si>
    <t xml:space="preserve">UAT Comuna Uliești </t>
  </si>
  <si>
    <t>C3I1A0122000270/04.05.2023 Înființarea unui centru de colectare prin aport voluntar în municipiul Gherla, județul Cluj</t>
  </si>
  <si>
    <t>Gherla</t>
  </si>
  <si>
    <t>UAT Municipiul Gherla</t>
  </si>
  <si>
    <t>C3I1A0122000496/04.05.2023 Centru colectare deșeuri prin aport voluntar în comuna Suceveni, județul Galați</t>
  </si>
  <si>
    <t>Suceveni</t>
  </si>
  <si>
    <t>Comuna Suceveni</t>
  </si>
  <si>
    <t>C3I1A0122000497/04.05.2023 Înființare centru de colectare prin aport voluntar (CAV) în comuna Siliștea, județul Teleorman</t>
  </si>
  <si>
    <t>Siliștea</t>
  </si>
  <si>
    <t>UAT Comuna Siliștea</t>
  </si>
  <si>
    <t xml:space="preserve">C3I1A0122000540/04.05.2023 Înființare centru de colectare prin aport voluntar în comuna Albești - Paleologu </t>
  </si>
  <si>
    <t>Albești - Paleologu</t>
  </si>
  <si>
    <t>UAT Comuna Albești - Paleologu</t>
  </si>
  <si>
    <t xml:space="preserve">C3I1A0122000546/04.05.2023 Centru de colectare selectivă a deșeurilor prin aport voluntar în comuna Giulești, județul Maramureș </t>
  </si>
  <si>
    <t>Giulești</t>
  </si>
  <si>
    <t>Comuna Giulești</t>
  </si>
  <si>
    <t>C3I1A0122000572/04.05.2023 Înființare centru de colectare prin aport voluntar în comuna Văculești, județul Botoșani</t>
  </si>
  <si>
    <t>Văculești</t>
  </si>
  <si>
    <t>Comuna Văculești</t>
  </si>
  <si>
    <t>C3I1A0122000577/04.05.2023 Înființarea de centru de colectare prin aport voluntar raza comunei Sarichioi, județul Tulcea</t>
  </si>
  <si>
    <t>UAT Comuna Sarichioi</t>
  </si>
  <si>
    <t>C3I1A0122000234/04.05.2023 Construire centru de colectare deșeuri prin aport voluntar în comuna Dănești, județul Harghita</t>
  </si>
  <si>
    <t>Dănești</t>
  </si>
  <si>
    <t>UAT Comuna Dănești</t>
  </si>
  <si>
    <t>C3I1A0122000344/04.05.2023 Construire centru de aport voluntar pentru colectare deșeuri în orașul Isaccea, județul Tulcea</t>
  </si>
  <si>
    <t xml:space="preserve">Tulcea </t>
  </si>
  <si>
    <t>Isaccea</t>
  </si>
  <si>
    <t>UAT Isaccea</t>
  </si>
  <si>
    <t xml:space="preserve">C3I1A0122000360/04.05.2023 Înființare centru de colectare prin aport voluntar în comuna Ulmu, județul Călărași </t>
  </si>
  <si>
    <t>Ulmu</t>
  </si>
  <si>
    <t>UAT Comuna Ulmu</t>
  </si>
  <si>
    <t>C3I1A0122000366/04.05.2023 Înființare centru de colectare prin aport voluntar în comuna Drăgănești, județul Galați</t>
  </si>
  <si>
    <t>UAT Comuna Drăgănești</t>
  </si>
  <si>
    <t xml:space="preserve">C3I1A0122000394/04.05.2023 Construire centru de colectare prin aport voluntar în comuna Ungheni, județul Argeș </t>
  </si>
  <si>
    <t>Ungheni</t>
  </si>
  <si>
    <t>UAT Comuna Ungheni</t>
  </si>
  <si>
    <t>C3I1A0122000409/04.05.2023 Centru de colectare selectivă a deșeurilor prin aport voluntar în orașul Baia Sprie, județul Maramureș</t>
  </si>
  <si>
    <t>Baia Sprie</t>
  </si>
  <si>
    <t>UAT Orașul Baia Sprie</t>
  </si>
  <si>
    <t>C3I1A0122000414/04.05.2023 Construire centru de colectare prin aport voluntar în comuna Râca, județul Argeș</t>
  </si>
  <si>
    <t>Râca</t>
  </si>
  <si>
    <t>UAT Comuna Râca</t>
  </si>
  <si>
    <t>C3I1A0122000426/04.05.2023 Înființarea centru de colectare prin aport voluntar în comuna Ceamurlia de jos, județul Tulcea</t>
  </si>
  <si>
    <t>Ceamurlia de jos</t>
  </si>
  <si>
    <t>UAT Comuna Ceamurlia de jos</t>
  </si>
  <si>
    <t>C3I1A0122000449/04.05.2023 Centre integrate de colectare separată prin aport voluntar</t>
  </si>
  <si>
    <t xml:space="preserve">Asociația de dezvoltare intercomunitară Eco Zona Rupea </t>
  </si>
  <si>
    <t>C3I1A0122000461/04.05.2023 Centru de colectare a deșeurilor prin aport voluntar în comuna Coroieni, județul Maramureș</t>
  </si>
  <si>
    <t>Coroieni</t>
  </si>
  <si>
    <t>UAT Comuna Coroieni</t>
  </si>
  <si>
    <t>C3I1A0122000470/04.05.2023 Înființarea unui centru de colectare prin aport voluntar în comuna Bacles, județul Mehedinți</t>
  </si>
  <si>
    <t>Bacles</t>
  </si>
  <si>
    <t>Comuna Bacles</t>
  </si>
  <si>
    <t>C3I1A0122000485/04.05.2023 Înființarea și dotarea unui centru de colectare prin aport voluntar în Comuna Târlungeni, județul Brașov</t>
  </si>
  <si>
    <t>Comuna Târlungeni</t>
  </si>
  <si>
    <t>Asociația de dezvoltare intercomunitară „ISO MEDIU” în domeniul salubrizării localităților din județul Brașov</t>
  </si>
  <si>
    <t>C3I1A0122000522/04.05.2023 Înființarea unui centru de colectare a deșeurilor prin aport voluntar în comuna Sasca Montană, județul Caraș - Severin</t>
  </si>
  <si>
    <t>Sasca Montană</t>
  </si>
  <si>
    <t xml:space="preserve">Comuna Sasca Montană </t>
  </si>
  <si>
    <t>C3I1A0122000550/04.05.2023 Înființarea unui centru de colectare a deșeurilor prin aport voluntar în comuna Gura Văii, județul Bacău</t>
  </si>
  <si>
    <t xml:space="preserve"> Gura Văii</t>
  </si>
  <si>
    <t>Comuna Gura Văii</t>
  </si>
  <si>
    <t xml:space="preserve">C3I1A0122000567/04.05.2023 Înființarea de centre de colectare prin aport voluntar în comuna Răscăeți, județul Dâmbovița </t>
  </si>
  <si>
    <t>Răscăeți</t>
  </si>
  <si>
    <t>UAT Răscăeți</t>
  </si>
  <si>
    <t>C3I1A0122000569/04.05.2023 Înființarea unui centru de colectare a deșeurilor prin aport voluntar în comuna Salcia Tudor, județul Brăila</t>
  </si>
  <si>
    <t>Salcia Tudor</t>
  </si>
  <si>
    <t>Comuna Salcia Tudor</t>
  </si>
  <si>
    <t xml:space="preserve">C3I1A0122000459/08.05.2023 Înființare centru de colectare prin aport voluntar în comuna Dumbrăveni, județul Constanța </t>
  </si>
  <si>
    <t>Comuna Dumbrăveni</t>
  </si>
  <si>
    <t>C3I1A0122000553/08.05.2023 Înființarea unui centru de colectare prin aport voluntar în comuna Corbasca, județul Bacău</t>
  </si>
  <si>
    <t>Corbasca</t>
  </si>
  <si>
    <t>Comuna Corbasca</t>
  </si>
  <si>
    <t>C3I1A0122000576/08.05.2023 Înființarea unui centru de colectare prin aport voluntar în comuna Voșlăbeni, județul Harghita</t>
  </si>
  <si>
    <t>Voșlăbeni</t>
  </si>
  <si>
    <t>UAT Comuna Voșlăbeni</t>
  </si>
  <si>
    <t>C3I1A0122000471/08.05.2023 Centre de colectare selectivă a deșeurilor prin aport voluntar în comunele Berești - Meria, Brăhășești și Drăgușeni din județul Galați</t>
  </si>
  <si>
    <t>Berești - Meria, Brăhășești și Drăgușeni</t>
  </si>
  <si>
    <t>Consiliul Județean Galați</t>
  </si>
  <si>
    <t xml:space="preserve">C3I1A0122000509/08.05.2023 Centre integrate de colectare separată prin aport voluntar </t>
  </si>
  <si>
    <t xml:space="preserve">C3I1A0122000410/09.05.2023 Înființarea de centre de colectare prin aport voluntar din cadrul Programului Național de Redresare și Reziliență </t>
  </si>
  <si>
    <t>UAT Județul Harghita prin Consiliul Județean Harghita</t>
  </si>
  <si>
    <t>C3I1A0122000343/25.05.2023 Înființarea a trei centre de colectare prin aport voluntar (CAV)</t>
  </si>
  <si>
    <t>UAT Municipiul Timișoara</t>
  </si>
  <si>
    <t>C3I1A0122000460/25.05.2023Înființarea unui centru de colectare a deșeurilor prin aport voluntar în comuna Gohor, județul Galați</t>
  </si>
  <si>
    <t>Gohor</t>
  </si>
  <si>
    <t>Comuna Gohor</t>
  </si>
  <si>
    <t>C3I1A0122000491/24.05.2023 Înființare centru de colectare cu aport voluntar în sta Rasa, comuna Grădiștea, județul Călărași</t>
  </si>
  <si>
    <t>sta Rasa, comuna Grădiștea</t>
  </si>
  <si>
    <t>C3I1A0122000508/24.05.2023 Înființare centru de colectare prin aport voluntar în comuna Călărași, județul Botoșani</t>
  </si>
  <si>
    <t>Comuna Călărași</t>
  </si>
  <si>
    <t>C3I1A0122000489/09.06.2023 - ÎNFIINȚARE CENTRU DE COLECTARE DEȘEURI PRIN APORT VOLUNTAR ÎN ORAȘUL GURA HUMORULUI, JUDEȚUL SUCEAVA</t>
  </si>
  <si>
    <t>Gura Humorului</t>
  </si>
  <si>
    <t>UAT ORAȘUL GURA HUMORULUI</t>
  </si>
  <si>
    <t>C3I1A0122000547/09.06.2023 - ÎNFIINȚAREA UNUI CENTRU DE COLECTARE PRIN APORT VOLUNTAR ÎN COMUNA COȘNA, JUDEȚUL SUCEAVA</t>
  </si>
  <si>
    <t>Coșna</t>
  </si>
  <si>
    <t>UAT comuna Coșna</t>
  </si>
  <si>
    <t>C3I1A0122000274/06.07.2023 - Înființare centru de colectare prin aprot voluntar în comuna Bârsău</t>
  </si>
  <si>
    <t xml:space="preserve"> Bârsău</t>
  </si>
  <si>
    <t>UAT Bârsău</t>
  </si>
  <si>
    <t>30.09.2024</t>
  </si>
  <si>
    <t xml:space="preserve">C3I1A0122000308/06.07.2023 - Înființarea unui centru de colectare a deșeurilor prin aport voluntar în comuna Gherghești, județul Vaslui </t>
  </si>
  <si>
    <t>Gherghești</t>
  </si>
  <si>
    <t>UAT Gherghești</t>
  </si>
  <si>
    <t>C3I1A0122000346/07.07.2023 - Centru de colectare prin aport voluntar comuna Broscăuți, județul Botoșani</t>
  </si>
  <si>
    <t xml:space="preserve"> Broscăuți</t>
  </si>
  <si>
    <t>Comuna Broscăuți</t>
  </si>
  <si>
    <t>C3I1A0122000416/06.07.2023 - Înființare centru de colectare prin aport voluntar în comuna Nicorești, județul Galați</t>
  </si>
  <si>
    <t xml:space="preserve"> Nicorești</t>
  </si>
  <si>
    <t>Comuna Nicorești</t>
  </si>
  <si>
    <t>C3I1A0122000422/06.07.2023 - Înființarea și dotarea centrelor de colectare prin aport voluntar din localitățile Căzănești, Andrășești, Gheorghe Lazăr, Gura Ialomiței, din județul Ialomița</t>
  </si>
  <si>
    <t>Căzănești, Andrășești, Gheorghe Lazăr, Gura Ialomiței</t>
  </si>
  <si>
    <t>C3I1A0122000427/07.07.2023 - Construire centru de colectare deșeuri prin aport voluntar în comuna Santău, județul Satu Mare</t>
  </si>
  <si>
    <t xml:space="preserve"> Santău</t>
  </si>
  <si>
    <t>Comuna Santău</t>
  </si>
  <si>
    <t>C3I1A0122000430/06.07.2023 - Înființarea unui centru de colectare prin aport voluntar în orașul Batoș, județul Mureș</t>
  </si>
  <si>
    <t>Batoș</t>
  </si>
  <si>
    <t>UAT Batoș</t>
  </si>
  <si>
    <t>C3I1A0122000434/06.07.2023 - Construire centru de colectare deșeuri prin aport voluntar, cartier Găvana, Municipiul Pitești</t>
  </si>
  <si>
    <t>Municipiul Pitești</t>
  </si>
  <si>
    <t>C3I1A0122000443/06.07.2023 - Înființarea unui centru de colectare prin aport voluntar în comuna Pănet</t>
  </si>
  <si>
    <t xml:space="preserve"> Pănet</t>
  </si>
  <si>
    <t>Comuna Pănet</t>
  </si>
  <si>
    <t>C3I1A0122000466/06.07.2023 - Înființare centru de colectare prin aport voluntar în comuna Ghidigeni, județul Galați</t>
  </si>
  <si>
    <t>UAT Comuna Ghidigeni</t>
  </si>
  <si>
    <t>C3I1A0122000477/06.07.2023 - Înființarea unui centru de colectare a deșeurilor prin aport voluntar în comuna Berzasca, județul Caraș - Severin</t>
  </si>
  <si>
    <t xml:space="preserve">Comuna Berzasca </t>
  </si>
  <si>
    <t>C3I1A0122000483/06.07.2023 - Înființarea unui centru de colectare a deșeurilor prin aport voluntar în comuna Izvoarele, județul Tulcea</t>
  </si>
  <si>
    <t xml:space="preserve"> Izvoarele</t>
  </si>
  <si>
    <t>C3I1A0122000502/06.07.2023 - Înființare centru de colectare deșeuri prin aport voluntar în comuna Bosanci, județul Suceava</t>
  </si>
  <si>
    <t xml:space="preserve">Suceava </t>
  </si>
  <si>
    <t>Comuna Bosanci</t>
  </si>
  <si>
    <t xml:space="preserve">C3I1A0122000503/06.07.2023 - Construirea unui centru de colectare prin aport voluntar în comuna Cărpinet, județul Bihor </t>
  </si>
  <si>
    <t xml:space="preserve">Bihor </t>
  </si>
  <si>
    <t>Cărpinet</t>
  </si>
  <si>
    <t>Comuna Cărpinet</t>
  </si>
  <si>
    <t xml:space="preserve">C3I1A0122000507/06.07.2023 - Înființare centru de colectare prin aport voluntar în comuna Bordei Verde, județul Brăila </t>
  </si>
  <si>
    <t xml:space="preserve"> Bordei Verde</t>
  </si>
  <si>
    <t>UAT Comuna Bordei Verde</t>
  </si>
  <si>
    <t>C3I1A0122000515/06.07.2023 - Înființarea unui centru de colectare a deșeurilor prin aport voluntar în comuna Peceneaga, județul Tulcea</t>
  </si>
  <si>
    <t>Peceneaga</t>
  </si>
  <si>
    <t>Comuna Peceneaga</t>
  </si>
  <si>
    <t>C3I1A0122000541/06.07.2023 - Înființarea unui centru de colectare prin aport voluntar în comuna Cătina, județul Buzău</t>
  </si>
  <si>
    <t xml:space="preserve">Buzău </t>
  </si>
  <si>
    <t xml:space="preserve"> Cătina</t>
  </si>
  <si>
    <t>Comuna Cătina</t>
  </si>
  <si>
    <t xml:space="preserve">C3I1A0122000544/06.07.2023 - Înființare centre de colectare prin aport voluntar în Municipiul Constanța </t>
  </si>
  <si>
    <t xml:space="preserve"> Municipiul Constanța </t>
  </si>
  <si>
    <t xml:space="preserve">UAT Municipiul Constanța </t>
  </si>
  <si>
    <t xml:space="preserve">C3I1A0122000551/06.07.2023 - Proiect tip construire centru de colectare deșeuri prin aport voluntar - comuna Podeni, județul Mehedinți </t>
  </si>
  <si>
    <t xml:space="preserve"> Podeni</t>
  </si>
  <si>
    <t>UAT Podeni</t>
  </si>
  <si>
    <t>C3I1A0122000552/06.07.2023 - Proiect - tip - construire centru de colectare deșeuri prin aport voluntar - comuna Balta, județul Mehedinți</t>
  </si>
  <si>
    <t xml:space="preserve"> Balta</t>
  </si>
  <si>
    <t>UAT Balta</t>
  </si>
  <si>
    <t>C3I1A0122000557/06.07.2026 - Înființarea centrului de colectare a deșeurilor prin aport voluntar Făcăeni - județul Ialomița</t>
  </si>
  <si>
    <t>Făcăeni</t>
  </si>
  <si>
    <t>Comuna Făcăeni</t>
  </si>
  <si>
    <t>C3I1A0122000559/06.07.2023 - Proiect tip construire centru de colectare deșeuri prin aport voluntar - Comuna Breznița - Motru, județul Mehedinți</t>
  </si>
  <si>
    <t>Breznița - Motru</t>
  </si>
  <si>
    <t>UAT Breznița - Motru</t>
  </si>
  <si>
    <t>C3I1A0122000561/06.07.2023 - Proiect tip - Construire centru de colectare deșeuri prin aport voluntar - comuna Gruia, județul Mehedinți</t>
  </si>
  <si>
    <t xml:space="preserve"> Gruia</t>
  </si>
  <si>
    <t>UAT Gruia</t>
  </si>
  <si>
    <t>C3I1A0122000583/06.07.2023 - Înființarea unui centru de colectare a deșeurilor prin aport voluntar în oraș Măcin, județul Tulcea</t>
  </si>
  <si>
    <t xml:space="preserve"> Măcin</t>
  </si>
  <si>
    <t>Oraș Măcin</t>
  </si>
  <si>
    <t>C3I1A0122000590/02.08.2023 - Înfiintarea unui centru de colectare prin aport voluntar în comuna Șandra</t>
  </si>
  <si>
    <t>Șandra</t>
  </si>
  <si>
    <t>30.09.202</t>
  </si>
  <si>
    <t>C3I1A0122000249/ 09.06.2023/ ÎNFIINȚARE CENTRU DE COLECTARE PRIN APORT VOLUNTAR ÎN COMUNA DICHISENI, JUDEȚUL CĂLĂRAȘI</t>
  </si>
  <si>
    <t>Dichiseni</t>
  </si>
  <si>
    <t>C3I1A0122000330/09.06.2023/ÎNFIINȚAREA UNUI CENTRU DE COLECTARE PRIN APORT VOLUNTAR ÎN COMUNA SĂLARD, JUDEȚUL BIHOR</t>
  </si>
  <si>
    <t>Sălard</t>
  </si>
  <si>
    <t>C3I1A0122000380/09.06.2023/ÎNFIINȚAREA UNUI CENTRU DE COLECTARE A DEȘEURILOR PRIN APORT VOLUNTAR ÎN COMUNA PERIENI,JUDEȚUL VASLUI</t>
  </si>
  <si>
    <t>Perieni</t>
  </si>
  <si>
    <t>UAT COMUNA PERIENI/ VASLUI</t>
  </si>
  <si>
    <t>C3I1A0122000415/ 09.06.2023/CONSTRUIRE CENTRU DE COLECTARE PRIN APORT VOLUNTAR ÎN COMUNA SCHITU, JUDEȚUL OLT</t>
  </si>
  <si>
    <t>Schitu</t>
  </si>
  <si>
    <t>C3I1A0122000450/09.06.2023/CONSTRUIRE CENTRU DE COLECTARE DEȘEURI PRIN APORT VOLUNTAR ÎN COMUNA BĂBANA, JUDEȚUL ARGEȘ</t>
  </si>
  <si>
    <t>Băbana</t>
  </si>
  <si>
    <t>UAT COMUNA BABANA/ ARGES</t>
  </si>
  <si>
    <t>C3I1A0122000455/09.06.2023/ÎNFIINȚAREA UNUI CENTRU DE COLECTARE A DEȘEURILOR PRIN APORT VOLUNTAR ÎN COMUNA SLAVA CERCHEZĂ, JUDEȚUL TULCEA</t>
  </si>
  <si>
    <t>Slava Cercheză</t>
  </si>
  <si>
    <t>C3I1A0122000464/09.06.2023/ÎNFIINȚAREA UNUI CENTRU DE COLECTARE PRIN APORT VOLUNTAR ÎN COMUNA BOZOVICI, JUDEȚUL CARAȘ-SEVERIN</t>
  </si>
  <si>
    <t>Bozovici</t>
  </si>
  <si>
    <t>C3I1A0122000476/09.06.2023/CENTRU DE COLECTARE SELECTIVĂ A DEȘEURILOR PRIN APORT VOLUNTAR ÎN COMUNA BUCOV, JUDEȚUL PRAHOVA</t>
  </si>
  <si>
    <t>Bucov</t>
  </si>
  <si>
    <t>C3I1A0122000484/09.06.2023/ÎNFIINȚAREA ȘI DOTAREA UNUI CENTRU DE COLECTARE PRIN APORT VOLUNTAR ÎN ORAȘUL BĂICOI</t>
  </si>
  <si>
    <t>Băicoi</t>
  </si>
  <si>
    <t>C3I1A0122000495/09.06.2023/ÎNFIINȚARE CENTRU DE COLECTARE PRIN APORT VOLUNTAR ÎN COMUNA RACOVIȚA, JUDEȚUL BRĂILA</t>
  </si>
  <si>
    <t>C3I1A0122000513/09.06.2023/ÎNFIINȚAREA UNUI CENTRU DE COLECTARE A DEȘEURILOR PRIN APORT VOLUNTAR ÎN COMUNA RĂCĂCIUNI, JUDEȚUL BACĂU</t>
  </si>
  <si>
    <t>Răcăciuni</t>
  </si>
  <si>
    <t>C3I1A0122000514/09.06.2023/ÎNFIINȚARE CENTRU DE COLECTARE PRIN APORT VOLUNTAR ÎN COMUNA BORLEȘTI, JUDEȚUL NEAMȚ</t>
  </si>
  <si>
    <t>Borlești</t>
  </si>
  <si>
    <t>C3I1A0122000527/09.06.2023/CENTRU DE COLECTARE SELECTIVĂ A DEȘEURILOR PRIN APORT VOLUNTAR ÎN COMUNA MĂNECIU, JUDEȚUL PRAHOVA</t>
  </si>
  <si>
    <t>Măneciu</t>
  </si>
  <si>
    <t>C3I1A0122000533/09.06.2023/ÎNFIINȚARE CENTRU DE COLECTARE DEȘEURI PRIN APORT VOLUNTAR ÎN COMUNA BROȘTENI, JUDEȚUL MEHEDINȚI</t>
  </si>
  <si>
    <t>Broșteni</t>
  </si>
  <si>
    <t>C3I1A0122000465/09.06.2023/ÎNFIINȚARE CENTRU DE COLECTARE PRIN APORT VOLUNTAR ÎN COMUNA VERNEȘTI, JUDEȚUL BUZĂU</t>
  </si>
  <si>
    <t>Vernești</t>
  </si>
  <si>
    <t>C3I1A0122000088/13.02.2023/ÎNFIINȚARE CENTRU DE COLECTARE PRIN APORT VOLUNTAR COMUNA ȘOTÂNGA, JUDEȚUL DÂMBOVIȚA</t>
  </si>
  <si>
    <t>Șotânga</t>
  </si>
  <si>
    <t>UAT Comuna Sotânga</t>
  </si>
  <si>
    <t>C3I1A0122000203/14.02.2023/ÎNFIINȚAREA UNUI CENTRU DE COLECTARE PRIN APORT VOLUNTAR PENTRU COMUNA VÂNĂTORI</t>
  </si>
  <si>
    <t>Vânători</t>
  </si>
  <si>
    <t>UAT COMUNA VÂNATORI</t>
  </si>
  <si>
    <t>C3I1A0122000163/15.02.2023/CONSTRUIRE CENTRU DE COLECTARE DEȘEURI PRIN APORT VOLUNTAR ÎN COMUNA SÂNSIMION, JUDEȚUL HARGHITA</t>
  </si>
  <si>
    <t>Sânsimion</t>
  </si>
  <si>
    <t>UAT COMUNA SÂNSIMION</t>
  </si>
  <si>
    <t>C3I1A0122000205/15.02.2023/ÎNFIINȚAREA UNUI CENTRU DE COLECTARE PRIN APORT VOLUNTAR ÎN COMUNA ROȘIA, JUDEȚUL SIBIU</t>
  </si>
  <si>
    <t>Roșia</t>
  </si>
  <si>
    <t>C3I1A0122000200/16/02/2023/ÎNFIINȚARE CENTRU DE COLECTARE PRIN APORT VOLUNTAR ÎN COMUNA ALBEȘTI, JUDEȚUL CONSTANȚA</t>
  </si>
  <si>
    <t>UAT COMUNA ALBESTI</t>
  </si>
  <si>
    <t>C3I1A0122000202/16/02/2023/ÎNFIINȚAREA UNUI CENTRU DE COLECTARE PRIN APORT VOLUNTAR ÎN MUNICIPIUL SIBIU</t>
  </si>
  <si>
    <t>UAT MUNICIPIUL SIBIU</t>
  </si>
  <si>
    <t>C3I1A0122000352/19.04.20213/ÎNFIINȚARE CENTRU DE COLECTARE PRIN APORT VOLUNTAR ÎN COMUNA MĂTĂSARI, JUDEȚUL GORJ</t>
  </si>
  <si>
    <t>Mătăsari</t>
  </si>
  <si>
    <t>C3I1A0122000354/19.04/2023/ÎNFIINȚAREA UNUI CENTRU DE COLECTARE PRIN APORT VOLUNTAR ÎN COMUNA SĂCUIEU, JUDEȚUL CLUJ</t>
  </si>
  <si>
    <t>Săcuieu</t>
  </si>
  <si>
    <t>C3I1A0122000361/19.04/2023/ÎNFIINȚAREA UNUI CENTRU DE COLECTARE A DEȘEURILOR PRIN APORT VOLUNTAR ÎN COMUNA GRINDU, JUDEȚUL TULCEA</t>
  </si>
  <si>
    <t>Grindu</t>
  </si>
  <si>
    <t>UAT COMUNA GRINDU / TULCEA</t>
  </si>
  <si>
    <t>C3I1A0122000280/26.04.2023/ÎNFIINȚAREA UNUI CENTRU DE COLECTARE PRIN APORT VOLUNTAR ÎN COMUNA URZICENI</t>
  </si>
  <si>
    <t>Urziceni</t>
  </si>
  <si>
    <t>C3I1A0122000290/26.04.2023/ÎNFIINȚAREA DE CENTRE DE COLECTARE PRIN APORT VOLUNTAR ÎN COMUNA VIȘINA, JUDEȚ DÂMBOVIȚA</t>
  </si>
  <si>
    <t xml:space="preserve">Vișina </t>
  </si>
  <si>
    <t>C3I1A0122000419/26.04.2023/ÎNFIINȚAREA UNUI CENTRU DE COLECTARE PRIN APORT VOLUNTAR ÎN COMUNA VÂNĂTORII MICI</t>
  </si>
  <si>
    <t>Vânătorii Mici</t>
  </si>
  <si>
    <t>C3I1A0122000436/26.04.2023/ÎNFIINȚAREA ȘI DOTAREA UNUI CENTRU DE COLECTARE PRIN APORT VOLUNTAR ÎN ORAȘUL ZĂRNEȘTI</t>
  </si>
  <si>
    <t>Zărnești</t>
  </si>
  <si>
    <t>C3I1A0122000558/26.04.2023/CONSTRUIRE CENTRU DE COLECTARE DEȘEURI PRIN APORT VOLUNTAR ÎN COMUNA MOȘNIȚA NOUĂ, JUDEȚUL TIMIȘ</t>
  </si>
  <si>
    <t>Moșnița Nouă</t>
  </si>
  <si>
    <t>C3I1A0122000369/26.04.2023/CONSTRUIRE CENTRU DE COLECTARE PRIN APORT VOLUNTAR ÎN ORAȘUL COSTEȘTI, JUDEȚUL ARGEȘ</t>
  </si>
  <si>
    <t xml:space="preserve">Costești </t>
  </si>
  <si>
    <t>C3I1A0122000475/27.03.2023/ÎNFIINȚAREA UNUI CENTRU DE COLECTARE A DEȘEURILOR PRIN APORT VOLUNTAR ÎN COMUNA SMEENI, JUDEȚUL BUZĂU</t>
  </si>
  <si>
    <t>Smeeni</t>
  </si>
  <si>
    <t>UAT COMUNA SMEENI / BUZAU</t>
  </si>
  <si>
    <t>C3I1A0122000516/27.04.2023/CONSTRUIRE CENTRU DE COLECTARE PRIN APORT VOLUNTAR ÎN COMUNA VĂLENI, JUDEȚUL OLT</t>
  </si>
  <si>
    <t>Văleni</t>
  </si>
  <si>
    <t>Nealocat 31 noiembrie 2023</t>
  </si>
  <si>
    <t>I1.b</t>
  </si>
  <si>
    <t xml:space="preserve"> Construirea de insule ecologice digitalizate</t>
  </si>
  <si>
    <t>50, 51</t>
  </si>
  <si>
    <t>0-7000. 7000 - 13752</t>
  </si>
  <si>
    <t xml:space="preserve">În prezent - 31 cotombrie 2023 - au fost semnata 167 de contracte de finanțare, pentru 8140 de insule, in valoare de 1.245.631 euro. Nu sunt disponibile informații privind contracte de achiziții aferente acestor contracte de finanțare. 10164 lei nu reprezinta valoarea unui contract de achizitie, ci este valoarea unei plati efectuate si introdusa in tabel ca buget executat. </t>
  </si>
  <si>
    <t>Construire insule ecologice</t>
  </si>
  <si>
    <t xml:space="preserve">datele de finalizare a contractelor trebuie sa fie T4 2024, nu T2 2026 cum este in prezent. </t>
  </si>
  <si>
    <t xml:space="preserve">C3I1B0122000054/27.02.2023 </t>
  </si>
  <si>
    <t>UAT MUNICIPIUL LUPENI</t>
  </si>
  <si>
    <t>C3I1B0122000132/27.02.2023 - ”Construirea a 31 de ecoinsule digitalizate în Municipiul Roșiori de Vede”</t>
  </si>
  <si>
    <t>UAT MUNICIPIUL ROSIORI DE VEDE</t>
  </si>
  <si>
    <t>C3I1B0122000074/27.02.2023 - ” Achiziția de insule digitalizate”</t>
  </si>
  <si>
    <t>MUNICIPIUL CONSTANȚA</t>
  </si>
  <si>
    <t>C3I1B0122000115/27.02.2023 - ”Construirea a 10 insule ecologice digitalizate în Orașul Călan, Jud. Hunedoara”</t>
  </si>
  <si>
    <t>C3I1B0122000152/27.02.2023 - ”Extindere și modernizare a sistemului de gestionare a deșeurilor în Orașul Oravița Județul Caraș-Severin”</t>
  </si>
  <si>
    <t>Oravița</t>
  </si>
  <si>
    <t>ORAȘUL ORAVIȚA</t>
  </si>
  <si>
    <t>C3I1B0122000125/27.02.2023 - ”Construirea de insule ecologice digitalizate în Orașul Copșa Mică, Jud. Sibiu”</t>
  </si>
  <si>
    <t>COPȘA MICĂ</t>
  </si>
  <si>
    <t>C3I1B0122000044/27.02.2023 - ”Construire de insule ecologice digitalizate în Orașul Petrila, Jud. Hunedoara”</t>
  </si>
  <si>
    <t>ORASUL PETRILA</t>
  </si>
  <si>
    <t>C3I1B0122000006/27.02.2023 - ”Realizarea de insule ecologice digitalizate în Orașul Uricani”</t>
  </si>
  <si>
    <t>UAT ORASUL URICANI</t>
  </si>
  <si>
    <t>C3I1B0122000058/27.02.2023 - ”Construirea de insule ecologice digitalizate în Orașul Zlatna, Jud. Alba”</t>
  </si>
  <si>
    <t>C3I1B0122000050/27.03.2023 - ”Construire de insule ecologice digitalizate în Orașul Baia de Arieș”</t>
  </si>
  <si>
    <t>UAT ORAȘUL BAIA DE ARIEȘ</t>
  </si>
  <si>
    <t>C3I1B0122000031/27.02.2023 - ”Construirea de insule ecologice digitalizate pentru colectarea selectivă a deșeurilor pe raza Orașului Găești, Jud. Dâmbovița”</t>
  </si>
  <si>
    <t>Găești</t>
  </si>
  <si>
    <t>ORAS GAESTI</t>
  </si>
  <si>
    <t>C3I1B0122000116/27.02.2023 - ”DOTARE/AMPLASARE DE INSULE ECOLOGICE DIGITALIZATE IN ORASUL NASAUD, JUDETUL BISTRITA-NASAUD”</t>
  </si>
  <si>
    <t>Năsăud</t>
  </si>
  <si>
    <t>ORAS NASAUD</t>
  </si>
  <si>
    <t>C3I1B0122000030/27.02.2023 - CONSTRUIREA DE INSULE ECOLOGICE DIGITALIZATE SUBTERANE – RUNDA I</t>
  </si>
  <si>
    <t>MUNICIPIUL CLUJ-NAPOCA</t>
  </si>
  <si>
    <t>C3I1B0122000161/27.02.2023 - CONSTRUIREA DE INSULE ECOLOGICE DIGITALIZATE ÎN MUNICIPIUL DOROHOI JUDEŢUL BOTOŞANI</t>
  </si>
  <si>
    <t>UAT MUNICIPIUL DOROHOI</t>
  </si>
  <si>
    <t>C3I1B0122000025/27.02.2023 - AMPLASAREA DE ECOINSULE SUPRATERANE INTELIGENTE DESTINATE COLECTĂRII SEPARATE A DEȘEURILOR CU IMPLEMENTAREA INSTRUMENTULUI ECONOMIC PLĂTEȘTE PENTRU CÂT ARUNCI AFERENT OBIECTIVULUI DE INVESTIȚII DEZVOLTAREA MODERNIZAREA ȘI COMPLETAREA SISTEMULUI PENTRU MANAGEMENTUL INTEGRAT AL DEȘEURILOR PENTRU TRANZIȚIA LA ECONOMIA CIRCULARĂ ÎN MUNICIPIUL CARACAL</t>
  </si>
  <si>
    <t>UAT MUNICIPIUL CARACAL</t>
  </si>
  <si>
    <t>C3I1B0122000052/27.02.2023 - CONSTRUIRE INSULE ECOLOGICE DIGITALIZATE ÎN MUNICIPIUL CÂMPULUNG MOLDOVENESC</t>
  </si>
  <si>
    <t>MOLDOVENESC</t>
  </si>
  <si>
    <t>UAT MUNICIPIUL CÂMPULUNG MOLDOVENESC</t>
  </si>
  <si>
    <t>C3I1B0122000026/27.02.2023 - INSULE ECOLOGICE DIGITALIZATE PENTRU GESTIONAREA DEȘEURILOR ÎN MUNICIPIUL CARANSEBEȘ</t>
  </si>
  <si>
    <t>Caraș Severin</t>
  </si>
  <si>
    <t>Caransebeș</t>
  </si>
  <si>
    <t>MUNICIPIUL CARANSEBEȘ</t>
  </si>
  <si>
    <t>C3I1B0122000128/27.02.2023 - CONSTRUIREA DE INSULE ECOLOGICE DIGITALIZATE PENTRU COLECTAREA SELECTIVĂ A DEȘEURILOR LA NIVELUL MUNICIPIULUI BRAD</t>
  </si>
  <si>
    <t>Brad</t>
  </si>
  <si>
    <t>MUNICIPIUL BRAD</t>
  </si>
  <si>
    <t>C3I1B0122000119/27.02.2023 - CONSTRUIREA DE INSULE ECOLOGICE DIGITALIZATE IN MUNICIPIUL MOINESTI</t>
  </si>
  <si>
    <t>MUNICIPIUL MOINESTI</t>
  </si>
  <si>
    <t>C3I1B0122000120/27.02.2023 - CONSTRUIREA DE INSULE ECOLOGICE DIGITALIZATE  IN MUNICIPIUL RADAUTI JUDETUL SUCEAVA</t>
  </si>
  <si>
    <t>Rădăuți</t>
  </si>
  <si>
    <t>UAT MUNICIPIUL RADAUTI</t>
  </si>
  <si>
    <t>C3I1B0122000015/27.02.2023 - CONSTRUIREA DE INSULE ECOLOGICE DIGITALIZATE PENTRU COLECTAREA SELECTIVA A DEȘEURILOR PE RAZA MUNICIPIULUI TÂRGOVIȘTE JUDEȚUL DÂMBOVIȚA</t>
  </si>
  <si>
    <t>C3I1B0122000033/27.02.2023 - AMENAJARE PLATFORME SUPRATERANE DE COLECTARE SELECTIVĂ A DEȘEURILOR MENAJERE ÎN MUNICIPIUL ROMAN</t>
  </si>
  <si>
    <t>UAT MUNICIPIUL ROMAN</t>
  </si>
  <si>
    <t>C3I1B0122000131/27.02.2023 - IMPLEMENTARE SISTEME DE COLECTARE SELECTIVA A DESEURILOR IN MUNICIPIUL DROBETA TURNU SEVERIN</t>
  </si>
  <si>
    <t>Drobta Turnu Severin</t>
  </si>
  <si>
    <t>UAT MUNICIPIUL DROBETA TURNU SEVERIN</t>
  </si>
  <si>
    <t>nu</t>
  </si>
  <si>
    <t>27.05.02023</t>
  </si>
  <si>
    <t>C3I1B0122000062/27.02.2023 - INSULE ECOLOGICE DIGITALIZATE ÎN MUNICIPIUL BUZĂU</t>
  </si>
  <si>
    <t>UAT MUNICIPIUL BUZĂU</t>
  </si>
  <si>
    <t>C3I1B0122000005/27.02.2023 - INSULE ECOLOGICE DIGITALIZATE</t>
  </si>
  <si>
    <t>C3I1B0122000154/27.02.2023 - INFIINTAREA DE INSULE ECOLOGICE PE RAZA MUNICIPIULUI DRĂGĂȘANI</t>
  </si>
  <si>
    <t>Drăgășani</t>
  </si>
  <si>
    <t>UAT MUNICIPIUL DRAGASANI</t>
  </si>
  <si>
    <t>C3I1B0122000065/27.02.2023 - CONSTRUIREA DE INSULE ECOLOGICE DIGITALIZATE ÎN MUNICIPIUL SUCEAVA</t>
  </si>
  <si>
    <t>UAT MUNICIPIUL SUCEAVA</t>
  </si>
  <si>
    <t>C3I1B0122000127/27.02.2023 - CONSTRUIREA DE INSULE ECOLOGICE DIGITALIZATE IN ORASUL ABRUD JUDETUL ALBA</t>
  </si>
  <si>
    <t>Abrud</t>
  </si>
  <si>
    <t>UAT ORAS ABRUD - JUDEȚUL ALBA</t>
  </si>
  <si>
    <t>C3I1B0122000056/27.02.2023 - CONSTRUIRE DE INSULE ECOLOGICE DIGITALIZATE IN ORASUL ODOBESTI</t>
  </si>
  <si>
    <t>UAT ORAS ODOBESTI</t>
  </si>
  <si>
    <t>C3I1B0122000111/27.02.2023 - CONSTRUIRE INSULE ECOLOGICE DIGITALIZATE SUBTERANE IN ORASUL ODOBESTI JUDETUL VRANCEA</t>
  </si>
  <si>
    <t>C3I1B0122000121/27.02.2023 - MODERNIZAREA SISTEMULUI DE COLECTARE SEPARATĂ A DEȘEURILOR ÎN ORAȘUL ZIMNICEA PRIN ACHIZIȚIA ȘI AMPLASAREA DE INSULE ECOLOGICE DIGITALIZATE</t>
  </si>
  <si>
    <t>Zimnicea</t>
  </si>
  <si>
    <t>UAT ORAȘUL ZIMNICEA</t>
  </si>
  <si>
    <t>C3I1B0122000110/27.02.2023 - CONSTRUIREA DE INSULE ECOLOGICE DIGITALIZATE PENTRU COLECTAREA SELECTIVĂ A DESEURILOR LA NIVELUL ORASULUI PANCIU</t>
  </si>
  <si>
    <t>UAT ORAS PANCIU</t>
  </si>
  <si>
    <t>C3I1B0122000013/27.02.2023 - CREŞTEREA GRADULUI DE CONFORT URBAN REALIZARE INSULE ECOLOGICE DIGITALIZATE ÎN ORAŞUL BREAZA</t>
  </si>
  <si>
    <t>UAT ORAȘUL BREAZA</t>
  </si>
  <si>
    <t>C3I1B0122000024/27.02.2023 - CONSTRUIREA DE INSULE ECOLOGICE DIGITALIZATE ÎN ORAȘUL SIRET JUDEȚUL SUCEAVA</t>
  </si>
  <si>
    <t>Siret</t>
  </si>
  <si>
    <t>UAT ORASUL SIRET</t>
  </si>
  <si>
    <t>C3I1B0122000160/27.02.2023 - PLATESTE PENTRU CAT ARUNCI-DOTAREA CU INSULE ECOLOGICE IN MUNICIPIUL CALARASI</t>
  </si>
  <si>
    <t>MUNICIPIUL CALARAȘI</t>
  </si>
  <si>
    <t>C3I1B0122000134/27.02.2023 - CONSTRUIREA DE INSULE ECOLOGICE DIGITALIZATE SUPRATERANE ORAȘ ȘTEFĂNEȘTI JUDEȚUL ARGEȘ</t>
  </si>
  <si>
    <t>ORAȘ ȘTEFĂNEȘTI, JUDEȚUL ARGEȘ</t>
  </si>
  <si>
    <t>C3I1B0122000109/27.02.2023 - CONSTRUIREA DE INSULE ECOLOGICE DIGITALIZATE ÎN ORAȘUL LIVADA JUDEȚUL SATU MARE</t>
  </si>
  <si>
    <t>ORAȘ LIVADA</t>
  </si>
  <si>
    <t>C3I1B0122000008/27.02.2023-CONSTRUIRE INSULE ECOLOGICE SUPRATERANE IN ORASUL OCNA MURES</t>
  </si>
  <si>
    <t>ORAS OCNA MURES</t>
  </si>
  <si>
    <t>C3I1B0122000156/27.02.2023 - ÎNFIINțAREA DE INSULE ECOLOGICE ÎN ORASUL TURCENI</t>
  </si>
  <si>
    <t>Turceni</t>
  </si>
  <si>
    <t>UAT ORAS TURCENI</t>
  </si>
  <si>
    <t>C3I1B0122000048/27.02.2023 - CONSTRUIREA DE INSULE ECOLOGICE DIGITALIZATE ÎN ORAȘUL ȘOMCUTA MARE</t>
  </si>
  <si>
    <t>Șomcuța Mare</t>
  </si>
  <si>
    <t>C3I1B0122000108/27.02.2023 - ACHIZIȚIA DE ECO-INSULE DIGITALIZATE PENTRU DEZVOLTAREA UNUI MANAGEMENT EFICIENT AL DEȘEURILOR LA NIVELUL ORAȘULUI RÂȘNOV</t>
  </si>
  <si>
    <t>ORAȘUL RÂȘNOV</t>
  </si>
  <si>
    <t>C3I1B0122000020/27.02.2023 - CONSTRUIREA DE INSULE ECOLOGICE DIGITALIZATE PENTRU COLECTAREA SELECTIVĂ A DEȘEURILOR LA NIVELUL MUNICIPIULUI HUNEDOARA</t>
  </si>
  <si>
    <t>UAT MUNICIPIUL HUNEDOARA</t>
  </si>
  <si>
    <t>C3I1B0122000009/27.02.2023 - INSULE ECOLOGICE DIGITALIZATE ÎN MUNICIPIUL ZALĂU</t>
  </si>
  <si>
    <t>UAT MUNICIPIUL ZALĂU</t>
  </si>
  <si>
    <t>C3I1B0122000022/27.02.2023 - C3-MANAGEMENTUL DESEURILOR; INVESTIȚIA I1. DEZVOLTAREA MODERNIZAREA ȘI COMPLETAREA SISTEMELOR DE MANAGEMENT INTEGRAT AL DEȘEURILOR MUNICIPALE LA NIVEL DE JUDEȚ SAU LA NIVEL DE ORAȘE/COMUNE SUB-INVESTIȚIA I.1.B CONSTRUIREA DE INSULE ECOLOGICE DIGITALIZATE IN ORASUL TARGU LAPUS JUD. MARAMURES</t>
  </si>
  <si>
    <t>UAT TARGU LAPUS</t>
  </si>
  <si>
    <t>C3I1B0122000155/27.02.2023 - INSULE ECOLOGICE DIGITALIZATE PENTRU COLECTAREA SEPARATĂ A DEȘEURILOR PE RAZA ORAȘULUI BABADAG JUDEȚUL TULCEA</t>
  </si>
  <si>
    <t>Babadag</t>
  </si>
  <si>
    <t>UAT ORAS BABADAG</t>
  </si>
  <si>
    <t>C3I1B0122000166/27.02.2023 - ÎNFIINȚAREA DE INSULE ECOLOGICE DIGITALIZATE ÎN ORAȘUL NOVACI</t>
  </si>
  <si>
    <t>Novaci</t>
  </si>
  <si>
    <t>UAT ORAS NOVACI</t>
  </si>
  <si>
    <t>C3I1B0122000014/28.02.2023 - EXTINDEREA ȘI ÎMBUNĂTĂȚIREA MANAGEMENTULUI INFRASTRUCTURII DE COLECTARE PROCESARE ȘI DEPOZITARE DEȘEURI ÎN MUNICIPIUL PIATRA NEAMT</t>
  </si>
  <si>
    <t>Piatra Neamț</t>
  </si>
  <si>
    <t>MUNICIPIUL PIATRA NEAMT</t>
  </si>
  <si>
    <t>C3I1B0122000135/28.02.2023 - ONSTRUIREA DE INSULE ECOLOGICE DIGITALIZATE ÎN ORAȘUL DĂRMANEȘTI JUDEȚUL BACĂU</t>
  </si>
  <si>
    <t>UAT ORAȘUL DĂRMĂNEȘTI</t>
  </si>
  <si>
    <t>C3I1B0122000038/28.02.2023 - COLECTAREA  SEPARATĂ A DESEURILOR PRIN ÎNFIINȚAREA ȘI DOTAREA DE INSULE ECOLOGICE DIGITALIZATE  IN ORASUL HOREZU JUDETUL VALCEA</t>
  </si>
  <si>
    <t>UAT ORAS HOREZU</t>
  </si>
  <si>
    <t>C3I1B0122000049/28.02.2023 - INSULE ECOLOGICE DIGITALIZATE PENTRU COLECTARE DEȘEURI ÎN MUNICIPIUL TÂRGU JIU</t>
  </si>
  <si>
    <t>UAT MUNICIPIUL TÂRGU JIU</t>
  </si>
  <si>
    <t>C3I1B0122000035/28.02.2023 - EXTINDEREA ȘI MODERNIZAREA SISTEMULUI DE COLECTARE SEPARATĂ A DEȘEURILOR ÎN MUNICIPIUL PAȘCANI PRIN ACHIZIȚIA ȘI AMPLASAREA DE INSULE ECOLOGICE DIGITALIZATE</t>
  </si>
  <si>
    <t>C3I1B0122000075/01.03.2023 - CONSTRUIREA DE INSULE ECOLOGICE DIGITALIZATE SUPRATERANE ÎN MUNICIPIUL DEVA</t>
  </si>
  <si>
    <t>Deva</t>
  </si>
  <si>
    <t>C3I1B0122000004/01.03.2023 - CONSTRUIRE INSULE ECOLOGICE DIGITALIZATE ÎN MUNICIPIUL ORĂȘTIE</t>
  </si>
  <si>
    <t>UAT MUNICIPIUL ORĂȘTIE</t>
  </si>
  <si>
    <t>C3I1B0122000039/01.03.2023 - CONSTRUIRE INSULE ECOLOGICE DIGITALIZATE IN MUNICIPIUL CAMPINA</t>
  </si>
  <si>
    <t>UAT MUNICIPIUL CAMPINA</t>
  </si>
  <si>
    <t>C3I1B0122000066/01.03.2023 - INSULE ECOLOGICE DIGITALIZATE IN MUNICIPIUL OLTENITA</t>
  </si>
  <si>
    <t>UAT MUNICIPIUL OLTENITA</t>
  </si>
  <si>
    <t>C3I1B0122000145/01.03.2023 - CONSTRUIREA DE INSULE ECOLOGICE DIGITALIZATE ÎN MUNICIPIUL MEDIAȘ JUDEȚUL SIBIU</t>
  </si>
  <si>
    <t>MUNICIPIUL MEDIAȘ</t>
  </si>
  <si>
    <t>C3I1B0122000084/01.03.2023 - CONSTRUIREA DE INSULE ECOLOGICE DIGITALIZATE ÎN MUNICIPIUL SEBEȘ</t>
  </si>
  <si>
    <t>MUNICIPIUL SEBEȘ</t>
  </si>
  <si>
    <t>C3I1B0122000057/01.03.2023 - ÎNFIINȚAREA ȘI DOTAREA DE INSULE ECOLOGICE DIGITALIZATE ÎN ORAȘUL SÂNGEORGIU DE PĂDURE JUDEȚUL MUREȘ</t>
  </si>
  <si>
    <t>Sângeorgiu de Pădure</t>
  </si>
  <si>
    <t>C3I1B0122000124/01.03.2023 - INSULE ECOLOGICE DIGITALIZATE ÎN ORAȘUL CISNĂDIE</t>
  </si>
  <si>
    <t>Cisnădie</t>
  </si>
  <si>
    <t>C3I1B0122000162/01.03.2023 - REALIZARE DE INSULE ECOLOGICE DIGITALIZATE ÎN ORAȘUL VLĂHIȚA</t>
  </si>
  <si>
    <t>Vlahița</t>
  </si>
  <si>
    <t>UAT Vlahița</t>
  </si>
  <si>
    <t>C3I1B0122000133/01.03.2023 - CONSTRUIREA DE INSULE ECOLOGICE DIGITALIZATE ÎN ORAȘUL NEGRU VODĂ JUDEȚUL CONSTANȚA</t>
  </si>
  <si>
    <t>UAT ORAȘ NEGRU VODĂ</t>
  </si>
  <si>
    <t>C3I1B0122000017/06.03.2023 - MODERNIZAREA SISTEMELOR DE GESTIONARE A DEȘEURILOR ÎN MUNICIPIUL CRAIOVA PRIN CONSTRUIREA DE INSULE ECOLOGICE DIGITALIZATE</t>
  </si>
  <si>
    <t>Craiova</t>
  </si>
  <si>
    <t>MUNICIPIUL CRAIOVA</t>
  </si>
  <si>
    <t>C3I1B0122000001/06.03.2023 - CONSTRUIREA DE INSULE ECOLOGICE DIGITALIZATE PENTRU COLECTAREA SELECTIVĂ A DEȘEURILOR ÎN MUNICIPIUL BACĂU</t>
  </si>
  <si>
    <t>UAT MUNICIPIUL BACAU</t>
  </si>
  <si>
    <t>C3I1B0122000073/06.03.2023 - CONSTRUIREA DE INSULE ECOLOGICE DIGITALIZATE TIP 1 – INSULĂ ECOLOGICĂ SUPRATERANĂ ÎNCASETATĂ ÎN MUNICIPIUL PLOIEȘTI</t>
  </si>
  <si>
    <t>Ploiești</t>
  </si>
  <si>
    <t>UAT MUNICIPIUL PLOIESTI</t>
  </si>
  <si>
    <t>C3I1B0122000088/06.03.2023 - CONSTRUIREA DE INSULE ECOLOGICE DIGITALIZATE ÎN MUNICIPIUL PETROȘANI</t>
  </si>
  <si>
    <t>UAT MUNICIPIUL PETROSANI</t>
  </si>
  <si>
    <t>C3I1B0122000107/06.03.2023 - CONSTRUIREA DE INSULE ECOLOGICE DIGITALIZATE SUPRATERANE ÎN MUNICIPIUL VULCAN JUDEȚUL HUNEDOARA</t>
  </si>
  <si>
    <t>UAT MUNICIPIUL VULCAN</t>
  </si>
  <si>
    <t>C3I1B0122000027/06.03.2023 - INSULE ECOLOGICE DIGITALIZATE IN MUNICIPIUL ALBA IULIA</t>
  </si>
  <si>
    <t>Alba Iulia</t>
  </si>
  <si>
    <t>C3I1B0122000078/06.03.2023 - CONSTRUIREA DE INSULE ECOLOGICE DIGITALIZATE PENTRU COLECTAREA SEPARATA A DESEURILOR PE RAZA MUNICIPIULUI MORENI JUDETUL DAMBOVITA</t>
  </si>
  <si>
    <t>MUNICIPIUL MORENI</t>
  </si>
  <si>
    <t>C3I1B0122000092/06.03.2023 - AMPLASARE INSULE ECOLOGICE ÎN MUNICIPIUL FETEȘTI</t>
  </si>
  <si>
    <t>C3I1B0122000144/06.03.2023 - CONSTRUIREA DE INSULE ECOLOGICE DIGITALIZATE ÎN ORAȘUL OVIDIU JUDEȚUL CONSTANȚA</t>
  </si>
  <si>
    <t>Ovidiu</t>
  </si>
  <si>
    <t>ORAS OVIDIU</t>
  </si>
  <si>
    <t>C3I1B0122000165/06.03.2023 - ÎNFIINȚAREA DE INSULE ECOLOGICE DIGITALIZATE ÎN ORAȘUL STREHAIA</t>
  </si>
  <si>
    <t>Strehaia</t>
  </si>
  <si>
    <t>ORAS STREHAIA</t>
  </si>
  <si>
    <t>C3I1B0122000080/06.03.2023 - AMENAJARE PLATFORME SUPRATERANE DE COLECTARE SELECTIVA A DESEURILOR MENAJERE IN ORASUL MAGURELE</t>
  </si>
  <si>
    <t>UAT ORASUL MAGURELE</t>
  </si>
  <si>
    <t>C3I1B0122000089/06.03.2023 - CONSTRUIRE DE INSULE ECOLOGICE DIGITALIZATE IN ORASUL SINAIA</t>
  </si>
  <si>
    <t>UAT ORASUL SINAIA</t>
  </si>
  <si>
    <t>C3I1B0122000106/06.03.2023 - CONSTRUIREA DE INSULE ECOLOGICE DIGITALIZATE ORAȘUL NUCET JUDEȚUL BIHOR</t>
  </si>
  <si>
    <t>Nucet</t>
  </si>
  <si>
    <t>ORAS NUCET</t>
  </si>
  <si>
    <t>C3I1B0122000028/06.03.2023 - CONSTRUIREA DE INSULE ECOLOGICE DIGITALIZATE SUPRATERANE – RUNDA I</t>
  </si>
  <si>
    <t>C3I1B0122000051/06.03.2023 - DEZVOLTARE MODERNIZARE ȘI COMPLETARE A SISTEMULUI DE MANAGEMENT INTEGRAT AL DEȘEURILOR MUNICIPALE LA NIVELUL MUNICIPIULUI VASLUI</t>
  </si>
  <si>
    <t>MUNICIPIUL VASLUI</t>
  </si>
  <si>
    <t>C3I1B0122000069/06.03.2023 - CONSTRUIREA DE INSULE ECOLOGICE DIGITALIZATE LA NIVELUL MUNICIPIULUI LUGOJ - ETAPA 1</t>
  </si>
  <si>
    <t>MUNICIPIUL LUGOJ</t>
  </si>
  <si>
    <t>C3I1B0122000045/06.03.2023 - CONSTRUIREA DE INSULE ECOLOGICE DIGITALIZATE SUPRATERANE  TIP II LA NIVELUL MUNICIPIULUI BLAJ</t>
  </si>
  <si>
    <t>MUNICIPIUL BLAJ</t>
  </si>
  <si>
    <t>C3I1B0122000029/06.03.2023 - INFIINTARE INSULE ECOLOGICE DIGITALIZATE IN ORASUL VICTORIA JUDETUL BRASOV</t>
  </si>
  <si>
    <t>UAT ORAS VICTORIA</t>
  </si>
  <si>
    <t>C3I1B0122000010/06.03.2023 - CONSTRUIREA DE INSULE ECOLOGICE DIGITALIZATE PENTRU COLECTAREA SELECTIVĂ A DEȘEURILOR LA NIVELUL MUNICIPIULUI ODORHEIU SECUIESC</t>
  </si>
  <si>
    <t>UNITATEA ADMINISTRATIV – TERITORIALA MUNICIPIUL ODORHEIU SECUIESC</t>
  </si>
  <si>
    <t>C3I1B0122000097/06.03.2023 - CONSTRUIREA DE INSULE ECOLOGICE DIGITALIZATE MUNICIPIUL MARGHITA  JUDEȚUL BIHOR</t>
  </si>
  <si>
    <t>Marghita</t>
  </si>
  <si>
    <t>MUNICIPIUL MARGHITA</t>
  </si>
  <si>
    <t>C3I1B0122000085/06.03.2023 - CONSTRUIREA DE INSULE ECOLOGICE DIGITALIZATE PENTRU COLECTAREA SEPARATĂ A DEȘEURILOR LA NIVEL LOCAL</t>
  </si>
  <si>
    <t>Mioveni</t>
  </si>
  <si>
    <t>UAT ORAȘUL MIOVENI</t>
  </si>
  <si>
    <t>C3I1B0122000104/09.03.2023 - CONSTRUIREA DE INSULE ECOLOGICE DIGITALIZATE PENTRU COLECTAREA SELECTIVĂ A DEȘEURILOR LA NIVELUL MUNICIPIULUI SLOBOZIA JUDEȚUL IALOMIȚA</t>
  </si>
  <si>
    <t>C3I1B0122000123/09.03.2023 - I.1.B CONSTRUIREA DE INSULE ECOLOGICE DIGITALIZATE IN ORASUL INEU JUDETUL ARAD</t>
  </si>
  <si>
    <t>UAT INEU</t>
  </si>
  <si>
    <t>C3I1B0122000139/09.03.2023 - INFIINTAREA A 2 INSULE ECOLOGICE DIGITALIZATE SUPRATERANE INCASETATE CU CONTAINERE DE 11MC IN ORASUL BAILE OLANESTI</t>
  </si>
  <si>
    <t>Băile Olănești</t>
  </si>
  <si>
    <t>PRIMARIA ORASULUI BAILE OLANESTI</t>
  </si>
  <si>
    <t>C3I1B0122000173/09.03.2023 - CONSTRUIRE DE INSULE ECOLOGICE  DIGITALIZATE IN ORASUL TEIUS</t>
  </si>
  <si>
    <t>Teiuș</t>
  </si>
  <si>
    <t>ORAS TEIUS</t>
  </si>
  <si>
    <t>C3I1B0122000174/09.03.2023 - CONSTRUIREA DE INSULE ECOLOGICE DIGITALIZATE IN ORASUL BAIA SPRIE JUDETUL MARAMURES</t>
  </si>
  <si>
    <t>ORAS BAIA SPRIE</t>
  </si>
  <si>
    <t>C3I1B0122000060/09.03.2023 - CONSTRUIREA DE INSULE ECOLOGICE DIGITALIZATE ÎN ORAȘUL VICOVU DE SUS</t>
  </si>
  <si>
    <t>VICOVU DE SUS</t>
  </si>
  <si>
    <t>C3I1B0122000180/09.03.2023 - CONSTRUIRE INSULE ECOLOGICE DIGITALIZATE ÎN ORAȘUL GEOAGIU JUDEȚUL HUNEDOARA</t>
  </si>
  <si>
    <t>Geoagiu</t>
  </si>
  <si>
    <t>ORAȘUL GEOAGIU</t>
  </si>
  <si>
    <t>C3I1B0122000138/09.03.2023 - MODERNIZAREA SISTEMULUI DE GESTIONARE A DEȘEURILOR ÎN ORAȘUL HÂRȘOVA PRIN CONSTRUIREA DE INSULE ECOLOGICE TIP 1 - INSULĂ SUPRATERANĂ ÎNCASETATĂ CU 5 CONTAINERE DE CÂTE 1.1 METRI CUBI (MC) PENTRU TOATE CELE 5 FRACȚII</t>
  </si>
  <si>
    <t>UAT HARSOVA</t>
  </si>
  <si>
    <t>C3I1B0122000067/09.03.2023 - ACHIZITIA DE INSULE ECOLOGICE DIGITALIZATE</t>
  </si>
  <si>
    <t>ORAȘ CUGIR</t>
  </si>
  <si>
    <t>C3I1B0122000141/09.03.2023 - CONSTRUIREA DE INSULE ECOLOGICE DIGITALIZATE ÎN ORAȘUL TOPOLOVENI JUDEȚUL ARGEȘ</t>
  </si>
  <si>
    <t>Topoloveni</t>
  </si>
  <si>
    <t>UAT ORAȘ TOPOLOVENI</t>
  </si>
  <si>
    <t>C3I1B0122000136/09.03.2023 - CONSTRUIREA UNUI NUMĂR DE 7 INSULE ECOLOGICE DIGITALIZATE ÎN ORAŞUL BORSEC JUDEŢUL HARGHITA</t>
  </si>
  <si>
    <t>ORAŞUL BORSEC</t>
  </si>
  <si>
    <t>C3I1B0122000167/09.03.2023 - ACHIZIȚIE DE INSULE SUPRATERANE ÎN ORAȘUL AMARA JUDEȚUL IALOMIȚA</t>
  </si>
  <si>
    <t>Amara</t>
  </si>
  <si>
    <t>UAT ORAȘ AMARA</t>
  </si>
  <si>
    <t>C3I1B0122000150/09.03.2023 - CONSTRUIREA DE INSULE ECOLOGICE DIGITALIZATE ÎN ORAȘUL ISACCEA</t>
  </si>
  <si>
    <t>UAT ISACCEA</t>
  </si>
  <si>
    <t>C3I1B0122000176/09.03.2023 - INSULE ECOLOGICE DIGITALIZATE PENTRU COLECTAREA DEȘEURILOR ÎN ORAȘUL TICLENI</t>
  </si>
  <si>
    <t>Ticleni</t>
  </si>
  <si>
    <t>UAT TICLENI</t>
  </si>
  <si>
    <t>C3I1B0122000112/10.03.2023 - CONSTRUIREA DE INSULE ECOLOGICE DIGITALIZATE IN ORAȘUL VAȘCĂU  JUDEȚUL BIHOR</t>
  </si>
  <si>
    <t>Vașcău</t>
  </si>
  <si>
    <t>ORAȘ VAȘCĂU</t>
  </si>
  <si>
    <t>C3I1B0122000126/13.03.2023 - CONSTRUIREA DE INSULE ECOLOGICE DIGITALIZATE IN MUNICIPIUL IASI</t>
  </si>
  <si>
    <t>MUNICIPIUL IASI</t>
  </si>
  <si>
    <t>C3I1B0122000070/13.03.2023 - CONSTRUIRE INSULE ECOLOGICE DIGITALIZATE ÎN MUNICIPIUL TECUCI</t>
  </si>
  <si>
    <t>C3I1B0122000157/13.03.2023 - CONSTRUIREA DE INSULE ECOLOGICE DIGITALIZATE IN MUNICIPIUL SIGHIȘOARA JUDEȚUL MUREȘ</t>
  </si>
  <si>
    <t>MUNICIPIUL SIGHIȘOARA</t>
  </si>
  <si>
    <t>C3I1B0122000087/13.03.2023 - MANAGEMENTUL DEȘEURILOR ÎN MUNICIPIUL TULCEA</t>
  </si>
  <si>
    <t>MUNICIPIUL TULCEA</t>
  </si>
  <si>
    <t>C3I1B0122000143/13.03.2023 - AMENAJARE PLATFORME SUPRATERANE DE COLECTARE SELECTIVA A DESEURILOR MENAJERE IN ORASUL POTCOAVA JUDETUL OLT</t>
  </si>
  <si>
    <t>Potcoava</t>
  </si>
  <si>
    <t>ORASUL POTCOAVA</t>
  </si>
  <si>
    <t>C3I1B0122000130/13.03.2023 - CONSTRUIREA DE INSULE ECOLOGICE DIGITALIZATE ÎN ORAȘUL COMĂNEȘTI JUDEȚUL BACĂU</t>
  </si>
  <si>
    <t>UAT ORAȘ COMĂNEȘTI</t>
  </si>
  <si>
    <t>C3I1B0122000072/13.03.2023 - CONSTRUIREA DE INSULE ECOLOGICE DIGITALIZATE ÎN ORAȘUL TÂRGU-NEAMȚ JUDEȚUL NEAMȚ</t>
  </si>
  <si>
    <t>Târgu-Neamț</t>
  </si>
  <si>
    <t>ORAȘUL TÂRGU-NEAMȚ</t>
  </si>
  <si>
    <t>C3I1B0122000002/13.03.2023 - DEZVOLTARE MODERNIZARE SI COMPLETARE A SISTEMULUI DE MANAGEMENT INTEGRAT AL DEȘEURILOR MUNICIPALE LA NIVELUL MUNICIPIULUI ORADEA</t>
  </si>
  <si>
    <t>Oradea</t>
  </si>
  <si>
    <t>PRIMARIA MUNICIPIULUI ORADEA</t>
  </si>
  <si>
    <t>C3I1B0122000113/13.03.2023 - CREAREA DE INSULE DIGITALIZATE ÎN MUNICIPIUL TURNU MĂGURELE</t>
  </si>
  <si>
    <t>Turnu Măgurele</t>
  </si>
  <si>
    <t>MUNICIPIUL TURNU MĂGURELE</t>
  </si>
  <si>
    <t>C3I1B0122000041/13.03.2023 - ACHIZIȚIA DE INSULE ECOLOGICE DIGITALIZATE PENTRU COLECTAREA DEȘEURILOR ÎN MUNICIPIUL SFÂNTU GHEORGHE</t>
  </si>
  <si>
    <t>UAT MUNICIPIUL SFANTU GHEORGHE</t>
  </si>
  <si>
    <t>C3I1B0122000148/13.03.2023 - CONSTRUIREA DE INSULE ECOLOGICE DIGITALIZATE ÎN MUNICIPIUL MEDGIDIA</t>
  </si>
  <si>
    <t>Medgidia</t>
  </si>
  <si>
    <t>MUNICIPIUL MEDGIDIA</t>
  </si>
  <si>
    <t>C3I1B0122000122/13.03.2023 - CONSTRUIREA DE INSULE ECOLOGICE DIGITALIZATE ÎN MUNICIPIUL AIUD</t>
  </si>
  <si>
    <t>MUNICIPIUL AIUD</t>
  </si>
  <si>
    <t>C3I1B0122000095/13.03.2023 - CONSTRUIREA DE INSULE ECOLOGICE DIGITALIZATE</t>
  </si>
  <si>
    <t>Făgăraș</t>
  </si>
  <si>
    <t>MUNICIPIUL FĂGĂRAȘ</t>
  </si>
  <si>
    <t>C3I1B0122000063/13.03.2023 - MANAGEMENTUL DEȘEURILOR INVESTIȚIA I1 SUBINVESTIȚIA I1.B. – CONSTRUIREA DE INSULE ECOLOGICE DIGITALIZATE</t>
  </si>
  <si>
    <t>Târgu Secuiesc</t>
  </si>
  <si>
    <t>MUNICIPIUL TÂRGU SECUIESC</t>
  </si>
  <si>
    <t>C3I1B0122000178/13.03.2023 - DEZVOLTAREA MODERNIZAREA ȘI COMPLETAREA SISTEMULUI MANAGEMENT INTEGRAT AL DEȘEURILOR ORAȘULUI SĂRMAȘU PRIN ÎNFIINȚAREA ECO-INSULELOR SUPRATERANE</t>
  </si>
  <si>
    <t>Sarmasu</t>
  </si>
  <si>
    <t>UAT ORAS SARMASU</t>
  </si>
  <si>
    <t>C3I1B0122000094/13.03.2023 - INFIINTARE INSULE ECOLOGICE DIGITALIZATE IN ORASUL GHIMBAV JUDETUL BRASOV</t>
  </si>
  <si>
    <t>U.A.T ORASUL GHIMBAV</t>
  </si>
  <si>
    <t>C3I1B0122000171/13.02.2023 - CREȘTEREA GRADULUI DE COLECTARE SELECTIVĂ A DEȘEURILOR ÎN ORAȘUL TĂLMACIU JUDEȚUL SIBIU</t>
  </si>
  <si>
    <t>UAT ORAȘUL TĂLMACIU</t>
  </si>
  <si>
    <t>C3I1B0122000101/13.03.2023 - CONSTRUIREA DE INSULE ECOLOGICE DIGITALIZATE IN ORASUL BRAGADIRU JUDETUL ILFOV</t>
  </si>
  <si>
    <t>Bragadiru</t>
  </si>
  <si>
    <t>UAT ORAS BRAGADIRU</t>
  </si>
  <si>
    <t>C3I1B0122000042/13.03.2023 - CONSTRUIREA DE INSULE ECOLOGICE DIGITALIZATE ÎN ORAȘUL CĂLIMĂNEȘTI JUDEȚUL VÂLCEA</t>
  </si>
  <si>
    <t>Călimănești</t>
  </si>
  <si>
    <t>ORAS CALIMANESTI</t>
  </si>
  <si>
    <t>C3I1B0122000170/13.03.2023 - DOTAREA CU INSULE ECOLOGICE DIGITALIZATE A ORAȘULUI ROVINARI</t>
  </si>
  <si>
    <t>Rovinari</t>
  </si>
  <si>
    <t>UAT ORAS ROVINARI</t>
  </si>
  <si>
    <t>C3I1B0122000100/13.03.2023 - CONSTRUIREA A 6 INSULE ECOLOGICE SUPRATERANE IN ORAUL OCNA MURES</t>
  </si>
  <si>
    <t>C3I1B0122000047/13.03.2023 - INSULE ECOLOGICE DIGITALIZATE ÎN MUNICIPIUL ADJUD JUDEȚUL VRANCEA</t>
  </si>
  <si>
    <t>MUNICIPIUL ADJUD</t>
  </si>
  <si>
    <t>C3I1B0122000037/13.03.2023 - CONSTRUIRE A 15 INSULE ECOLOGICE DIGITALIZATE</t>
  </si>
  <si>
    <t>Aninoasa</t>
  </si>
  <si>
    <t>PRIMARIA ORASULUI ANINOASA</t>
  </si>
  <si>
    <t>C3I1B0122000098/13.03.2023 - CONSTRUIREA DE INSULE ECOLOGICE DIGITALIZATE ÎN ORAȘUL ARDUD  JUDEȚUL SATU MARE</t>
  </si>
  <si>
    <t>Ardud</t>
  </si>
  <si>
    <t>ORAS ARDUD</t>
  </si>
  <si>
    <t>C3I1B0122000032/13.03,2023 - CONSTRUIRE INSULE ECOLOGICE DIGITALIZATE IN ORASUL PREDEAL</t>
  </si>
  <si>
    <t>Predeal</t>
  </si>
  <si>
    <t>UAT ORAS PREDEAL</t>
  </si>
  <si>
    <t>C3I1B0122000053/13.03.2023 - REALIZAREA UNUI SISTEM DIGITAL DE MONITORIZARE ȘI EFICIENTIZARE A ACTIVITĂȚII DE DEPOZITARE SELECTIVĂ A DESEURILOR - INSULE ECOLOGICE DIGITALIZATE -LA NIVELUL ORAȘULUI SLĂNIC MOLDOVA</t>
  </si>
  <si>
    <t>UAT ORAȘ SLĂNIC MOLDOVA</t>
  </si>
  <si>
    <t>C3I1B0122000142/13.03.2023 - INSULE ECOLOGICE DIGITALIZATE PENTRU COLECTAREA SELECTIVĂ A DEȘEURILOR LA NIVELUL ORAȘULUI COVASNA</t>
  </si>
  <si>
    <t>UAT ORASUL COVASNA</t>
  </si>
  <si>
    <t>C3I1B0122000137/13.03.2023 - EXTINDEREA ȘI MODERNIZAREA SISTEMULUI DE COLECTARE SEPARATĂ A DEȘEURILOR ÎN MUNICIPIUL ALEXANDRIA PRIN ACHIZIȚIA ȘI AMPLASAREA DE INSULE ECOLOGICE DIGITALIZATE</t>
  </si>
  <si>
    <t>Alexandria</t>
  </si>
  <si>
    <t>UAT MUNICIPIUL ALEXANDRIA</t>
  </si>
  <si>
    <t>C3I1B0122000071/13.03.2023 - DEZVOLTAREA MODERNIZAREA ȘI COMPLETAREA SISTEMELOR DE MANAGEMENT INTEGRAT AL DEȘEURILOR MUNICIPALE ÎN MUNICIPIUL REȘIȚA PRIN CONSTRUIREA  UNUI NUMĂR DE 100 INSULE ECOLOGICE DIGITALIZATE</t>
  </si>
  <si>
    <t>U.A.T. MUNICIPIUL REȘIȚA</t>
  </si>
  <si>
    <t>C3I1B0122000140/14.03.2023 - ÎNFIINȚAREA DE INSULE ECOLOGICE DIGITALIZATE ÎN MUNICIPIUL GALAȚI</t>
  </si>
  <si>
    <t>UAT MUNICIPIUL GALAȚI</t>
  </si>
  <si>
    <t>C3I1B0122000114/14.03.2023 - CONSTRUIREA DE INSULE ECOLOGICE DIGITALIZATE SUPRATERANE-RUNDA I</t>
  </si>
  <si>
    <t>MUNICIPIUL TIMIȘOARA</t>
  </si>
  <si>
    <t>C3I1B0122000040/14.03.2023 - CONSTRUIREA DE INSULE ECOLOGICE DIGITALIZATE ȊN MUNICIPIULUI FOCŞANI</t>
  </si>
  <si>
    <t>MUNICIPIUL FOCSANI</t>
  </si>
  <si>
    <t>C3I1B0122000147/14.03.2023 - INSULE ECOLOGICE DIGITALIZATE ÎN MUNICIPIUL TURDA</t>
  </si>
  <si>
    <t>UAT MUNICIPIUL TURDA</t>
  </si>
  <si>
    <t>C3I1B0122000059/14.03.2023 - CONSTRUIREA DE INSULE ECOLOGICE DIGITALIZATE PENTRU COLECTAREA SEPARATA A DESEURILOR PE RAZA MUNICIPIULUI GIURGIU</t>
  </si>
  <si>
    <t>MUNICIPIUL GIURGIU</t>
  </si>
  <si>
    <t>C3I1B0122000146/14.03.2023 - AMENAJARE INSULE ECOLOGICE DIGITALIZATE ÎN ORAȘUL MIZIL JUDETUL PRAHOVA</t>
  </si>
  <si>
    <t>ORAȘ MIZIL</t>
  </si>
  <si>
    <t>C3I1B0122000096/14.03.2023 - INSULE ECOLOGICE DIGITALIZATE</t>
  </si>
  <si>
    <t>MUNICIPIUL SIBIU</t>
  </si>
  <si>
    <t>C3I1B0122000179/14.03.2023 - CONSTRUIREA DE INSULE ECOLOGICE DIGITALIZATE ÎN MUNICIPIUL MANGALIA JUDEȚUL CONSTANȚA</t>
  </si>
  <si>
    <t>Mangalia</t>
  </si>
  <si>
    <t>MUNICIPIUL MANGALIA</t>
  </si>
  <si>
    <t>C3I1B0122000177/14.03.2023 - CONSTRUIRE DE INSULE SUPRATERANE ECOLOGICE DIGITALIZATE CU COLECTARE SELECTIVĂ ÎN ORAȘUL SĂVENI JUDEȚUL BOTOȘANI</t>
  </si>
  <si>
    <t>UAT ORAȘ SĂVENI</t>
  </si>
  <si>
    <t>C3I1B0122000118/14.03.2023 - CONSTRUIREA DE INSULE ECOLOGICE DIGITALIZATE SUPRATERANE ÎN ORAȘUL MURFATLAR JUD. CONSTANȚA</t>
  </si>
  <si>
    <t>UNITATE ADMINISTRATIV TERITORIALA ORAS MURFATLAR</t>
  </si>
  <si>
    <t>C3I1B0122000117/14.03.2023 - ACHIZIȚIA DE INSULE ECOLOGICE DIGITALIZATE</t>
  </si>
  <si>
    <t>ORAȘ PECICA</t>
  </si>
  <si>
    <t>C3I1B0122000082/14.03.2023 - CONSTRUIREA DE INSULE ECOLOGICE DIGITALIZATE ÎN MUNICIPIUL CAREI</t>
  </si>
  <si>
    <t>Carei</t>
  </si>
  <si>
    <t>UNITATEA ADMINISTRATIV TERITORIALĂ MUNICIPIUL CAREI</t>
  </si>
  <si>
    <t>C3I1B0122000064/14.03.2023 - ÎNFIINȚAREA ȘI DOTAREA DE INSULE ECOLOGICE DIGITALIZATE SUPRATERANE ÎN MUNICIPIUL RÂMNICU VÂLCEA</t>
  </si>
  <si>
    <t>Râmnicu Vâlcea</t>
  </si>
  <si>
    <t>UAT MUNICIPIUL RAMNICU VALCEA</t>
  </si>
  <si>
    <t>C3I1B0122000046/14.03.2023 - CONSTRUIREA A 265 DE INSULE ECOLOGICE DIGITALIZATE ÎN SECTORUL 6</t>
  </si>
  <si>
    <t>București, Sector 6</t>
  </si>
  <si>
    <t>SECTORUL 6 AL MUNICIPIULUI BUCUREȘTI</t>
  </si>
  <si>
    <t>C3I1B0122000149/14.03.2023 - INSULE ECOLOGICE DIGITALIZATE ÎN ORAŞUL  ȘIMLEU SILVANIEI</t>
  </si>
  <si>
    <t>Șimleu Silvanei</t>
  </si>
  <si>
    <t>UAT SIMLEU SILVANIEI</t>
  </si>
  <si>
    <t>C3I1B0122000081/14.03.2023 - CONSTRUIRE INSULE ECOLOGICE DIGITALIZATE ÎN ORAȘUL SIMERIA JUDEȚUL HUNEDOARA</t>
  </si>
  <si>
    <t>Simeria</t>
  </si>
  <si>
    <t>UAT ORAȘUL SIMERIA</t>
  </si>
  <si>
    <t>C3I1B0122000043/14.03.2023 - CONSTRUIREA DE INSULE ECOLOGICE DIGITALIZATE SUBTERANE LA NIVELUL MUNICIPIULUI BLAJ</t>
  </si>
  <si>
    <t>C3I1B0122000163/15.03.2023 - DEZVOLTAREA SISTEMULUI DE MANAGEMNET INTEGRAT AL DEȘEURILOR ÎN ORAȘUL LEHLIU GARĂ PRIN IMPLEMENTAREA UNUI SISTEM DE INSULE ECOLOGICE DIGITALIZATE</t>
  </si>
  <si>
    <t>Lehliu Gară</t>
  </si>
  <si>
    <t>UAT LEHLIU GARA</t>
  </si>
  <si>
    <t>C3I1B0122000159/17.03.2023 - ACHIZIȚIA DE INSULE ECOLOGICE DIGITALIZATE ÎN MUNICIPIUL CÂMPIA TURZII</t>
  </si>
  <si>
    <t>Câmpia Turzii</t>
  </si>
  <si>
    <t>UAT MUNICIPIUL CÂMPIA TURZII</t>
  </si>
  <si>
    <t>C3I1B0122000129/17.03.2023 - CONSTRUIREA DE INSULE ECOLOGICE DIGITALIZATE PENTRU COLECTAREA SELECTIVĂ A DEȘEURILOR LA NIVELUL ORAȘULUI MĂRĂȘEȘTI</t>
  </si>
  <si>
    <t>UAT ORAȘUL MARASESTI</t>
  </si>
  <si>
    <t>C3I1B0122000103/17.03.2023 - CONSTRUIREA DE INSULE ECOLOGICE DIGITALIZATE IN MUNICIPIUL GHERLA</t>
  </si>
  <si>
    <t>MUNICIPIUL GHERLA</t>
  </si>
  <si>
    <t>C3I1B0122000036/17.03.2023 - CONSTRUIREA DE INSULE ECOLOGICE DIGITALIZATE ÎN MUNICIPIUL BOTOȘANI. JUDEȚUL BOTOȘANI</t>
  </si>
  <si>
    <t>UAT MUNICIPIUL BOTOSANI</t>
  </si>
  <si>
    <t>C3I1B0122000153/17.03.2023 - REALIZARE INSULE ECOLOGICE DIGITALIZATE LA NIVELUL UAT ORAȘUL BOLINTIN-VALE</t>
  </si>
  <si>
    <t>Bolintin-Vale</t>
  </si>
  <si>
    <t>UAT ORASUL BOLINTIN-VALE</t>
  </si>
  <si>
    <t>C3I1B0122000102/31.03.2023 - MODERNIZAREA SISTEMULUI DE MANAGEMENT INTEGRAT AL DEȘEURILOR LA NIVELUL UAT ORAȘUL BUHUȘI</t>
  </si>
  <si>
    <t>Buhuși</t>
  </si>
  <si>
    <t>UAT ORASUL BUHUSI</t>
  </si>
  <si>
    <t>C3I1B0122000077/31.03.2023 - DEZVOLTAREA MODERNIZAREA ȘI COMPLETAREA SISTEMULUI DE MANAGEMENT INTEGRAT AL DEȘEURILOR MUNICIPALE PRIN CONSTRUIREA DE INSULE ECOLOGICE DIGITALIZATE ÎN MUNICIPIUL MIERCUREA-CIUC</t>
  </si>
  <si>
    <t>C3I1B0122000016/31.03.2023 - CONSTRUIRE INSULE ECLOGICE DIGITALIZATE PENTRU COLECTARE SELECTIVĂ A DEȘEURILOR ÎN MUNICIPIUL ONEȘTI JUDEȚUL BACĂU</t>
  </si>
  <si>
    <t>MUNICIPIUL ONESTI</t>
  </si>
  <si>
    <t>C3I1B0122000090/31.03.2023 - CONSTUIREA DE INSULE ECOLOGICE DIGITALIZATE ÎN MUNICIPIUL TÂRGU MUREȘ</t>
  </si>
  <si>
    <t>Târgu Mureș</t>
  </si>
  <si>
    <t>MUNICIPIUL TÂRGU MUREȘ</t>
  </si>
  <si>
    <t>31.06.2023</t>
  </si>
  <si>
    <t>C3I1B0122000175/31.03.2023 - DOTAREA CU INSULE ECOLOGICE DIGITALIZATE A ORAȘULUI FILIAȘI</t>
  </si>
  <si>
    <t>UAT ORAȘ FILIAȘI</t>
  </si>
  <si>
    <t>C3I1B0122000164/31.03.2023 - REALIZAREA DE INSULE ECOLOGICE DIGITALIZATE ÎN ORAȘUL GURA HUMORULUI, JUDEȚUL SUCEAVA</t>
  </si>
  <si>
    <t>C3I1B0122000151/31.03.2023 - CONSTRUIRE DE INSULE ECOLOGICE DIGITALOZATE ÎN MUNICIPIUL SIGHETU MARMAȚIEI</t>
  </si>
  <si>
    <t>Sighetu Marmației</t>
  </si>
  <si>
    <t>U.A.T. MUNICIPIUL SIGHETU MARMAȚIEI</t>
  </si>
  <si>
    <t>C3I1B0122000055/31.03.2023 - DEZVOLTAREA REȚELEI INTEGRATE DE INSULE ECOLOGICE DIGITALE PENTRU MANAGEMENTUL DEȘEURILOR MUNICIPIUL BAIA MARE</t>
  </si>
  <si>
    <t>UNITATEA ADMINISTRATIV TERITORIALA MUNICIPIUL BAIA MARE</t>
  </si>
  <si>
    <t>C3I1B0122000003/8.05.2023/ACHIZIȚIA DE INSULE ECOLOGICE DIGITALIZATE PENTRU COLECTAREA DEȘEURILOR ÎN MUNICIPIUL BRAȘOV</t>
  </si>
  <si>
    <t>Brasov</t>
  </si>
  <si>
    <t>Municipiul Brasov</t>
  </si>
  <si>
    <t>C3I1B0122000012/18.05.2023/DEZVOLTARE, MODERNIZARE ȘI COMPLETARE A SISTEMULUI DE MANAGEMENT INTEGRAT AL DEȘEURILOR MUNICIPALE LA NIVELUL MUNICIPIULUI BISTRIȚA</t>
  </si>
  <si>
    <t>UAT Municipiul Bistrita</t>
  </si>
  <si>
    <t>C3I1B0122000034/18.05.2023/CONSTRUIRE INSULE ECOLOGICE DIGITALIZATE ÎN ORAȘUL NĂVODARI, JUDEȚUL CONSTANȚA</t>
  </si>
  <si>
    <t>Năvodari</t>
  </si>
  <si>
    <t>UAT Oras Năvodari</t>
  </si>
  <si>
    <t>C3I1B0122000068/18.05.2023/CONSTRUIREA DE INSULE ECOLOGICE DIGITALIZATE ÎN ORAȘUL BREZOI</t>
  </si>
  <si>
    <t>UAT Oras Brezoi</t>
  </si>
  <si>
    <t>C3I1B0122000091/18.05.2023/CONSTRUIREA DE INSULE ECOLOGICE DIGITALIZATE
PENTRU COLECTAREA SELECTIVĂ A DEȘEURILOR LA NIVELUL ORAȘULUI HAȚEG</t>
  </si>
  <si>
    <t>UAT Oraș Hațeg</t>
  </si>
  <si>
    <t>C3I1B0122000105/ 04.04.2023/COLECTARE SELECTIVĂ A DEȘEURILOR</t>
  </si>
  <si>
    <t>C3I1B0122000158/14.03.2023/DOTAREA CU INSULE ECOLOGICE DIGITALIZATE A MUNICIPIULUI ORȘOVA</t>
  </si>
  <si>
    <t>Orșova</t>
  </si>
  <si>
    <t>UAT Mjnicipiul Orșova</t>
  </si>
  <si>
    <t>C3I1B0122000168/18.05.2023/CONSTRUIREA DE INSULE ECOLOGICE DIGITALIZATE ÎN MUNICIPIUL REGHIN</t>
  </si>
  <si>
    <t>Reghin</t>
  </si>
  <si>
    <t>Municipiul Reghin</t>
  </si>
  <si>
    <t>C3I1B0122000169/04.04.2023/ÎNFIINȚAREA DE INSULE ECOLOGICE DIGITALIZATE ÎN ORAȘUL BUCECEA, JUDEȚUL BOTOȘANI</t>
  </si>
  <si>
    <t>Bucecea</t>
  </si>
  <si>
    <t>UAT Orașul Bucecea</t>
  </si>
  <si>
    <t>C3I1B0122000172/04.04.2023/ÎNFIINȚAREA ȘI DOTAREA DE INSULE ECOLOGICE DIGITALIZATE ÎN MUNICIPIUL TOPLIȚA, JUDEȚUL HARGHITA</t>
  </si>
  <si>
    <t>Toplița</t>
  </si>
  <si>
    <t>Municipiul Toplița</t>
  </si>
  <si>
    <t>I1.c</t>
  </si>
  <si>
    <t>Centre integrate de colectare prin aport voluntar destinate aglomerărilor urbane</t>
  </si>
  <si>
    <t>52, 53</t>
  </si>
  <si>
    <t>0 -6. 6 - 14</t>
  </si>
  <si>
    <t xml:space="preserve">Până la data de 31 mai 2023 s-au semant 13 contracte de finanțare. Nu sunt disponibile informații privind contracte de achiziții aferente contractelor de finanțare. </t>
  </si>
  <si>
    <t>Proiect /Call ...</t>
  </si>
  <si>
    <t>0 - 6. 6 - 14</t>
  </si>
  <si>
    <t>C3I1C0122000001/19.05.2023 Înființare centru integrat de colectare separată prin aport voluntar destinat aglomerării urbane municipiul Brașov</t>
  </si>
  <si>
    <t>UAT Municipiul Brașov</t>
  </si>
  <si>
    <t>C3I1C0122000002/23.05.2023 Centru integrat de colectare selectivă a deșeurilor prin aport voluntar în municipiul Galați</t>
  </si>
  <si>
    <t xml:space="preserve">52, 53 </t>
  </si>
  <si>
    <t>C3I1C0122000003/19.05.2023 Înființarea unui centru integrat de colectare separată prin aport voluntar destinat aglomerării urbane din Municipiul Ploiești</t>
  </si>
  <si>
    <t xml:space="preserve"> Municipiul Ploiești</t>
  </si>
  <si>
    <t>Municipiul Ploiești</t>
  </si>
  <si>
    <t>C3I1C0122000004/19.05.2023 Centru integrat de colectare a deșeuri prin aport voluntar în municipiul Buzău</t>
  </si>
  <si>
    <t>UAT Municipiul Buzău</t>
  </si>
  <si>
    <t>C3I1C0122000005/19.05.2023 Înființarea de centre integrate de colectare separată prin aport voluntar destinate aglomerărilor urbane</t>
  </si>
  <si>
    <t>Municipiul Iași</t>
  </si>
  <si>
    <t>C3I1C0122000006/19.05.2023 Înființarea unui centru integrat de colectare prin aport voluntar în municipiul Sibiu</t>
  </si>
  <si>
    <t>Municipiul Sibiu</t>
  </si>
  <si>
    <t>C3I1C0122000007/19.05.2023 Înființare centru integrat de colectare separată prin aport voluntar destinat aglomerării urbane municipiul Timișoara</t>
  </si>
  <si>
    <t>C3I1C0122000008/19.05.2023 Înființarea unui centru integrat de colectare separată prin aport voluntar - runda I</t>
  </si>
  <si>
    <t>Municipiul Cluj - Napoca</t>
  </si>
  <si>
    <t>C3I1C0122000009/19.05.2023 Înființarea centrului integrat de colectare separată prin aport voluntar destinată aglomerării urbane Baia Mare</t>
  </si>
  <si>
    <t>UAT Municipiul Baia Mare</t>
  </si>
  <si>
    <t>C3I1C0122000010/23.05.2023 Înființare centru integrat de colectare separată prin aport voluntar în municipiul Constanța</t>
  </si>
  <si>
    <t>UAT Municipiul Constanța</t>
  </si>
  <si>
    <t>C3I1C0122000011/19.05.2023 Construire centru integrat de colectare separată a deșeurilor prin aport voluntar în municipiul Târgu Mureș</t>
  </si>
  <si>
    <t>Municipiul Târgu Mureș</t>
  </si>
  <si>
    <t>C3I1C0122000013/23.05.2023 Înființarea unui centru integrat de colectare separată prin aport voluntar destinat aglomerării urbane în municipiul Craiova, județul Dolj</t>
  </si>
  <si>
    <t>ADI Ecodolj</t>
  </si>
  <si>
    <t>C3I1C0122000012/07.07.2023 - Înființarea și dotarea centrului integrat de colectare prin aport voluntar București - Nord și regiunea afiliată București - Ilfov (CAV BNI)</t>
  </si>
  <si>
    <t>52,53</t>
  </si>
  <si>
    <t xml:space="preserve">București </t>
  </si>
  <si>
    <t>I1.d</t>
  </si>
  <si>
    <t>Construirea instalațiilor de reciclare a deșeurilor pentru a îndeplini obiectivele de reciclare din pachetul de economie circulară</t>
  </si>
  <si>
    <t>OM nr. 2606/2022 pentru aprobarea 
Ghidului specific — Condiții de accesare a fondurilor europene aferente Planului național de 
redresare și reziliență, componenta C3 — Managementul deșeurilor, investiția I1. Dezvoltarea, 
modernizarea și completarea sistemelor de management integrat al deșeurilor municipale la nivel 
de județ sau la nivel de orașe/comune, subinvestiția I1.D. — Construirea instalațiilor de reciclare 
a deșeurilor pentru a îndeplini țintele de reciclare din pachetul de economie circulară</t>
  </si>
  <si>
    <t xml:space="preserve"> Dezvoltarea infrastructurii pentru managementul gunoiului de grajd și al altor deșeuri agricole compostabile</t>
  </si>
  <si>
    <t>Dezvoltarea infrastructurii pentru managementul gunoiului de grajd și al altor deșeuri agricole compostabile (platforme gunoi grajd)</t>
  </si>
  <si>
    <t>Dezvoltarea infrastructurii pentru managementul gunoiului de grajd și al altor deșeuri agricole compostabile (biogaz)</t>
  </si>
  <si>
    <t>I3.a</t>
  </si>
  <si>
    <t xml:space="preserve"> Echipamente de monitorizare și control pentru Garda Națională de Mediu</t>
  </si>
  <si>
    <t>56, 57</t>
  </si>
  <si>
    <t>0 - 43. 0 - 400.</t>
  </si>
  <si>
    <t>La nivelul sediului central al GNM și la nivelul celor 43 de comisariate teritoriale ale GNM</t>
  </si>
  <si>
    <t>Garda Națională de Mediu</t>
  </si>
  <si>
    <t xml:space="preserve">Q4 &amp; Q4 </t>
  </si>
  <si>
    <t>2024 &amp; 2025</t>
  </si>
  <si>
    <t>Echipamente de monitorizare și control pentru Garda Națională de Mediu</t>
  </si>
  <si>
    <t>MMAP a introdus contractele care fac parte din planul de achizii avut in vedere de GNM. Sunt doua contracte deja semnate si finalizate, pentru care plata este in curs de autopla este in curs de autorizare la MMAP.</t>
  </si>
  <si>
    <t>C3/I3.a/50847/27.09.2022 - ”Echipamente de monitorizare și control pentru Garda Națională de Mediu”</t>
  </si>
  <si>
    <t>I.3a</t>
  </si>
  <si>
    <t>Sistem Integrat TIC – Platforma Integrata Management Deșeuri (Echipamente hardware, software și servicii)</t>
  </si>
  <si>
    <t>Autoutilitare interventie. dotata cu echipamenete comunicatii radio pentru transport echipamente de monitorizare</t>
  </si>
  <si>
    <t>Inregistrator audio-video de tip Body Worn Camera</t>
  </si>
  <si>
    <t>Aplicatie de management si gestiune sisteme de inregistrare audio-video portabil de tip Body Worn Camera</t>
  </si>
  <si>
    <t>Contract nr. 4043/17.05.2023 Plan de informare si comunicare pentru autoritati respectiv public larg</t>
  </si>
  <si>
    <t>ADV1352170</t>
  </si>
  <si>
    <t>Contract nr. 4044/17.05.2023 Materiale de promovare (afise. pliante. clip video)</t>
  </si>
  <si>
    <t>ADV1350802</t>
  </si>
  <si>
    <t>Contract nr. 7111/09.05.2023 Servicii de consultanta in achizitii publice pentru achizitia sistemului integrat TIC</t>
  </si>
  <si>
    <t>56,57</t>
  </si>
  <si>
    <t>ADV1378593</t>
  </si>
  <si>
    <t>Contract nr. 3/12.01.2024 Furnizare 8 sisteme de scanare mobile ce permit scanarea camioanelor și a containerelor transportate suspecte (Sistem de scanare mobil cu raze X – 1 buc și Spectrometru portabil XRF – 7 buc)</t>
  </si>
  <si>
    <t>200/15.12.2023 Furnizare camere video de tip dashcam (camere de bord)</t>
  </si>
  <si>
    <t>Metodologie de operare a sistemelor nou devoltate</t>
  </si>
  <si>
    <t>Metodologie de validare a seturilor de date achiziționate cu ajutorul sistemelor nou dezvoltate</t>
  </si>
  <si>
    <t>Raport tehnic de funcționare a sistemului aeroportuar prototip</t>
  </si>
  <si>
    <t>I3.b</t>
  </si>
  <si>
    <t xml:space="preserve"> Echipamente de monitorizare a calității aerului, radioactivității și zgomotului pentru Agenția Națională de Protecția Mediului</t>
  </si>
  <si>
    <t>Agentia Nationala pentru Protectia Mediului</t>
  </si>
  <si>
    <t>Echipamente de monitorizare a calității aerului, radioactivității și zgomotului pentru Agenția Națională pentru Protecția Mediului</t>
  </si>
  <si>
    <t>C3/I3.b/50710/01.09.2022 - ”Echipamente de monitorizare a calității aerului, radioactivității și zgomotului pentru Agenția Națională pentru Protecția Mediului”</t>
  </si>
  <si>
    <t>toate judetele</t>
  </si>
  <si>
    <t>C7</t>
  </si>
  <si>
    <t>Digitalizare în domeniul mediului</t>
  </si>
  <si>
    <t>167, 168</t>
  </si>
  <si>
    <t>Proiect A - Investiția 5. Digitalizarea în domeniul mediului, Jalonul 167 - Capacitatea sporită de supraveghere, control și monitorizarea pădurilor prin intermediul unui sistem informatic integrat, Componenta 7: Transformarea digitală, din cadrul Planului național de redresare și reziliență</t>
  </si>
  <si>
    <t>OP 6612/21.11.2022</t>
  </si>
  <si>
    <t>Contract a - C7/I5/2236/18.08.2022 - Investiția 5. Digitalizarea în domeniul mediului, Jalonul 167 - Capacitatea sporită de supraveghere, control și monitorizarea pădurilor prin intermediul unui sistem informatic integrat, Componenta 7: Transformarea digitală, din cadrul Planului național de redresare și reziliență</t>
  </si>
  <si>
    <t>Contract nr. 128/03.10.2022 - Servicii de consultanță tehnică, pentru elaborare de specificații tehnice IT necesare implementării unui sistem național de monitorizare, obligație stabilită prin Programul Național de Redresare și Reziliență, Componenta 7- Digitalizare, digitalizarea în domeniul mediului.</t>
  </si>
  <si>
    <t>Contract nr. 129/03.10.2022 - Servicii de consultanță, pentru elaborare de specificații tehnice necesare implementării unui sistem național de monitorizare prin intermediul imaginilor satelitare, obligație stabilită prin Programul Național de Redresare și Reziliență, Componenta 7- Digitalizare, digitalizarea în domeniul mediului</t>
  </si>
  <si>
    <t>Contract nr. 56/26.04.2023 - Servicii de consultanță tehnică pentru elaborarea caietului de sarcini cu  specificații tehnice în vederea implementării sistemului național de monitorizare, obligație stabilită prin Planul Național de Redresare și Reziliență, Componenta 7 - Digitalizare</t>
  </si>
  <si>
    <t>Proiect B - Servicii publice de mediu digitalizate pentru ANPM</t>
  </si>
  <si>
    <t>Contract B - C7/I5/50709/01.09.2022 - ”Servicii publice de mediu digitalizate pentru ANPM” contract de finantare</t>
  </si>
  <si>
    <t>Intarzierile sunt de aproximativ  3 luni, ca urmare a reluarii procedurilor de achizitie servicii de  consultanta informatica (la prima procedura nu s-au prezentat operatori economici) si a serviciilor de consultanta achizitii ( datorita comasarii procedurilor de licitatie rezultate in urma elaborarii proiectului tehnic)  In data de 31.07.2023 ANAP a respins documentatia de atribuire DF1185259 pregătită de AGENTIA NATIONALA PENTRU PROTECTIA MEDIULUI, transmisă în SICAP în data de 17.07.2023, pentru procedura cu obiectul” Furnizare Sistem Informatic Integrat pentru Servicii Publice de Mediu (SIISPM) în cadrul proiectului Servicii Publice de Mediu Digitalizate pentru ANPM. Urmeaza ca ANPM sa efectueze corectiile propuse de ANAP pe documentatia de atribuire si caietele de sarcini.</t>
  </si>
  <si>
    <t>71/SPMD/20.01.2023 - achizitii servicii de consultanta in domeniul IT</t>
  </si>
  <si>
    <t>05.10.2022</t>
  </si>
  <si>
    <t>20.01.2023</t>
  </si>
  <si>
    <t>data achizitiei</t>
  </si>
  <si>
    <t>data finalizare contract achitie</t>
  </si>
  <si>
    <t>Asocierea Cima Data Analytics S.A. (Lider De Asociere) Si Itps Srl (Asociat)</t>
  </si>
  <si>
    <t xml:space="preserve">SCN1115117/05.10.2022 </t>
  </si>
  <si>
    <t>44/12.06.2023 - servicii de consultanta in domeniul achizițiilor publice</t>
  </si>
  <si>
    <t>12.06.2023</t>
  </si>
  <si>
    <t>Pro Activ Global SRL</t>
  </si>
  <si>
    <t>DA33423259</t>
  </si>
  <si>
    <t>15.12.2022</t>
  </si>
  <si>
    <t>Tehno art solution SRL</t>
  </si>
  <si>
    <t>DA32198663</t>
  </si>
  <si>
    <t xml:space="preserve">43/14.12.2022 - Achizitie directa laptopuri </t>
  </si>
  <si>
    <t>14.12.2022</t>
  </si>
  <si>
    <t>Office Max SRL</t>
  </si>
  <si>
    <t>DA32165571</t>
  </si>
  <si>
    <t>Procent PNRR executat</t>
  </si>
  <si>
    <t>Total C1</t>
  </si>
  <si>
    <t>Total C2</t>
  </si>
  <si>
    <t>Total C3</t>
  </si>
  <si>
    <t>Total C7</t>
  </si>
  <si>
    <t>Total MMAP Grant</t>
  </si>
  <si>
    <t>Total MMAP Loan</t>
  </si>
  <si>
    <t>Total MMAP</t>
  </si>
  <si>
    <t>Grant + Loan</t>
  </si>
  <si>
    <r>
      <rPr>
        <b/>
        <sz val="11"/>
        <color theme="1"/>
        <rFont val="Calibri"/>
        <family val="2"/>
        <scheme val="minor"/>
      </rPr>
      <t>Gal Emil</t>
    </r>
    <r>
      <rPr>
        <sz val="11"/>
        <color theme="1"/>
        <rFont val="Calibri"/>
        <family val="2"/>
        <scheme val="minor"/>
      </rPr>
      <t xml:space="preserve">
ASOCIATIA UNIUNEA COMPOSESORATELOR LIBAN</t>
    </r>
  </si>
  <si>
    <r>
      <rPr>
        <b/>
        <sz val="11"/>
        <color theme="1"/>
        <rFont val="Calibri"/>
        <family val="2"/>
        <scheme val="minor"/>
      </rPr>
      <t>Szabo Ferenc</t>
    </r>
    <r>
      <rPr>
        <sz val="11"/>
        <color theme="1"/>
        <rFont val="Calibri"/>
        <family val="2"/>
        <scheme val="minor"/>
      </rPr>
      <t xml:space="preserve">
ASOCIATIA UNIUNEA COMPOSESORATELOR LIBAN</t>
    </r>
  </si>
  <si>
    <r>
      <rPr>
        <b/>
        <sz val="11"/>
        <color theme="1"/>
        <rFont val="Calibri"/>
        <family val="2"/>
        <scheme val="minor"/>
      </rPr>
      <t>Galpal Tibor</t>
    </r>
    <r>
      <rPr>
        <sz val="11"/>
        <color theme="1"/>
        <rFont val="Calibri"/>
        <family val="2"/>
        <scheme val="minor"/>
      </rPr>
      <t xml:space="preserve">
ASOCIATIA UNIUNEA COMPOSESORATELOR LIBAN</t>
    </r>
  </si>
  <si>
    <r>
      <rPr>
        <b/>
        <sz val="11"/>
        <color theme="1"/>
        <rFont val="Trebuchet MS"/>
        <family val="2"/>
      </rPr>
      <t>Total contracte achizitii</t>
    </r>
    <r>
      <rPr>
        <sz val="11"/>
        <color theme="1"/>
        <rFont val="Trebuchet MS"/>
        <family val="2"/>
      </rPr>
      <t xml:space="preserve">  C1/I.4/2/50566/26.07.2022 - Servicii de proiectare pentru investiția ”Adaptarea la schimbările climatice prin automatizarea și digitalizarea echipamentelor de evacuare și stocare a apei la acumulările existente pentru asigurarea debitului ecologic și creșterea siguranței alimentării cu apă a populației și reducerea riscului la inundații”- Reabilitarea acumulărilor existente care necesită intervenții de urgență pentru exploatarea în condiții de siguranță</t>
    </r>
  </si>
  <si>
    <r>
      <t xml:space="preserve">Contract nr. 5/ 11.03.2022Servicii de expertiză tehnică în vederea realizării de investiții - Îmbunătățirea condițiilor de funcționare în siguranță a </t>
    </r>
    <r>
      <rPr>
        <b/>
        <sz val="11"/>
        <color theme="1"/>
        <rFont val="Trebuchet MS"/>
        <family val="2"/>
      </rPr>
      <t>acumulării Gilău</t>
    </r>
    <r>
      <rPr>
        <sz val="11"/>
        <color theme="1"/>
        <rFont val="Trebuchet MS"/>
        <family val="2"/>
      </rPr>
      <t>, județul Cluj
Gilău – lot I -  expertiza A7, B5. Hidrotehnica DesignExpert SRL</t>
    </r>
  </si>
  <si>
    <r>
      <t xml:space="preserve">Contract nr. 35/06.06.2023 - Servicii de proiectare toate fazele </t>
    </r>
    <r>
      <rPr>
        <b/>
        <sz val="11"/>
        <color theme="1"/>
        <rFont val="Trebuchet MS"/>
        <family val="2"/>
      </rPr>
      <t>(DALI, PT, DE, Asistenta tehnica pe perioada executiei)</t>
    </r>
    <r>
      <rPr>
        <sz val="11"/>
        <color theme="1"/>
        <rFont val="Trebuchet MS"/>
        <family val="2"/>
      </rPr>
      <t xml:space="preserve"> - Asigurarea atenuarii si tranzitarii in siguranta a volumelor de viitura pe raul Crasna, aval de </t>
    </r>
    <r>
      <rPr>
        <b/>
        <sz val="11"/>
        <color theme="1"/>
        <rFont val="Trebuchet MS"/>
        <family val="2"/>
      </rPr>
      <t>acumularea Varsolt</t>
    </r>
    <r>
      <rPr>
        <sz val="11"/>
        <color theme="1"/>
        <rFont val="Trebuchet MS"/>
        <family val="2"/>
      </rPr>
      <t>, jud.Satu Mare</t>
    </r>
  </si>
  <si>
    <r>
      <t xml:space="preserve">Contract nr. 107 / 28.06.2023 pentru servicii  </t>
    </r>
    <r>
      <rPr>
        <b/>
        <sz val="11"/>
        <color theme="1"/>
        <rFont val="Trebuchet MS"/>
        <family val="2"/>
      </rPr>
      <t xml:space="preserve">expertiza  tehnica </t>
    </r>
    <r>
      <rPr>
        <sz val="11"/>
        <color theme="1"/>
        <rFont val="Trebuchet MS"/>
        <family val="2"/>
      </rPr>
      <t xml:space="preserve"> de  specialitate - ÎMBUNĂTĂȚIREA CONDIȚIILOR DE FUNCȚIONARE ÎN SIGURANȚĂ PENTRU ACUMULAREA NEPERMANENTĂ /</t>
    </r>
    <r>
      <rPr>
        <b/>
        <sz val="11"/>
        <color theme="1"/>
        <rFont val="Trebuchet MS"/>
        <family val="2"/>
      </rPr>
      <t xml:space="preserve"> POLDERUL DRAGOMIREȘTI</t>
    </r>
    <r>
      <rPr>
        <sz val="11"/>
        <color theme="1"/>
        <rFont val="Trebuchet MS"/>
        <family val="2"/>
      </rPr>
      <t xml:space="preserve"> , JUDEȚUL ILFOV                                      </t>
    </r>
  </si>
  <si>
    <r>
      <t xml:space="preserve">Contract nr. 106 / 28.06.2023 pentru servicii  </t>
    </r>
    <r>
      <rPr>
        <b/>
        <sz val="11"/>
        <color theme="1"/>
        <rFont val="Trebuchet MS"/>
        <family val="2"/>
      </rPr>
      <t xml:space="preserve">expertiza  tehnica  </t>
    </r>
    <r>
      <rPr>
        <sz val="11"/>
        <color theme="1"/>
        <rFont val="Trebuchet MS"/>
        <family val="2"/>
      </rPr>
      <t>de  specialitate -AMENAJAREA</t>
    </r>
    <r>
      <rPr>
        <b/>
        <sz val="11"/>
        <color theme="1"/>
        <rFont val="Trebuchet MS"/>
        <family val="2"/>
      </rPr>
      <t xml:space="preserve"> POLDERULUI GIULEȘTI – SÂRBI</t>
    </r>
    <r>
      <rPr>
        <sz val="11"/>
        <color theme="1"/>
        <rFont val="Trebuchet MS"/>
        <family val="2"/>
      </rPr>
      <t xml:space="preserve"> PENTRU PROTECȚIA ÎMPOTRIVA INUNDAȚIILOR A MUNICIPIUL BUCUREȘTI                               </t>
    </r>
  </si>
  <si>
    <r>
      <rPr>
        <b/>
        <sz val="11"/>
        <color theme="1"/>
        <rFont val="Calibri"/>
        <family val="2"/>
        <scheme val="minor"/>
      </rPr>
      <t>Popescu Sebastian-Nicolae</t>
    </r>
    <r>
      <rPr>
        <sz val="11"/>
        <color theme="1"/>
        <rFont val="Calibri"/>
        <family val="2"/>
        <scheme val="minor"/>
      </rPr>
      <t xml:space="preserve">
REGIA NATIONALA A PADURILOR RA DIRECTIA SILVICA ARGES OCOLUL SILVIC CURTEA DE ARGES</t>
    </r>
  </si>
  <si>
    <r>
      <t xml:space="preserve">In prezent- </t>
    </r>
    <r>
      <rPr>
        <b/>
        <sz val="11"/>
        <color theme="1"/>
        <rFont val="Trebuchet MS"/>
        <family val="2"/>
      </rPr>
      <t>31 decembrie 2023-</t>
    </r>
    <r>
      <rPr>
        <sz val="11"/>
        <color theme="1"/>
        <rFont val="Trebuchet MS"/>
        <family val="2"/>
      </rPr>
      <t xml:space="preserve"> sunt semnate 546 contracte de finantare, pentru 594 Centre de aprot voluntar. Suma de 7.888.727 Lei nu reprezinta valoarea unor contracte semnate, ci plati efectuate de MMAP ca cereri de transfer de fonduri in urma semnarii contractelor de finantare mentionate, pentru contracte de achizitii semnate inaintea contractelor de finantare. Pentru raportarea de fata au fost considerate ca fiind contracte semnate. Cei 1.577.747 euro au fost transformati in lei la cursul de 5 lei/euro. Contractele de achizitii in baza carora au fost facute aceste plati urmeaza sa fie incluse in tabel.</t>
    </r>
  </si>
  <si>
    <r>
      <rPr>
        <b/>
        <sz val="11"/>
        <color theme="1"/>
        <rFont val="Trebuchet MS"/>
        <family val="2"/>
      </rPr>
      <t xml:space="preserve">Explicații completare Tabel
</t>
    </r>
    <r>
      <rPr>
        <sz val="11"/>
        <color theme="1"/>
        <rFont val="Trebuchet MS"/>
        <family val="2"/>
      </rPr>
      <t xml:space="preserve">
</t>
    </r>
    <r>
      <rPr>
        <b/>
        <sz val="11"/>
        <color theme="1"/>
        <rFont val="Trebuchet MS"/>
        <family val="2"/>
      </rPr>
      <t>1.</t>
    </r>
    <r>
      <rPr>
        <sz val="11"/>
        <color theme="1"/>
        <rFont val="Trebuchet MS"/>
        <family val="2"/>
      </rPr>
      <t xml:space="preserve"> Se va păstra formatul tabelului și definirea formatului celulelor.
</t>
    </r>
    <r>
      <rPr>
        <b/>
        <sz val="11"/>
        <color theme="1"/>
        <rFont val="Trebuchet MS"/>
        <family val="2"/>
      </rPr>
      <t>2. Coloana C - Denumire investiție (reforma) / Proiect / Contract</t>
    </r>
    <r>
      <rPr>
        <sz val="11"/>
        <color theme="1"/>
        <rFont val="Trebuchet MS"/>
        <family val="2"/>
      </rPr>
      <t xml:space="preserve">: 
a) Fiecare investiție (reformă) se va detalia, după caz, cu proiectele prevăzute pentru investiția (reforma) în cauză, prin inserarea unei linii pentru fiecare proiect, astfel încât suma bugetelor PNRR alocate proiectelor să fie egală cu Bugetul PNRR alocat (€) investiției (reformei) respective și prevăzută în Tabelul inițial în Coloana H. 
b) Fiecare proiect se va detalia, după caz, cu contractele prevăzute pentru proiectul în cauză, prin inserarea unei linii pentru fiecare contract, astfel încât suma bugetelor PNRR alocate contractelor să fie egală cu Bugetul PNRR alocat proiectului (€), detaliate în Coloana H.
</t>
    </r>
    <r>
      <rPr>
        <b/>
        <sz val="11"/>
        <color theme="1"/>
        <rFont val="Trebuchet MS"/>
        <family val="2"/>
      </rPr>
      <t>3. Coloana J - Buget total alocat investiție (reformă)/proiect/contract fără TVA (€)</t>
    </r>
    <r>
      <rPr>
        <sz val="11"/>
        <color theme="1"/>
        <rFont val="Trebuchet MS"/>
        <family val="2"/>
      </rPr>
      <t xml:space="preserve">: se va completa valoarea totală (incluzând și celelalte surse de finanțare) a investiției (reformei)/proiectului/contractului fără TVA, astfel încât să se respecte detalierea similară coloanei H.
</t>
    </r>
    <r>
      <rPr>
        <b/>
        <sz val="11"/>
        <color theme="1"/>
        <rFont val="Trebuchet MS"/>
        <family val="2"/>
      </rPr>
      <t>4. Coloana K - Buget PNRR executat (€)</t>
    </r>
    <r>
      <rPr>
        <sz val="11"/>
        <color theme="1"/>
        <rFont val="Trebuchet MS"/>
        <family val="2"/>
      </rPr>
      <t xml:space="preserve">: se completează sumele respective, astfel încât să se respecte detalierea similară coloanei H.
</t>
    </r>
    <r>
      <rPr>
        <b/>
        <sz val="11"/>
        <color theme="1"/>
        <rFont val="Trebuchet MS"/>
        <family val="2"/>
      </rPr>
      <t>5. Coloana L - Buget total executat investiție (reformă)/proiect/contract fără TVA (€)</t>
    </r>
    <r>
      <rPr>
        <sz val="11"/>
        <color theme="1"/>
        <rFont val="Trebuchet MS"/>
        <family val="2"/>
      </rPr>
      <t xml:space="preserve">: se va completa suma totală plătită (incluzând și celelalte surse de finanțare) a investiției (reformei)/proiectului/contractului fără TVA, astfel încât să se respecte detalierea similară coloanei H.
</t>
    </r>
    <r>
      <rPr>
        <b/>
        <sz val="11"/>
        <color theme="1"/>
        <rFont val="Trebuchet MS"/>
        <family val="2"/>
      </rPr>
      <t>6. Coloana M - Județ implementare și Coloana N – Localitate implementare:</t>
    </r>
    <r>
      <rPr>
        <sz val="11"/>
        <color theme="1"/>
        <rFont val="Trebuchet MS"/>
        <family val="2"/>
      </rPr>
      <t xml:space="preserve"> în cazul proiectelor implementate în parteneriate sau a proiectelor implementate în mai multe zone se vor menționa toate județele și localitățile respective.
</t>
    </r>
    <r>
      <rPr>
        <b/>
        <sz val="11"/>
        <color theme="1"/>
        <rFont val="Trebuchet MS"/>
        <family val="2"/>
      </rPr>
      <t>7. Coloanele P, R, T, V, X, Z, AB și AJ:</t>
    </r>
    <r>
      <rPr>
        <sz val="11"/>
        <color theme="1"/>
        <rFont val="Trebuchet MS"/>
        <family val="2"/>
      </rPr>
      <t xml:space="preserve"> </t>
    </r>
    <r>
      <rPr>
        <b/>
        <sz val="11"/>
        <color theme="1"/>
        <rFont val="Trebuchet MS"/>
        <family val="2"/>
      </rPr>
      <t xml:space="preserve">
</t>
    </r>
    <r>
      <rPr>
        <sz val="11"/>
        <color theme="1"/>
        <rFont val="Trebuchet MS"/>
        <family val="2"/>
      </rPr>
      <t xml:space="preserve">DA: activitatea respectivă este realizată;
NU: activitatea respectivă nu este realizată;
N/A: nu este aplicabil în acel caz.
Obs.: Nu se vor completa alte informații în afară de DA sau NU sau N/A.
</t>
    </r>
    <r>
      <rPr>
        <b/>
        <sz val="11"/>
        <color theme="1"/>
        <rFont val="Trebuchet MS"/>
        <family val="2"/>
      </rPr>
      <t>8. Coloana P - Studiu Fezabilitate</t>
    </r>
    <r>
      <rPr>
        <sz val="11"/>
        <color theme="1"/>
        <rFont val="Trebuchet MS"/>
        <family val="2"/>
      </rPr>
      <t xml:space="preserve">: se va complete cu DA doar în cazul în care este aprobat.
</t>
    </r>
    <r>
      <rPr>
        <b/>
        <sz val="11"/>
        <color theme="1"/>
        <rFont val="Trebuchet MS"/>
        <family val="2"/>
      </rPr>
      <t>9. Coloanele Q, S, U, W, Y, AA și AC</t>
    </r>
    <r>
      <rPr>
        <sz val="11"/>
        <color theme="1"/>
        <rFont val="Trebuchet MS"/>
        <family val="2"/>
      </rPr>
      <t xml:space="preserve">: se va completa cu data planificată pentru activitatea respectivă, în formatul zz.ll.aaaa. În cazul în care în coloanele P, R, T, V, X, Z, AB s-a completat cu N/A se va completa și în coloanele Q, S, U, W, Y, AA și AC tot cu N/A.
</t>
    </r>
    <r>
      <rPr>
        <b/>
        <sz val="11"/>
        <color theme="1"/>
        <rFont val="Trebuchet MS"/>
        <family val="2"/>
      </rPr>
      <t>10. Coloana AD - Data estimată finalizare contract:</t>
    </r>
    <r>
      <rPr>
        <sz val="11"/>
        <color theme="1"/>
        <rFont val="Trebuchet MS"/>
        <family val="2"/>
      </rPr>
      <t xml:space="preserve"> se va completa data realistă, în formatul zz.ll.aaaa, în funcție de graficul de implementare și a altor informații relevante.
</t>
    </r>
    <r>
      <rPr>
        <b/>
        <sz val="11"/>
        <color theme="1"/>
        <rFont val="Trebuchet MS"/>
        <family val="2"/>
      </rPr>
      <t>11. Coloana AE - Data finalizare contract:</t>
    </r>
    <r>
      <rPr>
        <sz val="11"/>
        <color theme="1"/>
        <rFont val="Trebuchet MS"/>
        <family val="2"/>
      </rPr>
      <t xml:space="preserve"> data de finalizare conform contract, în formatul zz.ll.aaaa.
</t>
    </r>
    <r>
      <rPr>
        <b/>
        <sz val="11"/>
        <color theme="1"/>
        <rFont val="Trebuchet MS"/>
        <family val="2"/>
      </rPr>
      <t>12. Coloana AI - Stadiul implementării contractului (în termen, întârziat, în avans) / Dificultăți</t>
    </r>
    <r>
      <rPr>
        <sz val="11"/>
        <color theme="1"/>
        <rFont val="Trebuchet MS"/>
        <family val="2"/>
      </rPr>
      <t>: se completează cu în termen sau întârziat sau în avans. În cazul în care s-a completat întârziat se vor menționa dificultățile.</t>
    </r>
  </si>
  <si>
    <t>PN7122755683166/02.04.2024/ÎNFIINȚAREA DE TRUPURI DE PĂDURE ÎN CADRUL FERMEI AGRICOLE BORDIGNON GIUSEPPE S.R.L.</t>
  </si>
  <si>
    <t>Giulvăz</t>
  </si>
  <si>
    <t>AGRICOLA BORDIGNON GIUSEPPE SRL</t>
  </si>
  <si>
    <t>13494305</t>
  </si>
  <si>
    <t>Aușeu</t>
  </si>
  <si>
    <t>Tamași</t>
  </si>
  <si>
    <t>Cezieni</t>
  </si>
  <si>
    <t>Ciuceu</t>
  </si>
  <si>
    <t>Dor Mărunt</t>
  </si>
  <si>
    <t>Sălățig</t>
  </si>
  <si>
    <t>Balc</t>
  </si>
  <si>
    <t>Călărași
Sadova</t>
  </si>
  <si>
    <t>Todirești</t>
  </si>
  <si>
    <t>Cordăreni</t>
  </si>
  <si>
    <t>Someș Uiliec</t>
  </si>
  <si>
    <t>Dobârceni</t>
  </si>
  <si>
    <t>CONSTANTIN BURLACU</t>
  </si>
  <si>
    <t>ASOCIAȚIA DE PĂDURIT ȘI PĂȘUNAT AUȘANA</t>
  </si>
  <si>
    <t>Andrei Daniel Matieș</t>
  </si>
  <si>
    <t>Andrei-Alexandru ȘTEFĂNICĂ</t>
  </si>
  <si>
    <t>S.C. FERMA MAARTJE ELISABETH S.R.L.</t>
  </si>
  <si>
    <t>Marian Mircea</t>
  </si>
  <si>
    <t>Agroeuroserv S.R.L.</t>
  </si>
  <si>
    <t>NICOLETT-PETRA IMREH</t>
  </si>
  <si>
    <t>IANCU IORGOVEANU</t>
  </si>
  <si>
    <t>Marinel Bozga</t>
  </si>
  <si>
    <t>NICULAIE CHEHAIA</t>
  </si>
  <si>
    <t>BIO CASTAN URZICENI COOPERATIVĂ AGRICOLĂ</t>
  </si>
  <si>
    <t>Daniel Apetrei</t>
  </si>
  <si>
    <t>Asociația Silvică Cișmeaua Albă</t>
  </si>
  <si>
    <t>Primaria Comunei Todiresti</t>
  </si>
  <si>
    <t>Constantin - Cristian Dumitraș</t>
  </si>
  <si>
    <t>Asociația Proprietarilor de Pădure Privată Daneți - Dolj</t>
  </si>
  <si>
    <t>Mirela-Delia Caraba</t>
  </si>
  <si>
    <t>Alexandru Nitulescu</t>
  </si>
  <si>
    <t>1751004330769</t>
  </si>
  <si>
    <t>XH914161</t>
  </si>
  <si>
    <t>1930601046228</t>
  </si>
  <si>
    <t>34635024</t>
  </si>
  <si>
    <t>1620105282224</t>
  </si>
  <si>
    <t>25534861</t>
  </si>
  <si>
    <t>RO3928628</t>
  </si>
  <si>
    <t>6000218314012</t>
  </si>
  <si>
    <t>1860903360043</t>
  </si>
  <si>
    <t>5000703054779</t>
  </si>
  <si>
    <t>1640302130911</t>
  </si>
  <si>
    <t>1900310303701</t>
  </si>
  <si>
    <t>1771001224519</t>
  </si>
  <si>
    <t xml:space="preserve">45857859 </t>
  </si>
  <si>
    <t>4326922</t>
  </si>
  <si>
    <t>1740508134003</t>
  </si>
  <si>
    <t>27434354</t>
  </si>
  <si>
    <t>2770828243677</t>
  </si>
  <si>
    <t xml:space="preserve">PN5601239136920/02.04.2024/PNRR: Împădurirea terenurilor agricole deținute de Burlacu Constantin - Vadu Moldovei - Suceava </t>
  </si>
  <si>
    <t>PN7885449633762/05.04.2024/SPRIJIN PENTRU INVESTIȚII ÎN NOI SUPRAFEȚE OCUPATE DE PĂDURI ÎN COMUNA AUȘEU, JUDEȚUL BIHOR-ASOCIAȚIA DE PĂDURE ȘI PĂȘUNAT AUȘANA</t>
  </si>
  <si>
    <t>PN2266661269026/05.04.2024/Împădurire terenuri agricole în comuna Tamași, județul Bacău, pentru suprafața de 0,9584 ha, proprietate a persoanelor fizice Matieș Andrei Daniel și Ionela - Andreea</t>
  </si>
  <si>
    <t>PN0021693752788/09.04.2024/Împădurirea suprafețelor agricole în loc. Ostrov, jud. Constanța - 3ha</t>
  </si>
  <si>
    <t>PN1574854725412/09.04.2024/ÎMPĂDURIRE TEREN AGRICOL - FERMA MAARTJE ELISABETH</t>
  </si>
  <si>
    <t>PN5279585416694/09.04.2024/ÎMPĂDURIREA UNOR TERENURI ARABILE DIN COMUNA BRASTAVĂȚU, JUDEȚUL OLT</t>
  </si>
  <si>
    <t xml:space="preserve">PN5039198681821/09.04.2024/INVESTIȚIA ÎN NOI SUPRAFEȚE OCUPATE DE PĂDURI ÎN LOCALITATEA CIUCEU, JUDEȚUL SĂLAJ - FILIALA OCOLUL SILVIC BLIDARU </t>
  </si>
  <si>
    <t>PN7393385229974/09.04.2024/Împădurirea suprafețelor agricole aparținând Societății Comerciale Agroeuroserv S.R.L., aflate pe teritoriul Unității Administrativ Terirtoriale Dor Mărunt, jud. Călărași</t>
  </si>
  <si>
    <t>PN0468237344768/09.04.2024/Sprijin pentru investiții în noi suprafețe ocupate de păduri din cadrul PNRR - titular IMREH NICOLETT-PETRA</t>
  </si>
  <si>
    <t>PN6932484928249/09.04.2024/TRUP DE PĂDURE ÎN COMUNA TORTOMAN, JUDEȚUL CONSTANȚA</t>
  </si>
  <si>
    <t>PN8673009498352/09.04.2024/SPRIJIN PENTRU INVESTIȚII ÎN NOI SUPRAFEȚE OCUPATE DE PĂDURI DIN CADRUL PNRR - BOZGA MARINEL</t>
  </si>
  <si>
    <t>PN9272117478326/12.04.2024/SPRIJIN PENTRU INVESTIȚII ÎN NOI SUPRAFEȚE OCUPATE DE PĂDURI, DIN CADRUL PRGRAMULUI NAȚIONAL DE REDRESARE ȘI REZILIENȚĂ, SUPRAFAȚA DE ÎMPĂDURIRE - 9,57 HA, BENEFICIAR CHEHAIA NICULAIE</t>
  </si>
  <si>
    <t>PN2490748423985/12.04.2024/SPRIJIN PENTRU INVESTIȚII ÎN NOI SUPRAFEȚE OCUPATE DE PĂDURI ÎN COMUNA URZICENI, JUDEȚUL SATU MARE - BIO CASTAN URZICENI COOPERATIVĂ AGRICOLĂ</t>
  </si>
  <si>
    <t>PN6826916227733/16.04.2024/PNRR: Împădurirea terenurilor agricole deținute de Apetrei Daniel - UAT Româneți - Județul Iași</t>
  </si>
  <si>
    <t>PN8129561378711/16.04.2024/Schema de ajutor de stat SPRIJIN PENTRU INVESTIȚII ÎN NOI SUPRAFEȚE OCUPATE DE PĂDURI din PNRR, pentru suprafața de 31,3455 ha, beneficiar ASOCIAȚIA SILVICĂ CIȘMEAUA ALBĂ</t>
  </si>
  <si>
    <t>PN5753458665569/16.04.2024/PNRR: Împădurirea terenurilor agricole deținute de UAT Todirești- Suceava</t>
  </si>
  <si>
    <t>PN2640343728444/16.04.2024/SPRIJIN PENTRU INVESTIȚII ÎN NOI SUPRAFEȚE OCUPATE DE PĂDURI DIN CADRUL PNRR, PROPRIETAR DUMITRAȘ CONSTANTIN CRISTIAN, COMUNA CORDĂRENI, JUDEȚUL BOTOȘANI</t>
  </si>
  <si>
    <t>PN1555985413111/23.04.2024/ÎMPĂDURIRE TERENURI AGRICOLE - DANEȚI IV</t>
  </si>
  <si>
    <t>PN1796995432780/30.04.2024/PROIECT TEHNIC DE ÎMPĂDURIRE Someș Uileac - Caraba Mirela-Delia</t>
  </si>
  <si>
    <t>PN4014647483409/30.04.2024/Împădurirea terenului agricol situat în localitatea Dobârceni, județul Botoșani, beneficiar Nițulescu Alexandru</t>
  </si>
  <si>
    <t>Remeți</t>
  </si>
  <si>
    <t>ASOCIATIA COMPOSESORALA TERKO</t>
  </si>
  <si>
    <t>REGIA NAŢIONALĂ A PĂDURILOR ROMSILVA DIRECŢIA SILVICĂ BIHOR RA</t>
  </si>
  <si>
    <t>13255987</t>
  </si>
  <si>
    <t>C2I1B0123000068/30.04.2024/Reîmpădurirea suprafețelor afectate de doborâturi de vânt din anul 2020 în județul Harghita – Asociația Composesorală Terkő</t>
  </si>
  <si>
    <t>C2I1B0123000071/30.04.2024/REÎMPĂDURIRE UP I, u.a. 94B, 103A, 103B, 104A CANTON 1, O.S. REMEȚI</t>
  </si>
  <si>
    <t>C2I1B0123000072/30.04.2024/REÎMPĂDURIRE UP I, u.a. 117E,121C, 131C, 144A CANTON 2, O.S. REMEȚI</t>
  </si>
  <si>
    <t>C2I1B0123000073/30.04.2024/REÎMPĂDURIRE UP II, u.a. 1B CANTON 3, O.S. REMEȚI</t>
  </si>
  <si>
    <t>C2I1B0123000075/30.04.2024/REÎMPĂDURIRE UP IV, u.a. 11A, 28C din CANTON 7 O.S. REMEȚI</t>
  </si>
  <si>
    <t>C2I1B0123000076/30.04.2024/REÎMPĂDURIRE UP IV, u.a. 54A, 61B, 63, 71B, 74 DIN CANTON 8 O.S. REMEȚI</t>
  </si>
  <si>
    <t>Factura 2596/ 04.03.2024/ ISC (inspectoratul de stat în construcții)</t>
  </si>
  <si>
    <t>Factura 2597/ ISC/04.03.2024/ (inspectoratul de stat în construcții)</t>
  </si>
  <si>
    <t>Factura 2598/04.03.2024/ ISC</t>
  </si>
  <si>
    <t>5455/22.06.2023/servicii securitatea muncii (SSM) - achiziție directa</t>
  </si>
  <si>
    <t>Haralambie SRL</t>
  </si>
  <si>
    <t>Achiziție directă</t>
  </si>
  <si>
    <t>Servicii de dirigenție de șantier la obiectivul Corectarea torenților din bazinul hidrografic Maghernița, PFA PAȘCOVICI T. CONSTANTIN/ Contract nr.  10554/18.01.2024</t>
  </si>
  <si>
    <t xml:space="preserve">Lucrari de corectarea torentilor Fetig et. a III-a, jud. Vrancea, SC HEPTAOCEAN S.R.L. / Contract nr.  942 / 06.02.2024 </t>
  </si>
  <si>
    <t>01.03.2026</t>
  </si>
  <si>
    <t>SCAN1099187/16.02.2024</t>
  </si>
  <si>
    <t>ISC</t>
  </si>
  <si>
    <t>CSC Buzău - 11054090</t>
  </si>
  <si>
    <t>Referat 1927/24.03.2024 aferent factura 011111/29.02.2024 - Cota 0.5% - Casa sociala a constructorilor</t>
  </si>
  <si>
    <t>Factura IMH-7741/19.02.2024  Publicare anunț Corectarea torentilor- Paraul Tisau -Cheia -Derularea lucrarilor</t>
  </si>
  <si>
    <t>37678232/ J10/1052/2017</t>
  </si>
  <si>
    <t>RO37678232</t>
  </si>
  <si>
    <t>Factura IMH-7740/29.02.2024 - Publicare anunț Corectarea torentilor din bazinul hidrografic Paraul Casele Bisocii -Derularea lucrarilor</t>
  </si>
  <si>
    <r>
      <t xml:space="preserve">Contract servicii dirigenție șantier CT SCANTEIA, SC HIDROTOP SRL /Contract nr. </t>
    </r>
    <r>
      <rPr>
        <sz val="11"/>
        <color rgb="FFFF0000"/>
        <rFont val="Trebuchet MS"/>
        <family val="2"/>
      </rPr>
      <t xml:space="preserve"> 7540</t>
    </r>
    <r>
      <rPr>
        <sz val="11"/>
        <color theme="1"/>
        <rFont val="Trebuchet MS"/>
        <family val="2"/>
      </rPr>
      <t>/237/ 31.07.2023</t>
    </r>
  </si>
  <si>
    <t>974/31.01.2024/Execuție lucrări - Corectarea torenților din bazinul hidrografic Izvorul Negru, etapa a Iia</t>
  </si>
  <si>
    <t>RO1590120</t>
  </si>
  <si>
    <t>2888/11.03.2024/Servicii consultanță SSM - Izvorul Negru etapa II</t>
  </si>
  <si>
    <t>11.03.2026</t>
  </si>
  <si>
    <t>2398/28.02.2024 - Contract de achiziție publică de servicii de dirigenție de șantier - Izvorul Negru, etapa II</t>
  </si>
  <si>
    <t>12929/18.12.2023 - Execuție lucrări corectarea torenților în bazinul hidrografic Pârâul Negru, jud. Bacău</t>
  </si>
  <si>
    <t>2887/11.03.2024 - Servicii SSM - Pârâul Negru</t>
  </si>
  <si>
    <t>2231/26.02.2024 - Dirigenție de șantier Stramtura Scaune, pârâul Asău, jud Bacău</t>
  </si>
  <si>
    <t>2232/26.02.2024 - Dirigenție de șantier Pârâul Negru, Bacău</t>
  </si>
  <si>
    <t>2286/11.03.2024 - Servicii SSM - Stramtura Scaune, Asău</t>
  </si>
  <si>
    <t>PN9503459100072/09.05.2024/Înființarea unei plantații forestiere conform PNRR/2022/C2/I.1.A și obținerea sprijin pentru investiții în noi suporafețe de păduri pe terenuri degradate</t>
  </si>
  <si>
    <t>Scheia</t>
  </si>
  <si>
    <t>Valentin Adrian Acatrinei</t>
  </si>
  <si>
    <t>PN0198533871740/16.05.2024/Sprijin pentru investiții în noi suprafețe ocupate de păduri din cadrul PNRR - SIDEA Teodor</t>
  </si>
  <si>
    <t>Teodor SIDEA</t>
  </si>
  <si>
    <t>PN4802321553574/16.05.2024/Schema de ajutor de stat SPRIJIN PENTRU INVESTIȚII ÎN NOI SUPRAFEȚE OCUPATE DE PĂDURI din PNRR pentru suprafața de 8 ha, beneficiar MORARIU MARIAN-SILVIU, amplasat pe raza UAT Salcia, jud. Mehedinți</t>
  </si>
  <si>
    <t>MARIAN-SILVIU MORARIU</t>
  </si>
  <si>
    <t>PN9546782718290/16.05.2024/Împădurirea terenului agricol proprietatea lui Simon Marton, amplasat în localitatea Tonciu, județul Bistrița Năsăud</t>
  </si>
  <si>
    <t>Tonciu</t>
  </si>
  <si>
    <t>MARTON SIMON</t>
  </si>
  <si>
    <t>PN5681478158205/21.05.2024/PROIECT TEHNIC DE ÎMPĂDURIRE - ÎNTREPRINDERE INDIVIDUALĂ FOALE ADRIAN SEBASTIAN</t>
  </si>
  <si>
    <t>FOALE ADRIAN SEBASTIAN ÎNTREPRINDERE INDIVIDUALĂ</t>
  </si>
  <si>
    <t>PN9789220940990/22.05.2024/PROIECT TEHNIC DE ÎMPĂDURIRE Someș Uileac - Morar George Vasile</t>
  </si>
  <si>
    <t>George Vasile Morar</t>
  </si>
  <si>
    <t>PN4368415704612/22.05.2024/Împădurirea și împrejmuirea a 3 parcele de teren in suprafață totală de 16.11 ha, în zona localității Răstolțu Deșert, comuna Agrij, județul Sălaj, prin schema de ajutor de stat "Sprijin pentru Investiții în noi suprafețe ocupate de păduri” din cadrul PNRR-titular NEGRAN SORIN-VASILE</t>
  </si>
  <si>
    <t>Răstolțu Deșert</t>
  </si>
  <si>
    <t>Sorin Vasile Negran</t>
  </si>
  <si>
    <t>PN0825163102059/23.05.2024/Împădurire a 3,21 ha pe raza comunei PUTINEIU, jud. GIURGIU, prin PNRR</t>
  </si>
  <si>
    <t>Putineiu</t>
  </si>
  <si>
    <t>BIȚĂ RĂCMAN</t>
  </si>
  <si>
    <t>C2I1B0123000079/09.05.2024/Teren de reimpadurit - Sub Preluca Tiflelor</t>
  </si>
  <si>
    <t>Romuli</t>
  </si>
  <si>
    <t>OCOLUL SILVIC COMUNAL ROMULI RA</t>
  </si>
  <si>
    <t>C2I1B0123000070/28.05.2024/Reimpadurirea subparcelei 25B, proprietatea Composesoratului Arcus</t>
  </si>
  <si>
    <t>COMPOSESORATUL ARKOSI VADAS KOZBIRTOKOSSAG</t>
  </si>
  <si>
    <t>13063914</t>
  </si>
  <si>
    <t>Arcuş</t>
  </si>
  <si>
    <t>C2I1B0123000074/28.05.2024/REÎMPĂDURIREUP II, u.a. 140B, 142, 145, 146, 147, 149A, 149B CANTON 5, O.S. REMEȚI</t>
  </si>
  <si>
    <t>C2I1B0123000080/28.05.2024/REÎMPĂDURIRE  U.P.II STÂNA DE VALE, U.A.19C</t>
  </si>
  <si>
    <t>EPISCOPIA ROMANA UNITA CU ROMA, GRECO - CATOLICA, DE ORADEA</t>
  </si>
  <si>
    <t>4784083</t>
  </si>
  <si>
    <t xml:space="preserve">C2I1B0123000081/28.05.2024/Reîmpădurire teren forestier Bistra-Cofuri Șieuț </t>
  </si>
  <si>
    <t>REGIA AUTONOMA OCOLUL SILVIC VALEA ŞIEULUI RA</t>
  </si>
  <si>
    <t>25725314</t>
  </si>
  <si>
    <t>C2I1B0123000065/12.04.2024/Proiect reîmpădurire Obște Tulnici</t>
  </si>
  <si>
    <t>Tulnici</t>
  </si>
  <si>
    <t>14154310</t>
  </si>
  <si>
    <t>PN2643289120615/30.05.2024/Împădurirea terenului agricol aflat in folosinta persoanei fizice Vlad-Drăghici Horațiu-George situat în extravilanul satului Cobor, comuna Ticușu, judeţul Braşov</t>
  </si>
  <si>
    <t>Cobor</t>
  </si>
  <si>
    <t>HORATIU-GEORGE VLAD-DRĂGHICI</t>
  </si>
  <si>
    <t>1770420082415</t>
  </si>
  <si>
    <t>PN6470713714429/30.05.2024/Proiect tehnic de împădurire - persoană fizică Crașcovan Lucian-Flavius</t>
  </si>
  <si>
    <t>Lățunaș</t>
  </si>
  <si>
    <t>Lucian Flavius Crașovan</t>
  </si>
  <si>
    <t>1780422354836</t>
  </si>
  <si>
    <t>PN1601037322418/29.05.2024/Împădurirea terenului agricol degradat proprietatea lui Rus Ioan, amplasat în localitatea Rodna, județul Bistrița-Năsăud</t>
  </si>
  <si>
    <t>Ioan Rus</t>
  </si>
  <si>
    <t>1680226311257</t>
  </si>
  <si>
    <t>20.12.2023</t>
  </si>
  <si>
    <t>CAN 1118908/09.01.2024</t>
  </si>
  <si>
    <t>Rambursat prin CT1/R/5813/15.02.2024</t>
  </si>
  <si>
    <t>21.12.2023</t>
  </si>
  <si>
    <t>04.03.2024</t>
  </si>
  <si>
    <t>neconform</t>
  </si>
  <si>
    <t>perioada de valabilitate a contractului expirată</t>
  </si>
  <si>
    <t>CAN1124666 / 12.04.2024</t>
  </si>
  <si>
    <t>livrate</t>
  </si>
  <si>
    <t xml:space="preserve">livrate </t>
  </si>
  <si>
    <t xml:space="preserve">Comanda nr. 14 -Studiu de amplasare  video si monitorizare video.
</t>
  </si>
  <si>
    <t>05.05.2023</t>
  </si>
  <si>
    <t>ELECTRONIC PROTECT SRL</t>
  </si>
  <si>
    <t>DA33197290- cumparare directa</t>
  </si>
  <si>
    <t xml:space="preserve">Contract de servicii 49/22.06.2023 Elaborare studii topografice, geotehnice si amenajarea si revitalizarea peisajului natural. </t>
  </si>
  <si>
    <t>06.07.2023</t>
  </si>
  <si>
    <t>30.11.2023</t>
  </si>
  <si>
    <t>PROCARDO SRL</t>
  </si>
  <si>
    <t xml:space="preserve">DAN 19444418 Notificare de atribuire la cumparare directa </t>
  </si>
  <si>
    <t>C2/R1/ Ctr. 109/22.08.2022-Servicii de consultanță și expertiză cu privire la procedura de evaluare de mediu și a studiului de evaluare adecvată pentru Strategia națională a pădurlor 2020-2030</t>
  </si>
  <si>
    <t>22.08.2022</t>
  </si>
  <si>
    <t>( 60 de zile dar nu mai mult de )28/09/2022</t>
  </si>
  <si>
    <t>SC Epc-Consultanță de Mediu SRL</t>
  </si>
  <si>
    <t>achiziție directă</t>
  </si>
  <si>
    <t xml:space="preserve">C2/R1/ Ctr.23/28.02.2022-Servicii de cercetare pentru elaborarea studiului independent și a Strategiei Naționale a Pădurilor 2020-2030, obligație stabilită prin Programul Național de Redresare și Reziliență  </t>
  </si>
  <si>
    <t>CN1038554</t>
  </si>
  <si>
    <t>22.02.2022</t>
  </si>
  <si>
    <t>30.09.2022</t>
  </si>
  <si>
    <t>Universitatea Transilvania din Brasov</t>
  </si>
  <si>
    <t>CAN1074335</t>
  </si>
  <si>
    <t>CN1050708</t>
  </si>
  <si>
    <t>01.03.2023</t>
  </si>
  <si>
    <t>CAN1099263</t>
  </si>
  <si>
    <t xml:space="preserve">MMAP </t>
  </si>
  <si>
    <t>04.12.2023</t>
  </si>
  <si>
    <t>30.12.2023</t>
  </si>
  <si>
    <t>13.12.2023</t>
  </si>
  <si>
    <t>31.03.2024</t>
  </si>
  <si>
    <t>CN1054504</t>
  </si>
  <si>
    <t>16.08.2023</t>
  </si>
  <si>
    <t>31.12.2025</t>
  </si>
  <si>
    <t>CAN1109805</t>
  </si>
  <si>
    <t xml:space="preserve">Contract nr 17/13.04.2023- Contract de servicii suport achiziții publice </t>
  </si>
  <si>
    <t>DAN1906997</t>
  </si>
  <si>
    <t>13.04.2023</t>
  </si>
  <si>
    <t>Public procurement consultancy SRL- 46488245</t>
  </si>
  <si>
    <t>DA30970084</t>
  </si>
  <si>
    <t>08.07.2022</t>
  </si>
  <si>
    <t>08.07.2023</t>
  </si>
  <si>
    <t>TDP PARTNERS SRL RO21165737</t>
  </si>
  <si>
    <t>Contract nr. 1/04.01.2024-Servicii de management financiar</t>
  </si>
  <si>
    <t>DAN2084914</t>
  </si>
  <si>
    <t>04.01.2024</t>
  </si>
  <si>
    <t>SC Seph3ra Management Solutions SRL- RO 41312689</t>
  </si>
  <si>
    <t>14.03.2023</t>
  </si>
  <si>
    <t>13.12.2024</t>
  </si>
  <si>
    <t>DAN1951087</t>
  </si>
  <si>
    <t>30.06.2023</t>
  </si>
  <si>
    <t>SMART MIND SOLUTIONS S.R.L- RO 29169831</t>
  </si>
  <si>
    <t>Contract nr. 60/07.11.2023- Servicii de management financiar</t>
  </si>
  <si>
    <t>ADV1385377</t>
  </si>
  <si>
    <t>07.11.2023</t>
  </si>
  <si>
    <t>IVA COMMUNICATION &amp; RESEARCH SRL-RO 38506235</t>
  </si>
  <si>
    <t>Contract nr 101/PNRR/21.03.2024 Sistem de tip UAV</t>
  </si>
  <si>
    <t>21.05.2024</t>
  </si>
  <si>
    <t>CAN1125115</t>
  </si>
  <si>
    <t>finalizată</t>
  </si>
  <si>
    <t xml:space="preserve">Contract nr. 141/23.04.2024 Furnizare sistem/modul de comunicatii (207 terminale TETRA portabile și 45 terminare TETRA mobile) Sistem/modul de comunicații  Link-ul de comunicații va fi compus din  terminale radio (de tip all-outdoor) formând un wireless bridge </t>
  </si>
  <si>
    <t>207 terminale TETRA portabile și 45 terminare TETRA mobile</t>
  </si>
  <si>
    <t>23.04.2024</t>
  </si>
  <si>
    <t>23.10.2024+30 ZILE PREGĂTIRE</t>
  </si>
  <si>
    <t>CAN1125593</t>
  </si>
  <si>
    <t>17.05.2023</t>
  </si>
  <si>
    <t>30.09.2025</t>
  </si>
  <si>
    <t>06.06.2025</t>
  </si>
  <si>
    <t>05.09.2023</t>
  </si>
  <si>
    <t>05.09.2024</t>
  </si>
  <si>
    <t>12.01.2024</t>
  </si>
  <si>
    <t>12.03.2025</t>
  </si>
  <si>
    <t>CAN1119941</t>
  </si>
  <si>
    <t>15.12.2024</t>
  </si>
  <si>
    <t>CAN1118037</t>
  </si>
  <si>
    <t>Comanda nr.2932/DBFA- Servicii de publicitate</t>
  </si>
  <si>
    <t>DA31982444</t>
  </si>
  <si>
    <t>24.11.2022</t>
  </si>
  <si>
    <t>Contract nr. 42/25.05.2023-Servicii de consultanta tehnica pentru elaborarea caietului de sarcini aferent achizitiei de echipamente de laborator si pentru activitati conexe</t>
  </si>
  <si>
    <t>SCN1122230</t>
  </si>
  <si>
    <t>25.05.2023</t>
  </si>
  <si>
    <t>SCNA1087127</t>
  </si>
  <si>
    <t>03.10.2022</t>
  </si>
  <si>
    <t>03.12.2022</t>
  </si>
  <si>
    <t>DAN1767427</t>
  </si>
  <si>
    <t xml:space="preserve"> OP NR. 6613,6579/21.11.2022</t>
  </si>
  <si>
    <t>SCN1121291</t>
  </si>
  <si>
    <t>26.04.2023</t>
  </si>
  <si>
    <t>26.04.2024</t>
  </si>
  <si>
    <t>SCNA1088852</t>
  </si>
  <si>
    <t>OP 4420, 4421/06.09.2023</t>
  </si>
  <si>
    <t>Contract nr. 50/25.04.2024-Servicii de dezvoltare și implementae a unui sistem national de monitorizare prin intermediul imaginilir satelitare, obligatie stabilita prin PNRR-C7I5</t>
  </si>
  <si>
    <t>CN1054693</t>
  </si>
  <si>
    <t>25.04.2024</t>
  </si>
  <si>
    <t>CAN1125681</t>
  </si>
  <si>
    <t>48/15.12.2022 - achiziție directa servicii publicitate</t>
  </si>
  <si>
    <t>29.12.2022</t>
  </si>
  <si>
    <t>C8</t>
  </si>
  <si>
    <t>Ctr. 29/.......-Furnizare stații desktop PC</t>
  </si>
  <si>
    <t>CN1058895</t>
  </si>
  <si>
    <t>-</t>
  </si>
  <si>
    <t>ETA2U SRL</t>
  </si>
  <si>
    <t>CAN1123211</t>
  </si>
  <si>
    <t xml:space="preserve">Semnarea contractului a fost întârziată din cauza ca a fost depusa contestatie  decizie CNSC la Curtea de Apel </t>
  </si>
  <si>
    <t>31.12.2022</t>
  </si>
  <si>
    <t>Investiția/
Reforma</t>
  </si>
  <si>
    <t>Denumire investiție /reformă</t>
  </si>
  <si>
    <t>Buget eligibil total executat pe investiție/reformă (Euro)</t>
  </si>
  <si>
    <t>Buget eligibil total executat pe investiție/reformă (Lei)</t>
  </si>
  <si>
    <t>Durata de timp (Nr de luni) consumată/contract de finanțare</t>
  </si>
  <si>
    <t>Progres Financiar/contract de finanțare</t>
  </si>
  <si>
    <t>Nume Beneficiar</t>
  </si>
  <si>
    <t>Progres Fizic/contract/ordin de finanțare</t>
  </si>
  <si>
    <t>Buget eligibil total executat pe contract/ordin de finanțare (Lei)</t>
  </si>
  <si>
    <t>Buget eligibil total executat pe contract/ordin de finanțare (Euro)</t>
  </si>
  <si>
    <t xml:space="preserve">Livrabile/contract/ordin de finanțare                     </t>
  </si>
  <si>
    <t>Termen livrabile/contract/ordin de finanțare</t>
  </si>
  <si>
    <t xml:space="preserve">Tipuri de contract de achiziții publice Servicii/Produse/Lucrări </t>
  </si>
  <si>
    <t>Obiectul contractului de achiziții publice</t>
  </si>
  <si>
    <t>Codul CPV</t>
  </si>
  <si>
    <t>Valoarea estimată fără TVA (Lei)</t>
  </si>
  <si>
    <t>Valoarea estimată fără TVA (Euro)</t>
  </si>
  <si>
    <t>Curs Valutar 1 Euro= lei</t>
  </si>
  <si>
    <t>Data planificată inițierii procedurii de atribuire conform Planului de Achiziții al Proiectului</t>
  </si>
  <si>
    <t>Data planificată finalizării procedurii de atribuire conform Planului de Achiziții al Proiectului</t>
  </si>
  <si>
    <t>Tipul procedurii de atribuire a contractului de achiziție publică/acord cadru/achiziție directă</t>
  </si>
  <si>
    <t>Nr. si data anunț de inițiere procedura de atribuire a unui contract de achiziției publica/Nr.si data de inițiere a unei modalitati speciale de atribuire (acord-cadru)/Nr. si data anunț publicitar din catalog electronic (ADV) sau anunț de inițiere (DA) in SEAP. Pentru procedura de simplificată intr-o singura etapă (SCN)/Licitație deschisă (CN)</t>
  </si>
  <si>
    <t>Nr. si data anunț de atribuire; Pentru procedura simplificată intr-o singură etapă (SCAN); pentru licitație deschisă (CAN); pentru achiziție directă (ADV/DA)</t>
  </si>
  <si>
    <t>Nr. raport al procedurii de atribuire</t>
  </si>
  <si>
    <t>Nr. Decizie CNSC, ca urmarea contestației, dacaă este cazul</t>
  </si>
  <si>
    <t>Nr. hotărâre judecatorească,, ca urmarea contestației, dacă este cazul</t>
  </si>
  <si>
    <t>Nume Operator economic declarat câștigător (ofertat/ofertant asociat-Lider/ofertant subcontractor/ofertant terț sustinator)</t>
  </si>
  <si>
    <t>Durata de executare/vabilitatea angajamentului legal (contract/contract subsecvent/comandă)</t>
  </si>
  <si>
    <t>Nr., data semnării și intrării in viguoarea  agajamentului legal (contract/contractului subsecvent/comandă)</t>
  </si>
  <si>
    <t>Nr., data semnării și intrării in viguoarea  a modalității speciale de atribuire (acord-cadru), dacaă este cazul</t>
  </si>
  <si>
    <t>Durata de executare/vabilitatea a modalității speciale de atribuire (acord-cadru), dacaă este cazul</t>
  </si>
  <si>
    <t>Valoarea contractual acceptată a angajamentului legal (fără TVA) lei</t>
  </si>
  <si>
    <t>Valoarea contractual acceptată a angajamentului legal (fără TVA) Euro</t>
  </si>
  <si>
    <t>Durata de prestarea serviciilor/furnizarea bunurior/execuție a lucrărilor raportat la Ordinul Administrativ de Inceperea prestării/furnizării/execuție lucrărilor, dacă există</t>
  </si>
  <si>
    <t>CUI/CIF Ofertant/Ofertant asociat-Lider declarat câștigător</t>
  </si>
  <si>
    <t>Livrabile vizate raportate la tipul, obiectul si natura contractului (documentații tehnico economice elaborate la numite faze de proiectare/documentații tehnice pentru obținerea avizelor/acordurilor/autorizațiilor/documentații pentru expertize/taxe acorduri/ISC/produse/lucrări etc)</t>
  </si>
  <si>
    <t>Canitate livrabil.</t>
  </si>
  <si>
    <t>Termen de Prestat/furnizat/executat</t>
  </si>
  <si>
    <t>Nr si data Proces Verbal de Recepție/Notă de Recepție și Constatare Diferente</t>
  </si>
  <si>
    <t>Valoarea totală (in lei) propusă la plată conform PV Recepție/NRCD</t>
  </si>
  <si>
    <t>Nr. Factură</t>
  </si>
  <si>
    <t>Nr. si data Cerere de Transfer/Cerere de Rambursare</t>
  </si>
  <si>
    <t>Nr.OP</t>
  </si>
  <si>
    <t>Nr. si data Raport de nereguli, dacă este cazul</t>
  </si>
  <si>
    <t>Valoarea (in lei) livrabil previzionat a fi recepționat</t>
  </si>
  <si>
    <t>ANGAJARE</t>
  </si>
  <si>
    <t>Nr si data Nota de Autorizare</t>
  </si>
  <si>
    <t>Autorizare</t>
  </si>
  <si>
    <t>Plată</t>
  </si>
  <si>
    <t>Nereguli</t>
  </si>
  <si>
    <t>ORAS SANTANA</t>
  </si>
  <si>
    <t>SERVICII</t>
  </si>
  <si>
    <t>SERVICII DE MASURATORI SI DOCUMENTATIE PRIMA INSCRIERE STRADA ION VIDU</t>
  </si>
  <si>
    <t>71354300-7</t>
  </si>
  <si>
    <t>ACHIZITIE DIRECTA</t>
  </si>
  <si>
    <t>DA32538044/08.02.2023</t>
  </si>
  <si>
    <t xml:space="preserve">               -</t>
  </si>
  <si>
    <t xml:space="preserve">                  -</t>
  </si>
  <si>
    <t xml:space="preserve"> -</t>
  </si>
  <si>
    <t xml:space="preserve">                    -</t>
  </si>
  <si>
    <t>P.F.A.TRANCOTA VICTOR -TOPOGRAF AUTORIZAT</t>
  </si>
  <si>
    <t>12/10.02.2023</t>
  </si>
  <si>
    <t xml:space="preserve">                       -</t>
  </si>
  <si>
    <t xml:space="preserve">                     -</t>
  </si>
  <si>
    <t xml:space="preserve">                          -</t>
  </si>
  <si>
    <t xml:space="preserve">                                  -</t>
  </si>
  <si>
    <t xml:space="preserve">                         -</t>
  </si>
  <si>
    <t>5320/28.02.2023</t>
  </si>
  <si>
    <t xml:space="preserve">                            -</t>
  </si>
  <si>
    <t xml:space="preserve">                               -</t>
  </si>
  <si>
    <t>SERVICII DE DOCUMENTATIE RECEPTIE TEHNICA CF317111,STR.CLOSCA, CF308975, STR.GRIVITA REDUTA, CF302365, STR.8MARTIE, CF302364, STR.VASILE CUCU, CF308894,STR.SOMESULUI SI STR.ION VIDU</t>
  </si>
  <si>
    <t xml:space="preserve">                 -</t>
  </si>
  <si>
    <t>DA32538196/08.02.2023</t>
  </si>
  <si>
    <t xml:space="preserve">                -</t>
  </si>
  <si>
    <t xml:space="preserve">                   -</t>
  </si>
  <si>
    <t>13/10.02.2023</t>
  </si>
  <si>
    <t xml:space="preserve">                                -</t>
  </si>
  <si>
    <t xml:space="preserve">                      -</t>
  </si>
  <si>
    <t xml:space="preserve">                              -</t>
  </si>
  <si>
    <t>71322200-3</t>
  </si>
  <si>
    <t>DA32539006/08.02.2023</t>
  </si>
  <si>
    <t>DA32539006/09.02.2023</t>
  </si>
  <si>
    <t>SC OGAUS TECHNOLOGY SRL</t>
  </si>
  <si>
    <t>14/10.02.2023</t>
  </si>
  <si>
    <t xml:space="preserve">                        -</t>
  </si>
  <si>
    <t>3717/17.02.2023</t>
  </si>
  <si>
    <t>355;356;357</t>
  </si>
  <si>
    <t>SERVICII DE CONSULTANTA PRIVIND SCRIEREA SI DEPUNEREA CERERII DE FINANTARE PENTRU OBIECTIVUL ,,EXTINDERE RETELE DE CANALIZARE IN ORASUL SANTANA - STR.CLOSCA, STR.GRIVITA, STR.SOMESULUI, STR.VASILE CUCU, STR.ION VIDU, STR.8MARTIE SI EXTINDERE RETEA DE ALIMENTARE CU APA-STR.CLOSCA”</t>
  </si>
  <si>
    <t>79420000-4</t>
  </si>
  <si>
    <t>SERVICII PRIVIND ELABORARE STUDIU DE FEZABILITATE, ELABORARE PT SI PAC, ELABORARE STUDIU GEOTEHNIC PENTRU OBIECTIVUL ,,EXTINDERE RETELE DE CANALIZARE IN ORASUL SANTANA - STR.CLOSCA, STR.GRIVITA, STR.SOMESULUI, STR.VASILE CUCU, STR.ION VIDU, STR.8MARTIE SI EXTINDERE RETEA DE ALIMENTARE CU APA-STR.CLOSCA”</t>
  </si>
  <si>
    <t>DA32586171/15.02.2023</t>
  </si>
  <si>
    <t>SC BUSINESS DEVELOPING GROUP SRL</t>
  </si>
  <si>
    <t>18/15.02.2023</t>
  </si>
  <si>
    <t>5075/27.02.2023</t>
  </si>
  <si>
    <t xml:space="preserve">                             -</t>
  </si>
  <si>
    <t>LUCRARI</t>
  </si>
  <si>
    <t xml:space="preserve"> ,,EXTINDERE RETELE DE CANALIZARE IN ORASUL SANTANA - STR.CLOSCA, STR.GRIVITA, STR.SOMESULUI, STR.VASILE CUCU, STR.ION VIDU, STR.8MARTIE SI EXTINDERE RETEA DE ALIMENTARE CU APA-STR.CLOSCA”</t>
  </si>
  <si>
    <t>45232400-6</t>
  </si>
  <si>
    <t>PROCEDURA SIMPLIFICATA</t>
  </si>
  <si>
    <t>SCN1149528/04.07.2024</t>
  </si>
  <si>
    <t xml:space="preserve">              -</t>
  </si>
  <si>
    <t>SERVICII DE MANAGEMENT PE PARCURSUL IMPLEMENTARII PROIECTULUI,,EXTINDERE RETELE DE CANALIZARE IN ORASUL SANTANA - STR.CLOSCA, STR.GRIVITA, STR.SOMESULUI, STR.VASILE CUCU, STR.ION VIDU, STR.8MARTIE SI EXTINDERE RETEA DE ALIMENTARE CU APA-STR.CLOSCA”</t>
  </si>
  <si>
    <t>DA36111317/10.07.2024</t>
  </si>
  <si>
    <t>DA36111317/11.07.2024</t>
  </si>
  <si>
    <t>112/11.07.2024</t>
  </si>
  <si>
    <t xml:space="preserve">                           -</t>
  </si>
  <si>
    <t xml:space="preserve">                                    -</t>
  </si>
  <si>
    <t xml:space="preserve">                                 -</t>
  </si>
  <si>
    <t xml:space="preserve">                                 </t>
  </si>
  <si>
    <t>SERVICII DE ASISTENTA TEHNICA SI DIRIGENTIE DE SANTIER PE PARCURSUL IMPLEMENTARII OBIECTIVULUI ,EXTINDERE RETELE DE CANALIZARE IN ORASUL SANTANA - STR.CLOSCA, STR.GRIVITA, STR.SOMESULUI, STR.VASILE CUCU, STR.ION VIDU, STR.8MARTIE SI EXTINDERE RETEA DE ALIMENTARE CU APA-STR.CLOSCA”</t>
  </si>
  <si>
    <t>_</t>
  </si>
  <si>
    <t>71520000-9</t>
  </si>
  <si>
    <t>DA36286326/12.08.2024</t>
  </si>
  <si>
    <t>SC LOAAN CONSULTING SRL</t>
  </si>
  <si>
    <t>RO23795020</t>
  </si>
  <si>
    <t>118/13.08.2024</t>
  </si>
  <si>
    <t>SERVICII DE PUBLICITATE SI INFORMARE PENTRU OBIECTIVUL '"EXTINDERE RETELE DE CANALIZARE IN ORASUL SANTANA - STR.CLOSCA, STR.GRIVITA, STR.SOMESULUI, STR.VASILE CUCU, STR.ION VIDU, STR.8MARTIE SI EXTINDERE RETEA DE ALIMENTARE CU APA-STR.CLOSCA”</t>
  </si>
  <si>
    <t>79341000-6</t>
  </si>
  <si>
    <t>DA36232197/01.08.2024</t>
  </si>
  <si>
    <t>BODIRLAU EMANUEL IOAN NICOLAE PFA</t>
  </si>
  <si>
    <t>116/01.08.204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</si>
</sst>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0.00\ &quot;lei&quot;_-;\-* #,##0.00\ &quot;lei&quot;_-;_-* &quot;-&quot;??\ &quot;lei&quot;_-;_-@_-"/>
    <numFmt numFmtId="43" formatCode="_-* #,##0.00_-;\-* #,##0.00_-;_-* &quot;-&quot;??_-;_-@_-"/>
    <numFmt numFmtId="164" formatCode="mm/dd/yy;@"/>
    <numFmt numFmtId="165" formatCode="0.00000"/>
    <numFmt numFmtId="166" formatCode="0.0000"/>
    <numFmt numFmtId="167" formatCode="[$-10409]#,##0.00;\(#,##0.00\)"/>
    <numFmt numFmtId="168" formatCode="#,##0.0000"/>
    <numFmt numFmtId="169" formatCode="yyyy\-mm\-dd;@"/>
    <numFmt numFmtId="170" formatCode="dd&quot;.&quot;mm&quot;.&quot;yyyy"/>
    <numFmt numFmtId="171" formatCode="&quot; &quot;#,##0.00&quot; &quot;;&quot;-&quot;#,##0.00&quot; &quot;;&quot; -&quot;00&quot; &quot;;&quot; &quot;@&quot; &quot;"/>
    <numFmt numFmtId="172" formatCode="dd/mm/yy;@"/>
    <numFmt numFmtId="173" formatCode="m&quot;.&quot;d&quot;.&quot;yyyy"/>
  </numFmts>
  <fonts count="44" x14ac:knownFonts="1">
    <font>
      <sz val="11"/>
      <color theme="1"/>
      <name val="Calibri"/>
      <family val="2"/>
      <scheme val="minor"/>
    </font>
    <font>
      <sz val="11"/>
      <color theme="1"/>
      <name val="Calibri"/>
      <family val="2"/>
      <scheme val="minor"/>
    </font>
    <font>
      <sz val="11"/>
      <color rgb="FF000000"/>
      <name val="Calibri"/>
      <family val="2"/>
    </font>
    <font>
      <sz val="11"/>
      <color theme="1"/>
      <name val="Trebuchet MS"/>
      <family val="2"/>
    </font>
    <font>
      <sz val="11"/>
      <color rgb="FFFF0000"/>
      <name val="Trebuchet MS"/>
      <family val="2"/>
    </font>
    <font>
      <sz val="10"/>
      <color theme="1"/>
      <name val="Trebuchet MS"/>
      <family val="2"/>
    </font>
    <font>
      <sz val="9"/>
      <color rgb="FFFF0000"/>
      <name val="Trebuchet MS"/>
      <family val="2"/>
    </font>
    <font>
      <sz val="11"/>
      <color theme="1"/>
      <name val="Calibri"/>
      <family val="2"/>
      <charset val="238"/>
      <scheme val="minor"/>
    </font>
    <font>
      <b/>
      <sz val="11"/>
      <color theme="1"/>
      <name val="Calibri"/>
      <family val="2"/>
      <charset val="238"/>
      <scheme val="minor"/>
    </font>
    <font>
      <b/>
      <sz val="11"/>
      <color theme="1"/>
      <name val="Trebuchet MS"/>
      <family val="2"/>
    </font>
    <font>
      <sz val="10"/>
      <name val="Arial"/>
      <family val="2"/>
    </font>
    <font>
      <sz val="12"/>
      <color theme="1"/>
      <name val="Times New Roman"/>
      <family val="1"/>
    </font>
    <font>
      <sz val="11"/>
      <color rgb="FF006100"/>
      <name val="Calibri"/>
      <family val="2"/>
    </font>
    <font>
      <sz val="10"/>
      <color theme="1"/>
      <name val="Times New Roman"/>
      <family val="1"/>
    </font>
    <font>
      <b/>
      <sz val="9"/>
      <color indexed="81"/>
      <name val="Tahoma"/>
      <family val="2"/>
    </font>
    <font>
      <sz val="9"/>
      <color indexed="81"/>
      <name val="Tahoma"/>
      <family val="2"/>
    </font>
    <font>
      <b/>
      <sz val="9"/>
      <color rgb="FF000000"/>
      <name val="Tahoma"/>
      <family val="2"/>
    </font>
    <font>
      <sz val="9"/>
      <color rgb="FF000000"/>
      <name val="Tahoma"/>
      <family val="2"/>
    </font>
    <font>
      <b/>
      <sz val="11"/>
      <color theme="1"/>
      <name val="Calibri"/>
      <family val="2"/>
      <scheme val="minor"/>
    </font>
    <font>
      <b/>
      <sz val="11"/>
      <color theme="1"/>
      <name val="Calibri"/>
      <family val="2"/>
    </font>
    <font>
      <sz val="9"/>
      <color theme="1"/>
      <name val="Trebuchet MS"/>
      <family val="2"/>
    </font>
    <font>
      <sz val="11"/>
      <color theme="1"/>
      <name val="Trebuchet MS"/>
      <family val="2"/>
      <charset val="238"/>
    </font>
    <font>
      <b/>
      <sz val="11"/>
      <color theme="1"/>
      <name val="Trebuchet MS"/>
      <family val="2"/>
      <charset val="238"/>
    </font>
    <font>
      <sz val="12"/>
      <color theme="1"/>
      <name val="Trebuchet MS"/>
      <family val="2"/>
    </font>
    <font>
      <sz val="10"/>
      <color theme="1"/>
      <name val="Calibri"/>
      <family val="2"/>
      <scheme val="minor"/>
    </font>
    <font>
      <b/>
      <sz val="10"/>
      <color theme="1"/>
      <name val="Trebuchet MS"/>
      <family val="2"/>
    </font>
    <font>
      <sz val="10"/>
      <color theme="1"/>
      <name val="Calibri"/>
      <family val="2"/>
    </font>
    <font>
      <sz val="11"/>
      <color rgb="FFFF0000"/>
      <name val="Calibri"/>
      <family val="2"/>
      <scheme val="minor"/>
    </font>
    <font>
      <b/>
      <sz val="11"/>
      <color rgb="FFFF0000"/>
      <name val="Trebuchet MS"/>
      <family val="2"/>
    </font>
    <font>
      <sz val="10"/>
      <color rgb="FFFF0000"/>
      <name val="Trebuchet MS"/>
      <family val="2"/>
    </font>
    <font>
      <sz val="11"/>
      <color rgb="FFFF0000"/>
      <name val="Trebuchet MS"/>
      <family val="2"/>
      <charset val="238"/>
    </font>
    <font>
      <sz val="9"/>
      <color indexed="8"/>
      <name val="Trebuchet MS"/>
      <family val="2"/>
    </font>
    <font>
      <sz val="8"/>
      <name val="Calibri"/>
      <family val="2"/>
      <scheme val="minor"/>
    </font>
    <font>
      <sz val="11"/>
      <color rgb="FFFF0000"/>
      <name val="Calibri"/>
      <family val="2"/>
    </font>
    <font>
      <sz val="11"/>
      <color rgb="FFFF0000"/>
      <name val="Calibri"/>
      <family val="2"/>
      <charset val="238"/>
      <scheme val="minor"/>
    </font>
    <font>
      <sz val="11"/>
      <name val="Trebuchet MS"/>
      <family val="2"/>
    </font>
    <font>
      <sz val="11"/>
      <name val="Calibri"/>
      <family val="2"/>
      <scheme val="minor"/>
    </font>
    <font>
      <b/>
      <sz val="11"/>
      <name val="Trebuchet MS"/>
      <family val="2"/>
    </font>
    <font>
      <sz val="10"/>
      <name val="Arial"/>
      <family val="2"/>
      <charset val="238"/>
    </font>
    <font>
      <sz val="11"/>
      <name val="Trebuchet MS"/>
      <family val="2"/>
      <charset val="238"/>
    </font>
    <font>
      <sz val="10"/>
      <name val="Calibri"/>
      <family val="2"/>
    </font>
    <font>
      <sz val="12"/>
      <color rgb="FFFF0000"/>
      <name val="Calibri"/>
      <family val="2"/>
      <scheme val="minor"/>
    </font>
    <font>
      <b/>
      <sz val="9"/>
      <color theme="1"/>
      <name val="Trebuchet MS"/>
      <family val="2"/>
    </font>
    <font>
      <b/>
      <sz val="9"/>
      <name val="Trebuchet MS"/>
      <family val="2"/>
    </font>
  </fonts>
  <fills count="58">
    <fill>
      <patternFill patternType="none"/>
    </fill>
    <fill>
      <patternFill patternType="gray125"/>
    </fill>
    <fill>
      <patternFill patternType="solid">
        <fgColor rgb="FF8EA9DB"/>
        <bgColor rgb="FF8EA9DB"/>
      </patternFill>
    </fill>
    <fill>
      <patternFill patternType="solid">
        <fgColor theme="4" tint="0.39997558519241921"/>
        <bgColor indexed="64"/>
      </patternFill>
    </fill>
    <fill>
      <patternFill patternType="solid">
        <fgColor rgb="FFDBE5F1"/>
        <bgColor rgb="FFDBE5F1"/>
      </patternFill>
    </fill>
    <fill>
      <patternFill patternType="solid">
        <fgColor rgb="FFE5DFEC"/>
        <bgColor rgb="FFE5DFEC"/>
      </patternFill>
    </fill>
    <fill>
      <patternFill patternType="solid">
        <fgColor rgb="FFEAF1DD"/>
        <bgColor rgb="FFEAF1DD"/>
      </patternFill>
    </fill>
    <fill>
      <patternFill patternType="solid">
        <fgColor theme="4" tint="0.39997558519241921"/>
        <bgColor theme="4" tint="0.39997558519241921"/>
      </patternFill>
    </fill>
    <fill>
      <patternFill patternType="solid">
        <fgColor rgb="FFE2EFDA"/>
        <bgColor rgb="FFE2EFDA"/>
      </patternFill>
    </fill>
    <fill>
      <patternFill patternType="solid">
        <fgColor theme="7" tint="0.79998168889431442"/>
        <bgColor rgb="FFFFF2CC"/>
      </patternFill>
    </fill>
    <fill>
      <patternFill patternType="solid">
        <fgColor theme="7" tint="0.79998168889431442"/>
        <bgColor rgb="FFFFFFFF"/>
      </patternFill>
    </fill>
    <fill>
      <patternFill patternType="solid">
        <fgColor theme="0"/>
        <bgColor rgb="FFFFFFFF"/>
      </patternFill>
    </fill>
    <fill>
      <patternFill patternType="solid">
        <fgColor theme="0"/>
        <bgColor indexed="64"/>
      </patternFill>
    </fill>
    <fill>
      <patternFill patternType="solid">
        <fgColor theme="0"/>
        <bgColor rgb="FFFFF2CC"/>
      </patternFill>
    </fill>
    <fill>
      <patternFill patternType="solid">
        <fgColor rgb="FFFFFFFF"/>
        <bgColor rgb="FFFFFFFF"/>
      </patternFill>
    </fill>
    <fill>
      <patternFill patternType="solid">
        <fgColor theme="9" tint="0.79998168889431442"/>
        <bgColor rgb="FFE2EFDA"/>
      </patternFill>
    </fill>
    <fill>
      <patternFill patternType="solid">
        <fgColor theme="7" tint="0.79998168889431442"/>
        <bgColor rgb="FFE2EFDA"/>
      </patternFill>
    </fill>
    <fill>
      <patternFill patternType="solid">
        <fgColor theme="5" tint="0.79998168889431442"/>
        <bgColor indexed="64"/>
      </patternFill>
    </fill>
    <fill>
      <patternFill patternType="solid">
        <fgColor theme="5" tint="0.79998168889431442"/>
        <bgColor rgb="FFFFFFFF"/>
      </patternFill>
    </fill>
    <fill>
      <patternFill patternType="solid">
        <fgColor theme="0"/>
        <bgColor rgb="FFE2EFDA"/>
      </patternFill>
    </fill>
    <fill>
      <patternFill patternType="solid">
        <fgColor rgb="FFFFF2CC"/>
        <bgColor rgb="FFFFF2CC"/>
      </patternFill>
    </fill>
    <fill>
      <patternFill patternType="solid">
        <fgColor theme="0"/>
        <bgColor rgb="FF8EA9DB"/>
      </patternFill>
    </fill>
    <fill>
      <patternFill patternType="solid">
        <fgColor theme="0"/>
        <bgColor rgb="FFFFFF00"/>
      </patternFill>
    </fill>
    <fill>
      <patternFill patternType="solid">
        <fgColor rgb="FFFCE4D6"/>
        <bgColor rgb="FFFCE4D6"/>
      </patternFill>
    </fill>
    <fill>
      <patternFill patternType="solid">
        <fgColor theme="5" tint="0.79998168889431442"/>
        <bgColor rgb="FFFCE4D6"/>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rgb="FF00B0F0"/>
      </patternFill>
    </fill>
    <fill>
      <patternFill patternType="solid">
        <fgColor theme="5" tint="0.79998168889431442"/>
        <bgColor rgb="FFE2EFDA"/>
      </patternFill>
    </fill>
    <fill>
      <patternFill patternType="solid">
        <fgColor theme="4" tint="0.79998168889431442"/>
        <bgColor indexed="64"/>
      </patternFill>
    </fill>
    <fill>
      <patternFill patternType="solid">
        <fgColor theme="7" tint="0.79998168889431442"/>
        <bgColor rgb="FFFCE4D6"/>
      </patternFill>
    </fill>
    <fill>
      <patternFill patternType="solid">
        <fgColor theme="5" tint="0.79998168889431442"/>
        <bgColor rgb="FFFFF2CC"/>
      </patternFill>
    </fill>
    <fill>
      <patternFill patternType="solid">
        <fgColor theme="9" tint="0.79998168889431442"/>
        <bgColor rgb="FFFFF2CC"/>
      </patternFill>
    </fill>
    <fill>
      <patternFill patternType="solid">
        <fgColor theme="9" tint="0.79998168889431442"/>
        <bgColor rgb="FFFFFFFF"/>
      </patternFill>
    </fill>
    <fill>
      <patternFill patternType="solid">
        <fgColor theme="9" tint="0.79998168889431442"/>
        <bgColor rgb="FFFCE4D6"/>
      </patternFill>
    </fill>
    <fill>
      <patternFill patternType="solid">
        <fgColor rgb="FF00B0F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9" tint="0.59999389629810485"/>
        <bgColor rgb="FFE2EFDA"/>
      </patternFill>
    </fill>
    <fill>
      <patternFill patternType="solid">
        <fgColor theme="5" tint="0.59999389629810485"/>
        <bgColor indexed="64"/>
      </patternFill>
    </fill>
    <fill>
      <patternFill patternType="solid">
        <fgColor theme="5" tint="0.59999389629810485"/>
        <bgColor rgb="FFFFF2CC"/>
      </patternFill>
    </fill>
    <fill>
      <patternFill patternType="solid">
        <fgColor rgb="FFC6EFCE"/>
        <bgColor rgb="FFC6EFCE"/>
      </patternFill>
    </fill>
    <fill>
      <patternFill patternType="solid">
        <fgColor theme="5" tint="0.79998168889431442"/>
        <bgColor rgb="FF000000"/>
      </patternFill>
    </fill>
    <fill>
      <patternFill patternType="solid">
        <fgColor theme="8" tint="0.39997558519241921"/>
        <bgColor indexed="64"/>
      </patternFill>
    </fill>
    <fill>
      <patternFill patternType="solid">
        <fgColor rgb="FFFF0000"/>
        <bgColor indexed="64"/>
      </patternFill>
    </fill>
    <fill>
      <patternFill patternType="solid">
        <fgColor theme="8" tint="0.39997558519241921"/>
        <bgColor rgb="FF8EA9DB"/>
      </patternFill>
    </fill>
    <fill>
      <patternFill patternType="solid">
        <fgColor theme="4" tint="0.79998168889431442"/>
        <bgColor rgb="FF8EA9DB"/>
      </patternFill>
    </fill>
    <fill>
      <patternFill patternType="solid">
        <fgColor theme="4" tint="0.79998168889431442"/>
        <bgColor rgb="FFDBE5F1"/>
      </patternFill>
    </fill>
    <fill>
      <patternFill patternType="solid">
        <fgColor theme="8" tint="0.59999389629810485"/>
        <bgColor indexed="64"/>
      </patternFill>
    </fill>
    <fill>
      <patternFill patternType="solid">
        <fgColor theme="8" tint="0.59999389629810485"/>
        <bgColor rgb="FFDBE5F1"/>
      </patternFill>
    </fill>
    <fill>
      <patternFill patternType="solid">
        <fgColor theme="8" tint="0.59999389629810485"/>
        <bgColor rgb="FFE5DFEC"/>
      </patternFill>
    </fill>
    <fill>
      <patternFill patternType="solid">
        <fgColor theme="8" tint="0.59999389629810485"/>
        <bgColor rgb="FFEAF1DD"/>
      </patternFill>
    </fill>
    <fill>
      <patternFill patternType="solid">
        <fgColor theme="8" tint="0.59999389629810485"/>
        <bgColor rgb="FF8EA9DB"/>
      </patternFill>
    </fill>
    <fill>
      <patternFill patternType="solid">
        <fgColor theme="8" tint="0.59999389629810485"/>
        <bgColor theme="4" tint="0.39997558519241921"/>
      </patternFill>
    </fill>
    <fill>
      <patternFill patternType="solid">
        <fgColor theme="8" tint="0.39997558519241921"/>
        <bgColor theme="4" tint="0.39997558519241921"/>
      </patternFill>
    </fill>
    <fill>
      <patternFill patternType="solid">
        <fgColor theme="8" tint="-0.249977111117893"/>
        <bgColor indexed="64"/>
      </patternFill>
    </fill>
    <fill>
      <patternFill patternType="solid">
        <fgColor theme="8" tint="-0.249977111117893"/>
        <bgColor rgb="FF8EA9DB"/>
      </patternFill>
    </fill>
  </fills>
  <borders count="63">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rgb="FF000000"/>
      </left>
      <right style="medium">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auto="1"/>
      </right>
      <top style="thin">
        <color auto="1"/>
      </top>
      <bottom style="thin">
        <color auto="1"/>
      </bottom>
      <diagonal/>
    </border>
    <border>
      <left style="thin">
        <color rgb="FF000000"/>
      </left>
      <right style="thin">
        <color auto="1"/>
      </right>
      <top style="thin">
        <color rgb="FF000000"/>
      </top>
      <bottom style="thin">
        <color indexed="64"/>
      </bottom>
      <diagonal/>
    </border>
    <border>
      <left/>
      <right style="thin">
        <color rgb="FF000000"/>
      </right>
      <top style="thin">
        <color rgb="FF000000"/>
      </top>
      <bottom style="thin">
        <color indexed="64"/>
      </bottom>
      <diagonal/>
    </border>
    <border>
      <left/>
      <right/>
      <top/>
      <bottom style="thin">
        <color auto="1"/>
      </bottom>
      <diagonal/>
    </border>
    <border>
      <left style="thin">
        <color rgb="FF000000"/>
      </left>
      <right style="thin">
        <color rgb="FF000000"/>
      </right>
      <top/>
      <bottom/>
      <diagonal/>
    </border>
    <border>
      <left style="thin">
        <color rgb="FF000000"/>
      </left>
      <right style="thin">
        <color indexed="64"/>
      </right>
      <top/>
      <bottom style="thin">
        <color auto="1"/>
      </bottom>
      <diagonal/>
    </border>
    <border>
      <left/>
      <right style="thin">
        <color auto="1"/>
      </right>
      <top/>
      <bottom style="thin">
        <color auto="1"/>
      </bottom>
      <diagonal/>
    </border>
    <border>
      <left style="thin">
        <color rgb="FF000000"/>
      </left>
      <right style="thin">
        <color auto="1"/>
      </right>
      <top/>
      <bottom style="thin">
        <color rgb="FF000000"/>
      </bottom>
      <diagonal/>
    </border>
    <border>
      <left style="thin">
        <color rgb="FF000000"/>
      </left>
      <right style="thin">
        <color indexed="64"/>
      </right>
      <top style="thin">
        <color auto="1"/>
      </top>
      <bottom style="thin">
        <color auto="1"/>
      </bottom>
      <diagonal/>
    </border>
    <border>
      <left/>
      <right style="thin">
        <color indexed="64"/>
      </right>
      <top/>
      <bottom/>
      <diagonal/>
    </border>
    <border>
      <left/>
      <right style="thin">
        <color rgb="FF000000"/>
      </right>
      <top/>
      <bottom style="thin">
        <color indexed="64"/>
      </bottom>
      <diagonal/>
    </border>
    <border>
      <left style="thin">
        <color auto="1"/>
      </left>
      <right style="thin">
        <color rgb="FF000000"/>
      </right>
      <top style="thin">
        <color auto="1"/>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right/>
      <top style="thin">
        <color auto="1"/>
      </top>
      <bottom style="thin">
        <color auto="1"/>
      </bottom>
      <diagonal/>
    </border>
    <border>
      <left style="thin">
        <color rgb="FF000000"/>
      </left>
      <right/>
      <top style="thin">
        <color rgb="FF000000"/>
      </top>
      <bottom style="thin">
        <color indexed="64"/>
      </bottom>
      <diagonal/>
    </border>
    <border>
      <left style="thin">
        <color rgb="FF000000"/>
      </left>
      <right/>
      <top/>
      <bottom/>
      <diagonal/>
    </border>
    <border>
      <left/>
      <right style="thin">
        <color rgb="FF000000"/>
      </right>
      <top/>
      <bottom/>
      <diagonal/>
    </border>
    <border>
      <left style="thin">
        <color rgb="FF000000"/>
      </left>
      <right style="thin">
        <color auto="1"/>
      </right>
      <top/>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style="thin">
        <color auto="1"/>
      </left>
      <right/>
      <top style="thin">
        <color auto="1"/>
      </top>
      <bottom/>
      <diagonal/>
    </border>
    <border>
      <left style="thin">
        <color auto="1"/>
      </left>
      <right/>
      <top style="thin">
        <color auto="1"/>
      </top>
      <bottom style="thin">
        <color auto="1"/>
      </bottom>
      <diagonal/>
    </border>
    <border>
      <left style="thin">
        <color rgb="FF000000"/>
      </left>
      <right style="thin">
        <color auto="1"/>
      </right>
      <top style="thin">
        <color rgb="FF000000"/>
      </top>
      <bottom/>
      <diagonal/>
    </border>
    <border>
      <left style="thin">
        <color indexed="64"/>
      </left>
      <right style="thin">
        <color indexed="64"/>
      </right>
      <top style="thin">
        <color indexed="64"/>
      </top>
      <bottom style="thin">
        <color theme="4" tint="0.39997558519241921"/>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auto="1"/>
      </left>
      <right/>
      <top/>
      <bottom style="thin">
        <color auto="1"/>
      </bottom>
      <diagonal/>
    </border>
    <border>
      <left/>
      <right style="thin">
        <color indexed="64"/>
      </right>
      <top style="thin">
        <color indexed="64"/>
      </top>
      <bottom style="thin">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thin">
        <color auto="1"/>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3">
    <xf numFmtId="0" fontId="0" fillId="0" borderId="0"/>
    <xf numFmtId="9" fontId="7" fillId="0" borderId="0" applyFont="0" applyFill="0" applyBorder="0" applyAlignment="0" applyProtection="0"/>
    <xf numFmtId="0" fontId="2" fillId="0" borderId="0"/>
    <xf numFmtId="0" fontId="1" fillId="0" borderId="0"/>
    <xf numFmtId="0" fontId="2" fillId="0" borderId="0" applyNumberFormat="0" applyFont="0" applyBorder="0" applyProtection="0"/>
    <xf numFmtId="0" fontId="2" fillId="0" borderId="0" applyNumberFormat="0" applyFont="0" applyBorder="0" applyProtection="0"/>
    <xf numFmtId="0" fontId="7" fillId="0" borderId="0"/>
    <xf numFmtId="44" fontId="1" fillId="0" borderId="0" applyFont="0" applyFill="0" applyBorder="0" applyAlignment="0" applyProtection="0"/>
    <xf numFmtId="171" fontId="2"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0" fillId="0" borderId="0"/>
    <xf numFmtId="0" fontId="12" fillId="42" borderId="0" applyNumberFormat="0" applyBorder="0" applyAlignment="0" applyProtection="0"/>
  </cellStyleXfs>
  <cellXfs count="1900">
    <xf numFmtId="0" fontId="0" fillId="0" borderId="0" xfId="0"/>
    <xf numFmtId="3" fontId="3" fillId="8" borderId="4" xfId="2" applyNumberFormat="1" applyFont="1" applyFill="1" applyBorder="1" applyAlignment="1">
      <alignment horizontal="center" vertical="center" wrapText="1"/>
    </xf>
    <xf numFmtId="0" fontId="3" fillId="8" borderId="4" xfId="2" applyFont="1" applyFill="1" applyBorder="1" applyAlignment="1">
      <alignment horizontal="center" vertical="top" wrapText="1"/>
    </xf>
    <xf numFmtId="3" fontId="3" fillId="9" borderId="3" xfId="2" applyNumberFormat="1" applyFont="1" applyFill="1" applyBorder="1" applyAlignment="1">
      <alignment horizontal="center" vertical="center" wrapText="1"/>
    </xf>
    <xf numFmtId="3" fontId="3" fillId="11" borderId="3" xfId="2" applyNumberFormat="1" applyFont="1" applyFill="1" applyBorder="1" applyAlignment="1">
      <alignment horizontal="center" vertical="center" wrapText="1"/>
    </xf>
    <xf numFmtId="4" fontId="3" fillId="14" borderId="3" xfId="2" applyNumberFormat="1" applyFont="1" applyFill="1" applyBorder="1" applyAlignment="1">
      <alignment horizontal="center" vertical="center" wrapText="1"/>
    </xf>
    <xf numFmtId="0" fontId="3" fillId="17" borderId="3" xfId="2" applyFont="1" applyFill="1" applyBorder="1" applyAlignment="1">
      <alignment horizontal="center" vertical="top" wrapText="1"/>
    </xf>
    <xf numFmtId="0" fontId="3" fillId="17" borderId="2" xfId="2" applyFont="1" applyFill="1" applyBorder="1" applyAlignment="1">
      <alignment horizontal="center" vertical="top" wrapText="1"/>
    </xf>
    <xf numFmtId="0" fontId="3" fillId="17" borderId="1" xfId="3" applyFont="1" applyFill="1" applyBorder="1" applyAlignment="1">
      <alignment vertical="top" wrapText="1"/>
    </xf>
    <xf numFmtId="0" fontId="3" fillId="17" borderId="1" xfId="2" applyFont="1" applyFill="1" applyBorder="1" applyAlignment="1">
      <alignment horizontal="center" vertical="top" wrapText="1"/>
    </xf>
    <xf numFmtId="3" fontId="3" fillId="17" borderId="3" xfId="2" applyNumberFormat="1" applyFont="1" applyFill="1" applyBorder="1" applyAlignment="1">
      <alignment horizontal="center" vertical="top" wrapText="1"/>
    </xf>
    <xf numFmtId="0" fontId="3" fillId="17" borderId="7" xfId="2" applyFont="1" applyFill="1" applyBorder="1" applyAlignment="1">
      <alignment horizontal="center" vertical="top" wrapText="1"/>
    </xf>
    <xf numFmtId="0" fontId="3" fillId="17" borderId="8" xfId="2" applyFont="1" applyFill="1" applyBorder="1" applyAlignment="1">
      <alignment vertical="top" wrapText="1"/>
    </xf>
    <xf numFmtId="0" fontId="3" fillId="17" borderId="9" xfId="2" applyFont="1" applyFill="1" applyBorder="1" applyAlignment="1">
      <alignment horizontal="center" vertical="top" wrapText="1"/>
    </xf>
    <xf numFmtId="0" fontId="5" fillId="17" borderId="1" xfId="2" applyFont="1" applyFill="1" applyBorder="1" applyAlignment="1">
      <alignment horizontal="center" vertical="top" wrapText="1"/>
    </xf>
    <xf numFmtId="0" fontId="3" fillId="17" borderId="11" xfId="2" applyFont="1" applyFill="1" applyBorder="1" applyAlignment="1">
      <alignment horizontal="center" vertical="top" wrapText="1"/>
    </xf>
    <xf numFmtId="0" fontId="3" fillId="17" borderId="8" xfId="2" applyFont="1" applyFill="1" applyBorder="1" applyAlignment="1">
      <alignment horizontal="center" vertical="top" wrapText="1"/>
    </xf>
    <xf numFmtId="0" fontId="4" fillId="17" borderId="1" xfId="2" applyFont="1" applyFill="1" applyBorder="1" applyAlignment="1">
      <alignment horizontal="center" vertical="top" wrapText="1"/>
    </xf>
    <xf numFmtId="4" fontId="4" fillId="17" borderId="1" xfId="2" applyNumberFormat="1" applyFont="1" applyFill="1" applyBorder="1" applyAlignment="1">
      <alignment horizontal="center" vertical="top" wrapText="1"/>
    </xf>
    <xf numFmtId="4" fontId="4" fillId="17" borderId="1" xfId="2" applyNumberFormat="1" applyFont="1" applyFill="1" applyBorder="1" applyAlignment="1">
      <alignment horizontal="center" vertical="center" wrapText="1"/>
    </xf>
    <xf numFmtId="3" fontId="4" fillId="17" borderId="1" xfId="2" applyNumberFormat="1" applyFont="1" applyFill="1" applyBorder="1" applyAlignment="1">
      <alignment horizontal="center" vertical="center" wrapText="1"/>
    </xf>
    <xf numFmtId="3" fontId="4" fillId="17" borderId="1" xfId="2" applyNumberFormat="1" applyFont="1" applyFill="1" applyBorder="1" applyAlignment="1">
      <alignment horizontal="center" vertical="top" wrapText="1"/>
    </xf>
    <xf numFmtId="1" fontId="4" fillId="17" borderId="1" xfId="2" applyNumberFormat="1" applyFont="1" applyFill="1" applyBorder="1" applyAlignment="1">
      <alignment horizontal="center" vertical="top" wrapText="1"/>
    </xf>
    <xf numFmtId="0" fontId="4" fillId="17" borderId="1" xfId="2" applyFont="1" applyFill="1" applyBorder="1" applyAlignment="1">
      <alignment horizontal="center" vertical="center" wrapText="1"/>
    </xf>
    <xf numFmtId="10" fontId="4" fillId="17" borderId="1" xfId="2" applyNumberFormat="1" applyFont="1" applyFill="1" applyBorder="1" applyAlignment="1">
      <alignment horizontal="center" vertical="center" wrapText="1"/>
    </xf>
    <xf numFmtId="0" fontId="6" fillId="17" borderId="1" xfId="2" applyFont="1" applyFill="1" applyBorder="1" applyAlignment="1">
      <alignment horizontal="center" vertical="top" wrapText="1"/>
    </xf>
    <xf numFmtId="3" fontId="4" fillId="14" borderId="1" xfId="2" applyNumberFormat="1" applyFont="1" applyFill="1" applyBorder="1" applyAlignment="1">
      <alignment horizontal="center" vertical="top" wrapText="1"/>
    </xf>
    <xf numFmtId="14" fontId="4" fillId="14" borderId="1" xfId="2" applyNumberFormat="1" applyFont="1" applyFill="1" applyBorder="1" applyAlignment="1">
      <alignment horizontal="center" vertical="top" wrapText="1"/>
    </xf>
    <xf numFmtId="0" fontId="4" fillId="14" borderId="1" xfId="2" applyFont="1" applyFill="1" applyBorder="1" applyAlignment="1">
      <alignment horizontal="center" vertical="center" wrapText="1"/>
    </xf>
    <xf numFmtId="10" fontId="3" fillId="17" borderId="3" xfId="2" applyNumberFormat="1" applyFont="1" applyFill="1" applyBorder="1" applyAlignment="1">
      <alignment horizontal="center" vertical="top" wrapText="1"/>
    </xf>
    <xf numFmtId="0" fontId="3" fillId="17" borderId="1" xfId="2" applyFont="1" applyFill="1" applyBorder="1" applyAlignment="1">
      <alignment vertical="top" wrapText="1"/>
    </xf>
    <xf numFmtId="3" fontId="3" fillId="17" borderId="1" xfId="2" applyNumberFormat="1" applyFont="1" applyFill="1" applyBorder="1" applyAlignment="1">
      <alignment horizontal="center" vertical="top" wrapText="1"/>
    </xf>
    <xf numFmtId="4" fontId="3" fillId="17" borderId="1" xfId="3" applyNumberFormat="1" applyFont="1" applyFill="1" applyBorder="1" applyAlignment="1">
      <alignment horizontal="center" vertical="top" wrapText="1"/>
    </xf>
    <xf numFmtId="4" fontId="3" fillId="17" borderId="1" xfId="2" applyNumberFormat="1" applyFont="1" applyFill="1" applyBorder="1" applyAlignment="1">
      <alignment horizontal="center" vertical="top" wrapText="1"/>
    </xf>
    <xf numFmtId="4" fontId="3" fillId="17" borderId="3" xfId="2" applyNumberFormat="1" applyFont="1" applyFill="1" applyBorder="1" applyAlignment="1">
      <alignment horizontal="center" vertical="center" wrapText="1"/>
    </xf>
    <xf numFmtId="3" fontId="3" fillId="17" borderId="3" xfId="2" applyNumberFormat="1" applyFont="1" applyFill="1" applyBorder="1" applyAlignment="1">
      <alignment horizontal="center" vertical="center" wrapText="1"/>
    </xf>
    <xf numFmtId="3" fontId="3" fillId="17" borderId="9" xfId="2" applyNumberFormat="1" applyFont="1" applyFill="1" applyBorder="1" applyAlignment="1">
      <alignment horizontal="center" vertical="top" wrapText="1"/>
    </xf>
    <xf numFmtId="4" fontId="5" fillId="17" borderId="1" xfId="3" applyNumberFormat="1" applyFont="1" applyFill="1" applyBorder="1" applyAlignment="1">
      <alignment horizontal="center" vertical="top" wrapText="1"/>
    </xf>
    <xf numFmtId="4" fontId="3" fillId="17" borderId="10" xfId="2" applyNumberFormat="1" applyFont="1" applyFill="1" applyBorder="1" applyAlignment="1">
      <alignment horizontal="center" vertical="top" wrapText="1"/>
    </xf>
    <xf numFmtId="3" fontId="5" fillId="17" borderId="1" xfId="3" applyNumberFormat="1" applyFont="1" applyFill="1" applyBorder="1" applyAlignment="1">
      <alignment horizontal="center" vertical="top" wrapText="1"/>
    </xf>
    <xf numFmtId="4" fontId="3" fillId="17" borderId="2" xfId="2" applyNumberFormat="1" applyFont="1" applyFill="1" applyBorder="1" applyAlignment="1">
      <alignment horizontal="center" vertical="center" wrapText="1"/>
    </xf>
    <xf numFmtId="1" fontId="3" fillId="17" borderId="3" xfId="2" applyNumberFormat="1" applyFont="1" applyFill="1" applyBorder="1" applyAlignment="1">
      <alignment horizontal="center" vertical="top" wrapText="1"/>
    </xf>
    <xf numFmtId="0" fontId="3" fillId="12" borderId="3" xfId="2" applyFont="1" applyFill="1" applyBorder="1" applyAlignment="1">
      <alignment vertical="top" wrapText="1"/>
    </xf>
    <xf numFmtId="0" fontId="3" fillId="12" borderId="3" xfId="2" applyFont="1" applyFill="1" applyBorder="1" applyAlignment="1">
      <alignment horizontal="center" vertical="top" wrapText="1"/>
    </xf>
    <xf numFmtId="4" fontId="3" fillId="12" borderId="3" xfId="2" applyNumberFormat="1" applyFont="1" applyFill="1" applyBorder="1" applyAlignment="1">
      <alignment horizontal="center" vertical="top" wrapText="1"/>
    </xf>
    <xf numFmtId="165" fontId="3" fillId="12" borderId="3" xfId="2" applyNumberFormat="1" applyFont="1" applyFill="1" applyBorder="1" applyAlignment="1">
      <alignment horizontal="center" vertical="top" wrapText="1"/>
    </xf>
    <xf numFmtId="4" fontId="3" fillId="11" borderId="3" xfId="2" applyNumberFormat="1" applyFont="1" applyFill="1" applyBorder="1" applyAlignment="1">
      <alignment horizontal="center" vertical="center" wrapText="1"/>
    </xf>
    <xf numFmtId="3" fontId="3" fillId="11" borderId="3" xfId="2" applyNumberFormat="1" applyFont="1" applyFill="1" applyBorder="1" applyAlignment="1">
      <alignment horizontal="center" vertical="top" wrapText="1"/>
    </xf>
    <xf numFmtId="14" fontId="3" fillId="11" borderId="3" xfId="2" applyNumberFormat="1" applyFont="1" applyFill="1" applyBorder="1" applyAlignment="1">
      <alignment horizontal="center" vertical="top" wrapText="1"/>
    </xf>
    <xf numFmtId="3" fontId="3" fillId="12" borderId="3" xfId="2" applyNumberFormat="1" applyFont="1" applyFill="1" applyBorder="1" applyAlignment="1">
      <alignment horizontal="center" vertical="top" wrapText="1"/>
    </xf>
    <xf numFmtId="14" fontId="3" fillId="12" borderId="3" xfId="2" applyNumberFormat="1" applyFont="1" applyFill="1" applyBorder="1" applyAlignment="1">
      <alignment horizontal="center" vertical="top" wrapText="1"/>
    </xf>
    <xf numFmtId="1" fontId="3" fillId="11" borderId="3" xfId="2" applyNumberFormat="1" applyFont="1" applyFill="1" applyBorder="1" applyAlignment="1">
      <alignment horizontal="center" vertical="top" wrapText="1"/>
    </xf>
    <xf numFmtId="4" fontId="3" fillId="12" borderId="1" xfId="3" applyNumberFormat="1" applyFont="1" applyFill="1" applyBorder="1" applyAlignment="1">
      <alignment horizontal="center" vertical="top" wrapText="1"/>
    </xf>
    <xf numFmtId="4" fontId="3" fillId="12" borderId="1" xfId="3" applyNumberFormat="1" applyFont="1" applyFill="1" applyBorder="1" applyAlignment="1">
      <alignment horizontal="center" vertical="center" wrapText="1"/>
    </xf>
    <xf numFmtId="3" fontId="3" fillId="21" borderId="3" xfId="2" applyNumberFormat="1" applyFont="1" applyFill="1" applyBorder="1" applyAlignment="1">
      <alignment horizontal="center" vertical="top" wrapText="1"/>
    </xf>
    <xf numFmtId="3" fontId="3" fillId="22" borderId="3" xfId="2" applyNumberFormat="1" applyFont="1" applyFill="1" applyBorder="1" applyAlignment="1">
      <alignment horizontal="center" vertical="top" wrapText="1"/>
    </xf>
    <xf numFmtId="0" fontId="3" fillId="11" borderId="2" xfId="2" applyFont="1" applyFill="1" applyBorder="1" applyAlignment="1">
      <alignment horizontal="center" vertical="top" wrapText="1"/>
    </xf>
    <xf numFmtId="0" fontId="3" fillId="12" borderId="12" xfId="2" applyFont="1" applyFill="1" applyBorder="1" applyAlignment="1">
      <alignment horizontal="center" vertical="top" wrapText="1"/>
    </xf>
    <xf numFmtId="4" fontId="3" fillId="12" borderId="12" xfId="2" applyNumberFormat="1" applyFont="1" applyFill="1" applyBorder="1" applyAlignment="1">
      <alignment horizontal="center" vertical="top" wrapText="1"/>
    </xf>
    <xf numFmtId="165" fontId="3" fillId="12" borderId="12" xfId="2" applyNumberFormat="1" applyFont="1" applyFill="1" applyBorder="1" applyAlignment="1">
      <alignment horizontal="center" vertical="top" wrapText="1"/>
    </xf>
    <xf numFmtId="4" fontId="3" fillId="12" borderId="12" xfId="2" applyNumberFormat="1" applyFont="1" applyFill="1" applyBorder="1" applyAlignment="1">
      <alignment horizontal="center" vertical="center" wrapText="1"/>
    </xf>
    <xf numFmtId="3" fontId="3" fillId="12" borderId="1" xfId="3" applyNumberFormat="1" applyFont="1" applyFill="1" applyBorder="1" applyAlignment="1">
      <alignment horizontal="center" vertical="top" wrapText="1"/>
    </xf>
    <xf numFmtId="3" fontId="3" fillId="11" borderId="12" xfId="2" applyNumberFormat="1" applyFont="1" applyFill="1" applyBorder="1" applyAlignment="1">
      <alignment horizontal="center" vertical="top" wrapText="1"/>
    </xf>
    <xf numFmtId="14" fontId="3" fillId="12" borderId="1" xfId="3" applyNumberFormat="1" applyFont="1" applyFill="1" applyBorder="1" applyAlignment="1">
      <alignment horizontal="center" vertical="top" wrapText="1"/>
    </xf>
    <xf numFmtId="0" fontId="3" fillId="11" borderId="3" xfId="2" applyFont="1" applyFill="1" applyBorder="1" applyAlignment="1">
      <alignment horizontal="center" vertical="top" wrapText="1"/>
    </xf>
    <xf numFmtId="10" fontId="3" fillId="11" borderId="3" xfId="2" applyNumberFormat="1" applyFont="1" applyFill="1" applyBorder="1" applyAlignment="1">
      <alignment horizontal="center" vertical="top" wrapText="1"/>
    </xf>
    <xf numFmtId="0" fontId="3" fillId="12" borderId="9" xfId="2" applyFont="1" applyFill="1" applyBorder="1" applyAlignment="1">
      <alignment horizontal="center" vertical="top" wrapText="1"/>
    </xf>
    <xf numFmtId="0" fontId="3" fillId="12" borderId="1" xfId="2" applyFont="1" applyFill="1" applyBorder="1" applyAlignment="1">
      <alignment horizontal="center" vertical="top" wrapText="1"/>
    </xf>
    <xf numFmtId="4" fontId="3" fillId="12" borderId="1" xfId="2" applyNumberFormat="1" applyFont="1" applyFill="1" applyBorder="1" applyAlignment="1">
      <alignment horizontal="center" vertical="top" wrapText="1"/>
    </xf>
    <xf numFmtId="165" fontId="3" fillId="12" borderId="1" xfId="2" applyNumberFormat="1" applyFont="1" applyFill="1" applyBorder="1" applyAlignment="1">
      <alignment horizontal="center" vertical="top" wrapText="1"/>
    </xf>
    <xf numFmtId="4" fontId="3" fillId="12" borderId="1" xfId="2" applyNumberFormat="1" applyFont="1" applyFill="1" applyBorder="1" applyAlignment="1">
      <alignment horizontal="center" vertical="center" wrapText="1"/>
    </xf>
    <xf numFmtId="3" fontId="3" fillId="11" borderId="1" xfId="2" applyNumberFormat="1" applyFont="1" applyFill="1" applyBorder="1" applyAlignment="1">
      <alignment horizontal="center" vertical="top" wrapText="1"/>
    </xf>
    <xf numFmtId="3" fontId="3" fillId="11" borderId="2" xfId="2" applyNumberFormat="1" applyFont="1" applyFill="1" applyBorder="1" applyAlignment="1">
      <alignment horizontal="center" vertical="top" wrapText="1"/>
    </xf>
    <xf numFmtId="0" fontId="3" fillId="12" borderId="12" xfId="2" applyFont="1" applyFill="1" applyBorder="1" applyAlignment="1">
      <alignment vertical="top" wrapText="1"/>
    </xf>
    <xf numFmtId="0" fontId="3" fillId="12" borderId="11" xfId="2" applyFont="1" applyFill="1" applyBorder="1" applyAlignment="1">
      <alignment horizontal="center" vertical="top" wrapText="1"/>
    </xf>
    <xf numFmtId="0" fontId="3" fillId="12" borderId="8" xfId="2" applyFont="1" applyFill="1" applyBorder="1" applyAlignment="1">
      <alignment horizontal="center" vertical="top" wrapText="1"/>
    </xf>
    <xf numFmtId="4" fontId="3" fillId="12" borderId="8" xfId="2" applyNumberFormat="1" applyFont="1" applyFill="1" applyBorder="1" applyAlignment="1">
      <alignment horizontal="center" vertical="top" wrapText="1"/>
    </xf>
    <xf numFmtId="165" fontId="3" fillId="12" borderId="8" xfId="2" applyNumberFormat="1" applyFont="1" applyFill="1" applyBorder="1" applyAlignment="1">
      <alignment horizontal="center" vertical="top" wrapText="1"/>
    </xf>
    <xf numFmtId="4" fontId="3" fillId="12" borderId="8" xfId="2" applyNumberFormat="1" applyFont="1" applyFill="1" applyBorder="1" applyAlignment="1">
      <alignment horizontal="center" vertical="center" wrapText="1"/>
    </xf>
    <xf numFmtId="3" fontId="3" fillId="12" borderId="8" xfId="3" applyNumberFormat="1" applyFont="1" applyFill="1" applyBorder="1" applyAlignment="1">
      <alignment horizontal="center" vertical="top" wrapText="1"/>
    </xf>
    <xf numFmtId="3" fontId="3" fillId="11" borderId="8" xfId="2" applyNumberFormat="1" applyFont="1" applyFill="1" applyBorder="1" applyAlignment="1">
      <alignment horizontal="center" vertical="top" wrapText="1"/>
    </xf>
    <xf numFmtId="3" fontId="3" fillId="11" borderId="7" xfId="2" applyNumberFormat="1" applyFont="1" applyFill="1" applyBorder="1" applyAlignment="1">
      <alignment horizontal="center" vertical="top" wrapText="1"/>
    </xf>
    <xf numFmtId="14" fontId="3" fillId="12" borderId="8" xfId="3" applyNumberFormat="1" applyFont="1" applyFill="1" applyBorder="1" applyAlignment="1">
      <alignment horizontal="center" vertical="top" wrapText="1"/>
    </xf>
    <xf numFmtId="14" fontId="3" fillId="11" borderId="12" xfId="2" applyNumberFormat="1" applyFont="1" applyFill="1" applyBorder="1" applyAlignment="1">
      <alignment horizontal="center" vertical="top" wrapText="1"/>
    </xf>
    <xf numFmtId="3" fontId="3" fillId="12" borderId="12" xfId="2" applyNumberFormat="1" applyFont="1" applyFill="1" applyBorder="1" applyAlignment="1">
      <alignment horizontal="center" vertical="top" wrapText="1"/>
    </xf>
    <xf numFmtId="14" fontId="3" fillId="12" borderId="12" xfId="2" applyNumberFormat="1" applyFont="1" applyFill="1" applyBorder="1" applyAlignment="1">
      <alignment horizontal="center" vertical="top" wrapText="1"/>
    </xf>
    <xf numFmtId="1" fontId="3" fillId="11" borderId="12" xfId="2" applyNumberFormat="1" applyFont="1" applyFill="1" applyBorder="1" applyAlignment="1">
      <alignment horizontal="center" vertical="top" wrapText="1"/>
    </xf>
    <xf numFmtId="0" fontId="3" fillId="11" borderId="7" xfId="2" applyFont="1" applyFill="1" applyBorder="1" applyAlignment="1">
      <alignment horizontal="center" vertical="top" wrapText="1"/>
    </xf>
    <xf numFmtId="0" fontId="3" fillId="11" borderId="12" xfId="2" applyFont="1" applyFill="1" applyBorder="1" applyAlignment="1">
      <alignment horizontal="center" vertical="top" wrapText="1"/>
    </xf>
    <xf numFmtId="10" fontId="3" fillId="11" borderId="12" xfId="2" applyNumberFormat="1" applyFont="1" applyFill="1" applyBorder="1" applyAlignment="1">
      <alignment horizontal="center" vertical="top" wrapText="1"/>
    </xf>
    <xf numFmtId="0" fontId="3" fillId="12" borderId="8" xfId="2" applyFont="1" applyFill="1" applyBorder="1" applyAlignment="1">
      <alignment vertical="top" wrapText="1"/>
    </xf>
    <xf numFmtId="14" fontId="3" fillId="11" borderId="8" xfId="2" applyNumberFormat="1" applyFont="1" applyFill="1" applyBorder="1" applyAlignment="1">
      <alignment horizontal="center" vertical="top" wrapText="1"/>
    </xf>
    <xf numFmtId="3" fontId="3" fillId="12" borderId="8" xfId="2" applyNumberFormat="1" applyFont="1" applyFill="1" applyBorder="1" applyAlignment="1">
      <alignment horizontal="center" vertical="top" wrapText="1"/>
    </xf>
    <xf numFmtId="14" fontId="3" fillId="12" borderId="8" xfId="2" applyNumberFormat="1" applyFont="1" applyFill="1" applyBorder="1" applyAlignment="1">
      <alignment horizontal="center" vertical="top" wrapText="1"/>
    </xf>
    <xf numFmtId="1" fontId="3" fillId="11" borderId="8" xfId="2" applyNumberFormat="1" applyFont="1" applyFill="1" applyBorder="1" applyAlignment="1">
      <alignment horizontal="center" vertical="top" wrapText="1"/>
    </xf>
    <xf numFmtId="0" fontId="3" fillId="11" borderId="8" xfId="2" applyFont="1" applyFill="1" applyBorder="1" applyAlignment="1">
      <alignment horizontal="center" vertical="top" wrapText="1"/>
    </xf>
    <xf numFmtId="10" fontId="3" fillId="11" borderId="8" xfId="2" applyNumberFormat="1" applyFont="1" applyFill="1" applyBorder="1" applyAlignment="1">
      <alignment horizontal="center" vertical="top" wrapText="1"/>
    </xf>
    <xf numFmtId="3" fontId="3" fillId="16" borderId="3" xfId="2" applyNumberFormat="1" applyFont="1" applyFill="1" applyBorder="1" applyAlignment="1">
      <alignment horizontal="center" vertical="center" wrapText="1"/>
    </xf>
    <xf numFmtId="0" fontId="3" fillId="20" borderId="12" xfId="2" applyFont="1" applyFill="1" applyBorder="1" applyAlignment="1">
      <alignment horizontal="center" vertical="top" wrapText="1"/>
    </xf>
    <xf numFmtId="0" fontId="3" fillId="0" borderId="18" xfId="3" applyFont="1" applyBorder="1" applyAlignment="1">
      <alignment horizontal="center" vertical="center" wrapText="1"/>
    </xf>
    <xf numFmtId="0" fontId="3" fillId="0" borderId="12" xfId="2" applyFont="1" applyBorder="1" applyAlignment="1">
      <alignment horizontal="center" vertical="center" wrapText="1"/>
    </xf>
    <xf numFmtId="3" fontId="3" fillId="0" borderId="12" xfId="2" applyNumberFormat="1" applyFont="1" applyBorder="1" applyAlignment="1">
      <alignment horizontal="center" vertical="center" wrapText="1"/>
    </xf>
    <xf numFmtId="0" fontId="3" fillId="0" borderId="3" xfId="2" applyFont="1" applyBorder="1" applyAlignment="1">
      <alignment horizontal="center" vertical="center" wrapText="1"/>
    </xf>
    <xf numFmtId="0" fontId="3" fillId="0" borderId="8" xfId="2" applyFont="1" applyBorder="1" applyAlignment="1">
      <alignment horizontal="center" vertical="center" wrapText="1"/>
    </xf>
    <xf numFmtId="0" fontId="3" fillId="0" borderId="0" xfId="2" applyFont="1" applyAlignment="1">
      <alignment horizontal="center" vertical="center" wrapText="1"/>
    </xf>
    <xf numFmtId="0" fontId="5" fillId="0" borderId="8" xfId="3" applyFont="1" applyBorder="1" applyAlignment="1">
      <alignment horizontal="center" vertical="center" wrapText="1"/>
    </xf>
    <xf numFmtId="14" fontId="3" fillId="0" borderId="3" xfId="2" applyNumberFormat="1" applyFont="1" applyBorder="1" applyAlignment="1">
      <alignment horizontal="center" vertical="top" wrapText="1"/>
    </xf>
    <xf numFmtId="3" fontId="3" fillId="0" borderId="3" xfId="2" applyNumberFormat="1" applyFont="1" applyBorder="1" applyAlignment="1">
      <alignment horizontal="center" vertical="top" wrapText="1"/>
    </xf>
    <xf numFmtId="1" fontId="3" fillId="0" borderId="3" xfId="2" applyNumberFormat="1" applyFont="1" applyBorder="1" applyAlignment="1">
      <alignment horizontal="center" vertical="top" wrapText="1"/>
    </xf>
    <xf numFmtId="3" fontId="3" fillId="0" borderId="3" xfId="2" applyNumberFormat="1" applyFont="1" applyBorder="1" applyAlignment="1">
      <alignment horizontal="center" vertical="center" wrapText="1"/>
    </xf>
    <xf numFmtId="10" fontId="3" fillId="0" borderId="3" xfId="2" applyNumberFormat="1" applyFont="1" applyBorder="1" applyAlignment="1">
      <alignment horizontal="center" vertical="center" wrapText="1"/>
    </xf>
    <xf numFmtId="0" fontId="3" fillId="0" borderId="1" xfId="3" applyFont="1" applyBorder="1" applyAlignment="1">
      <alignment horizontal="center" vertical="center"/>
    </xf>
    <xf numFmtId="14" fontId="3" fillId="0" borderId="1" xfId="3" applyNumberFormat="1" applyFont="1" applyBorder="1" applyAlignment="1">
      <alignment horizontal="center" vertical="top" wrapText="1"/>
    </xf>
    <xf numFmtId="3" fontId="3" fillId="0" borderId="1" xfId="3" applyNumberFormat="1" applyFont="1" applyBorder="1" applyAlignment="1">
      <alignment horizontal="center" vertical="top" wrapText="1"/>
    </xf>
    <xf numFmtId="1" fontId="3" fillId="0" borderId="1" xfId="3" applyNumberFormat="1" applyFont="1" applyBorder="1" applyAlignment="1">
      <alignment horizontal="center" vertical="top" wrapText="1"/>
    </xf>
    <xf numFmtId="3" fontId="3" fillId="0" borderId="1" xfId="3" applyNumberFormat="1" applyFont="1" applyBorder="1" applyAlignment="1">
      <alignment horizontal="center" vertical="center" wrapText="1"/>
    </xf>
    <xf numFmtId="0" fontId="3" fillId="0" borderId="1" xfId="3" applyFont="1" applyBorder="1" applyAlignment="1">
      <alignment horizontal="center" vertical="center" wrapText="1"/>
    </xf>
    <xf numFmtId="9" fontId="3" fillId="0" borderId="1" xfId="3" applyNumberFormat="1" applyFont="1" applyBorder="1" applyAlignment="1">
      <alignment horizontal="center" vertical="center" wrapText="1"/>
    </xf>
    <xf numFmtId="0" fontId="3" fillId="0" borderId="1" xfId="3" applyFont="1" applyBorder="1" applyAlignment="1">
      <alignment horizontal="center" vertical="top" wrapText="1"/>
    </xf>
    <xf numFmtId="0" fontId="3" fillId="14" borderId="3" xfId="2" applyFont="1" applyFill="1" applyBorder="1" applyAlignment="1">
      <alignment horizontal="center" vertical="top" wrapText="1"/>
    </xf>
    <xf numFmtId="0" fontId="3" fillId="0" borderId="1" xfId="3" applyFont="1" applyBorder="1" applyAlignment="1">
      <alignment horizontal="center" vertical="top"/>
    </xf>
    <xf numFmtId="0" fontId="3" fillId="0" borderId="8" xfId="3" applyFont="1" applyBorder="1" applyAlignment="1">
      <alignment horizontal="center" vertical="center"/>
    </xf>
    <xf numFmtId="14" fontId="3" fillId="0" borderId="8" xfId="3" applyNumberFormat="1" applyFont="1" applyBorder="1" applyAlignment="1">
      <alignment horizontal="center" vertical="top" wrapText="1"/>
    </xf>
    <xf numFmtId="3" fontId="3" fillId="0" borderId="8" xfId="3" applyNumberFormat="1" applyFont="1" applyBorder="1" applyAlignment="1">
      <alignment horizontal="center" vertical="top" wrapText="1"/>
    </xf>
    <xf numFmtId="1" fontId="3" fillId="0" borderId="8" xfId="3" applyNumberFormat="1" applyFont="1" applyBorder="1" applyAlignment="1">
      <alignment horizontal="center" vertical="top" wrapText="1"/>
    </xf>
    <xf numFmtId="3" fontId="3" fillId="0" borderId="8" xfId="3" applyNumberFormat="1" applyFont="1" applyBorder="1" applyAlignment="1">
      <alignment horizontal="center" vertical="center" wrapText="1"/>
    </xf>
    <xf numFmtId="0" fontId="3" fillId="0" borderId="8" xfId="3" applyFont="1" applyBorder="1" applyAlignment="1">
      <alignment horizontal="center" vertical="center" wrapText="1"/>
    </xf>
    <xf numFmtId="9" fontId="3" fillId="0" borderId="8" xfId="3" applyNumberFormat="1" applyFont="1" applyBorder="1" applyAlignment="1">
      <alignment horizontal="center" vertical="center" wrapText="1"/>
    </xf>
    <xf numFmtId="0" fontId="3" fillId="0" borderId="8" xfId="3" applyFont="1" applyBorder="1" applyAlignment="1">
      <alignment horizontal="center" vertical="top"/>
    </xf>
    <xf numFmtId="0" fontId="3" fillId="28" borderId="3" xfId="2" applyFont="1" applyFill="1" applyBorder="1" applyAlignment="1">
      <alignment horizontal="center" vertical="center" wrapText="1"/>
    </xf>
    <xf numFmtId="14" fontId="3" fillId="28" borderId="3" xfId="2" applyNumberFormat="1" applyFont="1" applyFill="1" applyBorder="1" applyAlignment="1">
      <alignment horizontal="center" vertical="top" wrapText="1"/>
    </xf>
    <xf numFmtId="3" fontId="3" fillId="28" borderId="3" xfId="2" applyNumberFormat="1" applyFont="1" applyFill="1" applyBorder="1" applyAlignment="1">
      <alignment horizontal="center" vertical="top" wrapText="1"/>
    </xf>
    <xf numFmtId="1" fontId="3" fillId="28" borderId="3" xfId="2" applyNumberFormat="1" applyFont="1" applyFill="1" applyBorder="1" applyAlignment="1">
      <alignment horizontal="center" vertical="top" wrapText="1"/>
    </xf>
    <xf numFmtId="3" fontId="3" fillId="28" borderId="3" xfId="2" applyNumberFormat="1" applyFont="1" applyFill="1" applyBorder="1" applyAlignment="1">
      <alignment horizontal="center" vertical="center" wrapText="1"/>
    </xf>
    <xf numFmtId="10" fontId="3" fillId="28" borderId="3" xfId="2" applyNumberFormat="1" applyFont="1" applyFill="1" applyBorder="1" applyAlignment="1">
      <alignment horizontal="center" vertical="center" wrapText="1"/>
    </xf>
    <xf numFmtId="0" fontId="3" fillId="28" borderId="3" xfId="2" applyFont="1" applyFill="1" applyBorder="1" applyAlignment="1">
      <alignment horizontal="center" vertical="top" wrapText="1"/>
    </xf>
    <xf numFmtId="14" fontId="3" fillId="14" borderId="12" xfId="4" applyNumberFormat="1" applyFont="1" applyFill="1" applyBorder="1" applyAlignment="1">
      <alignment horizontal="center" vertical="top" wrapText="1"/>
    </xf>
    <xf numFmtId="0" fontId="3" fillId="0" borderId="0" xfId="3" applyFont="1" applyAlignment="1">
      <alignment horizontal="center" vertical="center"/>
    </xf>
    <xf numFmtId="0" fontId="3" fillId="14" borderId="3" xfId="2" applyFont="1" applyFill="1" applyBorder="1" applyAlignment="1">
      <alignment horizontal="center" vertical="center" wrapText="1"/>
    </xf>
    <xf numFmtId="3" fontId="3" fillId="14" borderId="3" xfId="2" applyNumberFormat="1" applyFont="1" applyFill="1" applyBorder="1" applyAlignment="1">
      <alignment horizontal="center" vertical="center" wrapText="1"/>
    </xf>
    <xf numFmtId="0" fontId="3" fillId="17" borderId="3" xfId="2" applyFont="1" applyFill="1" applyBorder="1" applyAlignment="1">
      <alignment horizontal="center" vertical="center" wrapText="1"/>
    </xf>
    <xf numFmtId="14" fontId="3" fillId="17" borderId="3" xfId="2" applyNumberFormat="1" applyFont="1" applyFill="1" applyBorder="1" applyAlignment="1">
      <alignment horizontal="center" vertical="top" wrapText="1"/>
    </xf>
    <xf numFmtId="10" fontId="3" fillId="17" borderId="3" xfId="2" applyNumberFormat="1" applyFont="1" applyFill="1" applyBorder="1" applyAlignment="1">
      <alignment horizontal="center" vertical="center" wrapText="1"/>
    </xf>
    <xf numFmtId="0" fontId="3" fillId="12" borderId="3" xfId="2" applyFont="1" applyFill="1" applyBorder="1" applyAlignment="1">
      <alignment horizontal="center" vertical="center" wrapText="1"/>
    </xf>
    <xf numFmtId="3" fontId="3" fillId="9" borderId="3" xfId="2" applyNumberFormat="1" applyFont="1" applyFill="1" applyBorder="1" applyAlignment="1">
      <alignment horizontal="center" vertical="top" wrapText="1"/>
    </xf>
    <xf numFmtId="1" fontId="3" fillId="9" borderId="3" xfId="2" applyNumberFormat="1" applyFont="1" applyFill="1" applyBorder="1" applyAlignment="1">
      <alignment horizontal="center" vertical="top" wrapText="1"/>
    </xf>
    <xf numFmtId="3" fontId="3" fillId="24" borderId="3" xfId="2" applyNumberFormat="1" applyFont="1" applyFill="1" applyBorder="1" applyAlignment="1">
      <alignment horizontal="center" vertical="top" wrapText="1"/>
    </xf>
    <xf numFmtId="1" fontId="3" fillId="23" borderId="3" xfId="2" applyNumberFormat="1" applyFont="1" applyFill="1" applyBorder="1" applyAlignment="1">
      <alignment horizontal="center" vertical="top" wrapText="1"/>
    </xf>
    <xf numFmtId="0" fontId="3" fillId="23" borderId="3" xfId="2" applyFont="1" applyFill="1" applyBorder="1" applyAlignment="1">
      <alignment horizontal="center" vertical="top" wrapText="1"/>
    </xf>
    <xf numFmtId="0" fontId="3" fillId="11" borderId="3" xfId="4" applyFont="1" applyFill="1" applyBorder="1" applyAlignment="1">
      <alignment horizontal="center" vertical="center" wrapText="1"/>
    </xf>
    <xf numFmtId="0" fontId="3" fillId="11" borderId="3" xfId="4" applyFont="1" applyFill="1" applyBorder="1" applyAlignment="1">
      <alignment vertical="center" wrapText="1"/>
    </xf>
    <xf numFmtId="4" fontId="3" fillId="11" borderId="3" xfId="4" applyNumberFormat="1" applyFont="1" applyFill="1" applyBorder="1" applyAlignment="1">
      <alignment horizontal="center" vertical="center" wrapText="1"/>
    </xf>
    <xf numFmtId="165" fontId="3" fillId="11" borderId="3" xfId="4" applyNumberFormat="1" applyFont="1" applyFill="1" applyBorder="1" applyAlignment="1">
      <alignment horizontal="center" vertical="center" wrapText="1"/>
    </xf>
    <xf numFmtId="3" fontId="3" fillId="11" borderId="3" xfId="4" applyNumberFormat="1" applyFont="1" applyFill="1" applyBorder="1" applyAlignment="1">
      <alignment horizontal="center" vertical="center" wrapText="1"/>
    </xf>
    <xf numFmtId="3" fontId="3" fillId="12" borderId="3" xfId="5" applyNumberFormat="1" applyFont="1" applyFill="1" applyBorder="1" applyAlignment="1">
      <alignment horizontal="center" vertical="center" wrapText="1"/>
    </xf>
    <xf numFmtId="3" fontId="3" fillId="12" borderId="3" xfId="4" applyNumberFormat="1" applyFont="1" applyFill="1" applyBorder="1" applyAlignment="1">
      <alignment horizontal="center" vertical="center" wrapText="1"/>
    </xf>
    <xf numFmtId="14" fontId="3" fillId="12" borderId="3" xfId="4" applyNumberFormat="1" applyFont="1" applyFill="1" applyBorder="1" applyAlignment="1">
      <alignment horizontal="center" vertical="center" wrapText="1"/>
    </xf>
    <xf numFmtId="14" fontId="3" fillId="11" borderId="3" xfId="4" applyNumberFormat="1" applyFont="1" applyFill="1" applyBorder="1" applyAlignment="1">
      <alignment horizontal="center" vertical="center" wrapText="1"/>
    </xf>
    <xf numFmtId="3" fontId="3" fillId="11" borderId="3" xfId="4" applyNumberFormat="1" applyFont="1" applyFill="1" applyBorder="1" applyAlignment="1" applyProtection="1">
      <alignment horizontal="center" vertical="center" wrapText="1"/>
      <protection locked="0"/>
    </xf>
    <xf numFmtId="1" fontId="3" fillId="11" borderId="3" xfId="4" applyNumberFormat="1" applyFont="1" applyFill="1" applyBorder="1" applyAlignment="1" applyProtection="1">
      <alignment horizontal="center" vertical="center" wrapText="1"/>
      <protection locked="0"/>
    </xf>
    <xf numFmtId="4" fontId="3" fillId="12" borderId="22" xfId="4" applyNumberFormat="1" applyFont="1" applyFill="1" applyBorder="1" applyAlignment="1">
      <alignment horizontal="center" vertical="center" wrapText="1"/>
    </xf>
    <xf numFmtId="3" fontId="3" fillId="12" borderId="1" xfId="4" applyNumberFormat="1" applyFont="1" applyFill="1" applyBorder="1" applyAlignment="1">
      <alignment horizontal="center" vertical="top" wrapText="1"/>
    </xf>
    <xf numFmtId="0" fontId="3" fillId="11" borderId="2" xfId="4" applyFont="1" applyFill="1" applyBorder="1" applyAlignment="1">
      <alignment horizontal="center" vertical="center" wrapText="1"/>
    </xf>
    <xf numFmtId="10" fontId="3" fillId="11" borderId="3" xfId="4" applyNumberFormat="1" applyFont="1" applyFill="1" applyBorder="1" applyAlignment="1">
      <alignment horizontal="center" vertical="center" wrapText="1"/>
    </xf>
    <xf numFmtId="0" fontId="3" fillId="11" borderId="22" xfId="4" applyFont="1" applyFill="1" applyBorder="1" applyAlignment="1">
      <alignment horizontal="center" vertical="center" wrapText="1"/>
    </xf>
    <xf numFmtId="0" fontId="3" fillId="12" borderId="0" xfId="2" applyFont="1" applyFill="1" applyAlignment="1">
      <alignment horizontal="center" vertical="center" wrapText="1"/>
    </xf>
    <xf numFmtId="0" fontId="3" fillId="14" borderId="3" xfId="4" applyFont="1" applyFill="1" applyBorder="1" applyAlignment="1">
      <alignment horizontal="center" vertical="center" wrapText="1"/>
    </xf>
    <xf numFmtId="0" fontId="3" fillId="0" borderId="3" xfId="2" applyFont="1" applyBorder="1" applyAlignment="1">
      <alignment vertical="center" wrapText="1"/>
    </xf>
    <xf numFmtId="166" fontId="3" fillId="0" borderId="3" xfId="5" applyNumberFormat="1" applyFont="1" applyBorder="1" applyAlignment="1">
      <alignment horizontal="center" vertical="center" wrapText="1"/>
    </xf>
    <xf numFmtId="4" fontId="3" fillId="0" borderId="3" xfId="2" applyNumberFormat="1" applyFont="1" applyBorder="1" applyAlignment="1">
      <alignment horizontal="center" vertical="center"/>
    </xf>
    <xf numFmtId="165" fontId="3" fillId="14" borderId="3" xfId="4" applyNumberFormat="1" applyFont="1" applyFill="1" applyBorder="1" applyAlignment="1">
      <alignment horizontal="center" vertical="center" wrapText="1"/>
    </xf>
    <xf numFmtId="3" fontId="3" fillId="0" borderId="3" xfId="5" applyNumberFormat="1" applyFont="1" applyBorder="1" applyAlignment="1">
      <alignment horizontal="center" vertical="center"/>
    </xf>
    <xf numFmtId="3" fontId="3" fillId="0" borderId="3" xfId="4" applyNumberFormat="1" applyFont="1" applyBorder="1" applyAlignment="1">
      <alignment horizontal="center" vertical="center" wrapText="1"/>
    </xf>
    <xf numFmtId="14" fontId="3" fillId="0" borderId="3" xfId="4" applyNumberFormat="1" applyFont="1" applyBorder="1" applyAlignment="1">
      <alignment horizontal="center" vertical="center" wrapText="1"/>
    </xf>
    <xf numFmtId="14" fontId="3" fillId="14" borderId="3" xfId="4" applyNumberFormat="1" applyFont="1" applyFill="1" applyBorder="1" applyAlignment="1">
      <alignment horizontal="center" vertical="center" wrapText="1"/>
    </xf>
    <xf numFmtId="3" fontId="3" fillId="14" borderId="3" xfId="4" applyNumberFormat="1" applyFont="1" applyFill="1" applyBorder="1" applyAlignment="1">
      <alignment horizontal="center" vertical="center" wrapText="1"/>
    </xf>
    <xf numFmtId="3" fontId="3" fillId="14" borderId="3" xfId="4" applyNumberFormat="1" applyFont="1" applyFill="1" applyBorder="1" applyAlignment="1" applyProtection="1">
      <alignment horizontal="center" vertical="center" wrapText="1"/>
      <protection locked="0"/>
    </xf>
    <xf numFmtId="1" fontId="3" fillId="14" borderId="3" xfId="4" applyNumberFormat="1" applyFont="1" applyFill="1" applyBorder="1" applyAlignment="1" applyProtection="1">
      <alignment horizontal="center" vertical="center" wrapText="1"/>
      <protection locked="0"/>
    </xf>
    <xf numFmtId="4" fontId="3" fillId="0" borderId="22" xfId="4" applyNumberFormat="1" applyFont="1" applyBorder="1" applyAlignment="1">
      <alignment horizontal="center" vertical="center"/>
    </xf>
    <xf numFmtId="3" fontId="3" fillId="0" borderId="1" xfId="4" applyNumberFormat="1" applyFont="1" applyBorder="1" applyAlignment="1">
      <alignment horizontal="center" vertical="top"/>
    </xf>
    <xf numFmtId="0" fontId="3" fillId="14" borderId="2" xfId="4" applyFont="1" applyFill="1" applyBorder="1" applyAlignment="1">
      <alignment horizontal="center" vertical="center" wrapText="1"/>
    </xf>
    <xf numFmtId="10" fontId="3" fillId="14" borderId="3" xfId="4" applyNumberFormat="1" applyFont="1" applyFill="1" applyBorder="1" applyAlignment="1">
      <alignment horizontal="center" vertical="center" wrapText="1"/>
    </xf>
    <xf numFmtId="0" fontId="3" fillId="14" borderId="22" xfId="4" applyFont="1" applyFill="1" applyBorder="1" applyAlignment="1">
      <alignment horizontal="center" vertical="center" wrapText="1"/>
    </xf>
    <xf numFmtId="0" fontId="3" fillId="12" borderId="3" xfId="2" applyFont="1" applyFill="1" applyBorder="1" applyAlignment="1">
      <alignment vertical="center" wrapText="1"/>
    </xf>
    <xf numFmtId="166" fontId="3" fillId="12" borderId="3" xfId="5" applyNumberFormat="1" applyFont="1" applyFill="1" applyBorder="1" applyAlignment="1">
      <alignment horizontal="center" vertical="center" wrapText="1"/>
    </xf>
    <xf numFmtId="4" fontId="3" fillId="12" borderId="3" xfId="2" applyNumberFormat="1" applyFont="1" applyFill="1" applyBorder="1" applyAlignment="1">
      <alignment horizontal="center" vertical="center"/>
    </xf>
    <xf numFmtId="3" fontId="3" fillId="12" borderId="3" xfId="2" applyNumberFormat="1" applyFont="1" applyFill="1" applyBorder="1" applyAlignment="1">
      <alignment horizontal="center" vertical="center"/>
    </xf>
    <xf numFmtId="3" fontId="3" fillId="12" borderId="3" xfId="5" applyNumberFormat="1" applyFont="1" applyFill="1" applyBorder="1" applyAlignment="1">
      <alignment horizontal="center" vertical="center"/>
    </xf>
    <xf numFmtId="4" fontId="3" fillId="12" borderId="22" xfId="4" applyNumberFormat="1" applyFont="1" applyFill="1" applyBorder="1" applyAlignment="1">
      <alignment horizontal="center" vertical="center"/>
    </xf>
    <xf numFmtId="3" fontId="3" fillId="12" borderId="1" xfId="4" applyNumberFormat="1" applyFont="1" applyFill="1" applyBorder="1" applyAlignment="1">
      <alignment horizontal="center" vertical="top"/>
    </xf>
    <xf numFmtId="3" fontId="3" fillId="0" borderId="3" xfId="2" applyNumberFormat="1" applyFont="1" applyBorder="1" applyAlignment="1">
      <alignment horizontal="center" vertical="center"/>
    </xf>
    <xf numFmtId="3" fontId="3" fillId="0" borderId="6" xfId="2" applyNumberFormat="1" applyFont="1" applyBorder="1" applyAlignment="1">
      <alignment horizontal="center" vertical="center"/>
    </xf>
    <xf numFmtId="3" fontId="3" fillId="0" borderId="6" xfId="5" applyNumberFormat="1" applyFont="1" applyBorder="1" applyAlignment="1">
      <alignment horizontal="center" vertical="center"/>
    </xf>
    <xf numFmtId="3" fontId="3" fillId="0" borderId="6" xfId="4" applyNumberFormat="1" applyFont="1" applyBorder="1" applyAlignment="1">
      <alignment horizontal="center" vertical="center" wrapText="1"/>
    </xf>
    <xf numFmtId="14" fontId="3" fillId="0" borderId="6" xfId="4" applyNumberFormat="1" applyFont="1" applyBorder="1" applyAlignment="1">
      <alignment horizontal="center" vertical="center" wrapText="1"/>
    </xf>
    <xf numFmtId="14" fontId="3" fillId="14" borderId="6" xfId="4" applyNumberFormat="1" applyFont="1" applyFill="1" applyBorder="1" applyAlignment="1">
      <alignment horizontal="center" vertical="center" wrapText="1"/>
    </xf>
    <xf numFmtId="3" fontId="3" fillId="14" borderId="6" xfId="4" applyNumberFormat="1" applyFont="1" applyFill="1" applyBorder="1" applyAlignment="1">
      <alignment horizontal="center" vertical="center" wrapText="1"/>
    </xf>
    <xf numFmtId="3" fontId="3" fillId="14" borderId="6" xfId="4" applyNumberFormat="1" applyFont="1" applyFill="1" applyBorder="1" applyAlignment="1" applyProtection="1">
      <alignment horizontal="center" vertical="center" wrapText="1"/>
      <protection locked="0"/>
    </xf>
    <xf numFmtId="1" fontId="3" fillId="14" borderId="6" xfId="4" applyNumberFormat="1" applyFont="1" applyFill="1" applyBorder="1" applyAlignment="1" applyProtection="1">
      <alignment horizontal="center" vertical="center" wrapText="1"/>
      <protection locked="0"/>
    </xf>
    <xf numFmtId="4" fontId="3" fillId="0" borderId="24" xfId="4" applyNumberFormat="1" applyFont="1" applyBorder="1" applyAlignment="1">
      <alignment horizontal="center" vertical="center"/>
    </xf>
    <xf numFmtId="0" fontId="3" fillId="14" borderId="25" xfId="4" applyFont="1" applyFill="1" applyBorder="1" applyAlignment="1">
      <alignment horizontal="center" vertical="center" wrapText="1"/>
    </xf>
    <xf numFmtId="0" fontId="3" fillId="14" borderId="6" xfId="4" applyFont="1" applyFill="1" applyBorder="1" applyAlignment="1">
      <alignment horizontal="center" vertical="center" wrapText="1"/>
    </xf>
    <xf numFmtId="10" fontId="3" fillId="14" borderId="6" xfId="4" applyNumberFormat="1" applyFont="1" applyFill="1" applyBorder="1" applyAlignment="1">
      <alignment horizontal="center" vertical="center" wrapText="1"/>
    </xf>
    <xf numFmtId="0" fontId="3" fillId="14" borderId="24" xfId="4" applyFont="1" applyFill="1" applyBorder="1" applyAlignment="1">
      <alignment horizontal="center" vertical="center" wrapText="1"/>
    </xf>
    <xf numFmtId="0" fontId="3" fillId="0" borderId="26" xfId="2" applyFont="1" applyBorder="1" applyAlignment="1">
      <alignment horizontal="center" vertical="center" wrapText="1"/>
    </xf>
    <xf numFmtId="0" fontId="3" fillId="0" borderId="14" xfId="3" applyFont="1" applyBorder="1" applyAlignment="1">
      <alignment horizontal="center" vertical="center" wrapText="1" readingOrder="1"/>
    </xf>
    <xf numFmtId="3" fontId="3" fillId="0" borderId="14" xfId="3" applyNumberFormat="1" applyFont="1" applyBorder="1" applyAlignment="1">
      <alignment horizontal="center" vertical="center"/>
    </xf>
    <xf numFmtId="3" fontId="3" fillId="0" borderId="4" xfId="4" applyNumberFormat="1" applyFont="1" applyBorder="1" applyAlignment="1">
      <alignment horizontal="center" vertical="center" wrapText="1"/>
    </xf>
    <xf numFmtId="14" fontId="3" fillId="0" borderId="4" xfId="4" applyNumberFormat="1" applyFont="1" applyBorder="1" applyAlignment="1">
      <alignment horizontal="center" vertical="center" wrapText="1"/>
    </xf>
    <xf numFmtId="3" fontId="3" fillId="0" borderId="4" xfId="4" applyNumberFormat="1" applyFont="1" applyBorder="1" applyAlignment="1" applyProtection="1">
      <alignment horizontal="center" vertical="center" wrapText="1"/>
      <protection locked="0"/>
    </xf>
    <xf numFmtId="1" fontId="3" fillId="0" borderId="4" xfId="4" applyNumberFormat="1" applyFont="1" applyBorder="1" applyAlignment="1" applyProtection="1">
      <alignment horizontal="center" vertical="center" wrapText="1"/>
      <protection locked="0"/>
    </xf>
    <xf numFmtId="4" fontId="3" fillId="0" borderId="28" xfId="3" applyNumberFormat="1" applyFont="1" applyBorder="1" applyAlignment="1">
      <alignment horizontal="center" vertical="center"/>
    </xf>
    <xf numFmtId="3" fontId="3" fillId="0" borderId="14" xfId="3" applyNumberFormat="1" applyFont="1" applyBorder="1" applyAlignment="1">
      <alignment horizontal="center" vertical="top"/>
    </xf>
    <xf numFmtId="0" fontId="3" fillId="0" borderId="5" xfId="4" applyFont="1" applyBorder="1" applyAlignment="1">
      <alignment horizontal="center" vertical="center" wrapText="1"/>
    </xf>
    <xf numFmtId="0" fontId="3" fillId="0" borderId="4" xfId="4" applyFont="1" applyBorder="1" applyAlignment="1">
      <alignment horizontal="center" vertical="center" wrapText="1"/>
    </xf>
    <xf numFmtId="10" fontId="3" fillId="0" borderId="4" xfId="4" applyNumberFormat="1" applyFont="1" applyBorder="1" applyAlignment="1">
      <alignment horizontal="center" vertical="center" wrapText="1"/>
    </xf>
    <xf numFmtId="0" fontId="3" fillId="0" borderId="30" xfId="4" applyFont="1" applyBorder="1" applyAlignment="1">
      <alignment horizontal="center" vertical="center" wrapText="1"/>
    </xf>
    <xf numFmtId="0" fontId="3" fillId="0" borderId="1" xfId="3" applyFont="1" applyBorder="1" applyAlignment="1">
      <alignment horizontal="center" vertical="center" wrapText="1" readingOrder="1"/>
    </xf>
    <xf numFmtId="3" fontId="3" fillId="0" borderId="3" xfId="4" applyNumberFormat="1" applyFont="1" applyBorder="1" applyAlignment="1" applyProtection="1">
      <alignment horizontal="center" vertical="center" wrapText="1"/>
      <protection locked="0"/>
    </xf>
    <xf numFmtId="1" fontId="3" fillId="0" borderId="3" xfId="4" applyNumberFormat="1" applyFont="1" applyBorder="1" applyAlignment="1" applyProtection="1">
      <alignment horizontal="center" vertical="center" wrapText="1"/>
      <protection locked="0"/>
    </xf>
    <xf numFmtId="4" fontId="3" fillId="0" borderId="31" xfId="3" applyNumberFormat="1" applyFont="1" applyBorder="1" applyAlignment="1">
      <alignment horizontal="center" vertical="center" wrapText="1" readingOrder="1"/>
    </xf>
    <xf numFmtId="3" fontId="3" fillId="0" borderId="1" xfId="3" applyNumberFormat="1" applyFont="1" applyBorder="1" applyAlignment="1">
      <alignment horizontal="center" vertical="center" wrapText="1" readingOrder="1"/>
    </xf>
    <xf numFmtId="0" fontId="3" fillId="0" borderId="2" xfId="4" applyFont="1" applyBorder="1" applyAlignment="1">
      <alignment horizontal="center" vertical="center" wrapText="1"/>
    </xf>
    <xf numFmtId="0" fontId="3" fillId="0" borderId="3" xfId="4" applyFont="1" applyBorder="1" applyAlignment="1">
      <alignment horizontal="center" vertical="center" wrapText="1"/>
    </xf>
    <xf numFmtId="10" fontId="3" fillId="0" borderId="3" xfId="4" applyNumberFormat="1" applyFont="1" applyBorder="1" applyAlignment="1">
      <alignment horizontal="center" vertical="center" wrapText="1"/>
    </xf>
    <xf numFmtId="0" fontId="3" fillId="0" borderId="22" xfId="4" applyFont="1" applyBorder="1" applyAlignment="1">
      <alignment horizontal="center" vertical="center" wrapText="1"/>
    </xf>
    <xf numFmtId="0" fontId="3" fillId="0" borderId="0" xfId="3" applyFont="1" applyAlignment="1">
      <alignment horizontal="center" vertical="center" wrapText="1" readingOrder="1"/>
    </xf>
    <xf numFmtId="4" fontId="3" fillId="0" borderId="31" xfId="7" applyNumberFormat="1" applyFont="1" applyFill="1" applyBorder="1" applyAlignment="1">
      <alignment horizontal="center" vertical="center" readingOrder="1"/>
    </xf>
    <xf numFmtId="3" fontId="3" fillId="0" borderId="1" xfId="7" applyNumberFormat="1" applyFont="1" applyFill="1" applyBorder="1" applyAlignment="1">
      <alignment horizontal="center" vertical="center" readingOrder="1"/>
    </xf>
    <xf numFmtId="3" fontId="3" fillId="0" borderId="19" xfId="3" applyNumberFormat="1" applyFont="1" applyBorder="1" applyAlignment="1">
      <alignment horizontal="center" vertical="center"/>
    </xf>
    <xf numFmtId="3" fontId="3" fillId="0" borderId="1" xfId="3" applyNumberFormat="1" applyFont="1" applyBorder="1" applyAlignment="1">
      <alignment horizontal="center" vertical="center"/>
    </xf>
    <xf numFmtId="4" fontId="3" fillId="0" borderId="31" xfId="3" applyNumberFormat="1" applyFont="1" applyBorder="1" applyAlignment="1">
      <alignment horizontal="center" vertical="center"/>
    </xf>
    <xf numFmtId="3" fontId="3" fillId="0" borderId="1" xfId="3" applyNumberFormat="1" applyFont="1" applyBorder="1" applyAlignment="1">
      <alignment horizontal="center" vertical="top"/>
    </xf>
    <xf numFmtId="0" fontId="3" fillId="27" borderId="3" xfId="2" applyFont="1" applyFill="1" applyBorder="1" applyAlignment="1">
      <alignment horizontal="center" vertical="center" wrapText="1"/>
    </xf>
    <xf numFmtId="14" fontId="8" fillId="26" borderId="1" xfId="3" applyNumberFormat="1" applyFont="1" applyFill="1" applyBorder="1" applyAlignment="1">
      <alignment horizontal="center" vertical="center" wrapText="1"/>
    </xf>
    <xf numFmtId="0" fontId="8" fillId="26" borderId="1" xfId="3" applyFont="1" applyFill="1" applyBorder="1" applyAlignment="1">
      <alignment horizontal="center" vertical="center" wrapText="1"/>
    </xf>
    <xf numFmtId="4" fontId="8" fillId="26" borderId="1" xfId="3" applyNumberFormat="1" applyFont="1" applyFill="1" applyBorder="1" applyAlignment="1">
      <alignment horizontal="center" vertical="center" wrapText="1"/>
    </xf>
    <xf numFmtId="3" fontId="3" fillId="8" borderId="1" xfId="2" applyNumberFormat="1" applyFont="1" applyFill="1" applyBorder="1" applyAlignment="1">
      <alignment horizontal="center" vertical="top" wrapText="1"/>
    </xf>
    <xf numFmtId="1" fontId="3" fillId="8" borderId="1" xfId="2" applyNumberFormat="1" applyFont="1" applyFill="1" applyBorder="1" applyAlignment="1">
      <alignment horizontal="center" vertical="top" wrapText="1"/>
    </xf>
    <xf numFmtId="0" fontId="3" fillId="0" borderId="1" xfId="2" applyFont="1" applyBorder="1" applyAlignment="1">
      <alignment vertical="center"/>
    </xf>
    <xf numFmtId="0" fontId="3" fillId="0" borderId="46" xfId="2" applyFont="1" applyBorder="1" applyAlignment="1">
      <alignment vertical="center"/>
    </xf>
    <xf numFmtId="0" fontId="3" fillId="0" borderId="0" xfId="2" applyFont="1" applyAlignment="1">
      <alignment vertical="center"/>
    </xf>
    <xf numFmtId="0" fontId="3" fillId="12" borderId="1" xfId="3" applyFont="1" applyFill="1" applyBorder="1" applyAlignment="1">
      <alignment horizontal="justify" vertical="top"/>
    </xf>
    <xf numFmtId="0" fontId="3" fillId="0" borderId="1" xfId="2" applyFont="1" applyBorder="1" applyAlignment="1">
      <alignment horizontal="center" vertical="center" wrapText="1"/>
    </xf>
    <xf numFmtId="0" fontId="3" fillId="0" borderId="1" xfId="2" applyFont="1" applyBorder="1" applyAlignment="1">
      <alignment vertical="center" wrapText="1"/>
    </xf>
    <xf numFmtId="4" fontId="3" fillId="0" borderId="1" xfId="2" applyNumberFormat="1" applyFont="1" applyBorder="1" applyAlignment="1">
      <alignment horizontal="center" vertical="center" wrapText="1"/>
    </xf>
    <xf numFmtId="3" fontId="3" fillId="0" borderId="1" xfId="2" applyNumberFormat="1" applyFont="1" applyBorder="1" applyAlignment="1">
      <alignment horizontal="center" vertical="center" wrapText="1"/>
    </xf>
    <xf numFmtId="3" fontId="3" fillId="0" borderId="1" xfId="2" applyNumberFormat="1" applyFont="1" applyBorder="1" applyAlignment="1">
      <alignment horizontal="center" vertical="top" wrapText="1"/>
    </xf>
    <xf numFmtId="14" fontId="3" fillId="0" borderId="1" xfId="2" applyNumberFormat="1" applyFont="1" applyBorder="1" applyAlignment="1">
      <alignment horizontal="center" vertical="top" wrapText="1"/>
    </xf>
    <xf numFmtId="1" fontId="3" fillId="0" borderId="1" xfId="2" applyNumberFormat="1" applyFont="1" applyBorder="1" applyAlignment="1">
      <alignment horizontal="center" vertical="top" wrapText="1"/>
    </xf>
    <xf numFmtId="10" fontId="3" fillId="0" borderId="1" xfId="2" applyNumberFormat="1" applyFont="1" applyBorder="1" applyAlignment="1">
      <alignment horizontal="center" vertical="center" wrapText="1"/>
    </xf>
    <xf numFmtId="0" fontId="3" fillId="0" borderId="1" xfId="3" applyFont="1" applyBorder="1" applyAlignment="1">
      <alignment horizontal="justify" vertical="top"/>
    </xf>
    <xf numFmtId="0" fontId="3" fillId="14" borderId="1" xfId="2" applyFont="1" applyFill="1" applyBorder="1" applyAlignment="1">
      <alignment horizontal="center" vertical="center" wrapText="1"/>
    </xf>
    <xf numFmtId="3" fontId="3" fillId="14" borderId="1" xfId="2" applyNumberFormat="1" applyFont="1" applyFill="1" applyBorder="1" applyAlignment="1">
      <alignment horizontal="center" vertical="top" wrapText="1"/>
    </xf>
    <xf numFmtId="14" fontId="3" fillId="14" borderId="1" xfId="2" applyNumberFormat="1" applyFont="1" applyFill="1" applyBorder="1" applyAlignment="1">
      <alignment horizontal="center" vertical="top" wrapText="1"/>
    </xf>
    <xf numFmtId="1" fontId="3" fillId="14" borderId="1" xfId="2" applyNumberFormat="1" applyFont="1" applyFill="1" applyBorder="1" applyAlignment="1">
      <alignment horizontal="center" vertical="top" wrapText="1"/>
    </xf>
    <xf numFmtId="0" fontId="3" fillId="12" borderId="1" xfId="2" applyFont="1" applyFill="1" applyBorder="1" applyAlignment="1">
      <alignment vertical="center"/>
    </xf>
    <xf numFmtId="0" fontId="3" fillId="12" borderId="46" xfId="2" applyFont="1" applyFill="1" applyBorder="1" applyAlignment="1">
      <alignment vertical="center"/>
    </xf>
    <xf numFmtId="0" fontId="3" fillId="12" borderId="0" xfId="2" applyFont="1" applyFill="1" applyAlignment="1">
      <alignment vertical="center"/>
    </xf>
    <xf numFmtId="0" fontId="3" fillId="12" borderId="1" xfId="2" applyFont="1" applyFill="1" applyBorder="1" applyAlignment="1">
      <alignment horizontal="center" vertical="center" wrapText="1"/>
    </xf>
    <xf numFmtId="0" fontId="3" fillId="11" borderId="1" xfId="2" applyFont="1" applyFill="1" applyBorder="1" applyAlignment="1">
      <alignment horizontal="center" vertical="center" wrapText="1"/>
    </xf>
    <xf numFmtId="3" fontId="3" fillId="12" borderId="1" xfId="2" applyNumberFormat="1" applyFont="1" applyFill="1" applyBorder="1" applyAlignment="1">
      <alignment horizontal="center" vertical="center" wrapText="1"/>
    </xf>
    <xf numFmtId="14" fontId="3" fillId="12" borderId="1" xfId="2" applyNumberFormat="1" applyFont="1" applyFill="1" applyBorder="1" applyAlignment="1">
      <alignment horizontal="center" vertical="top" wrapText="1"/>
    </xf>
    <xf numFmtId="3" fontId="3" fillId="12" borderId="1" xfId="2" applyNumberFormat="1" applyFont="1" applyFill="1" applyBorder="1" applyAlignment="1">
      <alignment horizontal="center" vertical="top" wrapText="1"/>
    </xf>
    <xf numFmtId="14" fontId="3" fillId="11" borderId="1" xfId="2" applyNumberFormat="1" applyFont="1" applyFill="1" applyBorder="1" applyAlignment="1">
      <alignment horizontal="center" vertical="top" wrapText="1"/>
    </xf>
    <xf numFmtId="1" fontId="3" fillId="11" borderId="1" xfId="2" applyNumberFormat="1" applyFont="1" applyFill="1" applyBorder="1" applyAlignment="1">
      <alignment horizontal="center" vertical="top" wrapText="1"/>
    </xf>
    <xf numFmtId="10" fontId="3" fillId="12" borderId="1" xfId="2" applyNumberFormat="1" applyFont="1" applyFill="1" applyBorder="1" applyAlignment="1">
      <alignment horizontal="center" vertical="center" wrapText="1"/>
    </xf>
    <xf numFmtId="0" fontId="3" fillId="30" borderId="1" xfId="2" applyFont="1" applyFill="1" applyBorder="1" applyAlignment="1">
      <alignment vertical="center"/>
    </xf>
    <xf numFmtId="0" fontId="3" fillId="30" borderId="46" xfId="2" applyFont="1" applyFill="1" applyBorder="1" applyAlignment="1">
      <alignment vertical="center"/>
    </xf>
    <xf numFmtId="0" fontId="3" fillId="30" borderId="0" xfId="2" applyFont="1" applyFill="1" applyAlignment="1">
      <alignment vertical="center"/>
    </xf>
    <xf numFmtId="1" fontId="3" fillId="12" borderId="1" xfId="2" applyNumberFormat="1" applyFont="1" applyFill="1" applyBorder="1" applyAlignment="1">
      <alignment horizontal="center" vertical="top" wrapText="1"/>
    </xf>
    <xf numFmtId="0" fontId="3" fillId="37" borderId="1" xfId="2" applyFont="1" applyFill="1" applyBorder="1" applyAlignment="1">
      <alignment vertical="center"/>
    </xf>
    <xf numFmtId="0" fontId="3" fillId="37" borderId="46" xfId="2" applyFont="1" applyFill="1" applyBorder="1" applyAlignment="1">
      <alignment vertical="center"/>
    </xf>
    <xf numFmtId="0" fontId="3" fillId="37" borderId="0" xfId="2" applyFont="1" applyFill="1" applyAlignment="1">
      <alignment vertical="center"/>
    </xf>
    <xf numFmtId="4" fontId="3" fillId="12" borderId="0" xfId="2" applyNumberFormat="1" applyFont="1" applyFill="1" applyAlignment="1">
      <alignment horizontal="center" vertical="center"/>
    </xf>
    <xf numFmtId="0" fontId="3" fillId="30" borderId="0" xfId="2" applyFont="1" applyFill="1" applyAlignment="1">
      <alignment horizontal="center" vertical="center"/>
    </xf>
    <xf numFmtId="2" fontId="3" fillId="12" borderId="0" xfId="2" applyNumberFormat="1" applyFont="1" applyFill="1" applyAlignment="1">
      <alignment horizontal="center" vertical="center"/>
    </xf>
    <xf numFmtId="0" fontId="3" fillId="12" borderId="46" xfId="2" applyFont="1" applyFill="1" applyBorder="1" applyAlignment="1">
      <alignment horizontal="center" vertical="center" wrapText="1"/>
    </xf>
    <xf numFmtId="0" fontId="3" fillId="0" borderId="1" xfId="2" applyFont="1" applyBorder="1" applyAlignment="1">
      <alignment vertical="center" wrapText="1" readingOrder="1"/>
    </xf>
    <xf numFmtId="3" fontId="3" fillId="12" borderId="1" xfId="2" applyNumberFormat="1" applyFont="1" applyFill="1" applyBorder="1" applyAlignment="1">
      <alignment horizontal="center" vertical="center" wrapText="1" readingOrder="1"/>
    </xf>
    <xf numFmtId="3" fontId="3" fillId="0" borderId="1" xfId="2" applyNumberFormat="1" applyFont="1" applyBorder="1" applyAlignment="1">
      <alignment horizontal="center" vertical="center" wrapText="1" readingOrder="1"/>
    </xf>
    <xf numFmtId="0" fontId="3" fillId="0" borderId="1" xfId="2" applyFont="1" applyBorder="1" applyAlignment="1">
      <alignment horizontal="center" vertical="top" wrapText="1"/>
    </xf>
    <xf numFmtId="169" fontId="3" fillId="12" borderId="1" xfId="2" applyNumberFormat="1" applyFont="1" applyFill="1" applyBorder="1" applyAlignment="1">
      <alignment horizontal="center" vertical="top" wrapText="1"/>
    </xf>
    <xf numFmtId="49" fontId="3" fillId="12" borderId="1" xfId="2" applyNumberFormat="1" applyFont="1" applyFill="1" applyBorder="1" applyAlignment="1">
      <alignment horizontal="center" vertical="top" wrapText="1"/>
    </xf>
    <xf numFmtId="3" fontId="3" fillId="12" borderId="1" xfId="2" applyNumberFormat="1" applyFont="1" applyFill="1" applyBorder="1" applyAlignment="1">
      <alignment horizontal="center" vertical="center"/>
    </xf>
    <xf numFmtId="14" fontId="3" fillId="12" borderId="1" xfId="2" applyNumberFormat="1" applyFont="1" applyFill="1" applyBorder="1" applyAlignment="1">
      <alignment horizontal="center" vertical="center" wrapText="1"/>
    </xf>
    <xf numFmtId="1" fontId="3" fillId="12" borderId="1" xfId="2" applyNumberFormat="1" applyFont="1" applyFill="1" applyBorder="1" applyAlignment="1">
      <alignment horizontal="center" vertical="center" wrapText="1"/>
    </xf>
    <xf numFmtId="0" fontId="3" fillId="0" borderId="1" xfId="3" applyFont="1" applyBorder="1" applyAlignment="1">
      <alignment vertical="center" wrapText="1"/>
    </xf>
    <xf numFmtId="0" fontId="3" fillId="12" borderId="1" xfId="2" applyFont="1" applyFill="1" applyBorder="1" applyAlignment="1">
      <alignment horizontal="center" vertical="center"/>
    </xf>
    <xf numFmtId="0" fontId="3" fillId="12" borderId="46" xfId="2" applyFont="1" applyFill="1" applyBorder="1" applyAlignment="1">
      <alignment horizontal="center" vertical="center"/>
    </xf>
    <xf numFmtId="0" fontId="3" fillId="12" borderId="0" xfId="2" applyFont="1" applyFill="1" applyAlignment="1">
      <alignment horizontal="center" vertical="center"/>
    </xf>
    <xf numFmtId="49" fontId="3" fillId="12" borderId="1" xfId="2" applyNumberFormat="1" applyFont="1" applyFill="1" applyBorder="1" applyAlignment="1">
      <alignment horizontal="center" vertical="center" wrapText="1"/>
    </xf>
    <xf numFmtId="3" fontId="3" fillId="0" borderId="1" xfId="2" applyNumberFormat="1" applyFont="1" applyBorder="1" applyAlignment="1">
      <alignment horizontal="center" vertical="center"/>
    </xf>
    <xf numFmtId="49" fontId="3" fillId="12" borderId="1" xfId="7" applyNumberFormat="1" applyFont="1" applyFill="1" applyBorder="1" applyAlignment="1">
      <alignment horizontal="center" vertical="top" wrapText="1"/>
    </xf>
    <xf numFmtId="3" fontId="9" fillId="0" borderId="1" xfId="2" applyNumberFormat="1" applyFont="1" applyBorder="1" applyAlignment="1">
      <alignment horizontal="center" vertical="center" wrapText="1"/>
    </xf>
    <xf numFmtId="3" fontId="9" fillId="12" borderId="1" xfId="2" applyNumberFormat="1" applyFont="1" applyFill="1" applyBorder="1" applyAlignment="1">
      <alignment horizontal="center" vertical="center" wrapText="1"/>
    </xf>
    <xf numFmtId="3" fontId="3" fillId="11" borderId="1" xfId="2" applyNumberFormat="1" applyFont="1" applyFill="1" applyBorder="1" applyAlignment="1">
      <alignment horizontal="center" vertical="center" wrapText="1"/>
    </xf>
    <xf numFmtId="0" fontId="5" fillId="0" borderId="1" xfId="3" applyFont="1" applyBorder="1" applyAlignment="1">
      <alignment vertical="center" wrapText="1"/>
    </xf>
    <xf numFmtId="3" fontId="3" fillId="25" borderId="1" xfId="2" applyNumberFormat="1" applyFont="1" applyFill="1" applyBorder="1" applyAlignment="1">
      <alignment horizontal="center" vertical="center" wrapText="1"/>
    </xf>
    <xf numFmtId="4" fontId="3" fillId="0" borderId="1" xfId="2" applyNumberFormat="1" applyFont="1" applyBorder="1" applyAlignment="1">
      <alignment horizontal="center" vertical="center"/>
    </xf>
    <xf numFmtId="170" fontId="3" fillId="0" borderId="1" xfId="2" applyNumberFormat="1" applyFont="1" applyBorder="1" applyAlignment="1">
      <alignment horizontal="center" vertical="center"/>
    </xf>
    <xf numFmtId="4" fontId="3" fillId="0" borderId="1" xfId="8" applyNumberFormat="1" applyFont="1" applyFill="1" applyBorder="1" applyAlignment="1">
      <alignment horizontal="center" vertical="center"/>
    </xf>
    <xf numFmtId="3" fontId="9" fillId="0" borderId="1" xfId="2" applyNumberFormat="1" applyFont="1" applyBorder="1" applyAlignment="1">
      <alignment horizontal="center" vertical="center"/>
    </xf>
    <xf numFmtId="3" fontId="9" fillId="25" borderId="1" xfId="2" applyNumberFormat="1" applyFont="1" applyFill="1" applyBorder="1" applyAlignment="1">
      <alignment horizontal="center" vertical="center" wrapText="1"/>
    </xf>
    <xf numFmtId="3" fontId="9" fillId="25" borderId="1" xfId="2" applyNumberFormat="1" applyFont="1" applyFill="1" applyBorder="1" applyAlignment="1">
      <alignment horizontal="center" vertical="center"/>
    </xf>
    <xf numFmtId="0" fontId="3" fillId="0" borderId="1" xfId="2" applyFont="1" applyBorder="1" applyAlignment="1">
      <alignment horizontal="center" vertical="center"/>
    </xf>
    <xf numFmtId="0" fontId="3" fillId="0" borderId="5" xfId="2" applyFont="1" applyBorder="1" applyAlignment="1">
      <alignment horizontal="center" vertical="center" wrapText="1"/>
    </xf>
    <xf numFmtId="0" fontId="3" fillId="0" borderId="4" xfId="2" applyFont="1" applyBorder="1" applyAlignment="1">
      <alignment horizontal="center" vertical="center" wrapText="1"/>
    </xf>
    <xf numFmtId="0" fontId="3" fillId="12" borderId="4" xfId="2" applyFont="1" applyFill="1" applyBorder="1" applyAlignment="1">
      <alignment horizontal="center" vertical="center" wrapText="1"/>
    </xf>
    <xf numFmtId="4" fontId="3" fillId="0" borderId="4" xfId="2" applyNumberFormat="1" applyFont="1" applyBorder="1" applyAlignment="1">
      <alignment horizontal="center" vertical="center" wrapText="1"/>
    </xf>
    <xf numFmtId="3" fontId="3" fillId="0" borderId="4" xfId="2" applyNumberFormat="1" applyFont="1" applyBorder="1" applyAlignment="1">
      <alignment horizontal="center" vertical="center" wrapText="1"/>
    </xf>
    <xf numFmtId="3" fontId="3" fillId="12" borderId="4" xfId="2" applyNumberFormat="1" applyFont="1" applyFill="1" applyBorder="1" applyAlignment="1">
      <alignment horizontal="center" vertical="center" wrapText="1"/>
    </xf>
    <xf numFmtId="3" fontId="3" fillId="12" borderId="3" xfId="2" applyNumberFormat="1" applyFont="1" applyFill="1" applyBorder="1" applyAlignment="1">
      <alignment horizontal="center" vertical="center" wrapText="1"/>
    </xf>
    <xf numFmtId="3" fontId="3" fillId="12" borderId="4" xfId="2" applyNumberFormat="1" applyFont="1" applyFill="1" applyBorder="1" applyAlignment="1">
      <alignment horizontal="center" vertical="top" wrapText="1"/>
    </xf>
    <xf numFmtId="3" fontId="3" fillId="12" borderId="43" xfId="2" applyNumberFormat="1" applyFont="1" applyFill="1" applyBorder="1" applyAlignment="1">
      <alignment horizontal="center" vertical="top" wrapText="1"/>
    </xf>
    <xf numFmtId="0" fontId="3" fillId="12" borderId="2" xfId="2" applyFont="1" applyFill="1" applyBorder="1" applyAlignment="1">
      <alignment horizontal="center" vertical="center" wrapText="1"/>
    </xf>
    <xf numFmtId="10" fontId="3" fillId="12" borderId="4" xfId="2" applyNumberFormat="1" applyFont="1" applyFill="1" applyBorder="1" applyAlignment="1">
      <alignment horizontal="center" vertical="center" wrapText="1"/>
    </xf>
    <xf numFmtId="0" fontId="3" fillId="12" borderId="4" xfId="2" applyFont="1" applyFill="1" applyBorder="1" applyAlignment="1">
      <alignment horizontal="center" vertical="top" wrapText="1"/>
    </xf>
    <xf numFmtId="0" fontId="3" fillId="12" borderId="1" xfId="3" applyFont="1" applyFill="1" applyBorder="1" applyAlignment="1">
      <alignment horizontal="center" vertical="center"/>
    </xf>
    <xf numFmtId="0" fontId="3" fillId="12" borderId="46" xfId="3" applyFont="1" applyFill="1" applyBorder="1" applyAlignment="1">
      <alignment horizontal="center" vertical="center"/>
    </xf>
    <xf numFmtId="0" fontId="3" fillId="12" borderId="0" xfId="3" applyFont="1" applyFill="1" applyAlignment="1">
      <alignment horizontal="center" vertical="center"/>
    </xf>
    <xf numFmtId="0" fontId="5" fillId="0" borderId="1" xfId="3" applyFont="1" applyBorder="1" applyAlignment="1">
      <alignment horizontal="center" vertical="center" wrapText="1"/>
    </xf>
    <xf numFmtId="0" fontId="5" fillId="12" borderId="1" xfId="3" applyFont="1" applyFill="1" applyBorder="1" applyAlignment="1">
      <alignment horizontal="center" vertical="center" wrapText="1"/>
    </xf>
    <xf numFmtId="4" fontId="3" fillId="0" borderId="1" xfId="3" applyNumberFormat="1" applyFont="1" applyBorder="1" applyAlignment="1">
      <alignment horizontal="center" vertical="center"/>
    </xf>
    <xf numFmtId="0" fontId="3" fillId="12" borderId="1" xfId="3" applyFont="1" applyFill="1" applyBorder="1" applyAlignment="1">
      <alignment horizontal="center" vertical="center" wrapText="1"/>
    </xf>
    <xf numFmtId="14" fontId="3" fillId="12" borderId="1" xfId="3" applyNumberFormat="1" applyFont="1" applyFill="1" applyBorder="1" applyAlignment="1">
      <alignment horizontal="center" vertical="center"/>
    </xf>
    <xf numFmtId="14" fontId="5" fillId="12" borderId="1" xfId="3" applyNumberFormat="1" applyFont="1" applyFill="1" applyBorder="1" applyAlignment="1">
      <alignment horizontal="center" vertical="center" wrapText="1"/>
    </xf>
    <xf numFmtId="1" fontId="5" fillId="12" borderId="1" xfId="3" applyNumberFormat="1" applyFont="1" applyFill="1" applyBorder="1" applyAlignment="1">
      <alignment horizontal="center" vertical="center" wrapText="1"/>
    </xf>
    <xf numFmtId="10" fontId="5" fillId="12" borderId="1" xfId="3" applyNumberFormat="1" applyFont="1" applyFill="1" applyBorder="1" applyAlignment="1">
      <alignment horizontal="center" vertical="center" wrapText="1"/>
    </xf>
    <xf numFmtId="43" fontId="3" fillId="12" borderId="1" xfId="9" applyFont="1" applyFill="1" applyBorder="1" applyAlignment="1">
      <alignment horizontal="center" vertical="center"/>
    </xf>
    <xf numFmtId="0" fontId="3" fillId="12" borderId="1" xfId="3" applyFont="1" applyFill="1" applyBorder="1"/>
    <xf numFmtId="0" fontId="3" fillId="12" borderId="46" xfId="3" applyFont="1" applyFill="1" applyBorder="1"/>
    <xf numFmtId="0" fontId="3" fillId="12" borderId="0" xfId="3" applyFont="1" applyFill="1"/>
    <xf numFmtId="14" fontId="3" fillId="12" borderId="1" xfId="3" applyNumberFormat="1" applyFont="1" applyFill="1" applyBorder="1"/>
    <xf numFmtId="14" fontId="3" fillId="12" borderId="1" xfId="3" applyNumberFormat="1" applyFont="1" applyFill="1" applyBorder="1" applyAlignment="1">
      <alignment horizontal="center" vertical="center" wrapText="1"/>
    </xf>
    <xf numFmtId="1" fontId="3" fillId="12" borderId="1" xfId="3" applyNumberFormat="1" applyFont="1" applyFill="1" applyBorder="1" applyAlignment="1">
      <alignment horizontal="center" vertical="center" wrapText="1"/>
    </xf>
    <xf numFmtId="10" fontId="3" fillId="12" borderId="1" xfId="3" applyNumberFormat="1" applyFont="1" applyFill="1" applyBorder="1" applyAlignment="1">
      <alignment horizontal="center" vertical="center" wrapText="1"/>
    </xf>
    <xf numFmtId="0" fontId="9" fillId="0" borderId="1" xfId="3" applyFont="1" applyBorder="1" applyAlignment="1">
      <alignment horizontal="center" vertical="center"/>
    </xf>
    <xf numFmtId="0" fontId="9" fillId="25" borderId="1" xfId="3" applyFont="1" applyFill="1" applyBorder="1" applyAlignment="1">
      <alignment horizontal="center" vertical="center" wrapText="1"/>
    </xf>
    <xf numFmtId="0" fontId="3" fillId="37" borderId="1" xfId="3" applyFont="1" applyFill="1" applyBorder="1"/>
    <xf numFmtId="0" fontId="3" fillId="37" borderId="46" xfId="3" applyFont="1" applyFill="1" applyBorder="1"/>
    <xf numFmtId="0" fontId="3" fillId="37" borderId="0" xfId="3" applyFont="1" applyFill="1"/>
    <xf numFmtId="172" fontId="3" fillId="0" borderId="1" xfId="3" applyNumberFormat="1" applyFont="1" applyBorder="1" applyAlignment="1">
      <alignment vertical="center" wrapText="1"/>
    </xf>
    <xf numFmtId="0" fontId="3" fillId="38" borderId="1" xfId="2" applyFont="1" applyFill="1" applyBorder="1" applyAlignment="1">
      <alignment horizontal="center" vertical="center" wrapText="1"/>
    </xf>
    <xf numFmtId="0" fontId="3" fillId="38" borderId="46" xfId="2" applyFont="1" applyFill="1" applyBorder="1" applyAlignment="1">
      <alignment horizontal="center" vertical="center" wrapText="1"/>
    </xf>
    <xf numFmtId="0" fontId="3" fillId="38" borderId="0" xfId="2" applyFont="1" applyFill="1" applyAlignment="1">
      <alignment horizontal="center" vertical="center" wrapText="1"/>
    </xf>
    <xf numFmtId="0" fontId="3" fillId="38" borderId="2" xfId="2" applyFont="1" applyFill="1" applyBorder="1" applyAlignment="1">
      <alignment horizontal="center" vertical="center" wrapText="1"/>
    </xf>
    <xf numFmtId="0" fontId="3" fillId="38" borderId="3" xfId="2" applyFont="1" applyFill="1" applyBorder="1" applyAlignment="1">
      <alignment horizontal="center" vertical="center" wrapText="1"/>
    </xf>
    <xf numFmtId="0" fontId="3" fillId="39" borderId="3" xfId="2" applyFont="1" applyFill="1" applyBorder="1" applyAlignment="1">
      <alignment horizontal="center" vertical="center" wrapText="1"/>
    </xf>
    <xf numFmtId="0" fontId="3" fillId="39" borderId="1" xfId="2" applyFont="1" applyFill="1" applyBorder="1" applyAlignment="1">
      <alignment horizontal="center" vertical="center" wrapText="1"/>
    </xf>
    <xf numFmtId="3" fontId="3" fillId="39" borderId="1" xfId="2" applyNumberFormat="1" applyFont="1" applyFill="1" applyBorder="1" applyAlignment="1">
      <alignment horizontal="center" vertical="top" wrapText="1"/>
    </xf>
    <xf numFmtId="1" fontId="3" fillId="39" borderId="1" xfId="2" applyNumberFormat="1" applyFont="1" applyFill="1" applyBorder="1" applyAlignment="1">
      <alignment horizontal="center" vertical="top" wrapText="1"/>
    </xf>
    <xf numFmtId="0" fontId="3" fillId="12" borderId="1" xfId="2" applyFont="1" applyFill="1" applyBorder="1" applyAlignment="1">
      <alignment vertical="center" wrapText="1"/>
    </xf>
    <xf numFmtId="3" fontId="3" fillId="11" borderId="1" xfId="4" applyNumberFormat="1" applyFont="1" applyFill="1" applyBorder="1" applyAlignment="1">
      <alignment horizontal="center" vertical="top" wrapText="1"/>
    </xf>
    <xf numFmtId="3" fontId="9" fillId="12" borderId="1" xfId="2" applyNumberFormat="1" applyFont="1" applyFill="1" applyBorder="1" applyAlignment="1">
      <alignment horizontal="center" vertical="top" wrapText="1"/>
    </xf>
    <xf numFmtId="3" fontId="3" fillId="12" borderId="1" xfId="2" applyNumberFormat="1" applyFont="1" applyFill="1" applyBorder="1" applyAlignment="1">
      <alignment horizontal="center" vertical="top"/>
    </xf>
    <xf numFmtId="3" fontId="9" fillId="25" borderId="1" xfId="2" applyNumberFormat="1" applyFont="1" applyFill="1" applyBorder="1" applyAlignment="1">
      <alignment horizontal="center" vertical="top" wrapText="1"/>
    </xf>
    <xf numFmtId="0" fontId="3" fillId="0" borderId="46" xfId="2" applyFont="1" applyBorder="1" applyAlignment="1">
      <alignment horizontal="center" vertical="center" wrapText="1"/>
    </xf>
    <xf numFmtId="0" fontId="3" fillId="0" borderId="2" xfId="2" applyFont="1" applyBorder="1" applyAlignment="1">
      <alignment horizontal="center" vertical="center" wrapText="1"/>
    </xf>
    <xf numFmtId="0" fontId="3" fillId="20" borderId="3" xfId="2" applyFont="1" applyFill="1" applyBorder="1" applyAlignment="1">
      <alignment horizontal="center" vertical="center" wrapText="1"/>
    </xf>
    <xf numFmtId="0" fontId="3" fillId="8" borderId="1" xfId="2" applyFont="1" applyFill="1" applyBorder="1" applyAlignment="1">
      <alignment horizontal="center" vertical="center" wrapText="1"/>
    </xf>
    <xf numFmtId="0" fontId="3" fillId="20" borderId="1" xfId="2" applyFont="1" applyFill="1" applyBorder="1" applyAlignment="1">
      <alignment horizontal="center" vertical="center" wrapText="1"/>
    </xf>
    <xf numFmtId="4" fontId="3" fillId="20" borderId="1" xfId="2" applyNumberFormat="1" applyFont="1" applyFill="1" applyBorder="1" applyAlignment="1">
      <alignment horizontal="center" vertical="center" wrapText="1"/>
    </xf>
    <xf numFmtId="170" fontId="3" fillId="0" borderId="1" xfId="2" applyNumberFormat="1" applyFont="1" applyBorder="1" applyAlignment="1">
      <alignment horizontal="center" vertical="center" wrapText="1"/>
    </xf>
    <xf numFmtId="4" fontId="3" fillId="12" borderId="1" xfId="3" applyNumberFormat="1" applyFont="1" applyFill="1" applyBorder="1" applyAlignment="1">
      <alignment horizontal="center" vertical="center"/>
    </xf>
    <xf numFmtId="0" fontId="3" fillId="8" borderId="3" xfId="2" applyFont="1" applyFill="1" applyBorder="1" applyAlignment="1">
      <alignment horizontal="center" vertical="center" wrapText="1"/>
    </xf>
    <xf numFmtId="4" fontId="3" fillId="8" borderId="1" xfId="2" applyNumberFormat="1" applyFont="1" applyFill="1" applyBorder="1" applyAlignment="1">
      <alignment horizontal="center" vertical="center" wrapText="1"/>
    </xf>
    <xf numFmtId="4" fontId="3" fillId="17" borderId="1" xfId="2" applyNumberFormat="1" applyFont="1" applyFill="1" applyBorder="1" applyAlignment="1">
      <alignment horizontal="center" vertical="center" wrapText="1"/>
    </xf>
    <xf numFmtId="0" fontId="3" fillId="18" borderId="1" xfId="2" applyFont="1" applyFill="1" applyBorder="1" applyAlignment="1">
      <alignment horizontal="center" vertical="center" wrapText="1"/>
    </xf>
    <xf numFmtId="3" fontId="3" fillId="14" borderId="1" xfId="2" applyNumberFormat="1" applyFont="1" applyFill="1" applyBorder="1" applyAlignment="1">
      <alignment horizontal="center" vertical="center" wrapText="1"/>
    </xf>
    <xf numFmtId="10" fontId="3" fillId="14" borderId="1" xfId="2" applyNumberFormat="1" applyFont="1" applyFill="1" applyBorder="1" applyAlignment="1">
      <alignment horizontal="center" vertical="center" wrapText="1"/>
    </xf>
    <xf numFmtId="0" fontId="3" fillId="14" borderId="1" xfId="2" applyFont="1" applyFill="1" applyBorder="1" applyAlignment="1">
      <alignment horizontal="center" vertical="top" wrapText="1"/>
    </xf>
    <xf numFmtId="3" fontId="3" fillId="0" borderId="1" xfId="10" applyNumberFormat="1" applyFont="1" applyBorder="1" applyAlignment="1">
      <alignment horizontal="center" vertical="center"/>
    </xf>
    <xf numFmtId="0" fontId="11" fillId="0" borderId="1" xfId="11" applyFont="1" applyBorder="1" applyAlignment="1" applyProtection="1">
      <alignment horizontal="center"/>
      <protection locked="0"/>
    </xf>
    <xf numFmtId="10" fontId="3" fillId="0" borderId="1" xfId="3" applyNumberFormat="1" applyFont="1" applyBorder="1" applyAlignment="1">
      <alignment horizontal="center" vertical="center"/>
    </xf>
    <xf numFmtId="14" fontId="3" fillId="8" borderId="1" xfId="2" applyNumberFormat="1" applyFont="1" applyFill="1" applyBorder="1" applyAlignment="1">
      <alignment horizontal="center" vertical="top" wrapText="1"/>
    </xf>
    <xf numFmtId="3" fontId="3" fillId="20" borderId="1" xfId="2" applyNumberFormat="1" applyFont="1" applyFill="1" applyBorder="1" applyAlignment="1">
      <alignment horizontal="center" vertical="top" wrapText="1"/>
    </xf>
    <xf numFmtId="14" fontId="3" fillId="20" borderId="1" xfId="2" applyNumberFormat="1" applyFont="1" applyFill="1" applyBorder="1" applyAlignment="1">
      <alignment horizontal="center" vertical="top" wrapText="1"/>
    </xf>
    <xf numFmtId="14" fontId="3" fillId="0" borderId="1" xfId="3" applyNumberFormat="1" applyFont="1" applyBorder="1" applyAlignment="1">
      <alignment horizontal="center" vertical="top"/>
    </xf>
    <xf numFmtId="3" fontId="3" fillId="20" borderId="3" xfId="2" applyNumberFormat="1" applyFont="1" applyFill="1" applyBorder="1" applyAlignment="1">
      <alignment horizontal="center" vertical="center" wrapText="1"/>
    </xf>
    <xf numFmtId="3" fontId="3" fillId="23" borderId="3" xfId="2" applyNumberFormat="1" applyFont="1" applyFill="1" applyBorder="1" applyAlignment="1">
      <alignment horizontal="center" vertical="center" wrapText="1"/>
    </xf>
    <xf numFmtId="0" fontId="3" fillId="12" borderId="23" xfId="2" applyFont="1" applyFill="1" applyBorder="1" applyAlignment="1">
      <alignment horizontal="center" vertical="center" wrapText="1"/>
    </xf>
    <xf numFmtId="10" fontId="3" fillId="17" borderId="1" xfId="2" applyNumberFormat="1" applyFont="1" applyFill="1" applyBorder="1" applyAlignment="1">
      <alignment horizontal="center" vertical="center" wrapText="1"/>
    </xf>
    <xf numFmtId="0" fontId="3" fillId="17" borderId="1" xfId="3" applyFont="1" applyFill="1" applyBorder="1" applyAlignment="1">
      <alignment horizontal="center" vertical="center" wrapText="1"/>
    </xf>
    <xf numFmtId="0" fontId="3" fillId="12" borderId="1" xfId="2" applyFont="1" applyFill="1" applyBorder="1" applyAlignment="1">
      <alignment horizontal="left" vertical="center" wrapText="1"/>
    </xf>
    <xf numFmtId="165" fontId="3" fillId="11" borderId="1" xfId="2" applyNumberFormat="1" applyFont="1" applyFill="1" applyBorder="1" applyAlignment="1">
      <alignment horizontal="center" vertical="center" wrapText="1"/>
    </xf>
    <xf numFmtId="0" fontId="13" fillId="12" borderId="1" xfId="3" applyFont="1" applyFill="1" applyBorder="1" applyAlignment="1">
      <alignment wrapText="1"/>
    </xf>
    <xf numFmtId="4" fontId="3" fillId="11" borderId="1" xfId="2" applyNumberFormat="1" applyFont="1" applyFill="1" applyBorder="1" applyAlignment="1">
      <alignment horizontal="center" vertical="center" wrapText="1"/>
    </xf>
    <xf numFmtId="4" fontId="3" fillId="12" borderId="14" xfId="3" applyNumberFormat="1" applyFont="1" applyFill="1" applyBorder="1" applyAlignment="1">
      <alignment horizontal="center" vertical="center" wrapText="1"/>
    </xf>
    <xf numFmtId="4" fontId="3" fillId="12" borderId="14" xfId="4" applyNumberFormat="1" applyFont="1" applyFill="1" applyBorder="1" applyAlignment="1">
      <alignment horizontal="center" vertical="center" wrapText="1"/>
    </xf>
    <xf numFmtId="4" fontId="3" fillId="12" borderId="1" xfId="4" applyNumberFormat="1" applyFont="1" applyFill="1" applyBorder="1" applyAlignment="1">
      <alignment horizontal="center" vertical="center" wrapText="1"/>
    </xf>
    <xf numFmtId="0" fontId="3" fillId="0" borderId="1" xfId="4" applyFont="1" applyBorder="1" applyAlignment="1">
      <alignment horizontal="center" vertical="center" wrapText="1"/>
    </xf>
    <xf numFmtId="0" fontId="1" fillId="0" borderId="1" xfId="3" applyBorder="1" applyAlignment="1">
      <alignment vertical="center" wrapText="1"/>
    </xf>
    <xf numFmtId="4" fontId="3" fillId="0" borderId="1" xfId="4" applyNumberFormat="1" applyFont="1" applyBorder="1" applyAlignment="1">
      <alignment horizontal="center" vertical="center" wrapText="1"/>
    </xf>
    <xf numFmtId="0" fontId="7" fillId="0" borderId="1" xfId="3" applyFont="1" applyBorder="1" applyAlignment="1">
      <alignment horizontal="center" vertical="center" wrapText="1"/>
    </xf>
    <xf numFmtId="0" fontId="7" fillId="0" borderId="1" xfId="3" applyFont="1" applyBorder="1" applyAlignment="1">
      <alignment vertical="center" wrapText="1"/>
    </xf>
    <xf numFmtId="3" fontId="9" fillId="0" borderId="3" xfId="4" applyNumberFormat="1" applyFont="1" applyBorder="1" applyAlignment="1" applyProtection="1">
      <alignment horizontal="center" vertical="center" wrapText="1"/>
      <protection locked="0"/>
    </xf>
    <xf numFmtId="1" fontId="9" fillId="0" borderId="3" xfId="4" applyNumberFormat="1" applyFont="1" applyBorder="1" applyAlignment="1" applyProtection="1">
      <alignment horizontal="center" vertical="center" wrapText="1"/>
      <protection locked="0"/>
    </xf>
    <xf numFmtId="1" fontId="3" fillId="0" borderId="1" xfId="2" applyNumberFormat="1" applyFont="1" applyBorder="1" applyAlignment="1">
      <alignment horizontal="center" vertical="center" wrapText="1"/>
    </xf>
    <xf numFmtId="0" fontId="3" fillId="0" borderId="7" xfId="4" applyFont="1" applyBorder="1" applyAlignment="1">
      <alignment horizontal="center" vertical="center" wrapText="1"/>
    </xf>
    <xf numFmtId="0" fontId="3" fillId="0" borderId="12" xfId="4" applyFont="1" applyBorder="1" applyAlignment="1">
      <alignment horizontal="center" vertical="center" wrapText="1"/>
    </xf>
    <xf numFmtId="10" fontId="3" fillId="0" borderId="12" xfId="4" applyNumberFormat="1" applyFont="1" applyBorder="1" applyAlignment="1">
      <alignment horizontal="center" vertical="center" wrapText="1"/>
    </xf>
    <xf numFmtId="0" fontId="3" fillId="0" borderId="47" xfId="4" applyFont="1" applyBorder="1" applyAlignment="1">
      <alignment horizontal="center" vertical="center" wrapText="1"/>
    </xf>
    <xf numFmtId="4" fontId="1" fillId="0" borderId="1" xfId="3" applyNumberFormat="1" applyBorder="1" applyAlignment="1">
      <alignment horizontal="center" vertical="center" wrapText="1"/>
    </xf>
    <xf numFmtId="165" fontId="3" fillId="0" borderId="1" xfId="4" applyNumberFormat="1" applyFont="1" applyBorder="1" applyAlignment="1">
      <alignment horizontal="center" vertical="center" wrapText="1"/>
    </xf>
    <xf numFmtId="1" fontId="1" fillId="0" borderId="1" xfId="3" applyNumberFormat="1" applyBorder="1" applyAlignment="1">
      <alignment horizontal="center" vertical="center" wrapText="1"/>
    </xf>
    <xf numFmtId="0" fontId="1" fillId="0" borderId="1" xfId="3" applyBorder="1" applyAlignment="1">
      <alignment horizontal="left" vertical="center" wrapText="1"/>
    </xf>
    <xf numFmtId="0" fontId="1" fillId="12" borderId="1" xfId="3" applyFill="1" applyBorder="1" applyAlignment="1">
      <alignment vertical="center" wrapText="1"/>
    </xf>
    <xf numFmtId="4" fontId="1" fillId="12" borderId="1" xfId="3" applyNumberFormat="1" applyFill="1" applyBorder="1" applyAlignment="1">
      <alignment horizontal="center" vertical="center" wrapText="1"/>
    </xf>
    <xf numFmtId="3" fontId="3" fillId="12" borderId="1" xfId="4" applyNumberFormat="1" applyFont="1" applyFill="1" applyBorder="1" applyAlignment="1">
      <alignment horizontal="center" vertical="center" wrapText="1"/>
    </xf>
    <xf numFmtId="0" fontId="1" fillId="12" borderId="1" xfId="3" applyFill="1" applyBorder="1" applyAlignment="1">
      <alignment horizontal="center" vertical="center" wrapText="1"/>
    </xf>
    <xf numFmtId="3" fontId="3" fillId="12" borderId="3" xfId="4" applyNumberFormat="1" applyFont="1" applyFill="1" applyBorder="1" applyAlignment="1" applyProtection="1">
      <alignment horizontal="center" vertical="center" wrapText="1"/>
      <protection locked="0"/>
    </xf>
    <xf numFmtId="1" fontId="3" fillId="12" borderId="3" xfId="4" applyNumberFormat="1" applyFont="1" applyFill="1" applyBorder="1" applyAlignment="1" applyProtection="1">
      <alignment horizontal="center" vertical="center" wrapText="1"/>
      <protection locked="0"/>
    </xf>
    <xf numFmtId="0" fontId="18" fillId="12" borderId="1" xfId="3" applyFont="1" applyFill="1" applyBorder="1" applyAlignment="1">
      <alignment horizontal="center" vertical="center" wrapText="1"/>
    </xf>
    <xf numFmtId="1" fontId="9" fillId="12" borderId="3" xfId="4" applyNumberFormat="1" applyFont="1" applyFill="1" applyBorder="1" applyAlignment="1" applyProtection="1">
      <alignment horizontal="center" vertical="center" wrapText="1"/>
      <protection locked="0"/>
    </xf>
    <xf numFmtId="1" fontId="7" fillId="0" borderId="1" xfId="6" applyNumberFormat="1" applyBorder="1" applyAlignment="1">
      <alignment horizontal="center" vertical="center" wrapText="1"/>
    </xf>
    <xf numFmtId="10" fontId="3" fillId="12" borderId="3" xfId="4" applyNumberFormat="1" applyFont="1" applyFill="1" applyBorder="1" applyAlignment="1">
      <alignment horizontal="center" vertical="center" wrapText="1"/>
    </xf>
    <xf numFmtId="0" fontId="3" fillId="12" borderId="22" xfId="2" applyFont="1" applyFill="1" applyBorder="1" applyAlignment="1">
      <alignment horizontal="center" vertical="center" wrapText="1"/>
    </xf>
    <xf numFmtId="165" fontId="3" fillId="12" borderId="1" xfId="4" applyNumberFormat="1" applyFont="1" applyFill="1" applyBorder="1" applyAlignment="1">
      <alignment horizontal="center" vertical="center" wrapText="1"/>
    </xf>
    <xf numFmtId="3" fontId="9" fillId="12" borderId="3" xfId="4" applyNumberFormat="1" applyFont="1" applyFill="1" applyBorder="1" applyAlignment="1" applyProtection="1">
      <alignment horizontal="center" vertical="center" wrapText="1"/>
      <protection locked="0"/>
    </xf>
    <xf numFmtId="0" fontId="3" fillId="12" borderId="2" xfId="4" applyFont="1" applyFill="1" applyBorder="1" applyAlignment="1">
      <alignment horizontal="center" vertical="center" wrapText="1"/>
    </xf>
    <xf numFmtId="0" fontId="3" fillId="12" borderId="3" xfId="4" applyFont="1" applyFill="1" applyBorder="1" applyAlignment="1">
      <alignment horizontal="center" vertical="center" wrapText="1"/>
    </xf>
    <xf numFmtId="0" fontId="3" fillId="12" borderId="22" xfId="4" applyFont="1" applyFill="1" applyBorder="1" applyAlignment="1">
      <alignment horizontal="center" vertical="center" wrapText="1"/>
    </xf>
    <xf numFmtId="0" fontId="3" fillId="0" borderId="3" xfId="4" applyFont="1" applyBorder="1" applyAlignment="1">
      <alignment vertical="center" wrapText="1"/>
    </xf>
    <xf numFmtId="2" fontId="3" fillId="14" borderId="3" xfId="4" applyNumberFormat="1" applyFont="1" applyFill="1" applyBorder="1" applyAlignment="1">
      <alignment horizontal="center" vertical="center" wrapText="1"/>
    </xf>
    <xf numFmtId="4" fontId="3" fillId="14" borderId="3" xfId="4" applyNumberFormat="1" applyFont="1" applyFill="1" applyBorder="1" applyAlignment="1">
      <alignment horizontal="center" vertical="center" wrapText="1"/>
    </xf>
    <xf numFmtId="4" fontId="3" fillId="0" borderId="9" xfId="4" applyNumberFormat="1" applyFont="1" applyBorder="1" applyAlignment="1">
      <alignment horizontal="center" vertical="center" wrapText="1"/>
    </xf>
    <xf numFmtId="1" fontId="3" fillId="0" borderId="1" xfId="6" applyNumberFormat="1" applyFont="1" applyBorder="1" applyAlignment="1">
      <alignment horizontal="center" vertical="center" wrapText="1"/>
    </xf>
    <xf numFmtId="3" fontId="3" fillId="0" borderId="1" xfId="4" applyNumberFormat="1" applyFont="1" applyBorder="1" applyAlignment="1">
      <alignment horizontal="center" vertical="top" wrapText="1"/>
    </xf>
    <xf numFmtId="4" fontId="3" fillId="0" borderId="3" xfId="2" applyNumberFormat="1" applyFont="1" applyBorder="1" applyAlignment="1">
      <alignment horizontal="center" vertical="center" wrapText="1"/>
    </xf>
    <xf numFmtId="3" fontId="3" fillId="0" borderId="3" xfId="5" applyNumberFormat="1" applyFont="1" applyBorder="1" applyAlignment="1">
      <alignment horizontal="center" vertical="center" wrapText="1"/>
    </xf>
    <xf numFmtId="2" fontId="3" fillId="0" borderId="3" xfId="5" applyNumberFormat="1" applyFont="1" applyBorder="1" applyAlignment="1">
      <alignment horizontal="center" vertical="center" wrapText="1"/>
    </xf>
    <xf numFmtId="4" fontId="3" fillId="0" borderId="3" xfId="4" applyNumberFormat="1" applyFont="1" applyBorder="1" applyAlignment="1">
      <alignment horizontal="center" vertical="center" wrapText="1"/>
    </xf>
    <xf numFmtId="0" fontId="3" fillId="0" borderId="6" xfId="2" applyFont="1" applyBorder="1" applyAlignment="1">
      <alignment vertical="center" wrapText="1"/>
    </xf>
    <xf numFmtId="3" fontId="3" fillId="0" borderId="6" xfId="2" applyNumberFormat="1" applyFont="1" applyBorder="1" applyAlignment="1">
      <alignment horizontal="center" vertical="center" wrapText="1"/>
    </xf>
    <xf numFmtId="3" fontId="3" fillId="0" borderId="6" xfId="5" applyNumberFormat="1" applyFont="1" applyBorder="1" applyAlignment="1">
      <alignment horizontal="center" vertical="center" wrapText="1"/>
    </xf>
    <xf numFmtId="4" fontId="3" fillId="0" borderId="44" xfId="4" applyNumberFormat="1" applyFont="1" applyBorder="1" applyAlignment="1">
      <alignment horizontal="center" vertical="center" wrapText="1"/>
    </xf>
    <xf numFmtId="1" fontId="3" fillId="0" borderId="8" xfId="6" applyNumberFormat="1" applyFont="1" applyBorder="1" applyAlignment="1">
      <alignment horizontal="center" vertical="center" wrapText="1"/>
    </xf>
    <xf numFmtId="0" fontId="3" fillId="0" borderId="27" xfId="2" applyFont="1" applyBorder="1" applyAlignment="1">
      <alignment vertical="center" wrapText="1"/>
    </xf>
    <xf numFmtId="2" fontId="3" fillId="0" borderId="0" xfId="5" applyNumberFormat="1" applyFont="1" applyBorder="1" applyAlignment="1">
      <alignment horizontal="center" vertical="center" wrapText="1"/>
    </xf>
    <xf numFmtId="4" fontId="3" fillId="0" borderId="0" xfId="4" applyNumberFormat="1" applyFont="1" applyBorder="1" applyAlignment="1">
      <alignment horizontal="center" vertical="center" wrapText="1"/>
    </xf>
    <xf numFmtId="165" fontId="3" fillId="0" borderId="3" xfId="4" applyNumberFormat="1" applyFont="1" applyBorder="1" applyAlignment="1">
      <alignment horizontal="center" vertical="center" wrapText="1"/>
    </xf>
    <xf numFmtId="3" fontId="3" fillId="0" borderId="19" xfId="3" applyNumberFormat="1" applyFont="1" applyBorder="1" applyAlignment="1">
      <alignment horizontal="center" vertical="center" wrapText="1"/>
    </xf>
    <xf numFmtId="0" fontId="19" fillId="0" borderId="14" xfId="3" applyFont="1" applyBorder="1" applyAlignment="1">
      <alignment horizontal="center" vertical="center" wrapText="1"/>
    </xf>
    <xf numFmtId="0" fontId="18" fillId="0" borderId="14" xfId="3" applyFont="1" applyBorder="1" applyAlignment="1">
      <alignment horizontal="center" vertical="center" wrapText="1"/>
    </xf>
    <xf numFmtId="0" fontId="3" fillId="0" borderId="12" xfId="2" applyFont="1" applyBorder="1" applyAlignment="1">
      <alignment vertical="center" wrapText="1"/>
    </xf>
    <xf numFmtId="2" fontId="3" fillId="0" borderId="1" xfId="3" applyNumberFormat="1" applyFont="1" applyBorder="1" applyAlignment="1">
      <alignment horizontal="center" vertical="center" wrapText="1"/>
    </xf>
    <xf numFmtId="4" fontId="3" fillId="0" borderId="8" xfId="3" applyNumberFormat="1" applyFont="1" applyBorder="1" applyAlignment="1">
      <alignment horizontal="center" vertical="center" wrapText="1"/>
    </xf>
    <xf numFmtId="4" fontId="3" fillId="0" borderId="45" xfId="3"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4" fontId="3" fillId="0" borderId="46" xfId="3" applyNumberFormat="1" applyFont="1" applyBorder="1" applyAlignment="1">
      <alignment horizontal="center" vertical="center" wrapText="1"/>
    </xf>
    <xf numFmtId="0" fontId="1" fillId="0" borderId="1" xfId="3" applyBorder="1" applyAlignment="1">
      <alignment horizontal="center" vertical="center" wrapText="1"/>
    </xf>
    <xf numFmtId="0" fontId="9" fillId="2" borderId="1" xfId="2" applyFont="1" applyFill="1" applyBorder="1" applyAlignment="1">
      <alignment horizontal="center" vertical="center" wrapText="1"/>
    </xf>
    <xf numFmtId="0" fontId="9" fillId="3" borderId="1" xfId="3" applyFont="1" applyFill="1" applyBorder="1" applyAlignment="1">
      <alignment vertical="center" wrapText="1"/>
    </xf>
    <xf numFmtId="4" fontId="9" fillId="2" borderId="1" xfId="2" applyNumberFormat="1" applyFont="1" applyFill="1" applyBorder="1" applyAlignment="1">
      <alignment horizontal="center" vertical="center" wrapText="1"/>
    </xf>
    <xf numFmtId="3" fontId="9" fillId="2" borderId="1" xfId="2" applyNumberFormat="1" applyFont="1" applyFill="1" applyBorder="1" applyAlignment="1">
      <alignment horizontal="center" vertical="center" wrapText="1"/>
    </xf>
    <xf numFmtId="4" fontId="9" fillId="3" borderId="1" xfId="3" applyNumberFormat="1" applyFont="1" applyFill="1" applyBorder="1" applyAlignment="1">
      <alignment horizontal="center" vertical="center" wrapText="1"/>
    </xf>
    <xf numFmtId="3" fontId="9" fillId="4" borderId="1" xfId="2" applyNumberFormat="1" applyFont="1" applyFill="1" applyBorder="1" applyAlignment="1">
      <alignment horizontal="center" vertical="center" wrapText="1"/>
    </xf>
    <xf numFmtId="14" fontId="9" fillId="4" borderId="1" xfId="2" applyNumberFormat="1" applyFont="1" applyFill="1" applyBorder="1" applyAlignment="1">
      <alignment horizontal="center" vertical="center" wrapText="1"/>
    </xf>
    <xf numFmtId="3" fontId="9" fillId="5" borderId="1" xfId="2" applyNumberFormat="1" applyFont="1" applyFill="1" applyBorder="1" applyAlignment="1">
      <alignment horizontal="center" vertical="center" wrapText="1"/>
    </xf>
    <xf numFmtId="14" fontId="9" fillId="5" borderId="1" xfId="2" applyNumberFormat="1" applyFont="1" applyFill="1" applyBorder="1" applyAlignment="1">
      <alignment horizontal="center" vertical="center" wrapText="1"/>
    </xf>
    <xf numFmtId="3" fontId="9" fillId="6" borderId="1" xfId="2" applyNumberFormat="1" applyFont="1" applyFill="1" applyBorder="1" applyAlignment="1">
      <alignment horizontal="center" vertical="center" wrapText="1"/>
    </xf>
    <xf numFmtId="14" fontId="9" fillId="6" borderId="1" xfId="2" applyNumberFormat="1" applyFont="1" applyFill="1" applyBorder="1" applyAlignment="1">
      <alignment horizontal="center" vertical="center" wrapText="1"/>
    </xf>
    <xf numFmtId="14" fontId="9" fillId="2" borderId="1" xfId="2" applyNumberFormat="1" applyFont="1" applyFill="1" applyBorder="1" applyAlignment="1">
      <alignment horizontal="center" vertical="center" wrapText="1"/>
    </xf>
    <xf numFmtId="1" fontId="9" fillId="2" borderId="1" xfId="2" applyNumberFormat="1" applyFont="1" applyFill="1" applyBorder="1" applyAlignment="1">
      <alignment horizontal="center" vertical="center" wrapText="1"/>
    </xf>
    <xf numFmtId="4" fontId="9" fillId="7" borderId="1" xfId="3" applyNumberFormat="1" applyFont="1" applyFill="1" applyBorder="1" applyAlignment="1">
      <alignment horizontal="center" vertical="center" wrapText="1"/>
    </xf>
    <xf numFmtId="1" fontId="9" fillId="7" borderId="1" xfId="3" applyNumberFormat="1" applyFont="1" applyFill="1" applyBorder="1" applyAlignment="1">
      <alignment horizontal="center" vertical="center" wrapText="1"/>
    </xf>
    <xf numFmtId="3" fontId="9" fillId="7" borderId="1" xfId="3" applyNumberFormat="1" applyFont="1" applyFill="1" applyBorder="1" applyAlignment="1">
      <alignment horizontal="center" vertical="center" wrapText="1"/>
    </xf>
    <xf numFmtId="0" fontId="9" fillId="2" borderId="1" xfId="2" applyFont="1" applyFill="1" applyBorder="1" applyAlignment="1">
      <alignment horizontal="center" vertical="top" wrapText="1"/>
    </xf>
    <xf numFmtId="10" fontId="9" fillId="2" borderId="1" xfId="2" applyNumberFormat="1" applyFont="1" applyFill="1" applyBorder="1" applyAlignment="1">
      <alignment horizontal="center" vertical="center" wrapText="1"/>
    </xf>
    <xf numFmtId="0" fontId="3" fillId="8" borderId="4" xfId="2" applyFont="1" applyFill="1" applyBorder="1" applyAlignment="1">
      <alignment horizontal="center" vertical="center" wrapText="1"/>
    </xf>
    <xf numFmtId="0" fontId="3" fillId="8" borderId="5" xfId="2" applyFont="1" applyFill="1" applyBorder="1" applyAlignment="1">
      <alignment horizontal="center" vertical="center" wrapText="1"/>
    </xf>
    <xf numFmtId="0" fontId="3" fillId="8" borderId="4" xfId="2" applyFont="1" applyFill="1" applyBorder="1" applyAlignment="1">
      <alignment vertical="center" wrapText="1"/>
    </xf>
    <xf numFmtId="4" fontId="3" fillId="8" borderId="4" xfId="2" applyNumberFormat="1" applyFont="1" applyFill="1" applyBorder="1" applyAlignment="1">
      <alignment horizontal="center" vertical="center" wrapText="1"/>
    </xf>
    <xf numFmtId="165" fontId="3" fillId="8" borderId="4" xfId="2" applyNumberFormat="1" applyFont="1" applyFill="1" applyBorder="1" applyAlignment="1">
      <alignment horizontal="center" vertical="center" wrapText="1"/>
    </xf>
    <xf numFmtId="3" fontId="3" fillId="8" borderId="4" xfId="2" applyNumberFormat="1" applyFont="1" applyFill="1" applyBorder="1" applyAlignment="1">
      <alignment horizontal="center" vertical="top" wrapText="1"/>
    </xf>
    <xf numFmtId="14" fontId="3" fillId="8" borderId="4" xfId="2" applyNumberFormat="1" applyFont="1" applyFill="1" applyBorder="1" applyAlignment="1">
      <alignment horizontal="center" vertical="top" wrapText="1"/>
    </xf>
    <xf numFmtId="1" fontId="3" fillId="8" borderId="4" xfId="2" applyNumberFormat="1" applyFont="1" applyFill="1" applyBorder="1" applyAlignment="1">
      <alignment horizontal="center" vertical="top" wrapText="1"/>
    </xf>
    <xf numFmtId="10" fontId="3" fillId="8" borderId="4" xfId="2" applyNumberFormat="1" applyFont="1" applyFill="1" applyBorder="1" applyAlignment="1">
      <alignment horizontal="center" vertical="center" wrapText="1"/>
    </xf>
    <xf numFmtId="0" fontId="3" fillId="9" borderId="3" xfId="2" applyFont="1" applyFill="1" applyBorder="1" applyAlignment="1">
      <alignment horizontal="center" vertical="center" wrapText="1"/>
    </xf>
    <xf numFmtId="0" fontId="3" fillId="9" borderId="2" xfId="2" applyFont="1" applyFill="1" applyBorder="1" applyAlignment="1">
      <alignment horizontal="center" vertical="center" wrapText="1"/>
    </xf>
    <xf numFmtId="0" fontId="3" fillId="9" borderId="3" xfId="2" applyFont="1" applyFill="1" applyBorder="1" applyAlignment="1">
      <alignment vertical="center" wrapText="1"/>
    </xf>
    <xf numFmtId="4" fontId="3" fillId="9" borderId="3" xfId="2" applyNumberFormat="1" applyFont="1" applyFill="1" applyBorder="1" applyAlignment="1">
      <alignment horizontal="center" vertical="center" wrapText="1"/>
    </xf>
    <xf numFmtId="165" fontId="3" fillId="9" borderId="3" xfId="2" applyNumberFormat="1" applyFont="1" applyFill="1" applyBorder="1" applyAlignment="1">
      <alignment horizontal="center" vertical="center" wrapText="1"/>
    </xf>
    <xf numFmtId="14" fontId="3" fillId="9" borderId="3" xfId="2" applyNumberFormat="1" applyFont="1" applyFill="1" applyBorder="1" applyAlignment="1">
      <alignment horizontal="center" vertical="top" wrapText="1"/>
    </xf>
    <xf numFmtId="10" fontId="3" fillId="9" borderId="3" xfId="2" applyNumberFormat="1" applyFont="1" applyFill="1" applyBorder="1" applyAlignment="1">
      <alignment horizontal="center" vertical="center" wrapText="1"/>
    </xf>
    <xf numFmtId="0" fontId="3" fillId="9" borderId="3" xfId="2" applyFont="1" applyFill="1" applyBorder="1" applyAlignment="1">
      <alignment horizontal="center" vertical="top" wrapText="1"/>
    </xf>
    <xf numFmtId="0" fontId="3" fillId="11" borderId="3" xfId="2" applyFont="1" applyFill="1" applyBorder="1" applyAlignment="1">
      <alignment horizontal="center" vertical="center" wrapText="1"/>
    </xf>
    <xf numFmtId="165" fontId="3" fillId="11" borderId="3" xfId="2" applyNumberFormat="1" applyFont="1" applyFill="1" applyBorder="1" applyAlignment="1">
      <alignment horizontal="center" vertical="center" wrapText="1"/>
    </xf>
    <xf numFmtId="10" fontId="3" fillId="11" borderId="3" xfId="2" applyNumberFormat="1" applyFont="1" applyFill="1" applyBorder="1" applyAlignment="1">
      <alignment horizontal="center" vertical="center" wrapText="1"/>
    </xf>
    <xf numFmtId="0" fontId="3" fillId="14" borderId="2" xfId="2" applyFont="1" applyFill="1" applyBorder="1" applyAlignment="1">
      <alignment horizontal="center" vertical="center" wrapText="1"/>
    </xf>
    <xf numFmtId="0" fontId="3" fillId="14" borderId="3" xfId="2" applyFont="1" applyFill="1" applyBorder="1" applyAlignment="1">
      <alignment vertical="center" wrapText="1"/>
    </xf>
    <xf numFmtId="165" fontId="3" fillId="14" borderId="3" xfId="2" applyNumberFormat="1" applyFont="1" applyFill="1" applyBorder="1" applyAlignment="1">
      <alignment horizontal="center" vertical="center" wrapText="1"/>
    </xf>
    <xf numFmtId="3" fontId="3" fillId="14" borderId="3" xfId="2" applyNumberFormat="1" applyFont="1" applyFill="1" applyBorder="1" applyAlignment="1">
      <alignment horizontal="center" vertical="top" wrapText="1"/>
    </xf>
    <xf numFmtId="14" fontId="3" fillId="14" borderId="3" xfId="2" applyNumberFormat="1" applyFont="1" applyFill="1" applyBorder="1" applyAlignment="1">
      <alignment horizontal="center" vertical="top" wrapText="1"/>
    </xf>
    <xf numFmtId="1" fontId="3" fillId="14" borderId="3" xfId="2" applyNumberFormat="1" applyFont="1" applyFill="1" applyBorder="1" applyAlignment="1">
      <alignment horizontal="center" vertical="top" wrapText="1"/>
    </xf>
    <xf numFmtId="10" fontId="3" fillId="14" borderId="3" xfId="2" applyNumberFormat="1" applyFont="1" applyFill="1" applyBorder="1" applyAlignment="1">
      <alignment horizontal="center" vertical="center" wrapText="1"/>
    </xf>
    <xf numFmtId="0" fontId="3" fillId="8" borderId="2" xfId="2" applyFont="1" applyFill="1" applyBorder="1" applyAlignment="1">
      <alignment horizontal="center" vertical="center" wrapText="1"/>
    </xf>
    <xf numFmtId="0" fontId="3" fillId="8" borderId="3" xfId="2" applyFont="1" applyFill="1" applyBorder="1" applyAlignment="1">
      <alignment vertical="center" wrapText="1"/>
    </xf>
    <xf numFmtId="3" fontId="3" fillId="8" borderId="3" xfId="2" applyNumberFormat="1" applyFont="1" applyFill="1" applyBorder="1" applyAlignment="1">
      <alignment horizontal="center" vertical="center" wrapText="1"/>
    </xf>
    <xf numFmtId="4" fontId="3" fillId="8" borderId="3" xfId="2" applyNumberFormat="1" applyFont="1" applyFill="1" applyBorder="1" applyAlignment="1">
      <alignment horizontal="center" vertical="center" wrapText="1"/>
    </xf>
    <xf numFmtId="3" fontId="3" fillId="8" borderId="3" xfId="2" applyNumberFormat="1" applyFont="1" applyFill="1" applyBorder="1" applyAlignment="1">
      <alignment horizontal="center" vertical="top" wrapText="1"/>
    </xf>
    <xf numFmtId="1" fontId="3" fillId="8" borderId="3" xfId="2" applyNumberFormat="1" applyFont="1" applyFill="1" applyBorder="1" applyAlignment="1">
      <alignment horizontal="center" vertical="top" wrapText="1"/>
    </xf>
    <xf numFmtId="10" fontId="3" fillId="8" borderId="3" xfId="2" applyNumberFormat="1" applyFont="1" applyFill="1" applyBorder="1" applyAlignment="1">
      <alignment horizontal="center" vertical="center" wrapText="1"/>
    </xf>
    <xf numFmtId="0" fontId="20" fillId="15" borderId="3" xfId="2" applyFont="1" applyFill="1" applyBorder="1" applyAlignment="1">
      <alignment horizontal="center" vertical="top" wrapText="1"/>
    </xf>
    <xf numFmtId="1" fontId="3" fillId="8" borderId="3" xfId="2" applyNumberFormat="1" applyFont="1" applyFill="1" applyBorder="1" applyAlignment="1">
      <alignment horizontal="center" vertical="center" wrapText="1"/>
    </xf>
    <xf numFmtId="0" fontId="3" fillId="16" borderId="3" xfId="2" applyFont="1" applyFill="1" applyBorder="1" applyAlignment="1">
      <alignment horizontal="center" vertical="center" wrapText="1"/>
    </xf>
    <xf numFmtId="0" fontId="3" fillId="16" borderId="2" xfId="2" applyFont="1" applyFill="1" applyBorder="1" applyAlignment="1">
      <alignment horizontal="center" vertical="center" wrapText="1"/>
    </xf>
    <xf numFmtId="0" fontId="3" fillId="16" borderId="6" xfId="2" applyFont="1" applyFill="1" applyBorder="1" applyAlignment="1">
      <alignment vertical="center" wrapText="1"/>
    </xf>
    <xf numFmtId="1" fontId="3" fillId="16" borderId="3" xfId="2" applyNumberFormat="1" applyFont="1" applyFill="1" applyBorder="1" applyAlignment="1">
      <alignment horizontal="center" vertical="center" wrapText="1"/>
    </xf>
    <xf numFmtId="4" fontId="3" fillId="16" borderId="3" xfId="2" applyNumberFormat="1" applyFont="1" applyFill="1" applyBorder="1" applyAlignment="1">
      <alignment horizontal="center" vertical="center" wrapText="1"/>
    </xf>
    <xf numFmtId="3" fontId="3" fillId="16" borderId="3" xfId="2" applyNumberFormat="1" applyFont="1" applyFill="1" applyBorder="1" applyAlignment="1">
      <alignment horizontal="center" vertical="top" wrapText="1"/>
    </xf>
    <xf numFmtId="1" fontId="3" fillId="16" borderId="3" xfId="2" applyNumberFormat="1" applyFont="1" applyFill="1" applyBorder="1" applyAlignment="1">
      <alignment horizontal="center" vertical="top" wrapText="1"/>
    </xf>
    <xf numFmtId="10" fontId="3" fillId="16" borderId="3" xfId="2" applyNumberFormat="1" applyFont="1" applyFill="1" applyBorder="1" applyAlignment="1">
      <alignment horizontal="center" vertical="center" wrapText="1"/>
    </xf>
    <xf numFmtId="0" fontId="20" fillId="16" borderId="3" xfId="2" applyFont="1" applyFill="1" applyBorder="1" applyAlignment="1">
      <alignment horizontal="center" vertical="top" wrapText="1"/>
    </xf>
    <xf numFmtId="1" fontId="3" fillId="17" borderId="1" xfId="3" applyNumberFormat="1" applyFont="1" applyFill="1" applyBorder="1" applyAlignment="1">
      <alignment horizontal="center" vertical="top" wrapText="1"/>
    </xf>
    <xf numFmtId="4" fontId="3" fillId="17" borderId="3" xfId="2" applyNumberFormat="1" applyFont="1" applyFill="1" applyBorder="1" applyAlignment="1">
      <alignment horizontal="center" vertical="top" wrapText="1"/>
    </xf>
    <xf numFmtId="0" fontId="20" fillId="17" borderId="3" xfId="2" applyFont="1" applyFill="1" applyBorder="1" applyAlignment="1">
      <alignment horizontal="center" vertical="top" wrapText="1"/>
    </xf>
    <xf numFmtId="3" fontId="3" fillId="17" borderId="1" xfId="2" applyNumberFormat="1" applyFont="1" applyFill="1" applyBorder="1" applyAlignment="1">
      <alignment horizontal="center" vertical="center" wrapText="1"/>
    </xf>
    <xf numFmtId="1" fontId="3" fillId="17" borderId="1" xfId="2" applyNumberFormat="1" applyFont="1" applyFill="1" applyBorder="1" applyAlignment="1">
      <alignment horizontal="center" vertical="top" wrapText="1"/>
    </xf>
    <xf numFmtId="0" fontId="3" fillId="17" borderId="1" xfId="2" applyFont="1" applyFill="1" applyBorder="1" applyAlignment="1">
      <alignment horizontal="center" vertical="center" wrapText="1"/>
    </xf>
    <xf numFmtId="0" fontId="20" fillId="17" borderId="1" xfId="2" applyFont="1" applyFill="1" applyBorder="1" applyAlignment="1">
      <alignment horizontal="center" vertical="top" wrapText="1"/>
    </xf>
    <xf numFmtId="4" fontId="3" fillId="17" borderId="8" xfId="2" applyNumberFormat="1" applyFont="1" applyFill="1" applyBorder="1" applyAlignment="1">
      <alignment horizontal="center" vertical="top" wrapText="1"/>
    </xf>
    <xf numFmtId="4" fontId="3" fillId="17" borderId="8" xfId="2" applyNumberFormat="1" applyFont="1" applyFill="1" applyBorder="1" applyAlignment="1">
      <alignment horizontal="center" vertical="center" wrapText="1"/>
    </xf>
    <xf numFmtId="3" fontId="3" fillId="17" borderId="8" xfId="2" applyNumberFormat="1" applyFont="1" applyFill="1" applyBorder="1" applyAlignment="1">
      <alignment horizontal="center" vertical="center" wrapText="1"/>
    </xf>
    <xf numFmtId="3" fontId="3" fillId="17" borderId="8" xfId="2" applyNumberFormat="1" applyFont="1" applyFill="1" applyBorder="1" applyAlignment="1">
      <alignment horizontal="center" vertical="top" wrapText="1"/>
    </xf>
    <xf numFmtId="1" fontId="3" fillId="17" borderId="8" xfId="2" applyNumberFormat="1" applyFont="1" applyFill="1" applyBorder="1" applyAlignment="1">
      <alignment horizontal="center" vertical="top" wrapText="1"/>
    </xf>
    <xf numFmtId="0" fontId="3" fillId="17" borderId="8" xfId="2" applyFont="1" applyFill="1" applyBorder="1" applyAlignment="1">
      <alignment horizontal="center" vertical="center" wrapText="1"/>
    </xf>
    <xf numFmtId="10" fontId="3" fillId="17" borderId="8" xfId="2" applyNumberFormat="1" applyFont="1" applyFill="1" applyBorder="1" applyAlignment="1">
      <alignment horizontal="center" vertical="center" wrapText="1"/>
    </xf>
    <xf numFmtId="0" fontId="20" fillId="17" borderId="8" xfId="2" applyFont="1" applyFill="1" applyBorder="1" applyAlignment="1">
      <alignment horizontal="center" vertical="top" wrapText="1"/>
    </xf>
    <xf numFmtId="3" fontId="3" fillId="14" borderId="8" xfId="2" applyNumberFormat="1" applyFont="1" applyFill="1" applyBorder="1" applyAlignment="1">
      <alignment horizontal="center" vertical="top" wrapText="1"/>
    </xf>
    <xf numFmtId="14" fontId="3" fillId="14" borderId="8" xfId="2" applyNumberFormat="1" applyFont="1" applyFill="1" applyBorder="1" applyAlignment="1">
      <alignment horizontal="center" vertical="top" wrapText="1"/>
    </xf>
    <xf numFmtId="0" fontId="3" fillId="14" borderId="8" xfId="2" applyFont="1" applyFill="1" applyBorder="1" applyAlignment="1">
      <alignment horizontal="center" vertical="center" wrapText="1"/>
    </xf>
    <xf numFmtId="10" fontId="3" fillId="17" borderId="8" xfId="2" applyNumberFormat="1" applyFont="1" applyFill="1" applyBorder="1" applyAlignment="1">
      <alignment horizontal="center" vertical="top" wrapText="1"/>
    </xf>
    <xf numFmtId="3" fontId="3" fillId="18" borderId="8" xfId="2" applyNumberFormat="1" applyFont="1" applyFill="1" applyBorder="1" applyAlignment="1">
      <alignment horizontal="center" vertical="top" wrapText="1"/>
    </xf>
    <xf numFmtId="14" fontId="3" fillId="18" borderId="8" xfId="2" applyNumberFormat="1" applyFont="1" applyFill="1" applyBorder="1" applyAlignment="1">
      <alignment horizontal="center" vertical="top" wrapText="1"/>
    </xf>
    <xf numFmtId="0" fontId="3" fillId="18" borderId="8" xfId="2" applyFont="1" applyFill="1" applyBorder="1" applyAlignment="1">
      <alignment horizontal="center" vertical="center" wrapText="1"/>
    </xf>
    <xf numFmtId="0" fontId="20" fillId="15" borderId="4" xfId="2" applyFont="1" applyFill="1" applyBorder="1" applyAlignment="1">
      <alignment horizontal="center" vertical="top" wrapText="1"/>
    </xf>
    <xf numFmtId="3" fontId="3" fillId="14" borderId="4" xfId="2" applyNumberFormat="1" applyFont="1" applyFill="1" applyBorder="1" applyAlignment="1">
      <alignment horizontal="center" vertical="top" wrapText="1"/>
    </xf>
    <xf numFmtId="14" fontId="3" fillId="14" borderId="4" xfId="2" applyNumberFormat="1" applyFont="1" applyFill="1" applyBorder="1" applyAlignment="1">
      <alignment horizontal="center" vertical="top" wrapText="1"/>
    </xf>
    <xf numFmtId="0" fontId="3" fillId="14" borderId="4" xfId="2" applyFont="1" applyFill="1" applyBorder="1" applyAlignment="1">
      <alignment horizontal="center" vertical="center" wrapText="1"/>
    </xf>
    <xf numFmtId="0" fontId="3" fillId="16" borderId="3" xfId="2" applyFont="1" applyFill="1" applyBorder="1" applyAlignment="1">
      <alignment vertical="center" wrapText="1"/>
    </xf>
    <xf numFmtId="3" fontId="3" fillId="16" borderId="0" xfId="2" applyNumberFormat="1" applyFont="1" applyFill="1" applyAlignment="1">
      <alignment horizontal="center" vertical="center" wrapText="1"/>
    </xf>
    <xf numFmtId="10" fontId="3" fillId="17" borderId="1" xfId="2" applyNumberFormat="1" applyFont="1" applyFill="1" applyBorder="1" applyAlignment="1">
      <alignment horizontal="center" vertical="top" wrapText="1"/>
    </xf>
    <xf numFmtId="0" fontId="3" fillId="16" borderId="4" xfId="2" applyFont="1" applyFill="1" applyBorder="1" applyAlignment="1">
      <alignment horizontal="center" vertical="center" wrapText="1"/>
    </xf>
    <xf numFmtId="0" fontId="3" fillId="20" borderId="2" xfId="2" applyFont="1" applyFill="1" applyBorder="1" applyAlignment="1">
      <alignment horizontal="center" vertical="center" wrapText="1"/>
    </xf>
    <xf numFmtId="0" fontId="3" fillId="20" borderId="3" xfId="2" applyFont="1" applyFill="1" applyBorder="1" applyAlignment="1">
      <alignment vertical="center" wrapText="1"/>
    </xf>
    <xf numFmtId="4" fontId="3" fillId="20" borderId="3" xfId="2" applyNumberFormat="1" applyFont="1" applyFill="1" applyBorder="1" applyAlignment="1">
      <alignment horizontal="center" vertical="center" wrapText="1"/>
    </xf>
    <xf numFmtId="165" fontId="3" fillId="20" borderId="3" xfId="2" applyNumberFormat="1" applyFont="1" applyFill="1" applyBorder="1" applyAlignment="1">
      <alignment horizontal="center" vertical="center" wrapText="1"/>
    </xf>
    <xf numFmtId="3" fontId="3" fillId="20" borderId="3" xfId="2" applyNumberFormat="1" applyFont="1" applyFill="1" applyBorder="1" applyAlignment="1">
      <alignment horizontal="center" vertical="top" wrapText="1"/>
    </xf>
    <xf numFmtId="14" fontId="3" fillId="20" borderId="3" xfId="2" applyNumberFormat="1" applyFont="1" applyFill="1" applyBorder="1" applyAlignment="1">
      <alignment horizontal="center" vertical="top" wrapText="1"/>
    </xf>
    <xf numFmtId="1" fontId="3" fillId="20" borderId="3" xfId="2" applyNumberFormat="1" applyFont="1" applyFill="1" applyBorder="1" applyAlignment="1">
      <alignment horizontal="center" vertical="top" wrapText="1"/>
    </xf>
    <xf numFmtId="10" fontId="3" fillId="20" borderId="3" xfId="2" applyNumberFormat="1" applyFont="1" applyFill="1" applyBorder="1" applyAlignment="1">
      <alignment horizontal="center" vertical="center" wrapText="1"/>
    </xf>
    <xf numFmtId="0" fontId="3" fillId="11" borderId="1" xfId="2" applyFont="1" applyFill="1" applyBorder="1" applyAlignment="1">
      <alignment horizontal="center" vertical="top" wrapText="1"/>
    </xf>
    <xf numFmtId="0" fontId="3" fillId="12" borderId="1" xfId="2" applyFont="1" applyFill="1" applyBorder="1" applyAlignment="1">
      <alignment vertical="top" wrapText="1"/>
    </xf>
    <xf numFmtId="10" fontId="3" fillId="11" borderId="1" xfId="2" applyNumberFormat="1" applyFont="1" applyFill="1" applyBorder="1" applyAlignment="1">
      <alignment horizontal="center" vertical="top" wrapText="1"/>
    </xf>
    <xf numFmtId="0" fontId="3" fillId="20" borderId="4" xfId="2" applyFont="1" applyFill="1" applyBorder="1" applyAlignment="1">
      <alignment horizontal="center" vertical="center" wrapText="1"/>
    </xf>
    <xf numFmtId="0" fontId="3" fillId="20" borderId="5" xfId="2" applyFont="1" applyFill="1" applyBorder="1" applyAlignment="1">
      <alignment horizontal="center" vertical="center" wrapText="1"/>
    </xf>
    <xf numFmtId="0" fontId="3" fillId="20" borderId="4" xfId="2" applyFont="1" applyFill="1" applyBorder="1" applyAlignment="1">
      <alignment vertical="center" wrapText="1"/>
    </xf>
    <xf numFmtId="4" fontId="3" fillId="20" borderId="4" xfId="2" applyNumberFormat="1" applyFont="1" applyFill="1" applyBorder="1" applyAlignment="1">
      <alignment horizontal="center" vertical="center" wrapText="1"/>
    </xf>
    <xf numFmtId="165" fontId="3" fillId="20" borderId="4" xfId="2" applyNumberFormat="1" applyFont="1" applyFill="1" applyBorder="1" applyAlignment="1">
      <alignment horizontal="center" vertical="center" wrapText="1"/>
    </xf>
    <xf numFmtId="3" fontId="3" fillId="20" borderId="4" xfId="2" applyNumberFormat="1" applyFont="1" applyFill="1" applyBorder="1" applyAlignment="1">
      <alignment horizontal="center" vertical="center" wrapText="1"/>
    </xf>
    <xf numFmtId="3" fontId="3" fillId="20" borderId="4" xfId="2" applyNumberFormat="1" applyFont="1" applyFill="1" applyBorder="1" applyAlignment="1">
      <alignment horizontal="center" vertical="top" wrapText="1"/>
    </xf>
    <xf numFmtId="14" fontId="3" fillId="20" borderId="4" xfId="2" applyNumberFormat="1" applyFont="1" applyFill="1" applyBorder="1" applyAlignment="1">
      <alignment horizontal="center" vertical="top" wrapText="1"/>
    </xf>
    <xf numFmtId="1" fontId="3" fillId="20" borderId="4" xfId="2" applyNumberFormat="1" applyFont="1" applyFill="1" applyBorder="1" applyAlignment="1">
      <alignment horizontal="center" vertical="top" wrapText="1"/>
    </xf>
    <xf numFmtId="10" fontId="3" fillId="20" borderId="4" xfId="2" applyNumberFormat="1" applyFont="1" applyFill="1" applyBorder="1" applyAlignment="1">
      <alignment horizontal="center" vertical="center" wrapText="1"/>
    </xf>
    <xf numFmtId="0" fontId="3" fillId="20" borderId="4" xfId="2" applyFont="1" applyFill="1" applyBorder="1" applyAlignment="1">
      <alignment horizontal="center" vertical="top" wrapText="1"/>
    </xf>
    <xf numFmtId="0" fontId="3" fillId="15" borderId="3" xfId="2" applyFont="1" applyFill="1" applyBorder="1" applyAlignment="1">
      <alignment horizontal="center" vertical="center" wrapText="1"/>
    </xf>
    <xf numFmtId="0" fontId="3" fillId="15" borderId="2" xfId="2" applyFont="1" applyFill="1" applyBorder="1" applyAlignment="1">
      <alignment horizontal="center" vertical="center" wrapText="1"/>
    </xf>
    <xf numFmtId="0" fontId="3" fillId="15" borderId="3" xfId="2" applyFont="1" applyFill="1" applyBorder="1" applyAlignment="1">
      <alignment vertical="center" wrapText="1"/>
    </xf>
    <xf numFmtId="4" fontId="3" fillId="15" borderId="3" xfId="2" applyNumberFormat="1" applyFont="1" applyFill="1" applyBorder="1" applyAlignment="1">
      <alignment horizontal="center" vertical="center" wrapText="1"/>
    </xf>
    <xf numFmtId="165" fontId="3" fillId="15" borderId="3" xfId="2" applyNumberFormat="1" applyFont="1" applyFill="1" applyBorder="1" applyAlignment="1">
      <alignment horizontal="center" vertical="center" wrapText="1"/>
    </xf>
    <xf numFmtId="3" fontId="3" fillId="15" borderId="3" xfId="2" applyNumberFormat="1" applyFont="1" applyFill="1" applyBorder="1" applyAlignment="1">
      <alignment horizontal="center" vertical="center" wrapText="1"/>
    </xf>
    <xf numFmtId="3" fontId="3" fillId="15" borderId="3" xfId="2" applyNumberFormat="1" applyFont="1" applyFill="1" applyBorder="1" applyAlignment="1">
      <alignment horizontal="center" vertical="top" wrapText="1"/>
    </xf>
    <xf numFmtId="14" fontId="3" fillId="15" borderId="3" xfId="2" applyNumberFormat="1" applyFont="1" applyFill="1" applyBorder="1" applyAlignment="1">
      <alignment horizontal="center" vertical="top" wrapText="1"/>
    </xf>
    <xf numFmtId="1" fontId="3" fillId="15" borderId="3" xfId="2" applyNumberFormat="1" applyFont="1" applyFill="1" applyBorder="1" applyAlignment="1">
      <alignment horizontal="center" vertical="top" wrapText="1"/>
    </xf>
    <xf numFmtId="10" fontId="3" fillId="15" borderId="3" xfId="2" applyNumberFormat="1" applyFont="1" applyFill="1" applyBorder="1" applyAlignment="1">
      <alignment horizontal="center" vertical="center" wrapText="1"/>
    </xf>
    <xf numFmtId="0" fontId="3" fillId="15" borderId="3" xfId="2" applyFont="1" applyFill="1" applyBorder="1" applyAlignment="1">
      <alignment horizontal="center" vertical="top" wrapText="1"/>
    </xf>
    <xf numFmtId="0" fontId="3" fillId="19" borderId="3" xfId="2" applyFont="1" applyFill="1" applyBorder="1" applyAlignment="1">
      <alignment horizontal="center" vertical="center" wrapText="1"/>
    </xf>
    <xf numFmtId="0" fontId="3" fillId="20" borderId="7" xfId="2" applyFont="1" applyFill="1" applyBorder="1" applyAlignment="1">
      <alignment horizontal="center" vertical="center" wrapText="1"/>
    </xf>
    <xf numFmtId="0" fontId="3" fillId="20" borderId="12" xfId="2" applyFont="1" applyFill="1" applyBorder="1" applyAlignment="1">
      <alignment vertical="center" wrapText="1"/>
    </xf>
    <xf numFmtId="0" fontId="3" fillId="20" borderId="12" xfId="2" applyFont="1" applyFill="1" applyBorder="1" applyAlignment="1">
      <alignment horizontal="center" vertical="center" wrapText="1"/>
    </xf>
    <xf numFmtId="4" fontId="3" fillId="20" borderId="12" xfId="2" applyNumberFormat="1" applyFont="1" applyFill="1" applyBorder="1" applyAlignment="1">
      <alignment horizontal="center" vertical="center" wrapText="1"/>
    </xf>
    <xf numFmtId="165" fontId="3" fillId="20" borderId="12" xfId="2" applyNumberFormat="1" applyFont="1" applyFill="1" applyBorder="1" applyAlignment="1">
      <alignment horizontal="center" vertical="center" wrapText="1"/>
    </xf>
    <xf numFmtId="4" fontId="3" fillId="9" borderId="12" xfId="2" applyNumberFormat="1" applyFont="1" applyFill="1" applyBorder="1" applyAlignment="1">
      <alignment horizontal="center" vertical="center" wrapText="1"/>
    </xf>
    <xf numFmtId="3" fontId="3" fillId="20" borderId="12" xfId="2" applyNumberFormat="1" applyFont="1" applyFill="1" applyBorder="1" applyAlignment="1">
      <alignment horizontal="center" vertical="top" wrapText="1"/>
    </xf>
    <xf numFmtId="14" fontId="3" fillId="20" borderId="12" xfId="2" applyNumberFormat="1" applyFont="1" applyFill="1" applyBorder="1" applyAlignment="1">
      <alignment horizontal="center" vertical="top" wrapText="1"/>
    </xf>
    <xf numFmtId="1" fontId="3" fillId="20" borderId="12" xfId="2" applyNumberFormat="1" applyFont="1" applyFill="1" applyBorder="1" applyAlignment="1">
      <alignment horizontal="center" vertical="top" wrapText="1"/>
    </xf>
    <xf numFmtId="3" fontId="3" fillId="20" borderId="12" xfId="2" applyNumberFormat="1" applyFont="1" applyFill="1" applyBorder="1" applyAlignment="1">
      <alignment horizontal="center" vertical="center" wrapText="1"/>
    </xf>
    <xf numFmtId="10" fontId="3" fillId="20" borderId="12" xfId="2" applyNumberFormat="1" applyFont="1" applyFill="1" applyBorder="1" applyAlignment="1">
      <alignment horizontal="center" vertical="center" wrapText="1"/>
    </xf>
    <xf numFmtId="0" fontId="3" fillId="23" borderId="3" xfId="2" applyFont="1" applyFill="1" applyBorder="1" applyAlignment="1">
      <alignment horizontal="center" vertical="center" wrapText="1"/>
    </xf>
    <xf numFmtId="0" fontId="3" fillId="23" borderId="2" xfId="2" applyFont="1" applyFill="1" applyBorder="1" applyAlignment="1">
      <alignment horizontal="center" vertical="center" wrapText="1"/>
    </xf>
    <xf numFmtId="0" fontId="3" fillId="23" borderId="3" xfId="2" applyFont="1" applyFill="1" applyBorder="1" applyAlignment="1">
      <alignment vertical="center" wrapText="1"/>
    </xf>
    <xf numFmtId="0" fontId="3" fillId="23" borderId="12" xfId="2" applyFont="1" applyFill="1" applyBorder="1" applyAlignment="1">
      <alignment horizontal="center" vertical="center" wrapText="1"/>
    </xf>
    <xf numFmtId="4" fontId="3" fillId="23" borderId="3" xfId="2" applyNumberFormat="1" applyFont="1" applyFill="1" applyBorder="1" applyAlignment="1">
      <alignment horizontal="center" vertical="center" wrapText="1"/>
    </xf>
    <xf numFmtId="165" fontId="3" fillId="23" borderId="3" xfId="2" applyNumberFormat="1" applyFont="1" applyFill="1" applyBorder="1" applyAlignment="1">
      <alignment horizontal="center" vertical="center" wrapText="1"/>
    </xf>
    <xf numFmtId="4" fontId="3" fillId="24" borderId="3" xfId="2" applyNumberFormat="1" applyFont="1" applyFill="1" applyBorder="1" applyAlignment="1">
      <alignment horizontal="center" vertical="center" wrapText="1"/>
    </xf>
    <xf numFmtId="3" fontId="3" fillId="23" borderId="3" xfId="2" applyNumberFormat="1" applyFont="1" applyFill="1" applyBorder="1" applyAlignment="1">
      <alignment horizontal="center" vertical="top" wrapText="1"/>
    </xf>
    <xf numFmtId="14" fontId="3" fillId="23" borderId="3" xfId="2" applyNumberFormat="1" applyFont="1" applyFill="1" applyBorder="1" applyAlignment="1">
      <alignment horizontal="center" vertical="top" wrapText="1"/>
    </xf>
    <xf numFmtId="10" fontId="3" fillId="23" borderId="3" xfId="2" applyNumberFormat="1" applyFont="1" applyFill="1" applyBorder="1" applyAlignment="1">
      <alignment horizontal="center" vertical="center" wrapText="1"/>
    </xf>
    <xf numFmtId="0" fontId="3" fillId="0" borderId="13" xfId="3" applyFont="1" applyBorder="1" applyAlignment="1">
      <alignment horizontal="center" vertical="center" wrapText="1"/>
    </xf>
    <xf numFmtId="0" fontId="3" fillId="0" borderId="14" xfId="3" applyFont="1" applyBorder="1" applyAlignment="1">
      <alignment horizontal="center" vertical="center" wrapText="1"/>
    </xf>
    <xf numFmtId="0" fontId="21" fillId="0" borderId="14" xfId="3" applyFont="1" applyBorder="1" applyAlignment="1">
      <alignment vertical="center" wrapText="1"/>
    </xf>
    <xf numFmtId="0" fontId="1" fillId="0" borderId="14" xfId="3" applyBorder="1" applyAlignment="1">
      <alignment horizontal="center" vertical="center" wrapText="1"/>
    </xf>
    <xf numFmtId="0" fontId="1" fillId="0" borderId="14" xfId="3" applyBorder="1" applyAlignment="1">
      <alignment horizontal="center" vertical="center"/>
    </xf>
    <xf numFmtId="4" fontId="3" fillId="0" borderId="14" xfId="3" applyNumberFormat="1" applyFont="1" applyBorder="1" applyAlignment="1">
      <alignment horizontal="center" vertical="center"/>
    </xf>
    <xf numFmtId="0" fontId="1" fillId="12" borderId="1" xfId="3" applyFill="1" applyBorder="1" applyAlignment="1">
      <alignment horizontal="center" vertical="center"/>
    </xf>
    <xf numFmtId="4" fontId="1" fillId="0" borderId="14" xfId="3" applyNumberFormat="1" applyBorder="1" applyAlignment="1">
      <alignment horizontal="center" vertical="center"/>
    </xf>
    <xf numFmtId="3" fontId="3" fillId="0" borderId="14" xfId="3" applyNumberFormat="1" applyFont="1" applyBorder="1" applyAlignment="1">
      <alignment horizontal="center" vertical="center" wrapText="1"/>
    </xf>
    <xf numFmtId="14" fontId="3" fillId="0" borderId="14" xfId="3" applyNumberFormat="1" applyFont="1" applyBorder="1" applyAlignment="1">
      <alignment horizontal="center" vertical="center" wrapText="1"/>
    </xf>
    <xf numFmtId="10" fontId="3" fillId="0" borderId="14" xfId="3" applyNumberFormat="1" applyFont="1" applyBorder="1" applyAlignment="1">
      <alignment horizontal="center" vertical="center" wrapText="1"/>
    </xf>
    <xf numFmtId="0" fontId="3" fillId="0" borderId="15" xfId="3" applyFont="1" applyBorder="1" applyAlignment="1">
      <alignment horizontal="center" vertical="center" wrapText="1"/>
    </xf>
    <xf numFmtId="0" fontId="3" fillId="12" borderId="16" xfId="3" applyFont="1" applyFill="1" applyBorder="1" applyAlignment="1">
      <alignment horizontal="center" vertical="center" wrapText="1"/>
    </xf>
    <xf numFmtId="0" fontId="21" fillId="12" borderId="1" xfId="3" applyFont="1" applyFill="1" applyBorder="1" applyAlignment="1">
      <alignment vertical="center" wrapText="1"/>
    </xf>
    <xf numFmtId="4" fontId="3" fillId="12" borderId="14" xfId="3" applyNumberFormat="1" applyFont="1" applyFill="1" applyBorder="1" applyAlignment="1">
      <alignment horizontal="center" vertical="center"/>
    </xf>
    <xf numFmtId="3" fontId="3" fillId="12" borderId="1" xfId="3" applyNumberFormat="1" applyFont="1" applyFill="1" applyBorder="1" applyAlignment="1">
      <alignment horizontal="center" vertical="center" wrapText="1"/>
    </xf>
    <xf numFmtId="3" fontId="3" fillId="12" borderId="1" xfId="3" applyNumberFormat="1" applyFont="1" applyFill="1" applyBorder="1" applyAlignment="1">
      <alignment horizontal="center" vertical="center"/>
    </xf>
    <xf numFmtId="0" fontId="3" fillId="12" borderId="17" xfId="3" applyFont="1" applyFill="1" applyBorder="1" applyAlignment="1">
      <alignment horizontal="center" vertical="center" wrapText="1"/>
    </xf>
    <xf numFmtId="0" fontId="3" fillId="0" borderId="16" xfId="3" applyFont="1" applyBorder="1" applyAlignment="1">
      <alignment horizontal="center" vertical="center" wrapText="1"/>
    </xf>
    <xf numFmtId="0" fontId="21" fillId="0" borderId="1" xfId="3" applyFont="1" applyBorder="1" applyAlignment="1">
      <alignment vertical="center" wrapText="1"/>
    </xf>
    <xf numFmtId="0" fontId="1" fillId="0" borderId="1" xfId="3" applyBorder="1" applyAlignment="1">
      <alignment horizontal="center" vertical="center"/>
    </xf>
    <xf numFmtId="10" fontId="3" fillId="0" borderId="1" xfId="3" applyNumberFormat="1" applyFont="1" applyBorder="1" applyAlignment="1">
      <alignment horizontal="center" vertical="center" wrapText="1"/>
    </xf>
    <xf numFmtId="0" fontId="3" fillId="0" borderId="17" xfId="3" applyFont="1" applyBorder="1" applyAlignment="1">
      <alignment horizontal="center" vertical="center" wrapText="1"/>
    </xf>
    <xf numFmtId="0" fontId="21" fillId="0" borderId="8" xfId="3" applyFont="1" applyBorder="1" applyAlignment="1">
      <alignment vertical="center" wrapText="1"/>
    </xf>
    <xf numFmtId="0" fontId="1" fillId="0" borderId="8" xfId="3" applyBorder="1" applyAlignment="1">
      <alignment horizontal="center" vertical="center"/>
    </xf>
    <xf numFmtId="4" fontId="3" fillId="0" borderId="19" xfId="3" applyNumberFormat="1" applyFont="1" applyBorder="1" applyAlignment="1">
      <alignment horizontal="center" vertical="center"/>
    </xf>
    <xf numFmtId="14" fontId="3" fillId="0" borderId="8" xfId="3" applyNumberFormat="1" applyFont="1" applyBorder="1" applyAlignment="1">
      <alignment horizontal="center" vertical="center" wrapText="1"/>
    </xf>
    <xf numFmtId="3" fontId="3" fillId="0" borderId="8" xfId="3" applyNumberFormat="1" applyFont="1" applyBorder="1" applyAlignment="1">
      <alignment horizontal="center" vertical="center"/>
    </xf>
    <xf numFmtId="10" fontId="3" fillId="0" borderId="8" xfId="3" applyNumberFormat="1" applyFont="1" applyBorder="1" applyAlignment="1">
      <alignment horizontal="center" vertical="center" wrapText="1"/>
    </xf>
    <xf numFmtId="0" fontId="3" fillId="0" borderId="20" xfId="3" applyFont="1" applyBorder="1" applyAlignment="1">
      <alignment horizontal="center" vertical="center" wrapText="1"/>
    </xf>
    <xf numFmtId="4" fontId="3" fillId="0" borderId="8" xfId="3" applyNumberFormat="1" applyFont="1" applyBorder="1" applyAlignment="1">
      <alignment horizontal="center" vertical="center"/>
    </xf>
    <xf numFmtId="3" fontId="5" fillId="0" borderId="8" xfId="3" applyNumberFormat="1" applyFont="1" applyBorder="1" applyAlignment="1">
      <alignment horizontal="center" vertical="center" wrapText="1"/>
    </xf>
    <xf numFmtId="0" fontId="1" fillId="12" borderId="8" xfId="3" applyFill="1" applyBorder="1" applyAlignment="1">
      <alignment horizontal="center" vertical="center"/>
    </xf>
    <xf numFmtId="14" fontId="3" fillId="12" borderId="8" xfId="3" applyNumberFormat="1" applyFont="1" applyFill="1" applyBorder="1" applyAlignment="1">
      <alignment horizontal="center" vertical="center" wrapText="1"/>
    </xf>
    <xf numFmtId="0" fontId="3" fillId="0" borderId="7" xfId="2" applyFont="1" applyBorder="1" applyAlignment="1">
      <alignment horizontal="center" vertical="center" wrapText="1"/>
    </xf>
    <xf numFmtId="0" fontId="3" fillId="0" borderId="19" xfId="3" applyFont="1" applyBorder="1" applyAlignment="1">
      <alignment horizontal="center" vertical="center" wrapText="1"/>
    </xf>
    <xf numFmtId="4" fontId="1" fillId="0" borderId="19" xfId="3" applyNumberFormat="1" applyBorder="1" applyAlignment="1">
      <alignment horizontal="center" vertical="center"/>
    </xf>
    <xf numFmtId="0" fontId="3" fillId="26" borderId="3" xfId="2" applyFont="1" applyFill="1" applyBorder="1" applyAlignment="1">
      <alignment horizontal="center" vertical="center" wrapText="1"/>
    </xf>
    <xf numFmtId="0" fontId="1" fillId="0" borderId="0" xfId="3" applyAlignment="1">
      <alignment horizontal="center" vertical="center"/>
    </xf>
    <xf numFmtId="14" fontId="3" fillId="0" borderId="0" xfId="3" applyNumberFormat="1" applyFont="1" applyAlignment="1">
      <alignment horizontal="center" vertical="center" wrapText="1"/>
    </xf>
    <xf numFmtId="2" fontId="3" fillId="27" borderId="2" xfId="2" applyNumberFormat="1" applyFont="1" applyFill="1" applyBorder="1" applyAlignment="1">
      <alignment horizontal="center" vertical="center" wrapText="1"/>
    </xf>
    <xf numFmtId="4" fontId="3" fillId="27" borderId="3" xfId="2" applyNumberFormat="1" applyFont="1" applyFill="1" applyBorder="1" applyAlignment="1">
      <alignment horizontal="center" vertical="center" wrapText="1"/>
    </xf>
    <xf numFmtId="165" fontId="3" fillId="27" borderId="3" xfId="2" applyNumberFormat="1" applyFont="1" applyFill="1" applyBorder="1" applyAlignment="1">
      <alignment horizontal="center" vertical="center" wrapText="1"/>
    </xf>
    <xf numFmtId="3" fontId="3" fillId="27" borderId="3" xfId="2" applyNumberFormat="1" applyFont="1" applyFill="1" applyBorder="1" applyAlignment="1">
      <alignment horizontal="center" vertical="center" wrapText="1"/>
    </xf>
    <xf numFmtId="3" fontId="3" fillId="27" borderId="3" xfId="2" applyNumberFormat="1" applyFont="1" applyFill="1" applyBorder="1" applyAlignment="1">
      <alignment horizontal="center" vertical="top" wrapText="1"/>
    </xf>
    <xf numFmtId="1" fontId="3" fillId="27" borderId="3" xfId="2" applyNumberFormat="1" applyFont="1" applyFill="1" applyBorder="1" applyAlignment="1">
      <alignment horizontal="center" vertical="center" wrapText="1"/>
    </xf>
    <xf numFmtId="10" fontId="3" fillId="27" borderId="3" xfId="2" applyNumberFormat="1" applyFont="1" applyFill="1" applyBorder="1" applyAlignment="1">
      <alignment horizontal="center" vertical="center" wrapText="1"/>
    </xf>
    <xf numFmtId="0" fontId="3" fillId="27" borderId="3" xfId="2" applyFont="1" applyFill="1" applyBorder="1" applyAlignment="1">
      <alignment horizontal="left" vertical="top" wrapText="1"/>
    </xf>
    <xf numFmtId="2" fontId="3" fillId="17" borderId="2" xfId="2" applyNumberFormat="1" applyFont="1" applyFill="1" applyBorder="1" applyAlignment="1">
      <alignment horizontal="center" vertical="center" wrapText="1"/>
    </xf>
    <xf numFmtId="0" fontId="3" fillId="17" borderId="3" xfId="2" applyFont="1" applyFill="1" applyBorder="1" applyAlignment="1">
      <alignment vertical="center" wrapText="1"/>
    </xf>
    <xf numFmtId="165" fontId="3" fillId="17" borderId="3" xfId="2" applyNumberFormat="1" applyFont="1" applyFill="1" applyBorder="1" applyAlignment="1">
      <alignment horizontal="center" vertical="center" wrapText="1"/>
    </xf>
    <xf numFmtId="1" fontId="3" fillId="17" borderId="3" xfId="2" applyNumberFormat="1" applyFont="1" applyFill="1" applyBorder="1" applyAlignment="1">
      <alignment horizontal="center" vertical="center" wrapText="1"/>
    </xf>
    <xf numFmtId="0" fontId="3" fillId="0" borderId="3" xfId="2" applyFont="1" applyBorder="1" applyAlignment="1">
      <alignment horizontal="left" vertical="top" wrapText="1"/>
    </xf>
    <xf numFmtId="0" fontId="20" fillId="0" borderId="1" xfId="3" applyFont="1" applyBorder="1" applyAlignment="1">
      <alignment horizontal="center" vertical="center" wrapText="1"/>
    </xf>
    <xf numFmtId="2" fontId="3" fillId="0" borderId="10" xfId="2" applyNumberFormat="1" applyFont="1" applyBorder="1" applyAlignment="1">
      <alignment horizontal="center" vertical="center" wrapText="1"/>
    </xf>
    <xf numFmtId="2" fontId="3" fillId="14" borderId="10" xfId="2" applyNumberFormat="1" applyFont="1" applyFill="1" applyBorder="1" applyAlignment="1">
      <alignment horizontal="center" vertical="center" wrapText="1"/>
    </xf>
    <xf numFmtId="0" fontId="3" fillId="14" borderId="3" xfId="2" applyFont="1" applyFill="1" applyBorder="1" applyAlignment="1">
      <alignment horizontal="left" vertical="top" wrapText="1"/>
    </xf>
    <xf numFmtId="3" fontId="9" fillId="0" borderId="3" xfId="2" applyNumberFormat="1" applyFont="1" applyBorder="1" applyAlignment="1">
      <alignment horizontal="center" vertical="top" wrapText="1"/>
    </xf>
    <xf numFmtId="0" fontId="3" fillId="0" borderId="3" xfId="2" applyFont="1" applyBorder="1" applyAlignment="1">
      <alignment horizontal="center" vertical="top" wrapText="1"/>
    </xf>
    <xf numFmtId="3" fontId="3" fillId="0" borderId="12" xfId="2" applyNumberFormat="1" applyFont="1" applyBorder="1" applyAlignment="1">
      <alignment horizontal="center" vertical="top" wrapText="1"/>
    </xf>
    <xf numFmtId="3" fontId="3" fillId="0" borderId="21" xfId="2" applyNumberFormat="1" applyFont="1" applyBorder="1" applyAlignment="1">
      <alignment horizontal="center" vertical="top" wrapText="1"/>
    </xf>
    <xf numFmtId="0" fontId="3" fillId="0" borderId="1" xfId="3" applyFont="1" applyBorder="1"/>
    <xf numFmtId="0" fontId="3" fillId="0" borderId="8" xfId="3" applyFont="1" applyBorder="1" applyAlignment="1">
      <alignment vertical="center" wrapText="1"/>
    </xf>
    <xf numFmtId="0" fontId="3" fillId="0" borderId="8" xfId="3" applyFont="1" applyBorder="1" applyAlignment="1">
      <alignment vertical="center"/>
    </xf>
    <xf numFmtId="3" fontId="3" fillId="0" borderId="8" xfId="3" applyNumberFormat="1" applyFont="1" applyBorder="1" applyAlignment="1">
      <alignment horizontal="center" vertical="top"/>
    </xf>
    <xf numFmtId="14" fontId="3" fillId="0" borderId="8" xfId="3" applyNumberFormat="1" applyFont="1" applyBorder="1" applyAlignment="1">
      <alignment horizontal="center" vertical="top"/>
    </xf>
    <xf numFmtId="4" fontId="3" fillId="28" borderId="3" xfId="2" applyNumberFormat="1" applyFont="1" applyFill="1" applyBorder="1" applyAlignment="1">
      <alignment horizontal="center" vertical="center" wrapText="1"/>
    </xf>
    <xf numFmtId="3" fontId="3" fillId="0" borderId="2" xfId="2" applyNumberFormat="1" applyFont="1" applyBorder="1" applyAlignment="1">
      <alignment horizontal="center" vertical="top" wrapText="1"/>
    </xf>
    <xf numFmtId="3" fontId="3" fillId="20" borderId="2" xfId="2" applyNumberFormat="1" applyFont="1" applyFill="1" applyBorder="1" applyAlignment="1">
      <alignment horizontal="center" vertical="top" wrapText="1"/>
    </xf>
    <xf numFmtId="0" fontId="3" fillId="20" borderId="3" xfId="2" applyFont="1" applyFill="1" applyBorder="1" applyAlignment="1">
      <alignment horizontal="center" vertical="top" wrapText="1"/>
    </xf>
    <xf numFmtId="165" fontId="3" fillId="8" borderId="3" xfId="2" applyNumberFormat="1" applyFont="1" applyFill="1" applyBorder="1" applyAlignment="1">
      <alignment horizontal="center" vertical="center" wrapText="1"/>
    </xf>
    <xf numFmtId="14" fontId="3" fillId="8" borderId="3" xfId="2" applyNumberFormat="1" applyFont="1" applyFill="1" applyBorder="1" applyAlignment="1">
      <alignment horizontal="center" vertical="top" wrapText="1"/>
    </xf>
    <xf numFmtId="0" fontId="3" fillId="8" borderId="3" xfId="2" applyFont="1" applyFill="1" applyBorder="1" applyAlignment="1">
      <alignment horizontal="center" vertical="top" wrapText="1"/>
    </xf>
    <xf numFmtId="0" fontId="3" fillId="18" borderId="2" xfId="2" applyFont="1" applyFill="1" applyBorder="1" applyAlignment="1">
      <alignment horizontal="center" vertical="center" wrapText="1"/>
    </xf>
    <xf numFmtId="0" fontId="3" fillId="18" borderId="3" xfId="2" applyFont="1" applyFill="1" applyBorder="1" applyAlignment="1">
      <alignment vertical="center" wrapText="1"/>
    </xf>
    <xf numFmtId="0" fontId="3" fillId="18" borderId="3" xfId="2" applyFont="1" applyFill="1" applyBorder="1" applyAlignment="1">
      <alignment horizontal="center" vertical="center" wrapText="1"/>
    </xf>
    <xf numFmtId="4" fontId="3" fillId="18" borderId="3" xfId="2" applyNumberFormat="1" applyFont="1" applyFill="1" applyBorder="1" applyAlignment="1">
      <alignment horizontal="center" vertical="center" wrapText="1"/>
    </xf>
    <xf numFmtId="165" fontId="3" fillId="18" borderId="3" xfId="2" applyNumberFormat="1" applyFont="1" applyFill="1" applyBorder="1" applyAlignment="1">
      <alignment horizontal="center" vertical="center" wrapText="1"/>
    </xf>
    <xf numFmtId="3" fontId="3" fillId="18" borderId="3" xfId="2" applyNumberFormat="1" applyFont="1" applyFill="1" applyBorder="1" applyAlignment="1">
      <alignment horizontal="center" vertical="top" wrapText="1"/>
    </xf>
    <xf numFmtId="1" fontId="3" fillId="18" borderId="3" xfId="2" applyNumberFormat="1" applyFont="1" applyFill="1" applyBorder="1" applyAlignment="1">
      <alignment horizontal="center" vertical="top" wrapText="1"/>
    </xf>
    <xf numFmtId="10" fontId="3" fillId="18" borderId="3" xfId="2" applyNumberFormat="1" applyFont="1" applyFill="1" applyBorder="1" applyAlignment="1">
      <alignment horizontal="center" vertical="center" wrapText="1"/>
    </xf>
    <xf numFmtId="0" fontId="3" fillId="18" borderId="3" xfId="2" applyFont="1" applyFill="1" applyBorder="1" applyAlignment="1">
      <alignment horizontal="center" vertical="top" wrapText="1"/>
    </xf>
    <xf numFmtId="165" fontId="3" fillId="0" borderId="3" xfId="2" applyNumberFormat="1" applyFont="1" applyBorder="1" applyAlignment="1">
      <alignment horizontal="center" vertical="center" wrapText="1"/>
    </xf>
    <xf numFmtId="14" fontId="3" fillId="26" borderId="3" xfId="2" applyNumberFormat="1" applyFont="1" applyFill="1" applyBorder="1" applyAlignment="1">
      <alignment horizontal="center" vertical="top" wrapText="1"/>
    </xf>
    <xf numFmtId="0" fontId="3" fillId="17" borderId="2" xfId="2" applyFont="1" applyFill="1" applyBorder="1" applyAlignment="1">
      <alignment horizontal="center" vertical="center" wrapText="1"/>
    </xf>
    <xf numFmtId="14" fontId="3" fillId="16" borderId="3" xfId="2" applyNumberFormat="1" applyFont="1" applyFill="1" applyBorder="1" applyAlignment="1">
      <alignment horizontal="center" vertical="top" wrapText="1"/>
    </xf>
    <xf numFmtId="0" fontId="3" fillId="24" borderId="3" xfId="2" applyFont="1" applyFill="1" applyBorder="1" applyAlignment="1">
      <alignment horizontal="center" vertical="center" wrapText="1"/>
    </xf>
    <xf numFmtId="165" fontId="3" fillId="24" borderId="3" xfId="2" applyNumberFormat="1" applyFont="1" applyFill="1" applyBorder="1" applyAlignment="1">
      <alignment horizontal="center" vertical="center" wrapText="1"/>
    </xf>
    <xf numFmtId="14" fontId="3" fillId="24" borderId="3" xfId="2" applyNumberFormat="1" applyFont="1" applyFill="1" applyBorder="1" applyAlignment="1">
      <alignment horizontal="center" vertical="top" wrapText="1"/>
    </xf>
    <xf numFmtId="14" fontId="3" fillId="29" borderId="3" xfId="2" applyNumberFormat="1" applyFont="1" applyFill="1" applyBorder="1" applyAlignment="1">
      <alignment horizontal="center" vertical="top" wrapText="1"/>
    </xf>
    <xf numFmtId="14" fontId="3" fillId="19" borderId="3" xfId="2" applyNumberFormat="1" applyFont="1" applyFill="1" applyBorder="1" applyAlignment="1">
      <alignment horizontal="center" vertical="top" wrapText="1"/>
    </xf>
    <xf numFmtId="3" fontId="3" fillId="12" borderId="12" xfId="2" applyNumberFormat="1" applyFont="1" applyFill="1" applyBorder="1" applyAlignment="1">
      <alignment horizontal="center" vertical="center" wrapText="1"/>
    </xf>
    <xf numFmtId="10" fontId="3" fillId="12" borderId="3" xfId="2" applyNumberFormat="1" applyFont="1" applyFill="1" applyBorder="1" applyAlignment="1">
      <alignment horizontal="center" vertical="center" wrapText="1"/>
    </xf>
    <xf numFmtId="0" fontId="3" fillId="8" borderId="3" xfId="4" applyFont="1" applyFill="1" applyBorder="1" applyAlignment="1">
      <alignment horizontal="center" vertical="center" wrapText="1"/>
    </xf>
    <xf numFmtId="0" fontId="3" fillId="8" borderId="3" xfId="4" applyFont="1" applyFill="1" applyBorder="1" applyAlignment="1">
      <alignment vertical="center" wrapText="1"/>
    </xf>
    <xf numFmtId="4" fontId="3" fillId="8" borderId="3" xfId="4" applyNumberFormat="1" applyFont="1" applyFill="1" applyBorder="1" applyAlignment="1">
      <alignment horizontal="center" vertical="center" wrapText="1"/>
    </xf>
    <xf numFmtId="165" fontId="3" fillId="8" borderId="3" xfId="4" applyNumberFormat="1" applyFont="1" applyFill="1" applyBorder="1" applyAlignment="1">
      <alignment horizontal="center" vertical="center" wrapText="1"/>
    </xf>
    <xf numFmtId="3" fontId="3" fillId="8" borderId="3" xfId="4" applyNumberFormat="1" applyFont="1" applyFill="1" applyBorder="1" applyAlignment="1">
      <alignment horizontal="center" vertical="center" wrapText="1"/>
    </xf>
    <xf numFmtId="14" fontId="3" fillId="8" borderId="3" xfId="4" applyNumberFormat="1" applyFont="1" applyFill="1" applyBorder="1" applyAlignment="1">
      <alignment horizontal="center" vertical="center" wrapText="1"/>
    </xf>
    <xf numFmtId="3" fontId="3" fillId="8" borderId="3" xfId="4" applyNumberFormat="1" applyFont="1" applyFill="1" applyBorder="1" applyAlignment="1" applyProtection="1">
      <alignment horizontal="center" vertical="center" wrapText="1"/>
      <protection locked="0"/>
    </xf>
    <xf numFmtId="1" fontId="3" fillId="8" borderId="3" xfId="4" applyNumberFormat="1" applyFont="1" applyFill="1" applyBorder="1" applyAlignment="1" applyProtection="1">
      <alignment horizontal="center" vertical="center" wrapText="1"/>
      <protection locked="0"/>
    </xf>
    <xf numFmtId="4" fontId="3" fillId="8" borderId="9" xfId="4" applyNumberFormat="1" applyFont="1" applyFill="1" applyBorder="1" applyAlignment="1">
      <alignment horizontal="center" vertical="center" wrapText="1"/>
    </xf>
    <xf numFmtId="1" fontId="3" fillId="8" borderId="1" xfId="4" applyNumberFormat="1" applyFont="1" applyFill="1" applyBorder="1" applyAlignment="1">
      <alignment horizontal="center" vertical="top" wrapText="1"/>
    </xf>
    <xf numFmtId="3" fontId="3" fillId="8" borderId="1" xfId="4" applyNumberFormat="1" applyFont="1" applyFill="1" applyBorder="1" applyAlignment="1">
      <alignment horizontal="center" vertical="top" wrapText="1"/>
    </xf>
    <xf numFmtId="0" fontId="3" fillId="8" borderId="2" xfId="4" applyFont="1" applyFill="1" applyBorder="1" applyAlignment="1">
      <alignment horizontal="center" vertical="center" wrapText="1"/>
    </xf>
    <xf numFmtId="10" fontId="3" fillId="8" borderId="3" xfId="4" applyNumberFormat="1" applyFont="1" applyFill="1" applyBorder="1" applyAlignment="1">
      <alignment horizontal="center" vertical="center" wrapText="1"/>
    </xf>
    <xf numFmtId="0" fontId="3" fillId="8" borderId="22" xfId="4" applyFont="1" applyFill="1" applyBorder="1" applyAlignment="1">
      <alignment horizontal="center" vertical="center" wrapText="1"/>
    </xf>
    <xf numFmtId="0" fontId="3" fillId="16" borderId="3" xfId="4" applyFont="1" applyFill="1" applyBorder="1" applyAlignment="1">
      <alignment horizontal="center" vertical="center" wrapText="1"/>
    </xf>
    <xf numFmtId="0" fontId="3" fillId="20" borderId="3" xfId="4" applyFont="1" applyFill="1" applyBorder="1" applyAlignment="1">
      <alignment vertical="center" wrapText="1"/>
    </xf>
    <xf numFmtId="0" fontId="3" fillId="20" borderId="3" xfId="4" applyFont="1" applyFill="1" applyBorder="1" applyAlignment="1">
      <alignment horizontal="center" vertical="center" wrapText="1"/>
    </xf>
    <xf numFmtId="4" fontId="3" fillId="20" borderId="3" xfId="4" applyNumberFormat="1" applyFont="1" applyFill="1" applyBorder="1" applyAlignment="1">
      <alignment horizontal="center" vertical="center" wrapText="1"/>
    </xf>
    <xf numFmtId="165" fontId="3" fillId="20" borderId="3" xfId="4" applyNumberFormat="1" applyFont="1" applyFill="1" applyBorder="1" applyAlignment="1">
      <alignment horizontal="center" vertical="center" wrapText="1"/>
    </xf>
    <xf numFmtId="3" fontId="3" fillId="20" borderId="3" xfId="4" applyNumberFormat="1" applyFont="1" applyFill="1" applyBorder="1" applyAlignment="1">
      <alignment horizontal="center" vertical="center" wrapText="1"/>
    </xf>
    <xf numFmtId="14" fontId="3" fillId="20" borderId="3" xfId="4" applyNumberFormat="1" applyFont="1" applyFill="1" applyBorder="1" applyAlignment="1">
      <alignment horizontal="center" vertical="center" wrapText="1"/>
    </xf>
    <xf numFmtId="3" fontId="3" fillId="20" borderId="3" xfId="4" applyNumberFormat="1" applyFont="1" applyFill="1" applyBorder="1" applyAlignment="1" applyProtection="1">
      <alignment horizontal="center" vertical="center" wrapText="1"/>
      <protection locked="0"/>
    </xf>
    <xf numFmtId="1" fontId="3" fillId="20" borderId="3" xfId="4" applyNumberFormat="1" applyFont="1" applyFill="1" applyBorder="1" applyAlignment="1" applyProtection="1">
      <alignment horizontal="center" vertical="center" wrapText="1"/>
      <protection locked="0"/>
    </xf>
    <xf numFmtId="4" fontId="3" fillId="20" borderId="9" xfId="4" applyNumberFormat="1" applyFont="1" applyFill="1" applyBorder="1" applyAlignment="1">
      <alignment horizontal="center" vertical="center" wrapText="1"/>
    </xf>
    <xf numFmtId="1" fontId="3" fillId="20" borderId="1" xfId="4" applyNumberFormat="1" applyFont="1" applyFill="1" applyBorder="1" applyAlignment="1">
      <alignment horizontal="center" vertical="top" wrapText="1"/>
    </xf>
    <xf numFmtId="3" fontId="3" fillId="20" borderId="1" xfId="4" applyNumberFormat="1" applyFont="1" applyFill="1" applyBorder="1" applyAlignment="1">
      <alignment horizontal="center" vertical="top" wrapText="1"/>
    </xf>
    <xf numFmtId="0" fontId="3" fillId="20" borderId="2" xfId="4" applyFont="1" applyFill="1" applyBorder="1" applyAlignment="1">
      <alignment horizontal="center" vertical="center" wrapText="1"/>
    </xf>
    <xf numFmtId="10" fontId="3" fillId="20" borderId="3" xfId="4" applyNumberFormat="1" applyFont="1" applyFill="1" applyBorder="1" applyAlignment="1">
      <alignment horizontal="center" vertical="center" wrapText="1"/>
    </xf>
    <xf numFmtId="0" fontId="3" fillId="20" borderId="22" xfId="4" applyFont="1" applyFill="1" applyBorder="1" applyAlignment="1">
      <alignment horizontal="center" vertical="center" wrapText="1"/>
    </xf>
    <xf numFmtId="0" fontId="3" fillId="23" borderId="3" xfId="4" applyFont="1" applyFill="1" applyBorder="1" applyAlignment="1">
      <alignment horizontal="center" vertical="center" wrapText="1"/>
    </xf>
    <xf numFmtId="0" fontId="3" fillId="23" borderId="3" xfId="4" applyFont="1" applyFill="1" applyBorder="1" applyAlignment="1">
      <alignment vertical="center" wrapText="1"/>
    </xf>
    <xf numFmtId="4" fontId="3" fillId="23" borderId="3" xfId="4" applyNumberFormat="1" applyFont="1" applyFill="1" applyBorder="1" applyAlignment="1">
      <alignment horizontal="center" vertical="center" wrapText="1"/>
    </xf>
    <xf numFmtId="165" fontId="3" fillId="23" borderId="3" xfId="4" applyNumberFormat="1" applyFont="1" applyFill="1" applyBorder="1" applyAlignment="1">
      <alignment horizontal="center" vertical="center" wrapText="1"/>
    </xf>
    <xf numFmtId="4" fontId="3" fillId="23" borderId="9" xfId="4" applyNumberFormat="1" applyFont="1" applyFill="1" applyBorder="1" applyAlignment="1">
      <alignment horizontal="center" vertical="center" wrapText="1"/>
    </xf>
    <xf numFmtId="1" fontId="3" fillId="23" borderId="1" xfId="4" applyNumberFormat="1" applyFont="1" applyFill="1" applyBorder="1" applyAlignment="1">
      <alignment horizontal="center" vertical="top" wrapText="1"/>
    </xf>
    <xf numFmtId="3" fontId="3" fillId="23" borderId="1" xfId="4" applyNumberFormat="1" applyFont="1" applyFill="1" applyBorder="1" applyAlignment="1">
      <alignment horizontal="center" vertical="top" wrapText="1"/>
    </xf>
    <xf numFmtId="0" fontId="3" fillId="18" borderId="2" xfId="4" applyFont="1" applyFill="1" applyBorder="1" applyAlignment="1">
      <alignment horizontal="center" vertical="center" wrapText="1"/>
    </xf>
    <xf numFmtId="10" fontId="3" fillId="23" borderId="3" xfId="4" applyNumberFormat="1" applyFont="1" applyFill="1" applyBorder="1" applyAlignment="1">
      <alignment horizontal="center" vertical="center" wrapText="1"/>
    </xf>
    <xf numFmtId="0" fontId="3" fillId="23" borderId="22" xfId="4" applyFont="1" applyFill="1" applyBorder="1" applyAlignment="1">
      <alignment horizontal="center" vertical="center" wrapText="1"/>
    </xf>
    <xf numFmtId="0" fontId="3" fillId="14" borderId="3" xfId="4" applyFont="1" applyFill="1" applyBorder="1" applyAlignment="1">
      <alignment vertical="center" wrapText="1"/>
    </xf>
    <xf numFmtId="1" fontId="3" fillId="8" borderId="3" xfId="4" applyNumberFormat="1" applyFont="1" applyFill="1" applyBorder="1" applyAlignment="1">
      <alignment horizontal="center" vertical="center" wrapText="1"/>
    </xf>
    <xf numFmtId="2" fontId="3" fillId="20" borderId="3" xfId="4" applyNumberFormat="1" applyFont="1" applyFill="1" applyBorder="1" applyAlignment="1">
      <alignment horizontal="center" vertical="center" wrapText="1"/>
    </xf>
    <xf numFmtId="3" fontId="3" fillId="23" borderId="3" xfId="4" applyNumberFormat="1" applyFont="1" applyFill="1" applyBorder="1" applyAlignment="1">
      <alignment horizontal="center" vertical="center" wrapText="1"/>
    </xf>
    <xf numFmtId="14" fontId="3" fillId="23" borderId="3" xfId="4" applyNumberFormat="1" applyFont="1" applyFill="1" applyBorder="1" applyAlignment="1">
      <alignment horizontal="center" vertical="center" wrapText="1"/>
    </xf>
    <xf numFmtId="3" fontId="3" fillId="23" borderId="3" xfId="4" applyNumberFormat="1" applyFont="1" applyFill="1" applyBorder="1" applyAlignment="1" applyProtection="1">
      <alignment horizontal="center" vertical="center" wrapText="1"/>
      <protection locked="0"/>
    </xf>
    <xf numFmtId="1" fontId="3" fillId="23" borderId="3" xfId="4" applyNumberFormat="1" applyFont="1" applyFill="1" applyBorder="1" applyAlignment="1" applyProtection="1">
      <alignment horizontal="center" vertical="center" wrapText="1"/>
      <protection locked="0"/>
    </xf>
    <xf numFmtId="1" fontId="7" fillId="0" borderId="23" xfId="6" applyNumberFormat="1" applyBorder="1" applyAlignment="1">
      <alignment horizontal="center" vertical="center"/>
    </xf>
    <xf numFmtId="1" fontId="7" fillId="12" borderId="23" xfId="6" applyNumberFormat="1" applyFill="1" applyBorder="1" applyAlignment="1">
      <alignment horizontal="center" vertical="center"/>
    </xf>
    <xf numFmtId="0" fontId="3" fillId="0" borderId="6" xfId="2" applyFont="1" applyBorder="1" applyAlignment="1">
      <alignment horizontal="center" vertical="center" wrapText="1"/>
    </xf>
    <xf numFmtId="166" fontId="3" fillId="0" borderId="6" xfId="5" applyNumberFormat="1" applyFont="1" applyBorder="1" applyAlignment="1">
      <alignment horizontal="center" vertical="center" wrapText="1"/>
    </xf>
    <xf numFmtId="4" fontId="3" fillId="0" borderId="6" xfId="2" applyNumberFormat="1" applyFont="1" applyBorder="1" applyAlignment="1">
      <alignment horizontal="center" vertical="center"/>
    </xf>
    <xf numFmtId="165" fontId="3" fillId="14" borderId="6" xfId="4" applyNumberFormat="1" applyFont="1" applyFill="1" applyBorder="1" applyAlignment="1">
      <alignment horizontal="center" vertical="center" wrapText="1"/>
    </xf>
    <xf numFmtId="0" fontId="3" fillId="0" borderId="25" xfId="2" applyFont="1" applyBorder="1" applyAlignment="1">
      <alignment horizontal="center" vertical="center" wrapText="1"/>
    </xf>
    <xf numFmtId="0" fontId="3" fillId="14" borderId="6" xfId="2" applyFont="1" applyFill="1" applyBorder="1" applyAlignment="1">
      <alignment horizontal="center" vertical="center" wrapText="1"/>
    </xf>
    <xf numFmtId="166" fontId="3" fillId="0" borderId="14" xfId="3" applyNumberFormat="1" applyFont="1" applyBorder="1" applyAlignment="1">
      <alignment horizontal="center" vertical="center" wrapText="1"/>
    </xf>
    <xf numFmtId="165" fontId="3" fillId="0" borderId="4" xfId="4" applyNumberFormat="1" applyFont="1" applyBorder="1" applyAlignment="1">
      <alignment horizontal="center" vertical="center" wrapText="1"/>
    </xf>
    <xf numFmtId="1" fontId="7" fillId="0" borderId="29" xfId="6" applyNumberFormat="1" applyBorder="1" applyAlignment="1">
      <alignment horizontal="center" vertical="center"/>
    </xf>
    <xf numFmtId="0" fontId="3" fillId="0" borderId="1" xfId="3" applyFont="1" applyBorder="1" applyAlignment="1">
      <alignment vertical="center" wrapText="1" readingOrder="1"/>
    </xf>
    <xf numFmtId="4" fontId="3" fillId="0" borderId="1" xfId="3" applyNumberFormat="1" applyFont="1" applyBorder="1" applyAlignment="1">
      <alignment horizontal="center" vertical="center" wrapText="1" readingOrder="1"/>
    </xf>
    <xf numFmtId="0" fontId="3" fillId="0" borderId="23" xfId="3" applyFont="1" applyBorder="1" applyAlignment="1">
      <alignment horizontal="center" vertical="center" wrapText="1" readingOrder="1"/>
    </xf>
    <xf numFmtId="166" fontId="3" fillId="0" borderId="1" xfId="3" applyNumberFormat="1" applyFont="1" applyBorder="1" applyAlignment="1">
      <alignment horizontal="center" vertical="center" wrapText="1"/>
    </xf>
    <xf numFmtId="0" fontId="3" fillId="12" borderId="1" xfId="3" applyFont="1" applyFill="1" applyBorder="1" applyAlignment="1">
      <alignment vertical="center" wrapText="1" readingOrder="1"/>
    </xf>
    <xf numFmtId="0" fontId="3" fillId="12" borderId="1" xfId="3" applyFont="1" applyFill="1" applyBorder="1" applyAlignment="1">
      <alignment horizontal="center" vertical="center" wrapText="1" readingOrder="1"/>
    </xf>
    <xf numFmtId="4" fontId="3" fillId="12" borderId="1" xfId="3" applyNumberFormat="1" applyFont="1" applyFill="1" applyBorder="1" applyAlignment="1">
      <alignment horizontal="center" vertical="center" wrapText="1" readingOrder="1"/>
    </xf>
    <xf numFmtId="165" fontId="3" fillId="12" borderId="3" xfId="4" applyNumberFormat="1" applyFont="1" applyFill="1" applyBorder="1" applyAlignment="1">
      <alignment horizontal="center" vertical="center" wrapText="1"/>
    </xf>
    <xf numFmtId="4" fontId="3" fillId="12" borderId="31" xfId="3" applyNumberFormat="1" applyFont="1" applyFill="1" applyBorder="1" applyAlignment="1">
      <alignment horizontal="center" vertical="center"/>
    </xf>
    <xf numFmtId="3" fontId="3" fillId="12" borderId="1" xfId="3" applyNumberFormat="1" applyFont="1" applyFill="1" applyBorder="1" applyAlignment="1">
      <alignment horizontal="center" vertical="top"/>
    </xf>
    <xf numFmtId="0" fontId="3" fillId="30" borderId="3" xfId="2" applyFont="1" applyFill="1" applyBorder="1" applyAlignment="1">
      <alignment horizontal="center" vertical="center" wrapText="1"/>
    </xf>
    <xf numFmtId="1" fontId="7" fillId="0" borderId="32" xfId="6" applyNumberFormat="1" applyBorder="1" applyAlignment="1">
      <alignment horizontal="center" vertical="center"/>
    </xf>
    <xf numFmtId="0" fontId="3" fillId="12" borderId="8" xfId="3" applyFont="1" applyFill="1" applyBorder="1" applyAlignment="1">
      <alignment vertical="center" wrapText="1" readingOrder="1"/>
    </xf>
    <xf numFmtId="0" fontId="3" fillId="12" borderId="8" xfId="3" applyFont="1" applyFill="1" applyBorder="1" applyAlignment="1">
      <alignment horizontal="center" vertical="center" wrapText="1" readingOrder="1"/>
    </xf>
    <xf numFmtId="4" fontId="3" fillId="12" borderId="8" xfId="3" applyNumberFormat="1" applyFont="1" applyFill="1" applyBorder="1" applyAlignment="1">
      <alignment horizontal="center" vertical="center" wrapText="1" readingOrder="1"/>
    </xf>
    <xf numFmtId="1" fontId="3" fillId="12" borderId="23" xfId="6" applyNumberFormat="1" applyFont="1" applyFill="1" applyBorder="1" applyAlignment="1">
      <alignment horizontal="center" vertical="center" wrapText="1" readingOrder="1"/>
    </xf>
    <xf numFmtId="1" fontId="3" fillId="0" borderId="23" xfId="6" applyNumberFormat="1" applyFont="1" applyBorder="1" applyAlignment="1">
      <alignment horizontal="center" vertical="center" wrapText="1" readingOrder="1"/>
    </xf>
    <xf numFmtId="1" fontId="7" fillId="0" borderId="23" xfId="6" applyNumberFormat="1" applyBorder="1" applyAlignment="1">
      <alignment horizontal="center" vertical="center" wrapText="1"/>
    </xf>
    <xf numFmtId="0" fontId="3" fillId="12" borderId="6" xfId="2" applyFont="1" applyFill="1" applyBorder="1" applyAlignment="1">
      <alignment horizontal="center" vertical="center" wrapText="1"/>
    </xf>
    <xf numFmtId="0" fontId="3" fillId="12" borderId="6" xfId="4" applyFont="1" applyFill="1" applyBorder="1" applyAlignment="1">
      <alignment horizontal="center" vertical="center" wrapText="1"/>
    </xf>
    <xf numFmtId="0" fontId="3" fillId="0" borderId="6" xfId="4" applyFont="1" applyBorder="1" applyAlignment="1">
      <alignment horizontal="center" vertical="center" wrapText="1"/>
    </xf>
    <xf numFmtId="165" fontId="3" fillId="12" borderId="6" xfId="4" applyNumberFormat="1" applyFont="1" applyFill="1" applyBorder="1" applyAlignment="1">
      <alignment horizontal="center" vertical="center" wrapText="1"/>
    </xf>
    <xf numFmtId="3" fontId="3" fillId="12" borderId="6" xfId="4" applyNumberFormat="1" applyFont="1" applyFill="1" applyBorder="1" applyAlignment="1">
      <alignment horizontal="center" vertical="center" wrapText="1"/>
    </xf>
    <xf numFmtId="14" fontId="3" fillId="12" borderId="6" xfId="4" applyNumberFormat="1" applyFont="1" applyFill="1" applyBorder="1" applyAlignment="1">
      <alignment horizontal="center" vertical="center" wrapText="1"/>
    </xf>
    <xf numFmtId="3" fontId="3" fillId="12" borderId="6" xfId="4" applyNumberFormat="1" applyFont="1" applyFill="1" applyBorder="1" applyAlignment="1" applyProtection="1">
      <alignment horizontal="center" vertical="center" wrapText="1"/>
      <protection locked="0"/>
    </xf>
    <xf numFmtId="1" fontId="3" fillId="12" borderId="6" xfId="4" applyNumberFormat="1" applyFont="1" applyFill="1" applyBorder="1" applyAlignment="1" applyProtection="1">
      <alignment horizontal="center" vertical="center" wrapText="1"/>
      <protection locked="0"/>
    </xf>
    <xf numFmtId="0" fontId="3" fillId="12" borderId="25" xfId="4" applyFont="1" applyFill="1" applyBorder="1" applyAlignment="1">
      <alignment horizontal="center" vertical="center" wrapText="1"/>
    </xf>
    <xf numFmtId="10" fontId="3" fillId="12" borderId="6" xfId="4" applyNumberFormat="1" applyFont="1" applyFill="1" applyBorder="1" applyAlignment="1">
      <alignment horizontal="center" vertical="center" wrapText="1"/>
    </xf>
    <xf numFmtId="0" fontId="3" fillId="12" borderId="24" xfId="4" applyFont="1" applyFill="1" applyBorder="1" applyAlignment="1">
      <alignment horizontal="center" vertical="center" wrapText="1"/>
    </xf>
    <xf numFmtId="0" fontId="3" fillId="12" borderId="25" xfId="2" applyFont="1" applyFill="1" applyBorder="1" applyAlignment="1">
      <alignment horizontal="center" vertical="center" wrapText="1"/>
    </xf>
    <xf numFmtId="0" fontId="3" fillId="30" borderId="6" xfId="2" applyFont="1" applyFill="1" applyBorder="1" applyAlignment="1">
      <alignment horizontal="center" vertical="center" wrapText="1"/>
    </xf>
    <xf numFmtId="0" fontId="3" fillId="0" borderId="1" xfId="3" applyFont="1" applyBorder="1" applyAlignment="1">
      <alignment horizontal="left" vertical="center" wrapText="1" readingOrder="1"/>
    </xf>
    <xf numFmtId="165" fontId="3" fillId="0" borderId="6" xfId="4" applyNumberFormat="1" applyFont="1" applyBorder="1" applyAlignment="1">
      <alignment horizontal="center" vertical="center" wrapText="1"/>
    </xf>
    <xf numFmtId="4" fontId="3" fillId="0" borderId="6" xfId="4" applyNumberFormat="1" applyFont="1" applyBorder="1" applyAlignment="1">
      <alignment horizontal="center" vertical="center" wrapText="1"/>
    </xf>
    <xf numFmtId="3" fontId="3" fillId="0" borderId="6" xfId="4" applyNumberFormat="1" applyFont="1" applyBorder="1" applyAlignment="1" applyProtection="1">
      <alignment horizontal="center" vertical="center" wrapText="1"/>
      <protection locked="0"/>
    </xf>
    <xf numFmtId="1" fontId="3" fillId="0" borderId="6" xfId="4" applyNumberFormat="1" applyFont="1" applyBorder="1" applyAlignment="1" applyProtection="1">
      <alignment horizontal="center" vertical="center" wrapText="1"/>
      <protection locked="0"/>
    </xf>
    <xf numFmtId="0" fontId="3" fillId="0" borderId="25" xfId="4" applyFont="1" applyBorder="1" applyAlignment="1">
      <alignment horizontal="center" vertical="center" wrapText="1"/>
    </xf>
    <xf numFmtId="10" fontId="3" fillId="0" borderId="6" xfId="4" applyNumberFormat="1" applyFont="1" applyBorder="1" applyAlignment="1">
      <alignment horizontal="center" vertical="center" wrapText="1"/>
    </xf>
    <xf numFmtId="0" fontId="3" fillId="0" borderId="24" xfId="4" applyFont="1" applyBorder="1" applyAlignment="1">
      <alignment horizontal="center" vertical="center" wrapText="1"/>
    </xf>
    <xf numFmtId="167" fontId="3" fillId="0" borderId="1" xfId="3" applyNumberFormat="1" applyFont="1" applyBorder="1" applyAlignment="1">
      <alignment horizontal="center" vertical="center" wrapText="1" readingOrder="1"/>
    </xf>
    <xf numFmtId="4" fontId="3" fillId="0" borderId="6" xfId="2" applyNumberFormat="1" applyFont="1" applyBorder="1" applyAlignment="1">
      <alignment horizontal="center" vertical="center" wrapText="1"/>
    </xf>
    <xf numFmtId="1" fontId="3" fillId="0" borderId="6" xfId="2" applyNumberFormat="1" applyFont="1" applyBorder="1" applyAlignment="1">
      <alignment horizontal="center" vertical="center" wrapText="1"/>
    </xf>
    <xf numFmtId="0" fontId="3" fillId="0" borderId="27" xfId="2" applyFont="1" applyBorder="1" applyAlignment="1">
      <alignment horizontal="center" vertical="center" wrapText="1"/>
    </xf>
    <xf numFmtId="0" fontId="3" fillId="0" borderId="33" xfId="3" applyFont="1" applyBorder="1" applyAlignment="1">
      <alignment horizontal="left" vertical="center" wrapText="1" readingOrder="1"/>
    </xf>
    <xf numFmtId="0" fontId="3" fillId="0" borderId="31" xfId="3" applyFont="1" applyBorder="1" applyAlignment="1">
      <alignment horizontal="center" vertical="center" wrapText="1" readingOrder="1"/>
    </xf>
    <xf numFmtId="167" fontId="3" fillId="0" borderId="34" xfId="3" applyNumberFormat="1" applyFont="1" applyBorder="1" applyAlignment="1">
      <alignment horizontal="center" vertical="center" wrapText="1" readingOrder="1"/>
    </xf>
    <xf numFmtId="0" fontId="3" fillId="0" borderId="34" xfId="3" applyFont="1" applyBorder="1" applyAlignment="1">
      <alignment horizontal="center" vertical="center" wrapText="1" readingOrder="1"/>
    </xf>
    <xf numFmtId="167" fontId="3" fillId="0" borderId="31" xfId="3" applyNumberFormat="1" applyFont="1" applyBorder="1" applyAlignment="1">
      <alignment horizontal="center" vertical="center" wrapText="1" readingOrder="1"/>
    </xf>
    <xf numFmtId="1" fontId="3" fillId="0" borderId="1" xfId="3" applyNumberFormat="1" applyFont="1" applyBorder="1" applyAlignment="1">
      <alignment horizontal="center" vertical="center" wrapText="1" readingOrder="1"/>
    </xf>
    <xf numFmtId="0" fontId="3" fillId="0" borderId="33" xfId="2" applyFont="1" applyBorder="1" applyAlignment="1">
      <alignment horizontal="center" vertical="center" wrapText="1"/>
    </xf>
    <xf numFmtId="0" fontId="3" fillId="0" borderId="35" xfId="2" applyFont="1" applyBorder="1" applyAlignment="1">
      <alignment horizontal="center" vertical="center" wrapText="1"/>
    </xf>
    <xf numFmtId="0" fontId="3" fillId="0" borderId="36" xfId="2" applyFont="1" applyBorder="1" applyAlignment="1">
      <alignment horizontal="center" vertical="center" wrapText="1"/>
    </xf>
    <xf numFmtId="0" fontId="3" fillId="0" borderId="36" xfId="4" applyFont="1" applyBorder="1" applyAlignment="1">
      <alignment horizontal="center" vertical="center" wrapText="1"/>
    </xf>
    <xf numFmtId="0" fontId="3" fillId="0" borderId="37" xfId="3" applyFont="1" applyBorder="1" applyAlignment="1">
      <alignment horizontal="left" vertical="center" wrapText="1" readingOrder="1"/>
    </xf>
    <xf numFmtId="165" fontId="3" fillId="0" borderId="36" xfId="4" applyNumberFormat="1" applyFont="1" applyBorder="1" applyAlignment="1">
      <alignment horizontal="center" vertical="center" wrapText="1"/>
    </xf>
    <xf numFmtId="0" fontId="3" fillId="0" borderId="37" xfId="4" applyFont="1" applyBorder="1" applyAlignment="1">
      <alignment horizontal="center" vertical="center" wrapText="1"/>
    </xf>
    <xf numFmtId="10" fontId="3" fillId="0" borderId="36" xfId="4" applyNumberFormat="1" applyFont="1" applyBorder="1" applyAlignment="1">
      <alignment horizontal="center" vertical="center" wrapText="1"/>
    </xf>
    <xf numFmtId="0" fontId="3" fillId="0" borderId="31" xfId="4" applyFont="1" applyBorder="1" applyAlignment="1">
      <alignment horizontal="center" vertical="center" wrapText="1"/>
    </xf>
    <xf numFmtId="0" fontId="3" fillId="0" borderId="38" xfId="2" applyFont="1" applyBorder="1" applyAlignment="1">
      <alignment horizontal="center" vertical="center" wrapText="1"/>
    </xf>
    <xf numFmtId="0" fontId="3" fillId="0" borderId="37" xfId="2" applyFont="1" applyBorder="1" applyAlignment="1">
      <alignment horizontal="center" vertical="center" wrapText="1"/>
    </xf>
    <xf numFmtId="3" fontId="3" fillId="0" borderId="25" xfId="4" applyNumberFormat="1" applyFont="1" applyBorder="1" applyAlignment="1">
      <alignment horizontal="center" vertical="center" wrapText="1"/>
    </xf>
    <xf numFmtId="1" fontId="3" fillId="0" borderId="39" xfId="4" applyNumberFormat="1" applyFont="1" applyBorder="1" applyAlignment="1" applyProtection="1">
      <alignment horizontal="center" vertical="center" wrapText="1"/>
      <protection locked="0"/>
    </xf>
    <xf numFmtId="10" fontId="3" fillId="0" borderId="1" xfId="4" applyNumberFormat="1" applyFont="1" applyBorder="1" applyAlignment="1">
      <alignment horizontal="center" vertical="center" wrapText="1"/>
    </xf>
    <xf numFmtId="0" fontId="23" fillId="0" borderId="1" xfId="3" applyFont="1" applyBorder="1" applyAlignment="1">
      <alignment horizontal="center" vertical="center" wrapText="1"/>
    </xf>
    <xf numFmtId="1" fontId="3" fillId="0" borderId="1" xfId="3" applyNumberFormat="1" applyFont="1" applyBorder="1" applyAlignment="1">
      <alignment horizontal="center" wrapText="1" readingOrder="1"/>
    </xf>
    <xf numFmtId="0" fontId="3" fillId="0" borderId="27" xfId="4" applyFont="1" applyBorder="1" applyAlignment="1">
      <alignment horizontal="center" vertical="center" wrapText="1"/>
    </xf>
    <xf numFmtId="0" fontId="3" fillId="0" borderId="40" xfId="3" applyFont="1" applyBorder="1" applyAlignment="1">
      <alignment horizontal="left" vertical="center" wrapText="1" readingOrder="1"/>
    </xf>
    <xf numFmtId="0" fontId="3" fillId="0" borderId="40" xfId="3" applyFont="1" applyBorder="1" applyAlignment="1">
      <alignment horizontal="center" vertical="center" wrapText="1" readingOrder="1"/>
    </xf>
    <xf numFmtId="167" fontId="3" fillId="0" borderId="8" xfId="3" applyNumberFormat="1" applyFont="1" applyBorder="1" applyAlignment="1">
      <alignment horizontal="center" vertical="center" wrapText="1" readingOrder="1"/>
    </xf>
    <xf numFmtId="165" fontId="3" fillId="0" borderId="27" xfId="4" applyNumberFormat="1" applyFont="1" applyBorder="1" applyAlignment="1">
      <alignment horizontal="center" vertical="center" wrapText="1"/>
    </xf>
    <xf numFmtId="0" fontId="3" fillId="0" borderId="8" xfId="3" applyFont="1" applyBorder="1" applyAlignment="1">
      <alignment horizontal="center" vertical="center" wrapText="1" readingOrder="1"/>
    </xf>
    <xf numFmtId="0" fontId="23" fillId="0" borderId="8" xfId="3" applyFont="1" applyBorder="1" applyAlignment="1">
      <alignment horizontal="center" vertical="center" wrapText="1"/>
    </xf>
    <xf numFmtId="1" fontId="3" fillId="0" borderId="8" xfId="3" applyNumberFormat="1" applyFont="1" applyBorder="1" applyAlignment="1">
      <alignment horizontal="center" vertical="center" wrapText="1" readingOrder="1"/>
    </xf>
    <xf numFmtId="3" fontId="3" fillId="0" borderId="19" xfId="3" applyNumberFormat="1" applyFont="1" applyBorder="1" applyAlignment="1">
      <alignment horizontal="center" vertical="top"/>
    </xf>
    <xf numFmtId="0" fontId="3" fillId="0" borderId="41" xfId="4" applyFont="1" applyBorder="1" applyAlignment="1">
      <alignment horizontal="center" vertical="center" wrapText="1"/>
    </xf>
    <xf numFmtId="10" fontId="3" fillId="0" borderId="27" xfId="4" applyNumberFormat="1" applyFont="1" applyBorder="1" applyAlignment="1">
      <alignment horizontal="center" vertical="center" wrapText="1"/>
    </xf>
    <xf numFmtId="0" fontId="3" fillId="0" borderId="42" xfId="4" applyFont="1" applyBorder="1" applyAlignment="1">
      <alignment horizontal="center" vertical="center" wrapText="1"/>
    </xf>
    <xf numFmtId="0" fontId="3" fillId="0" borderId="41" xfId="2" applyFont="1" applyBorder="1" applyAlignment="1">
      <alignment horizontal="center" vertical="center" wrapText="1"/>
    </xf>
    <xf numFmtId="0" fontId="3" fillId="13" borderId="4" xfId="2" applyFont="1" applyFill="1" applyBorder="1" applyAlignment="1">
      <alignment horizontal="center" vertical="center" wrapText="1"/>
    </xf>
    <xf numFmtId="0" fontId="3" fillId="13" borderId="4" xfId="4" applyFont="1" applyFill="1" applyBorder="1" applyAlignment="1">
      <alignment horizontal="center" vertical="center" wrapText="1"/>
    </xf>
    <xf numFmtId="0" fontId="3" fillId="13" borderId="4" xfId="4" applyFont="1" applyFill="1" applyBorder="1" applyAlignment="1">
      <alignment vertical="center" wrapText="1"/>
    </xf>
    <xf numFmtId="0" fontId="3" fillId="20" borderId="4" xfId="4" applyFont="1" applyFill="1" applyBorder="1" applyAlignment="1">
      <alignment horizontal="center" vertical="center" wrapText="1"/>
    </xf>
    <xf numFmtId="4" fontId="3" fillId="13" borderId="4" xfId="4" applyNumberFormat="1" applyFont="1" applyFill="1" applyBorder="1" applyAlignment="1">
      <alignment horizontal="center" vertical="center" wrapText="1"/>
    </xf>
    <xf numFmtId="165" fontId="3" fillId="13" borderId="4" xfId="4" applyNumberFormat="1" applyFont="1" applyFill="1" applyBorder="1" applyAlignment="1">
      <alignment horizontal="center" vertical="center" wrapText="1"/>
    </xf>
    <xf numFmtId="3" fontId="3" fillId="13" borderId="4" xfId="4" applyNumberFormat="1" applyFont="1" applyFill="1" applyBorder="1" applyAlignment="1">
      <alignment horizontal="center" vertical="center" wrapText="1"/>
    </xf>
    <xf numFmtId="3" fontId="3" fillId="20" borderId="4" xfId="4" applyNumberFormat="1" applyFont="1" applyFill="1" applyBorder="1" applyAlignment="1">
      <alignment horizontal="center" vertical="center" wrapText="1"/>
    </xf>
    <xf numFmtId="14" fontId="3" fillId="20" borderId="4" xfId="4" applyNumberFormat="1" applyFont="1" applyFill="1" applyBorder="1" applyAlignment="1">
      <alignment horizontal="center" vertical="center" wrapText="1"/>
    </xf>
    <xf numFmtId="3" fontId="3" fillId="13" borderId="4" xfId="4" applyNumberFormat="1" applyFont="1" applyFill="1" applyBorder="1" applyAlignment="1" applyProtection="1">
      <alignment horizontal="center" vertical="center" wrapText="1"/>
      <protection locked="0"/>
    </xf>
    <xf numFmtId="1" fontId="3" fillId="13" borderId="4" xfId="4" applyNumberFormat="1" applyFont="1" applyFill="1" applyBorder="1" applyAlignment="1" applyProtection="1">
      <alignment horizontal="center" vertical="center" wrapText="1"/>
      <protection locked="0"/>
    </xf>
    <xf numFmtId="4" fontId="3" fillId="13" borderId="43" xfId="4" applyNumberFormat="1" applyFont="1" applyFill="1" applyBorder="1" applyAlignment="1">
      <alignment horizontal="center" vertical="center" wrapText="1"/>
    </xf>
    <xf numFmtId="1" fontId="3" fillId="13" borderId="14" xfId="4" applyNumberFormat="1" applyFont="1" applyFill="1" applyBorder="1" applyAlignment="1">
      <alignment horizontal="center" vertical="top" wrapText="1"/>
    </xf>
    <xf numFmtId="3" fontId="3" fillId="13" borderId="14" xfId="4" applyNumberFormat="1" applyFont="1" applyFill="1" applyBorder="1" applyAlignment="1">
      <alignment horizontal="center" vertical="top" wrapText="1"/>
    </xf>
    <xf numFmtId="0" fontId="3" fillId="13" borderId="5" xfId="4" applyFont="1" applyFill="1" applyBorder="1" applyAlignment="1">
      <alignment horizontal="center" vertical="center" wrapText="1"/>
    </xf>
    <xf numFmtId="10" fontId="3" fillId="13" borderId="4" xfId="4" applyNumberFormat="1" applyFont="1" applyFill="1" applyBorder="1" applyAlignment="1">
      <alignment horizontal="center" vertical="center" wrapText="1"/>
    </xf>
    <xf numFmtId="0" fontId="3" fillId="13" borderId="30" xfId="4" applyFont="1" applyFill="1" applyBorder="1" applyAlignment="1">
      <alignment horizontal="center" vertical="center" wrapText="1"/>
    </xf>
    <xf numFmtId="0" fontId="3" fillId="12" borderId="5" xfId="2" applyFont="1" applyFill="1" applyBorder="1" applyAlignment="1">
      <alignment horizontal="center" vertical="center" wrapText="1"/>
    </xf>
    <xf numFmtId="2" fontId="3" fillId="31" borderId="3" xfId="4" applyNumberFormat="1" applyFont="1" applyFill="1" applyBorder="1" applyAlignment="1">
      <alignment horizontal="center" vertical="center" wrapText="1"/>
    </xf>
    <xf numFmtId="0" fontId="3" fillId="32" borderId="3" xfId="4" applyFont="1" applyFill="1" applyBorder="1" applyAlignment="1">
      <alignment horizontal="center" vertical="center" wrapText="1"/>
    </xf>
    <xf numFmtId="0" fontId="3" fillId="24" borderId="3" xfId="4" applyFont="1" applyFill="1" applyBorder="1" applyAlignment="1">
      <alignment horizontal="center" vertical="center" wrapText="1"/>
    </xf>
    <xf numFmtId="2" fontId="3" fillId="24" borderId="3" xfId="4" applyNumberFormat="1" applyFont="1" applyFill="1" applyBorder="1" applyAlignment="1">
      <alignment horizontal="center" vertical="center" wrapText="1"/>
    </xf>
    <xf numFmtId="4" fontId="3" fillId="24" borderId="3" xfId="4" applyNumberFormat="1" applyFont="1" applyFill="1" applyBorder="1" applyAlignment="1">
      <alignment horizontal="center" vertical="center" wrapText="1"/>
    </xf>
    <xf numFmtId="165" fontId="3" fillId="32" borderId="3" xfId="4" applyNumberFormat="1" applyFont="1" applyFill="1" applyBorder="1" applyAlignment="1">
      <alignment horizontal="center" vertical="center" wrapText="1"/>
    </xf>
    <xf numFmtId="4" fontId="3" fillId="24" borderId="9" xfId="4" applyNumberFormat="1" applyFont="1" applyFill="1" applyBorder="1" applyAlignment="1">
      <alignment horizontal="center" vertical="center" wrapText="1"/>
    </xf>
    <xf numFmtId="1" fontId="3" fillId="24" borderId="1" xfId="4" applyNumberFormat="1" applyFont="1" applyFill="1" applyBorder="1" applyAlignment="1">
      <alignment horizontal="center" vertical="top" wrapText="1"/>
    </xf>
    <xf numFmtId="3" fontId="3" fillId="24" borderId="1" xfId="4" applyNumberFormat="1" applyFont="1" applyFill="1" applyBorder="1" applyAlignment="1">
      <alignment horizontal="center" vertical="top" wrapText="1"/>
    </xf>
    <xf numFmtId="10" fontId="3" fillId="32" borderId="3" xfId="4" applyNumberFormat="1" applyFont="1" applyFill="1" applyBorder="1" applyAlignment="1">
      <alignment horizontal="center" vertical="center" wrapText="1"/>
    </xf>
    <xf numFmtId="165" fontId="3" fillId="0" borderId="12" xfId="4" applyNumberFormat="1" applyFont="1" applyBorder="1" applyAlignment="1">
      <alignment horizontal="center" vertical="center" wrapText="1"/>
    </xf>
    <xf numFmtId="168" fontId="1" fillId="0" borderId="1" xfId="3" applyNumberFormat="1" applyBorder="1" applyAlignment="1">
      <alignment horizontal="center" vertical="center" wrapText="1"/>
    </xf>
    <xf numFmtId="0" fontId="7" fillId="0" borderId="1" xfId="6" applyBorder="1" applyAlignment="1">
      <alignment vertical="center" wrapText="1"/>
    </xf>
    <xf numFmtId="4" fontId="7" fillId="0" borderId="1" xfId="3" applyNumberFormat="1" applyFont="1" applyBorder="1" applyAlignment="1">
      <alignment horizontal="center" vertical="center" wrapText="1"/>
    </xf>
    <xf numFmtId="1" fontId="7" fillId="0" borderId="1" xfId="3" applyNumberFormat="1" applyFont="1" applyBorder="1" applyAlignment="1">
      <alignment horizontal="center" vertical="center" wrapText="1"/>
    </xf>
    <xf numFmtId="0" fontId="1" fillId="0" borderId="8" xfId="3" applyBorder="1" applyAlignment="1">
      <alignment vertical="center" wrapText="1"/>
    </xf>
    <xf numFmtId="4" fontId="1" fillId="0" borderId="8" xfId="3" applyNumberFormat="1" applyBorder="1" applyAlignment="1">
      <alignment horizontal="center" vertical="center" wrapText="1"/>
    </xf>
    <xf numFmtId="4" fontId="3" fillId="0" borderId="8" xfId="4" applyNumberFormat="1" applyFont="1" applyBorder="1" applyAlignment="1">
      <alignment horizontal="center" vertical="center" wrapText="1"/>
    </xf>
    <xf numFmtId="165" fontId="3" fillId="0" borderId="8" xfId="4" applyNumberFormat="1" applyFont="1" applyBorder="1" applyAlignment="1">
      <alignment horizontal="center" vertical="center" wrapText="1"/>
    </xf>
    <xf numFmtId="0" fontId="7" fillId="0" borderId="8" xfId="3" applyFont="1" applyBorder="1" applyAlignment="1">
      <alignment vertical="center" wrapText="1"/>
    </xf>
    <xf numFmtId="1" fontId="7" fillId="0" borderId="8" xfId="3" applyNumberFormat="1" applyFont="1" applyBorder="1" applyAlignment="1">
      <alignment horizontal="center" vertical="center" wrapText="1"/>
    </xf>
    <xf numFmtId="0" fontId="3" fillId="20" borderId="4" xfId="4" applyFont="1" applyFill="1" applyBorder="1" applyAlignment="1">
      <alignment vertical="center" wrapText="1"/>
    </xf>
    <xf numFmtId="2" fontId="3" fillId="20" borderId="4" xfId="4" applyNumberFormat="1" applyFont="1" applyFill="1" applyBorder="1" applyAlignment="1">
      <alignment horizontal="center" vertical="center" wrapText="1"/>
    </xf>
    <xf numFmtId="4" fontId="3" fillId="20" borderId="4" xfId="4" applyNumberFormat="1" applyFont="1" applyFill="1" applyBorder="1" applyAlignment="1">
      <alignment horizontal="center" vertical="center" wrapText="1"/>
    </xf>
    <xf numFmtId="165" fontId="3" fillId="20" borderId="4" xfId="4" applyNumberFormat="1" applyFont="1" applyFill="1" applyBorder="1" applyAlignment="1">
      <alignment horizontal="center" vertical="center" wrapText="1"/>
    </xf>
    <xf numFmtId="4" fontId="3" fillId="20" borderId="43" xfId="4" applyNumberFormat="1" applyFont="1" applyFill="1" applyBorder="1" applyAlignment="1">
      <alignment horizontal="center" vertical="center" wrapText="1"/>
    </xf>
    <xf numFmtId="1" fontId="3" fillId="20" borderId="14" xfId="4" applyNumberFormat="1" applyFont="1" applyFill="1" applyBorder="1" applyAlignment="1">
      <alignment horizontal="center" vertical="top" wrapText="1"/>
    </xf>
    <xf numFmtId="3" fontId="3" fillId="20" borderId="14" xfId="4" applyNumberFormat="1" applyFont="1" applyFill="1" applyBorder="1" applyAlignment="1">
      <alignment horizontal="center" vertical="top" wrapText="1"/>
    </xf>
    <xf numFmtId="0" fontId="3" fillId="20" borderId="5" xfId="4" applyFont="1" applyFill="1" applyBorder="1" applyAlignment="1">
      <alignment horizontal="center" vertical="center" wrapText="1"/>
    </xf>
    <xf numFmtId="10" fontId="3" fillId="20" borderId="4" xfId="4" applyNumberFormat="1" applyFont="1" applyFill="1" applyBorder="1" applyAlignment="1">
      <alignment horizontal="center" vertical="center" wrapText="1"/>
    </xf>
    <xf numFmtId="0" fontId="3" fillId="20" borderId="30" xfId="4" applyFont="1" applyFill="1" applyBorder="1" applyAlignment="1">
      <alignment horizontal="center" vertical="center" wrapText="1"/>
    </xf>
    <xf numFmtId="1" fontId="3" fillId="20" borderId="3" xfId="4" applyNumberFormat="1" applyFont="1" applyFill="1" applyBorder="1" applyAlignment="1">
      <alignment horizontal="center" vertical="center" wrapText="1"/>
    </xf>
    <xf numFmtId="1" fontId="3" fillId="0" borderId="1" xfId="4" applyNumberFormat="1" applyFont="1" applyBorder="1" applyAlignment="1">
      <alignment horizontal="center" vertical="top" wrapText="1"/>
    </xf>
    <xf numFmtId="0" fontId="3" fillId="33" borderId="3" xfId="2" applyFont="1" applyFill="1" applyBorder="1" applyAlignment="1">
      <alignment horizontal="center" vertical="center" wrapText="1"/>
    </xf>
    <xf numFmtId="1" fontId="3" fillId="15" borderId="3" xfId="4" applyNumberFormat="1" applyFont="1" applyFill="1" applyBorder="1" applyAlignment="1">
      <alignment horizontal="center" vertical="center" wrapText="1"/>
    </xf>
    <xf numFmtId="4" fontId="3" fillId="33" borderId="9" xfId="4" applyNumberFormat="1" applyFont="1" applyFill="1" applyBorder="1" applyAlignment="1">
      <alignment horizontal="center" vertical="center" wrapText="1"/>
    </xf>
    <xf numFmtId="1" fontId="3" fillId="15" borderId="1" xfId="4" applyNumberFormat="1" applyFont="1" applyFill="1" applyBorder="1" applyAlignment="1">
      <alignment horizontal="center" vertical="top" wrapText="1"/>
    </xf>
    <xf numFmtId="0" fontId="3" fillId="32" borderId="0" xfId="4" applyFont="1" applyFill="1" applyBorder="1" applyAlignment="1">
      <alignment vertical="center" wrapText="1"/>
    </xf>
    <xf numFmtId="1" fontId="3" fillId="32" borderId="3" xfId="4" applyNumberFormat="1" applyFont="1" applyFill="1" applyBorder="1" applyAlignment="1">
      <alignment horizontal="center" vertical="center" wrapText="1"/>
    </xf>
    <xf numFmtId="4" fontId="3" fillId="32" borderId="3" xfId="4" applyNumberFormat="1" applyFont="1" applyFill="1" applyBorder="1" applyAlignment="1">
      <alignment horizontal="center" vertical="center" wrapText="1"/>
    </xf>
    <xf numFmtId="3" fontId="3" fillId="32" borderId="3" xfId="4" applyNumberFormat="1" applyFont="1" applyFill="1" applyBorder="1" applyAlignment="1">
      <alignment horizontal="center" vertical="center" wrapText="1"/>
    </xf>
    <xf numFmtId="14" fontId="3" fillId="32" borderId="3" xfId="4" applyNumberFormat="1" applyFont="1" applyFill="1" applyBorder="1" applyAlignment="1">
      <alignment horizontal="center" vertical="center" wrapText="1"/>
    </xf>
    <xf numFmtId="3" fontId="3" fillId="32" borderId="3" xfId="4" applyNumberFormat="1" applyFont="1" applyFill="1" applyBorder="1" applyAlignment="1" applyProtection="1">
      <alignment horizontal="center" vertical="center" wrapText="1"/>
      <protection locked="0"/>
    </xf>
    <xf numFmtId="1" fontId="3" fillId="32" borderId="3" xfId="4" applyNumberFormat="1" applyFont="1" applyFill="1" applyBorder="1" applyAlignment="1" applyProtection="1">
      <alignment horizontal="center" vertical="center" wrapText="1"/>
      <protection locked="0"/>
    </xf>
    <xf numFmtId="1" fontId="3" fillId="32" borderId="1" xfId="4" applyNumberFormat="1" applyFont="1" applyFill="1" applyBorder="1" applyAlignment="1">
      <alignment horizontal="center" vertical="top" wrapText="1"/>
    </xf>
    <xf numFmtId="3" fontId="3" fillId="32" borderId="1" xfId="4" applyNumberFormat="1" applyFont="1" applyFill="1" applyBorder="1" applyAlignment="1">
      <alignment horizontal="center" vertical="top" wrapText="1"/>
    </xf>
    <xf numFmtId="0" fontId="3" fillId="32" borderId="2" xfId="4" applyFont="1" applyFill="1" applyBorder="1" applyAlignment="1">
      <alignment horizontal="center" vertical="center" wrapText="1"/>
    </xf>
    <xf numFmtId="0" fontId="3" fillId="32" borderId="22" xfId="4" applyFont="1" applyFill="1" applyBorder="1" applyAlignment="1">
      <alignment horizontal="center" vertical="center" wrapText="1"/>
    </xf>
    <xf numFmtId="1" fontId="1" fillId="12" borderId="14" xfId="3" applyNumberFormat="1" applyFill="1" applyBorder="1" applyAlignment="1">
      <alignment horizontal="center" vertical="center" wrapText="1"/>
    </xf>
    <xf numFmtId="165" fontId="3" fillId="12" borderId="14" xfId="4" applyNumberFormat="1" applyFont="1" applyFill="1" applyBorder="1" applyAlignment="1">
      <alignment horizontal="center" vertical="center" wrapText="1"/>
    </xf>
    <xf numFmtId="0" fontId="1" fillId="12" borderId="14" xfId="3" applyFill="1" applyBorder="1" applyAlignment="1">
      <alignment horizontal="center" vertical="center" wrapText="1"/>
    </xf>
    <xf numFmtId="3" fontId="3" fillId="12" borderId="4" xfId="4" applyNumberFormat="1" applyFont="1" applyFill="1" applyBorder="1" applyAlignment="1">
      <alignment horizontal="center" vertical="center" wrapText="1"/>
    </xf>
    <xf numFmtId="14" fontId="3" fillId="12" borderId="4" xfId="4" applyNumberFormat="1" applyFont="1" applyFill="1" applyBorder="1" applyAlignment="1">
      <alignment horizontal="center" vertical="center" wrapText="1"/>
    </xf>
    <xf numFmtId="1" fontId="1" fillId="0" borderId="1" xfId="3" applyNumberFormat="1" applyBorder="1" applyAlignment="1">
      <alignment horizontal="center" vertical="center"/>
    </xf>
    <xf numFmtId="1" fontId="1" fillId="12" borderId="1" xfId="3" applyNumberFormat="1" applyFill="1" applyBorder="1" applyAlignment="1">
      <alignment horizontal="center" vertical="center" wrapText="1"/>
    </xf>
    <xf numFmtId="0" fontId="3" fillId="12" borderId="12" xfId="2" applyFont="1" applyFill="1" applyBorder="1" applyAlignment="1">
      <alignment horizontal="center" vertical="center" wrapText="1"/>
    </xf>
    <xf numFmtId="0" fontId="3" fillId="11" borderId="12" xfId="4" applyFont="1" applyFill="1" applyBorder="1" applyAlignment="1">
      <alignment horizontal="center" vertical="center" wrapText="1"/>
    </xf>
    <xf numFmtId="0" fontId="1" fillId="12" borderId="8" xfId="3" applyFill="1" applyBorder="1" applyAlignment="1">
      <alignment vertical="center" wrapText="1"/>
    </xf>
    <xf numFmtId="1" fontId="1" fillId="12" borderId="8" xfId="3" applyNumberFormat="1" applyFill="1" applyBorder="1" applyAlignment="1">
      <alignment horizontal="center" vertical="center" wrapText="1"/>
    </xf>
    <xf numFmtId="4" fontId="3" fillId="12" borderId="8" xfId="4" applyNumberFormat="1" applyFont="1" applyFill="1" applyBorder="1" applyAlignment="1">
      <alignment horizontal="center" vertical="center" wrapText="1"/>
    </xf>
    <xf numFmtId="165" fontId="3" fillId="12" borderId="8" xfId="4" applyNumberFormat="1" applyFont="1" applyFill="1" applyBorder="1" applyAlignment="1">
      <alignment horizontal="center" vertical="center" wrapText="1"/>
    </xf>
    <xf numFmtId="4" fontId="3" fillId="12" borderId="8" xfId="3" applyNumberFormat="1" applyFont="1" applyFill="1" applyBorder="1" applyAlignment="1">
      <alignment horizontal="center" vertical="center" wrapText="1"/>
    </xf>
    <xf numFmtId="0" fontId="1" fillId="12" borderId="8" xfId="3" applyFill="1" applyBorder="1" applyAlignment="1">
      <alignment horizontal="center" vertical="center" wrapText="1"/>
    </xf>
    <xf numFmtId="3" fontId="3" fillId="12" borderId="12" xfId="4" applyNumberFormat="1" applyFont="1" applyFill="1" applyBorder="1" applyAlignment="1">
      <alignment horizontal="center" vertical="center" wrapText="1"/>
    </xf>
    <xf numFmtId="14" fontId="3" fillId="12" borderId="12" xfId="4" applyNumberFormat="1" applyFont="1" applyFill="1" applyBorder="1" applyAlignment="1">
      <alignment horizontal="center" vertical="center" wrapText="1"/>
    </xf>
    <xf numFmtId="14" fontId="3" fillId="20" borderId="12" xfId="4" applyNumberFormat="1" applyFont="1" applyFill="1" applyBorder="1" applyAlignment="1">
      <alignment horizontal="center" vertical="center" wrapText="1"/>
    </xf>
    <xf numFmtId="3" fontId="9" fillId="12" borderId="12" xfId="4" applyNumberFormat="1" applyFont="1" applyFill="1" applyBorder="1" applyAlignment="1" applyProtection="1">
      <alignment horizontal="center" vertical="center" wrapText="1"/>
      <protection locked="0"/>
    </xf>
    <xf numFmtId="1" fontId="9" fillId="12" borderId="12" xfId="4" applyNumberFormat="1" applyFont="1" applyFill="1" applyBorder="1" applyAlignment="1" applyProtection="1">
      <alignment horizontal="center" vertical="center" wrapText="1"/>
      <protection locked="0"/>
    </xf>
    <xf numFmtId="4" fontId="1" fillId="12" borderId="8" xfId="3" applyNumberFormat="1" applyFill="1" applyBorder="1" applyAlignment="1">
      <alignment horizontal="center" vertical="center" wrapText="1"/>
    </xf>
    <xf numFmtId="0" fontId="3" fillId="12" borderId="7" xfId="4" applyFont="1" applyFill="1" applyBorder="1" applyAlignment="1">
      <alignment horizontal="center" vertical="center" wrapText="1"/>
    </xf>
    <xf numFmtId="0" fontId="3" fillId="12" borderId="12" xfId="4" applyFont="1" applyFill="1" applyBorder="1" applyAlignment="1">
      <alignment horizontal="center" vertical="center" wrapText="1"/>
    </xf>
    <xf numFmtId="10" fontId="3" fillId="12" borderId="12" xfId="4" applyNumberFormat="1" applyFont="1" applyFill="1" applyBorder="1" applyAlignment="1">
      <alignment horizontal="center" vertical="center" wrapText="1"/>
    </xf>
    <xf numFmtId="0" fontId="3" fillId="12" borderId="47" xfId="4" applyFont="1" applyFill="1" applyBorder="1" applyAlignment="1">
      <alignment horizontal="center" vertical="center" wrapText="1"/>
    </xf>
    <xf numFmtId="0" fontId="3" fillId="12" borderId="7" xfId="2" applyFont="1" applyFill="1" applyBorder="1" applyAlignment="1">
      <alignment horizontal="center" vertical="center" wrapText="1"/>
    </xf>
    <xf numFmtId="1" fontId="1" fillId="0" borderId="8" xfId="3" applyNumberFormat="1" applyBorder="1" applyAlignment="1">
      <alignment horizontal="center" vertical="center" wrapText="1"/>
    </xf>
    <xf numFmtId="0" fontId="1" fillId="0" borderId="8" xfId="3" applyBorder="1" applyAlignment="1">
      <alignment horizontal="center" vertical="center" wrapText="1"/>
    </xf>
    <xf numFmtId="3" fontId="3" fillId="0" borderId="12" xfId="4" applyNumberFormat="1" applyFont="1" applyBorder="1" applyAlignment="1">
      <alignment horizontal="center" vertical="center" wrapText="1"/>
    </xf>
    <xf numFmtId="14" fontId="3" fillId="0" borderId="12" xfId="4" applyNumberFormat="1" applyFont="1" applyBorder="1" applyAlignment="1">
      <alignment horizontal="center" vertical="center" wrapText="1"/>
    </xf>
    <xf numFmtId="3" fontId="9" fillId="0" borderId="12" xfId="4" applyNumberFormat="1" applyFont="1" applyBorder="1" applyAlignment="1" applyProtection="1">
      <alignment horizontal="center" vertical="center" wrapText="1"/>
      <protection locked="0"/>
    </xf>
    <xf numFmtId="1" fontId="9" fillId="0" borderId="12" xfId="4" applyNumberFormat="1" applyFont="1" applyBorder="1" applyAlignment="1" applyProtection="1">
      <alignment horizontal="center" vertical="center" wrapText="1"/>
      <protection locked="0"/>
    </xf>
    <xf numFmtId="1" fontId="7" fillId="0" borderId="1" xfId="3" applyNumberFormat="1" applyFont="1" applyBorder="1" applyAlignment="1">
      <alignment horizontal="center" vertical="center"/>
    </xf>
    <xf numFmtId="3" fontId="3" fillId="0" borderId="8" xfId="4" applyNumberFormat="1" applyFont="1" applyBorder="1" applyAlignment="1">
      <alignment horizontal="center" vertical="center" wrapText="1"/>
    </xf>
    <xf numFmtId="0" fontId="7" fillId="0" borderId="1" xfId="3" applyFont="1" applyBorder="1" applyAlignment="1">
      <alignment horizontal="center" vertical="center"/>
    </xf>
    <xf numFmtId="14" fontId="7" fillId="0" borderId="1" xfId="3" applyNumberFormat="1" applyFont="1" applyBorder="1" applyAlignment="1">
      <alignment horizontal="center" vertical="center"/>
    </xf>
    <xf numFmtId="1" fontId="1" fillId="0" borderId="48" xfId="3" applyNumberFormat="1" applyBorder="1" applyAlignment="1">
      <alignment horizontal="center" vertical="center"/>
    </xf>
    <xf numFmtId="0" fontId="1" fillId="0" borderId="48" xfId="3" applyBorder="1" applyAlignment="1">
      <alignment horizontal="center" vertical="center"/>
    </xf>
    <xf numFmtId="0" fontId="3" fillId="16" borderId="1" xfId="2" applyFont="1" applyFill="1" applyBorder="1" applyAlignment="1">
      <alignment horizontal="center" vertical="center" wrapText="1"/>
    </xf>
    <xf numFmtId="0" fontId="3" fillId="20" borderId="1" xfId="4" applyFont="1" applyFill="1" applyBorder="1" applyAlignment="1">
      <alignment horizontal="center" vertical="center" wrapText="1"/>
    </xf>
    <xf numFmtId="0" fontId="3" fillId="20" borderId="1" xfId="4" applyFont="1" applyFill="1" applyBorder="1" applyAlignment="1">
      <alignment vertical="center" wrapText="1"/>
    </xf>
    <xf numFmtId="4" fontId="3" fillId="20" borderId="1" xfId="4" applyNumberFormat="1" applyFont="1" applyFill="1" applyBorder="1" applyAlignment="1">
      <alignment horizontal="center" vertical="center" wrapText="1"/>
    </xf>
    <xf numFmtId="165" fontId="3" fillId="20" borderId="1" xfId="4" applyNumberFormat="1" applyFont="1" applyFill="1" applyBorder="1" applyAlignment="1">
      <alignment horizontal="center" vertical="center" wrapText="1"/>
    </xf>
    <xf numFmtId="3" fontId="3" fillId="20" borderId="1" xfId="4" applyNumberFormat="1" applyFont="1" applyFill="1" applyBorder="1" applyAlignment="1">
      <alignment horizontal="center" vertical="center" wrapText="1"/>
    </xf>
    <xf numFmtId="14" fontId="3" fillId="20" borderId="1" xfId="4" applyNumberFormat="1" applyFont="1" applyFill="1" applyBorder="1" applyAlignment="1">
      <alignment horizontal="center" vertical="center" wrapText="1"/>
    </xf>
    <xf numFmtId="3" fontId="3" fillId="20" borderId="1" xfId="4" applyNumberFormat="1" applyFont="1" applyFill="1" applyBorder="1" applyAlignment="1" applyProtection="1">
      <alignment horizontal="center" vertical="center" wrapText="1"/>
      <protection locked="0"/>
    </xf>
    <xf numFmtId="1" fontId="3" fillId="9" borderId="1" xfId="4" applyNumberFormat="1" applyFont="1" applyFill="1" applyBorder="1" applyAlignment="1" applyProtection="1">
      <alignment horizontal="center" vertical="center" wrapText="1"/>
      <protection locked="0"/>
    </xf>
    <xf numFmtId="4" fontId="3" fillId="9" borderId="1" xfId="4" applyNumberFormat="1" applyFont="1" applyFill="1" applyBorder="1" applyAlignment="1">
      <alignment horizontal="center" vertical="center" wrapText="1"/>
    </xf>
    <xf numFmtId="1" fontId="3" fillId="9" borderId="1" xfId="4" applyNumberFormat="1" applyFont="1" applyFill="1" applyBorder="1" applyAlignment="1">
      <alignment horizontal="center" vertical="top" wrapText="1"/>
    </xf>
    <xf numFmtId="10" fontId="3" fillId="20" borderId="1" xfId="4" applyNumberFormat="1" applyFont="1" applyFill="1" applyBorder="1" applyAlignment="1">
      <alignment horizontal="center" vertical="center" wrapText="1"/>
    </xf>
    <xf numFmtId="0" fontId="3" fillId="0" borderId="23" xfId="2" applyFont="1" applyBorder="1" applyAlignment="1">
      <alignment horizontal="center" vertical="center" wrapText="1"/>
    </xf>
    <xf numFmtId="0" fontId="3" fillId="29" borderId="4" xfId="2" applyFont="1" applyFill="1" applyBorder="1" applyAlignment="1">
      <alignment horizontal="center" vertical="center" wrapText="1"/>
    </xf>
    <xf numFmtId="0" fontId="3" fillId="32" borderId="4" xfId="4" applyFont="1" applyFill="1" applyBorder="1" applyAlignment="1">
      <alignment horizontal="center" vertical="center" wrapText="1"/>
    </xf>
    <xf numFmtId="0" fontId="3" fillId="32" borderId="4" xfId="4" applyFont="1" applyFill="1" applyBorder="1" applyAlignment="1">
      <alignment vertical="center" wrapText="1"/>
    </xf>
    <xf numFmtId="0" fontId="3" fillId="17" borderId="4" xfId="4" applyFont="1" applyFill="1" applyBorder="1" applyAlignment="1">
      <alignment horizontal="center" vertical="center" wrapText="1"/>
    </xf>
    <xf numFmtId="3" fontId="3" fillId="32" borderId="4" xfId="4" applyNumberFormat="1" applyFont="1" applyFill="1" applyBorder="1" applyAlignment="1">
      <alignment horizontal="center" vertical="center" wrapText="1"/>
    </xf>
    <xf numFmtId="4" fontId="3" fillId="32" borderId="4" xfId="4" applyNumberFormat="1" applyFont="1" applyFill="1" applyBorder="1" applyAlignment="1">
      <alignment horizontal="center" vertical="center" wrapText="1"/>
    </xf>
    <xf numFmtId="165" fontId="3" fillId="32" borderId="4" xfId="4" applyNumberFormat="1" applyFont="1" applyFill="1" applyBorder="1" applyAlignment="1">
      <alignment horizontal="center" vertical="center" wrapText="1"/>
    </xf>
    <xf numFmtId="14" fontId="3" fillId="32" borderId="4" xfId="4" applyNumberFormat="1" applyFont="1" applyFill="1" applyBorder="1" applyAlignment="1">
      <alignment horizontal="center" vertical="center" wrapText="1"/>
    </xf>
    <xf numFmtId="3" fontId="3" fillId="32" borderId="4" xfId="4" applyNumberFormat="1" applyFont="1" applyFill="1" applyBorder="1" applyAlignment="1" applyProtection="1">
      <alignment horizontal="center" vertical="center" wrapText="1"/>
      <protection locked="0"/>
    </xf>
    <xf numFmtId="1" fontId="3" fillId="32" borderId="4" xfId="4" applyNumberFormat="1" applyFont="1" applyFill="1" applyBorder="1" applyAlignment="1" applyProtection="1">
      <alignment horizontal="center" vertical="center" wrapText="1"/>
      <protection locked="0"/>
    </xf>
    <xf numFmtId="1" fontId="3" fillId="32" borderId="4" xfId="4" applyNumberFormat="1" applyFont="1" applyFill="1" applyBorder="1" applyAlignment="1">
      <alignment horizontal="center" vertical="top" wrapText="1"/>
    </xf>
    <xf numFmtId="3" fontId="3" fillId="32" borderId="4" xfId="4" applyNumberFormat="1" applyFont="1" applyFill="1" applyBorder="1" applyAlignment="1">
      <alignment horizontal="center" vertical="top" wrapText="1"/>
    </xf>
    <xf numFmtId="10" fontId="3" fillId="32" borderId="4" xfId="4" applyNumberFormat="1" applyFont="1" applyFill="1" applyBorder="1" applyAlignment="1">
      <alignment horizontal="center" vertical="center" wrapText="1"/>
    </xf>
    <xf numFmtId="0" fontId="3" fillId="32" borderId="30" xfId="4" applyFont="1" applyFill="1" applyBorder="1" applyAlignment="1">
      <alignment horizontal="center" vertical="center" wrapText="1"/>
    </xf>
    <xf numFmtId="0" fontId="3" fillId="11" borderId="4" xfId="4" applyFont="1" applyFill="1" applyBorder="1" applyAlignment="1">
      <alignment horizontal="center" vertical="center" wrapText="1"/>
    </xf>
    <xf numFmtId="0" fontId="1" fillId="12" borderId="14" xfId="3" applyFill="1" applyBorder="1" applyAlignment="1">
      <alignment vertical="center" wrapText="1"/>
    </xf>
    <xf numFmtId="3" fontId="1" fillId="12" borderId="14" xfId="3" applyNumberFormat="1" applyFill="1" applyBorder="1" applyAlignment="1">
      <alignment horizontal="center" vertical="center" wrapText="1"/>
    </xf>
    <xf numFmtId="3" fontId="9" fillId="12" borderId="4" xfId="4" applyNumberFormat="1" applyFont="1" applyFill="1" applyBorder="1" applyAlignment="1" applyProtection="1">
      <alignment horizontal="center" vertical="center" wrapText="1"/>
      <protection locked="0"/>
    </xf>
    <xf numFmtId="1" fontId="9" fillId="12" borderId="4" xfId="4" applyNumberFormat="1" applyFont="1" applyFill="1" applyBorder="1" applyAlignment="1" applyProtection="1">
      <alignment horizontal="center" vertical="center" wrapText="1"/>
      <protection locked="0"/>
    </xf>
    <xf numFmtId="4" fontId="1" fillId="12" borderId="14" xfId="3" applyNumberFormat="1" applyFill="1" applyBorder="1" applyAlignment="1">
      <alignment horizontal="center" vertical="center" wrapText="1"/>
    </xf>
    <xf numFmtId="1" fontId="7" fillId="0" borderId="14" xfId="6" applyNumberFormat="1" applyBorder="1" applyAlignment="1">
      <alignment horizontal="center" vertical="center" wrapText="1"/>
    </xf>
    <xf numFmtId="3" fontId="3" fillId="12" borderId="14" xfId="3" applyNumberFormat="1" applyFont="1" applyFill="1" applyBorder="1" applyAlignment="1">
      <alignment horizontal="center" vertical="top" wrapText="1"/>
    </xf>
    <xf numFmtId="0" fontId="3" fillId="12" borderId="5" xfId="4" applyFont="1" applyFill="1" applyBorder="1" applyAlignment="1">
      <alignment horizontal="center" vertical="center" wrapText="1"/>
    </xf>
    <xf numFmtId="0" fontId="3" fillId="12" borderId="4" xfId="4" applyFont="1" applyFill="1" applyBorder="1" applyAlignment="1">
      <alignment horizontal="center" vertical="center" wrapText="1"/>
    </xf>
    <xf numFmtId="10" fontId="3" fillId="12" borderId="4" xfId="4" applyNumberFormat="1" applyFont="1" applyFill="1" applyBorder="1" applyAlignment="1">
      <alignment horizontal="center" vertical="center" wrapText="1"/>
    </xf>
    <xf numFmtId="0" fontId="3" fillId="12" borderId="30" xfId="4" applyFont="1" applyFill="1" applyBorder="1" applyAlignment="1">
      <alignment horizontal="center" vertical="center" wrapText="1"/>
    </xf>
    <xf numFmtId="3" fontId="1" fillId="12" borderId="1" xfId="3" applyNumberFormat="1" applyFill="1" applyBorder="1" applyAlignment="1">
      <alignment horizontal="center" vertical="center" wrapText="1"/>
    </xf>
    <xf numFmtId="3" fontId="1" fillId="12" borderId="8" xfId="3" applyNumberFormat="1" applyFill="1" applyBorder="1" applyAlignment="1">
      <alignment horizontal="center" vertical="center" wrapText="1"/>
    </xf>
    <xf numFmtId="4" fontId="3" fillId="12" borderId="19" xfId="4" applyNumberFormat="1" applyFont="1" applyFill="1" applyBorder="1" applyAlignment="1">
      <alignment horizontal="center" vertical="center" wrapText="1"/>
    </xf>
    <xf numFmtId="1" fontId="7" fillId="0" borderId="8" xfId="6" applyNumberFormat="1" applyBorder="1" applyAlignment="1">
      <alignment horizontal="center" vertical="center" wrapText="1"/>
    </xf>
    <xf numFmtId="3" fontId="1" fillId="0" borderId="8" xfId="3" applyNumberFormat="1" applyBorder="1" applyAlignment="1">
      <alignment horizontal="center" vertical="center" wrapText="1"/>
    </xf>
    <xf numFmtId="0" fontId="1" fillId="0" borderId="23" xfId="3" applyBorder="1" applyAlignment="1">
      <alignment horizontal="center" vertical="center"/>
    </xf>
    <xf numFmtId="0" fontId="1" fillId="0" borderId="23" xfId="3" applyBorder="1" applyAlignment="1">
      <alignment vertical="center" wrapText="1"/>
    </xf>
    <xf numFmtId="3" fontId="3" fillId="0" borderId="1" xfId="4" applyNumberFormat="1" applyFont="1" applyBorder="1" applyAlignment="1">
      <alignment horizontal="center" vertical="center" wrapText="1"/>
    </xf>
    <xf numFmtId="0" fontId="3" fillId="0" borderId="8" xfId="4" applyFont="1" applyBorder="1" applyAlignment="1">
      <alignment horizontal="center" vertical="center" wrapText="1"/>
    </xf>
    <xf numFmtId="0" fontId="1" fillId="0" borderId="23" xfId="3" applyBorder="1" applyAlignment="1">
      <alignment horizontal="center" vertical="center" wrapText="1"/>
    </xf>
    <xf numFmtId="3" fontId="3" fillId="0" borderId="19" xfId="4" applyNumberFormat="1" applyFont="1" applyBorder="1" applyAlignment="1">
      <alignment horizontal="center" vertical="center" wrapText="1"/>
    </xf>
    <xf numFmtId="0" fontId="3" fillId="34" borderId="3" xfId="4" applyFont="1" applyFill="1" applyBorder="1" applyAlignment="1">
      <alignment horizontal="center" vertical="center" wrapText="1"/>
    </xf>
    <xf numFmtId="0" fontId="3" fillId="26" borderId="0" xfId="3" applyFont="1" applyFill="1" applyAlignment="1">
      <alignment vertical="center" wrapText="1"/>
    </xf>
    <xf numFmtId="0" fontId="3" fillId="26" borderId="3" xfId="4" applyFont="1" applyFill="1" applyBorder="1" applyAlignment="1">
      <alignment horizontal="center" vertical="center" wrapText="1"/>
    </xf>
    <xf numFmtId="3" fontId="18" fillId="26" borderId="3" xfId="3" applyNumberFormat="1" applyFont="1" applyFill="1" applyBorder="1" applyAlignment="1">
      <alignment horizontal="center" vertical="center" wrapText="1"/>
    </xf>
    <xf numFmtId="4" fontId="3" fillId="26" borderId="4" xfId="4" applyNumberFormat="1" applyFont="1" applyFill="1" applyBorder="1" applyAlignment="1">
      <alignment horizontal="center" vertical="center" wrapText="1"/>
    </xf>
    <xf numFmtId="165" fontId="3" fillId="26" borderId="3" xfId="4" applyNumberFormat="1" applyFont="1" applyFill="1" applyBorder="1" applyAlignment="1">
      <alignment horizontal="center" vertical="center" wrapText="1"/>
    </xf>
    <xf numFmtId="4" fontId="3" fillId="26" borderId="3" xfId="3" applyNumberFormat="1" applyFont="1" applyFill="1" applyBorder="1" applyAlignment="1">
      <alignment horizontal="center" vertical="center" wrapText="1"/>
    </xf>
    <xf numFmtId="0" fontId="1" fillId="26" borderId="3" xfId="3" applyFill="1" applyBorder="1" applyAlignment="1">
      <alignment horizontal="center" vertical="center" wrapText="1"/>
    </xf>
    <xf numFmtId="3" fontId="9" fillId="26" borderId="3" xfId="4" applyNumberFormat="1" applyFont="1" applyFill="1" applyBorder="1" applyAlignment="1" applyProtection="1">
      <alignment horizontal="center" vertical="center" wrapText="1"/>
      <protection locked="0"/>
    </xf>
    <xf numFmtId="1" fontId="9" fillId="26" borderId="3" xfId="4" applyNumberFormat="1" applyFont="1" applyFill="1" applyBorder="1" applyAlignment="1" applyProtection="1">
      <alignment horizontal="center" vertical="center" wrapText="1"/>
      <protection locked="0"/>
    </xf>
    <xf numFmtId="4" fontId="1" fillId="26" borderId="3" xfId="3" applyNumberFormat="1" applyFill="1" applyBorder="1" applyAlignment="1">
      <alignment horizontal="center" vertical="center" wrapText="1"/>
    </xf>
    <xf numFmtId="1" fontId="7" fillId="26" borderId="3" xfId="6" applyNumberFormat="1" applyFill="1" applyBorder="1" applyAlignment="1">
      <alignment horizontal="center" vertical="center" wrapText="1"/>
    </xf>
    <xf numFmtId="3" fontId="3" fillId="26" borderId="3" xfId="3" applyNumberFormat="1" applyFont="1" applyFill="1" applyBorder="1" applyAlignment="1">
      <alignment horizontal="center" vertical="top" wrapText="1"/>
    </xf>
    <xf numFmtId="10" fontId="3" fillId="26" borderId="3" xfId="4" applyNumberFormat="1" applyFont="1" applyFill="1" applyBorder="1" applyAlignment="1">
      <alignment horizontal="center" vertical="center" wrapText="1"/>
    </xf>
    <xf numFmtId="0" fontId="3" fillId="26" borderId="22" xfId="4" applyFont="1" applyFill="1" applyBorder="1" applyAlignment="1">
      <alignment horizontal="center" vertical="center" wrapText="1"/>
    </xf>
    <xf numFmtId="0" fontId="3" fillId="8" borderId="4" xfId="4" applyFont="1" applyFill="1" applyBorder="1" applyAlignment="1">
      <alignment horizontal="center" vertical="center" wrapText="1"/>
    </xf>
    <xf numFmtId="4" fontId="3" fillId="8" borderId="4" xfId="4" applyNumberFormat="1" applyFont="1" applyFill="1" applyBorder="1" applyAlignment="1">
      <alignment horizontal="center" vertical="center" wrapText="1"/>
    </xf>
    <xf numFmtId="3" fontId="3" fillId="8" borderId="4" xfId="4" applyNumberFormat="1" applyFont="1" applyFill="1" applyBorder="1" applyAlignment="1">
      <alignment horizontal="center" vertical="center" wrapText="1"/>
    </xf>
    <xf numFmtId="1" fontId="3" fillId="8" borderId="4" xfId="4" applyNumberFormat="1" applyFont="1" applyFill="1" applyBorder="1" applyAlignment="1">
      <alignment horizontal="center" vertical="center" wrapText="1"/>
    </xf>
    <xf numFmtId="4" fontId="3" fillId="8" borderId="43" xfId="4" applyNumberFormat="1" applyFont="1" applyFill="1" applyBorder="1" applyAlignment="1">
      <alignment horizontal="center" vertical="center" wrapText="1"/>
    </xf>
    <xf numFmtId="1" fontId="3" fillId="8" borderId="14" xfId="4" applyNumberFormat="1" applyFont="1" applyFill="1" applyBorder="1" applyAlignment="1">
      <alignment horizontal="center" vertical="top" wrapText="1"/>
    </xf>
    <xf numFmtId="3" fontId="3" fillId="8" borderId="14" xfId="4" applyNumberFormat="1" applyFont="1" applyFill="1" applyBorder="1" applyAlignment="1">
      <alignment horizontal="center" vertical="top" wrapText="1"/>
    </xf>
    <xf numFmtId="0" fontId="3" fillId="8" borderId="5" xfId="4" applyFont="1" applyFill="1" applyBorder="1" applyAlignment="1">
      <alignment horizontal="center" vertical="center" wrapText="1"/>
    </xf>
    <xf numFmtId="10" fontId="3" fillId="8" borderId="4" xfId="4" applyNumberFormat="1" applyFont="1" applyFill="1" applyBorder="1" applyAlignment="1">
      <alignment horizontal="center" vertical="center" wrapText="1"/>
    </xf>
    <xf numFmtId="0" fontId="3" fillId="27" borderId="3" xfId="4" applyFont="1" applyFill="1" applyBorder="1" applyAlignment="1">
      <alignment horizontal="center" vertical="center" wrapText="1"/>
    </xf>
    <xf numFmtId="0" fontId="3" fillId="27" borderId="1" xfId="3" applyFont="1" applyFill="1" applyBorder="1" applyAlignment="1">
      <alignment vertical="center" wrapText="1"/>
    </xf>
    <xf numFmtId="0" fontId="3" fillId="17" borderId="3" xfId="4" applyFont="1" applyFill="1" applyBorder="1" applyAlignment="1">
      <alignment horizontal="center" vertical="center" wrapText="1"/>
    </xf>
    <xf numFmtId="4" fontId="1" fillId="27" borderId="1" xfId="3" applyNumberFormat="1" applyFill="1" applyBorder="1" applyAlignment="1">
      <alignment horizontal="center" vertical="center" wrapText="1"/>
    </xf>
    <xf numFmtId="4" fontId="3" fillId="27" borderId="1" xfId="3" applyNumberFormat="1" applyFont="1" applyFill="1" applyBorder="1" applyAlignment="1">
      <alignment horizontal="center" vertical="center" wrapText="1"/>
    </xf>
    <xf numFmtId="165" fontId="3" fillId="27" borderId="12" xfId="4" applyNumberFormat="1" applyFont="1" applyFill="1" applyBorder="1" applyAlignment="1">
      <alignment horizontal="center" vertical="center" wrapText="1"/>
    </xf>
    <xf numFmtId="4" fontId="3" fillId="27" borderId="8" xfId="3" applyNumberFormat="1" applyFont="1" applyFill="1" applyBorder="1" applyAlignment="1">
      <alignment horizontal="center" vertical="center" wrapText="1"/>
    </xf>
    <xf numFmtId="0" fontId="1" fillId="27" borderId="1" xfId="3" applyFill="1" applyBorder="1" applyAlignment="1">
      <alignment horizontal="center" vertical="center" wrapText="1"/>
    </xf>
    <xf numFmtId="3" fontId="3" fillId="17" borderId="3" xfId="4" applyNumberFormat="1" applyFont="1" applyFill="1" applyBorder="1" applyAlignment="1">
      <alignment horizontal="center" vertical="center" wrapText="1"/>
    </xf>
    <xf numFmtId="14" fontId="3" fillId="17" borderId="3" xfId="4" applyNumberFormat="1" applyFont="1" applyFill="1" applyBorder="1" applyAlignment="1">
      <alignment horizontal="center" vertical="center" wrapText="1"/>
    </xf>
    <xf numFmtId="3" fontId="3" fillId="27" borderId="3" xfId="4" applyNumberFormat="1" applyFont="1" applyFill="1" applyBorder="1" applyAlignment="1" applyProtection="1">
      <alignment horizontal="center" vertical="center" wrapText="1"/>
      <protection locked="0"/>
    </xf>
    <xf numFmtId="1" fontId="3" fillId="27" borderId="3" xfId="4" applyNumberFormat="1" applyFont="1" applyFill="1" applyBorder="1" applyAlignment="1" applyProtection="1">
      <alignment horizontal="center" vertical="center" wrapText="1"/>
      <protection locked="0"/>
    </xf>
    <xf numFmtId="1" fontId="1" fillId="27" borderId="1" xfId="3" applyNumberFormat="1" applyFill="1" applyBorder="1" applyAlignment="1">
      <alignment horizontal="center" vertical="center" wrapText="1"/>
    </xf>
    <xf numFmtId="3" fontId="3" fillId="27" borderId="1" xfId="3" applyNumberFormat="1" applyFont="1" applyFill="1" applyBorder="1" applyAlignment="1">
      <alignment horizontal="center" vertical="center" wrapText="1"/>
    </xf>
    <xf numFmtId="0" fontId="3" fillId="27" borderId="2" xfId="4" applyFont="1" applyFill="1" applyBorder="1" applyAlignment="1">
      <alignment horizontal="center" vertical="center" wrapText="1"/>
    </xf>
    <xf numFmtId="10" fontId="3" fillId="27" borderId="3" xfId="4" applyNumberFormat="1" applyFont="1" applyFill="1" applyBorder="1" applyAlignment="1">
      <alignment horizontal="center" vertical="center" wrapText="1"/>
    </xf>
    <xf numFmtId="0" fontId="3" fillId="27" borderId="22" xfId="4" applyFont="1" applyFill="1" applyBorder="1" applyAlignment="1">
      <alignment horizontal="center" vertical="center" wrapText="1"/>
    </xf>
    <xf numFmtId="14" fontId="3" fillId="15" borderId="3" xfId="4" applyNumberFormat="1" applyFont="1" applyFill="1" applyBorder="1" applyAlignment="1">
      <alignment horizontal="center" vertical="center" wrapText="1"/>
    </xf>
    <xf numFmtId="14" fontId="22" fillId="15" borderId="3" xfId="4" applyNumberFormat="1" applyFont="1" applyFill="1" applyBorder="1" applyAlignment="1">
      <alignment horizontal="center" vertical="center" wrapText="1"/>
    </xf>
    <xf numFmtId="3" fontId="22" fillId="15" borderId="3" xfId="4" applyNumberFormat="1" applyFont="1" applyFill="1" applyBorder="1" applyAlignment="1">
      <alignment horizontal="center" vertical="center" wrapText="1"/>
    </xf>
    <xf numFmtId="1" fontId="22" fillId="15" borderId="3" xfId="4" applyNumberFormat="1" applyFont="1" applyFill="1" applyBorder="1" applyAlignment="1">
      <alignment horizontal="center" vertical="center" wrapText="1"/>
    </xf>
    <xf numFmtId="1" fontId="1" fillId="26" borderId="1" xfId="3" applyNumberFormat="1" applyFill="1" applyBorder="1" applyAlignment="1">
      <alignment horizontal="center" vertical="center" wrapText="1"/>
    </xf>
    <xf numFmtId="0" fontId="1" fillId="26" borderId="1" xfId="3" applyFill="1" applyBorder="1" applyAlignment="1">
      <alignment horizontal="center" vertical="center" wrapText="1"/>
    </xf>
    <xf numFmtId="0" fontId="1" fillId="26" borderId="1" xfId="3" applyFill="1" applyBorder="1" applyAlignment="1">
      <alignment horizontal="center" vertical="center"/>
    </xf>
    <xf numFmtId="0" fontId="3" fillId="15" borderId="3" xfId="4" applyFont="1" applyFill="1" applyBorder="1" applyAlignment="1">
      <alignment horizontal="center" vertical="center" wrapText="1"/>
    </xf>
    <xf numFmtId="0" fontId="3" fillId="29" borderId="3" xfId="4" applyFont="1" applyFill="1" applyBorder="1" applyAlignment="1">
      <alignment horizontal="center" vertical="center" wrapText="1"/>
    </xf>
    <xf numFmtId="0" fontId="3" fillId="18" borderId="3" xfId="4" applyFont="1" applyFill="1" applyBorder="1" applyAlignment="1">
      <alignment vertical="center" wrapText="1"/>
    </xf>
    <xf numFmtId="0" fontId="3" fillId="18" borderId="3" xfId="4" applyFont="1" applyFill="1" applyBorder="1" applyAlignment="1">
      <alignment horizontal="center" vertical="center" wrapText="1"/>
    </xf>
    <xf numFmtId="4" fontId="3" fillId="18" borderId="3" xfId="4" applyNumberFormat="1" applyFont="1" applyFill="1" applyBorder="1" applyAlignment="1">
      <alignment horizontal="center" vertical="center" wrapText="1"/>
    </xf>
    <xf numFmtId="3" fontId="3" fillId="18" borderId="3" xfId="4" applyNumberFormat="1" applyFont="1" applyFill="1" applyBorder="1" applyAlignment="1">
      <alignment horizontal="center" vertical="center" wrapText="1"/>
    </xf>
    <xf numFmtId="14" fontId="3" fillId="18" borderId="3" xfId="4" applyNumberFormat="1" applyFont="1" applyFill="1" applyBorder="1" applyAlignment="1">
      <alignment horizontal="center" vertical="center" wrapText="1"/>
    </xf>
    <xf numFmtId="1" fontId="3" fillId="18" borderId="3" xfId="4" applyNumberFormat="1" applyFont="1" applyFill="1" applyBorder="1" applyAlignment="1">
      <alignment horizontal="center" vertical="center" wrapText="1"/>
    </xf>
    <xf numFmtId="4" fontId="3" fillId="17" borderId="9" xfId="4" applyNumberFormat="1" applyFont="1" applyFill="1" applyBorder="1" applyAlignment="1">
      <alignment horizontal="center" vertical="center" wrapText="1"/>
    </xf>
    <xf numFmtId="1" fontId="3" fillId="17" borderId="1" xfId="4" applyNumberFormat="1" applyFont="1" applyFill="1" applyBorder="1" applyAlignment="1">
      <alignment horizontal="center" vertical="top" wrapText="1"/>
    </xf>
    <xf numFmtId="3" fontId="3" fillId="17" borderId="1" xfId="4" applyNumberFormat="1" applyFont="1" applyFill="1" applyBorder="1" applyAlignment="1">
      <alignment horizontal="center" vertical="top" wrapText="1"/>
    </xf>
    <xf numFmtId="10" fontId="3" fillId="18" borderId="3" xfId="4" applyNumberFormat="1" applyFont="1" applyFill="1" applyBorder="1" applyAlignment="1">
      <alignment horizontal="center" vertical="center" wrapText="1"/>
    </xf>
    <xf numFmtId="0" fontId="3" fillId="18" borderId="22" xfId="4" applyFont="1" applyFill="1" applyBorder="1" applyAlignment="1">
      <alignment horizontal="center" vertical="center" wrapText="1"/>
    </xf>
    <xf numFmtId="4" fontId="3" fillId="15" borderId="3" xfId="4" applyNumberFormat="1" applyFont="1" applyFill="1" applyBorder="1" applyAlignment="1">
      <alignment horizontal="center" vertical="center" wrapText="1"/>
    </xf>
    <xf numFmtId="0" fontId="3" fillId="17" borderId="3" xfId="4" applyFont="1" applyFill="1" applyBorder="1" applyAlignment="1">
      <alignment vertical="center" wrapText="1"/>
    </xf>
    <xf numFmtId="0" fontId="3" fillId="29" borderId="3" xfId="2" applyFont="1" applyFill="1" applyBorder="1" applyAlignment="1">
      <alignment horizontal="center" vertical="center" wrapText="1"/>
    </xf>
    <xf numFmtId="0" fontId="3" fillId="27" borderId="12" xfId="2" applyFont="1" applyFill="1" applyBorder="1" applyAlignment="1">
      <alignment horizontal="center" vertical="center" wrapText="1"/>
    </xf>
    <xf numFmtId="0" fontId="3" fillId="10" borderId="3" xfId="4" applyFont="1" applyFill="1" applyBorder="1" applyAlignment="1">
      <alignment horizontal="center" vertical="center" wrapText="1"/>
    </xf>
    <xf numFmtId="0" fontId="3" fillId="27" borderId="49" xfId="4" applyFont="1" applyFill="1" applyBorder="1" applyAlignment="1">
      <alignment vertical="center" wrapText="1"/>
    </xf>
    <xf numFmtId="4" fontId="3" fillId="10" borderId="3" xfId="4" applyNumberFormat="1" applyFont="1" applyFill="1" applyBorder="1" applyAlignment="1">
      <alignment horizontal="center" vertical="center" wrapText="1"/>
    </xf>
    <xf numFmtId="3" fontId="3" fillId="10" borderId="3" xfId="4" applyNumberFormat="1" applyFont="1" applyFill="1" applyBorder="1" applyAlignment="1">
      <alignment horizontal="center" vertical="center" wrapText="1"/>
    </xf>
    <xf numFmtId="3" fontId="3" fillId="27" borderId="3" xfId="4" applyNumberFormat="1" applyFont="1" applyFill="1" applyBorder="1" applyAlignment="1">
      <alignment horizontal="center" vertical="center" wrapText="1"/>
    </xf>
    <xf numFmtId="1" fontId="3" fillId="27" borderId="3" xfId="4" applyNumberFormat="1" applyFont="1" applyFill="1" applyBorder="1" applyAlignment="1">
      <alignment horizontal="center" vertical="center" wrapText="1"/>
    </xf>
    <xf numFmtId="4" fontId="3" fillId="27" borderId="9" xfId="4" applyNumberFormat="1" applyFont="1" applyFill="1" applyBorder="1" applyAlignment="1">
      <alignment horizontal="center" vertical="center" wrapText="1"/>
    </xf>
    <xf numFmtId="1" fontId="3" fillId="27" borderId="1" xfId="4" applyNumberFormat="1" applyFont="1" applyFill="1" applyBorder="1" applyAlignment="1">
      <alignment horizontal="center" vertical="top" wrapText="1"/>
    </xf>
    <xf numFmtId="3" fontId="3" fillId="27" borderId="1" xfId="4" applyNumberFormat="1" applyFont="1" applyFill="1" applyBorder="1" applyAlignment="1">
      <alignment horizontal="center" vertical="top" wrapText="1"/>
    </xf>
    <xf numFmtId="0" fontId="3" fillId="10" borderId="2" xfId="4" applyFont="1" applyFill="1" applyBorder="1" applyAlignment="1">
      <alignment horizontal="center" vertical="center" wrapText="1"/>
    </xf>
    <xf numFmtId="10" fontId="3" fillId="10" borderId="3" xfId="4" applyNumberFormat="1" applyFont="1" applyFill="1" applyBorder="1" applyAlignment="1">
      <alignment horizontal="center" vertical="center" wrapText="1"/>
    </xf>
    <xf numFmtId="0" fontId="3" fillId="10" borderId="22" xfId="4" applyFont="1" applyFill="1" applyBorder="1" applyAlignment="1">
      <alignment horizontal="center" vertical="center" wrapText="1"/>
    </xf>
    <xf numFmtId="0" fontId="3" fillId="15" borderId="3" xfId="4" applyFont="1" applyFill="1" applyBorder="1" applyAlignment="1">
      <alignment vertical="center" wrapText="1"/>
    </xf>
    <xf numFmtId="3" fontId="3" fillId="15" borderId="3" xfId="4" applyNumberFormat="1" applyFont="1" applyFill="1" applyBorder="1" applyAlignment="1">
      <alignment horizontal="center" vertical="center" wrapText="1"/>
    </xf>
    <xf numFmtId="4" fontId="3" fillId="15" borderId="9" xfId="4" applyNumberFormat="1" applyFont="1" applyFill="1" applyBorder="1" applyAlignment="1">
      <alignment horizontal="center" vertical="center" wrapText="1"/>
    </xf>
    <xf numFmtId="3" fontId="3" fillId="15" borderId="1" xfId="4" applyNumberFormat="1" applyFont="1" applyFill="1" applyBorder="1" applyAlignment="1">
      <alignment horizontal="center" vertical="top" wrapText="1"/>
    </xf>
    <xf numFmtId="0" fontId="3" fillId="15" borderId="2" xfId="4" applyFont="1" applyFill="1" applyBorder="1" applyAlignment="1">
      <alignment horizontal="center" vertical="center" wrapText="1"/>
    </xf>
    <xf numFmtId="10" fontId="3" fillId="15" borderId="3" xfId="4" applyNumberFormat="1" applyFont="1" applyFill="1" applyBorder="1" applyAlignment="1">
      <alignment horizontal="center" vertical="center" wrapText="1"/>
    </xf>
    <xf numFmtId="0" fontId="3" fillId="15" borderId="22" xfId="4" applyFont="1" applyFill="1" applyBorder="1" applyAlignment="1">
      <alignment horizontal="center" vertical="center" wrapText="1"/>
    </xf>
    <xf numFmtId="0" fontId="3" fillId="31" borderId="3" xfId="4" applyFont="1" applyFill="1" applyBorder="1" applyAlignment="1">
      <alignment vertical="center" wrapText="1"/>
    </xf>
    <xf numFmtId="0" fontId="3" fillId="17" borderId="12" xfId="2" applyFont="1" applyFill="1" applyBorder="1" applyAlignment="1">
      <alignment horizontal="center" vertical="center" wrapText="1"/>
    </xf>
    <xf numFmtId="1" fontId="3" fillId="23" borderId="3" xfId="4" applyNumberFormat="1" applyFont="1" applyFill="1" applyBorder="1" applyAlignment="1">
      <alignment horizontal="center" vertical="center" wrapText="1"/>
    </xf>
    <xf numFmtId="0" fontId="3" fillId="23" borderId="2" xfId="4" applyFont="1" applyFill="1" applyBorder="1" applyAlignment="1">
      <alignment horizontal="center" vertical="center" wrapText="1"/>
    </xf>
    <xf numFmtId="0" fontId="3" fillId="0" borderId="49" xfId="4" applyFont="1" applyBorder="1" applyAlignment="1">
      <alignment vertical="center" wrapText="1"/>
    </xf>
    <xf numFmtId="1" fontId="3" fillId="0" borderId="3" xfId="4" applyNumberFormat="1" applyFont="1" applyBorder="1" applyAlignment="1">
      <alignment horizontal="center" vertical="center" wrapText="1"/>
    </xf>
    <xf numFmtId="0" fontId="3" fillId="15" borderId="3" xfId="4" applyFont="1" applyFill="1" applyBorder="1" applyAlignment="1">
      <alignment horizontal="center" wrapText="1"/>
    </xf>
    <xf numFmtId="0" fontId="3" fillId="35" borderId="3" xfId="4" applyFont="1" applyFill="1" applyBorder="1" applyAlignment="1">
      <alignment horizontal="center" vertical="center" wrapText="1"/>
    </xf>
    <xf numFmtId="0" fontId="3" fillId="16" borderId="12" xfId="4" applyFont="1" applyFill="1" applyBorder="1" applyAlignment="1">
      <alignment horizontal="center" wrapText="1"/>
    </xf>
    <xf numFmtId="0" fontId="3" fillId="16" borderId="3" xfId="4" applyFont="1" applyFill="1" applyBorder="1" applyAlignment="1">
      <alignment vertical="center" wrapText="1"/>
    </xf>
    <xf numFmtId="4" fontId="3" fillId="16" borderId="3" xfId="4" applyNumberFormat="1" applyFont="1" applyFill="1" applyBorder="1" applyAlignment="1">
      <alignment horizontal="center" vertical="center" wrapText="1"/>
    </xf>
    <xf numFmtId="0" fontId="3" fillId="31" borderId="3" xfId="4" applyFont="1" applyFill="1" applyBorder="1" applyAlignment="1">
      <alignment horizontal="center" vertical="center" wrapText="1"/>
    </xf>
    <xf numFmtId="3" fontId="3" fillId="16" borderId="3" xfId="4" applyNumberFormat="1" applyFont="1" applyFill="1" applyBorder="1" applyAlignment="1">
      <alignment horizontal="center" vertical="center" wrapText="1"/>
    </xf>
    <xf numFmtId="14" fontId="3" fillId="16" borderId="3" xfId="4" applyNumberFormat="1" applyFont="1" applyFill="1" applyBorder="1" applyAlignment="1">
      <alignment horizontal="center" vertical="center" wrapText="1"/>
    </xf>
    <xf numFmtId="1" fontId="3" fillId="16" borderId="3" xfId="4" applyNumberFormat="1" applyFont="1" applyFill="1" applyBorder="1" applyAlignment="1">
      <alignment horizontal="center" vertical="center" wrapText="1"/>
    </xf>
    <xf numFmtId="4" fontId="3" fillId="16" borderId="9" xfId="4" applyNumberFormat="1" applyFont="1" applyFill="1" applyBorder="1" applyAlignment="1">
      <alignment horizontal="center" vertical="center" wrapText="1"/>
    </xf>
    <xf numFmtId="1" fontId="3" fillId="16" borderId="1" xfId="4" applyNumberFormat="1" applyFont="1" applyFill="1" applyBorder="1" applyAlignment="1">
      <alignment horizontal="center" vertical="top" wrapText="1"/>
    </xf>
    <xf numFmtId="3" fontId="3" fillId="16" borderId="1" xfId="4" applyNumberFormat="1" applyFont="1" applyFill="1" applyBorder="1" applyAlignment="1">
      <alignment horizontal="center" vertical="top" wrapText="1"/>
    </xf>
    <xf numFmtId="0" fontId="3" fillId="16" borderId="2" xfId="4" applyFont="1" applyFill="1" applyBorder="1" applyAlignment="1">
      <alignment horizontal="center" vertical="center" wrapText="1"/>
    </xf>
    <xf numFmtId="10" fontId="3" fillId="16" borderId="3" xfId="4" applyNumberFormat="1" applyFont="1" applyFill="1" applyBorder="1" applyAlignment="1">
      <alignment horizontal="center" vertical="center" wrapText="1"/>
    </xf>
    <xf numFmtId="0" fontId="3" fillId="16" borderId="22" xfId="4" applyFont="1" applyFill="1" applyBorder="1" applyAlignment="1">
      <alignment horizontal="center" vertical="center" wrapText="1"/>
    </xf>
    <xf numFmtId="0" fontId="3" fillId="0" borderId="0" xfId="2" applyFont="1"/>
    <xf numFmtId="0" fontId="3" fillId="26" borderId="12" xfId="2" applyFont="1" applyFill="1" applyBorder="1" applyAlignment="1">
      <alignment horizontal="center" vertical="center" wrapText="1"/>
    </xf>
    <xf numFmtId="1" fontId="3" fillId="33" borderId="1" xfId="4" applyNumberFormat="1" applyFont="1" applyFill="1" applyBorder="1" applyAlignment="1">
      <alignment horizontal="center" vertical="top" wrapText="1"/>
    </xf>
    <xf numFmtId="3" fontId="3" fillId="33" borderId="1" xfId="4" applyNumberFormat="1" applyFont="1" applyFill="1" applyBorder="1" applyAlignment="1">
      <alignment horizontal="center" vertical="top" wrapText="1"/>
    </xf>
    <xf numFmtId="0" fontId="3" fillId="0" borderId="50" xfId="3" applyFont="1" applyBorder="1" applyAlignment="1">
      <alignment vertical="center" wrapText="1"/>
    </xf>
    <xf numFmtId="4" fontId="3" fillId="0" borderId="0" xfId="3" applyNumberFormat="1" applyFont="1" applyAlignment="1">
      <alignment horizontal="center" vertical="center"/>
    </xf>
    <xf numFmtId="1" fontId="3" fillId="0" borderId="1" xfId="3" applyNumberFormat="1" applyFont="1" applyBorder="1" applyAlignment="1">
      <alignment horizontal="center" vertical="top"/>
    </xf>
    <xf numFmtId="0" fontId="3" fillId="9" borderId="3" xfId="4" applyFont="1" applyFill="1" applyBorder="1" applyAlignment="1">
      <alignment vertical="center" wrapText="1"/>
    </xf>
    <xf numFmtId="0" fontId="3" fillId="9" borderId="3" xfId="4" applyFont="1" applyFill="1" applyBorder="1" applyAlignment="1">
      <alignment horizontal="center" vertical="center" wrapText="1"/>
    </xf>
    <xf numFmtId="0" fontId="3" fillId="31" borderId="12" xfId="4" applyFont="1" applyFill="1" applyBorder="1" applyAlignment="1">
      <alignment horizontal="center" vertical="center" wrapText="1"/>
    </xf>
    <xf numFmtId="0" fontId="9" fillId="27" borderId="1" xfId="3" applyFont="1" applyFill="1" applyBorder="1" applyAlignment="1">
      <alignment vertical="center" wrapText="1"/>
    </xf>
    <xf numFmtId="4" fontId="3" fillId="9" borderId="3" xfId="4" applyNumberFormat="1" applyFont="1" applyFill="1" applyBorder="1" applyAlignment="1">
      <alignment horizontal="center" vertical="center" wrapText="1"/>
    </xf>
    <xf numFmtId="0" fontId="3" fillId="24" borderId="12" xfId="4" applyFont="1" applyFill="1" applyBorder="1" applyAlignment="1">
      <alignment vertical="center" wrapText="1"/>
    </xf>
    <xf numFmtId="0" fontId="3" fillId="24" borderId="12" xfId="4" applyFont="1" applyFill="1" applyBorder="1" applyAlignment="1">
      <alignment horizontal="center" vertical="center" wrapText="1"/>
    </xf>
    <xf numFmtId="0" fontId="9" fillId="17" borderId="1" xfId="3" applyFont="1" applyFill="1" applyBorder="1" applyAlignment="1">
      <alignment vertical="center" wrapText="1"/>
    </xf>
    <xf numFmtId="4" fontId="9" fillId="17" borderId="23" xfId="3" applyNumberFormat="1" applyFont="1" applyFill="1" applyBorder="1" applyAlignment="1">
      <alignment horizontal="center" vertical="center" wrapText="1"/>
    </xf>
    <xf numFmtId="3" fontId="3" fillId="23" borderId="12" xfId="4" applyNumberFormat="1" applyFont="1" applyFill="1" applyBorder="1" applyAlignment="1">
      <alignment horizontal="center" vertical="center" wrapText="1"/>
    </xf>
    <xf numFmtId="14" fontId="3" fillId="23" borderId="12" xfId="4" applyNumberFormat="1" applyFont="1" applyFill="1" applyBorder="1" applyAlignment="1">
      <alignment horizontal="center" vertical="center" wrapText="1"/>
    </xf>
    <xf numFmtId="1" fontId="3" fillId="23" borderId="12" xfId="4" applyNumberFormat="1" applyFont="1" applyFill="1" applyBorder="1" applyAlignment="1">
      <alignment horizontal="center" vertical="center" wrapText="1"/>
    </xf>
    <xf numFmtId="4" fontId="3" fillId="17" borderId="38" xfId="3" applyNumberFormat="1" applyFont="1" applyFill="1" applyBorder="1" applyAlignment="1">
      <alignment horizontal="center" vertical="center" wrapText="1"/>
    </xf>
    <xf numFmtId="3" fontId="3" fillId="17" borderId="1" xfId="3" applyNumberFormat="1" applyFont="1" applyFill="1" applyBorder="1" applyAlignment="1">
      <alignment horizontal="center" vertical="top" wrapText="1"/>
    </xf>
    <xf numFmtId="0" fontId="3" fillId="23" borderId="7" xfId="4" applyFont="1" applyFill="1" applyBorder="1" applyAlignment="1">
      <alignment horizontal="center" vertical="center" wrapText="1"/>
    </xf>
    <xf numFmtId="0" fontId="3" fillId="23" borderId="12" xfId="4" applyFont="1" applyFill="1" applyBorder="1" applyAlignment="1">
      <alignment horizontal="center" vertical="center" wrapText="1"/>
    </xf>
    <xf numFmtId="10" fontId="3" fillId="23" borderId="12" xfId="4" applyNumberFormat="1" applyFont="1" applyFill="1" applyBorder="1" applyAlignment="1">
      <alignment horizontal="center" vertical="center" wrapText="1"/>
    </xf>
    <xf numFmtId="0" fontId="3" fillId="23" borderId="47" xfId="4" applyFont="1" applyFill="1" applyBorder="1" applyAlignment="1">
      <alignment horizontal="center" vertical="center" wrapText="1"/>
    </xf>
    <xf numFmtId="0" fontId="3" fillId="0" borderId="23" xfId="3" applyFont="1" applyBorder="1" applyAlignment="1">
      <alignment horizontal="center" vertical="center" wrapText="1"/>
    </xf>
    <xf numFmtId="0" fontId="3" fillId="0" borderId="23" xfId="6" applyFont="1" applyBorder="1" applyAlignment="1">
      <alignment wrapText="1"/>
    </xf>
    <xf numFmtId="0" fontId="3" fillId="0" borderId="23" xfId="3" applyFont="1" applyBorder="1" applyAlignment="1">
      <alignment horizontal="center" vertical="center"/>
    </xf>
    <xf numFmtId="4" fontId="3" fillId="0" borderId="23" xfId="3" applyNumberFormat="1" applyFont="1" applyBorder="1" applyAlignment="1">
      <alignment horizontal="center" vertical="center"/>
    </xf>
    <xf numFmtId="3" fontId="3" fillId="0" borderId="23" xfId="3" applyNumberFormat="1" applyFont="1" applyBorder="1" applyAlignment="1">
      <alignment horizontal="center" vertical="center" wrapText="1"/>
    </xf>
    <xf numFmtId="3" fontId="3" fillId="0" borderId="23" xfId="3" applyNumberFormat="1" applyFont="1" applyBorder="1" applyAlignment="1">
      <alignment horizontal="center" vertical="center"/>
    </xf>
    <xf numFmtId="14" fontId="3" fillId="0" borderId="23" xfId="3" applyNumberFormat="1" applyFont="1" applyBorder="1" applyAlignment="1">
      <alignment horizontal="center" vertical="center"/>
    </xf>
    <xf numFmtId="1" fontId="3" fillId="0" borderId="23" xfId="3" applyNumberFormat="1" applyFont="1" applyBorder="1" applyAlignment="1">
      <alignment horizontal="center" vertical="center"/>
    </xf>
    <xf numFmtId="4" fontId="3" fillId="0" borderId="38" xfId="3" applyNumberFormat="1" applyFont="1" applyBorder="1" applyAlignment="1">
      <alignment horizontal="center" vertical="center"/>
    </xf>
    <xf numFmtId="0" fontId="3" fillId="0" borderId="0" xfId="3" applyFont="1" applyAlignment="1">
      <alignment vertical="center"/>
    </xf>
    <xf numFmtId="0" fontId="3" fillId="36" borderId="14" xfId="3" applyFont="1" applyFill="1" applyBorder="1" applyAlignment="1">
      <alignment horizontal="center" vertical="center"/>
    </xf>
    <xf numFmtId="0" fontId="3" fillId="36" borderId="23" xfId="3" applyFont="1" applyFill="1" applyBorder="1" applyAlignment="1">
      <alignment horizontal="center" vertical="center" wrapText="1"/>
    </xf>
    <xf numFmtId="0" fontId="3" fillId="36" borderId="29" xfId="6" applyFont="1" applyFill="1" applyBorder="1" applyAlignment="1">
      <alignment wrapText="1"/>
    </xf>
    <xf numFmtId="0" fontId="3" fillId="36" borderId="29" xfId="3" applyFont="1" applyFill="1" applyBorder="1" applyAlignment="1">
      <alignment horizontal="center" vertical="center"/>
    </xf>
    <xf numFmtId="0" fontId="3" fillId="36" borderId="29" xfId="3" applyFont="1" applyFill="1" applyBorder="1" applyAlignment="1">
      <alignment horizontal="left" vertical="center" wrapText="1"/>
    </xf>
    <xf numFmtId="0" fontId="3" fillId="36" borderId="29" xfId="3" applyFont="1" applyFill="1" applyBorder="1" applyAlignment="1">
      <alignment vertical="center" wrapText="1"/>
    </xf>
    <xf numFmtId="4" fontId="3" fillId="36" borderId="29" xfId="3" applyNumberFormat="1" applyFont="1" applyFill="1" applyBorder="1" applyAlignment="1">
      <alignment horizontal="center" vertical="center"/>
    </xf>
    <xf numFmtId="4" fontId="3" fillId="36" borderId="23" xfId="3" applyNumberFormat="1" applyFont="1" applyFill="1" applyBorder="1" applyAlignment="1">
      <alignment horizontal="center" vertical="center"/>
    </xf>
    <xf numFmtId="3" fontId="3" fillId="36" borderId="29" xfId="3" applyNumberFormat="1" applyFont="1" applyFill="1" applyBorder="1" applyAlignment="1">
      <alignment horizontal="center" vertical="center"/>
    </xf>
    <xf numFmtId="3" fontId="3" fillId="36" borderId="29" xfId="3" applyNumberFormat="1" applyFont="1" applyFill="1" applyBorder="1" applyAlignment="1">
      <alignment horizontal="center" vertical="center" wrapText="1"/>
    </xf>
    <xf numFmtId="14" fontId="3" fillId="36" borderId="29" xfId="3" applyNumberFormat="1" applyFont="1" applyFill="1" applyBorder="1" applyAlignment="1">
      <alignment horizontal="center" vertical="center"/>
    </xf>
    <xf numFmtId="1" fontId="3" fillId="36" borderId="29" xfId="3" applyNumberFormat="1" applyFont="1" applyFill="1" applyBorder="1" applyAlignment="1">
      <alignment horizontal="center" vertical="center"/>
    </xf>
    <xf numFmtId="3" fontId="3" fillId="36" borderId="26" xfId="3" applyNumberFormat="1" applyFont="1" applyFill="1" applyBorder="1" applyAlignment="1">
      <alignment horizontal="center" vertical="top"/>
    </xf>
    <xf numFmtId="3" fontId="3" fillId="36" borderId="1" xfId="3" applyNumberFormat="1" applyFont="1" applyFill="1" applyBorder="1" applyAlignment="1">
      <alignment horizontal="center" vertical="top"/>
    </xf>
    <xf numFmtId="0" fontId="3" fillId="36" borderId="29" xfId="3" applyFont="1" applyFill="1" applyBorder="1" applyAlignment="1">
      <alignment horizontal="center" vertical="center" wrapText="1"/>
    </xf>
    <xf numFmtId="0" fontId="3" fillId="36" borderId="0" xfId="3" applyFont="1" applyFill="1" applyAlignment="1">
      <alignment vertical="center"/>
    </xf>
    <xf numFmtId="0" fontId="3" fillId="0" borderId="14" xfId="3" applyFont="1" applyBorder="1" applyAlignment="1">
      <alignment horizontal="center" vertical="center"/>
    </xf>
    <xf numFmtId="0" fontId="3" fillId="0" borderId="29" xfId="6" applyFont="1" applyBorder="1" applyAlignment="1">
      <alignment wrapText="1"/>
    </xf>
    <xf numFmtId="0" fontId="3" fillId="0" borderId="29" xfId="3" applyFont="1" applyBorder="1" applyAlignment="1">
      <alignment horizontal="center" vertical="center"/>
    </xf>
    <xf numFmtId="0" fontId="3" fillId="0" borderId="29" xfId="3" applyFont="1" applyBorder="1" applyAlignment="1">
      <alignment vertical="center"/>
    </xf>
    <xf numFmtId="4" fontId="3" fillId="0" borderId="29" xfId="3" applyNumberFormat="1" applyFont="1" applyBorder="1" applyAlignment="1">
      <alignment horizontal="center" vertical="center"/>
    </xf>
    <xf numFmtId="3" fontId="3" fillId="0" borderId="29" xfId="3" applyNumberFormat="1" applyFont="1" applyBorder="1" applyAlignment="1">
      <alignment horizontal="center" vertical="center" wrapText="1"/>
    </xf>
    <xf numFmtId="3" fontId="3" fillId="0" borderId="29" xfId="3" applyNumberFormat="1" applyFont="1" applyBorder="1" applyAlignment="1">
      <alignment horizontal="center" vertical="center"/>
    </xf>
    <xf numFmtId="14" fontId="3" fillId="0" borderId="29" xfId="3" applyNumberFormat="1" applyFont="1" applyBorder="1" applyAlignment="1">
      <alignment horizontal="center" vertical="center"/>
    </xf>
    <xf numFmtId="1" fontId="3" fillId="0" borderId="29" xfId="3" applyNumberFormat="1" applyFont="1" applyBorder="1" applyAlignment="1">
      <alignment horizontal="center" vertical="center"/>
    </xf>
    <xf numFmtId="4" fontId="3" fillId="0" borderId="26" xfId="3" applyNumberFormat="1" applyFont="1" applyBorder="1" applyAlignment="1">
      <alignment horizontal="center" vertical="center"/>
    </xf>
    <xf numFmtId="10" fontId="3" fillId="0" borderId="29" xfId="3" applyNumberFormat="1" applyFont="1" applyBorder="1" applyAlignment="1">
      <alignment horizontal="center" vertical="center"/>
    </xf>
    <xf numFmtId="0" fontId="3" fillId="0" borderId="29" xfId="3" applyFont="1" applyBorder="1" applyAlignment="1">
      <alignment horizontal="center" vertical="center" wrapText="1"/>
    </xf>
    <xf numFmtId="9" fontId="3" fillId="0" borderId="29" xfId="3" applyNumberFormat="1" applyFont="1" applyBorder="1" applyAlignment="1">
      <alignment horizontal="center" vertical="center"/>
    </xf>
    <xf numFmtId="0" fontId="3" fillId="0" borderId="23" xfId="3" applyFont="1" applyBorder="1" applyAlignment="1">
      <alignment vertical="center" wrapText="1"/>
    </xf>
    <xf numFmtId="0" fontId="3" fillId="0" borderId="1" xfId="6" applyFont="1" applyBorder="1" applyAlignment="1">
      <alignment wrapText="1"/>
    </xf>
    <xf numFmtId="0" fontId="3" fillId="0" borderId="1" xfId="3" applyFont="1" applyBorder="1" applyAlignment="1">
      <alignment vertical="center"/>
    </xf>
    <xf numFmtId="14" fontId="3" fillId="0" borderId="1" xfId="3" applyNumberFormat="1" applyFont="1" applyBorder="1" applyAlignment="1">
      <alignment horizontal="center" vertical="center"/>
    </xf>
    <xf numFmtId="1" fontId="3" fillId="0" borderId="1" xfId="3" applyNumberFormat="1" applyFont="1" applyBorder="1" applyAlignment="1">
      <alignment horizontal="center" vertical="center"/>
    </xf>
    <xf numFmtId="4" fontId="3" fillId="0" borderId="46" xfId="3" applyNumberFormat="1" applyFont="1" applyBorder="1" applyAlignment="1">
      <alignment horizontal="center" vertical="center"/>
    </xf>
    <xf numFmtId="49" fontId="3" fillId="0" borderId="1" xfId="3" applyNumberFormat="1" applyFont="1" applyBorder="1" applyAlignment="1">
      <alignment horizontal="center" vertical="center"/>
    </xf>
    <xf numFmtId="3" fontId="3" fillId="37" borderId="1" xfId="3" applyNumberFormat="1" applyFont="1" applyFill="1" applyBorder="1" applyAlignment="1">
      <alignment horizontal="center" vertical="center"/>
    </xf>
    <xf numFmtId="14" fontId="3" fillId="37" borderId="1" xfId="3" applyNumberFormat="1" applyFont="1" applyFill="1" applyBorder="1" applyAlignment="1">
      <alignment horizontal="center" vertical="center"/>
    </xf>
    <xf numFmtId="0" fontId="3" fillId="12" borderId="23" xfId="3" applyFont="1" applyFill="1" applyBorder="1" applyAlignment="1">
      <alignment horizontal="center" vertical="center" wrapText="1"/>
    </xf>
    <xf numFmtId="0" fontId="1" fillId="0" borderId="0" xfId="3"/>
    <xf numFmtId="0" fontId="24" fillId="0" borderId="1" xfId="3" applyFont="1" applyBorder="1" applyAlignment="1">
      <alignment horizontal="center" vertical="center"/>
    </xf>
    <xf numFmtId="4" fontId="25" fillId="0" borderId="23" xfId="3" applyNumberFormat="1" applyFont="1" applyBorder="1" applyAlignment="1">
      <alignment horizontal="center" vertical="center" wrapText="1"/>
    </xf>
    <xf numFmtId="0" fontId="24" fillId="0" borderId="1" xfId="3" applyFont="1" applyBorder="1" applyAlignment="1">
      <alignment horizontal="center" vertical="center" wrapText="1"/>
    </xf>
    <xf numFmtId="0" fontId="26" fillId="0" borderId="23" xfId="3" applyFont="1" applyBorder="1" applyAlignment="1">
      <alignment horizontal="center" vertical="center"/>
    </xf>
    <xf numFmtId="14" fontId="24" fillId="0" borderId="1" xfId="3" applyNumberFormat="1" applyFont="1" applyBorder="1" applyAlignment="1">
      <alignment horizontal="center" vertical="center"/>
    </xf>
    <xf numFmtId="4" fontId="24" fillId="0" borderId="46" xfId="3" applyNumberFormat="1" applyFont="1" applyBorder="1" applyAlignment="1">
      <alignment horizontal="center" vertical="center"/>
    </xf>
    <xf numFmtId="1" fontId="24" fillId="0" borderId="1" xfId="3" applyNumberFormat="1" applyFont="1" applyBorder="1" applyAlignment="1">
      <alignment horizontal="center" vertical="center"/>
    </xf>
    <xf numFmtId="4" fontId="24" fillId="0" borderId="1" xfId="3" applyNumberFormat="1" applyFont="1" applyBorder="1" applyAlignment="1">
      <alignment horizontal="center" vertical="center"/>
    </xf>
    <xf numFmtId="0" fontId="24" fillId="0" borderId="23" xfId="3" applyFont="1" applyBorder="1" applyAlignment="1">
      <alignment horizontal="center" vertical="center"/>
    </xf>
    <xf numFmtId="49" fontId="24" fillId="0" borderId="1" xfId="3" applyNumberFormat="1" applyFont="1" applyBorder="1" applyAlignment="1">
      <alignment horizontal="center" vertical="center"/>
    </xf>
    <xf numFmtId="0" fontId="3" fillId="0" borderId="32" xfId="3" applyFont="1" applyBorder="1" applyAlignment="1">
      <alignment vertical="center" wrapText="1"/>
    </xf>
    <xf numFmtId="0" fontId="3" fillId="33" borderId="1" xfId="2" applyFont="1" applyFill="1" applyBorder="1" applyAlignment="1">
      <alignment vertical="center" wrapText="1"/>
    </xf>
    <xf numFmtId="3" fontId="3" fillId="8" borderId="1" xfId="2" applyNumberFormat="1" applyFont="1" applyFill="1" applyBorder="1" applyAlignment="1">
      <alignment horizontal="center" vertical="center" wrapText="1"/>
    </xf>
    <xf numFmtId="10" fontId="3" fillId="8" borderId="1" xfId="2" applyNumberFormat="1" applyFont="1" applyFill="1" applyBorder="1" applyAlignment="1">
      <alignment horizontal="center" vertical="center" wrapText="1"/>
    </xf>
    <xf numFmtId="0" fontId="3" fillId="8" borderId="1" xfId="2" applyFont="1" applyFill="1" applyBorder="1" applyAlignment="1">
      <alignment horizontal="center" vertical="top" wrapText="1"/>
    </xf>
    <xf numFmtId="0" fontId="3" fillId="20" borderId="1" xfId="2" applyFont="1" applyFill="1" applyBorder="1" applyAlignment="1">
      <alignment vertical="center" wrapText="1"/>
    </xf>
    <xf numFmtId="3" fontId="9" fillId="20" borderId="1" xfId="2" applyNumberFormat="1" applyFont="1" applyFill="1" applyBorder="1" applyAlignment="1">
      <alignment horizontal="center" vertical="center" wrapText="1"/>
    </xf>
    <xf numFmtId="3" fontId="3" fillId="20" borderId="1" xfId="2" applyNumberFormat="1" applyFont="1" applyFill="1" applyBorder="1" applyAlignment="1">
      <alignment horizontal="center" vertical="center" wrapText="1"/>
    </xf>
    <xf numFmtId="1" fontId="3" fillId="20" borderId="1" xfId="2" applyNumberFormat="1" applyFont="1" applyFill="1" applyBorder="1" applyAlignment="1">
      <alignment horizontal="center" vertical="top" wrapText="1"/>
    </xf>
    <xf numFmtId="10" fontId="3" fillId="20" borderId="1" xfId="2" applyNumberFormat="1" applyFont="1" applyFill="1" applyBorder="1" applyAlignment="1">
      <alignment horizontal="center" vertical="center" wrapText="1"/>
    </xf>
    <xf numFmtId="0" fontId="3" fillId="0" borderId="1" xfId="3" applyFont="1" applyBorder="1" applyAlignment="1" applyProtection="1">
      <alignment horizontal="center" vertical="center" wrapText="1" readingOrder="1"/>
      <protection locked="0"/>
    </xf>
    <xf numFmtId="0" fontId="3" fillId="13" borderId="1" xfId="2" applyFont="1" applyFill="1" applyBorder="1" applyAlignment="1">
      <alignment horizontal="center" vertical="center" wrapText="1"/>
    </xf>
    <xf numFmtId="0" fontId="3" fillId="13" borderId="1" xfId="2" applyFont="1" applyFill="1" applyBorder="1" applyAlignment="1">
      <alignment vertical="center" wrapText="1"/>
    </xf>
    <xf numFmtId="4" fontId="3" fillId="13" borderId="1" xfId="2" applyNumberFormat="1" applyFont="1" applyFill="1" applyBorder="1" applyAlignment="1">
      <alignment horizontal="center" vertical="center" wrapText="1"/>
    </xf>
    <xf numFmtId="3" fontId="3" fillId="13" borderId="1" xfId="2" applyNumberFormat="1" applyFont="1" applyFill="1" applyBorder="1" applyAlignment="1">
      <alignment horizontal="center" vertical="center" wrapText="1"/>
    </xf>
    <xf numFmtId="3" fontId="3" fillId="13" borderId="1" xfId="2" applyNumberFormat="1" applyFont="1" applyFill="1" applyBorder="1" applyAlignment="1">
      <alignment horizontal="center" vertical="top" wrapText="1"/>
    </xf>
    <xf numFmtId="3" fontId="3" fillId="13" borderId="1" xfId="2" applyNumberFormat="1" applyFont="1" applyFill="1" applyBorder="1" applyAlignment="1">
      <alignment horizontal="center" vertical="top"/>
    </xf>
    <xf numFmtId="14" fontId="3" fillId="13" borderId="1" xfId="2" applyNumberFormat="1" applyFont="1" applyFill="1" applyBorder="1" applyAlignment="1">
      <alignment horizontal="center" vertical="top" wrapText="1"/>
    </xf>
    <xf numFmtId="1" fontId="3" fillId="13" borderId="1" xfId="2" applyNumberFormat="1" applyFont="1" applyFill="1" applyBorder="1" applyAlignment="1">
      <alignment horizontal="center" vertical="top" wrapText="1"/>
    </xf>
    <xf numFmtId="10" fontId="3" fillId="13" borderId="1" xfId="2" applyNumberFormat="1" applyFont="1" applyFill="1" applyBorder="1" applyAlignment="1">
      <alignment horizontal="center" vertical="center" wrapText="1"/>
    </xf>
    <xf numFmtId="0" fontId="3" fillId="13" borderId="1" xfId="2" applyFont="1" applyFill="1" applyBorder="1" applyAlignment="1">
      <alignment horizontal="center" vertical="top" wrapText="1"/>
    </xf>
    <xf numFmtId="0" fontId="3" fillId="40" borderId="1" xfId="2" applyFont="1" applyFill="1" applyBorder="1" applyAlignment="1">
      <alignment horizontal="center" vertical="center" wrapText="1"/>
    </xf>
    <xf numFmtId="0" fontId="3" fillId="40" borderId="46" xfId="2" applyFont="1" applyFill="1" applyBorder="1" applyAlignment="1">
      <alignment horizontal="center" vertical="center" wrapText="1"/>
    </xf>
    <xf numFmtId="0" fontId="3" fillId="40" borderId="0" xfId="2" applyFont="1" applyFill="1" applyAlignment="1">
      <alignment horizontal="center" vertical="center" wrapText="1"/>
    </xf>
    <xf numFmtId="0" fontId="3" fillId="40" borderId="2" xfId="2" applyFont="1" applyFill="1" applyBorder="1" applyAlignment="1">
      <alignment horizontal="center" vertical="center" wrapText="1"/>
    </xf>
    <xf numFmtId="0" fontId="3" fillId="40" borderId="3" xfId="2" applyFont="1" applyFill="1" applyBorder="1" applyAlignment="1">
      <alignment horizontal="center" vertical="center" wrapText="1"/>
    </xf>
    <xf numFmtId="0" fontId="3" fillId="41" borderId="3" xfId="2" applyFont="1" applyFill="1" applyBorder="1" applyAlignment="1">
      <alignment horizontal="center" vertical="center" wrapText="1"/>
    </xf>
    <xf numFmtId="4" fontId="3" fillId="39" borderId="1" xfId="2" applyNumberFormat="1" applyFont="1" applyFill="1" applyBorder="1" applyAlignment="1">
      <alignment horizontal="center" vertical="center" wrapText="1"/>
    </xf>
    <xf numFmtId="3" fontId="3" fillId="39" borderId="1" xfId="2" applyNumberFormat="1" applyFont="1" applyFill="1" applyBorder="1" applyAlignment="1">
      <alignment horizontal="center" vertical="center" wrapText="1"/>
    </xf>
    <xf numFmtId="14" fontId="3" fillId="39" borderId="1" xfId="2" applyNumberFormat="1" applyFont="1" applyFill="1" applyBorder="1" applyAlignment="1">
      <alignment horizontal="center" vertical="top" wrapText="1"/>
    </xf>
    <xf numFmtId="10" fontId="3" fillId="39" borderId="1" xfId="2" applyNumberFormat="1" applyFont="1" applyFill="1" applyBorder="1" applyAlignment="1">
      <alignment horizontal="center" vertical="center" wrapText="1"/>
    </xf>
    <xf numFmtId="0" fontId="3" fillId="39" borderId="1" xfId="2" applyFont="1" applyFill="1" applyBorder="1" applyAlignment="1">
      <alignment horizontal="center" vertical="top" wrapText="1"/>
    </xf>
    <xf numFmtId="0" fontId="3" fillId="41" borderId="1" xfId="2" applyFont="1" applyFill="1" applyBorder="1" applyAlignment="1">
      <alignment horizontal="center" vertical="center" wrapText="1"/>
    </xf>
    <xf numFmtId="4" fontId="3" fillId="41" borderId="1" xfId="2" applyNumberFormat="1" applyFont="1" applyFill="1" applyBorder="1" applyAlignment="1">
      <alignment horizontal="center" vertical="center" wrapText="1"/>
    </xf>
    <xf numFmtId="3" fontId="3" fillId="41" borderId="1" xfId="2" applyNumberFormat="1" applyFont="1" applyFill="1" applyBorder="1" applyAlignment="1">
      <alignment horizontal="center" vertical="center" wrapText="1"/>
    </xf>
    <xf numFmtId="3" fontId="3" fillId="41" borderId="1" xfId="2" applyNumberFormat="1" applyFont="1" applyFill="1" applyBorder="1" applyAlignment="1">
      <alignment horizontal="center" vertical="top" wrapText="1"/>
    </xf>
    <xf numFmtId="14" fontId="3" fillId="41" borderId="1" xfId="2" applyNumberFormat="1" applyFont="1" applyFill="1" applyBorder="1" applyAlignment="1">
      <alignment horizontal="center" vertical="top" wrapText="1"/>
    </xf>
    <xf numFmtId="1" fontId="3" fillId="41" borderId="1" xfId="2" applyNumberFormat="1" applyFont="1" applyFill="1" applyBorder="1" applyAlignment="1">
      <alignment horizontal="center" vertical="top" wrapText="1"/>
    </xf>
    <xf numFmtId="10" fontId="3" fillId="41" borderId="1" xfId="2" applyNumberFormat="1" applyFont="1" applyFill="1" applyBorder="1" applyAlignment="1">
      <alignment horizontal="center" vertical="center" wrapText="1"/>
    </xf>
    <xf numFmtId="0" fontId="3" fillId="20" borderId="1" xfId="2" applyFont="1" applyFill="1" applyBorder="1" applyAlignment="1">
      <alignment horizontal="center" vertical="top" wrapText="1"/>
    </xf>
    <xf numFmtId="0" fontId="3" fillId="8" borderId="1" xfId="2" applyFont="1" applyFill="1" applyBorder="1" applyAlignment="1">
      <alignment vertical="center" wrapText="1"/>
    </xf>
    <xf numFmtId="0" fontId="1" fillId="12" borderId="1" xfId="3" applyFill="1" applyBorder="1"/>
    <xf numFmtId="0" fontId="1" fillId="12" borderId="46" xfId="3" applyFill="1" applyBorder="1"/>
    <xf numFmtId="0" fontId="1" fillId="12" borderId="0" xfId="3" applyFill="1"/>
    <xf numFmtId="170" fontId="3" fillId="20" borderId="1" xfId="2" applyNumberFormat="1" applyFont="1" applyFill="1" applyBorder="1" applyAlignment="1">
      <alignment horizontal="center" vertical="center" wrapText="1"/>
    </xf>
    <xf numFmtId="0" fontId="3" fillId="17" borderId="1" xfId="2" applyFont="1" applyFill="1" applyBorder="1" applyAlignment="1">
      <alignment vertical="center" wrapText="1"/>
    </xf>
    <xf numFmtId="3" fontId="3" fillId="18" borderId="1" xfId="2" applyNumberFormat="1" applyFont="1" applyFill="1" applyBorder="1" applyAlignment="1">
      <alignment horizontal="center" vertical="center" wrapText="1"/>
    </xf>
    <xf numFmtId="3" fontId="3" fillId="18" borderId="1" xfId="2" applyNumberFormat="1" applyFont="1" applyFill="1" applyBorder="1" applyAlignment="1">
      <alignment horizontal="center" vertical="top" wrapText="1"/>
    </xf>
    <xf numFmtId="14" fontId="3" fillId="18" borderId="1" xfId="2" applyNumberFormat="1" applyFont="1" applyFill="1" applyBorder="1" applyAlignment="1">
      <alignment horizontal="center" vertical="top" wrapText="1"/>
    </xf>
    <xf numFmtId="14" fontId="3" fillId="17" borderId="1" xfId="2" applyNumberFormat="1" applyFont="1" applyFill="1" applyBorder="1" applyAlignment="1">
      <alignment horizontal="center" vertical="top" wrapText="1"/>
    </xf>
    <xf numFmtId="1" fontId="3" fillId="18" borderId="1" xfId="2" applyNumberFormat="1" applyFont="1" applyFill="1" applyBorder="1" applyAlignment="1">
      <alignment horizontal="center" vertical="top" wrapText="1"/>
    </xf>
    <xf numFmtId="10" fontId="3" fillId="18" borderId="1" xfId="2" applyNumberFormat="1" applyFont="1" applyFill="1" applyBorder="1" applyAlignment="1">
      <alignment horizontal="center" vertical="center" wrapText="1"/>
    </xf>
    <xf numFmtId="0" fontId="3" fillId="18" borderId="1" xfId="2" applyFont="1" applyFill="1" applyBorder="1" applyAlignment="1">
      <alignment horizontal="center" vertical="top" wrapText="1"/>
    </xf>
    <xf numFmtId="0" fontId="9" fillId="0" borderId="4" xfId="2" applyFont="1" applyBorder="1" applyAlignment="1">
      <alignment horizontal="center" vertical="center" wrapText="1"/>
    </xf>
    <xf numFmtId="0" fontId="9" fillId="0" borderId="3" xfId="2" applyFont="1" applyBorder="1" applyAlignment="1">
      <alignment horizontal="center" vertical="center" wrapText="1"/>
    </xf>
    <xf numFmtId="0" fontId="9" fillId="8" borderId="3" xfId="2" applyFont="1" applyFill="1" applyBorder="1" applyAlignment="1">
      <alignment horizontal="center" vertical="center" wrapText="1"/>
    </xf>
    <xf numFmtId="173" fontId="3" fillId="8" borderId="4" xfId="12" applyNumberFormat="1" applyFont="1" applyFill="1" applyBorder="1" applyAlignment="1">
      <alignment horizontal="center" vertical="center" wrapText="1"/>
    </xf>
    <xf numFmtId="3" fontId="9" fillId="8" borderId="4" xfId="2" applyNumberFormat="1" applyFont="1" applyFill="1" applyBorder="1" applyAlignment="1">
      <alignment horizontal="center" vertical="top" wrapText="1"/>
    </xf>
    <xf numFmtId="164" fontId="3" fillId="8" borderId="4" xfId="2" applyNumberFormat="1" applyFont="1" applyFill="1" applyBorder="1" applyAlignment="1">
      <alignment horizontal="center" vertical="top" wrapText="1"/>
    </xf>
    <xf numFmtId="1" fontId="3" fillId="8" borderId="4" xfId="2" applyNumberFormat="1" applyFont="1" applyFill="1" applyBorder="1" applyAlignment="1">
      <alignment horizontal="center" vertical="center" wrapText="1"/>
    </xf>
    <xf numFmtId="0" fontId="9" fillId="8" borderId="4" xfId="2" applyFont="1" applyFill="1" applyBorder="1" applyAlignment="1">
      <alignment horizontal="center" vertical="center" wrapText="1"/>
    </xf>
    <xf numFmtId="0" fontId="3" fillId="20" borderId="3" xfId="2" applyFont="1" applyFill="1" applyBorder="1" applyAlignment="1">
      <alignment horizontal="left" vertical="center" wrapText="1"/>
    </xf>
    <xf numFmtId="164" fontId="3" fillId="20" borderId="3" xfId="2" applyNumberFormat="1" applyFont="1" applyFill="1" applyBorder="1" applyAlignment="1">
      <alignment horizontal="center" vertical="top" wrapText="1"/>
    </xf>
    <xf numFmtId="1" fontId="3" fillId="20" borderId="3" xfId="2" applyNumberFormat="1" applyFont="1" applyFill="1" applyBorder="1" applyAlignment="1">
      <alignment horizontal="center" vertical="center" wrapText="1"/>
    </xf>
    <xf numFmtId="0" fontId="9" fillId="14" borderId="3" xfId="2" applyFont="1" applyFill="1" applyBorder="1" applyAlignment="1">
      <alignment horizontal="center" vertical="center" wrapText="1"/>
    </xf>
    <xf numFmtId="173" fontId="3" fillId="23" borderId="3" xfId="12" applyNumberFormat="1" applyFont="1" applyFill="1" applyBorder="1" applyAlignment="1">
      <alignment horizontal="left" vertical="center" wrapText="1"/>
    </xf>
    <xf numFmtId="3" fontId="9" fillId="23" borderId="3" xfId="2" applyNumberFormat="1" applyFont="1" applyFill="1" applyBorder="1" applyAlignment="1">
      <alignment horizontal="center" vertical="top" wrapText="1"/>
    </xf>
    <xf numFmtId="164" fontId="3" fillId="23" borderId="3" xfId="2" applyNumberFormat="1" applyFont="1" applyFill="1" applyBorder="1" applyAlignment="1">
      <alignment horizontal="center" vertical="top" wrapText="1"/>
    </xf>
    <xf numFmtId="1" fontId="3" fillId="23" borderId="3" xfId="2" applyNumberFormat="1" applyFont="1" applyFill="1" applyBorder="1" applyAlignment="1">
      <alignment horizontal="center" vertical="center" wrapText="1"/>
    </xf>
    <xf numFmtId="0" fontId="3" fillId="0" borderId="3" xfId="2" applyFont="1" applyBorder="1" applyAlignment="1">
      <alignment horizontal="left" vertical="center" wrapText="1"/>
    </xf>
    <xf numFmtId="164" fontId="3" fillId="0" borderId="3" xfId="2" applyNumberFormat="1" applyFont="1" applyBorder="1" applyAlignment="1">
      <alignment horizontal="center" vertical="top" wrapText="1"/>
    </xf>
    <xf numFmtId="1" fontId="3" fillId="0" borderId="3" xfId="2" applyNumberFormat="1" applyFont="1" applyBorder="1" applyAlignment="1">
      <alignment horizontal="center" vertical="center" wrapText="1"/>
    </xf>
    <xf numFmtId="0" fontId="3" fillId="20" borderId="12" xfId="2" applyFont="1" applyFill="1" applyBorder="1" applyAlignment="1">
      <alignment horizontal="left" vertical="center" wrapText="1"/>
    </xf>
    <xf numFmtId="164" fontId="3" fillId="20" borderId="12" xfId="2" applyNumberFormat="1" applyFont="1" applyFill="1" applyBorder="1" applyAlignment="1">
      <alignment horizontal="center" vertical="top" wrapText="1"/>
    </xf>
    <xf numFmtId="1" fontId="3" fillId="20" borderId="12" xfId="2" applyNumberFormat="1" applyFont="1" applyFill="1" applyBorder="1" applyAlignment="1">
      <alignment horizontal="center" vertical="center" wrapText="1"/>
    </xf>
    <xf numFmtId="165" fontId="3" fillId="18" borderId="1" xfId="2" applyNumberFormat="1" applyFont="1" applyFill="1" applyBorder="1" applyAlignment="1">
      <alignment horizontal="center" vertical="center" wrapText="1"/>
    </xf>
    <xf numFmtId="3" fontId="3" fillId="32" borderId="12" xfId="2" applyNumberFormat="1" applyFont="1" applyFill="1" applyBorder="1" applyAlignment="1">
      <alignment horizontal="center" vertical="top" wrapText="1"/>
    </xf>
    <xf numFmtId="164" fontId="3" fillId="17" borderId="1" xfId="2" applyNumberFormat="1" applyFont="1" applyFill="1" applyBorder="1" applyAlignment="1">
      <alignment horizontal="center" vertical="top" wrapText="1"/>
    </xf>
    <xf numFmtId="1" fontId="3" fillId="17" borderId="1" xfId="2" applyNumberFormat="1" applyFont="1" applyFill="1" applyBorder="1" applyAlignment="1">
      <alignment horizontal="center" vertical="center" wrapText="1"/>
    </xf>
    <xf numFmtId="0" fontId="3" fillId="11" borderId="0" xfId="2" applyFont="1" applyFill="1" applyAlignment="1">
      <alignment horizontal="center" vertical="center" wrapText="1"/>
    </xf>
    <xf numFmtId="4" fontId="3" fillId="11" borderId="0" xfId="2" applyNumberFormat="1" applyFont="1" applyFill="1" applyAlignment="1">
      <alignment horizontal="center" vertical="center" wrapText="1"/>
    </xf>
    <xf numFmtId="165" fontId="3" fillId="11" borderId="0" xfId="2" applyNumberFormat="1" applyFont="1" applyFill="1" applyAlignment="1">
      <alignment horizontal="center" vertical="center" wrapText="1"/>
    </xf>
    <xf numFmtId="4" fontId="3" fillId="12" borderId="0" xfId="2" applyNumberFormat="1" applyFont="1" applyFill="1" applyAlignment="1">
      <alignment horizontal="center" vertical="center" wrapText="1"/>
    </xf>
    <xf numFmtId="3" fontId="3" fillId="12" borderId="0" xfId="2" applyNumberFormat="1" applyFont="1" applyFill="1" applyAlignment="1">
      <alignment horizontal="center" vertical="top" wrapText="1"/>
    </xf>
    <xf numFmtId="14" fontId="3" fillId="11" borderId="0" xfId="2" applyNumberFormat="1" applyFont="1" applyFill="1" applyAlignment="1">
      <alignment horizontal="center" vertical="top" wrapText="1"/>
    </xf>
    <xf numFmtId="14" fontId="3" fillId="12" borderId="0" xfId="2" applyNumberFormat="1" applyFont="1" applyFill="1" applyAlignment="1">
      <alignment horizontal="center" vertical="top" wrapText="1"/>
    </xf>
    <xf numFmtId="3" fontId="3" fillId="11" borderId="0" xfId="2" applyNumberFormat="1" applyFont="1" applyFill="1" applyAlignment="1">
      <alignment horizontal="center" vertical="top" wrapText="1"/>
    </xf>
    <xf numFmtId="1" fontId="3" fillId="11" borderId="0" xfId="2" applyNumberFormat="1" applyFont="1" applyFill="1" applyAlignment="1">
      <alignment horizontal="center" vertical="top" wrapText="1"/>
    </xf>
    <xf numFmtId="1" fontId="3" fillId="12" borderId="0" xfId="2" applyNumberFormat="1" applyFont="1" applyFill="1" applyAlignment="1">
      <alignment horizontal="center" vertical="top" wrapText="1"/>
    </xf>
    <xf numFmtId="10" fontId="3" fillId="12" borderId="0" xfId="2" applyNumberFormat="1" applyFont="1" applyFill="1" applyAlignment="1">
      <alignment horizontal="center" vertical="center" wrapText="1"/>
    </xf>
    <xf numFmtId="4" fontId="3" fillId="0" borderId="0" xfId="2" applyNumberFormat="1" applyFont="1" applyAlignment="1">
      <alignment horizontal="center" vertical="center" wrapText="1"/>
    </xf>
    <xf numFmtId="165" fontId="3" fillId="0" borderId="0" xfId="2" applyNumberFormat="1" applyFont="1" applyAlignment="1">
      <alignment horizontal="center" vertical="center" wrapText="1"/>
    </xf>
    <xf numFmtId="3" fontId="9" fillId="0" borderId="0" xfId="2" applyNumberFormat="1" applyFont="1" applyAlignment="1">
      <alignment horizontal="center" vertical="top" wrapText="1"/>
    </xf>
    <xf numFmtId="3" fontId="3" fillId="0" borderId="0" xfId="2" applyNumberFormat="1" applyFont="1" applyAlignment="1">
      <alignment horizontal="center" vertical="top" wrapText="1"/>
    </xf>
    <xf numFmtId="14" fontId="3" fillId="0" borderId="0" xfId="2" applyNumberFormat="1" applyFont="1" applyAlignment="1">
      <alignment horizontal="center" vertical="top" wrapText="1"/>
    </xf>
    <xf numFmtId="1" fontId="3" fillId="0" borderId="0" xfId="2" applyNumberFormat="1" applyFont="1" applyAlignment="1">
      <alignment horizontal="center" vertical="top" wrapText="1"/>
    </xf>
    <xf numFmtId="10" fontId="3" fillId="0" borderId="0" xfId="2" applyNumberFormat="1" applyFont="1" applyAlignment="1">
      <alignment horizontal="center" vertical="center" wrapText="1"/>
    </xf>
    <xf numFmtId="0" fontId="9" fillId="38" borderId="3" xfId="2" applyFont="1" applyFill="1" applyBorder="1" applyAlignment="1">
      <alignment horizontal="center" vertical="center" wrapText="1"/>
    </xf>
    <xf numFmtId="0" fontId="9" fillId="38" borderId="2" xfId="2" applyFont="1" applyFill="1" applyBorder="1" applyAlignment="1">
      <alignment horizontal="center" vertical="center" wrapText="1"/>
    </xf>
    <xf numFmtId="0" fontId="9" fillId="38" borderId="3" xfId="2" applyFont="1" applyFill="1" applyBorder="1" applyAlignment="1">
      <alignment vertical="center" wrapText="1"/>
    </xf>
    <xf numFmtId="4" fontId="9" fillId="38" borderId="3" xfId="2" applyNumberFormat="1" applyFont="1" applyFill="1" applyBorder="1" applyAlignment="1">
      <alignment horizontal="center" vertical="center" wrapText="1"/>
    </xf>
    <xf numFmtId="165" fontId="9" fillId="38" borderId="3" xfId="2" applyNumberFormat="1" applyFont="1" applyFill="1" applyBorder="1" applyAlignment="1">
      <alignment horizontal="center" vertical="center" wrapText="1"/>
    </xf>
    <xf numFmtId="10" fontId="9" fillId="38" borderId="3" xfId="1" applyNumberFormat="1" applyFont="1" applyFill="1" applyBorder="1" applyAlignment="1">
      <alignment horizontal="center" vertical="top" wrapText="1"/>
    </xf>
    <xf numFmtId="3" fontId="3" fillId="38" borderId="3" xfId="2" applyNumberFormat="1" applyFont="1" applyFill="1" applyBorder="1" applyAlignment="1">
      <alignment horizontal="center" vertical="top" wrapText="1"/>
    </xf>
    <xf numFmtId="3" fontId="9" fillId="38" borderId="3" xfId="2" applyNumberFormat="1" applyFont="1" applyFill="1" applyBorder="1" applyAlignment="1">
      <alignment horizontal="center" vertical="top" wrapText="1"/>
    </xf>
    <xf numFmtId="14" fontId="3" fillId="38" borderId="3" xfId="2" applyNumberFormat="1" applyFont="1" applyFill="1" applyBorder="1" applyAlignment="1">
      <alignment horizontal="center" vertical="top" wrapText="1"/>
    </xf>
    <xf numFmtId="1" fontId="3" fillId="38" borderId="3" xfId="2" applyNumberFormat="1" applyFont="1" applyFill="1" applyBorder="1" applyAlignment="1">
      <alignment horizontal="center" vertical="top" wrapText="1"/>
    </xf>
    <xf numFmtId="1" fontId="9" fillId="0" borderId="3" xfId="2" applyNumberFormat="1" applyFont="1" applyBorder="1" applyAlignment="1">
      <alignment horizontal="center" vertical="center" wrapText="1"/>
    </xf>
    <xf numFmtId="3" fontId="9" fillId="0" borderId="3" xfId="2" applyNumberFormat="1" applyFont="1" applyBorder="1" applyAlignment="1">
      <alignment horizontal="center" vertical="center" wrapText="1"/>
    </xf>
    <xf numFmtId="14" fontId="9" fillId="38" borderId="3" xfId="2" applyNumberFormat="1" applyFont="1" applyFill="1" applyBorder="1" applyAlignment="1">
      <alignment horizontal="center" vertical="top" wrapText="1"/>
    </xf>
    <xf numFmtId="1" fontId="9" fillId="38" borderId="3" xfId="2" applyNumberFormat="1" applyFont="1" applyFill="1" applyBorder="1" applyAlignment="1">
      <alignment horizontal="center" vertical="top" wrapText="1"/>
    </xf>
    <xf numFmtId="10" fontId="9" fillId="0" borderId="3" xfId="2" applyNumberFormat="1" applyFont="1" applyBorder="1" applyAlignment="1">
      <alignment horizontal="center" vertical="center" wrapText="1"/>
    </xf>
    <xf numFmtId="1" fontId="9" fillId="0" borderId="3" xfId="2" applyNumberFormat="1" applyFont="1" applyBorder="1" applyAlignment="1">
      <alignment horizontal="center" vertical="top" wrapText="1"/>
    </xf>
    <xf numFmtId="0" fontId="3" fillId="0" borderId="9" xfId="2" applyFont="1" applyBorder="1" applyAlignment="1">
      <alignment horizontal="center" vertical="center" wrapText="1"/>
    </xf>
    <xf numFmtId="0" fontId="9" fillId="0" borderId="9" xfId="2" applyFont="1" applyBorder="1" applyAlignment="1">
      <alignment horizontal="center" vertical="center" wrapText="1"/>
    </xf>
    <xf numFmtId="0" fontId="9" fillId="0" borderId="0" xfId="2" applyFont="1" applyAlignment="1">
      <alignment horizontal="center" vertical="center" wrapText="1"/>
    </xf>
    <xf numFmtId="0" fontId="9" fillId="0" borderId="2" xfId="2" applyFont="1" applyBorder="1" applyAlignment="1">
      <alignment horizontal="center" vertical="center" wrapText="1"/>
    </xf>
    <xf numFmtId="0" fontId="9" fillId="0" borderId="3" xfId="2" applyFont="1" applyBorder="1" applyAlignment="1">
      <alignment horizontal="center" vertical="top" wrapText="1"/>
    </xf>
    <xf numFmtId="0" fontId="9" fillId="0" borderId="3" xfId="2" applyFont="1" applyBorder="1" applyAlignment="1">
      <alignment vertical="center" wrapText="1"/>
    </xf>
    <xf numFmtId="4" fontId="9" fillId="0" borderId="3" xfId="2" applyNumberFormat="1" applyFont="1" applyBorder="1" applyAlignment="1">
      <alignment horizontal="center" vertical="center" wrapText="1"/>
    </xf>
    <xf numFmtId="165" fontId="9" fillId="0" borderId="3" xfId="2" applyNumberFormat="1" applyFont="1" applyBorder="1" applyAlignment="1">
      <alignment horizontal="center" vertical="center" wrapText="1"/>
    </xf>
    <xf numFmtId="10" fontId="9" fillId="0" borderId="3" xfId="1" applyNumberFormat="1" applyFont="1" applyBorder="1" applyAlignment="1">
      <alignment horizontal="center" vertical="top" wrapText="1"/>
    </xf>
    <xf numFmtId="0" fontId="3" fillId="0" borderId="22" xfId="2" applyFont="1" applyBorder="1" applyAlignment="1">
      <alignment horizontal="center" vertical="top" wrapText="1"/>
    </xf>
    <xf numFmtId="4" fontId="9" fillId="14" borderId="3" xfId="2" applyNumberFormat="1" applyFont="1" applyFill="1" applyBorder="1" applyAlignment="1">
      <alignment horizontal="center" vertical="center" wrapText="1"/>
    </xf>
    <xf numFmtId="165" fontId="9" fillId="14" borderId="3" xfId="2" applyNumberFormat="1" applyFont="1" applyFill="1" applyBorder="1" applyAlignment="1">
      <alignment horizontal="center" vertical="center" wrapText="1"/>
    </xf>
    <xf numFmtId="1" fontId="9" fillId="14" borderId="3" xfId="2" applyNumberFormat="1" applyFont="1" applyFill="1" applyBorder="1" applyAlignment="1">
      <alignment horizontal="center" vertical="center" wrapText="1"/>
    </xf>
    <xf numFmtId="3" fontId="9" fillId="14" borderId="3" xfId="2" applyNumberFormat="1" applyFont="1" applyFill="1" applyBorder="1" applyAlignment="1">
      <alignment horizontal="center" vertical="center" wrapText="1"/>
    </xf>
    <xf numFmtId="0" fontId="3" fillId="14" borderId="0" xfId="2" applyFont="1" applyFill="1" applyAlignment="1">
      <alignment horizontal="center" vertical="center" wrapText="1"/>
    </xf>
    <xf numFmtId="4" fontId="3" fillId="14" borderId="0" xfId="2" applyNumberFormat="1" applyFont="1" applyFill="1" applyAlignment="1">
      <alignment horizontal="center" vertical="center" wrapText="1"/>
    </xf>
    <xf numFmtId="165" fontId="3" fillId="14" borderId="0" xfId="2" applyNumberFormat="1" applyFont="1" applyFill="1" applyAlignment="1">
      <alignment horizontal="center" vertical="center" wrapText="1"/>
    </xf>
    <xf numFmtId="14" fontId="3" fillId="14" borderId="0" xfId="2" applyNumberFormat="1" applyFont="1" applyFill="1" applyAlignment="1">
      <alignment horizontal="center" vertical="top" wrapText="1"/>
    </xf>
    <xf numFmtId="3" fontId="3" fillId="14" borderId="0" xfId="2" applyNumberFormat="1" applyFont="1" applyFill="1" applyAlignment="1">
      <alignment horizontal="center" vertical="top" wrapText="1"/>
    </xf>
    <xf numFmtId="1" fontId="3" fillId="14" borderId="0" xfId="2" applyNumberFormat="1" applyFont="1" applyFill="1" applyAlignment="1">
      <alignment horizontal="center" vertical="top" wrapText="1"/>
    </xf>
    <xf numFmtId="0" fontId="3" fillId="0" borderId="0" xfId="2" applyFont="1" applyAlignment="1">
      <alignment vertical="center" wrapText="1"/>
    </xf>
    <xf numFmtId="4" fontId="3" fillId="0" borderId="0" xfId="2" applyNumberFormat="1" applyFont="1" applyAlignment="1">
      <alignment horizontal="center" vertical="center"/>
    </xf>
    <xf numFmtId="3" fontId="3" fillId="0" borderId="0" xfId="2" applyNumberFormat="1" applyFont="1" applyAlignment="1">
      <alignment horizontal="center" vertical="top"/>
    </xf>
    <xf numFmtId="14" fontId="3" fillId="0" borderId="0" xfId="2" applyNumberFormat="1" applyFont="1" applyAlignment="1">
      <alignment horizontal="center" vertical="top"/>
    </xf>
    <xf numFmtId="1" fontId="3" fillId="0" borderId="0" xfId="2" applyNumberFormat="1" applyFont="1" applyAlignment="1">
      <alignment horizontal="center" vertical="top"/>
    </xf>
    <xf numFmtId="10" fontId="3" fillId="0" borderId="0" xfId="2" applyNumberFormat="1" applyFont="1"/>
    <xf numFmtId="0" fontId="3" fillId="0" borderId="3" xfId="2" applyFont="1" applyBorder="1" applyAlignment="1">
      <alignment horizontal="center" vertical="center"/>
    </xf>
    <xf numFmtId="0" fontId="3" fillId="0" borderId="0" xfId="2" applyFont="1" applyAlignment="1">
      <alignment horizontal="center" vertical="center"/>
    </xf>
    <xf numFmtId="4" fontId="9" fillId="0" borderId="0" xfId="2" applyNumberFormat="1" applyFont="1" applyAlignment="1">
      <alignment horizontal="center" vertical="center"/>
    </xf>
    <xf numFmtId="3" fontId="3" fillId="0" borderId="0" xfId="2" applyNumberFormat="1" applyFont="1" applyAlignment="1">
      <alignment horizontal="center" vertical="center"/>
    </xf>
    <xf numFmtId="3" fontId="3" fillId="0" borderId="0" xfId="2" applyNumberFormat="1" applyFont="1" applyAlignment="1">
      <alignment horizontal="center" vertical="center" wrapText="1"/>
    </xf>
    <xf numFmtId="14" fontId="3" fillId="0" borderId="0" xfId="2" applyNumberFormat="1" applyFont="1" applyAlignment="1">
      <alignment horizontal="center" vertical="center" wrapText="1"/>
    </xf>
    <xf numFmtId="1" fontId="3" fillId="0" borderId="0" xfId="2" applyNumberFormat="1" applyFont="1" applyAlignment="1">
      <alignment horizontal="center" vertical="center" wrapText="1"/>
    </xf>
    <xf numFmtId="0" fontId="3" fillId="0" borderId="0" xfId="2" applyFont="1" applyAlignment="1">
      <alignment horizontal="center" vertical="top" wrapText="1"/>
    </xf>
    <xf numFmtId="14" fontId="3" fillId="0" borderId="0" xfId="2" applyNumberFormat="1" applyFont="1" applyAlignment="1">
      <alignment horizontal="center" vertical="center"/>
    </xf>
    <xf numFmtId="1" fontId="3" fillId="0" borderId="0" xfId="2" applyNumberFormat="1" applyFont="1" applyAlignment="1">
      <alignment horizontal="center" vertical="center"/>
    </xf>
    <xf numFmtId="1" fontId="3" fillId="0" borderId="1" xfId="2" applyNumberFormat="1" applyFont="1" applyBorder="1" applyAlignment="1">
      <alignment horizontal="center" vertical="center"/>
    </xf>
    <xf numFmtId="10" fontId="3" fillId="0" borderId="0" xfId="2" applyNumberFormat="1" applyFont="1" applyAlignment="1">
      <alignment vertical="center"/>
    </xf>
    <xf numFmtId="0" fontId="3" fillId="0" borderId="0" xfId="2" applyFont="1" applyAlignment="1">
      <alignment vertical="top"/>
    </xf>
    <xf numFmtId="0" fontId="4" fillId="29" borderId="3" xfId="2" applyFont="1" applyFill="1" applyBorder="1" applyAlignment="1">
      <alignment horizontal="center" vertical="center" wrapText="1"/>
    </xf>
    <xf numFmtId="0" fontId="4" fillId="29" borderId="2" xfId="2" applyFont="1" applyFill="1" applyBorder="1" applyAlignment="1">
      <alignment horizontal="center" vertical="center" wrapText="1"/>
    </xf>
    <xf numFmtId="0" fontId="4" fillId="29" borderId="3" xfId="2" applyFont="1" applyFill="1" applyBorder="1" applyAlignment="1">
      <alignment vertical="center" wrapText="1"/>
    </xf>
    <xf numFmtId="3" fontId="4" fillId="29" borderId="3" xfId="2" applyNumberFormat="1" applyFont="1" applyFill="1" applyBorder="1" applyAlignment="1">
      <alignment horizontal="center" vertical="center" wrapText="1"/>
    </xf>
    <xf numFmtId="4" fontId="4" fillId="29" borderId="3" xfId="2" applyNumberFormat="1" applyFont="1" applyFill="1" applyBorder="1" applyAlignment="1">
      <alignment horizontal="center" vertical="center" wrapText="1"/>
    </xf>
    <xf numFmtId="3" fontId="4" fillId="29" borderId="3" xfId="2" applyNumberFormat="1" applyFont="1" applyFill="1" applyBorder="1" applyAlignment="1">
      <alignment horizontal="center" vertical="top" wrapText="1"/>
    </xf>
    <xf numFmtId="1" fontId="4" fillId="29" borderId="3" xfId="2" applyNumberFormat="1" applyFont="1" applyFill="1" applyBorder="1" applyAlignment="1">
      <alignment horizontal="center" vertical="top" wrapText="1"/>
    </xf>
    <xf numFmtId="10" fontId="4" fillId="29" borderId="3" xfId="2" applyNumberFormat="1" applyFont="1" applyFill="1" applyBorder="1" applyAlignment="1">
      <alignment horizontal="center" vertical="center" wrapText="1"/>
    </xf>
    <xf numFmtId="0" fontId="6" fillId="29" borderId="3" xfId="2" applyFont="1" applyFill="1" applyBorder="1" applyAlignment="1">
      <alignment horizontal="center" vertical="top" wrapText="1"/>
    </xf>
    <xf numFmtId="3" fontId="4" fillId="18" borderId="3" xfId="2" applyNumberFormat="1" applyFont="1" applyFill="1" applyBorder="1" applyAlignment="1">
      <alignment horizontal="center" vertical="top" wrapText="1"/>
    </xf>
    <xf numFmtId="14" fontId="4" fillId="18" borderId="3" xfId="2" applyNumberFormat="1" applyFont="1" applyFill="1" applyBorder="1" applyAlignment="1">
      <alignment horizontal="center" vertical="top" wrapText="1"/>
    </xf>
    <xf numFmtId="0" fontId="4" fillId="18" borderId="3" xfId="2" applyFont="1" applyFill="1" applyBorder="1" applyAlignment="1">
      <alignment horizontal="center" vertical="center" wrapText="1"/>
    </xf>
    <xf numFmtId="3" fontId="3" fillId="10" borderId="3" xfId="2" applyNumberFormat="1" applyFont="1" applyFill="1" applyBorder="1" applyAlignment="1">
      <alignment horizontal="center" vertical="top" wrapText="1"/>
    </xf>
    <xf numFmtId="14" fontId="3" fillId="10" borderId="3" xfId="2" applyNumberFormat="1" applyFont="1" applyFill="1" applyBorder="1" applyAlignment="1">
      <alignment horizontal="center" vertical="top" wrapText="1"/>
    </xf>
    <xf numFmtId="0" fontId="3" fillId="10" borderId="3" xfId="2" applyFont="1" applyFill="1" applyBorder="1" applyAlignment="1">
      <alignment horizontal="center" vertical="center" wrapText="1"/>
    </xf>
    <xf numFmtId="1" fontId="3" fillId="17" borderId="8" xfId="3" applyNumberFormat="1" applyFont="1" applyFill="1" applyBorder="1" applyAlignment="1">
      <alignment horizontal="center" vertical="top" wrapText="1"/>
    </xf>
    <xf numFmtId="3" fontId="3" fillId="17" borderId="8" xfId="3" applyNumberFormat="1" applyFont="1" applyFill="1" applyBorder="1" applyAlignment="1">
      <alignment horizontal="center" vertical="top" wrapText="1"/>
    </xf>
    <xf numFmtId="1" fontId="4" fillId="17" borderId="1" xfId="3" applyNumberFormat="1" applyFont="1" applyFill="1" applyBorder="1" applyAlignment="1">
      <alignment horizontal="center" vertical="top" wrapText="1"/>
    </xf>
    <xf numFmtId="3" fontId="4" fillId="17" borderId="1" xfId="3" applyNumberFormat="1" applyFont="1" applyFill="1" applyBorder="1" applyAlignment="1">
      <alignment horizontal="center" vertical="top" wrapText="1"/>
    </xf>
    <xf numFmtId="4" fontId="3" fillId="17" borderId="8" xfId="3" applyNumberFormat="1" applyFont="1" applyFill="1" applyBorder="1" applyAlignment="1">
      <alignment horizontal="center" vertical="top" wrapText="1"/>
    </xf>
    <xf numFmtId="0" fontId="3" fillId="0" borderId="3" xfId="3" applyFont="1" applyBorder="1" applyAlignment="1">
      <alignment horizontal="center" vertical="center"/>
    </xf>
    <xf numFmtId="0" fontId="3" fillId="20" borderId="3" xfId="4" applyFont="1" applyFill="1" applyBorder="1" applyAlignment="1">
      <alignment horizontal="center" wrapText="1"/>
    </xf>
    <xf numFmtId="0" fontId="3" fillId="14" borderId="3" xfId="4" applyFont="1" applyFill="1" applyBorder="1" applyAlignment="1">
      <alignment horizontal="center" wrapText="1"/>
    </xf>
    <xf numFmtId="0" fontId="3" fillId="11" borderId="3" xfId="4" applyFont="1" applyFill="1" applyBorder="1" applyAlignment="1">
      <alignment horizontal="center" wrapText="1"/>
    </xf>
    <xf numFmtId="0" fontId="3" fillId="14" borderId="6" xfId="4" applyFont="1" applyFill="1" applyBorder="1" applyAlignment="1">
      <alignment horizontal="center" wrapText="1"/>
    </xf>
    <xf numFmtId="0" fontId="3" fillId="0" borderId="4" xfId="4" applyFont="1" applyBorder="1" applyAlignment="1">
      <alignment horizontal="center" wrapText="1"/>
    </xf>
    <xf numFmtId="0" fontId="3" fillId="0" borderId="3" xfId="4" applyFont="1" applyBorder="1" applyAlignment="1">
      <alignment horizontal="center" wrapText="1"/>
    </xf>
    <xf numFmtId="0" fontId="3" fillId="0" borderId="6" xfId="4" applyFont="1" applyBorder="1" applyAlignment="1">
      <alignment horizontal="center" wrapText="1"/>
    </xf>
    <xf numFmtId="0" fontId="3" fillId="0" borderId="25" xfId="4" applyFont="1" applyBorder="1" applyAlignment="1">
      <alignment horizontal="center" wrapText="1"/>
    </xf>
    <xf numFmtId="0" fontId="3" fillId="0" borderId="1" xfId="3" applyFont="1" applyBorder="1" applyAlignment="1">
      <alignment horizontal="center" wrapText="1" readingOrder="1"/>
    </xf>
    <xf numFmtId="0" fontId="3" fillId="0" borderId="6" xfId="2" applyFont="1" applyBorder="1" applyAlignment="1">
      <alignment horizontal="center" wrapText="1"/>
    </xf>
    <xf numFmtId="0" fontId="3" fillId="0" borderId="39" xfId="4" applyFont="1" applyBorder="1" applyAlignment="1">
      <alignment horizontal="center" wrapText="1"/>
    </xf>
    <xf numFmtId="0" fontId="3" fillId="13" borderId="4" xfId="4" applyFont="1" applyFill="1" applyBorder="1" applyAlignment="1">
      <alignment horizontal="center" wrapText="1"/>
    </xf>
    <xf numFmtId="0" fontId="3" fillId="32" borderId="3" xfId="4" applyFont="1" applyFill="1" applyBorder="1" applyAlignment="1">
      <alignment horizontal="center" wrapText="1"/>
    </xf>
    <xf numFmtId="0" fontId="4" fillId="0" borderId="1" xfId="2" applyFont="1" applyBorder="1" applyAlignment="1">
      <alignment horizontal="center" vertical="center" wrapText="1"/>
    </xf>
    <xf numFmtId="0" fontId="4" fillId="0" borderId="1" xfId="4" applyFont="1" applyBorder="1" applyAlignment="1">
      <alignment horizontal="center" vertical="center" wrapText="1"/>
    </xf>
    <xf numFmtId="0" fontId="4" fillId="0" borderId="1" xfId="3" applyFont="1" applyBorder="1" applyAlignment="1">
      <alignment horizontal="left" vertical="center" wrapText="1" readingOrder="1"/>
    </xf>
    <xf numFmtId="0" fontId="4" fillId="0" borderId="25" xfId="4" applyFont="1" applyBorder="1" applyAlignment="1">
      <alignment horizontal="center" vertical="center" wrapText="1"/>
    </xf>
    <xf numFmtId="0" fontId="4" fillId="0" borderId="6" xfId="4" applyFont="1" applyBorder="1" applyAlignment="1">
      <alignment horizontal="center" vertical="center" wrapText="1"/>
    </xf>
    <xf numFmtId="0" fontId="4" fillId="0" borderId="1" xfId="3" applyFont="1" applyBorder="1" applyAlignment="1">
      <alignment horizontal="center" vertical="center" wrapText="1" readingOrder="1"/>
    </xf>
    <xf numFmtId="167" fontId="4" fillId="0" borderId="1" xfId="3" applyNumberFormat="1" applyFont="1" applyBorder="1" applyAlignment="1">
      <alignment horizontal="center" vertical="center" wrapText="1" readingOrder="1"/>
    </xf>
    <xf numFmtId="165" fontId="4" fillId="0" borderId="1" xfId="4" applyNumberFormat="1" applyFont="1" applyBorder="1" applyAlignment="1">
      <alignment horizontal="center" vertical="center" wrapText="1"/>
    </xf>
    <xf numFmtId="4" fontId="4" fillId="0" borderId="25" xfId="4" applyNumberFormat="1" applyFont="1" applyBorder="1" applyAlignment="1">
      <alignment horizontal="center" vertical="center" wrapText="1"/>
    </xf>
    <xf numFmtId="4" fontId="4" fillId="0" borderId="39" xfId="4" applyNumberFormat="1" applyFont="1" applyBorder="1" applyAlignment="1">
      <alignment horizontal="center" vertical="center" wrapText="1"/>
    </xf>
    <xf numFmtId="0" fontId="4" fillId="0" borderId="39" xfId="4" applyFont="1" applyBorder="1" applyAlignment="1">
      <alignment horizontal="center" wrapText="1"/>
    </xf>
    <xf numFmtId="0" fontId="27" fillId="0" borderId="1" xfId="3" applyFont="1" applyBorder="1" applyAlignment="1">
      <alignment vertical="center" wrapText="1"/>
    </xf>
    <xf numFmtId="0" fontId="4" fillId="0" borderId="3" xfId="4" applyFont="1" applyBorder="1" applyAlignment="1">
      <alignment horizontal="center" vertical="center" wrapText="1"/>
    </xf>
    <xf numFmtId="0" fontId="4" fillId="0" borderId="3" xfId="4" applyFont="1" applyBorder="1" applyAlignment="1">
      <alignment horizontal="center" wrapText="1"/>
    </xf>
    <xf numFmtId="166" fontId="4" fillId="12" borderId="1" xfId="0" applyNumberFormat="1" applyFont="1" applyFill="1" applyBorder="1" applyAlignment="1">
      <alignment horizontal="center" vertical="center" wrapText="1"/>
    </xf>
    <xf numFmtId="4" fontId="4" fillId="0" borderId="1" xfId="4" applyNumberFormat="1" applyFont="1" applyBorder="1" applyAlignment="1">
      <alignment horizontal="center" vertical="center" wrapText="1"/>
    </xf>
    <xf numFmtId="0" fontId="27" fillId="12" borderId="1" xfId="0" applyFont="1" applyFill="1" applyBorder="1" applyAlignment="1">
      <alignment horizontal="center" vertical="center" wrapText="1"/>
    </xf>
    <xf numFmtId="0" fontId="27" fillId="12" borderId="1" xfId="0" applyFont="1" applyFill="1" applyBorder="1" applyAlignment="1">
      <alignment horizontal="left" vertical="center" wrapText="1"/>
    </xf>
    <xf numFmtId="0" fontId="27" fillId="12" borderId="1" xfId="0" applyFont="1" applyFill="1" applyBorder="1" applyAlignment="1">
      <alignment vertical="center" wrapText="1"/>
    </xf>
    <xf numFmtId="3" fontId="4" fillId="0" borderId="3" xfId="4" applyNumberFormat="1" applyFont="1" applyBorder="1" applyAlignment="1">
      <alignment horizontal="center" vertical="center" wrapText="1"/>
    </xf>
    <xf numFmtId="14" fontId="4" fillId="0" borderId="3" xfId="4" applyNumberFormat="1" applyFont="1" applyBorder="1" applyAlignment="1">
      <alignment horizontal="center" vertical="center" wrapText="1"/>
    </xf>
    <xf numFmtId="3" fontId="28" fillId="0" borderId="3" xfId="4" applyNumberFormat="1" applyFont="1" applyBorder="1" applyAlignment="1" applyProtection="1">
      <alignment horizontal="center" vertical="center" wrapText="1"/>
      <protection locked="0"/>
    </xf>
    <xf numFmtId="1" fontId="28" fillId="0" borderId="3" xfId="4" applyNumberFormat="1" applyFont="1" applyBorder="1" applyAlignment="1" applyProtection="1">
      <alignment horizontal="center" vertical="center" wrapText="1"/>
      <protection locked="0"/>
    </xf>
    <xf numFmtId="0" fontId="4" fillId="0" borderId="3" xfId="2" applyFont="1" applyBorder="1" applyAlignment="1">
      <alignment horizontal="center" vertical="center" wrapText="1"/>
    </xf>
    <xf numFmtId="0" fontId="4" fillId="0" borderId="7" xfId="4" applyFont="1" applyBorder="1" applyAlignment="1">
      <alignment horizontal="center" vertical="center" wrapText="1"/>
    </xf>
    <xf numFmtId="0" fontId="4" fillId="0" borderId="12" xfId="4" applyFont="1" applyBorder="1" applyAlignment="1">
      <alignment horizontal="center" vertical="center" wrapText="1"/>
    </xf>
    <xf numFmtId="10" fontId="4" fillId="0" borderId="12" xfId="4" applyNumberFormat="1" applyFont="1" applyBorder="1" applyAlignment="1">
      <alignment horizontal="center" vertical="center" wrapText="1"/>
    </xf>
    <xf numFmtId="0" fontId="4" fillId="0" borderId="47" xfId="4" applyFont="1" applyBorder="1" applyAlignment="1">
      <alignment horizontal="center" vertical="center" wrapText="1"/>
    </xf>
    <xf numFmtId="0" fontId="4" fillId="8" borderId="4" xfId="2" applyFont="1" applyFill="1" applyBorder="1" applyAlignment="1">
      <alignment horizontal="center" vertical="center" wrapText="1"/>
    </xf>
    <xf numFmtId="0" fontId="4" fillId="20" borderId="3" xfId="2" applyFont="1" applyFill="1" applyBorder="1" applyAlignment="1">
      <alignment horizontal="center" vertical="center" wrapText="1"/>
    </xf>
    <xf numFmtId="0" fontId="4" fillId="23" borderId="3" xfId="2" applyFont="1" applyFill="1" applyBorder="1" applyAlignment="1">
      <alignment horizontal="center" vertical="center" wrapText="1"/>
    </xf>
    <xf numFmtId="0" fontId="5" fillId="26" borderId="4" xfId="3" applyFont="1" applyFill="1" applyBorder="1" applyAlignment="1">
      <alignment horizontal="center" vertical="center" wrapText="1"/>
    </xf>
    <xf numFmtId="0" fontId="3" fillId="26" borderId="4" xfId="3" applyFont="1" applyFill="1" applyBorder="1" applyAlignment="1">
      <alignment horizontal="center" vertical="center" wrapText="1"/>
    </xf>
    <xf numFmtId="0" fontId="1" fillId="26" borderId="4" xfId="3" applyFill="1" applyBorder="1" applyAlignment="1">
      <alignment horizontal="center" vertical="center"/>
    </xf>
    <xf numFmtId="4" fontId="3" fillId="26" borderId="4" xfId="3" applyNumberFormat="1" applyFont="1" applyFill="1" applyBorder="1" applyAlignment="1">
      <alignment horizontal="center" vertical="center"/>
    </xf>
    <xf numFmtId="4" fontId="1" fillId="26" borderId="4" xfId="3" applyNumberFormat="1" applyFill="1" applyBorder="1" applyAlignment="1">
      <alignment horizontal="center" vertical="center"/>
    </xf>
    <xf numFmtId="3" fontId="3" fillId="26" borderId="4" xfId="3" applyNumberFormat="1" applyFont="1" applyFill="1" applyBorder="1" applyAlignment="1">
      <alignment horizontal="center" vertical="center" wrapText="1"/>
    </xf>
    <xf numFmtId="3" fontId="3" fillId="26" borderId="4" xfId="3" applyNumberFormat="1" applyFont="1" applyFill="1" applyBorder="1" applyAlignment="1">
      <alignment horizontal="center" vertical="center"/>
    </xf>
    <xf numFmtId="10" fontId="3" fillId="26" borderId="4" xfId="3" applyNumberFormat="1" applyFont="1" applyFill="1" applyBorder="1" applyAlignment="1">
      <alignment horizontal="center" vertical="center" wrapText="1"/>
    </xf>
    <xf numFmtId="4" fontId="4" fillId="0" borderId="1" xfId="3" applyNumberFormat="1" applyFont="1" applyBorder="1" applyAlignment="1">
      <alignment horizontal="center" vertical="center"/>
    </xf>
    <xf numFmtId="3" fontId="4" fillId="0" borderId="1" xfId="3" applyNumberFormat="1" applyFont="1" applyBorder="1" applyAlignment="1">
      <alignment horizontal="center" vertical="center" wrapText="1"/>
    </xf>
    <xf numFmtId="3" fontId="4" fillId="0" borderId="1" xfId="3" applyNumberFormat="1" applyFont="1" applyBorder="1" applyAlignment="1">
      <alignment horizontal="center" vertical="center"/>
    </xf>
    <xf numFmtId="4" fontId="4" fillId="12" borderId="3" xfId="4" applyNumberFormat="1" applyFont="1" applyFill="1" applyBorder="1" applyAlignment="1">
      <alignment horizontal="center" vertical="center" wrapText="1"/>
    </xf>
    <xf numFmtId="4" fontId="4" fillId="0" borderId="3" xfId="4" applyNumberFormat="1" applyFont="1" applyBorder="1" applyAlignment="1">
      <alignment horizontal="center" vertical="center" wrapText="1"/>
    </xf>
    <xf numFmtId="4" fontId="4" fillId="12" borderId="1" xfId="4" applyNumberFormat="1" applyFont="1" applyFill="1" applyBorder="1" applyAlignment="1">
      <alignment horizontal="center" vertical="center" wrapText="1"/>
    </xf>
    <xf numFmtId="4" fontId="4" fillId="0" borderId="6" xfId="4" applyNumberFormat="1" applyFont="1" applyBorder="1" applyAlignment="1">
      <alignment horizontal="center" vertical="center" wrapText="1"/>
    </xf>
    <xf numFmtId="0" fontId="4" fillId="0" borderId="1" xfId="3" applyFont="1" applyBorder="1" applyAlignment="1">
      <alignment horizontal="center" vertical="center"/>
    </xf>
    <xf numFmtId="0" fontId="4" fillId="0" borderId="23" xfId="3" applyFont="1" applyBorder="1" applyAlignment="1">
      <alignment horizontal="center" vertical="center" wrapText="1"/>
    </xf>
    <xf numFmtId="0" fontId="4" fillId="0" borderId="1" xfId="3" applyFont="1" applyBorder="1" applyAlignment="1">
      <alignment vertical="center" wrapText="1"/>
    </xf>
    <xf numFmtId="14" fontId="4" fillId="0" borderId="1" xfId="3" applyNumberFormat="1" applyFont="1" applyBorder="1" applyAlignment="1">
      <alignment horizontal="center" vertical="center"/>
    </xf>
    <xf numFmtId="1" fontId="4" fillId="0" borderId="1" xfId="3" applyNumberFormat="1" applyFont="1" applyBorder="1" applyAlignment="1">
      <alignment horizontal="center" vertical="center"/>
    </xf>
    <xf numFmtId="4" fontId="4" fillId="0" borderId="46" xfId="3" applyNumberFormat="1" applyFont="1" applyBorder="1" applyAlignment="1">
      <alignment horizontal="center" vertical="center"/>
    </xf>
    <xf numFmtId="1" fontId="4" fillId="0" borderId="1" xfId="3" applyNumberFormat="1" applyFont="1" applyBorder="1" applyAlignment="1">
      <alignment horizontal="center" vertical="top"/>
    </xf>
    <xf numFmtId="3" fontId="4" fillId="0" borderId="1" xfId="3" applyNumberFormat="1" applyFont="1" applyBorder="1" applyAlignment="1">
      <alignment horizontal="center" vertical="top"/>
    </xf>
    <xf numFmtId="0" fontId="4" fillId="0" borderId="23" xfId="3" applyFont="1" applyBorder="1" applyAlignment="1">
      <alignment horizontal="center" vertical="center"/>
    </xf>
    <xf numFmtId="49" fontId="4" fillId="0" borderId="1" xfId="3" applyNumberFormat="1" applyFont="1" applyBorder="1" applyAlignment="1">
      <alignment horizontal="center" vertical="center"/>
    </xf>
    <xf numFmtId="0" fontId="4" fillId="0" borderId="0" xfId="2" applyFont="1" applyAlignment="1">
      <alignment horizontal="center" vertical="center" wrapText="1"/>
    </xf>
    <xf numFmtId="1" fontId="4" fillId="0" borderId="1" xfId="3" applyNumberFormat="1" applyFont="1" applyBorder="1" applyAlignment="1">
      <alignment horizontal="center" vertical="top" wrapText="1"/>
    </xf>
    <xf numFmtId="3" fontId="4" fillId="25" borderId="1" xfId="3" applyNumberFormat="1" applyFont="1" applyFill="1" applyBorder="1" applyAlignment="1">
      <alignment horizontal="center" vertical="center" wrapText="1"/>
    </xf>
    <xf numFmtId="4" fontId="4" fillId="0" borderId="23" xfId="3" applyNumberFormat="1" applyFont="1" applyBorder="1" applyAlignment="1">
      <alignment horizontal="center" vertical="center"/>
    </xf>
    <xf numFmtId="0" fontId="4" fillId="0" borderId="0" xfId="3" applyFont="1" applyAlignment="1">
      <alignment vertical="center"/>
    </xf>
    <xf numFmtId="0" fontId="4" fillId="0" borderId="1" xfId="3" applyFont="1" applyBorder="1" applyAlignment="1">
      <alignment vertical="center"/>
    </xf>
    <xf numFmtId="0" fontId="29"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6" fillId="0" borderId="1" xfId="0" applyFont="1" applyBorder="1" applyAlignment="1">
      <alignment horizontal="center" vertical="center" wrapText="1"/>
    </xf>
    <xf numFmtId="4" fontId="28" fillId="17" borderId="23" xfId="3" applyNumberFormat="1" applyFont="1" applyFill="1" applyBorder="1" applyAlignment="1">
      <alignment horizontal="center" vertical="center" wrapText="1"/>
    </xf>
    <xf numFmtId="0" fontId="1" fillId="0" borderId="19" xfId="3" applyBorder="1" applyAlignment="1">
      <alignment horizontal="center" vertical="center" wrapText="1"/>
    </xf>
    <xf numFmtId="0" fontId="29" fillId="0" borderId="14" xfId="3" applyFont="1" applyBorder="1" applyAlignment="1">
      <alignment horizontal="center" vertical="center" wrapText="1"/>
    </xf>
    <xf numFmtId="0" fontId="4" fillId="0" borderId="14" xfId="3" applyFont="1" applyBorder="1" applyAlignment="1">
      <alignment horizontal="center" vertical="center" wrapText="1"/>
    </xf>
    <xf numFmtId="0" fontId="27" fillId="0" borderId="14" xfId="3" applyFont="1" applyBorder="1" applyAlignment="1">
      <alignment horizontal="center" vertical="center"/>
    </xf>
    <xf numFmtId="4" fontId="4" fillId="0" borderId="14" xfId="3" applyNumberFormat="1" applyFont="1" applyBorder="1" applyAlignment="1">
      <alignment horizontal="center" vertical="center"/>
    </xf>
    <xf numFmtId="4" fontId="27" fillId="0" borderId="14" xfId="3" applyNumberFormat="1" applyFont="1" applyBorder="1" applyAlignment="1">
      <alignment horizontal="center" vertical="center"/>
    </xf>
    <xf numFmtId="3" fontId="4" fillId="0" borderId="14" xfId="3" applyNumberFormat="1" applyFont="1" applyBorder="1" applyAlignment="1">
      <alignment horizontal="center" vertical="center" wrapText="1"/>
    </xf>
    <xf numFmtId="14" fontId="4" fillId="0" borderId="14" xfId="3" applyNumberFormat="1" applyFont="1" applyBorder="1" applyAlignment="1">
      <alignment horizontal="center" vertical="center" wrapText="1"/>
    </xf>
    <xf numFmtId="3" fontId="4" fillId="0" borderId="14" xfId="3" applyNumberFormat="1" applyFont="1" applyBorder="1" applyAlignment="1">
      <alignment horizontal="center" vertical="center"/>
    </xf>
    <xf numFmtId="10" fontId="4" fillId="0" borderId="14" xfId="3" applyNumberFormat="1" applyFont="1" applyBorder="1" applyAlignment="1">
      <alignment horizontal="center" vertical="center" wrapText="1"/>
    </xf>
    <xf numFmtId="0" fontId="4" fillId="0" borderId="14" xfId="2" applyFont="1" applyBorder="1" applyAlignment="1">
      <alignment horizontal="center" vertical="center" wrapText="1"/>
    </xf>
    <xf numFmtId="4" fontId="4" fillId="0" borderId="1" xfId="2" applyNumberFormat="1" applyFont="1" applyBorder="1" applyAlignment="1">
      <alignment horizontal="center" vertical="center" wrapText="1"/>
    </xf>
    <xf numFmtId="4" fontId="3" fillId="14" borderId="9" xfId="2" applyNumberFormat="1" applyFont="1" applyFill="1" applyBorder="1" applyAlignment="1">
      <alignment horizontal="center" vertical="center" wrapText="1"/>
    </xf>
    <xf numFmtId="4" fontId="3" fillId="36" borderId="29" xfId="3" applyNumberFormat="1" applyFont="1" applyFill="1" applyBorder="1" applyAlignment="1">
      <alignment horizontal="center" vertical="top"/>
    </xf>
    <xf numFmtId="0" fontId="4" fillId="0" borderId="14" xfId="3" applyFont="1" applyBorder="1" applyAlignment="1">
      <alignment horizontal="center" vertical="center"/>
    </xf>
    <xf numFmtId="0" fontId="4" fillId="0" borderId="29" xfId="6" applyFont="1" applyBorder="1" applyAlignment="1">
      <alignment wrapText="1"/>
    </xf>
    <xf numFmtId="0" fontId="4" fillId="0" borderId="29" xfId="3" applyFont="1" applyBorder="1" applyAlignment="1">
      <alignment horizontal="center" vertical="center"/>
    </xf>
    <xf numFmtId="0" fontId="4" fillId="0" borderId="29" xfId="3" applyFont="1" applyBorder="1" applyAlignment="1">
      <alignment vertical="center"/>
    </xf>
    <xf numFmtId="4" fontId="4" fillId="0" borderId="29" xfId="3" applyNumberFormat="1" applyFont="1" applyBorder="1" applyAlignment="1">
      <alignment horizontal="center" vertical="center"/>
    </xf>
    <xf numFmtId="3" fontId="4" fillId="0" borderId="29" xfId="3" applyNumberFormat="1" applyFont="1" applyBorder="1" applyAlignment="1">
      <alignment horizontal="center" vertical="center" wrapText="1"/>
    </xf>
    <xf numFmtId="3" fontId="4" fillId="0" borderId="29" xfId="3" applyNumberFormat="1" applyFont="1" applyBorder="1" applyAlignment="1">
      <alignment horizontal="center" vertical="center"/>
    </xf>
    <xf numFmtId="14" fontId="4" fillId="0" borderId="29" xfId="3" applyNumberFormat="1" applyFont="1" applyBorder="1" applyAlignment="1">
      <alignment horizontal="center" vertical="center"/>
    </xf>
    <xf numFmtId="1" fontId="4" fillId="0" borderId="29" xfId="3" applyNumberFormat="1" applyFont="1" applyBorder="1" applyAlignment="1">
      <alignment horizontal="center" vertical="center"/>
    </xf>
    <xf numFmtId="4" fontId="4" fillId="0" borderId="26" xfId="3" applyNumberFormat="1" applyFont="1" applyBorder="1" applyAlignment="1">
      <alignment horizontal="center" vertical="center"/>
    </xf>
    <xf numFmtId="9" fontId="4" fillId="0" borderId="29" xfId="3" applyNumberFormat="1" applyFont="1" applyBorder="1" applyAlignment="1">
      <alignment horizontal="center" vertical="center"/>
    </xf>
    <xf numFmtId="0" fontId="4" fillId="0" borderId="29" xfId="3" applyFont="1" applyBorder="1" applyAlignment="1">
      <alignment horizontal="center" vertical="center" wrapText="1"/>
    </xf>
    <xf numFmtId="10" fontId="4" fillId="0" borderId="29" xfId="3" applyNumberFormat="1" applyFont="1" applyBorder="1" applyAlignment="1">
      <alignment horizontal="center" vertical="center"/>
    </xf>
    <xf numFmtId="0" fontId="4" fillId="0" borderId="53" xfId="3" applyFont="1" applyBorder="1" applyAlignment="1">
      <alignment horizontal="center" vertical="center" wrapText="1"/>
    </xf>
    <xf numFmtId="0" fontId="3" fillId="26" borderId="43" xfId="3" applyFont="1" applyFill="1" applyBorder="1" applyAlignment="1">
      <alignment horizontal="center" vertical="center" wrapText="1"/>
    </xf>
    <xf numFmtId="0" fontId="1" fillId="26" borderId="2" xfId="3" applyFill="1" applyBorder="1" applyAlignment="1">
      <alignment horizontal="center" vertical="center"/>
    </xf>
    <xf numFmtId="0" fontId="3" fillId="27" borderId="4" xfId="2" applyFont="1" applyFill="1" applyBorder="1" applyAlignment="1">
      <alignment vertical="center" wrapText="1"/>
    </xf>
    <xf numFmtId="0" fontId="3" fillId="27" borderId="4" xfId="2" applyFont="1" applyFill="1" applyBorder="1" applyAlignment="1">
      <alignment horizontal="center" vertical="center" wrapText="1"/>
    </xf>
    <xf numFmtId="0" fontId="30" fillId="0" borderId="52" xfId="3" applyFont="1" applyBorder="1" applyAlignment="1">
      <alignment vertical="center" wrapText="1"/>
    </xf>
    <xf numFmtId="0" fontId="1" fillId="0" borderId="52" xfId="3" applyBorder="1" applyAlignment="1">
      <alignment horizontal="center" vertical="center" wrapText="1"/>
    </xf>
    <xf numFmtId="0" fontId="5" fillId="0" borderId="52" xfId="3" applyFont="1" applyBorder="1" applyAlignment="1">
      <alignment horizontal="center" vertical="center" wrapText="1"/>
    </xf>
    <xf numFmtId="0" fontId="21" fillId="26" borderId="52" xfId="3" applyFont="1" applyFill="1" applyBorder="1" applyAlignment="1">
      <alignment vertical="center" wrapText="1"/>
    </xf>
    <xf numFmtId="0" fontId="3" fillId="26" borderId="52" xfId="2" applyFont="1" applyFill="1" applyBorder="1" applyAlignment="1">
      <alignment horizontal="center" vertical="center" wrapText="1"/>
    </xf>
    <xf numFmtId="0" fontId="1" fillId="26" borderId="52" xfId="3" applyFill="1" applyBorder="1" applyAlignment="1">
      <alignment horizontal="center" vertical="center" wrapText="1"/>
    </xf>
    <xf numFmtId="0" fontId="4" fillId="17" borderId="52" xfId="2" applyFont="1" applyFill="1" applyBorder="1" applyAlignment="1">
      <alignment horizontal="center" vertical="top" wrapText="1"/>
    </xf>
    <xf numFmtId="1" fontId="4" fillId="17" borderId="52" xfId="3" applyNumberFormat="1" applyFont="1" applyFill="1" applyBorder="1" applyAlignment="1">
      <alignment horizontal="center" vertical="top" wrapText="1"/>
    </xf>
    <xf numFmtId="4" fontId="4" fillId="17" borderId="52" xfId="2" applyNumberFormat="1" applyFont="1" applyFill="1" applyBorder="1" applyAlignment="1">
      <alignment horizontal="center" vertical="top" wrapText="1"/>
    </xf>
    <xf numFmtId="3" fontId="4" fillId="17" borderId="52" xfId="3" applyNumberFormat="1" applyFont="1" applyFill="1" applyBorder="1" applyAlignment="1">
      <alignment horizontal="center" vertical="top" wrapText="1"/>
    </xf>
    <xf numFmtId="4" fontId="4" fillId="17" borderId="52" xfId="2" applyNumberFormat="1" applyFont="1" applyFill="1" applyBorder="1" applyAlignment="1">
      <alignment horizontal="center" vertical="center" wrapText="1"/>
    </xf>
    <xf numFmtId="3" fontId="4" fillId="17" borderId="52" xfId="2" applyNumberFormat="1" applyFont="1" applyFill="1" applyBorder="1" applyAlignment="1">
      <alignment horizontal="center" vertical="top" wrapText="1"/>
    </xf>
    <xf numFmtId="1" fontId="4" fillId="17" borderId="52" xfId="2" applyNumberFormat="1" applyFont="1" applyFill="1" applyBorder="1" applyAlignment="1">
      <alignment horizontal="center" vertical="top" wrapText="1"/>
    </xf>
    <xf numFmtId="3" fontId="4" fillId="17" borderId="52" xfId="2" applyNumberFormat="1" applyFont="1" applyFill="1" applyBorder="1" applyAlignment="1">
      <alignment horizontal="center" vertical="center" wrapText="1"/>
    </xf>
    <xf numFmtId="0" fontId="4" fillId="17" borderId="52" xfId="2" applyFont="1" applyFill="1" applyBorder="1" applyAlignment="1">
      <alignment horizontal="center" vertical="center" wrapText="1"/>
    </xf>
    <xf numFmtId="10" fontId="4" fillId="17" borderId="52" xfId="2" applyNumberFormat="1" applyFont="1" applyFill="1" applyBorder="1" applyAlignment="1">
      <alignment horizontal="center" vertical="center" wrapText="1"/>
    </xf>
    <xf numFmtId="0" fontId="6" fillId="17" borderId="52" xfId="2" applyFont="1" applyFill="1" applyBorder="1" applyAlignment="1">
      <alignment horizontal="center" vertical="top" wrapText="1"/>
    </xf>
    <xf numFmtId="3" fontId="4" fillId="14" borderId="52" xfId="2" applyNumberFormat="1" applyFont="1" applyFill="1" applyBorder="1" applyAlignment="1">
      <alignment horizontal="center" vertical="top" wrapText="1"/>
    </xf>
    <xf numFmtId="14" fontId="4" fillId="14" borderId="52" xfId="2" applyNumberFormat="1" applyFont="1" applyFill="1" applyBorder="1" applyAlignment="1">
      <alignment horizontal="center" vertical="top" wrapText="1"/>
    </xf>
    <xf numFmtId="0" fontId="4" fillId="14" borderId="52" xfId="2" applyFont="1" applyFill="1" applyBorder="1" applyAlignment="1">
      <alignment horizontal="center" vertical="center" wrapText="1"/>
    </xf>
    <xf numFmtId="3" fontId="33" fillId="43" borderId="52" xfId="0" applyNumberFormat="1" applyFont="1" applyFill="1" applyBorder="1" applyAlignment="1">
      <alignment horizontal="center"/>
    </xf>
    <xf numFmtId="0" fontId="4" fillId="18" borderId="52" xfId="2" applyFont="1" applyFill="1" applyBorder="1" applyAlignment="1">
      <alignment horizontal="center" vertical="center" wrapText="1"/>
    </xf>
    <xf numFmtId="0" fontId="3" fillId="29" borderId="2" xfId="2" applyFont="1" applyFill="1" applyBorder="1" applyAlignment="1">
      <alignment horizontal="center" vertical="center" wrapText="1"/>
    </xf>
    <xf numFmtId="0" fontId="3" fillId="29" borderId="3" xfId="2" applyFont="1" applyFill="1" applyBorder="1" applyAlignment="1">
      <alignment vertical="center" wrapText="1"/>
    </xf>
    <xf numFmtId="4" fontId="3" fillId="29" borderId="3" xfId="2" applyNumberFormat="1" applyFont="1" applyFill="1" applyBorder="1" applyAlignment="1">
      <alignment horizontal="center" vertical="center" wrapText="1"/>
    </xf>
    <xf numFmtId="3" fontId="3" fillId="29" borderId="3" xfId="2" applyNumberFormat="1" applyFont="1" applyFill="1" applyBorder="1" applyAlignment="1">
      <alignment horizontal="center" vertical="center" wrapText="1"/>
    </xf>
    <xf numFmtId="3" fontId="3" fillId="29" borderId="3" xfId="2" applyNumberFormat="1" applyFont="1" applyFill="1" applyBorder="1" applyAlignment="1">
      <alignment horizontal="center" vertical="top" wrapText="1"/>
    </xf>
    <xf numFmtId="1" fontId="3" fillId="29" borderId="3" xfId="2" applyNumberFormat="1" applyFont="1" applyFill="1" applyBorder="1" applyAlignment="1">
      <alignment horizontal="center" vertical="top" wrapText="1"/>
    </xf>
    <xf numFmtId="10" fontId="3" fillId="29" borderId="3" xfId="2" applyNumberFormat="1" applyFont="1" applyFill="1" applyBorder="1" applyAlignment="1">
      <alignment horizontal="center" vertical="center" wrapText="1"/>
    </xf>
    <xf numFmtId="0" fontId="20" fillId="29" borderId="3" xfId="2" applyFont="1" applyFill="1" applyBorder="1" applyAlignment="1">
      <alignment horizontal="center" vertical="top" wrapText="1"/>
    </xf>
    <xf numFmtId="14" fontId="3" fillId="18" borderId="3" xfId="2" applyNumberFormat="1" applyFont="1" applyFill="1" applyBorder="1" applyAlignment="1">
      <alignment horizontal="center" vertical="top" wrapText="1"/>
    </xf>
    <xf numFmtId="0" fontId="20" fillId="20" borderId="4" xfId="2" applyFont="1" applyFill="1" applyBorder="1" applyAlignment="1">
      <alignment horizontal="center" vertical="top" wrapText="1"/>
    </xf>
    <xf numFmtId="0" fontId="3" fillId="15" borderId="52" xfId="2" applyFont="1" applyFill="1" applyBorder="1" applyAlignment="1">
      <alignment horizontal="center" vertical="center" wrapText="1"/>
    </xf>
    <xf numFmtId="0" fontId="3" fillId="15" borderId="52" xfId="2" applyFont="1" applyFill="1" applyBorder="1" applyAlignment="1">
      <alignment vertical="center" wrapText="1"/>
    </xf>
    <xf numFmtId="4" fontId="3" fillId="15" borderId="52" xfId="2" applyNumberFormat="1" applyFont="1" applyFill="1" applyBorder="1" applyAlignment="1">
      <alignment horizontal="center" vertical="center" wrapText="1"/>
    </xf>
    <xf numFmtId="3" fontId="3" fillId="15" borderId="52" xfId="2" applyNumberFormat="1" applyFont="1" applyFill="1" applyBorder="1" applyAlignment="1">
      <alignment horizontal="center" vertical="center" wrapText="1"/>
    </xf>
    <xf numFmtId="3" fontId="3" fillId="15" borderId="52" xfId="2" applyNumberFormat="1" applyFont="1" applyFill="1" applyBorder="1" applyAlignment="1">
      <alignment horizontal="center" vertical="top" wrapText="1"/>
    </xf>
    <xf numFmtId="3" fontId="3" fillId="16" borderId="52" xfId="2" applyNumberFormat="1" applyFont="1" applyFill="1" applyBorder="1" applyAlignment="1">
      <alignment horizontal="center" vertical="top" wrapText="1"/>
    </xf>
    <xf numFmtId="14" fontId="3" fillId="16" borderId="52" xfId="2" applyNumberFormat="1" applyFont="1" applyFill="1" applyBorder="1" applyAlignment="1">
      <alignment horizontal="center" vertical="top" wrapText="1"/>
    </xf>
    <xf numFmtId="3" fontId="3" fillId="8" borderId="52" xfId="2" applyNumberFormat="1" applyFont="1" applyFill="1" applyBorder="1" applyAlignment="1">
      <alignment horizontal="center" vertical="top" wrapText="1"/>
    </xf>
    <xf numFmtId="1" fontId="3" fillId="8" borderId="52" xfId="2" applyNumberFormat="1" applyFont="1" applyFill="1" applyBorder="1" applyAlignment="1">
      <alignment horizontal="center" vertical="top" wrapText="1"/>
    </xf>
    <xf numFmtId="3" fontId="3" fillId="8" borderId="52" xfId="2" applyNumberFormat="1" applyFont="1" applyFill="1" applyBorder="1" applyAlignment="1">
      <alignment horizontal="center" vertical="center" wrapText="1"/>
    </xf>
    <xf numFmtId="0" fontId="3" fillId="8" borderId="52" xfId="2" applyFont="1" applyFill="1" applyBorder="1" applyAlignment="1">
      <alignment horizontal="center" vertical="center" wrapText="1"/>
    </xf>
    <xf numFmtId="10" fontId="3" fillId="8" borderId="52" xfId="2" applyNumberFormat="1" applyFont="1" applyFill="1" applyBorder="1" applyAlignment="1">
      <alignment horizontal="center" vertical="center" wrapText="1"/>
    </xf>
    <xf numFmtId="0" fontId="3" fillId="12" borderId="52" xfId="2" applyFont="1" applyFill="1" applyBorder="1" applyAlignment="1">
      <alignment horizontal="center" vertical="center" wrapText="1"/>
    </xf>
    <xf numFmtId="0" fontId="3" fillId="19" borderId="52" xfId="2" applyFont="1" applyFill="1" applyBorder="1" applyAlignment="1">
      <alignment horizontal="center" vertical="center" wrapText="1"/>
    </xf>
    <xf numFmtId="0" fontId="35" fillId="0" borderId="1" xfId="2" applyFont="1" applyBorder="1" applyAlignment="1">
      <alignment horizontal="center" vertical="center" wrapText="1"/>
    </xf>
    <xf numFmtId="0" fontId="35" fillId="0" borderId="1" xfId="4" applyFont="1" applyBorder="1" applyAlignment="1">
      <alignment horizontal="center" vertical="center" wrapText="1"/>
    </xf>
    <xf numFmtId="0" fontId="35" fillId="0" borderId="1" xfId="3" applyFont="1" applyBorder="1" applyAlignment="1">
      <alignment horizontal="left" vertical="center" wrapText="1" readingOrder="1"/>
    </xf>
    <xf numFmtId="0" fontId="35" fillId="0" borderId="25" xfId="4" applyFont="1" applyBorder="1" applyAlignment="1">
      <alignment horizontal="center" vertical="center" wrapText="1"/>
    </xf>
    <xf numFmtId="0" fontId="35" fillId="0" borderId="6" xfId="4" applyFont="1" applyBorder="1" applyAlignment="1">
      <alignment horizontal="center" vertical="center" wrapText="1"/>
    </xf>
    <xf numFmtId="0" fontId="35" fillId="0" borderId="39" xfId="4" applyFont="1" applyBorder="1" applyAlignment="1">
      <alignment horizontal="center" wrapText="1"/>
    </xf>
    <xf numFmtId="0" fontId="35" fillId="0" borderId="1" xfId="3" applyFont="1" applyBorder="1" applyAlignment="1">
      <alignment horizontal="center" vertical="center" wrapText="1" readingOrder="1"/>
    </xf>
    <xf numFmtId="167" fontId="35" fillId="0" borderId="1" xfId="3" applyNumberFormat="1" applyFont="1" applyBorder="1" applyAlignment="1">
      <alignment horizontal="center" vertical="center" wrapText="1" readingOrder="1"/>
    </xf>
    <xf numFmtId="165" fontId="35" fillId="0" borderId="1" xfId="4" applyNumberFormat="1" applyFont="1" applyBorder="1" applyAlignment="1">
      <alignment horizontal="center" vertical="center" wrapText="1"/>
    </xf>
    <xf numFmtId="4" fontId="35" fillId="0" borderId="25" xfId="4" applyNumberFormat="1" applyFont="1" applyBorder="1" applyAlignment="1">
      <alignment horizontal="center" vertical="center" wrapText="1"/>
    </xf>
    <xf numFmtId="4" fontId="35" fillId="0" borderId="39" xfId="4" applyNumberFormat="1" applyFont="1" applyBorder="1" applyAlignment="1">
      <alignment horizontal="center" vertical="center" wrapText="1"/>
    </xf>
    <xf numFmtId="1" fontId="35" fillId="0" borderId="1" xfId="3" applyNumberFormat="1" applyFont="1" applyBorder="1" applyAlignment="1">
      <alignment horizontal="center" vertical="center" wrapText="1" readingOrder="1"/>
    </xf>
    <xf numFmtId="3" fontId="35" fillId="0" borderId="1" xfId="3" applyNumberFormat="1" applyFont="1" applyBorder="1" applyAlignment="1">
      <alignment horizontal="center" vertical="top"/>
    </xf>
    <xf numFmtId="10" fontId="35" fillId="0" borderId="1" xfId="4" applyNumberFormat="1" applyFont="1" applyBorder="1" applyAlignment="1">
      <alignment horizontal="center" vertical="center" wrapText="1"/>
    </xf>
    <xf numFmtId="0" fontId="35" fillId="0" borderId="0" xfId="2" applyFont="1" applyAlignment="1">
      <alignment horizontal="center" vertical="center" wrapText="1"/>
    </xf>
    <xf numFmtId="169" fontId="9" fillId="2" borderId="1" xfId="2" applyNumberFormat="1" applyFont="1" applyFill="1" applyBorder="1" applyAlignment="1">
      <alignment horizontal="center" vertical="center" wrapText="1"/>
    </xf>
    <xf numFmtId="169" fontId="3" fillId="8" borderId="3" xfId="4" applyNumberFormat="1" applyFont="1" applyFill="1" applyBorder="1" applyAlignment="1">
      <alignment horizontal="center" vertical="center" wrapText="1"/>
    </xf>
    <xf numFmtId="169" fontId="3" fillId="20" borderId="3" xfId="4" applyNumberFormat="1" applyFont="1" applyFill="1" applyBorder="1" applyAlignment="1">
      <alignment horizontal="center" vertical="center" wrapText="1"/>
    </xf>
    <xf numFmtId="169" fontId="3" fillId="0" borderId="3" xfId="2" applyNumberFormat="1" applyFont="1" applyBorder="1" applyAlignment="1">
      <alignment horizontal="center" vertical="center" wrapText="1"/>
    </xf>
    <xf numFmtId="169" fontId="3" fillId="14" borderId="3" xfId="4" applyNumberFormat="1" applyFont="1" applyFill="1" applyBorder="1" applyAlignment="1">
      <alignment horizontal="center" vertical="center" wrapText="1"/>
    </xf>
    <xf numFmtId="169" fontId="3" fillId="23" borderId="3" xfId="4" applyNumberFormat="1" applyFont="1" applyFill="1" applyBorder="1" applyAlignment="1">
      <alignment horizontal="center" vertical="center" wrapText="1"/>
    </xf>
    <xf numFmtId="169" fontId="3" fillId="11" borderId="3" xfId="4" applyNumberFormat="1" applyFont="1" applyFill="1" applyBorder="1" applyAlignment="1">
      <alignment horizontal="center" vertical="center" wrapText="1"/>
    </xf>
    <xf numFmtId="169" fontId="3" fillId="14" borderId="6" xfId="4" applyNumberFormat="1" applyFont="1" applyFill="1" applyBorder="1" applyAlignment="1">
      <alignment horizontal="center" vertical="center" wrapText="1"/>
    </xf>
    <xf numFmtId="169" fontId="3" fillId="0" borderId="4" xfId="4" applyNumberFormat="1" applyFont="1" applyBorder="1" applyAlignment="1">
      <alignment horizontal="center" vertical="center" wrapText="1"/>
    </xf>
    <xf numFmtId="169" fontId="3" fillId="0" borderId="3" xfId="4" applyNumberFormat="1" applyFont="1" applyBorder="1" applyAlignment="1">
      <alignment horizontal="center" vertical="center" wrapText="1"/>
    </xf>
    <xf numFmtId="169" fontId="3" fillId="12" borderId="3" xfId="4" applyNumberFormat="1" applyFont="1" applyFill="1" applyBorder="1" applyAlignment="1">
      <alignment horizontal="center" vertical="center" wrapText="1"/>
    </xf>
    <xf numFmtId="169" fontId="3" fillId="12" borderId="6" xfId="4" applyNumberFormat="1" applyFont="1" applyFill="1" applyBorder="1" applyAlignment="1">
      <alignment horizontal="center" vertical="center" wrapText="1"/>
    </xf>
    <xf numFmtId="169" fontId="3" fillId="0" borderId="6" xfId="4" applyNumberFormat="1" applyFont="1" applyBorder="1" applyAlignment="1">
      <alignment horizontal="center" vertical="center" wrapText="1"/>
    </xf>
    <xf numFmtId="169" fontId="3" fillId="0" borderId="6" xfId="2" applyNumberFormat="1" applyFont="1" applyBorder="1" applyAlignment="1">
      <alignment horizontal="center" vertical="center" wrapText="1"/>
    </xf>
    <xf numFmtId="169" fontId="35" fillId="0" borderId="1" xfId="2" applyNumberFormat="1" applyFont="1" applyBorder="1" applyAlignment="1">
      <alignment horizontal="center" vertical="center" wrapText="1"/>
    </xf>
    <xf numFmtId="169" fontId="3" fillId="20" borderId="4" xfId="4" applyNumberFormat="1" applyFont="1" applyFill="1" applyBorder="1" applyAlignment="1">
      <alignment horizontal="center" vertical="center" wrapText="1"/>
    </xf>
    <xf numFmtId="169" fontId="4" fillId="0" borderId="3" xfId="4" applyNumberFormat="1" applyFont="1" applyBorder="1" applyAlignment="1">
      <alignment horizontal="center" vertical="center" wrapText="1"/>
    </xf>
    <xf numFmtId="169" fontId="3" fillId="32" borderId="3" xfId="4" applyNumberFormat="1" applyFont="1" applyFill="1" applyBorder="1" applyAlignment="1">
      <alignment horizontal="center" vertical="center" wrapText="1"/>
    </xf>
    <xf numFmtId="169" fontId="3" fillId="11" borderId="4" xfId="4" applyNumberFormat="1" applyFont="1" applyFill="1" applyBorder="1" applyAlignment="1">
      <alignment horizontal="center" vertical="center" wrapText="1"/>
    </xf>
    <xf numFmtId="169" fontId="3" fillId="11" borderId="12" xfId="4" applyNumberFormat="1" applyFont="1" applyFill="1" applyBorder="1" applyAlignment="1">
      <alignment horizontal="center" vertical="center" wrapText="1"/>
    </xf>
    <xf numFmtId="169" fontId="3" fillId="0" borderId="12" xfId="4" applyNumberFormat="1" applyFont="1" applyBorder="1" applyAlignment="1">
      <alignment horizontal="center" vertical="center" wrapText="1"/>
    </xf>
    <xf numFmtId="169" fontId="3" fillId="20" borderId="1" xfId="4" applyNumberFormat="1" applyFont="1" applyFill="1" applyBorder="1" applyAlignment="1">
      <alignment horizontal="center" vertical="center" wrapText="1"/>
    </xf>
    <xf numFmtId="169" fontId="3" fillId="32" borderId="4" xfId="4" applyNumberFormat="1" applyFont="1" applyFill="1" applyBorder="1" applyAlignment="1">
      <alignment horizontal="center" vertical="center" wrapText="1"/>
    </xf>
    <xf numFmtId="169" fontId="3" fillId="17" borderId="3" xfId="4" applyNumberFormat="1" applyFont="1" applyFill="1" applyBorder="1" applyAlignment="1">
      <alignment horizontal="center" vertical="center" wrapText="1"/>
    </xf>
    <xf numFmtId="169" fontId="8" fillId="26" borderId="1" xfId="3" applyNumberFormat="1" applyFont="1" applyFill="1" applyBorder="1" applyAlignment="1">
      <alignment vertical="center" wrapText="1"/>
    </xf>
    <xf numFmtId="169" fontId="3" fillId="18" borderId="3" xfId="4" applyNumberFormat="1" applyFont="1" applyFill="1" applyBorder="1" applyAlignment="1">
      <alignment horizontal="center" vertical="center" wrapText="1"/>
    </xf>
    <xf numFmtId="169" fontId="3" fillId="15" borderId="3" xfId="4" applyNumberFormat="1" applyFont="1" applyFill="1" applyBorder="1" applyAlignment="1">
      <alignment horizontal="center" vertical="center" wrapText="1"/>
    </xf>
    <xf numFmtId="169" fontId="3" fillId="16" borderId="3" xfId="4" applyNumberFormat="1" applyFont="1" applyFill="1" applyBorder="1" applyAlignment="1">
      <alignment horizontal="center" vertical="center" wrapText="1"/>
    </xf>
    <xf numFmtId="169" fontId="3" fillId="12" borderId="1" xfId="3" applyNumberFormat="1" applyFont="1" applyFill="1" applyBorder="1" applyAlignment="1">
      <alignment horizontal="center" vertical="center" wrapText="1"/>
    </xf>
    <xf numFmtId="169" fontId="3" fillId="23" borderId="12" xfId="4" applyNumberFormat="1" applyFont="1" applyFill="1" applyBorder="1" applyAlignment="1">
      <alignment horizontal="center" vertical="center" wrapText="1"/>
    </xf>
    <xf numFmtId="169" fontId="3" fillId="0" borderId="23" xfId="3" applyNumberFormat="1" applyFont="1" applyBorder="1" applyAlignment="1">
      <alignment horizontal="center" vertical="center"/>
    </xf>
    <xf numFmtId="169" fontId="3" fillId="0" borderId="29" xfId="3" applyNumberFormat="1" applyFont="1" applyBorder="1" applyAlignment="1">
      <alignment horizontal="center" vertical="center"/>
    </xf>
    <xf numFmtId="169" fontId="3" fillId="36" borderId="29" xfId="3" applyNumberFormat="1" applyFont="1" applyFill="1" applyBorder="1" applyAlignment="1">
      <alignment horizontal="center" vertical="center"/>
    </xf>
    <xf numFmtId="169" fontId="4" fillId="0" borderId="29" xfId="3" applyNumberFormat="1" applyFont="1" applyBorder="1" applyAlignment="1">
      <alignment horizontal="center" vertical="center"/>
    </xf>
    <xf numFmtId="169" fontId="3" fillId="0" borderId="1" xfId="3" applyNumberFormat="1" applyFont="1" applyBorder="1" applyAlignment="1">
      <alignment horizontal="center" vertical="center"/>
    </xf>
    <xf numFmtId="169" fontId="3" fillId="37" borderId="1" xfId="3" applyNumberFormat="1" applyFont="1" applyFill="1" applyBorder="1" applyAlignment="1">
      <alignment horizontal="center" vertical="center"/>
    </xf>
    <xf numFmtId="169" fontId="3" fillId="12" borderId="1" xfId="3" applyNumberFormat="1" applyFont="1" applyFill="1" applyBorder="1" applyAlignment="1">
      <alignment horizontal="center" vertical="center"/>
    </xf>
    <xf numFmtId="169" fontId="4" fillId="0" borderId="1" xfId="3" applyNumberFormat="1" applyFont="1" applyBorder="1" applyAlignment="1">
      <alignment horizontal="center" vertical="center"/>
    </xf>
    <xf numFmtId="169" fontId="26" fillId="0" borderId="23" xfId="3" applyNumberFormat="1" applyFont="1" applyBorder="1" applyAlignment="1">
      <alignment horizontal="center" vertical="center"/>
    </xf>
    <xf numFmtId="169" fontId="3" fillId="12" borderId="0" xfId="2" applyNumberFormat="1" applyFont="1" applyFill="1" applyAlignment="1">
      <alignment horizontal="center" vertical="top" wrapText="1"/>
    </xf>
    <xf numFmtId="169" fontId="3" fillId="0" borderId="0" xfId="2" applyNumberFormat="1" applyFont="1" applyAlignment="1">
      <alignment horizontal="center" vertical="top" wrapText="1"/>
    </xf>
    <xf numFmtId="169" fontId="3" fillId="38" borderId="3" xfId="2" applyNumberFormat="1" applyFont="1" applyFill="1" applyBorder="1" applyAlignment="1">
      <alignment horizontal="center" vertical="top" wrapText="1"/>
    </xf>
    <xf numFmtId="169" fontId="9" fillId="38" borderId="3" xfId="2" applyNumberFormat="1" applyFont="1" applyFill="1" applyBorder="1" applyAlignment="1">
      <alignment horizontal="center" vertical="top" wrapText="1"/>
    </xf>
    <xf numFmtId="169" fontId="3" fillId="0" borderId="3" xfId="2" applyNumberFormat="1" applyFont="1" applyBorder="1" applyAlignment="1">
      <alignment horizontal="center" vertical="top" wrapText="1"/>
    </xf>
    <xf numFmtId="169" fontId="3" fillId="0" borderId="0" xfId="2" applyNumberFormat="1" applyFont="1" applyAlignment="1">
      <alignment horizontal="center" vertical="top"/>
    </xf>
    <xf numFmtId="169" fontId="3" fillId="0" borderId="0" xfId="2" applyNumberFormat="1" applyFont="1" applyAlignment="1">
      <alignment horizontal="center" vertical="center" wrapText="1"/>
    </xf>
    <xf numFmtId="169" fontId="3" fillId="0" borderId="0" xfId="2" applyNumberFormat="1" applyFont="1" applyAlignment="1">
      <alignment horizontal="center" vertical="center"/>
    </xf>
    <xf numFmtId="1" fontId="4" fillId="0" borderId="1" xfId="2" applyNumberFormat="1" applyFont="1" applyBorder="1" applyAlignment="1">
      <alignment horizontal="center" vertical="center" wrapText="1"/>
    </xf>
    <xf numFmtId="0" fontId="36" fillId="0" borderId="1" xfId="3" applyFont="1" applyBorder="1" applyAlignment="1">
      <alignment vertical="center" wrapText="1"/>
    </xf>
    <xf numFmtId="166" fontId="35" fillId="12" borderId="1" xfId="0" applyNumberFormat="1" applyFont="1" applyFill="1" applyBorder="1" applyAlignment="1">
      <alignment horizontal="center" vertical="center" wrapText="1"/>
    </xf>
    <xf numFmtId="4" fontId="35" fillId="0" borderId="1" xfId="4" applyNumberFormat="1" applyFont="1" applyBorder="1" applyAlignment="1">
      <alignment horizontal="center" vertical="center" wrapText="1"/>
    </xf>
    <xf numFmtId="0" fontId="36" fillId="12" borderId="1" xfId="0" applyFont="1" applyFill="1" applyBorder="1" applyAlignment="1">
      <alignment horizontal="center" vertical="center" wrapText="1"/>
    </xf>
    <xf numFmtId="0" fontId="36" fillId="12" borderId="1" xfId="0" applyFont="1" applyFill="1" applyBorder="1" applyAlignment="1">
      <alignment horizontal="left" vertical="center" wrapText="1"/>
    </xf>
    <xf numFmtId="0" fontId="36" fillId="12" borderId="1" xfId="0" applyFont="1" applyFill="1" applyBorder="1" applyAlignment="1">
      <alignment vertical="center" wrapText="1"/>
    </xf>
    <xf numFmtId="0" fontId="35" fillId="0" borderId="3" xfId="2" applyFont="1" applyBorder="1" applyAlignment="1">
      <alignment horizontal="center" vertical="center" wrapText="1"/>
    </xf>
    <xf numFmtId="0" fontId="35" fillId="0" borderId="7" xfId="4" applyFont="1" applyBorder="1" applyAlignment="1">
      <alignment horizontal="center" vertical="center" wrapText="1"/>
    </xf>
    <xf numFmtId="0" fontId="35" fillId="0" borderId="12" xfId="4" applyFont="1" applyBorder="1" applyAlignment="1">
      <alignment horizontal="center" vertical="center" wrapText="1"/>
    </xf>
    <xf numFmtId="10" fontId="35" fillId="0" borderId="12" xfId="4" applyNumberFormat="1" applyFont="1" applyBorder="1" applyAlignment="1">
      <alignment horizontal="center" vertical="center" wrapText="1"/>
    </xf>
    <xf numFmtId="0" fontId="35" fillId="0" borderId="47" xfId="4" applyFont="1" applyBorder="1" applyAlignment="1">
      <alignment horizontal="center" vertical="center" wrapText="1"/>
    </xf>
    <xf numFmtId="0" fontId="35" fillId="0" borderId="3" xfId="4" applyFont="1" applyBorder="1" applyAlignment="1">
      <alignment horizontal="center" vertical="center" wrapText="1"/>
    </xf>
    <xf numFmtId="0" fontId="35" fillId="0" borderId="3" xfId="4" applyFont="1" applyBorder="1" applyAlignment="1">
      <alignment horizontal="center" wrapText="1"/>
    </xf>
    <xf numFmtId="4" fontId="36" fillId="0" borderId="1" xfId="3" applyNumberFormat="1" applyFont="1" applyBorder="1" applyAlignment="1">
      <alignment horizontal="center" vertical="center" wrapText="1"/>
    </xf>
    <xf numFmtId="165" fontId="4" fillId="0" borderId="0" xfId="4" applyNumberFormat="1" applyFont="1" applyBorder="1" applyAlignment="1">
      <alignment horizontal="center" vertical="center" wrapText="1"/>
    </xf>
    <xf numFmtId="4" fontId="4" fillId="0" borderId="0" xfId="4" applyNumberFormat="1" applyFont="1" applyBorder="1" applyAlignment="1">
      <alignment horizontal="center" vertical="center" wrapText="1"/>
    </xf>
    <xf numFmtId="0" fontId="34" fillId="0" borderId="52" xfId="0" applyFont="1" applyBorder="1" applyAlignment="1">
      <alignment horizontal="center" vertical="center" wrapText="1"/>
    </xf>
    <xf numFmtId="0" fontId="34" fillId="0" borderId="52" xfId="0" applyFont="1" applyBorder="1" applyAlignment="1">
      <alignment vertical="center" wrapText="1"/>
    </xf>
    <xf numFmtId="4" fontId="27" fillId="0" borderId="1" xfId="3" applyNumberFormat="1" applyFont="1" applyBorder="1" applyAlignment="1">
      <alignment horizontal="center" vertical="center" wrapText="1"/>
    </xf>
    <xf numFmtId="4" fontId="27" fillId="0" borderId="0" xfId="3" applyNumberFormat="1" applyFont="1" applyAlignment="1">
      <alignment horizontal="center" vertical="center" wrapText="1"/>
    </xf>
    <xf numFmtId="0" fontId="27" fillId="0" borderId="0" xfId="3" applyFont="1" applyAlignment="1">
      <alignment vertical="center" wrapText="1"/>
    </xf>
    <xf numFmtId="0" fontId="27" fillId="0" borderId="52" xfId="3" applyFont="1" applyBorder="1" applyAlignment="1">
      <alignment vertical="center" wrapText="1"/>
    </xf>
    <xf numFmtId="4" fontId="27" fillId="0" borderId="52" xfId="3" applyNumberFormat="1" applyFont="1" applyBorder="1" applyAlignment="1">
      <alignment horizontal="center" vertical="center" wrapText="1"/>
    </xf>
    <xf numFmtId="4" fontId="4" fillId="0" borderId="52" xfId="4" applyNumberFormat="1" applyFont="1" applyBorder="1" applyAlignment="1">
      <alignment horizontal="center" vertical="center" wrapText="1"/>
    </xf>
    <xf numFmtId="0" fontId="34" fillId="0" borderId="52" xfId="3" applyFont="1" applyBorder="1" applyAlignment="1">
      <alignment vertical="center" wrapText="1"/>
    </xf>
    <xf numFmtId="1" fontId="27" fillId="0" borderId="52" xfId="3" applyNumberFormat="1" applyFont="1" applyBorder="1" applyAlignment="1">
      <alignment horizontal="center" vertical="center" wrapText="1"/>
    </xf>
    <xf numFmtId="3" fontId="4" fillId="0" borderId="8" xfId="3" applyNumberFormat="1" applyFont="1" applyBorder="1" applyAlignment="1">
      <alignment horizontal="center" vertical="top" wrapText="1"/>
    </xf>
    <xf numFmtId="0" fontId="4" fillId="0" borderId="2" xfId="2" applyFont="1" applyBorder="1" applyAlignment="1">
      <alignment horizontal="center" vertical="center" wrapText="1"/>
    </xf>
    <xf numFmtId="3" fontId="35" fillId="0" borderId="3" xfId="4" applyNumberFormat="1" applyFont="1" applyBorder="1" applyAlignment="1">
      <alignment horizontal="center" vertical="center" wrapText="1"/>
    </xf>
    <xf numFmtId="14" fontId="35" fillId="0" borderId="3" xfId="4" applyNumberFormat="1" applyFont="1" applyBorder="1" applyAlignment="1">
      <alignment horizontal="center" vertical="center" wrapText="1"/>
    </xf>
    <xf numFmtId="169" fontId="35" fillId="0" borderId="3" xfId="4" applyNumberFormat="1" applyFont="1" applyBorder="1" applyAlignment="1">
      <alignment horizontal="center" vertical="center" wrapText="1"/>
    </xf>
    <xf numFmtId="3" fontId="37" fillId="0" borderId="3" xfId="4" applyNumberFormat="1" applyFont="1" applyBorder="1" applyAlignment="1" applyProtection="1">
      <alignment horizontal="center" vertical="center" wrapText="1"/>
      <protection locked="0"/>
    </xf>
    <xf numFmtId="1" fontId="37" fillId="0" borderId="3" xfId="4" applyNumberFormat="1" applyFont="1" applyBorder="1" applyAlignment="1" applyProtection="1">
      <alignment horizontal="center" vertical="center" wrapText="1"/>
      <protection locked="0"/>
    </xf>
    <xf numFmtId="169" fontId="4" fillId="0" borderId="1" xfId="2" applyNumberFormat="1" applyFont="1" applyBorder="1" applyAlignment="1">
      <alignment horizontal="center" vertical="center" wrapText="1"/>
    </xf>
    <xf numFmtId="0" fontId="4" fillId="12" borderId="52" xfId="0" applyFont="1" applyFill="1" applyBorder="1" applyAlignment="1">
      <alignment horizontal="center" vertical="center" wrapText="1" readingOrder="1"/>
    </xf>
    <xf numFmtId="49" fontId="4" fillId="12" borderId="54" xfId="0" applyNumberFormat="1" applyFont="1" applyFill="1" applyBorder="1" applyAlignment="1">
      <alignment horizontal="center" vertical="center" wrapText="1" readingOrder="1"/>
    </xf>
    <xf numFmtId="4" fontId="37" fillId="2" borderId="1" xfId="2" applyNumberFormat="1" applyFont="1" applyFill="1" applyBorder="1" applyAlignment="1">
      <alignment horizontal="center" vertical="center" wrapText="1"/>
    </xf>
    <xf numFmtId="4" fontId="35" fillId="8" borderId="3" xfId="4" applyNumberFormat="1" applyFont="1" applyFill="1" applyBorder="1" applyAlignment="1">
      <alignment horizontal="center" vertical="center" wrapText="1"/>
    </xf>
    <xf numFmtId="4" fontId="35" fillId="20" borderId="3" xfId="4" applyNumberFormat="1" applyFont="1" applyFill="1" applyBorder="1" applyAlignment="1">
      <alignment horizontal="center" vertical="center" wrapText="1"/>
    </xf>
    <xf numFmtId="4" fontId="35" fillId="23" borderId="3" xfId="4" applyNumberFormat="1" applyFont="1" applyFill="1" applyBorder="1" applyAlignment="1">
      <alignment horizontal="center" vertical="center" wrapText="1"/>
    </xf>
    <xf numFmtId="4" fontId="35" fillId="14" borderId="3" xfId="4" applyNumberFormat="1" applyFont="1" applyFill="1" applyBorder="1" applyAlignment="1">
      <alignment horizontal="center" vertical="center" wrapText="1"/>
    </xf>
    <xf numFmtId="4" fontId="35" fillId="0" borderId="3" xfId="4" applyNumberFormat="1" applyFont="1" applyBorder="1" applyAlignment="1">
      <alignment horizontal="center" vertical="center" wrapText="1"/>
    </xf>
    <xf numFmtId="4" fontId="35" fillId="11" borderId="3" xfId="4" applyNumberFormat="1" applyFont="1" applyFill="1" applyBorder="1" applyAlignment="1">
      <alignment horizontal="center" vertical="center" wrapText="1"/>
    </xf>
    <xf numFmtId="4" fontId="35" fillId="14" borderId="6" xfId="4" applyNumberFormat="1" applyFont="1" applyFill="1" applyBorder="1" applyAlignment="1">
      <alignment horizontal="center" vertical="center" wrapText="1"/>
    </xf>
    <xf numFmtId="4" fontId="35" fillId="0" borderId="4" xfId="4" applyNumberFormat="1" applyFont="1" applyBorder="1" applyAlignment="1">
      <alignment horizontal="center" vertical="center" wrapText="1"/>
    </xf>
    <xf numFmtId="4" fontId="35" fillId="12" borderId="3" xfId="4" applyNumberFormat="1" applyFont="1" applyFill="1" applyBorder="1" applyAlignment="1">
      <alignment horizontal="center" vertical="center" wrapText="1"/>
    </xf>
    <xf numFmtId="4" fontId="35" fillId="0" borderId="6" xfId="4" applyNumberFormat="1" applyFont="1" applyBorder="1" applyAlignment="1">
      <alignment horizontal="center" vertical="center" wrapText="1"/>
    </xf>
    <xf numFmtId="4" fontId="35" fillId="0" borderId="6" xfId="2" applyNumberFormat="1" applyFont="1" applyBorder="1" applyAlignment="1">
      <alignment horizontal="center" vertical="center" wrapText="1"/>
    </xf>
    <xf numFmtId="4" fontId="35" fillId="0" borderId="31" xfId="3" applyNumberFormat="1" applyFont="1" applyBorder="1" applyAlignment="1">
      <alignment horizontal="center" vertical="center"/>
    </xf>
    <xf numFmtId="4" fontId="35" fillId="13" borderId="4" xfId="4" applyNumberFormat="1" applyFont="1" applyFill="1" applyBorder="1" applyAlignment="1">
      <alignment horizontal="center" vertical="center" wrapText="1"/>
    </xf>
    <xf numFmtId="4" fontId="35" fillId="0" borderId="12" xfId="4" applyNumberFormat="1" applyFont="1" applyBorder="1" applyAlignment="1">
      <alignment horizontal="center" vertical="center" wrapText="1"/>
    </xf>
    <xf numFmtId="4" fontId="36" fillId="12" borderId="1" xfId="3" applyNumberFormat="1" applyFont="1" applyFill="1" applyBorder="1" applyAlignment="1">
      <alignment horizontal="center" vertical="center" wrapText="1"/>
    </xf>
    <xf numFmtId="4" fontId="35" fillId="12" borderId="1" xfId="4" applyNumberFormat="1" applyFont="1" applyFill="1" applyBorder="1" applyAlignment="1">
      <alignment horizontal="center" vertical="center" wrapText="1"/>
    </xf>
    <xf numFmtId="4" fontId="35" fillId="20" borderId="4" xfId="4" applyNumberFormat="1" applyFont="1" applyFill="1" applyBorder="1" applyAlignment="1">
      <alignment horizontal="center" vertical="center" wrapText="1"/>
    </xf>
    <xf numFmtId="4" fontId="35" fillId="32" borderId="3" xfId="4" applyNumberFormat="1" applyFont="1" applyFill="1" applyBorder="1" applyAlignment="1">
      <alignment horizontal="center" vertical="center" wrapText="1"/>
    </xf>
    <xf numFmtId="4" fontId="35" fillId="12" borderId="14" xfId="4" applyNumberFormat="1" applyFont="1" applyFill="1" applyBorder="1" applyAlignment="1">
      <alignment horizontal="center" vertical="center" wrapText="1"/>
    </xf>
    <xf numFmtId="4" fontId="38" fillId="12" borderId="51" xfId="0" applyNumberFormat="1" applyFont="1" applyFill="1" applyBorder="1" applyAlignment="1" applyProtection="1">
      <alignment vertical="top" wrapText="1" readingOrder="1"/>
      <protection locked="0"/>
    </xf>
    <xf numFmtId="4" fontId="39" fillId="12" borderId="1" xfId="4" applyNumberFormat="1" applyFont="1" applyFill="1" applyBorder="1" applyAlignment="1">
      <alignment horizontal="center" vertical="center" wrapText="1"/>
    </xf>
    <xf numFmtId="4" fontId="35" fillId="12" borderId="8" xfId="4" applyNumberFormat="1" applyFont="1" applyFill="1" applyBorder="1" applyAlignment="1">
      <alignment horizontal="center" vertical="center" wrapText="1"/>
    </xf>
    <xf numFmtId="4" fontId="35" fillId="0" borderId="8" xfId="4" applyNumberFormat="1" applyFont="1" applyBorder="1" applyAlignment="1">
      <alignment horizontal="center" vertical="center" wrapText="1"/>
    </xf>
    <xf numFmtId="4" fontId="35" fillId="20" borderId="1" xfId="4" applyNumberFormat="1" applyFont="1" applyFill="1" applyBorder="1" applyAlignment="1">
      <alignment horizontal="center" vertical="center" wrapText="1"/>
    </xf>
    <xf numFmtId="4" fontId="35" fillId="32" borderId="4" xfId="4" applyNumberFormat="1" applyFont="1" applyFill="1" applyBorder="1" applyAlignment="1">
      <alignment horizontal="center" vertical="center" wrapText="1"/>
    </xf>
    <xf numFmtId="4" fontId="35" fillId="26" borderId="3" xfId="4" applyNumberFormat="1" applyFont="1" applyFill="1" applyBorder="1" applyAlignment="1">
      <alignment horizontal="center" vertical="center" wrapText="1"/>
    </xf>
    <xf numFmtId="4" fontId="35" fillId="8" borderId="4" xfId="4" applyNumberFormat="1" applyFont="1" applyFill="1" applyBorder="1" applyAlignment="1">
      <alignment horizontal="center" vertical="center" wrapText="1"/>
    </xf>
    <xf numFmtId="4" fontId="35" fillId="27" borderId="12" xfId="4" applyNumberFormat="1" applyFont="1" applyFill="1" applyBorder="1" applyAlignment="1">
      <alignment horizontal="center" vertical="center" wrapText="1"/>
    </xf>
    <xf numFmtId="4" fontId="35" fillId="18" borderId="3" xfId="4" applyNumberFormat="1" applyFont="1" applyFill="1" applyBorder="1" applyAlignment="1">
      <alignment horizontal="center" vertical="center" wrapText="1"/>
    </xf>
    <xf numFmtId="4" fontId="35" fillId="15" borderId="3" xfId="4" applyNumberFormat="1" applyFont="1" applyFill="1" applyBorder="1" applyAlignment="1">
      <alignment horizontal="center" vertical="center" wrapText="1"/>
    </xf>
    <xf numFmtId="4" fontId="35" fillId="10" borderId="3" xfId="4" applyNumberFormat="1" applyFont="1" applyFill="1" applyBorder="1" applyAlignment="1">
      <alignment horizontal="center" vertical="center" wrapText="1"/>
    </xf>
    <xf numFmtId="4" fontId="35" fillId="16" borderId="3" xfId="4" applyNumberFormat="1" applyFont="1" applyFill="1" applyBorder="1" applyAlignment="1">
      <alignment horizontal="center" vertical="center" wrapText="1"/>
    </xf>
    <xf numFmtId="4" fontId="37" fillId="17" borderId="1" xfId="3" applyNumberFormat="1" applyFont="1" applyFill="1" applyBorder="1" applyAlignment="1">
      <alignment horizontal="center" vertical="center" wrapText="1"/>
    </xf>
    <xf numFmtId="4" fontId="35" fillId="24" borderId="12" xfId="4" applyNumberFormat="1" applyFont="1" applyFill="1" applyBorder="1" applyAlignment="1">
      <alignment horizontal="center" vertical="center" wrapText="1"/>
    </xf>
    <xf numFmtId="4" fontId="35" fillId="0" borderId="23" xfId="3" applyNumberFormat="1" applyFont="1" applyBorder="1" applyAlignment="1">
      <alignment horizontal="center" vertical="center"/>
    </xf>
    <xf numFmtId="4" fontId="35" fillId="0" borderId="29" xfId="3" applyNumberFormat="1" applyFont="1" applyBorder="1" applyAlignment="1">
      <alignment horizontal="center" vertical="center"/>
    </xf>
    <xf numFmtId="4" fontId="35" fillId="0" borderId="1" xfId="3" applyNumberFormat="1" applyFont="1" applyBorder="1" applyAlignment="1">
      <alignment horizontal="center" vertical="center"/>
    </xf>
    <xf numFmtId="4" fontId="40" fillId="0" borderId="23" xfId="3" applyNumberFormat="1" applyFont="1" applyBorder="1" applyAlignment="1">
      <alignment horizontal="center" vertical="center"/>
    </xf>
    <xf numFmtId="4" fontId="35" fillId="12" borderId="0" xfId="2" applyNumberFormat="1" applyFont="1" applyFill="1" applyAlignment="1">
      <alignment horizontal="center" vertical="center" wrapText="1"/>
    </xf>
    <xf numFmtId="4" fontId="35" fillId="0" borderId="0" xfId="2" applyNumberFormat="1" applyFont="1" applyAlignment="1">
      <alignment horizontal="center" vertical="center" wrapText="1"/>
    </xf>
    <xf numFmtId="4" fontId="37" fillId="38" borderId="3" xfId="2" applyNumberFormat="1" applyFont="1" applyFill="1" applyBorder="1" applyAlignment="1">
      <alignment horizontal="center" vertical="center" wrapText="1"/>
    </xf>
    <xf numFmtId="4" fontId="37" fillId="0" borderId="3" xfId="2" applyNumberFormat="1" applyFont="1" applyBorder="1" applyAlignment="1">
      <alignment horizontal="center" vertical="center" wrapText="1"/>
    </xf>
    <xf numFmtId="4" fontId="35" fillId="0" borderId="0" xfId="2" applyNumberFormat="1" applyFont="1" applyAlignment="1">
      <alignment horizontal="center" vertical="center"/>
    </xf>
    <xf numFmtId="4" fontId="4" fillId="0" borderId="8" xfId="4" applyNumberFormat="1" applyFont="1" applyBorder="1" applyAlignment="1">
      <alignment horizontal="center" vertical="center" wrapText="1"/>
    </xf>
    <xf numFmtId="4" fontId="4" fillId="12" borderId="14" xfId="4" applyNumberFormat="1" applyFont="1" applyFill="1" applyBorder="1" applyAlignment="1">
      <alignment horizontal="center" vertical="center" wrapText="1"/>
    </xf>
    <xf numFmtId="4" fontId="4" fillId="12" borderId="6" xfId="4" applyNumberFormat="1" applyFont="1" applyFill="1" applyBorder="1" applyAlignment="1">
      <alignment horizontal="center" vertical="center" wrapText="1"/>
    </xf>
    <xf numFmtId="4" fontId="35" fillId="8" borderId="4" xfId="2" applyNumberFormat="1" applyFont="1" applyFill="1" applyBorder="1" applyAlignment="1">
      <alignment horizontal="center" vertical="center" wrapText="1"/>
    </xf>
    <xf numFmtId="4" fontId="35" fillId="9" borderId="3" xfId="2" applyNumberFormat="1" applyFont="1" applyFill="1" applyBorder="1" applyAlignment="1">
      <alignment horizontal="center" vertical="center" wrapText="1"/>
    </xf>
    <xf numFmtId="4" fontId="35" fillId="10" borderId="3" xfId="2" applyNumberFormat="1" applyFont="1" applyFill="1" applyBorder="1" applyAlignment="1">
      <alignment horizontal="center" vertical="center" wrapText="1"/>
    </xf>
    <xf numFmtId="4" fontId="35" fillId="13" borderId="3" xfId="2" applyNumberFormat="1" applyFont="1" applyFill="1" applyBorder="1" applyAlignment="1">
      <alignment horizontal="center" vertical="center" wrapText="1"/>
    </xf>
    <xf numFmtId="4" fontId="35" fillId="14" borderId="3" xfId="2" applyNumberFormat="1" applyFont="1" applyFill="1" applyBorder="1" applyAlignment="1">
      <alignment horizontal="center" vertical="center" wrapText="1"/>
    </xf>
    <xf numFmtId="4" fontId="35" fillId="8" borderId="3" xfId="2" applyNumberFormat="1" applyFont="1" applyFill="1" applyBorder="1" applyAlignment="1">
      <alignment horizontal="center" vertical="center" wrapText="1"/>
    </xf>
    <xf numFmtId="4" fontId="35" fillId="8" borderId="3" xfId="2" applyNumberFormat="1" applyFont="1" applyFill="1" applyBorder="1" applyAlignment="1">
      <alignment horizontal="center" vertical="top" wrapText="1"/>
    </xf>
    <xf numFmtId="4" fontId="35" fillId="16" borderId="3" xfId="2" applyNumberFormat="1" applyFont="1" applyFill="1" applyBorder="1" applyAlignment="1">
      <alignment horizontal="center" vertical="center" wrapText="1"/>
    </xf>
    <xf numFmtId="4" fontId="35" fillId="16" borderId="3" xfId="2" applyNumberFormat="1" applyFont="1" applyFill="1" applyBorder="1" applyAlignment="1">
      <alignment horizontal="center" vertical="top" wrapText="1"/>
    </xf>
    <xf numFmtId="4" fontId="35" fillId="29" borderId="3" xfId="2" applyNumberFormat="1" applyFont="1" applyFill="1" applyBorder="1" applyAlignment="1">
      <alignment horizontal="center" vertical="center" wrapText="1"/>
    </xf>
    <xf numFmtId="4" fontId="35" fillId="29" borderId="3" xfId="2" applyNumberFormat="1" applyFont="1" applyFill="1" applyBorder="1" applyAlignment="1">
      <alignment horizontal="center" vertical="top" wrapText="1"/>
    </xf>
    <xf numFmtId="4" fontId="35" fillId="17" borderId="3" xfId="2" applyNumberFormat="1" applyFont="1" applyFill="1" applyBorder="1" applyAlignment="1">
      <alignment horizontal="center" vertical="center" wrapText="1"/>
    </xf>
    <xf numFmtId="4" fontId="35" fillId="17" borderId="3" xfId="2" applyNumberFormat="1" applyFont="1" applyFill="1" applyBorder="1" applyAlignment="1">
      <alignment horizontal="center" vertical="top" wrapText="1"/>
    </xf>
    <xf numFmtId="4" fontId="35" fillId="17" borderId="1" xfId="2" applyNumberFormat="1" applyFont="1" applyFill="1" applyBorder="1" applyAlignment="1">
      <alignment horizontal="center" vertical="center" wrapText="1"/>
    </xf>
    <xf numFmtId="4" fontId="35" fillId="17" borderId="1" xfId="2" applyNumberFormat="1" applyFont="1" applyFill="1" applyBorder="1" applyAlignment="1">
      <alignment horizontal="center" vertical="top" wrapText="1"/>
    </xf>
    <xf numFmtId="4" fontId="35" fillId="17" borderId="8" xfId="2" applyNumberFormat="1" applyFont="1" applyFill="1" applyBorder="1" applyAlignment="1">
      <alignment horizontal="center" vertical="center" wrapText="1"/>
    </xf>
    <xf numFmtId="4" fontId="35" fillId="17" borderId="8" xfId="2" applyNumberFormat="1" applyFont="1" applyFill="1" applyBorder="1" applyAlignment="1">
      <alignment horizontal="center" vertical="top" wrapText="1"/>
    </xf>
    <xf numFmtId="4" fontId="35" fillId="17" borderId="52" xfId="2" applyNumberFormat="1" applyFont="1" applyFill="1" applyBorder="1" applyAlignment="1">
      <alignment horizontal="center" vertical="center" wrapText="1"/>
    </xf>
    <xf numFmtId="4" fontId="35" fillId="17" borderId="52" xfId="2" applyNumberFormat="1" applyFont="1" applyFill="1" applyBorder="1" applyAlignment="1">
      <alignment horizontal="center" vertical="top" wrapText="1"/>
    </xf>
    <xf numFmtId="4" fontId="35" fillId="8" borderId="4" xfId="2" applyNumberFormat="1" applyFont="1" applyFill="1" applyBorder="1" applyAlignment="1">
      <alignment horizontal="center" vertical="top" wrapText="1"/>
    </xf>
    <xf numFmtId="4" fontId="35" fillId="15" borderId="52" xfId="2" applyNumberFormat="1" applyFont="1" applyFill="1" applyBorder="1" applyAlignment="1">
      <alignment horizontal="center" vertical="center" wrapText="1"/>
    </xf>
    <xf numFmtId="4" fontId="35" fillId="20" borderId="4" xfId="2" applyNumberFormat="1" applyFont="1" applyFill="1" applyBorder="1" applyAlignment="1">
      <alignment horizontal="center" vertical="center" wrapText="1"/>
    </xf>
    <xf numFmtId="4" fontId="35" fillId="11" borderId="3" xfId="2" applyNumberFormat="1" applyFont="1" applyFill="1" applyBorder="1" applyAlignment="1">
      <alignment horizontal="center" vertical="center" wrapText="1"/>
    </xf>
    <xf numFmtId="4" fontId="35" fillId="11" borderId="3" xfId="2" applyNumberFormat="1" applyFont="1" applyFill="1" applyBorder="1" applyAlignment="1">
      <alignment horizontal="center" vertical="top" wrapText="1"/>
    </xf>
    <xf numFmtId="4" fontId="35" fillId="11" borderId="2" xfId="2" applyNumberFormat="1" applyFont="1" applyFill="1" applyBorder="1" applyAlignment="1">
      <alignment horizontal="center" vertical="center" wrapText="1"/>
    </xf>
    <xf numFmtId="4" fontId="35" fillId="11" borderId="7" xfId="2" applyNumberFormat="1" applyFont="1" applyFill="1" applyBorder="1" applyAlignment="1">
      <alignment horizontal="center" vertical="center" wrapText="1"/>
    </xf>
    <xf numFmtId="4" fontId="35" fillId="11" borderId="12" xfId="2" applyNumberFormat="1" applyFont="1" applyFill="1" applyBorder="1" applyAlignment="1">
      <alignment horizontal="center" vertical="top" wrapText="1"/>
    </xf>
    <xf numFmtId="4" fontId="35" fillId="11" borderId="8" xfId="2" applyNumberFormat="1" applyFont="1" applyFill="1" applyBorder="1" applyAlignment="1">
      <alignment horizontal="center" vertical="center" wrapText="1"/>
    </xf>
    <xf numFmtId="4" fontId="35" fillId="11" borderId="8" xfId="2" applyNumberFormat="1" applyFont="1" applyFill="1" applyBorder="1" applyAlignment="1">
      <alignment horizontal="center" vertical="top" wrapText="1"/>
    </xf>
    <xf numFmtId="4" fontId="35" fillId="11" borderId="1" xfId="2" applyNumberFormat="1" applyFont="1" applyFill="1" applyBorder="1" applyAlignment="1">
      <alignment horizontal="center" vertical="center" wrapText="1"/>
    </xf>
    <xf numFmtId="4" fontId="35" fillId="11" borderId="1" xfId="2" applyNumberFormat="1" applyFont="1" applyFill="1" applyBorder="1" applyAlignment="1">
      <alignment horizontal="center" vertical="top" wrapText="1"/>
    </xf>
    <xf numFmtId="4" fontId="35" fillId="15" borderId="3" xfId="2" applyNumberFormat="1" applyFont="1" applyFill="1" applyBorder="1" applyAlignment="1">
      <alignment horizontal="center" vertical="center" wrapText="1"/>
    </xf>
    <xf numFmtId="4" fontId="36" fillId="0" borderId="14" xfId="3" applyNumberFormat="1" applyFont="1" applyBorder="1" applyAlignment="1">
      <alignment horizontal="center" vertical="center"/>
    </xf>
    <xf numFmtId="4" fontId="36" fillId="12" borderId="1" xfId="3" applyNumberFormat="1" applyFont="1" applyFill="1" applyBorder="1" applyAlignment="1">
      <alignment horizontal="center" vertical="center"/>
    </xf>
    <xf numFmtId="4" fontId="36" fillId="0" borderId="1" xfId="3" applyNumberFormat="1" applyFont="1" applyBorder="1" applyAlignment="1">
      <alignment horizontal="center" vertical="center"/>
    </xf>
    <xf numFmtId="4" fontId="36" fillId="0" borderId="8" xfId="3" applyNumberFormat="1" applyFont="1" applyBorder="1" applyAlignment="1">
      <alignment horizontal="center" vertical="center"/>
    </xf>
    <xf numFmtId="4" fontId="36" fillId="26" borderId="4" xfId="3" applyNumberFormat="1" applyFont="1" applyFill="1" applyBorder="1" applyAlignment="1">
      <alignment horizontal="center" vertical="center"/>
    </xf>
    <xf numFmtId="4" fontId="35" fillId="27" borderId="3" xfId="2" applyNumberFormat="1" applyFont="1" applyFill="1" applyBorder="1" applyAlignment="1">
      <alignment horizontal="center" vertical="center" wrapText="1"/>
    </xf>
    <xf numFmtId="4" fontId="35" fillId="0" borderId="3" xfId="2" applyNumberFormat="1" applyFont="1" applyBorder="1" applyAlignment="1">
      <alignment horizontal="center" vertical="center" wrapText="1"/>
    </xf>
    <xf numFmtId="4" fontId="35" fillId="0" borderId="8" xfId="3" applyNumberFormat="1" applyFont="1" applyBorder="1" applyAlignment="1">
      <alignment horizontal="center" vertical="center"/>
    </xf>
    <xf numFmtId="4" fontId="35" fillId="28" borderId="3" xfId="2" applyNumberFormat="1" applyFont="1" applyFill="1" applyBorder="1" applyAlignment="1">
      <alignment horizontal="center" vertical="center" wrapText="1"/>
    </xf>
    <xf numFmtId="4" fontId="35" fillId="20" borderId="3" xfId="2" applyNumberFormat="1" applyFont="1" applyFill="1" applyBorder="1" applyAlignment="1">
      <alignment horizontal="center" vertical="center" wrapText="1"/>
    </xf>
    <xf numFmtId="4" fontId="35" fillId="20" borderId="9" xfId="2" applyNumberFormat="1" applyFont="1" applyFill="1" applyBorder="1" applyAlignment="1">
      <alignment horizontal="center" vertical="center" wrapText="1"/>
    </xf>
    <xf numFmtId="4" fontId="35" fillId="18" borderId="3" xfId="2" applyNumberFormat="1" applyFont="1" applyFill="1" applyBorder="1" applyAlignment="1">
      <alignment horizontal="center" vertical="center" wrapText="1"/>
    </xf>
    <xf numFmtId="4" fontId="35" fillId="24" borderId="3" xfId="2" applyNumberFormat="1" applyFont="1" applyFill="1" applyBorder="1" applyAlignment="1">
      <alignment horizontal="center" vertical="center" wrapText="1"/>
    </xf>
    <xf numFmtId="4" fontId="35" fillId="8" borderId="1" xfId="2" applyNumberFormat="1" applyFont="1" applyFill="1" applyBorder="1" applyAlignment="1">
      <alignment horizontal="center" vertical="center" wrapText="1"/>
    </xf>
    <xf numFmtId="4" fontId="35" fillId="20" borderId="1" xfId="2" applyNumberFormat="1" applyFont="1" applyFill="1" applyBorder="1" applyAlignment="1">
      <alignment horizontal="center" vertical="center" wrapText="1"/>
    </xf>
    <xf numFmtId="4" fontId="35" fillId="0" borderId="1" xfId="2" applyNumberFormat="1" applyFont="1" applyBorder="1" applyAlignment="1">
      <alignment horizontal="center" vertical="center" wrapText="1"/>
    </xf>
    <xf numFmtId="4" fontId="35" fillId="12" borderId="1" xfId="2" applyNumberFormat="1" applyFont="1" applyFill="1" applyBorder="1" applyAlignment="1">
      <alignment horizontal="center" vertical="center" wrapText="1"/>
    </xf>
    <xf numFmtId="4" fontId="35" fillId="25" borderId="1" xfId="2" applyNumberFormat="1" applyFont="1" applyFill="1" applyBorder="1" applyAlignment="1">
      <alignment horizontal="center" vertical="center" wrapText="1"/>
    </xf>
    <xf numFmtId="4" fontId="35" fillId="0" borderId="4" xfId="2" applyNumberFormat="1" applyFont="1" applyBorder="1" applyAlignment="1">
      <alignment horizontal="center" vertical="center" wrapText="1"/>
    </xf>
    <xf numFmtId="4" fontId="35" fillId="12" borderId="1" xfId="3" applyNumberFormat="1" applyFont="1" applyFill="1" applyBorder="1" applyAlignment="1">
      <alignment horizontal="center" vertical="center"/>
    </xf>
    <xf numFmtId="4" fontId="35" fillId="13" borderId="1" xfId="2" applyNumberFormat="1" applyFont="1" applyFill="1" applyBorder="1" applyAlignment="1">
      <alignment horizontal="center" vertical="center" wrapText="1"/>
    </xf>
    <xf numFmtId="4" fontId="35" fillId="39" borderId="1" xfId="2" applyNumberFormat="1" applyFont="1" applyFill="1" applyBorder="1" applyAlignment="1">
      <alignment horizontal="center" vertical="center" wrapText="1"/>
    </xf>
    <xf numFmtId="4" fontId="35" fillId="41" borderId="1" xfId="2" applyNumberFormat="1" applyFont="1" applyFill="1" applyBorder="1" applyAlignment="1">
      <alignment horizontal="center" vertical="center" wrapText="1"/>
    </xf>
    <xf numFmtId="4" fontId="35" fillId="18" borderId="1" xfId="2" applyNumberFormat="1" applyFont="1" applyFill="1" applyBorder="1" applyAlignment="1">
      <alignment horizontal="center" vertical="center" wrapText="1"/>
    </xf>
    <xf numFmtId="4" fontId="35" fillId="14" borderId="1" xfId="2" applyNumberFormat="1" applyFont="1" applyFill="1" applyBorder="1" applyAlignment="1">
      <alignment horizontal="center" vertical="center" wrapText="1"/>
    </xf>
    <xf numFmtId="4" fontId="35" fillId="23" borderId="3" xfId="2" applyNumberFormat="1" applyFont="1" applyFill="1" applyBorder="1" applyAlignment="1">
      <alignment horizontal="center" vertical="center" wrapText="1"/>
    </xf>
    <xf numFmtId="4" fontId="35" fillId="20" borderId="12" xfId="2" applyNumberFormat="1" applyFont="1" applyFill="1" applyBorder="1" applyAlignment="1">
      <alignment horizontal="center" vertical="center" wrapText="1"/>
    </xf>
    <xf numFmtId="4" fontId="35" fillId="12" borderId="1" xfId="2" applyNumberFormat="1" applyFont="1" applyFill="1" applyBorder="1" applyAlignment="1">
      <alignment horizontal="center" vertical="top" wrapText="1"/>
    </xf>
    <xf numFmtId="4" fontId="4" fillId="17" borderId="8" xfId="2" applyNumberFormat="1" applyFont="1" applyFill="1" applyBorder="1" applyAlignment="1">
      <alignment horizontal="center" vertical="center" wrapText="1"/>
    </xf>
    <xf numFmtId="4" fontId="4" fillId="17" borderId="8" xfId="2" applyNumberFormat="1" applyFont="1" applyFill="1" applyBorder="1" applyAlignment="1">
      <alignment horizontal="center" vertical="top" wrapText="1"/>
    </xf>
    <xf numFmtId="14" fontId="4" fillId="0" borderId="3" xfId="2" applyNumberFormat="1" applyFont="1" applyBorder="1" applyAlignment="1">
      <alignment horizontal="center" vertical="top" wrapText="1"/>
    </xf>
    <xf numFmtId="3" fontId="4" fillId="0" borderId="3" xfId="2" applyNumberFormat="1" applyFont="1" applyBorder="1" applyAlignment="1">
      <alignment horizontal="center" vertical="center" wrapText="1"/>
    </xf>
    <xf numFmtId="0" fontId="41" fillId="0" borderId="1" xfId="3" applyFont="1" applyBorder="1" applyAlignment="1">
      <alignment horizontal="center" vertical="center" wrapText="1"/>
    </xf>
    <xf numFmtId="0" fontId="4" fillId="0" borderId="3" xfId="4" applyFont="1" applyBorder="1" applyAlignment="1">
      <alignment vertical="center" wrapText="1"/>
    </xf>
    <xf numFmtId="1" fontId="4" fillId="0" borderId="3" xfId="4" applyNumberFormat="1" applyFont="1" applyBorder="1" applyAlignment="1">
      <alignment horizontal="center" vertical="center" wrapText="1"/>
    </xf>
    <xf numFmtId="4" fontId="4" fillId="0" borderId="9" xfId="4" applyNumberFormat="1" applyFont="1" applyBorder="1" applyAlignment="1">
      <alignment horizontal="center" vertical="center" wrapText="1"/>
    </xf>
    <xf numFmtId="1" fontId="4" fillId="0" borderId="1" xfId="4" applyNumberFormat="1" applyFont="1" applyBorder="1" applyAlignment="1">
      <alignment horizontal="center" vertical="top" wrapText="1"/>
    </xf>
    <xf numFmtId="3" fontId="4" fillId="0" borderId="1" xfId="4" applyNumberFormat="1" applyFont="1" applyBorder="1" applyAlignment="1">
      <alignment horizontal="center" vertical="top" wrapText="1"/>
    </xf>
    <xf numFmtId="0" fontId="4" fillId="0" borderId="2" xfId="4" applyFont="1" applyBorder="1" applyAlignment="1">
      <alignment horizontal="center" vertical="center" wrapText="1"/>
    </xf>
    <xf numFmtId="10" fontId="4" fillId="0" borderId="3" xfId="4" applyNumberFormat="1" applyFont="1" applyBorder="1" applyAlignment="1">
      <alignment horizontal="center" vertical="center" wrapText="1"/>
    </xf>
    <xf numFmtId="0" fontId="4" fillId="0" borderId="22" xfId="4" applyFont="1" applyBorder="1" applyAlignment="1">
      <alignment horizontal="center" vertical="center" wrapText="1"/>
    </xf>
    <xf numFmtId="4" fontId="4" fillId="18" borderId="3" xfId="4" applyNumberFormat="1" applyFont="1" applyFill="1" applyBorder="1" applyAlignment="1">
      <alignment horizontal="center" vertical="center" wrapText="1"/>
    </xf>
    <xf numFmtId="4" fontId="4" fillId="20" borderId="3" xfId="4" applyNumberFormat="1" applyFont="1" applyFill="1" applyBorder="1" applyAlignment="1">
      <alignment horizontal="center" vertical="center" wrapText="1"/>
    </xf>
    <xf numFmtId="165" fontId="4" fillId="0" borderId="3" xfId="4" applyNumberFormat="1" applyFont="1" applyBorder="1" applyAlignment="1">
      <alignment horizontal="center" vertical="center" wrapText="1"/>
    </xf>
    <xf numFmtId="1" fontId="4" fillId="0" borderId="0" xfId="4" applyNumberFormat="1" applyFont="1" applyBorder="1" applyAlignment="1">
      <alignment horizontal="center" vertical="top" wrapText="1"/>
    </xf>
    <xf numFmtId="3" fontId="4" fillId="0" borderId="0" xfId="4" applyNumberFormat="1" applyFont="1" applyBorder="1" applyAlignment="1">
      <alignment horizontal="center" vertical="top" wrapText="1"/>
    </xf>
    <xf numFmtId="0" fontId="4" fillId="0" borderId="9" xfId="4" applyFont="1" applyBorder="1" applyAlignment="1">
      <alignment horizontal="center" vertical="center" wrapText="1"/>
    </xf>
    <xf numFmtId="169" fontId="4" fillId="0" borderId="3" xfId="2" applyNumberFormat="1" applyFont="1" applyBorder="1" applyAlignment="1">
      <alignment horizontal="center" vertical="center" wrapText="1"/>
    </xf>
    <xf numFmtId="0" fontId="4" fillId="0" borderId="9" xfId="2" applyFont="1" applyBorder="1" applyAlignment="1">
      <alignment horizontal="center" vertical="center" wrapText="1"/>
    </xf>
    <xf numFmtId="14" fontId="4" fillId="14" borderId="3" xfId="4" applyNumberFormat="1" applyFont="1" applyFill="1" applyBorder="1" applyAlignment="1">
      <alignment horizontal="center" vertical="center" wrapText="1"/>
    </xf>
    <xf numFmtId="169" fontId="4" fillId="14" borderId="3" xfId="4" applyNumberFormat="1" applyFont="1" applyFill="1" applyBorder="1" applyAlignment="1">
      <alignment horizontal="center" vertical="center" wrapText="1"/>
    </xf>
    <xf numFmtId="3" fontId="4" fillId="14" borderId="3" xfId="4" applyNumberFormat="1" applyFont="1" applyFill="1" applyBorder="1" applyAlignment="1" applyProtection="1">
      <alignment horizontal="center" vertical="center" wrapText="1"/>
      <protection locked="0"/>
    </xf>
    <xf numFmtId="1" fontId="4" fillId="14" borderId="3" xfId="4" applyNumberFormat="1" applyFont="1" applyFill="1" applyBorder="1" applyAlignment="1" applyProtection="1">
      <alignment horizontal="center" vertical="center" wrapText="1"/>
      <protection locked="0"/>
    </xf>
    <xf numFmtId="1" fontId="4" fillId="0" borderId="1" xfId="4" applyNumberFormat="1" applyFont="1" applyBorder="1" applyAlignment="1">
      <alignment horizontal="center" vertical="center" wrapText="1"/>
    </xf>
    <xf numFmtId="0" fontId="4" fillId="14" borderId="2" xfId="4" applyFont="1" applyFill="1" applyBorder="1" applyAlignment="1">
      <alignment horizontal="center" vertical="center" wrapText="1"/>
    </xf>
    <xf numFmtId="0" fontId="4" fillId="14" borderId="3" xfId="4" applyFont="1" applyFill="1" applyBorder="1" applyAlignment="1">
      <alignment horizontal="center" vertical="center" wrapText="1"/>
    </xf>
    <xf numFmtId="0" fontId="4" fillId="19" borderId="3" xfId="4" applyFont="1" applyFill="1" applyBorder="1" applyAlignment="1">
      <alignment horizontal="center" vertical="center" wrapText="1"/>
    </xf>
    <xf numFmtId="0" fontId="4" fillId="11" borderId="3" xfId="4" applyFont="1" applyFill="1" applyBorder="1" applyAlignment="1">
      <alignment horizontal="center" vertical="center" wrapText="1"/>
    </xf>
    <xf numFmtId="4" fontId="4" fillId="14" borderId="3" xfId="4" applyNumberFormat="1" applyFont="1" applyFill="1" applyBorder="1" applyAlignment="1">
      <alignment horizontal="center" vertical="center" wrapText="1"/>
    </xf>
    <xf numFmtId="3" fontId="4" fillId="14" borderId="3" xfId="4" applyNumberFormat="1" applyFont="1" applyFill="1" applyBorder="1" applyAlignment="1">
      <alignment horizontal="center" vertical="center" wrapText="1"/>
    </xf>
    <xf numFmtId="1" fontId="4" fillId="14" borderId="3" xfId="4" applyNumberFormat="1" applyFont="1" applyFill="1" applyBorder="1" applyAlignment="1">
      <alignment horizontal="center" vertical="center" wrapText="1"/>
    </xf>
    <xf numFmtId="10" fontId="4" fillId="14" borderId="3" xfId="4" applyNumberFormat="1" applyFont="1" applyFill="1" applyBorder="1" applyAlignment="1">
      <alignment horizontal="center" vertical="center" wrapText="1"/>
    </xf>
    <xf numFmtId="0" fontId="4" fillId="0" borderId="12" xfId="2" applyFont="1" applyBorder="1" applyAlignment="1">
      <alignment horizontal="center" vertical="center" wrapText="1"/>
    </xf>
    <xf numFmtId="0" fontId="4" fillId="0" borderId="49" xfId="4" applyFont="1" applyBorder="1" applyAlignment="1">
      <alignment vertical="center" wrapText="1"/>
    </xf>
    <xf numFmtId="3" fontId="4" fillId="11" borderId="3" xfId="4" applyNumberFormat="1" applyFont="1" applyFill="1" applyBorder="1" applyAlignment="1">
      <alignment horizontal="center" vertical="center" wrapText="1"/>
    </xf>
    <xf numFmtId="14" fontId="4" fillId="11" borderId="3" xfId="4" applyNumberFormat="1" applyFont="1" applyFill="1" applyBorder="1" applyAlignment="1">
      <alignment horizontal="center" vertical="center" wrapText="1"/>
    </xf>
    <xf numFmtId="0" fontId="4" fillId="14" borderId="22" xfId="4" applyFont="1" applyFill="1" applyBorder="1" applyAlignment="1">
      <alignment horizontal="center" vertical="center" wrapText="1"/>
    </xf>
    <xf numFmtId="0" fontId="4" fillId="0" borderId="0" xfId="4" applyFont="1" applyBorder="1" applyAlignment="1">
      <alignment vertical="center" wrapText="1"/>
    </xf>
    <xf numFmtId="0" fontId="4" fillId="0" borderId="0" xfId="3" applyFont="1" applyAlignment="1">
      <alignment vertical="center" wrapText="1"/>
    </xf>
    <xf numFmtId="14" fontId="4" fillId="12" borderId="0" xfId="3" applyNumberFormat="1" applyFont="1" applyFill="1" applyAlignment="1">
      <alignment horizontal="center" vertical="center" wrapText="1"/>
    </xf>
    <xf numFmtId="169" fontId="4" fillId="12" borderId="0" xfId="3" applyNumberFormat="1" applyFont="1" applyFill="1" applyAlignment="1">
      <alignment horizontal="center" vertical="center" wrapText="1"/>
    </xf>
    <xf numFmtId="4" fontId="4" fillId="0" borderId="0" xfId="3" applyNumberFormat="1" applyFont="1" applyAlignment="1">
      <alignment horizontal="center" vertical="center"/>
    </xf>
    <xf numFmtId="0" fontId="4" fillId="0" borderId="0" xfId="3" applyFont="1" applyAlignment="1">
      <alignment horizontal="center" vertical="center"/>
    </xf>
    <xf numFmtId="4" fontId="4" fillId="14" borderId="1" xfId="2" applyNumberFormat="1" applyFont="1" applyFill="1" applyBorder="1" applyAlignment="1">
      <alignment horizontal="center" vertical="center" wrapText="1"/>
    </xf>
    <xf numFmtId="3" fontId="4" fillId="0" borderId="1" xfId="2" applyNumberFormat="1" applyFont="1" applyBorder="1" applyAlignment="1">
      <alignment horizontal="center" vertical="top" wrapText="1"/>
    </xf>
    <xf numFmtId="14" fontId="4" fillId="0" borderId="1" xfId="2" applyNumberFormat="1" applyFont="1" applyBorder="1" applyAlignment="1">
      <alignment horizontal="center" vertical="top" wrapText="1"/>
    </xf>
    <xf numFmtId="1" fontId="4" fillId="14" borderId="1" xfId="2" applyNumberFormat="1" applyFont="1" applyFill="1" applyBorder="1" applyAlignment="1">
      <alignment horizontal="center" vertical="top" wrapText="1"/>
    </xf>
    <xf numFmtId="3" fontId="4" fillId="14" borderId="1" xfId="2" applyNumberFormat="1" applyFont="1" applyFill="1" applyBorder="1" applyAlignment="1">
      <alignment horizontal="center" vertical="center" wrapText="1"/>
    </xf>
    <xf numFmtId="10" fontId="4" fillId="14" borderId="1" xfId="2" applyNumberFormat="1" applyFont="1" applyFill="1" applyBorder="1" applyAlignment="1">
      <alignment horizontal="center" vertical="center" wrapText="1"/>
    </xf>
    <xf numFmtId="0" fontId="4" fillId="14" borderId="1" xfId="2" applyFont="1" applyFill="1" applyBorder="1" applyAlignment="1">
      <alignment horizontal="center" vertical="top" wrapText="1"/>
    </xf>
    <xf numFmtId="0" fontId="4" fillId="0" borderId="46" xfId="2" applyFont="1" applyBorder="1" applyAlignment="1">
      <alignment horizontal="center" vertical="center" wrapText="1"/>
    </xf>
    <xf numFmtId="0" fontId="4" fillId="14" borderId="3" xfId="2" applyFont="1" applyFill="1" applyBorder="1" applyAlignment="1">
      <alignment horizontal="center" vertical="center" wrapText="1"/>
    </xf>
    <xf numFmtId="3" fontId="4" fillId="0" borderId="1" xfId="10" applyNumberFormat="1" applyFont="1" applyBorder="1" applyAlignment="1">
      <alignment horizontal="center" vertical="center"/>
    </xf>
    <xf numFmtId="0" fontId="3" fillId="0" borderId="8" xfId="2" applyFont="1" applyBorder="1" applyAlignment="1">
      <alignment vertical="center" wrapText="1"/>
    </xf>
    <xf numFmtId="4" fontId="3" fillId="0" borderId="8" xfId="2" applyNumberFormat="1" applyFont="1" applyBorder="1" applyAlignment="1">
      <alignment horizontal="center" vertical="center" wrapText="1"/>
    </xf>
    <xf numFmtId="4" fontId="35" fillId="14" borderId="8" xfId="2" applyNumberFormat="1" applyFont="1" applyFill="1" applyBorder="1" applyAlignment="1">
      <alignment horizontal="center" vertical="center" wrapText="1"/>
    </xf>
    <xf numFmtId="3" fontId="3" fillId="0" borderId="8" xfId="2" applyNumberFormat="1" applyFont="1" applyBorder="1" applyAlignment="1">
      <alignment horizontal="center" vertical="top" wrapText="1"/>
    </xf>
    <xf numFmtId="1" fontId="3" fillId="14" borderId="8" xfId="2" applyNumberFormat="1" applyFont="1" applyFill="1" applyBorder="1" applyAlignment="1">
      <alignment horizontal="center" vertical="top" wrapText="1"/>
    </xf>
    <xf numFmtId="3" fontId="3" fillId="0" borderId="8" xfId="2" applyNumberFormat="1" applyFont="1" applyBorder="1" applyAlignment="1">
      <alignment horizontal="center" vertical="center" wrapText="1"/>
    </xf>
    <xf numFmtId="10" fontId="3" fillId="14" borderId="8" xfId="2" applyNumberFormat="1" applyFont="1" applyFill="1" applyBorder="1" applyAlignment="1">
      <alignment horizontal="center" vertical="center" wrapText="1"/>
    </xf>
    <xf numFmtId="0" fontId="3" fillId="14" borderId="8" xfId="2" applyFont="1" applyFill="1" applyBorder="1" applyAlignment="1">
      <alignment horizontal="center" vertical="top" wrapText="1"/>
    </xf>
    <xf numFmtId="0" fontId="9" fillId="0" borderId="12" xfId="2" applyFont="1" applyBorder="1" applyAlignment="1">
      <alignment horizontal="center" vertical="center" wrapText="1"/>
    </xf>
    <xf numFmtId="0" fontId="9" fillId="20" borderId="12" xfId="2" applyFont="1" applyFill="1" applyBorder="1" applyAlignment="1">
      <alignment horizontal="center" vertical="center" wrapText="1"/>
    </xf>
    <xf numFmtId="0" fontId="9" fillId="23" borderId="4" xfId="2" applyFont="1" applyFill="1" applyBorder="1" applyAlignment="1">
      <alignment horizontal="center" vertical="center" wrapText="1"/>
    </xf>
    <xf numFmtId="0" fontId="4" fillId="0" borderId="8" xfId="2" applyFont="1" applyBorder="1" applyAlignment="1">
      <alignment horizontal="center" vertical="center" wrapText="1"/>
    </xf>
    <xf numFmtId="0" fontId="4" fillId="14" borderId="8" xfId="2" applyFont="1" applyFill="1" applyBorder="1" applyAlignment="1">
      <alignment horizontal="center" vertical="center" wrapText="1"/>
    </xf>
    <xf numFmtId="0" fontId="4" fillId="0" borderId="8" xfId="2" applyFont="1" applyBorder="1" applyAlignment="1">
      <alignment vertical="center" wrapText="1"/>
    </xf>
    <xf numFmtId="4" fontId="4" fillId="0" borderId="8" xfId="2" applyNumberFormat="1" applyFont="1" applyBorder="1" applyAlignment="1">
      <alignment horizontal="center" vertical="center" wrapText="1"/>
    </xf>
    <xf numFmtId="4" fontId="4" fillId="14" borderId="8" xfId="2" applyNumberFormat="1" applyFont="1" applyFill="1" applyBorder="1" applyAlignment="1">
      <alignment horizontal="center" vertical="center" wrapText="1"/>
    </xf>
    <xf numFmtId="3" fontId="4" fillId="14" borderId="8" xfId="2" applyNumberFormat="1" applyFont="1" applyFill="1" applyBorder="1" applyAlignment="1">
      <alignment horizontal="center" vertical="top" wrapText="1"/>
    </xf>
    <xf numFmtId="3" fontId="4" fillId="0" borderId="8" xfId="2" applyNumberFormat="1" applyFont="1" applyBorder="1" applyAlignment="1">
      <alignment horizontal="center" vertical="top" wrapText="1"/>
    </xf>
    <xf numFmtId="14" fontId="4" fillId="14" borderId="8" xfId="2" applyNumberFormat="1" applyFont="1" applyFill="1" applyBorder="1" applyAlignment="1">
      <alignment horizontal="center" vertical="top" wrapText="1"/>
    </xf>
    <xf numFmtId="14" fontId="4" fillId="0" borderId="8" xfId="3" applyNumberFormat="1" applyFont="1" applyBorder="1" applyAlignment="1">
      <alignment horizontal="center" vertical="top"/>
    </xf>
    <xf numFmtId="1" fontId="4" fillId="14" borderId="8" xfId="2" applyNumberFormat="1" applyFont="1" applyFill="1" applyBorder="1" applyAlignment="1">
      <alignment horizontal="center" vertical="top" wrapText="1"/>
    </xf>
    <xf numFmtId="3" fontId="4" fillId="0" borderId="8" xfId="2" applyNumberFormat="1" applyFont="1" applyBorder="1" applyAlignment="1">
      <alignment horizontal="center" vertical="center" wrapText="1"/>
    </xf>
    <xf numFmtId="10" fontId="4" fillId="14" borderId="8" xfId="2" applyNumberFormat="1" applyFont="1" applyFill="1" applyBorder="1" applyAlignment="1">
      <alignment horizontal="center" vertical="center" wrapText="1"/>
    </xf>
    <xf numFmtId="0" fontId="4" fillId="14" borderId="8" xfId="2" applyFont="1" applyFill="1" applyBorder="1" applyAlignment="1">
      <alignment horizontal="center" vertical="top" wrapText="1"/>
    </xf>
    <xf numFmtId="0" fontId="28" fillId="0" borderId="0" xfId="2" applyFont="1" applyAlignment="1">
      <alignment horizontal="center" vertical="center" wrapText="1"/>
    </xf>
    <xf numFmtId="0" fontId="28" fillId="20" borderId="0" xfId="2" applyFont="1" applyFill="1" applyAlignment="1">
      <alignment horizontal="center" vertical="center" wrapText="1"/>
    </xf>
    <xf numFmtId="0" fontId="4" fillId="0" borderId="1" xfId="2" applyFont="1" applyBorder="1" applyAlignment="1">
      <alignment vertical="center" wrapText="1"/>
    </xf>
    <xf numFmtId="14" fontId="4" fillId="0" borderId="1" xfId="3" applyNumberFormat="1" applyFont="1" applyBorder="1" applyAlignment="1">
      <alignment horizontal="center" vertical="top"/>
    </xf>
    <xf numFmtId="3" fontId="4" fillId="0" borderId="1" xfId="2" applyNumberFormat="1" applyFont="1" applyBorder="1" applyAlignment="1">
      <alignment horizontal="center" vertical="center" wrapText="1"/>
    </xf>
    <xf numFmtId="0" fontId="28" fillId="0" borderId="1" xfId="2" applyFont="1" applyBorder="1" applyAlignment="1">
      <alignment horizontal="center" vertical="center" wrapText="1"/>
    </xf>
    <xf numFmtId="0" fontId="28" fillId="20" borderId="1" xfId="2" applyFont="1" applyFill="1" applyBorder="1" applyAlignment="1">
      <alignment horizontal="center" vertical="center" wrapText="1"/>
    </xf>
    <xf numFmtId="0" fontId="4" fillId="14" borderId="7" xfId="2" applyFont="1" applyFill="1" applyBorder="1" applyAlignment="1">
      <alignment horizontal="center" vertical="center" wrapText="1"/>
    </xf>
    <xf numFmtId="0" fontId="4" fillId="0" borderId="12" xfId="2" applyFont="1" applyBorder="1" applyAlignment="1">
      <alignment horizontal="left" vertical="center" wrapText="1"/>
    </xf>
    <xf numFmtId="0" fontId="4" fillId="14" borderId="12" xfId="2" applyFont="1" applyFill="1" applyBorder="1" applyAlignment="1">
      <alignment horizontal="center" vertical="center" wrapText="1"/>
    </xf>
    <xf numFmtId="4" fontId="4" fillId="14" borderId="12" xfId="2" applyNumberFormat="1" applyFont="1" applyFill="1" applyBorder="1" applyAlignment="1">
      <alignment horizontal="center" vertical="center" wrapText="1"/>
    </xf>
    <xf numFmtId="165" fontId="4" fillId="14" borderId="12" xfId="2" applyNumberFormat="1" applyFont="1" applyFill="1" applyBorder="1" applyAlignment="1">
      <alignment horizontal="center" vertical="center" wrapText="1"/>
    </xf>
    <xf numFmtId="3" fontId="4" fillId="0" borderId="12" xfId="2" applyNumberFormat="1" applyFont="1" applyBorder="1" applyAlignment="1">
      <alignment horizontal="center" vertical="top" wrapText="1"/>
    </xf>
    <xf numFmtId="3" fontId="4" fillId="14" borderId="12" xfId="2" applyNumberFormat="1" applyFont="1" applyFill="1" applyBorder="1" applyAlignment="1">
      <alignment horizontal="center" vertical="top" wrapText="1"/>
    </xf>
    <xf numFmtId="14" fontId="4" fillId="14" borderId="12" xfId="2" applyNumberFormat="1" applyFont="1" applyFill="1" applyBorder="1" applyAlignment="1">
      <alignment horizontal="center" vertical="top" wrapText="1"/>
    </xf>
    <xf numFmtId="14" fontId="4" fillId="0" borderId="12" xfId="2" applyNumberFormat="1" applyFont="1" applyBorder="1" applyAlignment="1">
      <alignment horizontal="center" vertical="top" wrapText="1"/>
    </xf>
    <xf numFmtId="164" fontId="4" fillId="0" borderId="12" xfId="2" applyNumberFormat="1" applyFont="1" applyBorder="1" applyAlignment="1">
      <alignment horizontal="center" vertical="top" wrapText="1"/>
    </xf>
    <xf numFmtId="1" fontId="4" fillId="14" borderId="12" xfId="2" applyNumberFormat="1" applyFont="1" applyFill="1" applyBorder="1" applyAlignment="1">
      <alignment horizontal="center" vertical="top" wrapText="1"/>
    </xf>
    <xf numFmtId="3" fontId="4" fillId="0" borderId="12" xfId="2" applyNumberFormat="1" applyFont="1" applyBorder="1" applyAlignment="1">
      <alignment horizontal="center" vertical="center" wrapText="1"/>
    </xf>
    <xf numFmtId="1" fontId="4" fillId="0" borderId="12" xfId="2" applyNumberFormat="1" applyFont="1" applyBorder="1" applyAlignment="1">
      <alignment horizontal="center" vertical="center" wrapText="1"/>
    </xf>
    <xf numFmtId="10" fontId="4" fillId="0" borderId="12" xfId="2" applyNumberFormat="1" applyFont="1" applyBorder="1" applyAlignment="1">
      <alignment horizontal="center" vertical="center" wrapText="1"/>
    </xf>
    <xf numFmtId="0" fontId="28" fillId="14" borderId="12" xfId="2" applyFont="1" applyFill="1" applyBorder="1" applyAlignment="1">
      <alignment horizontal="center" vertical="center" wrapText="1"/>
    </xf>
    <xf numFmtId="0" fontId="4" fillId="12" borderId="0" xfId="2" applyFont="1" applyFill="1" applyAlignment="1">
      <alignment horizontal="center" vertical="center" wrapText="1"/>
    </xf>
    <xf numFmtId="4" fontId="4" fillId="11" borderId="1" xfId="2" applyNumberFormat="1" applyFont="1" applyFill="1" applyBorder="1" applyAlignment="1">
      <alignment horizontal="center" vertical="center" wrapText="1"/>
    </xf>
    <xf numFmtId="0" fontId="4" fillId="12" borderId="1" xfId="2" applyFont="1" applyFill="1" applyBorder="1" applyAlignment="1">
      <alignment horizontal="center" vertical="center" wrapText="1"/>
    </xf>
    <xf numFmtId="0" fontId="4" fillId="12" borderId="1" xfId="2" applyFont="1" applyFill="1" applyBorder="1" applyAlignment="1">
      <alignment horizontal="left" vertical="center" wrapText="1"/>
    </xf>
    <xf numFmtId="0" fontId="4" fillId="11" borderId="1" xfId="2" applyFont="1" applyFill="1" applyBorder="1" applyAlignment="1">
      <alignment horizontal="center" vertical="center" wrapText="1"/>
    </xf>
    <xf numFmtId="165" fontId="4" fillId="11" borderId="1" xfId="2" applyNumberFormat="1" applyFont="1" applyFill="1" applyBorder="1" applyAlignment="1">
      <alignment horizontal="center" vertical="center" wrapText="1"/>
    </xf>
    <xf numFmtId="4" fontId="4" fillId="12" borderId="1" xfId="2" applyNumberFormat="1" applyFont="1" applyFill="1" applyBorder="1" applyAlignment="1">
      <alignment horizontal="center" vertical="center" wrapText="1"/>
    </xf>
    <xf numFmtId="4" fontId="4" fillId="12" borderId="1" xfId="2" applyNumberFormat="1" applyFont="1" applyFill="1" applyBorder="1" applyAlignment="1">
      <alignment horizontal="center" vertical="top" wrapText="1"/>
    </xf>
    <xf numFmtId="3" fontId="4" fillId="12" borderId="1" xfId="2" applyNumberFormat="1" applyFont="1" applyFill="1" applyBorder="1" applyAlignment="1">
      <alignment horizontal="center" vertical="top" wrapText="1"/>
    </xf>
    <xf numFmtId="14" fontId="4" fillId="11" borderId="1" xfId="2" applyNumberFormat="1" applyFont="1" applyFill="1" applyBorder="1" applyAlignment="1">
      <alignment horizontal="center" vertical="top" wrapText="1"/>
    </xf>
    <xf numFmtId="14" fontId="4" fillId="12" borderId="1" xfId="2" applyNumberFormat="1" applyFont="1" applyFill="1" applyBorder="1" applyAlignment="1">
      <alignment horizontal="center" vertical="top" wrapText="1"/>
    </xf>
    <xf numFmtId="3" fontId="4" fillId="11" borderId="1" xfId="2" applyNumberFormat="1" applyFont="1" applyFill="1" applyBorder="1" applyAlignment="1">
      <alignment horizontal="center" vertical="top" wrapText="1"/>
    </xf>
    <xf numFmtId="1" fontId="4" fillId="11" borderId="1" xfId="2" applyNumberFormat="1" applyFont="1" applyFill="1" applyBorder="1" applyAlignment="1">
      <alignment horizontal="center" vertical="top" wrapText="1"/>
    </xf>
    <xf numFmtId="3" fontId="4" fillId="12" borderId="1" xfId="2" applyNumberFormat="1" applyFont="1" applyFill="1" applyBorder="1" applyAlignment="1">
      <alignment horizontal="center" vertical="center" wrapText="1"/>
    </xf>
    <xf numFmtId="1" fontId="4" fillId="12" borderId="1" xfId="2" applyNumberFormat="1" applyFont="1" applyFill="1" applyBorder="1" applyAlignment="1">
      <alignment horizontal="center" vertical="top" wrapText="1"/>
    </xf>
    <xf numFmtId="10" fontId="4" fillId="12" borderId="1" xfId="2" applyNumberFormat="1" applyFont="1" applyFill="1" applyBorder="1" applyAlignment="1">
      <alignment horizontal="center" vertical="center" wrapText="1"/>
    </xf>
    <xf numFmtId="4" fontId="1" fillId="0" borderId="1" xfId="3" applyNumberFormat="1" applyBorder="1" applyAlignment="1">
      <alignment horizontal="center" vertical="center"/>
    </xf>
    <xf numFmtId="4" fontId="1" fillId="0" borderId="8" xfId="3" applyNumberFormat="1" applyBorder="1" applyAlignment="1">
      <alignment horizontal="center" vertical="center"/>
    </xf>
    <xf numFmtId="14" fontId="3" fillId="0" borderId="1" xfId="3" applyNumberFormat="1" applyFont="1" applyBorder="1" applyAlignment="1">
      <alignment horizontal="center" vertical="center" wrapText="1"/>
    </xf>
    <xf numFmtId="0" fontId="42" fillId="46" borderId="55" xfId="2" applyFont="1" applyFill="1" applyBorder="1" applyAlignment="1">
      <alignment horizontal="center" vertical="center" wrapText="1"/>
    </xf>
    <xf numFmtId="49" fontId="42" fillId="45" borderId="56" xfId="0" applyNumberFormat="1" applyFont="1" applyFill="1" applyBorder="1" applyAlignment="1">
      <alignment horizontal="center" vertical="center" wrapText="1"/>
    </xf>
    <xf numFmtId="3" fontId="42" fillId="47" borderId="57" xfId="2" applyNumberFormat="1" applyFont="1" applyFill="1" applyBorder="1" applyAlignment="1">
      <alignment horizontal="center" vertical="center" wrapText="1"/>
    </xf>
    <xf numFmtId="2" fontId="42" fillId="30" borderId="57" xfId="0" applyNumberFormat="1" applyFont="1" applyFill="1" applyBorder="1" applyAlignment="1">
      <alignment horizontal="center" vertical="center" wrapText="1"/>
    </xf>
    <xf numFmtId="4" fontId="43" fillId="47" borderId="57" xfId="2" applyNumberFormat="1" applyFont="1" applyFill="1" applyBorder="1" applyAlignment="1">
      <alignment horizontal="center" vertical="center" wrapText="1"/>
    </xf>
    <xf numFmtId="49" fontId="42" fillId="48" borderId="57" xfId="2" applyNumberFormat="1" applyFont="1" applyFill="1" applyBorder="1" applyAlignment="1">
      <alignment horizontal="center" vertical="center" wrapText="1"/>
    </xf>
    <xf numFmtId="14" fontId="42" fillId="48" borderId="58" xfId="2" applyNumberFormat="1" applyFont="1" applyFill="1" applyBorder="1" applyAlignment="1">
      <alignment horizontal="center" vertical="center" wrapText="1"/>
    </xf>
    <xf numFmtId="3" fontId="42" fillId="50" borderId="59" xfId="2" applyNumberFormat="1" applyFont="1" applyFill="1" applyBorder="1" applyAlignment="1">
      <alignment horizontal="center" vertical="center" wrapText="1"/>
    </xf>
    <xf numFmtId="3" fontId="42" fillId="50" borderId="57" xfId="2" applyNumberFormat="1" applyFont="1" applyFill="1" applyBorder="1" applyAlignment="1">
      <alignment horizontal="center" vertical="center" wrapText="1"/>
    </xf>
    <xf numFmtId="14" fontId="42" fillId="50" borderId="57" xfId="2" applyNumberFormat="1" applyFont="1" applyFill="1" applyBorder="1" applyAlignment="1">
      <alignment horizontal="center" vertical="center" wrapText="1"/>
    </xf>
    <xf numFmtId="0" fontId="42" fillId="50" borderId="57" xfId="2" applyFont="1" applyFill="1" applyBorder="1" applyAlignment="1">
      <alignment horizontal="center" vertical="center" wrapText="1"/>
    </xf>
    <xf numFmtId="49" fontId="42" fillId="50" borderId="57" xfId="2" applyNumberFormat="1" applyFont="1" applyFill="1" applyBorder="1" applyAlignment="1">
      <alignment horizontal="center" vertical="center" wrapText="1"/>
    </xf>
    <xf numFmtId="14" fontId="42" fillId="51" borderId="57" xfId="2" applyNumberFormat="1" applyFont="1" applyFill="1" applyBorder="1" applyAlignment="1">
      <alignment horizontal="center" vertical="center" wrapText="1"/>
    </xf>
    <xf numFmtId="49" fontId="42" fillId="51" borderId="57" xfId="2" applyNumberFormat="1" applyFont="1" applyFill="1" applyBorder="1" applyAlignment="1">
      <alignment horizontal="center" vertical="center" wrapText="1"/>
    </xf>
    <xf numFmtId="3" fontId="42" fillId="52" borderId="57" xfId="2" applyNumberFormat="1" applyFont="1" applyFill="1" applyBorder="1" applyAlignment="1">
      <alignment horizontal="center" vertical="center" wrapText="1"/>
    </xf>
    <xf numFmtId="14" fontId="42" fillId="52" borderId="57" xfId="2" applyNumberFormat="1" applyFont="1" applyFill="1" applyBorder="1" applyAlignment="1">
      <alignment horizontal="center" vertical="center" wrapText="1"/>
    </xf>
    <xf numFmtId="49" fontId="42" fillId="53" borderId="57" xfId="2" applyNumberFormat="1" applyFont="1" applyFill="1" applyBorder="1" applyAlignment="1">
      <alignment horizontal="center" vertical="center" wrapText="1"/>
    </xf>
    <xf numFmtId="169" fontId="42" fillId="53" borderId="57" xfId="2" applyNumberFormat="1" applyFont="1" applyFill="1" applyBorder="1" applyAlignment="1">
      <alignment horizontal="center" vertical="center" wrapText="1"/>
    </xf>
    <xf numFmtId="3" fontId="42" fillId="53" borderId="55" xfId="2" applyNumberFormat="1" applyFont="1" applyFill="1" applyBorder="1" applyAlignment="1">
      <alignment horizontal="center" vertical="center" wrapText="1"/>
    </xf>
    <xf numFmtId="1" fontId="42" fillId="53" borderId="55" xfId="2" applyNumberFormat="1" applyFont="1" applyFill="1" applyBorder="1" applyAlignment="1">
      <alignment horizontal="center" vertical="center" wrapText="1"/>
    </xf>
    <xf numFmtId="49" fontId="42" fillId="54" borderId="55" xfId="3" applyNumberFormat="1" applyFont="1" applyFill="1" applyBorder="1" applyAlignment="1">
      <alignment horizontal="center" vertical="center" wrapText="1"/>
    </xf>
    <xf numFmtId="1" fontId="42" fillId="55" borderId="55" xfId="3" applyNumberFormat="1" applyFont="1" applyFill="1" applyBorder="1" applyAlignment="1">
      <alignment horizontal="center" vertical="center" wrapText="1"/>
    </xf>
    <xf numFmtId="49" fontId="42" fillId="55" borderId="55" xfId="3" applyNumberFormat="1" applyFont="1" applyFill="1" applyBorder="1" applyAlignment="1">
      <alignment horizontal="center" vertical="center" wrapText="1"/>
    </xf>
    <xf numFmtId="49" fontId="42" fillId="46" borderId="55" xfId="2" applyNumberFormat="1" applyFont="1" applyFill="1" applyBorder="1" applyAlignment="1">
      <alignment horizontal="center" vertical="center" wrapText="1"/>
    </xf>
    <xf numFmtId="10" fontId="42" fillId="46" borderId="55" xfId="2" applyNumberFormat="1" applyFont="1" applyFill="1" applyBorder="1" applyAlignment="1">
      <alignment horizontal="center" vertical="center" wrapText="1"/>
    </xf>
    <xf numFmtId="0" fontId="42" fillId="57" borderId="55" xfId="2" applyFont="1" applyFill="1" applyBorder="1" applyAlignment="1">
      <alignment horizontal="center" vertical="center" wrapText="1"/>
    </xf>
    <xf numFmtId="0" fontId="42" fillId="56" borderId="50" xfId="0" applyFont="1" applyFill="1" applyBorder="1" applyAlignment="1">
      <alignment horizontal="center" vertical="center"/>
    </xf>
    <xf numFmtId="0" fontId="42" fillId="45" borderId="62" xfId="0" applyFont="1" applyFill="1" applyBorder="1" applyAlignment="1">
      <alignment horizontal="center" vertical="center"/>
    </xf>
    <xf numFmtId="0" fontId="20" fillId="0" borderId="0" xfId="0" applyFont="1"/>
    <xf numFmtId="0" fontId="20" fillId="27" borderId="0" xfId="0" applyFont="1" applyFill="1" applyAlignment="1">
      <alignment horizontal="center" vertical="center"/>
    </xf>
    <xf numFmtId="0" fontId="20" fillId="0" borderId="0" xfId="0" applyFont="1" applyAlignment="1">
      <alignment wrapText="1"/>
    </xf>
    <xf numFmtId="0" fontId="20" fillId="0" borderId="0" xfId="0" applyFont="1" applyAlignment="1">
      <alignment horizontal="center"/>
    </xf>
    <xf numFmtId="3" fontId="20" fillId="0" borderId="0" xfId="0" applyNumberFormat="1" applyFont="1"/>
    <xf numFmtId="3" fontId="20" fillId="0" borderId="0" xfId="0" applyNumberFormat="1" applyFont="1" applyAlignment="1">
      <alignment horizontal="center"/>
    </xf>
    <xf numFmtId="14" fontId="20" fillId="0" borderId="0" xfId="0" applyNumberFormat="1" applyFont="1" applyAlignment="1">
      <alignment horizontal="center"/>
    </xf>
    <xf numFmtId="4" fontId="20" fillId="0" borderId="0" xfId="0" applyNumberFormat="1" applyFont="1"/>
    <xf numFmtId="4" fontId="20" fillId="0" borderId="0" xfId="0" applyNumberFormat="1" applyFont="1" applyAlignment="1">
      <alignment horizontal="center"/>
    </xf>
    <xf numFmtId="0" fontId="20" fillId="0" borderId="0" xfId="0" applyFont="1" applyAlignment="1">
      <alignment horizontal="center" vertical="center"/>
    </xf>
    <xf numFmtId="4" fontId="20" fillId="0" borderId="0" xfId="0" applyNumberFormat="1" applyFont="1" applyAlignment="1">
      <alignment vertical="center"/>
    </xf>
    <xf numFmtId="3" fontId="20" fillId="0" borderId="0" xfId="0" applyNumberFormat="1" applyFont="1" applyAlignment="1">
      <alignment vertical="center"/>
    </xf>
    <xf numFmtId="0" fontId="20" fillId="0" borderId="0" xfId="0" applyFont="1" applyAlignment="1">
      <alignment vertical="center"/>
    </xf>
    <xf numFmtId="14" fontId="20" fillId="0" borderId="0" xfId="0" applyNumberFormat="1" applyFont="1" applyAlignment="1">
      <alignment horizontal="center" vertical="center"/>
    </xf>
    <xf numFmtId="3" fontId="20" fillId="0" borderId="0" xfId="0" applyNumberFormat="1" applyFont="1" applyAlignment="1">
      <alignment horizontal="center" vertical="center"/>
    </xf>
    <xf numFmtId="4" fontId="20" fillId="0" borderId="0" xfId="0" applyNumberFormat="1" applyFont="1" applyAlignment="1">
      <alignment horizontal="center" vertical="center"/>
    </xf>
    <xf numFmtId="0" fontId="20" fillId="0" borderId="0" xfId="0" applyFont="1" applyAlignment="1">
      <alignment horizontal="center" vertical="center" wrapText="1"/>
    </xf>
    <xf numFmtId="3" fontId="3" fillId="0" borderId="3" xfId="4" applyNumberFormat="1" applyFont="1" applyBorder="1" applyAlignment="1">
      <alignment horizontal="center" vertical="center" wrapText="1"/>
    </xf>
    <xf numFmtId="3" fontId="3" fillId="8" borderId="3" xfId="2" applyNumberFormat="1" applyFont="1" applyFill="1" applyBorder="1" applyAlignment="1">
      <alignment horizontal="center" vertical="top" wrapText="1"/>
    </xf>
    <xf numFmtId="3" fontId="3" fillId="20" borderId="3" xfId="2" applyNumberFormat="1" applyFont="1" applyFill="1" applyBorder="1" applyAlignment="1">
      <alignment horizontal="center" vertical="top" wrapText="1"/>
    </xf>
    <xf numFmtId="3" fontId="3" fillId="18" borderId="9" xfId="2" applyNumberFormat="1" applyFont="1" applyFill="1" applyBorder="1" applyAlignment="1">
      <alignment horizontal="center" vertical="top" wrapText="1"/>
    </xf>
    <xf numFmtId="3" fontId="3" fillId="18" borderId="2" xfId="2" applyNumberFormat="1" applyFont="1" applyFill="1" applyBorder="1" applyAlignment="1">
      <alignment horizontal="center" vertical="top" wrapText="1"/>
    </xf>
    <xf numFmtId="3" fontId="3" fillId="9" borderId="3" xfId="2" applyNumberFormat="1" applyFont="1" applyFill="1" applyBorder="1" applyAlignment="1">
      <alignment horizontal="center" vertical="top" wrapText="1"/>
    </xf>
    <xf numFmtId="3" fontId="3" fillId="24" borderId="3" xfId="2" applyNumberFormat="1" applyFont="1" applyFill="1" applyBorder="1" applyAlignment="1">
      <alignment horizontal="center" vertical="top" wrapText="1"/>
    </xf>
    <xf numFmtId="3" fontId="3" fillId="11" borderId="3" xfId="2" applyNumberFormat="1" applyFont="1" applyFill="1" applyBorder="1" applyAlignment="1">
      <alignment horizontal="center" vertical="top" wrapText="1"/>
    </xf>
    <xf numFmtId="3" fontId="3" fillId="15" borderId="3" xfId="4" applyNumberFormat="1" applyFont="1" applyFill="1" applyBorder="1" applyAlignment="1">
      <alignment horizontal="center" vertical="center" wrapText="1"/>
    </xf>
    <xf numFmtId="3" fontId="3" fillId="16" borderId="3" xfId="4" applyNumberFormat="1" applyFont="1" applyFill="1" applyBorder="1" applyAlignment="1">
      <alignment horizontal="center" vertical="center" wrapText="1"/>
    </xf>
    <xf numFmtId="3" fontId="3" fillId="23" borderId="3" xfId="4" applyNumberFormat="1" applyFont="1" applyFill="1" applyBorder="1" applyAlignment="1">
      <alignment horizontal="center" vertical="center" wrapText="1"/>
    </xf>
    <xf numFmtId="3" fontId="3" fillId="14" borderId="46" xfId="2" applyNumberFormat="1" applyFont="1" applyFill="1" applyBorder="1" applyAlignment="1">
      <alignment horizontal="center" vertical="top" wrapText="1"/>
    </xf>
    <xf numFmtId="3" fontId="3" fillId="14" borderId="23" xfId="2" applyNumberFormat="1" applyFont="1" applyFill="1" applyBorder="1" applyAlignment="1">
      <alignment horizontal="center" vertical="top" wrapText="1"/>
    </xf>
    <xf numFmtId="3" fontId="3" fillId="8" borderId="1" xfId="2" applyNumberFormat="1" applyFont="1" applyFill="1" applyBorder="1" applyAlignment="1">
      <alignment horizontal="center" vertical="top" wrapText="1"/>
    </xf>
    <xf numFmtId="3" fontId="3" fillId="20" borderId="1" xfId="2" applyNumberFormat="1" applyFont="1" applyFill="1" applyBorder="1" applyAlignment="1">
      <alignment horizontal="center" vertical="top" wrapText="1"/>
    </xf>
    <xf numFmtId="3" fontId="3" fillId="18" borderId="1" xfId="2" applyNumberFormat="1" applyFont="1" applyFill="1" applyBorder="1" applyAlignment="1">
      <alignment horizontal="center" vertical="top" wrapText="1"/>
    </xf>
    <xf numFmtId="3" fontId="4" fillId="14" borderId="46" xfId="2" applyNumberFormat="1" applyFont="1" applyFill="1" applyBorder="1" applyAlignment="1">
      <alignment horizontal="center" vertical="top" wrapText="1"/>
    </xf>
    <xf numFmtId="3" fontId="4" fillId="14" borderId="23" xfId="2" applyNumberFormat="1" applyFont="1" applyFill="1" applyBorder="1" applyAlignment="1">
      <alignment horizontal="center" vertical="top" wrapText="1"/>
    </xf>
    <xf numFmtId="3" fontId="3" fillId="14" borderId="1" xfId="2" applyNumberFormat="1" applyFont="1" applyFill="1" applyBorder="1" applyAlignment="1">
      <alignment horizontal="center" vertical="top" wrapText="1"/>
    </xf>
    <xf numFmtId="0" fontId="42" fillId="49" borderId="60" xfId="0" applyFont="1" applyFill="1" applyBorder="1" applyAlignment="1">
      <alignment horizontal="center" vertical="center"/>
    </xf>
    <xf numFmtId="0" fontId="42" fillId="49" borderId="61" xfId="0" applyFont="1" applyFill="1" applyBorder="1" applyAlignment="1">
      <alignment horizontal="center" vertical="center"/>
    </xf>
    <xf numFmtId="0" fontId="42" fillId="49" borderId="62" xfId="0" applyFont="1" applyFill="1" applyBorder="1" applyAlignment="1">
      <alignment horizontal="center" vertical="center"/>
    </xf>
    <xf numFmtId="0" fontId="42" fillId="44" borderId="60" xfId="0" applyFont="1" applyFill="1" applyBorder="1" applyAlignment="1">
      <alignment horizontal="center" vertical="center"/>
    </xf>
    <xf numFmtId="0" fontId="42" fillId="44" borderId="61" xfId="0" applyFont="1" applyFill="1" applyBorder="1" applyAlignment="1">
      <alignment horizontal="center" vertical="center"/>
    </xf>
    <xf numFmtId="0" fontId="42" fillId="44" borderId="62" xfId="0" applyFont="1" applyFill="1" applyBorder="1" applyAlignment="1">
      <alignment horizontal="center" vertical="center"/>
    </xf>
    <xf numFmtId="0" fontId="42" fillId="30" borderId="61" xfId="0" applyFont="1" applyFill="1" applyBorder="1" applyAlignment="1">
      <alignment horizontal="center" vertical="center"/>
    </xf>
    <xf numFmtId="0" fontId="42" fillId="30" borderId="62" xfId="0" applyFont="1" applyFill="1" applyBorder="1" applyAlignment="1">
      <alignment horizontal="center" vertical="center"/>
    </xf>
  </cellXfs>
  <cellStyles count="13">
    <cellStyle name="?_x001d_?'&amp;Oy—&amp;Hy_x000b__x0008_?_x0005_v_x0006__x000f__x0001__x0001_" xfId="11" xr:uid="{00000000-0005-0000-0000-000000000000}"/>
    <cellStyle name="Comma 2" xfId="8" xr:uid="{00000000-0005-0000-0000-000001000000}"/>
    <cellStyle name="Comma 4 4" xfId="10" xr:uid="{00000000-0005-0000-0000-000002000000}"/>
    <cellStyle name="Comma 8 2" xfId="9" xr:uid="{00000000-0005-0000-0000-000003000000}"/>
    <cellStyle name="Currency 2 4" xfId="7" xr:uid="{00000000-0005-0000-0000-000004000000}"/>
    <cellStyle name="Good 4" xfId="12" xr:uid="{00000000-0005-0000-0000-000005000000}"/>
    <cellStyle name="Normal" xfId="0" builtinId="0"/>
    <cellStyle name="Normal 2 3 2" xfId="4" xr:uid="{00000000-0005-0000-0000-000007000000}"/>
    <cellStyle name="Normal 2 3 5" xfId="3" xr:uid="{00000000-0005-0000-0000-000008000000}"/>
    <cellStyle name="Normal 3 2" xfId="5" xr:uid="{00000000-0005-0000-0000-000009000000}"/>
    <cellStyle name="Normal 3 3" xfId="6" xr:uid="{00000000-0005-0000-0000-00000A000000}"/>
    <cellStyle name="Normal 4" xfId="2" xr:uid="{00000000-0005-0000-0000-00000B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XFD1699"/>
  <sheetViews>
    <sheetView topLeftCell="D1" zoomScale="70" zoomScaleNormal="70" zoomScaleSheetLayoutView="70" workbookViewId="0">
      <selection activeCell="AF1" sqref="AF1"/>
    </sheetView>
  </sheetViews>
  <sheetFormatPr defaultColWidth="15.33203125" defaultRowHeight="23.4" customHeight="1" x14ac:dyDescent="0.3"/>
  <cols>
    <col min="1" max="1" width="15.33203125" style="1311"/>
    <col min="2" max="2" width="15.33203125" style="1312"/>
    <col min="3" max="3" width="108.33203125" style="1305" customWidth="1"/>
    <col min="4" max="4" width="18" style="1312" customWidth="1"/>
    <col min="5" max="5" width="16.5546875" style="1312" customWidth="1"/>
    <col min="6" max="6" width="27.44140625" style="1312" customWidth="1"/>
    <col min="7" max="7" width="21.44140625" style="1312" customWidth="1"/>
    <col min="8" max="8" width="21.88671875" style="1306" customWidth="1"/>
    <col min="9" max="9" width="22.33203125" style="1314" customWidth="1"/>
    <col min="10" max="10" width="20" style="1306" customWidth="1"/>
    <col min="11" max="11" width="17.6640625" style="1644" customWidth="1"/>
    <col min="12" max="12" width="18.33203125" style="1644" customWidth="1"/>
    <col min="13" max="13" width="20.5546875" style="1314" customWidth="1"/>
    <col min="14" max="14" width="32.6640625" style="1314" customWidth="1"/>
    <col min="15" max="15" width="38.5546875" style="1314" customWidth="1"/>
    <col min="16" max="16" width="15.33203125" style="1314" customWidth="1"/>
    <col min="17" max="17" width="15.33203125" style="1319" customWidth="1"/>
    <col min="18" max="18" width="15.33203125" style="1314" customWidth="1"/>
    <col min="19" max="19" width="15.33203125" style="1319" customWidth="1"/>
    <col min="20" max="20" width="15.33203125" style="1314" customWidth="1"/>
    <col min="21" max="21" width="15.33203125" style="1319" customWidth="1"/>
    <col min="22" max="22" width="15.33203125" style="1314" customWidth="1"/>
    <col min="23" max="23" width="15.33203125" style="1319" customWidth="1"/>
    <col min="24" max="24" width="15.33203125" style="1314" customWidth="1"/>
    <col min="25" max="25" width="15.33203125" style="1319" customWidth="1"/>
    <col min="26" max="26" width="15.33203125" style="1314" customWidth="1"/>
    <col min="27" max="27" width="15.33203125" style="1319" customWidth="1"/>
    <col min="28" max="28" width="15.33203125" style="1314" customWidth="1"/>
    <col min="29" max="30" width="15.33203125" style="1319" customWidth="1"/>
    <col min="31" max="31" width="14.6640625" style="1563" customWidth="1"/>
    <col min="32" max="32" width="12.44140625" style="1314" customWidth="1"/>
    <col min="33" max="33" width="15.44140625" style="1320" customWidth="1"/>
    <col min="34" max="34" width="21" style="1306" customWidth="1"/>
    <col min="35" max="35" width="18.33203125" style="1321" customWidth="1"/>
    <col min="36" max="36" width="15.33203125" style="292" customWidth="1"/>
    <col min="37" max="38" width="15.33203125" style="241" customWidth="1"/>
    <col min="39" max="39" width="15.33203125" style="1322"/>
    <col min="40" max="40" width="55.6640625" style="1323" customWidth="1"/>
    <col min="41" max="16384" width="15.33203125" style="241"/>
  </cols>
  <sheetData>
    <row r="1" spans="1:129" s="102" customFormat="1" ht="100.8" x14ac:dyDescent="0.3">
      <c r="A1" s="452" t="s">
        <v>0</v>
      </c>
      <c r="B1" s="452" t="s">
        <v>4011</v>
      </c>
      <c r="C1" s="453" t="s">
        <v>4012</v>
      </c>
      <c r="D1" s="452" t="s">
        <v>1</v>
      </c>
      <c r="E1" s="452" t="s">
        <v>2</v>
      </c>
      <c r="F1" s="452" t="s">
        <v>3</v>
      </c>
      <c r="G1" s="452" t="s">
        <v>4</v>
      </c>
      <c r="H1" s="454" t="s">
        <v>5</v>
      </c>
      <c r="I1" s="455" t="s">
        <v>6</v>
      </c>
      <c r="J1" s="456" t="s">
        <v>7</v>
      </c>
      <c r="K1" s="1601" t="s">
        <v>8</v>
      </c>
      <c r="L1" s="1601" t="s">
        <v>9</v>
      </c>
      <c r="M1" s="455" t="s">
        <v>10</v>
      </c>
      <c r="N1" s="455" t="s">
        <v>11</v>
      </c>
      <c r="O1" s="455" t="s">
        <v>12</v>
      </c>
      <c r="P1" s="457" t="s">
        <v>13</v>
      </c>
      <c r="Q1" s="458" t="s">
        <v>14</v>
      </c>
      <c r="R1" s="457" t="s">
        <v>15</v>
      </c>
      <c r="S1" s="458" t="s">
        <v>14</v>
      </c>
      <c r="T1" s="457" t="s">
        <v>16</v>
      </c>
      <c r="U1" s="458" t="s">
        <v>14</v>
      </c>
      <c r="V1" s="459" t="s">
        <v>17</v>
      </c>
      <c r="W1" s="460" t="s">
        <v>14</v>
      </c>
      <c r="X1" s="459" t="s">
        <v>18</v>
      </c>
      <c r="Y1" s="460" t="s">
        <v>14</v>
      </c>
      <c r="Z1" s="461" t="s">
        <v>19</v>
      </c>
      <c r="AA1" s="462" t="s">
        <v>14</v>
      </c>
      <c r="AB1" s="461" t="s">
        <v>18</v>
      </c>
      <c r="AC1" s="462" t="s">
        <v>14</v>
      </c>
      <c r="AD1" s="463" t="s">
        <v>20</v>
      </c>
      <c r="AE1" s="1517" t="s">
        <v>21</v>
      </c>
      <c r="AF1" s="455" t="s">
        <v>22</v>
      </c>
      <c r="AG1" s="464" t="s">
        <v>23</v>
      </c>
      <c r="AH1" s="465" t="s">
        <v>24</v>
      </c>
      <c r="AI1" s="466" t="s">
        <v>25</v>
      </c>
      <c r="AJ1" s="467" t="s">
        <v>26</v>
      </c>
      <c r="AK1" s="468" t="s">
        <v>27</v>
      </c>
      <c r="AL1" s="452" t="s">
        <v>28</v>
      </c>
      <c r="AM1" s="469" t="s">
        <v>29</v>
      </c>
      <c r="AN1" s="468" t="s">
        <v>30</v>
      </c>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358"/>
    </row>
    <row r="2" spans="1:129" s="365" customFormat="1" ht="64.2" customHeight="1" x14ac:dyDescent="0.3">
      <c r="A2" s="470" t="s">
        <v>31</v>
      </c>
      <c r="B2" s="471" t="s">
        <v>32</v>
      </c>
      <c r="C2" s="472" t="s">
        <v>33</v>
      </c>
      <c r="D2" s="470" t="s">
        <v>34</v>
      </c>
      <c r="E2" s="470">
        <v>4</v>
      </c>
      <c r="F2" s="470" t="s">
        <v>35</v>
      </c>
      <c r="G2" s="470">
        <v>1</v>
      </c>
      <c r="H2" s="473">
        <v>2500000</v>
      </c>
      <c r="I2" s="474" t="s">
        <v>36</v>
      </c>
      <c r="J2" s="473">
        <f t="shared" ref="J2:L2" si="0">J3</f>
        <v>0</v>
      </c>
      <c r="K2" s="1648">
        <f t="shared" si="0"/>
        <v>0</v>
      </c>
      <c r="L2" s="1648">
        <f t="shared" si="0"/>
        <v>0</v>
      </c>
      <c r="M2" s="475" t="s">
        <v>37</v>
      </c>
      <c r="N2" s="475" t="s">
        <v>38</v>
      </c>
      <c r="O2" s="475" t="s">
        <v>39</v>
      </c>
      <c r="P2" s="475" t="s">
        <v>40</v>
      </c>
      <c r="Q2" s="476"/>
      <c r="R2" s="475" t="s">
        <v>40</v>
      </c>
      <c r="S2" s="476"/>
      <c r="T2" s="475" t="s">
        <v>40</v>
      </c>
      <c r="U2" s="476"/>
      <c r="V2" s="475" t="s">
        <v>41</v>
      </c>
      <c r="W2" s="476">
        <v>45200</v>
      </c>
      <c r="X2" s="475" t="s">
        <v>41</v>
      </c>
      <c r="Y2" s="476">
        <v>45323</v>
      </c>
      <c r="Z2" s="475" t="s">
        <v>40</v>
      </c>
      <c r="AA2" s="476"/>
      <c r="AB2" s="475" t="s">
        <v>40</v>
      </c>
      <c r="AC2" s="476"/>
      <c r="AD2" s="476"/>
      <c r="AE2" s="476">
        <v>45565</v>
      </c>
      <c r="AF2" s="475" t="s">
        <v>42</v>
      </c>
      <c r="AG2" s="477">
        <v>2024</v>
      </c>
      <c r="AH2" s="1">
        <f>AH3</f>
        <v>0</v>
      </c>
      <c r="AI2" s="1"/>
      <c r="AJ2" s="1"/>
      <c r="AK2" s="470" t="s">
        <v>43</v>
      </c>
      <c r="AL2" s="470" t="s">
        <v>40</v>
      </c>
      <c r="AM2" s="478">
        <v>0</v>
      </c>
      <c r="AN2" s="2" t="s">
        <v>44</v>
      </c>
      <c r="AO2" s="307"/>
      <c r="AP2" s="307"/>
      <c r="AQ2" s="307"/>
      <c r="AR2" s="307"/>
      <c r="AS2" s="307"/>
      <c r="AT2" s="307"/>
      <c r="AU2" s="307"/>
      <c r="AV2" s="307"/>
      <c r="AW2" s="307"/>
      <c r="AX2" s="307"/>
      <c r="AY2" s="307"/>
      <c r="AZ2" s="307"/>
      <c r="BA2" s="307"/>
      <c r="BB2" s="307"/>
      <c r="BC2" s="307"/>
      <c r="BD2" s="307"/>
      <c r="BE2" s="307"/>
      <c r="BF2" s="307"/>
      <c r="BG2" s="307"/>
      <c r="BH2" s="307"/>
      <c r="BI2" s="307"/>
      <c r="BJ2" s="307"/>
      <c r="BK2" s="307"/>
      <c r="BL2" s="307"/>
      <c r="BM2" s="307"/>
      <c r="BN2" s="307"/>
      <c r="BO2" s="307"/>
      <c r="BP2" s="307"/>
      <c r="BQ2" s="307"/>
      <c r="BR2" s="307"/>
      <c r="BS2" s="307"/>
      <c r="BT2" s="307"/>
      <c r="BU2" s="307"/>
      <c r="BV2" s="307"/>
      <c r="BW2" s="307"/>
      <c r="BX2" s="307"/>
      <c r="BY2" s="307"/>
      <c r="BZ2" s="307"/>
      <c r="CA2" s="102"/>
      <c r="CB2" s="102"/>
      <c r="CC2" s="102"/>
      <c r="CD2" s="102"/>
      <c r="CE2" s="102"/>
      <c r="CF2" s="102"/>
      <c r="CG2" s="102"/>
      <c r="CH2" s="102"/>
      <c r="CI2" s="102"/>
      <c r="CJ2" s="102"/>
      <c r="CK2" s="102"/>
      <c r="CL2" s="102"/>
      <c r="CM2" s="102"/>
      <c r="CN2" s="102"/>
      <c r="CO2" s="102"/>
      <c r="CP2" s="102"/>
      <c r="CQ2" s="102"/>
      <c r="CR2" s="102"/>
      <c r="CS2" s="102"/>
      <c r="CT2" s="102"/>
      <c r="CU2" s="102"/>
      <c r="CV2" s="102"/>
      <c r="CW2" s="102"/>
      <c r="CX2" s="102"/>
      <c r="CY2" s="102"/>
      <c r="CZ2" s="102"/>
      <c r="DA2" s="102"/>
      <c r="DB2" s="102"/>
      <c r="DC2" s="102"/>
      <c r="DD2" s="102"/>
      <c r="DE2" s="102"/>
      <c r="DF2" s="102"/>
      <c r="DG2" s="102"/>
      <c r="DH2" s="102"/>
      <c r="DI2" s="102"/>
      <c r="DJ2" s="102"/>
      <c r="DK2" s="102"/>
      <c r="DL2" s="102"/>
      <c r="DM2" s="102"/>
      <c r="DN2" s="102"/>
      <c r="DO2" s="102"/>
      <c r="DP2" s="102"/>
      <c r="DQ2" s="102"/>
      <c r="DR2" s="102"/>
      <c r="DS2" s="102"/>
      <c r="DT2" s="102"/>
      <c r="DU2" s="102"/>
      <c r="DV2" s="102"/>
      <c r="DW2" s="102"/>
      <c r="DX2" s="102"/>
      <c r="DY2" s="102"/>
    </row>
    <row r="3" spans="1:129" s="487" customFormat="1" ht="40.950000000000003" customHeight="1" x14ac:dyDescent="0.3">
      <c r="A3" s="479"/>
      <c r="B3" s="480"/>
      <c r="C3" s="481"/>
      <c r="D3" s="479"/>
      <c r="E3" s="479"/>
      <c r="F3" s="479"/>
      <c r="G3" s="479"/>
      <c r="H3" s="482"/>
      <c r="I3" s="483"/>
      <c r="J3" s="482"/>
      <c r="K3" s="1649"/>
      <c r="L3" s="1650"/>
      <c r="M3" s="144"/>
      <c r="N3" s="144"/>
      <c r="O3" s="144"/>
      <c r="P3" s="144"/>
      <c r="Q3" s="484"/>
      <c r="R3" s="144"/>
      <c r="S3" s="484"/>
      <c r="T3" s="144"/>
      <c r="U3" s="484"/>
      <c r="V3" s="144"/>
      <c r="W3" s="484"/>
      <c r="X3" s="144"/>
      <c r="Y3" s="484"/>
      <c r="Z3" s="144"/>
      <c r="AA3" s="484"/>
      <c r="AB3" s="144"/>
      <c r="AC3" s="484"/>
      <c r="AD3" s="484"/>
      <c r="AE3" s="484"/>
      <c r="AF3" s="144"/>
      <c r="AG3" s="145"/>
      <c r="AH3" s="3"/>
      <c r="AI3" s="3"/>
      <c r="AJ3" s="3"/>
      <c r="AK3" s="479"/>
      <c r="AL3" s="479"/>
      <c r="AM3" s="485"/>
      <c r="AN3" s="486"/>
    </row>
    <row r="4" spans="1:129" s="487" customFormat="1" ht="70.95" customHeight="1" x14ac:dyDescent="0.3">
      <c r="A4" s="143"/>
      <c r="B4" s="315"/>
      <c r="C4" s="183"/>
      <c r="H4" s="46"/>
      <c r="I4" s="488"/>
      <c r="J4" s="46"/>
      <c r="K4" s="1651"/>
      <c r="L4" s="1651"/>
      <c r="M4" s="4"/>
      <c r="N4" s="4"/>
      <c r="O4" s="4"/>
      <c r="P4" s="47"/>
      <c r="Q4" s="48"/>
      <c r="R4" s="47"/>
      <c r="S4" s="48"/>
      <c r="T4" s="47"/>
      <c r="U4" s="48"/>
      <c r="V4" s="47"/>
      <c r="W4" s="48"/>
      <c r="X4" s="47"/>
      <c r="Y4" s="48"/>
      <c r="Z4" s="47"/>
      <c r="AA4" s="48"/>
      <c r="AB4" s="47"/>
      <c r="AC4" s="48"/>
      <c r="AD4" s="48"/>
      <c r="AE4" s="48"/>
      <c r="AF4" s="47"/>
      <c r="AG4" s="51"/>
      <c r="AH4" s="312"/>
      <c r="AI4" s="312"/>
      <c r="AJ4" s="312"/>
      <c r="AM4" s="489"/>
      <c r="AN4" s="64"/>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143"/>
      <c r="CB4" s="143"/>
      <c r="CC4" s="143"/>
      <c r="CD4" s="143"/>
      <c r="CE4" s="143"/>
      <c r="CF4" s="143"/>
      <c r="CG4" s="143"/>
      <c r="CH4" s="143"/>
      <c r="CI4" s="143"/>
      <c r="CJ4" s="143"/>
      <c r="CK4" s="143"/>
      <c r="CL4" s="143"/>
      <c r="CM4" s="143"/>
      <c r="CN4" s="143"/>
      <c r="CO4" s="143"/>
      <c r="CP4" s="143"/>
      <c r="CQ4" s="143"/>
      <c r="CR4" s="143"/>
      <c r="CS4" s="143"/>
      <c r="CT4" s="143"/>
      <c r="CU4" s="143"/>
      <c r="CV4" s="143"/>
      <c r="CW4" s="143"/>
      <c r="CX4" s="143"/>
      <c r="CY4" s="143"/>
      <c r="CZ4" s="143"/>
      <c r="DA4" s="143"/>
      <c r="DB4" s="143"/>
      <c r="DC4" s="143"/>
      <c r="DD4" s="143"/>
      <c r="DE4" s="143"/>
      <c r="DF4" s="143"/>
      <c r="DG4" s="143"/>
      <c r="DH4" s="143"/>
      <c r="DI4" s="143"/>
      <c r="DJ4" s="143"/>
      <c r="DK4" s="143"/>
      <c r="DL4" s="143"/>
      <c r="DM4" s="143"/>
      <c r="DN4" s="143"/>
      <c r="DO4" s="143"/>
      <c r="DP4" s="143"/>
      <c r="DQ4" s="143"/>
      <c r="DR4" s="143"/>
      <c r="DS4" s="143"/>
      <c r="DT4" s="143"/>
      <c r="DU4" s="143"/>
      <c r="DV4" s="143"/>
      <c r="DW4" s="143"/>
      <c r="DX4" s="143"/>
      <c r="DY4" s="143"/>
    </row>
    <row r="5" spans="1:129" s="138" customFormat="1" ht="23.4" customHeight="1" x14ac:dyDescent="0.3">
      <c r="B5" s="490"/>
      <c r="C5" s="491"/>
      <c r="H5" s="5"/>
      <c r="I5" s="492"/>
      <c r="J5" s="5"/>
      <c r="K5" s="1652"/>
      <c r="L5" s="1652"/>
      <c r="M5" s="493"/>
      <c r="N5" s="493"/>
      <c r="O5" s="493"/>
      <c r="P5" s="493"/>
      <c r="Q5" s="494"/>
      <c r="R5" s="493"/>
      <c r="S5" s="494"/>
      <c r="T5" s="493"/>
      <c r="U5" s="494"/>
      <c r="V5" s="493"/>
      <c r="W5" s="494"/>
      <c r="X5" s="493"/>
      <c r="Y5" s="494"/>
      <c r="Z5" s="493"/>
      <c r="AA5" s="494"/>
      <c r="AB5" s="493"/>
      <c r="AC5" s="494"/>
      <c r="AD5" s="494"/>
      <c r="AE5" s="494"/>
      <c r="AF5" s="493"/>
      <c r="AG5" s="495"/>
      <c r="AH5" s="139"/>
      <c r="AI5" s="139"/>
      <c r="AJ5" s="139"/>
      <c r="AM5" s="496"/>
      <c r="AN5" s="119"/>
    </row>
    <row r="6" spans="1:129" s="138" customFormat="1" ht="45.6" customHeight="1" x14ac:dyDescent="0.3">
      <c r="A6" s="365"/>
      <c r="B6" s="497"/>
      <c r="C6" s="498"/>
      <c r="D6" s="365"/>
      <c r="E6" s="365"/>
      <c r="F6" s="365"/>
      <c r="G6" s="499"/>
      <c r="H6" s="500"/>
      <c r="I6" s="499"/>
      <c r="J6" s="500"/>
      <c r="K6" s="1653"/>
      <c r="L6" s="1654"/>
      <c r="M6" s="501"/>
      <c r="N6" s="501"/>
      <c r="O6" s="501"/>
      <c r="P6" s="502"/>
      <c r="Q6" s="499"/>
      <c r="R6" s="499"/>
      <c r="S6" s="499"/>
      <c r="T6" s="365"/>
      <c r="U6" s="365"/>
      <c r="V6" s="503"/>
      <c r="W6" s="504"/>
      <c r="X6" s="493"/>
      <c r="Y6" s="494"/>
      <c r="Z6" s="493"/>
      <c r="AA6" s="494"/>
      <c r="AB6" s="493"/>
      <c r="AC6" s="494"/>
      <c r="AD6" s="494"/>
      <c r="AE6" s="494"/>
      <c r="AF6" s="501"/>
      <c r="AG6" s="502"/>
      <c r="AH6" s="499"/>
      <c r="AI6" s="499"/>
      <c r="AJ6" s="499"/>
      <c r="AK6" s="365"/>
      <c r="AL6" s="365"/>
      <c r="AM6" s="503"/>
      <c r="AN6" s="504"/>
    </row>
    <row r="7" spans="1:129" s="1338" customFormat="1" ht="45.6" customHeight="1" x14ac:dyDescent="0.3">
      <c r="A7" s="506"/>
      <c r="B7" s="507"/>
      <c r="C7" s="541"/>
      <c r="D7" s="506"/>
      <c r="E7" s="506"/>
      <c r="F7" s="506"/>
      <c r="G7" s="510"/>
      <c r="H7" s="510"/>
      <c r="I7" s="97"/>
      <c r="J7" s="510"/>
      <c r="K7" s="1655"/>
      <c r="L7" s="1656"/>
      <c r="M7" s="511"/>
      <c r="N7" s="511"/>
      <c r="O7" s="511"/>
      <c r="P7" s="512"/>
      <c r="Q7" s="97"/>
      <c r="R7" s="97"/>
      <c r="S7" s="97"/>
      <c r="T7" s="506"/>
      <c r="U7" s="506"/>
      <c r="V7" s="513"/>
      <c r="W7" s="514"/>
      <c r="X7" s="1336"/>
      <c r="Y7" s="1337"/>
      <c r="Z7" s="1336"/>
      <c r="AA7" s="1337"/>
      <c r="AB7" s="1336"/>
      <c r="AC7" s="1337"/>
      <c r="AD7" s="1337"/>
      <c r="AE7" s="1337"/>
      <c r="AF7" s="511"/>
      <c r="AG7" s="512"/>
      <c r="AH7" s="97"/>
      <c r="AI7" s="97"/>
      <c r="AJ7" s="97"/>
      <c r="AK7" s="506"/>
      <c r="AL7" s="506"/>
      <c r="AM7" s="513"/>
      <c r="AN7" s="514"/>
    </row>
    <row r="8" spans="1:129" s="675" customFormat="1" ht="45.6" customHeight="1" x14ac:dyDescent="0.3">
      <c r="A8" s="1045"/>
      <c r="B8" s="1478"/>
      <c r="C8" s="1479"/>
      <c r="D8" s="1045"/>
      <c r="E8" s="1045"/>
      <c r="F8" s="1045"/>
      <c r="G8" s="1480"/>
      <c r="H8" s="1480"/>
      <c r="I8" s="1481"/>
      <c r="J8" s="1480"/>
      <c r="K8" s="1657"/>
      <c r="L8" s="1658"/>
      <c r="M8" s="1482"/>
      <c r="N8" s="1482"/>
      <c r="O8" s="1482"/>
      <c r="P8" s="1483"/>
      <c r="Q8" s="1481"/>
      <c r="R8" s="1481"/>
      <c r="S8" s="1481"/>
      <c r="T8" s="1045"/>
      <c r="U8" s="1045"/>
      <c r="V8" s="1484"/>
      <c r="W8" s="1485"/>
      <c r="X8" s="678"/>
      <c r="Y8" s="1486"/>
      <c r="Z8" s="678"/>
      <c r="AA8" s="1486"/>
      <c r="AB8" s="678"/>
      <c r="AC8" s="1486"/>
      <c r="AD8" s="1486"/>
      <c r="AE8" s="1486"/>
      <c r="AF8" s="1482"/>
      <c r="AG8" s="1483"/>
      <c r="AH8" s="1481"/>
      <c r="AI8" s="1481"/>
      <c r="AJ8" s="1481"/>
      <c r="AK8" s="1045"/>
      <c r="AL8" s="1045"/>
      <c r="AM8" s="1484"/>
      <c r="AN8" s="1485"/>
    </row>
    <row r="9" spans="1:129" s="675" customFormat="1" ht="45.6" customHeight="1" x14ac:dyDescent="0.3">
      <c r="A9" s="1045"/>
      <c r="B9" s="1478"/>
      <c r="C9" s="1479"/>
      <c r="D9" s="1045"/>
      <c r="E9" s="1045"/>
      <c r="F9" s="1045"/>
      <c r="G9" s="1480"/>
      <c r="H9" s="1480"/>
      <c r="I9" s="1481"/>
      <c r="J9" s="1480"/>
      <c r="K9" s="1657"/>
      <c r="L9" s="1658"/>
      <c r="M9" s="1482"/>
      <c r="N9" s="1482"/>
      <c r="O9" s="1482"/>
      <c r="P9" s="1483"/>
      <c r="Q9" s="1481"/>
      <c r="R9" s="1481"/>
      <c r="S9" s="1481"/>
      <c r="T9" s="1045"/>
      <c r="U9" s="1045"/>
      <c r="V9" s="1484"/>
      <c r="W9" s="1485"/>
      <c r="X9" s="678"/>
      <c r="Y9" s="1486"/>
      <c r="Z9" s="678"/>
      <c r="AA9" s="1486"/>
      <c r="AB9" s="678"/>
      <c r="AC9" s="1486"/>
      <c r="AD9" s="1486"/>
      <c r="AE9" s="1486"/>
      <c r="AF9" s="1482"/>
      <c r="AG9" s="1483"/>
      <c r="AH9" s="1481"/>
      <c r="AI9" s="1481"/>
      <c r="AJ9" s="1481"/>
      <c r="AK9" s="1045"/>
      <c r="AL9" s="1045"/>
      <c r="AM9" s="1484"/>
      <c r="AN9" s="1485"/>
    </row>
    <row r="10" spans="1:129" s="675" customFormat="1" ht="45.6" customHeight="1" x14ac:dyDescent="0.3">
      <c r="A10" s="1045"/>
      <c r="B10" s="1478"/>
      <c r="C10" s="1479"/>
      <c r="D10" s="1045"/>
      <c r="E10" s="1045"/>
      <c r="F10" s="1045"/>
      <c r="G10" s="1480"/>
      <c r="H10" s="1480"/>
      <c r="I10" s="1481"/>
      <c r="J10" s="1480"/>
      <c r="K10" s="1657"/>
      <c r="L10" s="1658"/>
      <c r="M10" s="1482"/>
      <c r="N10" s="1482"/>
      <c r="O10" s="1482"/>
      <c r="P10" s="1483"/>
      <c r="Q10" s="1481"/>
      <c r="R10" s="1481"/>
      <c r="S10" s="1481"/>
      <c r="T10" s="1045"/>
      <c r="U10" s="1045"/>
      <c r="V10" s="1484"/>
      <c r="W10" s="1485"/>
      <c r="X10" s="678"/>
      <c r="Y10" s="1486"/>
      <c r="Z10" s="678"/>
      <c r="AA10" s="1486"/>
      <c r="AB10" s="678"/>
      <c r="AC10" s="1486"/>
      <c r="AD10" s="1486"/>
      <c r="AE10" s="1486"/>
      <c r="AF10" s="1482"/>
      <c r="AG10" s="1483"/>
      <c r="AH10" s="1481"/>
      <c r="AI10" s="1481"/>
      <c r="AJ10" s="1481"/>
      <c r="AK10" s="1045"/>
      <c r="AL10" s="1045"/>
      <c r="AM10" s="1484"/>
      <c r="AN10" s="1485"/>
    </row>
    <row r="11" spans="1:129" s="675" customFormat="1" ht="45.6" customHeight="1" x14ac:dyDescent="0.3">
      <c r="A11" s="1045"/>
      <c r="B11" s="1478"/>
      <c r="C11" s="1479"/>
      <c r="D11" s="1045"/>
      <c r="E11" s="1045"/>
      <c r="F11" s="1045"/>
      <c r="G11" s="1480"/>
      <c r="H11" s="1480"/>
      <c r="I11" s="1481"/>
      <c r="J11" s="1480"/>
      <c r="K11" s="1657"/>
      <c r="L11" s="1658"/>
      <c r="M11" s="1482"/>
      <c r="N11" s="1482"/>
      <c r="O11" s="1482"/>
      <c r="P11" s="1483"/>
      <c r="Q11" s="1481"/>
      <c r="R11" s="1481"/>
      <c r="S11" s="1481"/>
      <c r="T11" s="1045"/>
      <c r="U11" s="1045"/>
      <c r="V11" s="1484"/>
      <c r="W11" s="1485"/>
      <c r="X11" s="678"/>
      <c r="Y11" s="1486"/>
      <c r="Z11" s="678"/>
      <c r="AA11" s="1486"/>
      <c r="AB11" s="678"/>
      <c r="AC11" s="1486"/>
      <c r="AD11" s="1486"/>
      <c r="AE11" s="1486"/>
      <c r="AF11" s="1482"/>
      <c r="AG11" s="1483"/>
      <c r="AH11" s="1481"/>
      <c r="AI11" s="1481"/>
      <c r="AJ11" s="1481"/>
      <c r="AK11" s="1045"/>
      <c r="AL11" s="1045"/>
      <c r="AM11" s="1484"/>
      <c r="AN11" s="1485"/>
    </row>
    <row r="12" spans="1:129" s="1335" customFormat="1" ht="45.6" customHeight="1" x14ac:dyDescent="0.3">
      <c r="A12" s="1324"/>
      <c r="B12" s="1325"/>
      <c r="C12" s="1326"/>
      <c r="D12" s="1324"/>
      <c r="E12" s="1324"/>
      <c r="F12" s="1324"/>
      <c r="G12" s="1328"/>
      <c r="H12" s="1328"/>
      <c r="I12" s="1327"/>
      <c r="J12" s="1328"/>
      <c r="K12" s="1657"/>
      <c r="L12" s="1658"/>
      <c r="M12" s="1329"/>
      <c r="N12" s="1329"/>
      <c r="O12" s="1329"/>
      <c r="P12" s="1330"/>
      <c r="Q12" s="1327"/>
      <c r="R12" s="1327"/>
      <c r="S12" s="1327"/>
      <c r="T12" s="1324"/>
      <c r="U12" s="1324"/>
      <c r="V12" s="1331"/>
      <c r="W12" s="1332"/>
      <c r="X12" s="1333"/>
      <c r="Y12" s="1334"/>
      <c r="Z12" s="1333"/>
      <c r="AA12" s="1334"/>
      <c r="AB12" s="1333"/>
      <c r="AC12" s="1334"/>
      <c r="AD12" s="1334"/>
      <c r="AE12" s="1334"/>
      <c r="AF12" s="1329"/>
      <c r="AG12" s="1330"/>
      <c r="AH12" s="1327"/>
      <c r="AI12" s="1327"/>
      <c r="AJ12" s="1327"/>
      <c r="AK12" s="1324"/>
      <c r="AL12" s="1324"/>
      <c r="AM12" s="1331"/>
      <c r="AN12" s="1332"/>
    </row>
    <row r="13" spans="1:129" s="1335" customFormat="1" ht="45.6" customHeight="1" x14ac:dyDescent="0.3">
      <c r="A13" s="1324"/>
      <c r="B13" s="1325"/>
      <c r="C13" s="1326"/>
      <c r="D13" s="1324"/>
      <c r="E13" s="1324"/>
      <c r="F13" s="1324"/>
      <c r="G13" s="1328"/>
      <c r="H13" s="1328"/>
      <c r="I13" s="1327"/>
      <c r="J13" s="1328"/>
      <c r="K13" s="1657"/>
      <c r="L13" s="1658"/>
      <c r="M13" s="1329"/>
      <c r="N13" s="1329"/>
      <c r="O13" s="1329"/>
      <c r="P13" s="1330"/>
      <c r="Q13" s="1327"/>
      <c r="R13" s="1327"/>
      <c r="S13" s="1327"/>
      <c r="T13" s="1324"/>
      <c r="U13" s="1324"/>
      <c r="V13" s="1331"/>
      <c r="W13" s="1332"/>
      <c r="X13" s="1333"/>
      <c r="Y13" s="1334"/>
      <c r="Z13" s="1333"/>
      <c r="AA13" s="1334"/>
      <c r="AB13" s="1333"/>
      <c r="AC13" s="1334"/>
      <c r="AD13" s="1334"/>
      <c r="AE13" s="1334"/>
      <c r="AF13" s="1329"/>
      <c r="AG13" s="1330"/>
      <c r="AH13" s="1327"/>
      <c r="AI13" s="1327"/>
      <c r="AJ13" s="1327"/>
      <c r="AK13" s="1324"/>
      <c r="AL13" s="1324"/>
      <c r="AM13" s="1331"/>
      <c r="AN13" s="1332"/>
    </row>
    <row r="14" spans="1:129" s="1335" customFormat="1" ht="45.6" customHeight="1" x14ac:dyDescent="0.3">
      <c r="A14" s="1324"/>
      <c r="B14" s="1325"/>
      <c r="C14" s="1326"/>
      <c r="D14" s="1324"/>
      <c r="E14" s="1324"/>
      <c r="F14" s="1324"/>
      <c r="G14" s="1328"/>
      <c r="H14" s="1328"/>
      <c r="I14" s="1327"/>
      <c r="J14" s="1328"/>
      <c r="K14" s="1657"/>
      <c r="L14" s="1658"/>
      <c r="M14" s="1329"/>
      <c r="N14" s="1329"/>
      <c r="O14" s="1329"/>
      <c r="P14" s="1330"/>
      <c r="Q14" s="1327"/>
      <c r="R14" s="1327"/>
      <c r="S14" s="1327"/>
      <c r="T14" s="1324"/>
      <c r="U14" s="1324"/>
      <c r="V14" s="1331"/>
      <c r="W14" s="1332"/>
      <c r="X14" s="1333"/>
      <c r="Y14" s="1334"/>
      <c r="Z14" s="1333"/>
      <c r="AA14" s="1334"/>
      <c r="AB14" s="1333"/>
      <c r="AC14" s="1334"/>
      <c r="AD14" s="1334"/>
      <c r="AE14" s="1334"/>
      <c r="AF14" s="1329"/>
      <c r="AG14" s="1330"/>
      <c r="AH14" s="1327"/>
      <c r="AI14" s="1327"/>
      <c r="AJ14" s="1327"/>
      <c r="AK14" s="1324"/>
      <c r="AL14" s="1324"/>
      <c r="AM14" s="1331"/>
      <c r="AN14" s="1332"/>
    </row>
    <row r="15" spans="1:129" s="1335" customFormat="1" ht="45.6" customHeight="1" x14ac:dyDescent="0.3">
      <c r="A15" s="1324"/>
      <c r="B15" s="1325"/>
      <c r="C15" s="1326"/>
      <c r="D15" s="1324"/>
      <c r="E15" s="1324"/>
      <c r="F15" s="1324"/>
      <c r="G15" s="1328"/>
      <c r="H15" s="1328"/>
      <c r="I15" s="1327"/>
      <c r="J15" s="1328"/>
      <c r="K15" s="1657"/>
      <c r="L15" s="1658"/>
      <c r="M15" s="1329"/>
      <c r="N15" s="1329"/>
      <c r="O15" s="1329"/>
      <c r="P15" s="1330"/>
      <c r="Q15" s="1327"/>
      <c r="R15" s="1327"/>
      <c r="S15" s="1327"/>
      <c r="T15" s="1324"/>
      <c r="U15" s="1324"/>
      <c r="V15" s="1331"/>
      <c r="W15" s="1332"/>
      <c r="X15" s="1333"/>
      <c r="Y15" s="1334"/>
      <c r="Z15" s="1333"/>
      <c r="AA15" s="1334"/>
      <c r="AB15" s="1333"/>
      <c r="AC15" s="1334"/>
      <c r="AD15" s="1334"/>
      <c r="AE15" s="1334"/>
      <c r="AF15" s="1329"/>
      <c r="AG15" s="1330"/>
      <c r="AH15" s="1327"/>
      <c r="AI15" s="1327"/>
      <c r="AJ15" s="1327"/>
      <c r="AK15" s="1324"/>
      <c r="AL15" s="1324"/>
      <c r="AM15" s="1331"/>
      <c r="AN15" s="1332"/>
    </row>
    <row r="16" spans="1:129" s="1335" customFormat="1" ht="45.6" customHeight="1" x14ac:dyDescent="0.3">
      <c r="A16" s="1324"/>
      <c r="B16" s="1325"/>
      <c r="C16" s="1326"/>
      <c r="D16" s="1324"/>
      <c r="E16" s="1324"/>
      <c r="F16" s="1324"/>
      <c r="G16" s="1328"/>
      <c r="H16" s="1328"/>
      <c r="I16" s="1327"/>
      <c r="J16" s="1328"/>
      <c r="K16" s="1657"/>
      <c r="L16" s="1658"/>
      <c r="M16" s="1329"/>
      <c r="N16" s="1329"/>
      <c r="O16" s="1329"/>
      <c r="P16" s="1330"/>
      <c r="Q16" s="1327"/>
      <c r="R16" s="1327"/>
      <c r="S16" s="1327"/>
      <c r="T16" s="1324"/>
      <c r="U16" s="1324"/>
      <c r="V16" s="1331"/>
      <c r="W16" s="1332"/>
      <c r="X16" s="1333"/>
      <c r="Y16" s="1334"/>
      <c r="Z16" s="1333"/>
      <c r="AA16" s="1334"/>
      <c r="AB16" s="1333"/>
      <c r="AC16" s="1334"/>
      <c r="AD16" s="1334"/>
      <c r="AE16" s="1334"/>
      <c r="AF16" s="1329"/>
      <c r="AG16" s="1330"/>
      <c r="AH16" s="1327"/>
      <c r="AI16" s="1327"/>
      <c r="AJ16" s="1327"/>
      <c r="AK16" s="1324"/>
      <c r="AL16" s="1324"/>
      <c r="AM16" s="1331"/>
      <c r="AN16" s="1332"/>
    </row>
    <row r="17" spans="1:40" s="1335" customFormat="1" ht="45.6" customHeight="1" x14ac:dyDescent="0.3">
      <c r="A17" s="1324"/>
      <c r="B17" s="1325"/>
      <c r="C17" s="1326"/>
      <c r="D17" s="1324"/>
      <c r="E17" s="1324"/>
      <c r="F17" s="1324"/>
      <c r="G17" s="1328"/>
      <c r="H17" s="1328"/>
      <c r="I17" s="1327"/>
      <c r="J17" s="1328"/>
      <c r="K17" s="1657"/>
      <c r="L17" s="1658"/>
      <c r="M17" s="1329"/>
      <c r="N17" s="1329"/>
      <c r="O17" s="1329"/>
      <c r="P17" s="1330"/>
      <c r="Q17" s="1327"/>
      <c r="R17" s="1327"/>
      <c r="S17" s="1327"/>
      <c r="T17" s="1324"/>
      <c r="U17" s="1324"/>
      <c r="V17" s="1331"/>
      <c r="W17" s="1332"/>
      <c r="X17" s="1333"/>
      <c r="Y17" s="1334"/>
      <c r="Z17" s="1333"/>
      <c r="AA17" s="1334"/>
      <c r="AB17" s="1333"/>
      <c r="AC17" s="1334"/>
      <c r="AD17" s="1334"/>
      <c r="AE17" s="1334"/>
      <c r="AF17" s="1329"/>
      <c r="AG17" s="1330"/>
      <c r="AH17" s="1327"/>
      <c r="AI17" s="1327"/>
      <c r="AJ17" s="1327"/>
      <c r="AK17" s="1324"/>
      <c r="AL17" s="1324"/>
      <c r="AM17" s="1331"/>
      <c r="AN17" s="1332"/>
    </row>
    <row r="18" spans="1:40" s="1335" customFormat="1" ht="45.6" customHeight="1" x14ac:dyDescent="0.3">
      <c r="A18" s="1324"/>
      <c r="B18" s="1325"/>
      <c r="C18" s="1326"/>
      <c r="D18" s="1324"/>
      <c r="E18" s="1324"/>
      <c r="F18" s="1324"/>
      <c r="G18" s="1328"/>
      <c r="H18" s="1328"/>
      <c r="I18" s="1327"/>
      <c r="J18" s="1328"/>
      <c r="K18" s="1657"/>
      <c r="L18" s="1658"/>
      <c r="M18" s="1329"/>
      <c r="N18" s="1329"/>
      <c r="O18" s="1329"/>
      <c r="P18" s="1330"/>
      <c r="Q18" s="1327"/>
      <c r="R18" s="1327"/>
      <c r="S18" s="1327"/>
      <c r="T18" s="1324"/>
      <c r="U18" s="1324"/>
      <c r="V18" s="1331"/>
      <c r="W18" s="1332"/>
      <c r="X18" s="1333"/>
      <c r="Y18" s="1334"/>
      <c r="Z18" s="1333"/>
      <c r="AA18" s="1334"/>
      <c r="AB18" s="1333"/>
      <c r="AC18" s="1334"/>
      <c r="AD18" s="1334"/>
      <c r="AE18" s="1334"/>
      <c r="AF18" s="1329"/>
      <c r="AG18" s="1330"/>
      <c r="AH18" s="1327"/>
      <c r="AI18" s="1327"/>
      <c r="AJ18" s="1327"/>
      <c r="AK18" s="1324"/>
      <c r="AL18" s="1324"/>
      <c r="AM18" s="1331"/>
      <c r="AN18" s="1332"/>
    </row>
    <row r="19" spans="1:40" s="1335" customFormat="1" ht="45.6" customHeight="1" x14ac:dyDescent="0.3">
      <c r="A19" s="1324"/>
      <c r="B19" s="1325"/>
      <c r="C19" s="1326"/>
      <c r="D19" s="1324"/>
      <c r="E19" s="1324"/>
      <c r="F19" s="1324"/>
      <c r="G19" s="1328"/>
      <c r="H19" s="1328"/>
      <c r="I19" s="1327"/>
      <c r="J19" s="1328"/>
      <c r="K19" s="1657"/>
      <c r="L19" s="1658"/>
      <c r="M19" s="1329"/>
      <c r="N19" s="1329"/>
      <c r="O19" s="1329"/>
      <c r="P19" s="1330"/>
      <c r="Q19" s="1327"/>
      <c r="R19" s="1327"/>
      <c r="S19" s="1327"/>
      <c r="T19" s="1324"/>
      <c r="U19" s="1324"/>
      <c r="V19" s="1331"/>
      <c r="W19" s="1332"/>
      <c r="X19" s="1333"/>
      <c r="Y19" s="1334"/>
      <c r="Z19" s="1333"/>
      <c r="AA19" s="1334"/>
      <c r="AB19" s="1333"/>
      <c r="AC19" s="1334"/>
      <c r="AD19" s="1334"/>
      <c r="AE19" s="1334"/>
      <c r="AF19" s="1329"/>
      <c r="AG19" s="1330"/>
      <c r="AH19" s="1327"/>
      <c r="AI19" s="1327"/>
      <c r="AJ19" s="1327"/>
      <c r="AK19" s="1324"/>
      <c r="AL19" s="1324"/>
      <c r="AM19" s="1331"/>
      <c r="AN19" s="1332"/>
    </row>
    <row r="20" spans="1:40" s="1335" customFormat="1" ht="45.6" customHeight="1" x14ac:dyDescent="0.3">
      <c r="A20" s="1324"/>
      <c r="B20" s="1325"/>
      <c r="C20" s="1326"/>
      <c r="D20" s="1324"/>
      <c r="E20" s="1324"/>
      <c r="F20" s="1324"/>
      <c r="G20" s="1328"/>
      <c r="H20" s="1328"/>
      <c r="I20" s="1327"/>
      <c r="J20" s="1328"/>
      <c r="K20" s="1657"/>
      <c r="L20" s="1658"/>
      <c r="M20" s="1329"/>
      <c r="N20" s="1329"/>
      <c r="O20" s="1329"/>
      <c r="P20" s="1330"/>
      <c r="Q20" s="1327"/>
      <c r="R20" s="1327"/>
      <c r="S20" s="1327"/>
      <c r="T20" s="1324"/>
      <c r="U20" s="1324"/>
      <c r="V20" s="1331"/>
      <c r="W20" s="1332"/>
      <c r="X20" s="1333"/>
      <c r="Y20" s="1334"/>
      <c r="Z20" s="1333"/>
      <c r="AA20" s="1334"/>
      <c r="AB20" s="1333"/>
      <c r="AC20" s="1334"/>
      <c r="AD20" s="1334"/>
      <c r="AE20" s="1334"/>
      <c r="AF20" s="1329"/>
      <c r="AG20" s="1330"/>
      <c r="AH20" s="1327"/>
      <c r="AI20" s="1327"/>
      <c r="AJ20" s="1327"/>
      <c r="AK20" s="1324"/>
      <c r="AL20" s="1324"/>
      <c r="AM20" s="1331"/>
      <c r="AN20" s="1332"/>
    </row>
    <row r="21" spans="1:40" s="1335" customFormat="1" ht="45.6" customHeight="1" x14ac:dyDescent="0.3">
      <c r="A21" s="1324"/>
      <c r="B21" s="1325"/>
      <c r="C21" s="1326"/>
      <c r="D21" s="1324"/>
      <c r="E21" s="1324"/>
      <c r="F21" s="1324"/>
      <c r="G21" s="1328"/>
      <c r="H21" s="1328"/>
      <c r="I21" s="1327"/>
      <c r="J21" s="1328"/>
      <c r="K21" s="1657"/>
      <c r="L21" s="1658"/>
      <c r="M21" s="1329"/>
      <c r="N21" s="1329"/>
      <c r="O21" s="1329"/>
      <c r="P21" s="1330"/>
      <c r="Q21" s="1327"/>
      <c r="R21" s="1327"/>
      <c r="S21" s="1327"/>
      <c r="T21" s="1324"/>
      <c r="U21" s="1324"/>
      <c r="V21" s="1331"/>
      <c r="W21" s="1332"/>
      <c r="X21" s="1333"/>
      <c r="Y21" s="1334"/>
      <c r="Z21" s="1333"/>
      <c r="AA21" s="1334"/>
      <c r="AB21" s="1333"/>
      <c r="AC21" s="1334"/>
      <c r="AD21" s="1334"/>
      <c r="AE21" s="1334"/>
      <c r="AF21" s="1329"/>
      <c r="AG21" s="1330"/>
      <c r="AH21" s="1327"/>
      <c r="AI21" s="1327"/>
      <c r="AJ21" s="1327"/>
      <c r="AK21" s="1324"/>
      <c r="AL21" s="1324"/>
      <c r="AM21" s="1331"/>
      <c r="AN21" s="1332"/>
    </row>
    <row r="22" spans="1:40" s="1335" customFormat="1" ht="45.6" customHeight="1" x14ac:dyDescent="0.3">
      <c r="A22" s="1324"/>
      <c r="B22" s="1325"/>
      <c r="C22" s="1326"/>
      <c r="D22" s="1324"/>
      <c r="E22" s="1324"/>
      <c r="F22" s="1324"/>
      <c r="G22" s="1328"/>
      <c r="H22" s="1328"/>
      <c r="I22" s="1327"/>
      <c r="J22" s="1328"/>
      <c r="K22" s="1657"/>
      <c r="L22" s="1658"/>
      <c r="M22" s="1329"/>
      <c r="N22" s="1329"/>
      <c r="O22" s="1329"/>
      <c r="P22" s="1330"/>
      <c r="Q22" s="1327"/>
      <c r="R22" s="1327"/>
      <c r="S22" s="1327"/>
      <c r="T22" s="1324"/>
      <c r="U22" s="1324"/>
      <c r="V22" s="1331"/>
      <c r="W22" s="1332"/>
      <c r="X22" s="1333"/>
      <c r="Y22" s="1334"/>
      <c r="Z22" s="1333"/>
      <c r="AA22" s="1334"/>
      <c r="AB22" s="1333"/>
      <c r="AC22" s="1334"/>
      <c r="AD22" s="1334"/>
      <c r="AE22" s="1334"/>
      <c r="AF22" s="1329"/>
      <c r="AG22" s="1330"/>
      <c r="AH22" s="1327"/>
      <c r="AI22" s="1327"/>
      <c r="AJ22" s="1327"/>
      <c r="AK22" s="1324"/>
      <c r="AL22" s="1324"/>
      <c r="AM22" s="1331"/>
      <c r="AN22" s="1332"/>
    </row>
    <row r="23" spans="1:40" s="1335" customFormat="1" ht="45.6" customHeight="1" x14ac:dyDescent="0.3">
      <c r="A23" s="1324"/>
      <c r="B23" s="1325"/>
      <c r="C23" s="1326"/>
      <c r="D23" s="1324"/>
      <c r="E23" s="1324"/>
      <c r="F23" s="1324"/>
      <c r="G23" s="1328"/>
      <c r="H23" s="1328"/>
      <c r="I23" s="1327"/>
      <c r="J23" s="1328"/>
      <c r="K23" s="1657"/>
      <c r="L23" s="1658"/>
      <c r="M23" s="1329"/>
      <c r="N23" s="1329"/>
      <c r="O23" s="1329"/>
      <c r="P23" s="1330"/>
      <c r="Q23" s="1327"/>
      <c r="R23" s="1327"/>
      <c r="S23" s="1327"/>
      <c r="T23" s="1324"/>
      <c r="U23" s="1324"/>
      <c r="V23" s="1331"/>
      <c r="W23" s="1332"/>
      <c r="X23" s="1333"/>
      <c r="Y23" s="1334"/>
      <c r="Z23" s="1333"/>
      <c r="AA23" s="1334"/>
      <c r="AB23" s="1333"/>
      <c r="AC23" s="1334"/>
      <c r="AD23" s="1334"/>
      <c r="AE23" s="1334"/>
      <c r="AF23" s="1329"/>
      <c r="AG23" s="1330"/>
      <c r="AH23" s="1327"/>
      <c r="AI23" s="1327"/>
      <c r="AJ23" s="1327"/>
      <c r="AK23" s="1324"/>
      <c r="AL23" s="1324"/>
      <c r="AM23" s="1331"/>
      <c r="AN23" s="1332"/>
    </row>
    <row r="24" spans="1:40" s="1335" customFormat="1" ht="45.6" customHeight="1" x14ac:dyDescent="0.3">
      <c r="A24" s="1324"/>
      <c r="B24" s="1325"/>
      <c r="C24" s="1326"/>
      <c r="D24" s="1324"/>
      <c r="E24" s="1324"/>
      <c r="F24" s="1324"/>
      <c r="G24" s="1328"/>
      <c r="H24" s="1328"/>
      <c r="I24" s="1327"/>
      <c r="J24" s="1328"/>
      <c r="K24" s="1657"/>
      <c r="L24" s="1658"/>
      <c r="M24" s="1329"/>
      <c r="N24" s="1329"/>
      <c r="O24" s="1329"/>
      <c r="P24" s="1330"/>
      <c r="Q24" s="1327"/>
      <c r="R24" s="1327"/>
      <c r="S24" s="1327"/>
      <c r="T24" s="1324"/>
      <c r="U24" s="1324"/>
      <c r="V24" s="1331"/>
      <c r="W24" s="1332"/>
      <c r="X24" s="1333"/>
      <c r="Y24" s="1334"/>
      <c r="Z24" s="1333"/>
      <c r="AA24" s="1334"/>
      <c r="AB24" s="1333"/>
      <c r="AC24" s="1334"/>
      <c r="AD24" s="1334"/>
      <c r="AE24" s="1334"/>
      <c r="AF24" s="1329"/>
      <c r="AG24" s="1330"/>
      <c r="AH24" s="1327"/>
      <c r="AI24" s="1327"/>
      <c r="AJ24" s="1327"/>
      <c r="AK24" s="1324"/>
      <c r="AL24" s="1324"/>
      <c r="AM24" s="1331"/>
      <c r="AN24" s="1332"/>
    </row>
    <row r="25" spans="1:40" s="1335" customFormat="1" ht="45.6" customHeight="1" x14ac:dyDescent="0.3">
      <c r="A25" s="1324"/>
      <c r="B25" s="1325"/>
      <c r="C25" s="1326"/>
      <c r="D25" s="1324"/>
      <c r="E25" s="1324"/>
      <c r="F25" s="1324"/>
      <c r="G25" s="1328"/>
      <c r="H25" s="1328"/>
      <c r="I25" s="1327"/>
      <c r="J25" s="1328"/>
      <c r="K25" s="1657"/>
      <c r="L25" s="1658"/>
      <c r="M25" s="1329"/>
      <c r="N25" s="1329"/>
      <c r="O25" s="1329"/>
      <c r="P25" s="1330"/>
      <c r="Q25" s="1327"/>
      <c r="R25" s="1327"/>
      <c r="S25" s="1327"/>
      <c r="T25" s="1324"/>
      <c r="U25" s="1324"/>
      <c r="V25" s="1331"/>
      <c r="W25" s="1332"/>
      <c r="X25" s="1333"/>
      <c r="Y25" s="1334"/>
      <c r="Z25" s="1333"/>
      <c r="AA25" s="1334"/>
      <c r="AB25" s="1333"/>
      <c r="AC25" s="1334"/>
      <c r="AD25" s="1334"/>
      <c r="AE25" s="1334"/>
      <c r="AF25" s="1329"/>
      <c r="AG25" s="1330"/>
      <c r="AH25" s="1327"/>
      <c r="AI25" s="1327"/>
      <c r="AJ25" s="1327"/>
      <c r="AK25" s="1324"/>
      <c r="AL25" s="1324"/>
      <c r="AM25" s="1331"/>
      <c r="AN25" s="1332"/>
    </row>
    <row r="26" spans="1:40" s="1335" customFormat="1" ht="45.6" customHeight="1" x14ac:dyDescent="0.3">
      <c r="A26" s="1324"/>
      <c r="B26" s="1325"/>
      <c r="C26" s="1326"/>
      <c r="D26" s="1324"/>
      <c r="E26" s="1324"/>
      <c r="F26" s="1324"/>
      <c r="G26" s="1328"/>
      <c r="H26" s="1328"/>
      <c r="I26" s="1327"/>
      <c r="J26" s="1328"/>
      <c r="K26" s="1657"/>
      <c r="L26" s="1658"/>
      <c r="M26" s="1329"/>
      <c r="N26" s="1329"/>
      <c r="O26" s="1329"/>
      <c r="P26" s="1330"/>
      <c r="Q26" s="1327"/>
      <c r="R26" s="1327"/>
      <c r="S26" s="1327"/>
      <c r="T26" s="1324"/>
      <c r="U26" s="1324"/>
      <c r="V26" s="1331"/>
      <c r="W26" s="1332"/>
      <c r="X26" s="1333"/>
      <c r="Y26" s="1334"/>
      <c r="Z26" s="1333"/>
      <c r="AA26" s="1334"/>
      <c r="AB26" s="1333"/>
      <c r="AC26" s="1334"/>
      <c r="AD26" s="1334"/>
      <c r="AE26" s="1334"/>
      <c r="AF26" s="1329"/>
      <c r="AG26" s="1330"/>
      <c r="AH26" s="1327"/>
      <c r="AI26" s="1327"/>
      <c r="AJ26" s="1327"/>
      <c r="AK26" s="1324"/>
      <c r="AL26" s="1324"/>
      <c r="AM26" s="1331"/>
      <c r="AN26" s="1332"/>
    </row>
    <row r="27" spans="1:40" s="1335" customFormat="1" ht="45.6" customHeight="1" x14ac:dyDescent="0.3">
      <c r="A27" s="1324"/>
      <c r="B27" s="1325"/>
      <c r="C27" s="1326"/>
      <c r="D27" s="1324"/>
      <c r="E27" s="1324"/>
      <c r="F27" s="1324"/>
      <c r="G27" s="1328"/>
      <c r="H27" s="1328"/>
      <c r="I27" s="1327"/>
      <c r="J27" s="1328"/>
      <c r="K27" s="1657"/>
      <c r="L27" s="1658"/>
      <c r="M27" s="1329"/>
      <c r="N27" s="1329"/>
      <c r="O27" s="1329"/>
      <c r="P27" s="1330"/>
      <c r="Q27" s="1327"/>
      <c r="R27" s="1327"/>
      <c r="S27" s="1327"/>
      <c r="T27" s="1324"/>
      <c r="U27" s="1324"/>
      <c r="V27" s="1331"/>
      <c r="W27" s="1332"/>
      <c r="X27" s="1333"/>
      <c r="Y27" s="1334"/>
      <c r="Z27" s="1333"/>
      <c r="AA27" s="1334"/>
      <c r="AB27" s="1333"/>
      <c r="AC27" s="1334"/>
      <c r="AD27" s="1334"/>
      <c r="AE27" s="1334"/>
      <c r="AF27" s="1329"/>
      <c r="AG27" s="1330"/>
      <c r="AH27" s="1327"/>
      <c r="AI27" s="1327"/>
      <c r="AJ27" s="1327"/>
      <c r="AK27" s="1324"/>
      <c r="AL27" s="1324"/>
      <c r="AM27" s="1331"/>
      <c r="AN27" s="1332"/>
    </row>
    <row r="28" spans="1:40" s="1335" customFormat="1" ht="45.6" customHeight="1" x14ac:dyDescent="0.3">
      <c r="A28" s="1324"/>
      <c r="B28" s="1325"/>
      <c r="C28" s="1326"/>
      <c r="D28" s="1324"/>
      <c r="E28" s="1324"/>
      <c r="F28" s="1324"/>
      <c r="G28" s="1328"/>
      <c r="H28" s="1328"/>
      <c r="I28" s="1327"/>
      <c r="J28" s="1328"/>
      <c r="K28" s="1657"/>
      <c r="L28" s="1658"/>
      <c r="M28" s="1329"/>
      <c r="N28" s="1329"/>
      <c r="O28" s="1329"/>
      <c r="P28" s="1330"/>
      <c r="Q28" s="1327"/>
      <c r="R28" s="1327"/>
      <c r="S28" s="1327"/>
      <c r="T28" s="1324"/>
      <c r="U28" s="1324"/>
      <c r="V28" s="1331"/>
      <c r="W28" s="1332"/>
      <c r="X28" s="1333"/>
      <c r="Y28" s="1334"/>
      <c r="Z28" s="1333"/>
      <c r="AA28" s="1334"/>
      <c r="AB28" s="1333"/>
      <c r="AC28" s="1334"/>
      <c r="AD28" s="1334"/>
      <c r="AE28" s="1334"/>
      <c r="AF28" s="1329"/>
      <c r="AG28" s="1330"/>
      <c r="AH28" s="1327"/>
      <c r="AI28" s="1327"/>
      <c r="AJ28" s="1327"/>
      <c r="AK28" s="1324"/>
      <c r="AL28" s="1324"/>
      <c r="AM28" s="1331"/>
      <c r="AN28" s="1332"/>
    </row>
    <row r="29" spans="1:40" s="1335" customFormat="1" ht="45.6" customHeight="1" x14ac:dyDescent="0.3">
      <c r="A29" s="1324"/>
      <c r="B29" s="1325"/>
      <c r="C29" s="1326"/>
      <c r="D29" s="1324"/>
      <c r="E29" s="1324"/>
      <c r="F29" s="1324"/>
      <c r="G29" s="1328"/>
      <c r="H29" s="1328"/>
      <c r="I29" s="1327"/>
      <c r="J29" s="1328"/>
      <c r="K29" s="1657"/>
      <c r="L29" s="1658"/>
      <c r="M29" s="1329"/>
      <c r="N29" s="1329"/>
      <c r="O29" s="1329"/>
      <c r="P29" s="1330"/>
      <c r="Q29" s="1327"/>
      <c r="R29" s="1327"/>
      <c r="S29" s="1327"/>
      <c r="T29" s="1324"/>
      <c r="U29" s="1324"/>
      <c r="V29" s="1331"/>
      <c r="W29" s="1332"/>
      <c r="X29" s="1333"/>
      <c r="Y29" s="1334"/>
      <c r="Z29" s="1333"/>
      <c r="AA29" s="1334"/>
      <c r="AB29" s="1333"/>
      <c r="AC29" s="1334"/>
      <c r="AD29" s="1334"/>
      <c r="AE29" s="1334"/>
      <c r="AF29" s="1329"/>
      <c r="AG29" s="1330"/>
      <c r="AH29" s="1327"/>
      <c r="AI29" s="1327"/>
      <c r="AJ29" s="1327"/>
      <c r="AK29" s="1324"/>
      <c r="AL29" s="1324"/>
      <c r="AM29" s="1331"/>
      <c r="AN29" s="1332"/>
    </row>
    <row r="30" spans="1:40" s="1335" customFormat="1" ht="45.6" customHeight="1" x14ac:dyDescent="0.3">
      <c r="A30" s="1324"/>
      <c r="B30" s="1325"/>
      <c r="C30" s="1326"/>
      <c r="D30" s="1324"/>
      <c r="E30" s="1324"/>
      <c r="F30" s="1324"/>
      <c r="G30" s="1328"/>
      <c r="H30" s="1328"/>
      <c r="I30" s="1327"/>
      <c r="J30" s="1328"/>
      <c r="K30" s="1657"/>
      <c r="L30" s="1658"/>
      <c r="M30" s="1329"/>
      <c r="N30" s="1329"/>
      <c r="O30" s="1329"/>
      <c r="P30" s="1330"/>
      <c r="Q30" s="1327"/>
      <c r="R30" s="1327"/>
      <c r="S30" s="1327"/>
      <c r="T30" s="1324"/>
      <c r="U30" s="1324"/>
      <c r="V30" s="1331"/>
      <c r="W30" s="1332"/>
      <c r="X30" s="1333"/>
      <c r="Y30" s="1334"/>
      <c r="Z30" s="1333"/>
      <c r="AA30" s="1334"/>
      <c r="AB30" s="1333"/>
      <c r="AC30" s="1334"/>
      <c r="AD30" s="1334"/>
      <c r="AE30" s="1334"/>
      <c r="AF30" s="1329"/>
      <c r="AG30" s="1330"/>
      <c r="AH30" s="1327"/>
      <c r="AI30" s="1327"/>
      <c r="AJ30" s="1327"/>
      <c r="AK30" s="1324"/>
      <c r="AL30" s="1324"/>
      <c r="AM30" s="1331"/>
      <c r="AN30" s="1332"/>
    </row>
    <row r="31" spans="1:40" s="1335" customFormat="1" ht="45.6" customHeight="1" x14ac:dyDescent="0.3">
      <c r="A31" s="1324"/>
      <c r="B31" s="1325"/>
      <c r="C31" s="1326"/>
      <c r="D31" s="1324"/>
      <c r="E31" s="1324"/>
      <c r="F31" s="1324"/>
      <c r="G31" s="1328"/>
      <c r="H31" s="1328"/>
      <c r="I31" s="1327"/>
      <c r="J31" s="1328"/>
      <c r="K31" s="1657"/>
      <c r="L31" s="1658"/>
      <c r="M31" s="1329"/>
      <c r="N31" s="1329"/>
      <c r="O31" s="1329"/>
      <c r="P31" s="1330"/>
      <c r="Q31" s="1327"/>
      <c r="R31" s="1327"/>
      <c r="S31" s="1327"/>
      <c r="T31" s="1324"/>
      <c r="U31" s="1324"/>
      <c r="V31" s="1331"/>
      <c r="W31" s="1332"/>
      <c r="X31" s="1333"/>
      <c r="Y31" s="1334"/>
      <c r="Z31" s="1333"/>
      <c r="AA31" s="1334"/>
      <c r="AB31" s="1333"/>
      <c r="AC31" s="1334"/>
      <c r="AD31" s="1334"/>
      <c r="AE31" s="1334"/>
      <c r="AF31" s="1329"/>
      <c r="AG31" s="1330"/>
      <c r="AH31" s="1327"/>
      <c r="AI31" s="1327"/>
      <c r="AJ31" s="1327"/>
      <c r="AK31" s="1324"/>
      <c r="AL31" s="1324"/>
      <c r="AM31" s="1331"/>
      <c r="AN31" s="1332"/>
    </row>
    <row r="32" spans="1:40" s="1335" customFormat="1" ht="45.6" customHeight="1" x14ac:dyDescent="0.3">
      <c r="A32" s="1324"/>
      <c r="B32" s="1325"/>
      <c r="C32" s="1326"/>
      <c r="D32" s="1324"/>
      <c r="E32" s="1324"/>
      <c r="F32" s="1324"/>
      <c r="G32" s="1328"/>
      <c r="H32" s="1328"/>
      <c r="I32" s="1327"/>
      <c r="J32" s="1328"/>
      <c r="K32" s="1657"/>
      <c r="L32" s="1658"/>
      <c r="M32" s="1329"/>
      <c r="N32" s="1329"/>
      <c r="O32" s="1329"/>
      <c r="P32" s="1330"/>
      <c r="Q32" s="1327"/>
      <c r="R32" s="1327"/>
      <c r="S32" s="1327"/>
      <c r="T32" s="1324"/>
      <c r="U32" s="1324"/>
      <c r="V32" s="1331"/>
      <c r="W32" s="1332"/>
      <c r="X32" s="1333"/>
      <c r="Y32" s="1334"/>
      <c r="Z32" s="1333"/>
      <c r="AA32" s="1334"/>
      <c r="AB32" s="1333"/>
      <c r="AC32" s="1334"/>
      <c r="AD32" s="1334"/>
      <c r="AE32" s="1334"/>
      <c r="AF32" s="1329"/>
      <c r="AG32" s="1330"/>
      <c r="AH32" s="1327"/>
      <c r="AI32" s="1327"/>
      <c r="AJ32" s="1327"/>
      <c r="AK32" s="1324"/>
      <c r="AL32" s="1324"/>
      <c r="AM32" s="1331"/>
      <c r="AN32" s="1332"/>
    </row>
    <row r="33" spans="1:40" s="1335" customFormat="1" ht="45.6" customHeight="1" x14ac:dyDescent="0.3">
      <c r="A33" s="1324"/>
      <c r="B33" s="1325"/>
      <c r="C33" s="1326"/>
      <c r="D33" s="1324"/>
      <c r="E33" s="1324"/>
      <c r="F33" s="1324"/>
      <c r="G33" s="1328"/>
      <c r="H33" s="1328"/>
      <c r="I33" s="1327"/>
      <c r="J33" s="1328"/>
      <c r="K33" s="1657"/>
      <c r="L33" s="1658"/>
      <c r="M33" s="1329"/>
      <c r="N33" s="1329"/>
      <c r="O33" s="1329"/>
      <c r="P33" s="1330"/>
      <c r="Q33" s="1327"/>
      <c r="R33" s="1327"/>
      <c r="S33" s="1327"/>
      <c r="T33" s="1324"/>
      <c r="U33" s="1324"/>
      <c r="V33" s="1331"/>
      <c r="W33" s="1332"/>
      <c r="X33" s="1333"/>
      <c r="Y33" s="1334"/>
      <c r="Z33" s="1333"/>
      <c r="AA33" s="1334"/>
      <c r="AB33" s="1333"/>
      <c r="AC33" s="1334"/>
      <c r="AD33" s="1334"/>
      <c r="AE33" s="1334"/>
      <c r="AF33" s="1329"/>
      <c r="AG33" s="1330"/>
      <c r="AH33" s="1327"/>
      <c r="AI33" s="1327"/>
      <c r="AJ33" s="1327"/>
      <c r="AK33" s="1324"/>
      <c r="AL33" s="1324"/>
      <c r="AM33" s="1331"/>
      <c r="AN33" s="1332"/>
    </row>
    <row r="34" spans="1:40" s="1335" customFormat="1" ht="45.6" customHeight="1" x14ac:dyDescent="0.3">
      <c r="A34" s="1324"/>
      <c r="B34" s="1325"/>
      <c r="C34" s="1326"/>
      <c r="D34" s="1324"/>
      <c r="E34" s="1324"/>
      <c r="F34" s="1324"/>
      <c r="G34" s="1328"/>
      <c r="H34" s="1328"/>
      <c r="I34" s="1327"/>
      <c r="J34" s="1328"/>
      <c r="K34" s="1657"/>
      <c r="L34" s="1658"/>
      <c r="M34" s="1329"/>
      <c r="N34" s="1329"/>
      <c r="O34" s="1329"/>
      <c r="P34" s="1330"/>
      <c r="Q34" s="1327"/>
      <c r="R34" s="1327"/>
      <c r="S34" s="1327"/>
      <c r="T34" s="1324"/>
      <c r="U34" s="1324"/>
      <c r="V34" s="1331"/>
      <c r="W34" s="1332"/>
      <c r="X34" s="1333"/>
      <c r="Y34" s="1334"/>
      <c r="Z34" s="1333"/>
      <c r="AA34" s="1334"/>
      <c r="AB34" s="1333"/>
      <c r="AC34" s="1334"/>
      <c r="AD34" s="1334"/>
      <c r="AE34" s="1334"/>
      <c r="AF34" s="1329"/>
      <c r="AG34" s="1330"/>
      <c r="AH34" s="1327"/>
      <c r="AI34" s="1327"/>
      <c r="AJ34" s="1327"/>
      <c r="AK34" s="1324"/>
      <c r="AL34" s="1324"/>
      <c r="AM34" s="1331"/>
      <c r="AN34" s="1332"/>
    </row>
    <row r="35" spans="1:40" s="1335" customFormat="1" ht="45.6" customHeight="1" x14ac:dyDescent="0.3">
      <c r="A35" s="1324"/>
      <c r="B35" s="1325"/>
      <c r="C35" s="1326"/>
      <c r="D35" s="1324"/>
      <c r="E35" s="1324"/>
      <c r="F35" s="1324"/>
      <c r="G35" s="1328"/>
      <c r="H35" s="1328"/>
      <c r="I35" s="1327"/>
      <c r="J35" s="1328"/>
      <c r="K35" s="1657"/>
      <c r="L35" s="1658"/>
      <c r="M35" s="1329"/>
      <c r="N35" s="1329"/>
      <c r="O35" s="1329"/>
      <c r="P35" s="1330"/>
      <c r="Q35" s="1327"/>
      <c r="R35" s="1327"/>
      <c r="S35" s="1327"/>
      <c r="T35" s="1324"/>
      <c r="U35" s="1324"/>
      <c r="V35" s="1331"/>
      <c r="W35" s="1332"/>
      <c r="X35" s="1333"/>
      <c r="Y35" s="1334"/>
      <c r="Z35" s="1333"/>
      <c r="AA35" s="1334"/>
      <c r="AB35" s="1333"/>
      <c r="AC35" s="1334"/>
      <c r="AD35" s="1334"/>
      <c r="AE35" s="1334"/>
      <c r="AF35" s="1329"/>
      <c r="AG35" s="1330"/>
      <c r="AH35" s="1327"/>
      <c r="AI35" s="1327"/>
      <c r="AJ35" s="1327"/>
      <c r="AK35" s="1324"/>
      <c r="AL35" s="1324"/>
      <c r="AM35" s="1331"/>
      <c r="AN35" s="1332"/>
    </row>
    <row r="36" spans="1:40" s="1335" customFormat="1" ht="45.6" customHeight="1" x14ac:dyDescent="0.3">
      <c r="A36" s="1324"/>
      <c r="B36" s="1325"/>
      <c r="C36" s="1326"/>
      <c r="D36" s="1324"/>
      <c r="E36" s="1324"/>
      <c r="F36" s="1324"/>
      <c r="G36" s="1328"/>
      <c r="H36" s="1328"/>
      <c r="I36" s="1327"/>
      <c r="J36" s="1328"/>
      <c r="K36" s="1657"/>
      <c r="L36" s="1658"/>
      <c r="M36" s="1329"/>
      <c r="N36" s="1329"/>
      <c r="O36" s="1329"/>
      <c r="P36" s="1330"/>
      <c r="Q36" s="1327"/>
      <c r="R36" s="1327"/>
      <c r="S36" s="1327"/>
      <c r="T36" s="1324"/>
      <c r="U36" s="1324"/>
      <c r="V36" s="1331"/>
      <c r="W36" s="1332"/>
      <c r="X36" s="1333"/>
      <c r="Y36" s="1334"/>
      <c r="Z36" s="1333"/>
      <c r="AA36" s="1334"/>
      <c r="AB36" s="1333"/>
      <c r="AC36" s="1334"/>
      <c r="AD36" s="1334"/>
      <c r="AE36" s="1334"/>
      <c r="AF36" s="1329"/>
      <c r="AG36" s="1330"/>
      <c r="AH36" s="1327"/>
      <c r="AI36" s="1327"/>
      <c r="AJ36" s="1327"/>
      <c r="AK36" s="1324"/>
      <c r="AL36" s="1324"/>
      <c r="AM36" s="1331"/>
      <c r="AN36" s="1332"/>
    </row>
    <row r="37" spans="1:40" s="1335" customFormat="1" ht="45.6" customHeight="1" x14ac:dyDescent="0.3">
      <c r="A37" s="1324"/>
      <c r="B37" s="1325"/>
      <c r="C37" s="1326"/>
      <c r="D37" s="1324"/>
      <c r="E37" s="1324"/>
      <c r="F37" s="1324"/>
      <c r="G37" s="1328"/>
      <c r="H37" s="1328"/>
      <c r="I37" s="1327"/>
      <c r="J37" s="1328"/>
      <c r="K37" s="1657"/>
      <c r="L37" s="1658"/>
      <c r="M37" s="1329"/>
      <c r="N37" s="1329"/>
      <c r="O37" s="1329"/>
      <c r="P37" s="1330"/>
      <c r="Q37" s="1327"/>
      <c r="R37" s="1327"/>
      <c r="S37" s="1327"/>
      <c r="T37" s="1324"/>
      <c r="U37" s="1324"/>
      <c r="V37" s="1331"/>
      <c r="W37" s="1332"/>
      <c r="X37" s="1333"/>
      <c r="Y37" s="1334"/>
      <c r="Z37" s="1333"/>
      <c r="AA37" s="1334"/>
      <c r="AB37" s="1333"/>
      <c r="AC37" s="1334"/>
      <c r="AD37" s="1334"/>
      <c r="AE37" s="1334"/>
      <c r="AF37" s="1329"/>
      <c r="AG37" s="1330"/>
      <c r="AH37" s="1327"/>
      <c r="AI37" s="1327"/>
      <c r="AJ37" s="1327"/>
      <c r="AK37" s="1324"/>
      <c r="AL37" s="1324"/>
      <c r="AM37" s="1331"/>
      <c r="AN37" s="1332"/>
    </row>
    <row r="38" spans="1:40" s="1335" customFormat="1" ht="45.6" customHeight="1" x14ac:dyDescent="0.3">
      <c r="A38" s="1324"/>
      <c r="B38" s="1325"/>
      <c r="C38" s="1326"/>
      <c r="D38" s="1324"/>
      <c r="E38" s="1324"/>
      <c r="F38" s="1324"/>
      <c r="G38" s="1328"/>
      <c r="H38" s="1328"/>
      <c r="I38" s="1327"/>
      <c r="J38" s="1328"/>
      <c r="K38" s="1657"/>
      <c r="L38" s="1658"/>
      <c r="M38" s="1329"/>
      <c r="N38" s="1329"/>
      <c r="O38" s="1329"/>
      <c r="P38" s="1330"/>
      <c r="Q38" s="1327"/>
      <c r="R38" s="1327"/>
      <c r="S38" s="1327"/>
      <c r="T38" s="1324"/>
      <c r="U38" s="1324"/>
      <c r="V38" s="1331"/>
      <c r="W38" s="1332"/>
      <c r="X38" s="1333"/>
      <c r="Y38" s="1334"/>
      <c r="Z38" s="1333"/>
      <c r="AA38" s="1334"/>
      <c r="AB38" s="1333"/>
      <c r="AC38" s="1334"/>
      <c r="AD38" s="1334"/>
      <c r="AE38" s="1334"/>
      <c r="AF38" s="1329"/>
      <c r="AG38" s="1330"/>
      <c r="AH38" s="1327"/>
      <c r="AI38" s="1327"/>
      <c r="AJ38" s="1327"/>
      <c r="AK38" s="1324"/>
      <c r="AL38" s="1324"/>
      <c r="AM38" s="1331"/>
      <c r="AN38" s="1332"/>
    </row>
    <row r="39" spans="1:40" s="1335" customFormat="1" ht="45.6" customHeight="1" x14ac:dyDescent="0.3">
      <c r="A39" s="1324"/>
      <c r="B39" s="1325"/>
      <c r="C39" s="1326"/>
      <c r="D39" s="1324"/>
      <c r="E39" s="1324"/>
      <c r="F39" s="1324"/>
      <c r="G39" s="1328"/>
      <c r="H39" s="1328"/>
      <c r="I39" s="1327"/>
      <c r="J39" s="1328"/>
      <c r="K39" s="1657"/>
      <c r="L39" s="1658"/>
      <c r="M39" s="1329"/>
      <c r="N39" s="1329"/>
      <c r="O39" s="1329"/>
      <c r="P39" s="1330"/>
      <c r="Q39" s="1327"/>
      <c r="R39" s="1327"/>
      <c r="S39" s="1327"/>
      <c r="T39" s="1324"/>
      <c r="U39" s="1324"/>
      <c r="V39" s="1331"/>
      <c r="W39" s="1332"/>
      <c r="X39" s="1333"/>
      <c r="Y39" s="1334"/>
      <c r="Z39" s="1333"/>
      <c r="AA39" s="1334"/>
      <c r="AB39" s="1333"/>
      <c r="AC39" s="1334"/>
      <c r="AD39" s="1334"/>
      <c r="AE39" s="1334"/>
      <c r="AF39" s="1329"/>
      <c r="AG39" s="1330"/>
      <c r="AH39" s="1327"/>
      <c r="AI39" s="1327"/>
      <c r="AJ39" s="1327"/>
      <c r="AK39" s="1324"/>
      <c r="AL39" s="1324"/>
      <c r="AM39" s="1331"/>
      <c r="AN39" s="1332"/>
    </row>
    <row r="40" spans="1:40" s="1335" customFormat="1" ht="45.6" customHeight="1" x14ac:dyDescent="0.3">
      <c r="A40" s="1324"/>
      <c r="B40" s="1325"/>
      <c r="C40" s="1326"/>
      <c r="D40" s="1324"/>
      <c r="E40" s="1324"/>
      <c r="F40" s="1324"/>
      <c r="G40" s="1328"/>
      <c r="H40" s="1328"/>
      <c r="I40" s="1327"/>
      <c r="J40" s="1328"/>
      <c r="K40" s="1657"/>
      <c r="L40" s="1658"/>
      <c r="M40" s="1329"/>
      <c r="N40" s="1329"/>
      <c r="O40" s="1329"/>
      <c r="P40" s="1330"/>
      <c r="Q40" s="1327"/>
      <c r="R40" s="1327"/>
      <c r="S40" s="1327"/>
      <c r="T40" s="1324"/>
      <c r="U40" s="1324"/>
      <c r="V40" s="1331"/>
      <c r="W40" s="1332"/>
      <c r="X40" s="1333"/>
      <c r="Y40" s="1334"/>
      <c r="Z40" s="1333"/>
      <c r="AA40" s="1334"/>
      <c r="AB40" s="1333"/>
      <c r="AC40" s="1334"/>
      <c r="AD40" s="1334"/>
      <c r="AE40" s="1334"/>
      <c r="AF40" s="1329"/>
      <c r="AG40" s="1330"/>
      <c r="AH40" s="1327"/>
      <c r="AI40" s="1327"/>
      <c r="AJ40" s="1327"/>
      <c r="AK40" s="1324"/>
      <c r="AL40" s="1324"/>
      <c r="AM40" s="1331"/>
      <c r="AN40" s="1332"/>
    </row>
    <row r="41" spans="1:40" s="1335" customFormat="1" ht="45.6" customHeight="1" x14ac:dyDescent="0.3">
      <c r="A41" s="1324"/>
      <c r="B41" s="1325"/>
      <c r="C41" s="1326"/>
      <c r="D41" s="1324"/>
      <c r="E41" s="1324"/>
      <c r="F41" s="1324"/>
      <c r="G41" s="1328"/>
      <c r="H41" s="1328"/>
      <c r="I41" s="1327"/>
      <c r="J41" s="1328"/>
      <c r="K41" s="1657"/>
      <c r="L41" s="1658"/>
      <c r="M41" s="1329"/>
      <c r="N41" s="1329"/>
      <c r="O41" s="1329"/>
      <c r="P41" s="1330"/>
      <c r="Q41" s="1327"/>
      <c r="R41" s="1327"/>
      <c r="S41" s="1327"/>
      <c r="T41" s="1324"/>
      <c r="U41" s="1324"/>
      <c r="V41" s="1331"/>
      <c r="W41" s="1332"/>
      <c r="X41" s="1333"/>
      <c r="Y41" s="1334"/>
      <c r="Z41" s="1333"/>
      <c r="AA41" s="1334"/>
      <c r="AB41" s="1333"/>
      <c r="AC41" s="1334"/>
      <c r="AD41" s="1334"/>
      <c r="AE41" s="1334"/>
      <c r="AF41" s="1329"/>
      <c r="AG41" s="1330"/>
      <c r="AH41" s="1327"/>
      <c r="AI41" s="1327"/>
      <c r="AJ41" s="1327"/>
      <c r="AK41" s="1324"/>
      <c r="AL41" s="1324"/>
      <c r="AM41" s="1331"/>
      <c r="AN41" s="1332"/>
    </row>
    <row r="42" spans="1:40" s="1335" customFormat="1" ht="45.6" customHeight="1" x14ac:dyDescent="0.3">
      <c r="A42" s="1324"/>
      <c r="B42" s="1325"/>
      <c r="C42" s="1326"/>
      <c r="D42" s="1324"/>
      <c r="E42" s="1324"/>
      <c r="F42" s="1324"/>
      <c r="G42" s="1328"/>
      <c r="H42" s="1328"/>
      <c r="I42" s="1327"/>
      <c r="J42" s="1328"/>
      <c r="K42" s="1657"/>
      <c r="L42" s="1658"/>
      <c r="M42" s="1329"/>
      <c r="N42" s="1329"/>
      <c r="O42" s="1329"/>
      <c r="P42" s="1330"/>
      <c r="Q42" s="1327"/>
      <c r="R42" s="1327"/>
      <c r="S42" s="1327"/>
      <c r="T42" s="1324"/>
      <c r="U42" s="1324"/>
      <c r="V42" s="1331"/>
      <c r="W42" s="1332"/>
      <c r="X42" s="1333"/>
      <c r="Y42" s="1334"/>
      <c r="Z42" s="1333"/>
      <c r="AA42" s="1334"/>
      <c r="AB42" s="1333"/>
      <c r="AC42" s="1334"/>
      <c r="AD42" s="1334"/>
      <c r="AE42" s="1334"/>
      <c r="AF42" s="1329"/>
      <c r="AG42" s="1330"/>
      <c r="AH42" s="1327"/>
      <c r="AI42" s="1327"/>
      <c r="AJ42" s="1327"/>
      <c r="AK42" s="1324"/>
      <c r="AL42" s="1324"/>
      <c r="AM42" s="1331"/>
      <c r="AN42" s="1332"/>
    </row>
    <row r="43" spans="1:40" s="138" customFormat="1" ht="45.6" customHeight="1" x14ac:dyDescent="0.3">
      <c r="A43" s="365"/>
      <c r="B43" s="497"/>
      <c r="C43" s="498"/>
      <c r="D43" s="365"/>
      <c r="E43" s="365"/>
      <c r="F43" s="365"/>
      <c r="G43" s="499"/>
      <c r="H43" s="500"/>
      <c r="I43" s="499"/>
      <c r="J43" s="500"/>
      <c r="K43" s="1653"/>
      <c r="L43" s="1654"/>
      <c r="M43" s="501"/>
      <c r="N43" s="501"/>
      <c r="O43" s="501"/>
      <c r="P43" s="502"/>
      <c r="Q43" s="499"/>
      <c r="R43" s="499"/>
      <c r="S43" s="499"/>
      <c r="T43" s="365"/>
      <c r="U43" s="365"/>
      <c r="V43" s="503"/>
      <c r="W43" s="504"/>
      <c r="X43" s="493"/>
      <c r="Y43" s="494"/>
      <c r="Z43" s="493"/>
      <c r="AA43" s="494"/>
      <c r="AB43" s="493"/>
      <c r="AC43" s="494"/>
      <c r="AD43" s="494"/>
      <c r="AE43" s="494"/>
      <c r="AF43" s="501"/>
      <c r="AG43" s="502"/>
      <c r="AH43" s="499"/>
      <c r="AI43" s="499"/>
      <c r="AJ43" s="499"/>
      <c r="AK43" s="365"/>
      <c r="AL43" s="365"/>
      <c r="AM43" s="503"/>
      <c r="AN43" s="504"/>
    </row>
    <row r="44" spans="1:40" s="1338" customFormat="1" ht="45.6" customHeight="1" x14ac:dyDescent="0.3">
      <c r="A44" s="506"/>
      <c r="B44" s="507"/>
      <c r="C44" s="541"/>
      <c r="D44" s="506"/>
      <c r="E44" s="506"/>
      <c r="F44" s="506"/>
      <c r="G44" s="510"/>
      <c r="H44" s="510"/>
      <c r="I44" s="97"/>
      <c r="J44" s="510"/>
      <c r="K44" s="1655"/>
      <c r="L44" s="1656"/>
      <c r="M44" s="511"/>
      <c r="N44" s="511"/>
      <c r="O44" s="511"/>
      <c r="P44" s="512"/>
      <c r="Q44" s="97"/>
      <c r="R44" s="97"/>
      <c r="S44" s="97"/>
      <c r="T44" s="506"/>
      <c r="U44" s="506"/>
      <c r="V44" s="513"/>
      <c r="W44" s="514"/>
      <c r="X44" s="1336"/>
      <c r="Y44" s="1337"/>
      <c r="Z44" s="1336"/>
      <c r="AA44" s="1337"/>
      <c r="AB44" s="1336"/>
      <c r="AC44" s="1337"/>
      <c r="AD44" s="1337"/>
      <c r="AE44" s="1337"/>
      <c r="AF44" s="511"/>
      <c r="AG44" s="512"/>
      <c r="AH44" s="97"/>
      <c r="AI44" s="97"/>
      <c r="AJ44" s="97"/>
      <c r="AK44" s="506"/>
      <c r="AL44" s="506"/>
      <c r="AM44" s="513"/>
      <c r="AN44" s="514"/>
    </row>
    <row r="45" spans="1:40" s="675" customFormat="1" ht="45.6" customHeight="1" x14ac:dyDescent="0.3">
      <c r="A45" s="1045"/>
      <c r="B45" s="1478"/>
      <c r="C45" s="1479"/>
      <c r="D45" s="1045"/>
      <c r="E45" s="1045"/>
      <c r="F45" s="1045"/>
      <c r="G45" s="1480"/>
      <c r="H45" s="1480"/>
      <c r="I45" s="1481"/>
      <c r="J45" s="1480"/>
      <c r="K45" s="1657"/>
      <c r="L45" s="1658"/>
      <c r="M45" s="1482"/>
      <c r="N45" s="1482"/>
      <c r="O45" s="1482"/>
      <c r="P45" s="1483"/>
      <c r="Q45" s="1481"/>
      <c r="R45" s="1481"/>
      <c r="S45" s="1481"/>
      <c r="T45" s="1045"/>
      <c r="U45" s="1045"/>
      <c r="V45" s="1484"/>
      <c r="W45" s="1485"/>
      <c r="X45" s="678"/>
      <c r="Y45" s="1486"/>
      <c r="Z45" s="678"/>
      <c r="AA45" s="1486"/>
      <c r="AB45" s="678"/>
      <c r="AC45" s="1486"/>
      <c r="AD45" s="1486"/>
      <c r="AE45" s="1486"/>
      <c r="AF45" s="1482"/>
      <c r="AG45" s="1483"/>
      <c r="AH45" s="1481"/>
      <c r="AI45" s="1481"/>
      <c r="AJ45" s="1481"/>
      <c r="AK45" s="1045"/>
      <c r="AL45" s="1045"/>
      <c r="AM45" s="1484"/>
      <c r="AN45" s="1485"/>
    </row>
    <row r="46" spans="1:40" s="675" customFormat="1" ht="45.6" customHeight="1" x14ac:dyDescent="0.3">
      <c r="A46" s="1045"/>
      <c r="B46" s="1478"/>
      <c r="C46" s="1479"/>
      <c r="D46" s="1045"/>
      <c r="E46" s="1045"/>
      <c r="F46" s="1045"/>
      <c r="G46" s="1480"/>
      <c r="H46" s="1480"/>
      <c r="I46" s="1481"/>
      <c r="J46" s="1480"/>
      <c r="K46" s="1657"/>
      <c r="L46" s="1658"/>
      <c r="M46" s="1482"/>
      <c r="N46" s="1482"/>
      <c r="O46" s="1482"/>
      <c r="P46" s="1483"/>
      <c r="Q46" s="1481"/>
      <c r="R46" s="1481"/>
      <c r="S46" s="1481"/>
      <c r="T46" s="1045"/>
      <c r="U46" s="1045"/>
      <c r="V46" s="1484"/>
      <c r="W46" s="1485"/>
      <c r="X46" s="678"/>
      <c r="Y46" s="1486"/>
      <c r="Z46" s="678"/>
      <c r="AA46" s="1486"/>
      <c r="AB46" s="678"/>
      <c r="AC46" s="1486"/>
      <c r="AD46" s="1486"/>
      <c r="AE46" s="1486"/>
      <c r="AF46" s="1482"/>
      <c r="AG46" s="1483"/>
      <c r="AH46" s="1481"/>
      <c r="AI46" s="1481"/>
      <c r="AJ46" s="1481"/>
      <c r="AK46" s="1045"/>
      <c r="AL46" s="1045"/>
      <c r="AM46" s="1484"/>
      <c r="AN46" s="1485"/>
    </row>
    <row r="47" spans="1:40" s="675" customFormat="1" ht="45.6" customHeight="1" x14ac:dyDescent="0.3">
      <c r="A47" s="1045"/>
      <c r="B47" s="1478"/>
      <c r="C47" s="1479"/>
      <c r="D47" s="1045"/>
      <c r="E47" s="1045"/>
      <c r="F47" s="1045"/>
      <c r="G47" s="1480"/>
      <c r="H47" s="1480"/>
      <c r="I47" s="1481"/>
      <c r="J47" s="1480"/>
      <c r="K47" s="1657"/>
      <c r="L47" s="1658"/>
      <c r="M47" s="1482"/>
      <c r="N47" s="1482"/>
      <c r="O47" s="1482"/>
      <c r="P47" s="1483"/>
      <c r="Q47" s="1481"/>
      <c r="R47" s="1481"/>
      <c r="S47" s="1481"/>
      <c r="T47" s="1045"/>
      <c r="U47" s="1045"/>
      <c r="V47" s="1484"/>
      <c r="W47" s="1485"/>
      <c r="X47" s="678"/>
      <c r="Y47" s="1486"/>
      <c r="Z47" s="678"/>
      <c r="AA47" s="1486"/>
      <c r="AB47" s="678"/>
      <c r="AC47" s="1486"/>
      <c r="AD47" s="1486"/>
      <c r="AE47" s="1486"/>
      <c r="AF47" s="1482"/>
      <c r="AG47" s="1483"/>
      <c r="AH47" s="1481"/>
      <c r="AI47" s="1481"/>
      <c r="AJ47" s="1481"/>
      <c r="AK47" s="1045"/>
      <c r="AL47" s="1045"/>
      <c r="AM47" s="1484"/>
      <c r="AN47" s="1485"/>
    </row>
    <row r="48" spans="1:40" s="675" customFormat="1" ht="45.6" customHeight="1" x14ac:dyDescent="0.3">
      <c r="A48" s="1045"/>
      <c r="B48" s="1478"/>
      <c r="C48" s="1479"/>
      <c r="D48" s="1045"/>
      <c r="E48" s="1045"/>
      <c r="F48" s="1045"/>
      <c r="G48" s="1480"/>
      <c r="H48" s="1480"/>
      <c r="I48" s="1481"/>
      <c r="J48" s="1480"/>
      <c r="K48" s="1657"/>
      <c r="L48" s="1658"/>
      <c r="M48" s="1482"/>
      <c r="N48" s="1482"/>
      <c r="O48" s="1482"/>
      <c r="P48" s="1483"/>
      <c r="Q48" s="1481"/>
      <c r="R48" s="1481"/>
      <c r="S48" s="1481"/>
      <c r="T48" s="1045"/>
      <c r="U48" s="1045"/>
      <c r="V48" s="1484"/>
      <c r="W48" s="1485"/>
      <c r="X48" s="678"/>
      <c r="Y48" s="1486"/>
      <c r="Z48" s="678"/>
      <c r="AA48" s="1486"/>
      <c r="AB48" s="678"/>
      <c r="AC48" s="1486"/>
      <c r="AD48" s="1486"/>
      <c r="AE48" s="1486"/>
      <c r="AF48" s="1482"/>
      <c r="AG48" s="1483"/>
      <c r="AH48" s="1481"/>
      <c r="AI48" s="1481"/>
      <c r="AJ48" s="1481"/>
      <c r="AK48" s="1045"/>
      <c r="AL48" s="1045"/>
      <c r="AM48" s="1484"/>
      <c r="AN48" s="1485"/>
    </row>
    <row r="49" spans="1:40" s="675" customFormat="1" ht="45.6" customHeight="1" x14ac:dyDescent="0.3">
      <c r="A49" s="1045"/>
      <c r="B49" s="1478"/>
      <c r="C49" s="1479"/>
      <c r="D49" s="1045"/>
      <c r="E49" s="1045"/>
      <c r="F49" s="1045"/>
      <c r="G49" s="1480"/>
      <c r="H49" s="1480"/>
      <c r="I49" s="1481"/>
      <c r="J49" s="1480"/>
      <c r="K49" s="1657"/>
      <c r="L49" s="1658"/>
      <c r="M49" s="1482"/>
      <c r="N49" s="1482"/>
      <c r="O49" s="1482"/>
      <c r="P49" s="1483"/>
      <c r="Q49" s="1481"/>
      <c r="R49" s="1481"/>
      <c r="S49" s="1481"/>
      <c r="T49" s="1045"/>
      <c r="U49" s="1045"/>
      <c r="V49" s="1484"/>
      <c r="W49" s="1485"/>
      <c r="X49" s="678"/>
      <c r="Y49" s="1486"/>
      <c r="Z49" s="678"/>
      <c r="AA49" s="1486"/>
      <c r="AB49" s="678"/>
      <c r="AC49" s="1486"/>
      <c r="AD49" s="1486"/>
      <c r="AE49" s="1486"/>
      <c r="AF49" s="1482"/>
      <c r="AG49" s="1483"/>
      <c r="AH49" s="1481"/>
      <c r="AI49" s="1481"/>
      <c r="AJ49" s="1481"/>
      <c r="AK49" s="1045"/>
      <c r="AL49" s="1045"/>
      <c r="AM49" s="1484"/>
      <c r="AN49" s="1485"/>
    </row>
    <row r="50" spans="1:40" s="675" customFormat="1" ht="45.6" customHeight="1" x14ac:dyDescent="0.3">
      <c r="A50" s="1045"/>
      <c r="B50" s="1478"/>
      <c r="C50" s="1479"/>
      <c r="D50" s="1045"/>
      <c r="E50" s="1045"/>
      <c r="F50" s="1045"/>
      <c r="G50" s="1480"/>
      <c r="H50" s="1480"/>
      <c r="I50" s="1481"/>
      <c r="J50" s="1480"/>
      <c r="K50" s="1657"/>
      <c r="L50" s="1658"/>
      <c r="M50" s="1482"/>
      <c r="N50" s="1482"/>
      <c r="O50" s="1482"/>
      <c r="P50" s="1483"/>
      <c r="Q50" s="1481"/>
      <c r="R50" s="1481"/>
      <c r="S50" s="1481"/>
      <c r="T50" s="1045"/>
      <c r="U50" s="1045"/>
      <c r="V50" s="1484"/>
      <c r="W50" s="1485"/>
      <c r="X50" s="678"/>
      <c r="Y50" s="1486"/>
      <c r="Z50" s="678"/>
      <c r="AA50" s="1486"/>
      <c r="AB50" s="678"/>
      <c r="AC50" s="1486"/>
      <c r="AD50" s="1486"/>
      <c r="AE50" s="1486"/>
      <c r="AF50" s="1482"/>
      <c r="AG50" s="1483"/>
      <c r="AH50" s="1481"/>
      <c r="AI50" s="1481"/>
      <c r="AJ50" s="1481"/>
      <c r="AK50" s="1045"/>
      <c r="AL50" s="1045"/>
      <c r="AM50" s="1484"/>
      <c r="AN50" s="1485"/>
    </row>
    <row r="51" spans="1:40" s="675" customFormat="1" ht="45.6" customHeight="1" x14ac:dyDescent="0.3">
      <c r="A51" s="1045"/>
      <c r="B51" s="1478"/>
      <c r="C51" s="1479"/>
      <c r="D51" s="1045"/>
      <c r="E51" s="1045"/>
      <c r="F51" s="1045"/>
      <c r="G51" s="1480"/>
      <c r="H51" s="1480"/>
      <c r="I51" s="1481"/>
      <c r="J51" s="1480"/>
      <c r="K51" s="1657"/>
      <c r="L51" s="1658"/>
      <c r="M51" s="1482"/>
      <c r="N51" s="1482"/>
      <c r="O51" s="1482"/>
      <c r="P51" s="1483"/>
      <c r="Q51" s="1481"/>
      <c r="R51" s="1481"/>
      <c r="S51" s="1481"/>
      <c r="T51" s="1045"/>
      <c r="U51" s="1045"/>
      <c r="V51" s="1484"/>
      <c r="W51" s="1485"/>
      <c r="X51" s="678"/>
      <c r="Y51" s="1486"/>
      <c r="Z51" s="678"/>
      <c r="AA51" s="1486"/>
      <c r="AB51" s="678"/>
      <c r="AC51" s="1486"/>
      <c r="AD51" s="1486"/>
      <c r="AE51" s="1486"/>
      <c r="AF51" s="1482"/>
      <c r="AG51" s="1483"/>
      <c r="AH51" s="1481"/>
      <c r="AI51" s="1481"/>
      <c r="AJ51" s="1481"/>
      <c r="AK51" s="1045"/>
      <c r="AL51" s="1045"/>
      <c r="AM51" s="1484"/>
      <c r="AN51" s="1485"/>
    </row>
    <row r="52" spans="1:40" s="675" customFormat="1" ht="45.6" customHeight="1" x14ac:dyDescent="0.3">
      <c r="A52" s="1045"/>
      <c r="B52" s="1478"/>
      <c r="C52" s="1479"/>
      <c r="D52" s="1045"/>
      <c r="E52" s="1045"/>
      <c r="F52" s="1045"/>
      <c r="G52" s="1480"/>
      <c r="H52" s="1480"/>
      <c r="I52" s="1481"/>
      <c r="J52" s="1480"/>
      <c r="K52" s="1657"/>
      <c r="L52" s="1658"/>
      <c r="M52" s="1482"/>
      <c r="N52" s="1482"/>
      <c r="O52" s="1482"/>
      <c r="P52" s="1483"/>
      <c r="Q52" s="1481"/>
      <c r="R52" s="1481"/>
      <c r="S52" s="1481"/>
      <c r="T52" s="1045"/>
      <c r="U52" s="1045"/>
      <c r="V52" s="1484"/>
      <c r="W52" s="1485"/>
      <c r="X52" s="678"/>
      <c r="Y52" s="1486"/>
      <c r="Z52" s="678"/>
      <c r="AA52" s="1486"/>
      <c r="AB52" s="678"/>
      <c r="AC52" s="1486"/>
      <c r="AD52" s="1486"/>
      <c r="AE52" s="1486"/>
      <c r="AF52" s="1482"/>
      <c r="AG52" s="1483"/>
      <c r="AH52" s="1481"/>
      <c r="AI52" s="1481"/>
      <c r="AJ52" s="1481"/>
      <c r="AK52" s="1045"/>
      <c r="AL52" s="1045"/>
      <c r="AM52" s="1484"/>
      <c r="AN52" s="1485"/>
    </row>
    <row r="53" spans="1:40" s="675" customFormat="1" ht="45.6" customHeight="1" x14ac:dyDescent="0.3">
      <c r="A53" s="1045"/>
      <c r="B53" s="1478"/>
      <c r="C53" s="1479"/>
      <c r="D53" s="1045"/>
      <c r="E53" s="1045"/>
      <c r="F53" s="1045"/>
      <c r="G53" s="1480"/>
      <c r="H53" s="1480"/>
      <c r="I53" s="1481"/>
      <c r="J53" s="1480"/>
      <c r="K53" s="1657"/>
      <c r="L53" s="1658"/>
      <c r="M53" s="1482"/>
      <c r="N53" s="1482"/>
      <c r="O53" s="1482"/>
      <c r="P53" s="1483"/>
      <c r="Q53" s="1481"/>
      <c r="R53" s="1481"/>
      <c r="S53" s="1481"/>
      <c r="T53" s="1045"/>
      <c r="U53" s="1045"/>
      <c r="V53" s="1484"/>
      <c r="W53" s="1485"/>
      <c r="X53" s="678"/>
      <c r="Y53" s="1486"/>
      <c r="Z53" s="678"/>
      <c r="AA53" s="1486"/>
      <c r="AB53" s="678"/>
      <c r="AC53" s="1486"/>
      <c r="AD53" s="1486"/>
      <c r="AE53" s="1486"/>
      <c r="AF53" s="1482"/>
      <c r="AG53" s="1483"/>
      <c r="AH53" s="1481"/>
      <c r="AI53" s="1481"/>
      <c r="AJ53" s="1481"/>
      <c r="AK53" s="1045"/>
      <c r="AL53" s="1045"/>
      <c r="AM53" s="1484"/>
      <c r="AN53" s="1485"/>
    </row>
    <row r="54" spans="1:40" s="675" customFormat="1" ht="45.6" customHeight="1" x14ac:dyDescent="0.3">
      <c r="A54" s="1045"/>
      <c r="B54" s="1478"/>
      <c r="C54" s="1479"/>
      <c r="D54" s="1045"/>
      <c r="E54" s="1045"/>
      <c r="F54" s="1045"/>
      <c r="G54" s="1480"/>
      <c r="H54" s="1480"/>
      <c r="I54" s="1481"/>
      <c r="J54" s="1480"/>
      <c r="K54" s="1657"/>
      <c r="L54" s="1658"/>
      <c r="M54" s="1482"/>
      <c r="N54" s="1482"/>
      <c r="O54" s="1482"/>
      <c r="P54" s="1483"/>
      <c r="Q54" s="1481"/>
      <c r="R54" s="1481"/>
      <c r="S54" s="1481"/>
      <c r="T54" s="1045"/>
      <c r="U54" s="1045"/>
      <c r="V54" s="1484"/>
      <c r="W54" s="1485"/>
      <c r="X54" s="678"/>
      <c r="Y54" s="1486"/>
      <c r="Z54" s="678"/>
      <c r="AA54" s="1486"/>
      <c r="AB54" s="678"/>
      <c r="AC54" s="1486"/>
      <c r="AD54" s="1486"/>
      <c r="AE54" s="1486"/>
      <c r="AF54" s="1482"/>
      <c r="AG54" s="1483"/>
      <c r="AH54" s="1481"/>
      <c r="AI54" s="1481"/>
      <c r="AJ54" s="1481"/>
      <c r="AK54" s="1045"/>
      <c r="AL54" s="1045"/>
      <c r="AM54" s="1484"/>
      <c r="AN54" s="1485"/>
    </row>
    <row r="55" spans="1:40" s="675" customFormat="1" ht="45.6" customHeight="1" x14ac:dyDescent="0.3">
      <c r="A55" s="1045"/>
      <c r="B55" s="1478"/>
      <c r="C55" s="1479"/>
      <c r="D55" s="1045"/>
      <c r="E55" s="1045"/>
      <c r="F55" s="1045"/>
      <c r="G55" s="1480"/>
      <c r="H55" s="1480"/>
      <c r="I55" s="1481"/>
      <c r="J55" s="1480"/>
      <c r="K55" s="1657"/>
      <c r="L55" s="1658"/>
      <c r="M55" s="1482"/>
      <c r="N55" s="1482"/>
      <c r="O55" s="1482"/>
      <c r="P55" s="1483"/>
      <c r="Q55" s="1481"/>
      <c r="R55" s="1481"/>
      <c r="S55" s="1481"/>
      <c r="T55" s="1045"/>
      <c r="U55" s="1045"/>
      <c r="V55" s="1484"/>
      <c r="W55" s="1485"/>
      <c r="X55" s="678"/>
      <c r="Y55" s="1486"/>
      <c r="Z55" s="678"/>
      <c r="AA55" s="1486"/>
      <c r="AB55" s="678"/>
      <c r="AC55" s="1486"/>
      <c r="AD55" s="1486"/>
      <c r="AE55" s="1486"/>
      <c r="AF55" s="1482"/>
      <c r="AG55" s="1483"/>
      <c r="AH55" s="1481"/>
      <c r="AI55" s="1481"/>
      <c r="AJ55" s="1481"/>
      <c r="AK55" s="1045"/>
      <c r="AL55" s="1045"/>
      <c r="AM55" s="1484"/>
      <c r="AN55" s="1485"/>
    </row>
    <row r="56" spans="1:40" s="1335" customFormat="1" ht="45.6" customHeight="1" x14ac:dyDescent="0.3">
      <c r="A56" s="1324"/>
      <c r="B56" s="1325"/>
      <c r="C56" s="1326"/>
      <c r="D56" s="1324"/>
      <c r="E56" s="1324"/>
      <c r="F56" s="1324"/>
      <c r="G56" s="1328"/>
      <c r="H56" s="1328"/>
      <c r="I56" s="1327"/>
      <c r="J56" s="1328"/>
      <c r="K56" s="1657"/>
      <c r="L56" s="1658"/>
      <c r="M56" s="1329"/>
      <c r="N56" s="1329"/>
      <c r="O56" s="1329"/>
      <c r="P56" s="1330"/>
      <c r="Q56" s="1327"/>
      <c r="R56" s="1327"/>
      <c r="S56" s="1327"/>
      <c r="T56" s="1324"/>
      <c r="U56" s="1324"/>
      <c r="V56" s="1331"/>
      <c r="W56" s="1332"/>
      <c r="X56" s="1333"/>
      <c r="Y56" s="1334"/>
      <c r="Z56" s="1333"/>
      <c r="AA56" s="1334"/>
      <c r="AB56" s="1333"/>
      <c r="AC56" s="1334"/>
      <c r="AD56" s="1334"/>
      <c r="AE56" s="1334"/>
      <c r="AF56" s="1329"/>
      <c r="AG56" s="1330"/>
      <c r="AH56" s="1327"/>
      <c r="AI56" s="1327"/>
      <c r="AJ56" s="1327"/>
      <c r="AK56" s="1324"/>
      <c r="AL56" s="1324"/>
      <c r="AM56" s="1331"/>
      <c r="AN56" s="1332"/>
    </row>
    <row r="57" spans="1:40" s="1335" customFormat="1" ht="45.6" customHeight="1" x14ac:dyDescent="0.3">
      <c r="A57" s="1324"/>
      <c r="B57" s="1325"/>
      <c r="C57" s="1326"/>
      <c r="D57" s="1324"/>
      <c r="E57" s="1324"/>
      <c r="F57" s="1324"/>
      <c r="G57" s="1328"/>
      <c r="H57" s="1328"/>
      <c r="I57" s="1327"/>
      <c r="J57" s="1328"/>
      <c r="K57" s="1657"/>
      <c r="L57" s="1658"/>
      <c r="M57" s="1329"/>
      <c r="N57" s="1329"/>
      <c r="O57" s="1329"/>
      <c r="P57" s="1330"/>
      <c r="Q57" s="1327"/>
      <c r="R57" s="1327"/>
      <c r="S57" s="1327"/>
      <c r="T57" s="1324"/>
      <c r="U57" s="1324"/>
      <c r="V57" s="1331"/>
      <c r="W57" s="1332"/>
      <c r="X57" s="1333"/>
      <c r="Y57" s="1334"/>
      <c r="Z57" s="1333"/>
      <c r="AA57" s="1334"/>
      <c r="AB57" s="1333"/>
      <c r="AC57" s="1334"/>
      <c r="AD57" s="1334"/>
      <c r="AE57" s="1334"/>
      <c r="AF57" s="1329"/>
      <c r="AG57" s="1330"/>
      <c r="AH57" s="1327"/>
      <c r="AI57" s="1327"/>
      <c r="AJ57" s="1327"/>
      <c r="AK57" s="1324"/>
      <c r="AL57" s="1324"/>
      <c r="AM57" s="1331"/>
      <c r="AN57" s="1332"/>
    </row>
    <row r="58" spans="1:40" s="1335" customFormat="1" ht="45.6" customHeight="1" x14ac:dyDescent="0.3">
      <c r="A58" s="1324"/>
      <c r="B58" s="1325"/>
      <c r="C58" s="1326"/>
      <c r="D58" s="1324"/>
      <c r="E58" s="1324"/>
      <c r="F58" s="1324"/>
      <c r="G58" s="1328"/>
      <c r="H58" s="1328"/>
      <c r="I58" s="1327"/>
      <c r="J58" s="1328"/>
      <c r="K58" s="1657"/>
      <c r="L58" s="1658"/>
      <c r="M58" s="1329"/>
      <c r="N58" s="1329"/>
      <c r="O58" s="1329"/>
      <c r="P58" s="1330"/>
      <c r="Q58" s="1327"/>
      <c r="R58" s="1327"/>
      <c r="S58" s="1327"/>
      <c r="T58" s="1324"/>
      <c r="U58" s="1324"/>
      <c r="V58" s="1331"/>
      <c r="W58" s="1332"/>
      <c r="X58" s="1333"/>
      <c r="Y58" s="1334"/>
      <c r="Z58" s="1333"/>
      <c r="AA58" s="1334"/>
      <c r="AB58" s="1333"/>
      <c r="AC58" s="1334"/>
      <c r="AD58" s="1334"/>
      <c r="AE58" s="1334"/>
      <c r="AF58" s="1329"/>
      <c r="AG58" s="1330"/>
      <c r="AH58" s="1327"/>
      <c r="AI58" s="1327"/>
      <c r="AJ58" s="1327"/>
      <c r="AK58" s="1324"/>
      <c r="AL58" s="1324"/>
      <c r="AM58" s="1331"/>
      <c r="AN58" s="1332"/>
    </row>
    <row r="59" spans="1:40" s="1335" customFormat="1" ht="45.6" customHeight="1" x14ac:dyDescent="0.3">
      <c r="A59" s="1324"/>
      <c r="B59" s="1325"/>
      <c r="C59" s="1326"/>
      <c r="D59" s="1324"/>
      <c r="E59" s="1324"/>
      <c r="F59" s="1324"/>
      <c r="G59" s="1328"/>
      <c r="H59" s="1328"/>
      <c r="I59" s="1327"/>
      <c r="J59" s="1328"/>
      <c r="K59" s="1657"/>
      <c r="L59" s="1658"/>
      <c r="M59" s="1329"/>
      <c r="N59" s="1329"/>
      <c r="O59" s="1329"/>
      <c r="P59" s="1330"/>
      <c r="Q59" s="1327"/>
      <c r="R59" s="1327"/>
      <c r="S59" s="1327"/>
      <c r="T59" s="1324"/>
      <c r="U59" s="1324"/>
      <c r="V59" s="1331"/>
      <c r="W59" s="1332"/>
      <c r="X59" s="1333"/>
      <c r="Y59" s="1334"/>
      <c r="Z59" s="1333"/>
      <c r="AA59" s="1334"/>
      <c r="AB59" s="1333"/>
      <c r="AC59" s="1334"/>
      <c r="AD59" s="1334"/>
      <c r="AE59" s="1334"/>
      <c r="AF59" s="1329"/>
      <c r="AG59" s="1330"/>
      <c r="AH59" s="1327"/>
      <c r="AI59" s="1327"/>
      <c r="AJ59" s="1327"/>
      <c r="AK59" s="1324"/>
      <c r="AL59" s="1324"/>
      <c r="AM59" s="1331"/>
      <c r="AN59" s="1332"/>
    </row>
    <row r="60" spans="1:40" s="1335" customFormat="1" ht="45.6" customHeight="1" x14ac:dyDescent="0.3">
      <c r="A60" s="1324"/>
      <c r="B60" s="1325"/>
      <c r="C60" s="1326"/>
      <c r="D60" s="1324"/>
      <c r="E60" s="1324"/>
      <c r="F60" s="1324"/>
      <c r="G60" s="1328"/>
      <c r="H60" s="1328"/>
      <c r="I60" s="1327"/>
      <c r="J60" s="1328"/>
      <c r="K60" s="1657"/>
      <c r="L60" s="1658"/>
      <c r="M60" s="1329"/>
      <c r="N60" s="1329"/>
      <c r="O60" s="1329"/>
      <c r="P60" s="1330"/>
      <c r="Q60" s="1327"/>
      <c r="R60" s="1327"/>
      <c r="S60" s="1327"/>
      <c r="T60" s="1324"/>
      <c r="U60" s="1324"/>
      <c r="V60" s="1331"/>
      <c r="W60" s="1332"/>
      <c r="X60" s="1333"/>
      <c r="Y60" s="1334"/>
      <c r="Z60" s="1333"/>
      <c r="AA60" s="1334"/>
      <c r="AB60" s="1333"/>
      <c r="AC60" s="1334"/>
      <c r="AD60" s="1334"/>
      <c r="AE60" s="1334"/>
      <c r="AF60" s="1329"/>
      <c r="AG60" s="1330"/>
      <c r="AH60" s="1327"/>
      <c r="AI60" s="1327"/>
      <c r="AJ60" s="1327"/>
      <c r="AK60" s="1324"/>
      <c r="AL60" s="1324"/>
      <c r="AM60" s="1331"/>
      <c r="AN60" s="1332"/>
    </row>
    <row r="61" spans="1:40" s="1335" customFormat="1" ht="45.6" customHeight="1" x14ac:dyDescent="0.3">
      <c r="A61" s="1324"/>
      <c r="B61" s="1325"/>
      <c r="C61" s="1326"/>
      <c r="D61" s="1324"/>
      <c r="E61" s="1324"/>
      <c r="F61" s="1324"/>
      <c r="G61" s="1328"/>
      <c r="H61" s="1328"/>
      <c r="I61" s="1327"/>
      <c r="J61" s="1328"/>
      <c r="K61" s="1657"/>
      <c r="L61" s="1658"/>
      <c r="M61" s="1329"/>
      <c r="N61" s="1329"/>
      <c r="O61" s="1329"/>
      <c r="P61" s="1330"/>
      <c r="Q61" s="1327"/>
      <c r="R61" s="1327"/>
      <c r="S61" s="1327"/>
      <c r="T61" s="1324"/>
      <c r="U61" s="1324"/>
      <c r="V61" s="1331"/>
      <c r="W61" s="1332"/>
      <c r="X61" s="1333"/>
      <c r="Y61" s="1334"/>
      <c r="Z61" s="1333"/>
      <c r="AA61" s="1334"/>
      <c r="AB61" s="1333"/>
      <c r="AC61" s="1334"/>
      <c r="AD61" s="1334"/>
      <c r="AE61" s="1334"/>
      <c r="AF61" s="1329"/>
      <c r="AG61" s="1330"/>
      <c r="AH61" s="1327"/>
      <c r="AI61" s="1327"/>
      <c r="AJ61" s="1327"/>
      <c r="AK61" s="1324"/>
      <c r="AL61" s="1324"/>
      <c r="AM61" s="1331"/>
      <c r="AN61" s="1332"/>
    </row>
    <row r="62" spans="1:40" s="1335" customFormat="1" ht="45.6" customHeight="1" x14ac:dyDescent="0.3">
      <c r="A62" s="1324"/>
      <c r="B62" s="1325"/>
      <c r="C62" s="1326"/>
      <c r="D62" s="1324"/>
      <c r="E62" s="1324"/>
      <c r="F62" s="1324"/>
      <c r="G62" s="1328"/>
      <c r="H62" s="1328"/>
      <c r="I62" s="1327"/>
      <c r="J62" s="1328"/>
      <c r="K62" s="1657"/>
      <c r="L62" s="1658"/>
      <c r="M62" s="1329"/>
      <c r="N62" s="1329"/>
      <c r="O62" s="1329"/>
      <c r="P62" s="1330"/>
      <c r="Q62" s="1327"/>
      <c r="R62" s="1327"/>
      <c r="S62" s="1327"/>
      <c r="T62" s="1324"/>
      <c r="U62" s="1324"/>
      <c r="V62" s="1331"/>
      <c r="W62" s="1332"/>
      <c r="X62" s="1333"/>
      <c r="Y62" s="1334"/>
      <c r="Z62" s="1333"/>
      <c r="AA62" s="1334"/>
      <c r="AB62" s="1333"/>
      <c r="AC62" s="1334"/>
      <c r="AD62" s="1334"/>
      <c r="AE62" s="1334"/>
      <c r="AF62" s="1329"/>
      <c r="AG62" s="1330"/>
      <c r="AH62" s="1327"/>
      <c r="AI62" s="1327"/>
      <c r="AJ62" s="1327"/>
      <c r="AK62" s="1324"/>
      <c r="AL62" s="1324"/>
      <c r="AM62" s="1331"/>
      <c r="AN62" s="1332"/>
    </row>
    <row r="63" spans="1:40" s="1335" customFormat="1" ht="45.6" customHeight="1" x14ac:dyDescent="0.3">
      <c r="A63" s="1324"/>
      <c r="B63" s="1325"/>
      <c r="C63" s="1326"/>
      <c r="D63" s="1324"/>
      <c r="E63" s="1324"/>
      <c r="F63" s="1324"/>
      <c r="G63" s="1328"/>
      <c r="H63" s="1328"/>
      <c r="I63" s="1327"/>
      <c r="J63" s="1328"/>
      <c r="K63" s="1657"/>
      <c r="L63" s="1658"/>
      <c r="M63" s="1329"/>
      <c r="N63" s="1329"/>
      <c r="O63" s="1329"/>
      <c r="P63" s="1330"/>
      <c r="Q63" s="1327"/>
      <c r="R63" s="1327"/>
      <c r="S63" s="1327"/>
      <c r="T63" s="1324"/>
      <c r="U63" s="1324"/>
      <c r="V63" s="1331"/>
      <c r="W63" s="1332"/>
      <c r="X63" s="1333"/>
      <c r="Y63" s="1334"/>
      <c r="Z63" s="1333"/>
      <c r="AA63" s="1334"/>
      <c r="AB63" s="1333"/>
      <c r="AC63" s="1334"/>
      <c r="AD63" s="1334"/>
      <c r="AE63" s="1334"/>
      <c r="AF63" s="1329"/>
      <c r="AG63" s="1330"/>
      <c r="AH63" s="1327"/>
      <c r="AI63" s="1327"/>
      <c r="AJ63" s="1327"/>
      <c r="AK63" s="1324"/>
      <c r="AL63" s="1324"/>
      <c r="AM63" s="1331"/>
      <c r="AN63" s="1332"/>
    </row>
    <row r="64" spans="1:40" s="1335" customFormat="1" ht="45.6" customHeight="1" x14ac:dyDescent="0.3">
      <c r="A64" s="1324"/>
      <c r="B64" s="1325"/>
      <c r="C64" s="1326"/>
      <c r="D64" s="1324"/>
      <c r="E64" s="1324"/>
      <c r="F64" s="1324"/>
      <c r="G64" s="1328"/>
      <c r="H64" s="1328"/>
      <c r="I64" s="1327"/>
      <c r="J64" s="1328"/>
      <c r="K64" s="1657"/>
      <c r="L64" s="1658"/>
      <c r="M64" s="1329"/>
      <c r="N64" s="1329"/>
      <c r="O64" s="1329"/>
      <c r="P64" s="1330"/>
      <c r="Q64" s="1327"/>
      <c r="R64" s="1327"/>
      <c r="S64" s="1327"/>
      <c r="T64" s="1324"/>
      <c r="U64" s="1324"/>
      <c r="V64" s="1331"/>
      <c r="W64" s="1332"/>
      <c r="X64" s="1333"/>
      <c r="Y64" s="1334"/>
      <c r="Z64" s="1333"/>
      <c r="AA64" s="1334"/>
      <c r="AB64" s="1333"/>
      <c r="AC64" s="1334"/>
      <c r="AD64" s="1334"/>
      <c r="AE64" s="1334"/>
      <c r="AF64" s="1329"/>
      <c r="AG64" s="1330"/>
      <c r="AH64" s="1327"/>
      <c r="AI64" s="1327"/>
      <c r="AJ64" s="1327"/>
      <c r="AK64" s="1324"/>
      <c r="AL64" s="1324"/>
      <c r="AM64" s="1331"/>
      <c r="AN64" s="1332"/>
    </row>
    <row r="65" spans="1:40" s="1335" customFormat="1" ht="45.6" customHeight="1" x14ac:dyDescent="0.3">
      <c r="A65" s="1324"/>
      <c r="B65" s="1325"/>
      <c r="C65" s="1326"/>
      <c r="D65" s="1324"/>
      <c r="E65" s="1324"/>
      <c r="F65" s="1324"/>
      <c r="G65" s="1328"/>
      <c r="H65" s="1328"/>
      <c r="I65" s="1327"/>
      <c r="J65" s="1328"/>
      <c r="K65" s="1657"/>
      <c r="L65" s="1658"/>
      <c r="M65" s="1329"/>
      <c r="N65" s="1329"/>
      <c r="O65" s="1329"/>
      <c r="P65" s="1330"/>
      <c r="Q65" s="1327"/>
      <c r="R65" s="1327"/>
      <c r="S65" s="1327"/>
      <c r="T65" s="1324"/>
      <c r="U65" s="1324"/>
      <c r="V65" s="1331"/>
      <c r="W65" s="1332"/>
      <c r="X65" s="1333"/>
      <c r="Y65" s="1334"/>
      <c r="Z65" s="1333"/>
      <c r="AA65" s="1334"/>
      <c r="AB65" s="1333"/>
      <c r="AC65" s="1334"/>
      <c r="AD65" s="1334"/>
      <c r="AE65" s="1334"/>
      <c r="AF65" s="1329"/>
      <c r="AG65" s="1330"/>
      <c r="AH65" s="1327"/>
      <c r="AI65" s="1327"/>
      <c r="AJ65" s="1327"/>
      <c r="AK65" s="1324"/>
      <c r="AL65" s="1324"/>
      <c r="AM65" s="1331"/>
      <c r="AN65" s="1332"/>
    </row>
    <row r="66" spans="1:40" s="1335" customFormat="1" ht="45.6" customHeight="1" x14ac:dyDescent="0.3">
      <c r="A66" s="1324"/>
      <c r="B66" s="1325"/>
      <c r="C66" s="1326"/>
      <c r="D66" s="1324"/>
      <c r="E66" s="1324"/>
      <c r="F66" s="1324"/>
      <c r="G66" s="1328"/>
      <c r="H66" s="1328"/>
      <c r="I66" s="1327"/>
      <c r="J66" s="1328"/>
      <c r="K66" s="1657"/>
      <c r="L66" s="1658"/>
      <c r="M66" s="1329"/>
      <c r="N66" s="1329"/>
      <c r="O66" s="1329"/>
      <c r="P66" s="1330"/>
      <c r="Q66" s="1327"/>
      <c r="R66" s="1327"/>
      <c r="S66" s="1327"/>
      <c r="T66" s="1324"/>
      <c r="U66" s="1324"/>
      <c r="V66" s="1331"/>
      <c r="W66" s="1332"/>
      <c r="X66" s="1333"/>
      <c r="Y66" s="1334"/>
      <c r="Z66" s="1333"/>
      <c r="AA66" s="1334"/>
      <c r="AB66" s="1333"/>
      <c r="AC66" s="1334"/>
      <c r="AD66" s="1334"/>
      <c r="AE66" s="1334"/>
      <c r="AF66" s="1329"/>
      <c r="AG66" s="1330"/>
      <c r="AH66" s="1327"/>
      <c r="AI66" s="1327"/>
      <c r="AJ66" s="1327"/>
      <c r="AK66" s="1324"/>
      <c r="AL66" s="1324"/>
      <c r="AM66" s="1331"/>
      <c r="AN66" s="1332"/>
    </row>
    <row r="67" spans="1:40" s="1335" customFormat="1" ht="45.6" customHeight="1" x14ac:dyDescent="0.3">
      <c r="A67" s="1324"/>
      <c r="B67" s="1325"/>
      <c r="C67" s="1326"/>
      <c r="D67" s="1324"/>
      <c r="E67" s="1324"/>
      <c r="F67" s="1324"/>
      <c r="G67" s="1328"/>
      <c r="H67" s="1328"/>
      <c r="I67" s="1327"/>
      <c r="J67" s="1328"/>
      <c r="K67" s="1657"/>
      <c r="L67" s="1658"/>
      <c r="M67" s="1329"/>
      <c r="N67" s="1329"/>
      <c r="O67" s="1329"/>
      <c r="P67" s="1330"/>
      <c r="Q67" s="1327"/>
      <c r="R67" s="1327"/>
      <c r="S67" s="1327"/>
      <c r="T67" s="1324"/>
      <c r="U67" s="1324"/>
      <c r="V67" s="1331"/>
      <c r="W67" s="1332"/>
      <c r="X67" s="1333"/>
      <c r="Y67" s="1334"/>
      <c r="Z67" s="1333"/>
      <c r="AA67" s="1334"/>
      <c r="AB67" s="1333"/>
      <c r="AC67" s="1334"/>
      <c r="AD67" s="1334"/>
      <c r="AE67" s="1334"/>
      <c r="AF67" s="1329"/>
      <c r="AG67" s="1330"/>
      <c r="AH67" s="1327"/>
      <c r="AI67" s="1327"/>
      <c r="AJ67" s="1327"/>
      <c r="AK67" s="1324"/>
      <c r="AL67" s="1324"/>
      <c r="AM67" s="1331"/>
      <c r="AN67" s="1332"/>
    </row>
    <row r="68" spans="1:40" s="1335" customFormat="1" ht="45.6" customHeight="1" x14ac:dyDescent="0.3">
      <c r="A68" s="1324"/>
      <c r="B68" s="1325"/>
      <c r="C68" s="1326"/>
      <c r="D68" s="1324"/>
      <c r="E68" s="1324"/>
      <c r="F68" s="1324"/>
      <c r="G68" s="1328"/>
      <c r="H68" s="1328"/>
      <c r="I68" s="1327"/>
      <c r="J68" s="1328"/>
      <c r="K68" s="1657"/>
      <c r="L68" s="1658"/>
      <c r="M68" s="1329"/>
      <c r="N68" s="1329"/>
      <c r="O68" s="1329"/>
      <c r="P68" s="1330"/>
      <c r="Q68" s="1327"/>
      <c r="R68" s="1327"/>
      <c r="S68" s="1327"/>
      <c r="T68" s="1324"/>
      <c r="U68" s="1324"/>
      <c r="V68" s="1331"/>
      <c r="W68" s="1332"/>
      <c r="X68" s="1333"/>
      <c r="Y68" s="1334"/>
      <c r="Z68" s="1333"/>
      <c r="AA68" s="1334"/>
      <c r="AB68" s="1333"/>
      <c r="AC68" s="1334"/>
      <c r="AD68" s="1334"/>
      <c r="AE68" s="1334"/>
      <c r="AF68" s="1329"/>
      <c r="AG68" s="1330"/>
      <c r="AH68" s="1327"/>
      <c r="AI68" s="1327"/>
      <c r="AJ68" s="1327"/>
      <c r="AK68" s="1324"/>
      <c r="AL68" s="1324"/>
      <c r="AM68" s="1331"/>
      <c r="AN68" s="1332"/>
    </row>
    <row r="69" spans="1:40" s="1335" customFormat="1" ht="45.6" customHeight="1" x14ac:dyDescent="0.3">
      <c r="A69" s="1324"/>
      <c r="B69" s="1325"/>
      <c r="C69" s="1326"/>
      <c r="D69" s="1324"/>
      <c r="E69" s="1324"/>
      <c r="F69" s="1324"/>
      <c r="G69" s="1328"/>
      <c r="H69" s="1328"/>
      <c r="I69" s="1327"/>
      <c r="J69" s="1328"/>
      <c r="K69" s="1657"/>
      <c r="L69" s="1658"/>
      <c r="M69" s="1329"/>
      <c r="N69" s="1329"/>
      <c r="O69" s="1329"/>
      <c r="P69" s="1330"/>
      <c r="Q69" s="1327"/>
      <c r="R69" s="1327"/>
      <c r="S69" s="1327"/>
      <c r="T69" s="1324"/>
      <c r="U69" s="1324"/>
      <c r="V69" s="1331"/>
      <c r="W69" s="1332"/>
      <c r="X69" s="1333"/>
      <c r="Y69" s="1334"/>
      <c r="Z69" s="1333"/>
      <c r="AA69" s="1334"/>
      <c r="AB69" s="1333"/>
      <c r="AC69" s="1334"/>
      <c r="AD69" s="1334"/>
      <c r="AE69" s="1334"/>
      <c r="AF69" s="1329"/>
      <c r="AG69" s="1330"/>
      <c r="AH69" s="1327"/>
      <c r="AI69" s="1327"/>
      <c r="AJ69" s="1327"/>
      <c r="AK69" s="1324"/>
      <c r="AL69" s="1324"/>
      <c r="AM69" s="1331"/>
      <c r="AN69" s="1332"/>
    </row>
    <row r="70" spans="1:40" s="1335" customFormat="1" ht="45.6" customHeight="1" x14ac:dyDescent="0.3">
      <c r="A70" s="1324"/>
      <c r="B70" s="1325"/>
      <c r="C70" s="1326"/>
      <c r="D70" s="1324"/>
      <c r="E70" s="1324"/>
      <c r="F70" s="1324"/>
      <c r="G70" s="1328"/>
      <c r="H70" s="1328"/>
      <c r="I70" s="1327"/>
      <c r="J70" s="1328"/>
      <c r="K70" s="1657"/>
      <c r="L70" s="1658"/>
      <c r="M70" s="1329"/>
      <c r="N70" s="1329"/>
      <c r="O70" s="1329"/>
      <c r="P70" s="1330"/>
      <c r="Q70" s="1327"/>
      <c r="R70" s="1327"/>
      <c r="S70" s="1327"/>
      <c r="T70" s="1324"/>
      <c r="U70" s="1324"/>
      <c r="V70" s="1331"/>
      <c r="W70" s="1332"/>
      <c r="X70" s="1333"/>
      <c r="Y70" s="1334"/>
      <c r="Z70" s="1333"/>
      <c r="AA70" s="1334"/>
      <c r="AB70" s="1333"/>
      <c r="AC70" s="1334"/>
      <c r="AD70" s="1334"/>
      <c r="AE70" s="1334"/>
      <c r="AF70" s="1329"/>
      <c r="AG70" s="1330"/>
      <c r="AH70" s="1327"/>
      <c r="AI70" s="1327"/>
      <c r="AJ70" s="1327"/>
      <c r="AK70" s="1324"/>
      <c r="AL70" s="1324"/>
      <c r="AM70" s="1331"/>
      <c r="AN70" s="1332"/>
    </row>
    <row r="71" spans="1:40" s="1335" customFormat="1" ht="45.6" customHeight="1" x14ac:dyDescent="0.3">
      <c r="A71" s="1324"/>
      <c r="B71" s="1325"/>
      <c r="C71" s="1326"/>
      <c r="D71" s="1324"/>
      <c r="E71" s="1324"/>
      <c r="F71" s="1324"/>
      <c r="G71" s="1328"/>
      <c r="H71" s="1328"/>
      <c r="I71" s="1327"/>
      <c r="J71" s="1328"/>
      <c r="K71" s="1657"/>
      <c r="L71" s="1658"/>
      <c r="M71" s="1329"/>
      <c r="N71" s="1329"/>
      <c r="O71" s="1329"/>
      <c r="P71" s="1330"/>
      <c r="Q71" s="1327"/>
      <c r="R71" s="1327"/>
      <c r="S71" s="1327"/>
      <c r="T71" s="1324"/>
      <c r="U71" s="1324"/>
      <c r="V71" s="1331"/>
      <c r="W71" s="1332"/>
      <c r="X71" s="1333"/>
      <c r="Y71" s="1334"/>
      <c r="Z71" s="1333"/>
      <c r="AA71" s="1334"/>
      <c r="AB71" s="1333"/>
      <c r="AC71" s="1334"/>
      <c r="AD71" s="1334"/>
      <c r="AE71" s="1334"/>
      <c r="AF71" s="1329"/>
      <c r="AG71" s="1330"/>
      <c r="AH71" s="1327"/>
      <c r="AI71" s="1327"/>
      <c r="AJ71" s="1327"/>
      <c r="AK71" s="1324"/>
      <c r="AL71" s="1324"/>
      <c r="AM71" s="1331"/>
      <c r="AN71" s="1332"/>
    </row>
    <row r="72" spans="1:40" s="1335" customFormat="1" ht="45.6" customHeight="1" x14ac:dyDescent="0.3">
      <c r="A72" s="1324"/>
      <c r="B72" s="1325"/>
      <c r="C72" s="1326"/>
      <c r="D72" s="1324"/>
      <c r="E72" s="1324"/>
      <c r="F72" s="1324"/>
      <c r="G72" s="1328"/>
      <c r="H72" s="1328"/>
      <c r="I72" s="1327"/>
      <c r="J72" s="1328"/>
      <c r="K72" s="1657"/>
      <c r="L72" s="1658"/>
      <c r="M72" s="1329"/>
      <c r="N72" s="1329"/>
      <c r="O72" s="1329"/>
      <c r="P72" s="1330"/>
      <c r="Q72" s="1327"/>
      <c r="R72" s="1327"/>
      <c r="S72" s="1327"/>
      <c r="T72" s="1324"/>
      <c r="U72" s="1324"/>
      <c r="V72" s="1331"/>
      <c r="W72" s="1332"/>
      <c r="X72" s="1333"/>
      <c r="Y72" s="1334"/>
      <c r="Z72" s="1333"/>
      <c r="AA72" s="1334"/>
      <c r="AB72" s="1333"/>
      <c r="AC72" s="1334"/>
      <c r="AD72" s="1334"/>
      <c r="AE72" s="1334"/>
      <c r="AF72" s="1329"/>
      <c r="AG72" s="1330"/>
      <c r="AH72" s="1327"/>
      <c r="AI72" s="1327"/>
      <c r="AJ72" s="1327"/>
      <c r="AK72" s="1324"/>
      <c r="AL72" s="1324"/>
      <c r="AM72" s="1331"/>
      <c r="AN72" s="1332"/>
    </row>
    <row r="73" spans="1:40" s="1335" customFormat="1" ht="45.6" customHeight="1" x14ac:dyDescent="0.3">
      <c r="A73" s="1324"/>
      <c r="B73" s="1325"/>
      <c r="C73" s="1326"/>
      <c r="D73" s="1324"/>
      <c r="E73" s="1324"/>
      <c r="F73" s="1324"/>
      <c r="G73" s="1328"/>
      <c r="H73" s="1328"/>
      <c r="I73" s="1327"/>
      <c r="J73" s="1328"/>
      <c r="K73" s="1657"/>
      <c r="L73" s="1658"/>
      <c r="M73" s="1329"/>
      <c r="N73" s="1329"/>
      <c r="O73" s="1329"/>
      <c r="P73" s="1330"/>
      <c r="Q73" s="1327"/>
      <c r="R73" s="1327"/>
      <c r="S73" s="1327"/>
      <c r="T73" s="1324"/>
      <c r="U73" s="1324"/>
      <c r="V73" s="1331"/>
      <c r="W73" s="1332"/>
      <c r="X73" s="1333"/>
      <c r="Y73" s="1334"/>
      <c r="Z73" s="1333"/>
      <c r="AA73" s="1334"/>
      <c r="AB73" s="1333"/>
      <c r="AC73" s="1334"/>
      <c r="AD73" s="1334"/>
      <c r="AE73" s="1334"/>
      <c r="AF73" s="1329"/>
      <c r="AG73" s="1330"/>
      <c r="AH73" s="1327"/>
      <c r="AI73" s="1327"/>
      <c r="AJ73" s="1327"/>
      <c r="AK73" s="1324"/>
      <c r="AL73" s="1324"/>
      <c r="AM73" s="1331"/>
      <c r="AN73" s="1332"/>
    </row>
    <row r="74" spans="1:40" s="1335" customFormat="1" ht="45.6" customHeight="1" x14ac:dyDescent="0.3">
      <c r="A74" s="1324"/>
      <c r="B74" s="1325"/>
      <c r="C74" s="1326"/>
      <c r="D74" s="1324"/>
      <c r="E74" s="1324"/>
      <c r="F74" s="1324"/>
      <c r="G74" s="1328"/>
      <c r="H74" s="1328"/>
      <c r="I74" s="1327"/>
      <c r="J74" s="1328"/>
      <c r="K74" s="1657"/>
      <c r="L74" s="1658"/>
      <c r="M74" s="1329"/>
      <c r="N74" s="1329"/>
      <c r="O74" s="1329"/>
      <c r="P74" s="1330"/>
      <c r="Q74" s="1327"/>
      <c r="R74" s="1327"/>
      <c r="S74" s="1327"/>
      <c r="T74" s="1324"/>
      <c r="U74" s="1324"/>
      <c r="V74" s="1331"/>
      <c r="W74" s="1332"/>
      <c r="X74" s="1333"/>
      <c r="Y74" s="1334"/>
      <c r="Z74" s="1333"/>
      <c r="AA74" s="1334"/>
      <c r="AB74" s="1333"/>
      <c r="AC74" s="1334"/>
      <c r="AD74" s="1334"/>
      <c r="AE74" s="1334"/>
      <c r="AF74" s="1329"/>
      <c r="AG74" s="1330"/>
      <c r="AH74" s="1327"/>
      <c r="AI74" s="1327"/>
      <c r="AJ74" s="1327"/>
      <c r="AK74" s="1324"/>
      <c r="AL74" s="1324"/>
      <c r="AM74" s="1331"/>
      <c r="AN74" s="1332"/>
    </row>
    <row r="75" spans="1:40" s="1335" customFormat="1" ht="45.6" customHeight="1" x14ac:dyDescent="0.3">
      <c r="A75" s="1324"/>
      <c r="B75" s="1325"/>
      <c r="C75" s="1326"/>
      <c r="D75" s="1324"/>
      <c r="E75" s="1324"/>
      <c r="F75" s="1324"/>
      <c r="G75" s="1328"/>
      <c r="H75" s="1328"/>
      <c r="I75" s="1327"/>
      <c r="J75" s="1328"/>
      <c r="K75" s="1657"/>
      <c r="L75" s="1658"/>
      <c r="M75" s="1329"/>
      <c r="N75" s="1329"/>
      <c r="O75" s="1329"/>
      <c r="P75" s="1330"/>
      <c r="Q75" s="1327"/>
      <c r="R75" s="1327"/>
      <c r="S75" s="1327"/>
      <c r="T75" s="1324"/>
      <c r="U75" s="1324"/>
      <c r="V75" s="1331"/>
      <c r="W75" s="1332"/>
      <c r="X75" s="1333"/>
      <c r="Y75" s="1334"/>
      <c r="Z75" s="1333"/>
      <c r="AA75" s="1334"/>
      <c r="AB75" s="1333"/>
      <c r="AC75" s="1334"/>
      <c r="AD75" s="1334"/>
      <c r="AE75" s="1334"/>
      <c r="AF75" s="1329"/>
      <c r="AG75" s="1330"/>
      <c r="AH75" s="1327"/>
      <c r="AI75" s="1327"/>
      <c r="AJ75" s="1327"/>
      <c r="AK75" s="1324"/>
      <c r="AL75" s="1324"/>
      <c r="AM75" s="1331"/>
      <c r="AN75" s="1332"/>
    </row>
    <row r="76" spans="1:40" s="1335" customFormat="1" ht="45.6" customHeight="1" x14ac:dyDescent="0.3">
      <c r="A76" s="1324"/>
      <c r="B76" s="1325"/>
      <c r="C76" s="1326"/>
      <c r="D76" s="1324"/>
      <c r="E76" s="1324"/>
      <c r="F76" s="1324"/>
      <c r="G76" s="1328"/>
      <c r="H76" s="1328"/>
      <c r="I76" s="1327"/>
      <c r="J76" s="1328"/>
      <c r="K76" s="1657"/>
      <c r="L76" s="1658"/>
      <c r="M76" s="1329"/>
      <c r="N76" s="1329"/>
      <c r="O76" s="1329"/>
      <c r="P76" s="1330"/>
      <c r="Q76" s="1327"/>
      <c r="R76" s="1327"/>
      <c r="S76" s="1327"/>
      <c r="T76" s="1324"/>
      <c r="U76" s="1324"/>
      <c r="V76" s="1331"/>
      <c r="W76" s="1332"/>
      <c r="X76" s="1333"/>
      <c r="Y76" s="1334"/>
      <c r="Z76" s="1333"/>
      <c r="AA76" s="1334"/>
      <c r="AB76" s="1333"/>
      <c r="AC76" s="1334"/>
      <c r="AD76" s="1334"/>
      <c r="AE76" s="1334"/>
      <c r="AF76" s="1329"/>
      <c r="AG76" s="1330"/>
      <c r="AH76" s="1327"/>
      <c r="AI76" s="1327"/>
      <c r="AJ76" s="1327"/>
      <c r="AK76" s="1324"/>
      <c r="AL76" s="1324"/>
      <c r="AM76" s="1331"/>
      <c r="AN76" s="1332"/>
    </row>
    <row r="77" spans="1:40" s="1335" customFormat="1" ht="45.6" customHeight="1" x14ac:dyDescent="0.3">
      <c r="A77" s="1324"/>
      <c r="B77" s="1325"/>
      <c r="C77" s="1326"/>
      <c r="D77" s="1324"/>
      <c r="E77" s="1324"/>
      <c r="F77" s="1324"/>
      <c r="G77" s="1328"/>
      <c r="H77" s="1328"/>
      <c r="I77" s="1327"/>
      <c r="J77" s="1328"/>
      <c r="K77" s="1657"/>
      <c r="L77" s="1658"/>
      <c r="M77" s="1329"/>
      <c r="N77" s="1329"/>
      <c r="O77" s="1329"/>
      <c r="P77" s="1330"/>
      <c r="Q77" s="1327"/>
      <c r="R77" s="1327"/>
      <c r="S77" s="1327"/>
      <c r="T77" s="1324"/>
      <c r="U77" s="1324"/>
      <c r="V77" s="1331"/>
      <c r="W77" s="1332"/>
      <c r="X77" s="1333"/>
      <c r="Y77" s="1334"/>
      <c r="Z77" s="1333"/>
      <c r="AA77" s="1334"/>
      <c r="AB77" s="1333"/>
      <c r="AC77" s="1334"/>
      <c r="AD77" s="1334"/>
      <c r="AE77" s="1334"/>
      <c r="AF77" s="1329"/>
      <c r="AG77" s="1330"/>
      <c r="AH77" s="1327"/>
      <c r="AI77" s="1327"/>
      <c r="AJ77" s="1327"/>
      <c r="AK77" s="1324"/>
      <c r="AL77" s="1324"/>
      <c r="AM77" s="1331"/>
      <c r="AN77" s="1332"/>
    </row>
    <row r="78" spans="1:40" s="1335" customFormat="1" ht="45.6" customHeight="1" x14ac:dyDescent="0.3">
      <c r="A78" s="1324"/>
      <c r="B78" s="1325"/>
      <c r="C78" s="1326"/>
      <c r="D78" s="1324"/>
      <c r="E78" s="1324"/>
      <c r="F78" s="1324"/>
      <c r="G78" s="1328"/>
      <c r="H78" s="1328"/>
      <c r="I78" s="1327"/>
      <c r="J78" s="1328"/>
      <c r="K78" s="1657"/>
      <c r="L78" s="1658"/>
      <c r="M78" s="1329"/>
      <c r="N78" s="1329"/>
      <c r="O78" s="1329"/>
      <c r="P78" s="1330"/>
      <c r="Q78" s="1327"/>
      <c r="R78" s="1327"/>
      <c r="S78" s="1327"/>
      <c r="T78" s="1324"/>
      <c r="U78" s="1324"/>
      <c r="V78" s="1331"/>
      <c r="W78" s="1332"/>
      <c r="X78" s="1333"/>
      <c r="Y78" s="1334"/>
      <c r="Z78" s="1333"/>
      <c r="AA78" s="1334"/>
      <c r="AB78" s="1333"/>
      <c r="AC78" s="1334"/>
      <c r="AD78" s="1334"/>
      <c r="AE78" s="1334"/>
      <c r="AF78" s="1329"/>
      <c r="AG78" s="1330"/>
      <c r="AH78" s="1327"/>
      <c r="AI78" s="1327"/>
      <c r="AJ78" s="1327"/>
      <c r="AK78" s="1324"/>
      <c r="AL78" s="1324"/>
      <c r="AM78" s="1331"/>
      <c r="AN78" s="1332"/>
    </row>
    <row r="79" spans="1:40" s="1335" customFormat="1" ht="45.6" customHeight="1" x14ac:dyDescent="0.3">
      <c r="A79" s="1324"/>
      <c r="B79" s="1325"/>
      <c r="C79" s="1326"/>
      <c r="D79" s="1324"/>
      <c r="E79" s="1324"/>
      <c r="F79" s="1324"/>
      <c r="G79" s="1328"/>
      <c r="H79" s="1328"/>
      <c r="I79" s="1327"/>
      <c r="J79" s="1328"/>
      <c r="K79" s="1657"/>
      <c r="L79" s="1658"/>
      <c r="M79" s="1329"/>
      <c r="N79" s="1329"/>
      <c r="O79" s="1329"/>
      <c r="P79" s="1330"/>
      <c r="Q79" s="1327"/>
      <c r="R79" s="1327"/>
      <c r="S79" s="1327"/>
      <c r="T79" s="1324"/>
      <c r="U79" s="1324"/>
      <c r="V79" s="1331"/>
      <c r="W79" s="1332"/>
      <c r="X79" s="1333"/>
      <c r="Y79" s="1334"/>
      <c r="Z79" s="1333"/>
      <c r="AA79" s="1334"/>
      <c r="AB79" s="1333"/>
      <c r="AC79" s="1334"/>
      <c r="AD79" s="1334"/>
      <c r="AE79" s="1334"/>
      <c r="AF79" s="1329"/>
      <c r="AG79" s="1330"/>
      <c r="AH79" s="1327"/>
      <c r="AI79" s="1327"/>
      <c r="AJ79" s="1327"/>
      <c r="AK79" s="1324"/>
      <c r="AL79" s="1324"/>
      <c r="AM79" s="1331"/>
      <c r="AN79" s="1332"/>
    </row>
    <row r="80" spans="1:40" s="1335" customFormat="1" ht="45.6" customHeight="1" x14ac:dyDescent="0.3">
      <c r="A80" s="1324"/>
      <c r="B80" s="1325"/>
      <c r="C80" s="1326"/>
      <c r="D80" s="1324"/>
      <c r="E80" s="1324"/>
      <c r="F80" s="1324"/>
      <c r="G80" s="1328"/>
      <c r="H80" s="1328"/>
      <c r="I80" s="1327"/>
      <c r="J80" s="1328"/>
      <c r="K80" s="1657"/>
      <c r="L80" s="1658"/>
      <c r="M80" s="1329"/>
      <c r="N80" s="1329"/>
      <c r="O80" s="1329"/>
      <c r="P80" s="1330"/>
      <c r="Q80" s="1327"/>
      <c r="R80" s="1327"/>
      <c r="S80" s="1327"/>
      <c r="T80" s="1324"/>
      <c r="U80" s="1324"/>
      <c r="V80" s="1331"/>
      <c r="W80" s="1332"/>
      <c r="X80" s="1333"/>
      <c r="Y80" s="1334"/>
      <c r="Z80" s="1333"/>
      <c r="AA80" s="1334"/>
      <c r="AB80" s="1333"/>
      <c r="AC80" s="1334"/>
      <c r="AD80" s="1334"/>
      <c r="AE80" s="1334"/>
      <c r="AF80" s="1329"/>
      <c r="AG80" s="1330"/>
      <c r="AH80" s="1327"/>
      <c r="AI80" s="1327"/>
      <c r="AJ80" s="1327"/>
      <c r="AK80" s="1324"/>
      <c r="AL80" s="1324"/>
      <c r="AM80" s="1331"/>
      <c r="AN80" s="1332"/>
    </row>
    <row r="81" spans="1:40" s="1335" customFormat="1" ht="45.6" customHeight="1" x14ac:dyDescent="0.3">
      <c r="A81" s="1324"/>
      <c r="B81" s="1325"/>
      <c r="C81" s="1326"/>
      <c r="D81" s="1324"/>
      <c r="E81" s="1324"/>
      <c r="F81" s="1324"/>
      <c r="G81" s="1328"/>
      <c r="H81" s="1328"/>
      <c r="I81" s="1327"/>
      <c r="J81" s="1328"/>
      <c r="K81" s="1657"/>
      <c r="L81" s="1658"/>
      <c r="M81" s="1329"/>
      <c r="N81" s="1329"/>
      <c r="O81" s="1329"/>
      <c r="P81" s="1330"/>
      <c r="Q81" s="1327"/>
      <c r="R81" s="1327"/>
      <c r="S81" s="1327"/>
      <c r="T81" s="1324"/>
      <c r="U81" s="1324"/>
      <c r="V81" s="1331"/>
      <c r="W81" s="1332"/>
      <c r="X81" s="1333"/>
      <c r="Y81" s="1334"/>
      <c r="Z81" s="1333"/>
      <c r="AA81" s="1334"/>
      <c r="AB81" s="1333"/>
      <c r="AC81" s="1334"/>
      <c r="AD81" s="1334"/>
      <c r="AE81" s="1334"/>
      <c r="AF81" s="1329"/>
      <c r="AG81" s="1330"/>
      <c r="AH81" s="1327"/>
      <c r="AI81" s="1327"/>
      <c r="AJ81" s="1327"/>
      <c r="AK81" s="1324"/>
      <c r="AL81" s="1324"/>
      <c r="AM81" s="1331"/>
      <c r="AN81" s="1332"/>
    </row>
    <row r="82" spans="1:40" s="1335" customFormat="1" ht="45.6" customHeight="1" x14ac:dyDescent="0.3">
      <c r="A82" s="1324"/>
      <c r="B82" s="1325"/>
      <c r="C82" s="1326"/>
      <c r="D82" s="1324"/>
      <c r="E82" s="1324"/>
      <c r="F82" s="1324"/>
      <c r="G82" s="1328"/>
      <c r="H82" s="1328"/>
      <c r="I82" s="1327"/>
      <c r="J82" s="1328"/>
      <c r="K82" s="1657"/>
      <c r="L82" s="1658"/>
      <c r="M82" s="1329"/>
      <c r="N82" s="1329"/>
      <c r="O82" s="1329"/>
      <c r="P82" s="1330"/>
      <c r="Q82" s="1327"/>
      <c r="R82" s="1327"/>
      <c r="S82" s="1327"/>
      <c r="T82" s="1324"/>
      <c r="U82" s="1324"/>
      <c r="V82" s="1331"/>
      <c r="W82" s="1332"/>
      <c r="X82" s="1333"/>
      <c r="Y82" s="1334"/>
      <c r="Z82" s="1333"/>
      <c r="AA82" s="1334"/>
      <c r="AB82" s="1333"/>
      <c r="AC82" s="1334"/>
      <c r="AD82" s="1334"/>
      <c r="AE82" s="1334"/>
      <c r="AF82" s="1329"/>
      <c r="AG82" s="1330"/>
      <c r="AH82" s="1327"/>
      <c r="AI82" s="1327"/>
      <c r="AJ82" s="1327"/>
      <c r="AK82" s="1324"/>
      <c r="AL82" s="1324"/>
      <c r="AM82" s="1331"/>
      <c r="AN82" s="1332"/>
    </row>
    <row r="83" spans="1:40" s="1335" customFormat="1" ht="45.6" customHeight="1" x14ac:dyDescent="0.3">
      <c r="A83" s="1324"/>
      <c r="B83" s="1325"/>
      <c r="C83" s="1326"/>
      <c r="D83" s="1324"/>
      <c r="E83" s="1324"/>
      <c r="F83" s="1324"/>
      <c r="G83" s="1328"/>
      <c r="H83" s="1328"/>
      <c r="I83" s="1327"/>
      <c r="J83" s="1328"/>
      <c r="K83" s="1657"/>
      <c r="L83" s="1658"/>
      <c r="M83" s="1329"/>
      <c r="N83" s="1329"/>
      <c r="O83" s="1329"/>
      <c r="P83" s="1330"/>
      <c r="Q83" s="1327"/>
      <c r="R83" s="1327"/>
      <c r="S83" s="1327"/>
      <c r="T83" s="1324"/>
      <c r="U83" s="1324"/>
      <c r="V83" s="1331"/>
      <c r="W83" s="1332"/>
      <c r="X83" s="1333"/>
      <c r="Y83" s="1334"/>
      <c r="Z83" s="1333"/>
      <c r="AA83" s="1334"/>
      <c r="AB83" s="1333"/>
      <c r="AC83" s="1334"/>
      <c r="AD83" s="1334"/>
      <c r="AE83" s="1334"/>
      <c r="AF83" s="1329"/>
      <c r="AG83" s="1330"/>
      <c r="AH83" s="1327"/>
      <c r="AI83" s="1327"/>
      <c r="AJ83" s="1327"/>
      <c r="AK83" s="1324"/>
      <c r="AL83" s="1324"/>
      <c r="AM83" s="1331"/>
      <c r="AN83" s="1332"/>
    </row>
    <row r="84" spans="1:40" s="1335" customFormat="1" ht="45.6" customHeight="1" x14ac:dyDescent="0.3">
      <c r="A84" s="1324"/>
      <c r="B84" s="1325"/>
      <c r="C84" s="1326"/>
      <c r="D84" s="1324"/>
      <c r="E84" s="1324"/>
      <c r="F84" s="1324"/>
      <c r="G84" s="1328"/>
      <c r="H84" s="1328"/>
      <c r="I84" s="1327"/>
      <c r="J84" s="1328"/>
      <c r="K84" s="1657"/>
      <c r="L84" s="1658"/>
      <c r="M84" s="1329"/>
      <c r="N84" s="1329"/>
      <c r="O84" s="1329"/>
      <c r="P84" s="1330"/>
      <c r="Q84" s="1327"/>
      <c r="R84" s="1327"/>
      <c r="S84" s="1327"/>
      <c r="T84" s="1324"/>
      <c r="U84" s="1324"/>
      <c r="V84" s="1331"/>
      <c r="W84" s="1332"/>
      <c r="X84" s="1333"/>
      <c r="Y84" s="1334"/>
      <c r="Z84" s="1333"/>
      <c r="AA84" s="1334"/>
      <c r="AB84" s="1333"/>
      <c r="AC84" s="1334"/>
      <c r="AD84" s="1334"/>
      <c r="AE84" s="1334"/>
      <c r="AF84" s="1329"/>
      <c r="AG84" s="1330"/>
      <c r="AH84" s="1327"/>
      <c r="AI84" s="1327"/>
      <c r="AJ84" s="1327"/>
      <c r="AK84" s="1324"/>
      <c r="AL84" s="1324"/>
      <c r="AM84" s="1331"/>
      <c r="AN84" s="1332"/>
    </row>
    <row r="85" spans="1:40" s="1335" customFormat="1" ht="45.6" customHeight="1" x14ac:dyDescent="0.3">
      <c r="A85" s="1324"/>
      <c r="B85" s="1325"/>
      <c r="C85" s="1326"/>
      <c r="D85" s="1324"/>
      <c r="E85" s="1324"/>
      <c r="F85" s="1324"/>
      <c r="G85" s="1328"/>
      <c r="H85" s="1328"/>
      <c r="I85" s="1327"/>
      <c r="J85" s="1328"/>
      <c r="K85" s="1657"/>
      <c r="L85" s="1658"/>
      <c r="M85" s="1329"/>
      <c r="N85" s="1329"/>
      <c r="O85" s="1329"/>
      <c r="P85" s="1330"/>
      <c r="Q85" s="1327"/>
      <c r="R85" s="1327"/>
      <c r="S85" s="1327"/>
      <c r="T85" s="1324"/>
      <c r="U85" s="1324"/>
      <c r="V85" s="1331"/>
      <c r="W85" s="1332"/>
      <c r="X85" s="1333"/>
      <c r="Y85" s="1334"/>
      <c r="Z85" s="1333"/>
      <c r="AA85" s="1334"/>
      <c r="AB85" s="1333"/>
      <c r="AC85" s="1334"/>
      <c r="AD85" s="1334"/>
      <c r="AE85" s="1334"/>
      <c r="AF85" s="1329"/>
      <c r="AG85" s="1330"/>
      <c r="AH85" s="1327"/>
      <c r="AI85" s="1327"/>
      <c r="AJ85" s="1327"/>
      <c r="AK85" s="1324"/>
      <c r="AL85" s="1324"/>
      <c r="AM85" s="1331"/>
      <c r="AN85" s="1332"/>
    </row>
    <row r="86" spans="1:40" s="1335" customFormat="1" ht="45.6" customHeight="1" x14ac:dyDescent="0.3">
      <c r="A86" s="1324"/>
      <c r="B86" s="1325"/>
      <c r="C86" s="1326"/>
      <c r="D86" s="1324"/>
      <c r="E86" s="1324"/>
      <c r="F86" s="1324"/>
      <c r="G86" s="1328"/>
      <c r="H86" s="1328"/>
      <c r="I86" s="1327"/>
      <c r="J86" s="1328"/>
      <c r="K86" s="1657"/>
      <c r="L86" s="1658"/>
      <c r="M86" s="1329"/>
      <c r="N86" s="1329"/>
      <c r="O86" s="1329"/>
      <c r="P86" s="1330"/>
      <c r="Q86" s="1327"/>
      <c r="R86" s="1327"/>
      <c r="S86" s="1327"/>
      <c r="T86" s="1324"/>
      <c r="U86" s="1324"/>
      <c r="V86" s="1331"/>
      <c r="W86" s="1332"/>
      <c r="X86" s="1333"/>
      <c r="Y86" s="1334"/>
      <c r="Z86" s="1333"/>
      <c r="AA86" s="1334"/>
      <c r="AB86" s="1333"/>
      <c r="AC86" s="1334"/>
      <c r="AD86" s="1334"/>
      <c r="AE86" s="1334"/>
      <c r="AF86" s="1329"/>
      <c r="AG86" s="1330"/>
      <c r="AH86" s="1327"/>
      <c r="AI86" s="1327"/>
      <c r="AJ86" s="1327"/>
      <c r="AK86" s="1324"/>
      <c r="AL86" s="1324"/>
      <c r="AM86" s="1331"/>
      <c r="AN86" s="1332"/>
    </row>
    <row r="87" spans="1:40" s="1335" customFormat="1" ht="45.6" customHeight="1" x14ac:dyDescent="0.3">
      <c r="A87" s="1324"/>
      <c r="B87" s="1325"/>
      <c r="C87" s="1326"/>
      <c r="D87" s="1324"/>
      <c r="E87" s="1324"/>
      <c r="F87" s="1324"/>
      <c r="G87" s="1328"/>
      <c r="H87" s="1328"/>
      <c r="I87" s="1327"/>
      <c r="J87" s="1328"/>
      <c r="K87" s="1657"/>
      <c r="L87" s="1658"/>
      <c r="M87" s="1329"/>
      <c r="N87" s="1329"/>
      <c r="O87" s="1329"/>
      <c r="P87" s="1330"/>
      <c r="Q87" s="1327"/>
      <c r="R87" s="1327"/>
      <c r="S87" s="1327"/>
      <c r="T87" s="1324"/>
      <c r="U87" s="1324"/>
      <c r="V87" s="1331"/>
      <c r="W87" s="1332"/>
      <c r="X87" s="1333"/>
      <c r="Y87" s="1334"/>
      <c r="Z87" s="1333"/>
      <c r="AA87" s="1334"/>
      <c r="AB87" s="1333"/>
      <c r="AC87" s="1334"/>
      <c r="AD87" s="1334"/>
      <c r="AE87" s="1334"/>
      <c r="AF87" s="1329"/>
      <c r="AG87" s="1330"/>
      <c r="AH87" s="1327"/>
      <c r="AI87" s="1327"/>
      <c r="AJ87" s="1327"/>
      <c r="AK87" s="1324"/>
      <c r="AL87" s="1324"/>
      <c r="AM87" s="1331"/>
      <c r="AN87" s="1332"/>
    </row>
    <row r="88" spans="1:40" s="1335" customFormat="1" ht="45.6" customHeight="1" x14ac:dyDescent="0.3">
      <c r="A88" s="1324"/>
      <c r="B88" s="1325"/>
      <c r="C88" s="1326"/>
      <c r="D88" s="1324"/>
      <c r="E88" s="1324"/>
      <c r="F88" s="1324"/>
      <c r="G88" s="1328"/>
      <c r="H88" s="1328"/>
      <c r="I88" s="1327"/>
      <c r="J88" s="1328"/>
      <c r="K88" s="1657"/>
      <c r="L88" s="1658"/>
      <c r="M88" s="1329"/>
      <c r="N88" s="1329"/>
      <c r="O88" s="1329"/>
      <c r="P88" s="1330"/>
      <c r="Q88" s="1327"/>
      <c r="R88" s="1327"/>
      <c r="S88" s="1327"/>
      <c r="T88" s="1324"/>
      <c r="U88" s="1324"/>
      <c r="V88" s="1331"/>
      <c r="W88" s="1332"/>
      <c r="X88" s="1333"/>
      <c r="Y88" s="1334"/>
      <c r="Z88" s="1333"/>
      <c r="AA88" s="1334"/>
      <c r="AB88" s="1333"/>
      <c r="AC88" s="1334"/>
      <c r="AD88" s="1334"/>
      <c r="AE88" s="1334"/>
      <c r="AF88" s="1329"/>
      <c r="AG88" s="1330"/>
      <c r="AH88" s="1327"/>
      <c r="AI88" s="1327"/>
      <c r="AJ88" s="1327"/>
      <c r="AK88" s="1324"/>
      <c r="AL88" s="1324"/>
      <c r="AM88" s="1331"/>
      <c r="AN88" s="1332"/>
    </row>
    <row r="89" spans="1:40" s="1335" customFormat="1" ht="45.6" customHeight="1" x14ac:dyDescent="0.3">
      <c r="A89" s="1324"/>
      <c r="B89" s="1325"/>
      <c r="C89" s="1326"/>
      <c r="D89" s="1324"/>
      <c r="E89" s="1324"/>
      <c r="F89" s="1324"/>
      <c r="G89" s="1328"/>
      <c r="H89" s="1328"/>
      <c r="I89" s="1327"/>
      <c r="J89" s="1328"/>
      <c r="K89" s="1657"/>
      <c r="L89" s="1658"/>
      <c r="M89" s="1329"/>
      <c r="N89" s="1329"/>
      <c r="O89" s="1329"/>
      <c r="P89" s="1330"/>
      <c r="Q89" s="1327"/>
      <c r="R89" s="1327"/>
      <c r="S89" s="1327"/>
      <c r="T89" s="1324"/>
      <c r="U89" s="1324"/>
      <c r="V89" s="1331"/>
      <c r="W89" s="1332"/>
      <c r="X89" s="1333"/>
      <c r="Y89" s="1334"/>
      <c r="Z89" s="1333"/>
      <c r="AA89" s="1334"/>
      <c r="AB89" s="1333"/>
      <c r="AC89" s="1334"/>
      <c r="AD89" s="1334"/>
      <c r="AE89" s="1334"/>
      <c r="AF89" s="1329"/>
      <c r="AG89" s="1330"/>
      <c r="AH89" s="1327"/>
      <c r="AI89" s="1327"/>
      <c r="AJ89" s="1327"/>
      <c r="AK89" s="1324"/>
      <c r="AL89" s="1324"/>
      <c r="AM89" s="1331"/>
      <c r="AN89" s="1332"/>
    </row>
    <row r="90" spans="1:40" s="1335" customFormat="1" ht="45.6" customHeight="1" x14ac:dyDescent="0.3">
      <c r="A90" s="1324"/>
      <c r="B90" s="1325"/>
      <c r="C90" s="1326"/>
      <c r="D90" s="1324"/>
      <c r="E90" s="1324"/>
      <c r="F90" s="1324"/>
      <c r="G90" s="1328"/>
      <c r="H90" s="1328"/>
      <c r="I90" s="1327"/>
      <c r="J90" s="1328"/>
      <c r="K90" s="1657"/>
      <c r="L90" s="1658"/>
      <c r="M90" s="1329"/>
      <c r="N90" s="1329"/>
      <c r="O90" s="1329"/>
      <c r="P90" s="1330"/>
      <c r="Q90" s="1327"/>
      <c r="R90" s="1327"/>
      <c r="S90" s="1327"/>
      <c r="T90" s="1324"/>
      <c r="U90" s="1324"/>
      <c r="V90" s="1331"/>
      <c r="W90" s="1332"/>
      <c r="X90" s="1333"/>
      <c r="Y90" s="1334"/>
      <c r="Z90" s="1333"/>
      <c r="AA90" s="1334"/>
      <c r="AB90" s="1333"/>
      <c r="AC90" s="1334"/>
      <c r="AD90" s="1334"/>
      <c r="AE90" s="1334"/>
      <c r="AF90" s="1329"/>
      <c r="AG90" s="1330"/>
      <c r="AH90" s="1327"/>
      <c r="AI90" s="1327"/>
      <c r="AJ90" s="1327"/>
      <c r="AK90" s="1324"/>
      <c r="AL90" s="1324"/>
      <c r="AM90" s="1331"/>
      <c r="AN90" s="1332"/>
    </row>
    <row r="91" spans="1:40" s="1335" customFormat="1" ht="45.6" customHeight="1" x14ac:dyDescent="0.3">
      <c r="A91" s="1324"/>
      <c r="B91" s="1325"/>
      <c r="C91" s="1326"/>
      <c r="D91" s="1324"/>
      <c r="E91" s="1324"/>
      <c r="F91" s="1324"/>
      <c r="G91" s="1328"/>
      <c r="H91" s="1328"/>
      <c r="I91" s="1327"/>
      <c r="J91" s="1328"/>
      <c r="K91" s="1657"/>
      <c r="L91" s="1658"/>
      <c r="M91" s="1329"/>
      <c r="N91" s="1329"/>
      <c r="O91" s="1329"/>
      <c r="P91" s="1330"/>
      <c r="Q91" s="1327"/>
      <c r="R91" s="1327"/>
      <c r="S91" s="1327"/>
      <c r="T91" s="1324"/>
      <c r="U91" s="1324"/>
      <c r="V91" s="1331"/>
      <c r="W91" s="1332"/>
      <c r="X91" s="1333"/>
      <c r="Y91" s="1334"/>
      <c r="Z91" s="1333"/>
      <c r="AA91" s="1334"/>
      <c r="AB91" s="1333"/>
      <c r="AC91" s="1334"/>
      <c r="AD91" s="1334"/>
      <c r="AE91" s="1334"/>
      <c r="AF91" s="1329"/>
      <c r="AG91" s="1330"/>
      <c r="AH91" s="1327"/>
      <c r="AI91" s="1327"/>
      <c r="AJ91" s="1327"/>
      <c r="AK91" s="1324"/>
      <c r="AL91" s="1324"/>
      <c r="AM91" s="1331"/>
      <c r="AN91" s="1332"/>
    </row>
    <row r="92" spans="1:40" s="1335" customFormat="1" ht="45.6" customHeight="1" x14ac:dyDescent="0.3">
      <c r="A92" s="1324"/>
      <c r="B92" s="1325"/>
      <c r="C92" s="1326"/>
      <c r="D92" s="1324"/>
      <c r="E92" s="1324"/>
      <c r="F92" s="1324"/>
      <c r="G92" s="1328"/>
      <c r="H92" s="1328"/>
      <c r="I92" s="1327"/>
      <c r="J92" s="1328"/>
      <c r="K92" s="1657"/>
      <c r="L92" s="1658"/>
      <c r="M92" s="1329"/>
      <c r="N92" s="1329"/>
      <c r="O92" s="1329"/>
      <c r="P92" s="1330"/>
      <c r="Q92" s="1327"/>
      <c r="R92" s="1327"/>
      <c r="S92" s="1327"/>
      <c r="T92" s="1324"/>
      <c r="U92" s="1324"/>
      <c r="V92" s="1331"/>
      <c r="W92" s="1332"/>
      <c r="X92" s="1333"/>
      <c r="Y92" s="1334"/>
      <c r="Z92" s="1333"/>
      <c r="AA92" s="1334"/>
      <c r="AB92" s="1333"/>
      <c r="AC92" s="1334"/>
      <c r="AD92" s="1334"/>
      <c r="AE92" s="1334"/>
      <c r="AF92" s="1329"/>
      <c r="AG92" s="1330"/>
      <c r="AH92" s="1327"/>
      <c r="AI92" s="1327"/>
      <c r="AJ92" s="1327"/>
      <c r="AK92" s="1324"/>
      <c r="AL92" s="1324"/>
      <c r="AM92" s="1331"/>
      <c r="AN92" s="1332"/>
    </row>
    <row r="93" spans="1:40" s="1335" customFormat="1" ht="45.6" customHeight="1" x14ac:dyDescent="0.3">
      <c r="A93" s="1324"/>
      <c r="B93" s="1325"/>
      <c r="C93" s="1326"/>
      <c r="D93" s="1324"/>
      <c r="E93" s="1324"/>
      <c r="F93" s="1324"/>
      <c r="G93" s="1328"/>
      <c r="H93" s="1328"/>
      <c r="I93" s="1327"/>
      <c r="J93" s="1328"/>
      <c r="K93" s="1657"/>
      <c r="L93" s="1658"/>
      <c r="M93" s="1329"/>
      <c r="N93" s="1329"/>
      <c r="O93" s="1329"/>
      <c r="P93" s="1330"/>
      <c r="Q93" s="1327"/>
      <c r="R93" s="1327"/>
      <c r="S93" s="1327"/>
      <c r="T93" s="1324"/>
      <c r="U93" s="1324"/>
      <c r="V93" s="1331"/>
      <c r="W93" s="1332"/>
      <c r="X93" s="1333"/>
      <c r="Y93" s="1334"/>
      <c r="Z93" s="1333"/>
      <c r="AA93" s="1334"/>
      <c r="AB93" s="1333"/>
      <c r="AC93" s="1334"/>
      <c r="AD93" s="1334"/>
      <c r="AE93" s="1334"/>
      <c r="AF93" s="1329"/>
      <c r="AG93" s="1330"/>
      <c r="AH93" s="1327"/>
      <c r="AI93" s="1327"/>
      <c r="AJ93" s="1327"/>
      <c r="AK93" s="1324"/>
      <c r="AL93" s="1324"/>
      <c r="AM93" s="1331"/>
      <c r="AN93" s="1332"/>
    </row>
    <row r="94" spans="1:40" s="1335" customFormat="1" ht="45.6" customHeight="1" x14ac:dyDescent="0.3">
      <c r="A94" s="1324"/>
      <c r="B94" s="1325"/>
      <c r="C94" s="1326"/>
      <c r="D94" s="1324"/>
      <c r="E94" s="1324"/>
      <c r="F94" s="1324"/>
      <c r="G94" s="1328"/>
      <c r="H94" s="1328"/>
      <c r="I94" s="1327"/>
      <c r="J94" s="1328"/>
      <c r="K94" s="1657"/>
      <c r="L94" s="1658"/>
      <c r="M94" s="1329"/>
      <c r="N94" s="1329"/>
      <c r="O94" s="1329"/>
      <c r="P94" s="1330"/>
      <c r="Q94" s="1327"/>
      <c r="R94" s="1327"/>
      <c r="S94" s="1327"/>
      <c r="T94" s="1324"/>
      <c r="U94" s="1324"/>
      <c r="V94" s="1331"/>
      <c r="W94" s="1332"/>
      <c r="X94" s="1333"/>
      <c r="Y94" s="1334"/>
      <c r="Z94" s="1333"/>
      <c r="AA94" s="1334"/>
      <c r="AB94" s="1333"/>
      <c r="AC94" s="1334"/>
      <c r="AD94" s="1334"/>
      <c r="AE94" s="1334"/>
      <c r="AF94" s="1329"/>
      <c r="AG94" s="1330"/>
      <c r="AH94" s="1327"/>
      <c r="AI94" s="1327"/>
      <c r="AJ94" s="1327"/>
      <c r="AK94" s="1324"/>
      <c r="AL94" s="1324"/>
      <c r="AM94" s="1331"/>
      <c r="AN94" s="1332"/>
    </row>
    <row r="95" spans="1:40" s="1335" customFormat="1" ht="45.6" customHeight="1" x14ac:dyDescent="0.3">
      <c r="A95" s="1324"/>
      <c r="B95" s="1325"/>
      <c r="C95" s="1326"/>
      <c r="D95" s="1324"/>
      <c r="E95" s="1324"/>
      <c r="F95" s="1324"/>
      <c r="G95" s="1328"/>
      <c r="H95" s="1328"/>
      <c r="I95" s="1327"/>
      <c r="J95" s="1328"/>
      <c r="K95" s="1657"/>
      <c r="L95" s="1658"/>
      <c r="M95" s="1329"/>
      <c r="N95" s="1329"/>
      <c r="O95" s="1329"/>
      <c r="P95" s="1330"/>
      <c r="Q95" s="1327"/>
      <c r="R95" s="1327"/>
      <c r="S95" s="1327"/>
      <c r="T95" s="1324"/>
      <c r="U95" s="1324"/>
      <c r="V95" s="1331"/>
      <c r="W95" s="1332"/>
      <c r="X95" s="1333"/>
      <c r="Y95" s="1334"/>
      <c r="Z95" s="1333"/>
      <c r="AA95" s="1334"/>
      <c r="AB95" s="1333"/>
      <c r="AC95" s="1334"/>
      <c r="AD95" s="1334"/>
      <c r="AE95" s="1334"/>
      <c r="AF95" s="1329"/>
      <c r="AG95" s="1330"/>
      <c r="AH95" s="1327"/>
      <c r="AI95" s="1327"/>
      <c r="AJ95" s="1327"/>
      <c r="AK95" s="1324"/>
      <c r="AL95" s="1324"/>
      <c r="AM95" s="1331"/>
      <c r="AN95" s="1332"/>
    </row>
    <row r="96" spans="1:40" s="1335" customFormat="1" ht="45.6" customHeight="1" x14ac:dyDescent="0.3">
      <c r="A96" s="1324"/>
      <c r="B96" s="1325"/>
      <c r="C96" s="1326"/>
      <c r="D96" s="1324"/>
      <c r="E96" s="1324"/>
      <c r="F96" s="1324"/>
      <c r="G96" s="1328"/>
      <c r="H96" s="1328"/>
      <c r="I96" s="1327"/>
      <c r="J96" s="1328"/>
      <c r="K96" s="1657"/>
      <c r="L96" s="1658"/>
      <c r="M96" s="1329"/>
      <c r="N96" s="1329"/>
      <c r="O96" s="1329"/>
      <c r="P96" s="1330"/>
      <c r="Q96" s="1327"/>
      <c r="R96" s="1327"/>
      <c r="S96" s="1327"/>
      <c r="T96" s="1324"/>
      <c r="U96" s="1324"/>
      <c r="V96" s="1331"/>
      <c r="W96" s="1332"/>
      <c r="X96" s="1333"/>
      <c r="Y96" s="1334"/>
      <c r="Z96" s="1333"/>
      <c r="AA96" s="1334"/>
      <c r="AB96" s="1333"/>
      <c r="AC96" s="1334"/>
      <c r="AD96" s="1334"/>
      <c r="AE96" s="1334"/>
      <c r="AF96" s="1329"/>
      <c r="AG96" s="1330"/>
      <c r="AH96" s="1327"/>
      <c r="AI96" s="1327"/>
      <c r="AJ96" s="1327"/>
      <c r="AK96" s="1324"/>
      <c r="AL96" s="1324"/>
      <c r="AM96" s="1331"/>
      <c r="AN96" s="1332"/>
    </row>
    <row r="97" spans="1:40" s="1335" customFormat="1" ht="45.6" customHeight="1" x14ac:dyDescent="0.3">
      <c r="A97" s="1324"/>
      <c r="B97" s="1325"/>
      <c r="C97" s="1326"/>
      <c r="D97" s="1324"/>
      <c r="E97" s="1324"/>
      <c r="F97" s="1324"/>
      <c r="G97" s="1328"/>
      <c r="H97" s="1328"/>
      <c r="I97" s="1327"/>
      <c r="J97" s="1328"/>
      <c r="K97" s="1657"/>
      <c r="L97" s="1658"/>
      <c r="M97" s="1329"/>
      <c r="N97" s="1329"/>
      <c r="O97" s="1329"/>
      <c r="P97" s="1330"/>
      <c r="Q97" s="1327"/>
      <c r="R97" s="1327"/>
      <c r="S97" s="1327"/>
      <c r="T97" s="1324"/>
      <c r="U97" s="1324"/>
      <c r="V97" s="1331"/>
      <c r="W97" s="1332"/>
      <c r="X97" s="1333"/>
      <c r="Y97" s="1334"/>
      <c r="Z97" s="1333"/>
      <c r="AA97" s="1334"/>
      <c r="AB97" s="1333"/>
      <c r="AC97" s="1334"/>
      <c r="AD97" s="1334"/>
      <c r="AE97" s="1334"/>
      <c r="AF97" s="1329"/>
      <c r="AG97" s="1330"/>
      <c r="AH97" s="1327"/>
      <c r="AI97" s="1327"/>
      <c r="AJ97" s="1327"/>
      <c r="AK97" s="1324"/>
      <c r="AL97" s="1324"/>
      <c r="AM97" s="1331"/>
      <c r="AN97" s="1332"/>
    </row>
    <row r="98" spans="1:40" s="1335" customFormat="1" ht="45.6" customHeight="1" x14ac:dyDescent="0.3">
      <c r="A98" s="1324"/>
      <c r="B98" s="1325"/>
      <c r="C98" s="1326"/>
      <c r="D98" s="1324"/>
      <c r="E98" s="1324"/>
      <c r="F98" s="1324"/>
      <c r="G98" s="1328"/>
      <c r="H98" s="1328"/>
      <c r="I98" s="1327"/>
      <c r="J98" s="1328"/>
      <c r="K98" s="1657"/>
      <c r="L98" s="1658"/>
      <c r="M98" s="1329"/>
      <c r="N98" s="1329"/>
      <c r="O98" s="1329"/>
      <c r="P98" s="1330"/>
      <c r="Q98" s="1327"/>
      <c r="R98" s="1327"/>
      <c r="S98" s="1327"/>
      <c r="T98" s="1324"/>
      <c r="U98" s="1324"/>
      <c r="V98" s="1331"/>
      <c r="W98" s="1332"/>
      <c r="X98" s="1333"/>
      <c r="Y98" s="1334"/>
      <c r="Z98" s="1333"/>
      <c r="AA98" s="1334"/>
      <c r="AB98" s="1333"/>
      <c r="AC98" s="1334"/>
      <c r="AD98" s="1334"/>
      <c r="AE98" s="1334"/>
      <c r="AF98" s="1329"/>
      <c r="AG98" s="1330"/>
      <c r="AH98" s="1327"/>
      <c r="AI98" s="1327"/>
      <c r="AJ98" s="1327"/>
      <c r="AK98" s="1324"/>
      <c r="AL98" s="1324"/>
      <c r="AM98" s="1331"/>
      <c r="AN98" s="1332"/>
    </row>
    <row r="99" spans="1:40" s="1335" customFormat="1" ht="45.6" customHeight="1" x14ac:dyDescent="0.3">
      <c r="A99" s="1324"/>
      <c r="B99" s="1325"/>
      <c r="C99" s="1326"/>
      <c r="D99" s="1324"/>
      <c r="E99" s="1324"/>
      <c r="F99" s="1324"/>
      <c r="G99" s="1328"/>
      <c r="H99" s="1328"/>
      <c r="I99" s="1327"/>
      <c r="J99" s="1328"/>
      <c r="K99" s="1657"/>
      <c r="L99" s="1658"/>
      <c r="M99" s="1329"/>
      <c r="N99" s="1329"/>
      <c r="O99" s="1329"/>
      <c r="P99" s="1330"/>
      <c r="Q99" s="1327"/>
      <c r="R99" s="1327"/>
      <c r="S99" s="1327"/>
      <c r="T99" s="1324"/>
      <c r="U99" s="1324"/>
      <c r="V99" s="1331"/>
      <c r="W99" s="1332"/>
      <c r="X99" s="1333"/>
      <c r="Y99" s="1334"/>
      <c r="Z99" s="1333"/>
      <c r="AA99" s="1334"/>
      <c r="AB99" s="1333"/>
      <c r="AC99" s="1334"/>
      <c r="AD99" s="1334"/>
      <c r="AE99" s="1334"/>
      <c r="AF99" s="1329"/>
      <c r="AG99" s="1330"/>
      <c r="AH99" s="1327"/>
      <c r="AI99" s="1327"/>
      <c r="AJ99" s="1327"/>
      <c r="AK99" s="1324"/>
      <c r="AL99" s="1324"/>
      <c r="AM99" s="1331"/>
      <c r="AN99" s="1332"/>
    </row>
    <row r="100" spans="1:40" s="1335" customFormat="1" ht="45.6" customHeight="1" x14ac:dyDescent="0.3">
      <c r="A100" s="1324"/>
      <c r="B100" s="1325"/>
      <c r="C100" s="1326"/>
      <c r="D100" s="1324"/>
      <c r="E100" s="1324"/>
      <c r="F100" s="1324"/>
      <c r="G100" s="1328"/>
      <c r="H100" s="1328"/>
      <c r="I100" s="1327"/>
      <c r="J100" s="1328"/>
      <c r="K100" s="1657"/>
      <c r="L100" s="1658"/>
      <c r="M100" s="1329"/>
      <c r="N100" s="1329"/>
      <c r="O100" s="1329"/>
      <c r="P100" s="1330"/>
      <c r="Q100" s="1327"/>
      <c r="R100" s="1327"/>
      <c r="S100" s="1327"/>
      <c r="T100" s="1324"/>
      <c r="U100" s="1324"/>
      <c r="V100" s="1331"/>
      <c r="W100" s="1332"/>
      <c r="X100" s="1333"/>
      <c r="Y100" s="1334"/>
      <c r="Z100" s="1333"/>
      <c r="AA100" s="1334"/>
      <c r="AB100" s="1333"/>
      <c r="AC100" s="1334"/>
      <c r="AD100" s="1334"/>
      <c r="AE100" s="1334"/>
      <c r="AF100" s="1329"/>
      <c r="AG100" s="1330"/>
      <c r="AH100" s="1327"/>
      <c r="AI100" s="1327"/>
      <c r="AJ100" s="1327"/>
      <c r="AK100" s="1324"/>
      <c r="AL100" s="1324"/>
      <c r="AM100" s="1331"/>
      <c r="AN100" s="1332"/>
    </row>
    <row r="101" spans="1:40" s="1335" customFormat="1" ht="45.6" customHeight="1" x14ac:dyDescent="0.3">
      <c r="A101" s="1324"/>
      <c r="B101" s="1325"/>
      <c r="C101" s="1326"/>
      <c r="D101" s="1324"/>
      <c r="E101" s="1324"/>
      <c r="F101" s="1324"/>
      <c r="G101" s="1328"/>
      <c r="H101" s="1328"/>
      <c r="I101" s="1327"/>
      <c r="J101" s="1328"/>
      <c r="K101" s="1657"/>
      <c r="L101" s="1658"/>
      <c r="M101" s="1329"/>
      <c r="N101" s="1329"/>
      <c r="O101" s="1329"/>
      <c r="P101" s="1330"/>
      <c r="Q101" s="1327"/>
      <c r="R101" s="1327"/>
      <c r="S101" s="1327"/>
      <c r="T101" s="1324"/>
      <c r="U101" s="1324"/>
      <c r="V101" s="1331"/>
      <c r="W101" s="1332"/>
      <c r="X101" s="1333"/>
      <c r="Y101" s="1334"/>
      <c r="Z101" s="1333"/>
      <c r="AA101" s="1334"/>
      <c r="AB101" s="1333"/>
      <c r="AC101" s="1334"/>
      <c r="AD101" s="1334"/>
      <c r="AE101" s="1334"/>
      <c r="AF101" s="1329"/>
      <c r="AG101" s="1330"/>
      <c r="AH101" s="1327"/>
      <c r="AI101" s="1327"/>
      <c r="AJ101" s="1327"/>
      <c r="AK101" s="1324"/>
      <c r="AL101" s="1324"/>
      <c r="AM101" s="1331"/>
      <c r="AN101" s="1332"/>
    </row>
    <row r="102" spans="1:40" s="1335" customFormat="1" ht="45.6" customHeight="1" x14ac:dyDescent="0.3">
      <c r="A102" s="1324"/>
      <c r="B102" s="1325"/>
      <c r="C102" s="1326"/>
      <c r="D102" s="1324"/>
      <c r="E102" s="1324"/>
      <c r="F102" s="1324"/>
      <c r="G102" s="1328"/>
      <c r="H102" s="1328"/>
      <c r="I102" s="1327"/>
      <c r="J102" s="1328"/>
      <c r="K102" s="1657"/>
      <c r="L102" s="1658"/>
      <c r="M102" s="1329"/>
      <c r="N102" s="1329"/>
      <c r="O102" s="1329"/>
      <c r="P102" s="1330"/>
      <c r="Q102" s="1327"/>
      <c r="R102" s="1327"/>
      <c r="S102" s="1327"/>
      <c r="T102" s="1324"/>
      <c r="U102" s="1324"/>
      <c r="V102" s="1331"/>
      <c r="W102" s="1332"/>
      <c r="X102" s="1333"/>
      <c r="Y102" s="1334"/>
      <c r="Z102" s="1333"/>
      <c r="AA102" s="1334"/>
      <c r="AB102" s="1333"/>
      <c r="AC102" s="1334"/>
      <c r="AD102" s="1334"/>
      <c r="AE102" s="1334"/>
      <c r="AF102" s="1329"/>
      <c r="AG102" s="1330"/>
      <c r="AH102" s="1327"/>
      <c r="AI102" s="1327"/>
      <c r="AJ102" s="1327"/>
      <c r="AK102" s="1324"/>
      <c r="AL102" s="1324"/>
      <c r="AM102" s="1331"/>
      <c r="AN102" s="1332"/>
    </row>
    <row r="103" spans="1:40" s="1335" customFormat="1" ht="45.6" customHeight="1" x14ac:dyDescent="0.3">
      <c r="A103" s="1324"/>
      <c r="B103" s="1325"/>
      <c r="C103" s="1326"/>
      <c r="D103" s="1324"/>
      <c r="E103" s="1324"/>
      <c r="F103" s="1324"/>
      <c r="G103" s="1328"/>
      <c r="H103" s="1328"/>
      <c r="I103" s="1327"/>
      <c r="J103" s="1328"/>
      <c r="K103" s="1657"/>
      <c r="L103" s="1658"/>
      <c r="M103" s="1329"/>
      <c r="N103" s="1329"/>
      <c r="O103" s="1329"/>
      <c r="P103" s="1330"/>
      <c r="Q103" s="1327"/>
      <c r="R103" s="1327"/>
      <c r="S103" s="1327"/>
      <c r="T103" s="1324"/>
      <c r="U103" s="1324"/>
      <c r="V103" s="1331"/>
      <c r="W103" s="1332"/>
      <c r="X103" s="1333"/>
      <c r="Y103" s="1334"/>
      <c r="Z103" s="1333"/>
      <c r="AA103" s="1334"/>
      <c r="AB103" s="1333"/>
      <c r="AC103" s="1334"/>
      <c r="AD103" s="1334"/>
      <c r="AE103" s="1334"/>
      <c r="AF103" s="1329"/>
      <c r="AG103" s="1330"/>
      <c r="AH103" s="1327"/>
      <c r="AI103" s="1327"/>
      <c r="AJ103" s="1327"/>
      <c r="AK103" s="1324"/>
      <c r="AL103" s="1324"/>
      <c r="AM103" s="1331"/>
      <c r="AN103" s="1332"/>
    </row>
    <row r="104" spans="1:40" s="1335" customFormat="1" ht="45.6" customHeight="1" x14ac:dyDescent="0.3">
      <c r="A104" s="1324"/>
      <c r="B104" s="1325"/>
      <c r="C104" s="1326"/>
      <c r="D104" s="1324"/>
      <c r="E104" s="1324"/>
      <c r="F104" s="1324"/>
      <c r="G104" s="1328"/>
      <c r="H104" s="1328"/>
      <c r="I104" s="1327"/>
      <c r="J104" s="1328"/>
      <c r="K104" s="1657"/>
      <c r="L104" s="1658"/>
      <c r="M104" s="1329"/>
      <c r="N104" s="1329"/>
      <c r="O104" s="1329"/>
      <c r="P104" s="1330"/>
      <c r="Q104" s="1327"/>
      <c r="R104" s="1327"/>
      <c r="S104" s="1327"/>
      <c r="T104" s="1324"/>
      <c r="U104" s="1324"/>
      <c r="V104" s="1331"/>
      <c r="W104" s="1332"/>
      <c r="X104" s="1333"/>
      <c r="Y104" s="1334"/>
      <c r="Z104" s="1333"/>
      <c r="AA104" s="1334"/>
      <c r="AB104" s="1333"/>
      <c r="AC104" s="1334"/>
      <c r="AD104" s="1334"/>
      <c r="AE104" s="1334"/>
      <c r="AF104" s="1329"/>
      <c r="AG104" s="1330"/>
      <c r="AH104" s="1327"/>
      <c r="AI104" s="1327"/>
      <c r="AJ104" s="1327"/>
      <c r="AK104" s="1324"/>
      <c r="AL104" s="1324"/>
      <c r="AM104" s="1331"/>
      <c r="AN104" s="1332"/>
    </row>
    <row r="105" spans="1:40" s="1335" customFormat="1" ht="45.6" customHeight="1" x14ac:dyDescent="0.3">
      <c r="A105" s="1324"/>
      <c r="B105" s="1325"/>
      <c r="C105" s="1326"/>
      <c r="D105" s="1324"/>
      <c r="E105" s="1324"/>
      <c r="F105" s="1324"/>
      <c r="G105" s="1328"/>
      <c r="H105" s="1328"/>
      <c r="I105" s="1327"/>
      <c r="J105" s="1328"/>
      <c r="K105" s="1657"/>
      <c r="L105" s="1658"/>
      <c r="M105" s="1329"/>
      <c r="N105" s="1329"/>
      <c r="O105" s="1329"/>
      <c r="P105" s="1330"/>
      <c r="Q105" s="1327"/>
      <c r="R105" s="1327"/>
      <c r="S105" s="1327"/>
      <c r="T105" s="1324"/>
      <c r="U105" s="1324"/>
      <c r="V105" s="1331"/>
      <c r="W105" s="1332"/>
      <c r="X105" s="1333"/>
      <c r="Y105" s="1334"/>
      <c r="Z105" s="1333"/>
      <c r="AA105" s="1334"/>
      <c r="AB105" s="1333"/>
      <c r="AC105" s="1334"/>
      <c r="AD105" s="1334"/>
      <c r="AE105" s="1334"/>
      <c r="AF105" s="1329"/>
      <c r="AG105" s="1330"/>
      <c r="AH105" s="1327"/>
      <c r="AI105" s="1327"/>
      <c r="AJ105" s="1327"/>
      <c r="AK105" s="1324"/>
      <c r="AL105" s="1324"/>
      <c r="AM105" s="1331"/>
      <c r="AN105" s="1332"/>
    </row>
    <row r="106" spans="1:40" s="1335" customFormat="1" ht="45.6" customHeight="1" x14ac:dyDescent="0.3">
      <c r="A106" s="1324"/>
      <c r="B106" s="1325"/>
      <c r="C106" s="1326"/>
      <c r="D106" s="1324"/>
      <c r="E106" s="1324"/>
      <c r="F106" s="1324"/>
      <c r="G106" s="1328"/>
      <c r="H106" s="1328"/>
      <c r="I106" s="1327"/>
      <c r="J106" s="1328"/>
      <c r="K106" s="1657"/>
      <c r="L106" s="1658"/>
      <c r="M106" s="1329"/>
      <c r="N106" s="1329"/>
      <c r="O106" s="1329"/>
      <c r="P106" s="1330"/>
      <c r="Q106" s="1327"/>
      <c r="R106" s="1327"/>
      <c r="S106" s="1327"/>
      <c r="T106" s="1324"/>
      <c r="U106" s="1324"/>
      <c r="V106" s="1331"/>
      <c r="W106" s="1332"/>
      <c r="X106" s="1333"/>
      <c r="Y106" s="1334"/>
      <c r="Z106" s="1333"/>
      <c r="AA106" s="1334"/>
      <c r="AB106" s="1333"/>
      <c r="AC106" s="1334"/>
      <c r="AD106" s="1334"/>
      <c r="AE106" s="1334"/>
      <c r="AF106" s="1329"/>
      <c r="AG106" s="1330"/>
      <c r="AH106" s="1327"/>
      <c r="AI106" s="1327"/>
      <c r="AJ106" s="1327"/>
      <c r="AK106" s="1324"/>
      <c r="AL106" s="1324"/>
      <c r="AM106" s="1331"/>
      <c r="AN106" s="1332"/>
    </row>
    <row r="107" spans="1:40" s="1335" customFormat="1" ht="45.6" customHeight="1" x14ac:dyDescent="0.3">
      <c r="A107" s="1324"/>
      <c r="B107" s="1325"/>
      <c r="C107" s="1326"/>
      <c r="D107" s="1324"/>
      <c r="E107" s="1324"/>
      <c r="F107" s="1324"/>
      <c r="G107" s="1328"/>
      <c r="H107" s="1328"/>
      <c r="I107" s="1327"/>
      <c r="J107" s="1328"/>
      <c r="K107" s="1657"/>
      <c r="L107" s="1658"/>
      <c r="M107" s="1329"/>
      <c r="N107" s="1329"/>
      <c r="O107" s="1329"/>
      <c r="P107" s="1330"/>
      <c r="Q107" s="1327"/>
      <c r="R107" s="1327"/>
      <c r="S107" s="1327"/>
      <c r="T107" s="1324"/>
      <c r="U107" s="1324"/>
      <c r="V107" s="1331"/>
      <c r="W107" s="1332"/>
      <c r="X107" s="1333"/>
      <c r="Y107" s="1334"/>
      <c r="Z107" s="1333"/>
      <c r="AA107" s="1334"/>
      <c r="AB107" s="1333"/>
      <c r="AC107" s="1334"/>
      <c r="AD107" s="1334"/>
      <c r="AE107" s="1334"/>
      <c r="AF107" s="1329"/>
      <c r="AG107" s="1330"/>
      <c r="AH107" s="1327"/>
      <c r="AI107" s="1327"/>
      <c r="AJ107" s="1327"/>
      <c r="AK107" s="1324"/>
      <c r="AL107" s="1324"/>
      <c r="AM107" s="1331"/>
      <c r="AN107" s="1332"/>
    </row>
    <row r="108" spans="1:40" s="1335" customFormat="1" ht="45.6" customHeight="1" x14ac:dyDescent="0.3">
      <c r="A108" s="1324"/>
      <c r="B108" s="1325"/>
      <c r="C108" s="1326"/>
      <c r="D108" s="1324"/>
      <c r="E108" s="1324"/>
      <c r="F108" s="1324"/>
      <c r="G108" s="1328"/>
      <c r="H108" s="1328"/>
      <c r="I108" s="1327"/>
      <c r="J108" s="1328"/>
      <c r="K108" s="1657"/>
      <c r="L108" s="1658"/>
      <c r="M108" s="1329"/>
      <c r="N108" s="1329"/>
      <c r="O108" s="1329"/>
      <c r="P108" s="1330"/>
      <c r="Q108" s="1327"/>
      <c r="R108" s="1327"/>
      <c r="S108" s="1327"/>
      <c r="T108" s="1324"/>
      <c r="U108" s="1324"/>
      <c r="V108" s="1331"/>
      <c r="W108" s="1332"/>
      <c r="X108" s="1333"/>
      <c r="Y108" s="1334"/>
      <c r="Z108" s="1333"/>
      <c r="AA108" s="1334"/>
      <c r="AB108" s="1333"/>
      <c r="AC108" s="1334"/>
      <c r="AD108" s="1334"/>
      <c r="AE108" s="1334"/>
      <c r="AF108" s="1329"/>
      <c r="AG108" s="1330"/>
      <c r="AH108" s="1327"/>
      <c r="AI108" s="1327"/>
      <c r="AJ108" s="1327"/>
      <c r="AK108" s="1324"/>
      <c r="AL108" s="1324"/>
      <c r="AM108" s="1331"/>
      <c r="AN108" s="1332"/>
    </row>
    <row r="109" spans="1:40" s="1335" customFormat="1" ht="45.6" customHeight="1" x14ac:dyDescent="0.3">
      <c r="A109" s="1324"/>
      <c r="B109" s="1325"/>
      <c r="C109" s="1326"/>
      <c r="D109" s="1324"/>
      <c r="E109" s="1324"/>
      <c r="F109" s="1324"/>
      <c r="G109" s="1328"/>
      <c r="H109" s="1328"/>
      <c r="I109" s="1327"/>
      <c r="J109" s="1328"/>
      <c r="K109" s="1657"/>
      <c r="L109" s="1658"/>
      <c r="M109" s="1329"/>
      <c r="N109" s="1329"/>
      <c r="O109" s="1329"/>
      <c r="P109" s="1330"/>
      <c r="Q109" s="1327"/>
      <c r="R109" s="1327"/>
      <c r="S109" s="1327"/>
      <c r="T109" s="1324"/>
      <c r="U109" s="1324"/>
      <c r="V109" s="1331"/>
      <c r="W109" s="1332"/>
      <c r="X109" s="1333"/>
      <c r="Y109" s="1334"/>
      <c r="Z109" s="1333"/>
      <c r="AA109" s="1334"/>
      <c r="AB109" s="1333"/>
      <c r="AC109" s="1334"/>
      <c r="AD109" s="1334"/>
      <c r="AE109" s="1334"/>
      <c r="AF109" s="1329"/>
      <c r="AG109" s="1330"/>
      <c r="AH109" s="1327"/>
      <c r="AI109" s="1327"/>
      <c r="AJ109" s="1327"/>
      <c r="AK109" s="1324"/>
      <c r="AL109" s="1324"/>
      <c r="AM109" s="1331"/>
      <c r="AN109" s="1332"/>
    </row>
    <row r="110" spans="1:40" s="138" customFormat="1" ht="51" customHeight="1" x14ac:dyDescent="0.3">
      <c r="A110" s="365"/>
      <c r="B110" s="497"/>
      <c r="C110" s="498"/>
      <c r="D110" s="365"/>
      <c r="E110" s="365"/>
      <c r="F110" s="365"/>
      <c r="G110" s="505"/>
      <c r="H110" s="500"/>
      <c r="I110" s="499"/>
      <c r="J110" s="500"/>
      <c r="K110" s="1653"/>
      <c r="L110" s="1654"/>
      <c r="M110" s="501"/>
      <c r="N110" s="501"/>
      <c r="O110" s="501"/>
      <c r="P110" s="502"/>
      <c r="Q110" s="499"/>
      <c r="R110" s="499"/>
      <c r="S110" s="499"/>
      <c r="T110" s="365"/>
      <c r="U110" s="365"/>
      <c r="V110" s="503"/>
      <c r="W110" s="504"/>
      <c r="X110" s="493"/>
      <c r="Y110" s="494"/>
      <c r="Z110" s="493"/>
      <c r="AA110" s="494"/>
      <c r="AB110" s="493"/>
      <c r="AC110" s="494"/>
      <c r="AD110" s="494"/>
      <c r="AE110" s="494"/>
      <c r="AF110" s="501"/>
      <c r="AG110" s="502"/>
      <c r="AH110" s="499"/>
      <c r="AI110" s="499"/>
      <c r="AJ110" s="499"/>
      <c r="AK110" s="365"/>
      <c r="AL110" s="365"/>
      <c r="AM110" s="503"/>
      <c r="AN110" s="504"/>
    </row>
    <row r="111" spans="1:40" s="138" customFormat="1" ht="48" customHeight="1" x14ac:dyDescent="0.3">
      <c r="A111" s="506"/>
      <c r="B111" s="507"/>
      <c r="C111" s="508"/>
      <c r="D111" s="506"/>
      <c r="E111" s="506"/>
      <c r="F111" s="506"/>
      <c r="G111" s="509"/>
      <c r="H111" s="510"/>
      <c r="I111" s="506"/>
      <c r="J111" s="510"/>
      <c r="K111" s="1655"/>
      <c r="L111" s="1656"/>
      <c r="M111" s="511"/>
      <c r="N111" s="511"/>
      <c r="O111" s="511"/>
      <c r="P111" s="512"/>
      <c r="Q111" s="97"/>
      <c r="R111" s="97"/>
      <c r="S111" s="97"/>
      <c r="T111" s="506"/>
      <c r="U111" s="506"/>
      <c r="V111" s="513"/>
      <c r="W111" s="514"/>
      <c r="X111" s="493"/>
      <c r="Y111" s="494"/>
      <c r="Z111" s="493"/>
      <c r="AA111" s="494"/>
      <c r="AB111" s="493"/>
      <c r="AC111" s="494"/>
      <c r="AD111" s="494"/>
      <c r="AE111" s="494"/>
      <c r="AF111" s="511"/>
      <c r="AG111" s="512"/>
      <c r="AH111" s="97"/>
      <c r="AI111" s="97"/>
      <c r="AJ111" s="97"/>
      <c r="AK111" s="506"/>
      <c r="AL111" s="506"/>
      <c r="AM111" s="513"/>
      <c r="AN111" s="514"/>
    </row>
    <row r="112" spans="1:40" s="138" customFormat="1" ht="43.2" customHeight="1" x14ac:dyDescent="0.3">
      <c r="A112" s="6"/>
      <c r="B112" s="7"/>
      <c r="C112" s="8"/>
      <c r="D112" s="9"/>
      <c r="E112" s="9"/>
      <c r="F112" s="6"/>
      <c r="G112" s="515"/>
      <c r="H112" s="516"/>
      <c r="I112" s="32"/>
      <c r="J112" s="34"/>
      <c r="K112" s="1659"/>
      <c r="L112" s="1660"/>
      <c r="M112" s="10"/>
      <c r="N112" s="10"/>
      <c r="O112" s="10"/>
      <c r="P112" s="41"/>
      <c r="Q112" s="35"/>
      <c r="R112" s="35"/>
      <c r="S112" s="35"/>
      <c r="T112" s="6"/>
      <c r="U112" s="6"/>
      <c r="V112" s="142"/>
      <c r="W112" s="517"/>
      <c r="X112" s="493"/>
      <c r="Y112" s="494"/>
      <c r="Z112" s="493"/>
      <c r="AA112" s="494"/>
      <c r="AB112" s="493"/>
      <c r="AC112" s="494"/>
      <c r="AD112" s="494"/>
      <c r="AE112" s="494"/>
      <c r="AF112" s="10"/>
      <c r="AG112" s="41"/>
      <c r="AH112" s="35"/>
      <c r="AI112" s="35"/>
      <c r="AJ112" s="35"/>
      <c r="AK112" s="6"/>
      <c r="AL112" s="6"/>
      <c r="AM112" s="142"/>
      <c r="AN112" s="517"/>
    </row>
    <row r="113" spans="1:40" s="138" customFormat="1" ht="39.6" customHeight="1" x14ac:dyDescent="0.3">
      <c r="A113" s="6"/>
      <c r="B113" s="11"/>
      <c r="C113" s="12"/>
      <c r="D113" s="9"/>
      <c r="E113" s="9"/>
      <c r="F113" s="9"/>
      <c r="G113" s="515"/>
      <c r="H113" s="33"/>
      <c r="I113" s="32"/>
      <c r="J113" s="34"/>
      <c r="K113" s="1659"/>
      <c r="L113" s="1660"/>
      <c r="M113" s="10"/>
      <c r="N113" s="10"/>
      <c r="O113" s="10"/>
      <c r="P113" s="41"/>
      <c r="Q113" s="10"/>
      <c r="R113" s="35"/>
      <c r="S113" s="35"/>
      <c r="T113" s="6"/>
      <c r="U113" s="6"/>
      <c r="V113" s="142"/>
      <c r="W113" s="517"/>
      <c r="X113" s="493"/>
      <c r="Y113" s="494"/>
      <c r="Z113" s="493"/>
      <c r="AA113" s="494"/>
      <c r="AB113" s="493"/>
      <c r="AC113" s="494"/>
      <c r="AD113" s="494"/>
      <c r="AE113" s="494"/>
      <c r="AF113" s="10"/>
      <c r="AG113" s="41"/>
      <c r="AH113" s="10"/>
      <c r="AI113" s="35"/>
      <c r="AJ113" s="35"/>
      <c r="AK113" s="6"/>
      <c r="AL113" s="6"/>
      <c r="AM113" s="142"/>
      <c r="AN113" s="517"/>
    </row>
    <row r="114" spans="1:40" s="138" customFormat="1" ht="39" customHeight="1" x14ac:dyDescent="0.3">
      <c r="A114" s="13"/>
      <c r="B114" s="9"/>
      <c r="C114" s="9"/>
      <c r="D114" s="9"/>
      <c r="E114" s="9"/>
      <c r="F114" s="13"/>
      <c r="G114" s="515"/>
      <c r="H114" s="38"/>
      <c r="I114" s="1107"/>
      <c r="J114" s="40"/>
      <c r="K114" s="1659"/>
      <c r="L114" s="1660"/>
      <c r="M114" s="10"/>
      <c r="N114" s="10"/>
      <c r="O114" s="10"/>
      <c r="P114" s="41"/>
      <c r="Q114" s="35"/>
      <c r="R114" s="35"/>
      <c r="S114" s="35"/>
      <c r="T114" s="140"/>
      <c r="U114" s="140"/>
      <c r="V114" s="142"/>
      <c r="W114" s="517"/>
      <c r="X114" s="493"/>
      <c r="Y114" s="494"/>
      <c r="Z114" s="493"/>
      <c r="AA114" s="494"/>
      <c r="AB114" s="493"/>
      <c r="AC114" s="494"/>
      <c r="AD114" s="494"/>
      <c r="AE114" s="494"/>
      <c r="AF114" s="10"/>
      <c r="AG114" s="41"/>
      <c r="AH114" s="35"/>
      <c r="AI114" s="35"/>
      <c r="AJ114" s="35"/>
      <c r="AK114" s="140"/>
      <c r="AL114" s="140"/>
      <c r="AM114" s="142"/>
      <c r="AN114" s="517"/>
    </row>
    <row r="115" spans="1:40" s="252" customFormat="1" ht="39" customHeight="1" x14ac:dyDescent="0.3">
      <c r="A115" s="15"/>
      <c r="B115" s="16"/>
      <c r="C115" s="9"/>
      <c r="D115" s="9"/>
      <c r="E115" s="9"/>
      <c r="F115" s="9"/>
      <c r="G115" s="515"/>
      <c r="H115" s="33"/>
      <c r="I115" s="1107"/>
      <c r="J115" s="367"/>
      <c r="K115" s="1661"/>
      <c r="L115" s="1662"/>
      <c r="M115" s="31"/>
      <c r="N115" s="31"/>
      <c r="O115" s="31"/>
      <c r="P115" s="519"/>
      <c r="Q115" s="518"/>
      <c r="R115" s="518"/>
      <c r="S115" s="518"/>
      <c r="T115" s="520"/>
      <c r="U115" s="520"/>
      <c r="V115" s="382"/>
      <c r="W115" s="521"/>
      <c r="X115" s="253"/>
      <c r="Y115" s="254"/>
      <c r="Z115" s="253"/>
      <c r="AA115" s="254"/>
      <c r="AB115" s="253"/>
      <c r="AC115" s="254"/>
      <c r="AD115" s="254"/>
      <c r="AE115" s="254"/>
      <c r="AF115" s="31"/>
      <c r="AG115" s="519"/>
      <c r="AH115" s="518"/>
      <c r="AI115" s="518"/>
      <c r="AJ115" s="518"/>
      <c r="AK115" s="520"/>
      <c r="AL115" s="520"/>
      <c r="AM115" s="382"/>
      <c r="AN115" s="521"/>
    </row>
    <row r="116" spans="1:40" s="252" customFormat="1" ht="39" customHeight="1" x14ac:dyDescent="0.3">
      <c r="A116" s="15"/>
      <c r="B116" s="16"/>
      <c r="C116" s="9"/>
      <c r="D116" s="9"/>
      <c r="E116" s="9"/>
      <c r="F116" s="9"/>
      <c r="G116" s="515"/>
      <c r="H116" s="33"/>
      <c r="I116" s="1107"/>
      <c r="J116" s="367"/>
      <c r="K116" s="1661"/>
      <c r="L116" s="1662"/>
      <c r="M116" s="31"/>
      <c r="N116" s="31"/>
      <c r="O116" s="31"/>
      <c r="P116" s="519"/>
      <c r="Q116" s="518"/>
      <c r="R116" s="518"/>
      <c r="S116" s="518"/>
      <c r="T116" s="520"/>
      <c r="U116" s="520"/>
      <c r="V116" s="382"/>
      <c r="W116" s="521"/>
      <c r="X116" s="253"/>
      <c r="Y116" s="254"/>
      <c r="Z116" s="253"/>
      <c r="AA116" s="254"/>
      <c r="AB116" s="253"/>
      <c r="AC116" s="254"/>
      <c r="AD116" s="254"/>
      <c r="AE116" s="254"/>
      <c r="AF116" s="31"/>
      <c r="AG116" s="519"/>
      <c r="AH116" s="518"/>
      <c r="AI116" s="518"/>
      <c r="AJ116" s="518"/>
      <c r="AK116" s="520"/>
      <c r="AL116" s="520"/>
      <c r="AM116" s="382"/>
      <c r="AN116" s="521"/>
    </row>
    <row r="117" spans="1:40" s="252" customFormat="1" ht="39" customHeight="1" x14ac:dyDescent="0.3">
      <c r="A117" s="15"/>
      <c r="B117" s="16"/>
      <c r="C117" s="9"/>
      <c r="D117" s="9"/>
      <c r="E117" s="9"/>
      <c r="F117" s="9"/>
      <c r="G117" s="515"/>
      <c r="H117" s="33"/>
      <c r="I117" s="1107"/>
      <c r="J117" s="367"/>
      <c r="K117" s="1661"/>
      <c r="L117" s="1662"/>
      <c r="M117" s="31"/>
      <c r="N117" s="31"/>
      <c r="O117" s="31"/>
      <c r="P117" s="519"/>
      <c r="Q117" s="518"/>
      <c r="R117" s="518"/>
      <c r="S117" s="518"/>
      <c r="T117" s="520"/>
      <c r="U117" s="520"/>
      <c r="V117" s="382"/>
      <c r="W117" s="521"/>
      <c r="X117" s="253"/>
      <c r="Y117" s="254"/>
      <c r="Z117" s="253"/>
      <c r="AA117" s="254"/>
      <c r="AB117" s="253"/>
      <c r="AC117" s="254"/>
      <c r="AD117" s="254"/>
      <c r="AE117" s="254"/>
      <c r="AF117" s="31"/>
      <c r="AG117" s="519"/>
      <c r="AH117" s="518"/>
      <c r="AI117" s="518"/>
      <c r="AJ117" s="518"/>
      <c r="AK117" s="520"/>
      <c r="AL117" s="520"/>
      <c r="AM117" s="382"/>
      <c r="AN117" s="521"/>
    </row>
    <row r="118" spans="1:40" s="252" customFormat="1" ht="39" customHeight="1" x14ac:dyDescent="0.3">
      <c r="A118" s="15"/>
      <c r="B118" s="16"/>
      <c r="C118" s="9"/>
      <c r="D118" s="9"/>
      <c r="E118" s="9"/>
      <c r="F118" s="9"/>
      <c r="G118" s="515"/>
      <c r="H118" s="33"/>
      <c r="I118" s="1107"/>
      <c r="J118" s="367"/>
      <c r="K118" s="1661"/>
      <c r="L118" s="1662"/>
      <c r="M118" s="31"/>
      <c r="N118" s="31"/>
      <c r="O118" s="31"/>
      <c r="P118" s="519"/>
      <c r="Q118" s="518"/>
      <c r="R118" s="518"/>
      <c r="S118" s="518"/>
      <c r="T118" s="520"/>
      <c r="U118" s="520"/>
      <c r="V118" s="382"/>
      <c r="W118" s="521"/>
      <c r="X118" s="253"/>
      <c r="Y118" s="254"/>
      <c r="Z118" s="253"/>
      <c r="AA118" s="254"/>
      <c r="AB118" s="253"/>
      <c r="AC118" s="254"/>
      <c r="AD118" s="254"/>
      <c r="AE118" s="254"/>
      <c r="AF118" s="31"/>
      <c r="AG118" s="519"/>
      <c r="AH118" s="518"/>
      <c r="AI118" s="518"/>
      <c r="AJ118" s="518"/>
      <c r="AK118" s="520"/>
      <c r="AL118" s="520"/>
      <c r="AM118" s="382"/>
      <c r="AN118" s="521"/>
    </row>
    <row r="119" spans="1:40" s="252" customFormat="1" ht="39" customHeight="1" x14ac:dyDescent="0.3">
      <c r="A119" s="15"/>
      <c r="B119" s="16"/>
      <c r="C119" s="9"/>
      <c r="D119" s="9"/>
      <c r="E119" s="9"/>
      <c r="F119" s="9"/>
      <c r="G119" s="515"/>
      <c r="H119" s="33"/>
      <c r="I119" s="1107"/>
      <c r="J119" s="367"/>
      <c r="K119" s="1661"/>
      <c r="L119" s="1662"/>
      <c r="M119" s="31"/>
      <c r="N119" s="31"/>
      <c r="O119" s="31"/>
      <c r="P119" s="519"/>
      <c r="Q119" s="518"/>
      <c r="R119" s="518"/>
      <c r="S119" s="518"/>
      <c r="T119" s="520"/>
      <c r="U119" s="520"/>
      <c r="V119" s="382"/>
      <c r="W119" s="521"/>
      <c r="X119" s="253"/>
      <c r="Y119" s="254"/>
      <c r="Z119" s="253"/>
      <c r="AA119" s="254"/>
      <c r="AB119" s="253"/>
      <c r="AC119" s="254"/>
      <c r="AD119" s="254"/>
      <c r="AE119" s="254"/>
      <c r="AF119" s="31"/>
      <c r="AG119" s="519"/>
      <c r="AH119" s="518"/>
      <c r="AI119" s="518"/>
      <c r="AJ119" s="518"/>
      <c r="AK119" s="520"/>
      <c r="AL119" s="520"/>
      <c r="AM119" s="382"/>
      <c r="AN119" s="521"/>
    </row>
    <row r="120" spans="1:40" s="252" customFormat="1" ht="39" customHeight="1" x14ac:dyDescent="0.3">
      <c r="A120" s="15"/>
      <c r="B120" s="16"/>
      <c r="C120" s="9"/>
      <c r="D120" s="9"/>
      <c r="E120" s="9"/>
      <c r="F120" s="9"/>
      <c r="G120" s="515"/>
      <c r="H120" s="33"/>
      <c r="I120" s="1107"/>
      <c r="J120" s="367"/>
      <c r="K120" s="1661"/>
      <c r="L120" s="1662"/>
      <c r="M120" s="31"/>
      <c r="N120" s="31"/>
      <c r="O120" s="31"/>
      <c r="P120" s="519"/>
      <c r="Q120" s="518"/>
      <c r="R120" s="518"/>
      <c r="S120" s="518"/>
      <c r="T120" s="520"/>
      <c r="U120" s="520"/>
      <c r="V120" s="382"/>
      <c r="W120" s="521"/>
      <c r="X120" s="253"/>
      <c r="Y120" s="254"/>
      <c r="Z120" s="253"/>
      <c r="AA120" s="254"/>
      <c r="AB120" s="253"/>
      <c r="AC120" s="254"/>
      <c r="AD120" s="254"/>
      <c r="AE120" s="254"/>
      <c r="AF120" s="31"/>
      <c r="AG120" s="519"/>
      <c r="AH120" s="518"/>
      <c r="AI120" s="518"/>
      <c r="AJ120" s="518"/>
      <c r="AK120" s="520"/>
      <c r="AL120" s="520"/>
      <c r="AM120" s="382"/>
      <c r="AN120" s="521"/>
    </row>
    <row r="121" spans="1:40" s="532" customFormat="1" ht="39" customHeight="1" x14ac:dyDescent="0.3">
      <c r="A121" s="15"/>
      <c r="B121" s="16"/>
      <c r="C121" s="16"/>
      <c r="D121" s="16"/>
      <c r="E121" s="16"/>
      <c r="F121" s="16"/>
      <c r="G121" s="1339"/>
      <c r="H121" s="522"/>
      <c r="I121" s="1340"/>
      <c r="J121" s="523"/>
      <c r="K121" s="1663"/>
      <c r="L121" s="1664"/>
      <c r="M121" s="525"/>
      <c r="N121" s="525"/>
      <c r="O121" s="525"/>
      <c r="P121" s="526"/>
      <c r="Q121" s="524"/>
      <c r="R121" s="524"/>
      <c r="S121" s="524"/>
      <c r="T121" s="527"/>
      <c r="U121" s="527"/>
      <c r="V121" s="528"/>
      <c r="W121" s="529"/>
      <c r="X121" s="530"/>
      <c r="Y121" s="531"/>
      <c r="Z121" s="530"/>
      <c r="AA121" s="531"/>
      <c r="AB121" s="530"/>
      <c r="AC121" s="531"/>
      <c r="AD121" s="531"/>
      <c r="AE121" s="531"/>
      <c r="AF121" s="525"/>
      <c r="AG121" s="526"/>
      <c r="AH121" s="524"/>
      <c r="AI121" s="524"/>
      <c r="AJ121" s="524"/>
      <c r="AK121" s="527"/>
      <c r="AL121" s="527"/>
      <c r="AM121" s="528"/>
      <c r="AN121" s="529"/>
    </row>
    <row r="122" spans="1:40" s="252" customFormat="1" ht="39" customHeight="1" x14ac:dyDescent="0.3">
      <c r="A122" s="9"/>
      <c r="B122" s="9"/>
      <c r="C122" s="9"/>
      <c r="D122" s="9"/>
      <c r="E122" s="9"/>
      <c r="F122" s="9"/>
      <c r="G122" s="515"/>
      <c r="H122" s="33"/>
      <c r="I122" s="1107"/>
      <c r="J122" s="367"/>
      <c r="K122" s="1661"/>
      <c r="L122" s="1662"/>
      <c r="M122" s="31"/>
      <c r="N122" s="31"/>
      <c r="O122" s="31"/>
      <c r="P122" s="519"/>
      <c r="Q122" s="518"/>
      <c r="R122" s="518"/>
      <c r="S122" s="518"/>
      <c r="T122" s="520"/>
      <c r="U122" s="520"/>
      <c r="V122" s="382"/>
      <c r="W122" s="521"/>
      <c r="X122" s="253"/>
      <c r="Y122" s="254"/>
      <c r="Z122" s="253"/>
      <c r="AA122" s="254"/>
      <c r="AB122" s="253"/>
      <c r="AC122" s="254"/>
      <c r="AD122" s="254"/>
      <c r="AE122" s="254"/>
      <c r="AF122" s="31"/>
      <c r="AG122" s="519"/>
      <c r="AH122" s="518"/>
      <c r="AI122" s="518"/>
      <c r="AJ122" s="518"/>
      <c r="AK122" s="520"/>
      <c r="AL122" s="520"/>
      <c r="AM122" s="382"/>
      <c r="AN122" s="521"/>
    </row>
    <row r="123" spans="1:40" s="252" customFormat="1" ht="39" customHeight="1" x14ac:dyDescent="0.3">
      <c r="A123" s="9"/>
      <c r="B123" s="9"/>
      <c r="C123" s="9"/>
      <c r="D123" s="9"/>
      <c r="E123" s="9"/>
      <c r="F123" s="9"/>
      <c r="G123" s="515"/>
      <c r="H123" s="33"/>
      <c r="I123" s="1107"/>
      <c r="J123" s="367"/>
      <c r="K123" s="1661"/>
      <c r="L123" s="1662"/>
      <c r="M123" s="31"/>
      <c r="N123" s="31"/>
      <c r="O123" s="31"/>
      <c r="P123" s="519"/>
      <c r="Q123" s="518"/>
      <c r="R123" s="518"/>
      <c r="S123" s="518"/>
      <c r="T123" s="520"/>
      <c r="U123" s="520"/>
      <c r="V123" s="382"/>
      <c r="W123" s="521"/>
      <c r="X123" s="253"/>
      <c r="Y123" s="254"/>
      <c r="Z123" s="253"/>
      <c r="AA123" s="254"/>
      <c r="AB123" s="253"/>
      <c r="AC123" s="254"/>
      <c r="AD123" s="254"/>
      <c r="AE123" s="254"/>
      <c r="AF123" s="31"/>
      <c r="AG123" s="519"/>
      <c r="AH123" s="518"/>
      <c r="AI123" s="518"/>
      <c r="AJ123" s="518"/>
      <c r="AK123" s="520"/>
      <c r="AL123" s="520"/>
      <c r="AM123" s="382"/>
      <c r="AN123" s="521"/>
    </row>
    <row r="124" spans="1:40" s="252" customFormat="1" ht="39" customHeight="1" x14ac:dyDescent="0.3">
      <c r="A124" s="9"/>
      <c r="B124" s="9"/>
      <c r="C124" s="9"/>
      <c r="D124" s="9"/>
      <c r="E124" s="9"/>
      <c r="F124" s="9"/>
      <c r="G124" s="515"/>
      <c r="H124" s="33"/>
      <c r="I124" s="1107"/>
      <c r="J124" s="367"/>
      <c r="K124" s="1661"/>
      <c r="L124" s="1662"/>
      <c r="M124" s="31"/>
      <c r="N124" s="31"/>
      <c r="O124" s="31"/>
      <c r="P124" s="519"/>
      <c r="Q124" s="518"/>
      <c r="R124" s="518"/>
      <c r="S124" s="518"/>
      <c r="T124" s="520"/>
      <c r="U124" s="520"/>
      <c r="V124" s="382"/>
      <c r="W124" s="521"/>
      <c r="X124" s="253"/>
      <c r="Y124" s="254"/>
      <c r="Z124" s="253"/>
      <c r="AA124" s="254"/>
      <c r="AB124" s="253"/>
      <c r="AC124" s="254"/>
      <c r="AD124" s="254"/>
      <c r="AE124" s="254"/>
      <c r="AF124" s="31"/>
      <c r="AG124" s="519"/>
      <c r="AH124" s="518"/>
      <c r="AI124" s="518"/>
      <c r="AJ124" s="518"/>
      <c r="AK124" s="520"/>
      <c r="AL124" s="520"/>
      <c r="AM124" s="382"/>
      <c r="AN124" s="521"/>
    </row>
    <row r="125" spans="1:40" s="252" customFormat="1" ht="39" customHeight="1" x14ac:dyDescent="0.3">
      <c r="A125" s="9"/>
      <c r="B125" s="9"/>
      <c r="C125" s="9"/>
      <c r="D125" s="9"/>
      <c r="E125" s="9"/>
      <c r="F125" s="9"/>
      <c r="G125" s="515"/>
      <c r="H125" s="33"/>
      <c r="I125" s="1107"/>
      <c r="J125" s="367"/>
      <c r="K125" s="1661"/>
      <c r="L125" s="1662"/>
      <c r="M125" s="31"/>
      <c r="N125" s="31"/>
      <c r="O125" s="31"/>
      <c r="P125" s="519"/>
      <c r="Q125" s="518"/>
      <c r="R125" s="518"/>
      <c r="S125" s="518"/>
      <c r="T125" s="520"/>
      <c r="U125" s="520"/>
      <c r="V125" s="382"/>
      <c r="W125" s="521"/>
      <c r="X125" s="253"/>
      <c r="Y125" s="254"/>
      <c r="Z125" s="253"/>
      <c r="AA125" s="254"/>
      <c r="AB125" s="253"/>
      <c r="AC125" s="254"/>
      <c r="AD125" s="254"/>
      <c r="AE125" s="254"/>
      <c r="AF125" s="31"/>
      <c r="AG125" s="519"/>
      <c r="AH125" s="518"/>
      <c r="AI125" s="518"/>
      <c r="AJ125" s="518"/>
      <c r="AK125" s="520"/>
      <c r="AL125" s="520"/>
      <c r="AM125" s="382"/>
      <c r="AN125" s="521"/>
    </row>
    <row r="126" spans="1:40" s="532" customFormat="1" ht="39" customHeight="1" x14ac:dyDescent="0.3">
      <c r="A126" s="9"/>
      <c r="B126" s="16"/>
      <c r="C126" s="16"/>
      <c r="D126" s="16"/>
      <c r="E126" s="16"/>
      <c r="F126" s="16"/>
      <c r="G126" s="1339"/>
      <c r="H126" s="522"/>
      <c r="I126" s="1340"/>
      <c r="J126" s="523"/>
      <c r="K126" s="1663"/>
      <c r="L126" s="1664"/>
      <c r="M126" s="525"/>
      <c r="N126" s="525"/>
      <c r="O126" s="525"/>
      <c r="P126" s="526"/>
      <c r="Q126" s="524"/>
      <c r="R126" s="524"/>
      <c r="S126" s="524"/>
      <c r="T126" s="527"/>
      <c r="U126" s="527"/>
      <c r="V126" s="528"/>
      <c r="W126" s="529"/>
      <c r="X126" s="530"/>
      <c r="Y126" s="531"/>
      <c r="Z126" s="530"/>
      <c r="AA126" s="531"/>
      <c r="AB126" s="530"/>
      <c r="AC126" s="531"/>
      <c r="AD126" s="531"/>
      <c r="AE126" s="531"/>
      <c r="AF126" s="525"/>
      <c r="AG126" s="526"/>
      <c r="AH126" s="524"/>
      <c r="AI126" s="524"/>
      <c r="AJ126" s="524"/>
      <c r="AK126" s="527"/>
      <c r="AL126" s="527"/>
      <c r="AM126" s="528"/>
      <c r="AN126" s="529"/>
    </row>
    <row r="127" spans="1:40" s="536" customFormat="1" ht="42" customHeight="1" x14ac:dyDescent="0.3">
      <c r="A127" s="9"/>
      <c r="B127" s="16"/>
      <c r="C127" s="16"/>
      <c r="D127" s="16"/>
      <c r="E127" s="16"/>
      <c r="F127" s="525"/>
      <c r="G127" s="1340"/>
      <c r="H127" s="522"/>
      <c r="I127" s="1340"/>
      <c r="J127" s="523"/>
      <c r="K127" s="1663"/>
      <c r="L127" s="1664"/>
      <c r="M127" s="525"/>
      <c r="N127" s="525"/>
      <c r="O127" s="525"/>
      <c r="P127" s="526"/>
      <c r="Q127" s="525"/>
      <c r="R127" s="525"/>
      <c r="S127" s="525"/>
      <c r="T127" s="16"/>
      <c r="U127" s="16"/>
      <c r="V127" s="533"/>
      <c r="W127" s="16"/>
      <c r="X127" s="534"/>
      <c r="Y127" s="535"/>
      <c r="Z127" s="534"/>
      <c r="AA127" s="535"/>
      <c r="AB127" s="534"/>
      <c r="AC127" s="535"/>
      <c r="AD127" s="535"/>
      <c r="AE127" s="535"/>
      <c r="AF127" s="525"/>
      <c r="AG127" s="526"/>
      <c r="AH127" s="525"/>
      <c r="AI127" s="525"/>
      <c r="AJ127" s="525"/>
      <c r="AK127" s="16"/>
      <c r="AL127" s="16"/>
      <c r="AM127" s="533"/>
      <c r="AN127" s="16"/>
    </row>
    <row r="128" spans="1:40" s="252" customFormat="1" ht="39" customHeight="1" x14ac:dyDescent="0.3">
      <c r="A128" s="9"/>
      <c r="B128" s="9"/>
      <c r="C128" s="9"/>
      <c r="D128" s="9"/>
      <c r="E128" s="9"/>
      <c r="F128" s="9"/>
      <c r="G128" s="515"/>
      <c r="H128" s="33"/>
      <c r="I128" s="1107"/>
      <c r="J128" s="367"/>
      <c r="K128" s="1661"/>
      <c r="L128" s="1662"/>
      <c r="M128" s="31"/>
      <c r="N128" s="31"/>
      <c r="O128" s="31"/>
      <c r="P128" s="519"/>
      <c r="Q128" s="518"/>
      <c r="R128" s="518"/>
      <c r="S128" s="518"/>
      <c r="T128" s="520"/>
      <c r="U128" s="520"/>
      <c r="V128" s="382"/>
      <c r="W128" s="521"/>
      <c r="X128" s="253"/>
      <c r="Y128" s="254"/>
      <c r="Z128" s="253"/>
      <c r="AA128" s="254"/>
      <c r="AB128" s="253"/>
      <c r="AC128" s="254"/>
      <c r="AD128" s="254"/>
      <c r="AE128" s="254"/>
      <c r="AF128" s="31"/>
      <c r="AG128" s="519"/>
      <c r="AH128" s="518"/>
      <c r="AI128" s="518"/>
      <c r="AJ128" s="518"/>
      <c r="AK128" s="520"/>
      <c r="AL128" s="520"/>
      <c r="AM128" s="382"/>
      <c r="AN128" s="521"/>
    </row>
    <row r="129" spans="1:40" s="252" customFormat="1" ht="39" customHeight="1" x14ac:dyDescent="0.3">
      <c r="A129" s="9"/>
      <c r="B129" s="9"/>
      <c r="C129" s="9"/>
      <c r="D129" s="9"/>
      <c r="E129" s="9"/>
      <c r="F129" s="9"/>
      <c r="G129" s="515"/>
      <c r="H129" s="33"/>
      <c r="I129" s="1107"/>
      <c r="J129" s="367"/>
      <c r="K129" s="1661"/>
      <c r="L129" s="1662"/>
      <c r="M129" s="31"/>
      <c r="N129" s="31"/>
      <c r="O129" s="31"/>
      <c r="P129" s="519"/>
      <c r="Q129" s="518"/>
      <c r="R129" s="518"/>
      <c r="S129" s="518"/>
      <c r="T129" s="520"/>
      <c r="U129" s="520"/>
      <c r="V129" s="382"/>
      <c r="W129" s="521"/>
      <c r="X129" s="253"/>
      <c r="Y129" s="254"/>
      <c r="Z129" s="253"/>
      <c r="AA129" s="254"/>
      <c r="AB129" s="253"/>
      <c r="AC129" s="254"/>
      <c r="AD129" s="254"/>
      <c r="AE129" s="254"/>
      <c r="AF129" s="31"/>
      <c r="AG129" s="519"/>
      <c r="AH129" s="518"/>
      <c r="AI129" s="518"/>
      <c r="AJ129" s="518"/>
      <c r="AK129" s="520"/>
      <c r="AL129" s="520"/>
      <c r="AM129" s="382"/>
      <c r="AN129" s="521"/>
    </row>
    <row r="130" spans="1:40" s="252" customFormat="1" ht="39" customHeight="1" x14ac:dyDescent="0.3">
      <c r="A130" s="9"/>
      <c r="B130" s="9"/>
      <c r="C130" s="9"/>
      <c r="D130" s="9"/>
      <c r="E130" s="9"/>
      <c r="F130" s="9"/>
      <c r="G130" s="515"/>
      <c r="H130" s="33"/>
      <c r="I130" s="1107"/>
      <c r="J130" s="367"/>
      <c r="K130" s="1661"/>
      <c r="L130" s="1662"/>
      <c r="M130" s="31"/>
      <c r="N130" s="31"/>
      <c r="O130" s="31"/>
      <c r="P130" s="519"/>
      <c r="Q130" s="518"/>
      <c r="R130" s="518"/>
      <c r="S130" s="518"/>
      <c r="T130" s="520"/>
      <c r="U130" s="520"/>
      <c r="V130" s="382"/>
      <c r="W130" s="521"/>
      <c r="X130" s="253"/>
      <c r="Y130" s="254"/>
      <c r="Z130" s="253"/>
      <c r="AA130" s="254"/>
      <c r="AB130" s="253"/>
      <c r="AC130" s="254"/>
      <c r="AD130" s="254"/>
      <c r="AE130" s="254"/>
      <c r="AF130" s="31"/>
      <c r="AG130" s="519"/>
      <c r="AH130" s="518"/>
      <c r="AI130" s="518"/>
      <c r="AJ130" s="518"/>
      <c r="AK130" s="520"/>
      <c r="AL130" s="520"/>
      <c r="AM130" s="382"/>
      <c r="AN130" s="521"/>
    </row>
    <row r="131" spans="1:40" s="252" customFormat="1" ht="39" customHeight="1" x14ac:dyDescent="0.3">
      <c r="A131" s="9"/>
      <c r="B131" s="9"/>
      <c r="C131" s="9"/>
      <c r="D131" s="9"/>
      <c r="E131" s="9"/>
      <c r="F131" s="9"/>
      <c r="G131" s="515"/>
      <c r="H131" s="33"/>
      <c r="I131" s="1107"/>
      <c r="J131" s="367"/>
      <c r="K131" s="1661"/>
      <c r="L131" s="1662"/>
      <c r="M131" s="31"/>
      <c r="N131" s="31"/>
      <c r="O131" s="31"/>
      <c r="P131" s="519"/>
      <c r="Q131" s="518"/>
      <c r="R131" s="518"/>
      <c r="S131" s="518"/>
      <c r="T131" s="520"/>
      <c r="U131" s="520"/>
      <c r="V131" s="382"/>
      <c r="W131" s="521"/>
      <c r="X131" s="253"/>
      <c r="Y131" s="254"/>
      <c r="Z131" s="253"/>
      <c r="AA131" s="254"/>
      <c r="AB131" s="253"/>
      <c r="AC131" s="254"/>
      <c r="AD131" s="254"/>
      <c r="AE131" s="254"/>
      <c r="AF131" s="31"/>
      <c r="AG131" s="519"/>
      <c r="AH131" s="518"/>
      <c r="AI131" s="518"/>
      <c r="AJ131" s="518"/>
      <c r="AK131" s="520"/>
      <c r="AL131" s="520"/>
      <c r="AM131" s="382"/>
      <c r="AN131" s="521"/>
    </row>
    <row r="132" spans="1:40" s="28" customFormat="1" ht="39" customHeight="1" x14ac:dyDescent="0.3">
      <c r="A132" s="9"/>
      <c r="B132" s="17"/>
      <c r="C132" s="17"/>
      <c r="D132" s="17"/>
      <c r="E132" s="17"/>
      <c r="F132" s="17"/>
      <c r="G132" s="1341"/>
      <c r="H132" s="18"/>
      <c r="I132" s="1342"/>
      <c r="J132" s="19"/>
      <c r="K132" s="1661"/>
      <c r="L132" s="1662"/>
      <c r="M132" s="21"/>
      <c r="N132" s="21"/>
      <c r="O132" s="21"/>
      <c r="P132" s="22"/>
      <c r="Q132" s="20"/>
      <c r="R132" s="20"/>
      <c r="S132" s="20"/>
      <c r="T132" s="23"/>
      <c r="U132" s="23"/>
      <c r="V132" s="24"/>
      <c r="W132" s="25"/>
      <c r="X132" s="26"/>
      <c r="Y132" s="27"/>
      <c r="Z132" s="26"/>
      <c r="AA132" s="27"/>
      <c r="AB132" s="26"/>
      <c r="AC132" s="27"/>
      <c r="AD132" s="27"/>
      <c r="AE132" s="27"/>
      <c r="AF132" s="21"/>
      <c r="AG132" s="22"/>
      <c r="AH132" s="20"/>
      <c r="AI132" s="20"/>
      <c r="AJ132" s="20"/>
      <c r="AK132" s="23"/>
      <c r="AL132" s="23"/>
      <c r="AM132" s="24"/>
      <c r="AN132" s="25"/>
    </row>
    <row r="133" spans="1:40" s="28" customFormat="1" ht="39" customHeight="1" x14ac:dyDescent="0.3">
      <c r="A133" s="9"/>
      <c r="B133" s="17"/>
      <c r="C133" s="17"/>
      <c r="D133" s="17"/>
      <c r="E133" s="17"/>
      <c r="F133" s="17"/>
      <c r="G133" s="1341"/>
      <c r="H133" s="18"/>
      <c r="I133" s="1342"/>
      <c r="J133" s="19"/>
      <c r="K133" s="1661"/>
      <c r="L133" s="1662"/>
      <c r="M133" s="21"/>
      <c r="N133" s="21"/>
      <c r="O133" s="21"/>
      <c r="P133" s="22"/>
      <c r="Q133" s="20"/>
      <c r="R133" s="20"/>
      <c r="S133" s="20"/>
      <c r="T133" s="23"/>
      <c r="U133" s="23"/>
      <c r="V133" s="24"/>
      <c r="W133" s="25"/>
      <c r="X133" s="26"/>
      <c r="Y133" s="27"/>
      <c r="Z133" s="26"/>
      <c r="AA133" s="27"/>
      <c r="AB133" s="26"/>
      <c r="AC133" s="27"/>
      <c r="AD133" s="27"/>
      <c r="AE133" s="27"/>
      <c r="AF133" s="21"/>
      <c r="AG133" s="22"/>
      <c r="AH133" s="20"/>
      <c r="AI133" s="20"/>
      <c r="AJ133" s="20"/>
      <c r="AK133" s="23"/>
      <c r="AL133" s="23"/>
      <c r="AM133" s="24"/>
      <c r="AN133" s="25"/>
    </row>
    <row r="134" spans="1:40" s="28" customFormat="1" ht="39" customHeight="1" x14ac:dyDescent="0.3">
      <c r="A134" s="9"/>
      <c r="B134" s="17"/>
      <c r="C134" s="17"/>
      <c r="D134" s="17"/>
      <c r="E134" s="17"/>
      <c r="F134" s="17"/>
      <c r="G134" s="1341"/>
      <c r="H134" s="18"/>
      <c r="I134" s="1342"/>
      <c r="J134" s="19"/>
      <c r="K134" s="1661"/>
      <c r="L134" s="1662"/>
      <c r="M134" s="21"/>
      <c r="N134" s="21"/>
      <c r="O134" s="21"/>
      <c r="P134" s="22"/>
      <c r="Q134" s="20"/>
      <c r="R134" s="20"/>
      <c r="S134" s="20"/>
      <c r="T134" s="23"/>
      <c r="U134" s="23"/>
      <c r="V134" s="24"/>
      <c r="W134" s="25"/>
      <c r="X134" s="26"/>
      <c r="Y134" s="27"/>
      <c r="Z134" s="26"/>
      <c r="AA134" s="27"/>
      <c r="AB134" s="26"/>
      <c r="AC134" s="27"/>
      <c r="AD134" s="27"/>
      <c r="AE134" s="27"/>
      <c r="AF134" s="21"/>
      <c r="AG134" s="22"/>
      <c r="AH134" s="20"/>
      <c r="AI134" s="20"/>
      <c r="AJ134" s="20"/>
      <c r="AK134" s="23"/>
      <c r="AL134" s="23"/>
      <c r="AM134" s="24"/>
      <c r="AN134" s="25"/>
    </row>
    <row r="135" spans="1:40" s="1475" customFormat="1" ht="39" customHeight="1" x14ac:dyDescent="0.3">
      <c r="A135" s="9"/>
      <c r="B135" s="17"/>
      <c r="C135" s="1462"/>
      <c r="D135" s="1462"/>
      <c r="E135" s="1462"/>
      <c r="F135" s="1462"/>
      <c r="G135" s="1463"/>
      <c r="H135" s="1464"/>
      <c r="I135" s="1342"/>
      <c r="J135" s="1466"/>
      <c r="K135" s="1665"/>
      <c r="L135" s="1666"/>
      <c r="M135" s="1467"/>
      <c r="N135" s="1467"/>
      <c r="O135" s="1467"/>
      <c r="P135" s="1468"/>
      <c r="Q135" s="1469"/>
      <c r="R135" s="1469"/>
      <c r="S135" s="1469"/>
      <c r="T135" s="1470"/>
      <c r="U135" s="1470"/>
      <c r="V135" s="1471"/>
      <c r="W135" s="1472"/>
      <c r="X135" s="1473"/>
      <c r="Y135" s="1474"/>
      <c r="Z135" s="1473"/>
      <c r="AA135" s="1474"/>
      <c r="AB135" s="1473"/>
      <c r="AC135" s="1474"/>
      <c r="AD135" s="1474"/>
      <c r="AE135" s="1474"/>
      <c r="AF135" s="1467"/>
      <c r="AG135" s="1468"/>
      <c r="AH135" s="1469"/>
      <c r="AI135" s="1469"/>
      <c r="AJ135" s="1469"/>
      <c r="AK135" s="1470"/>
      <c r="AL135" s="1470"/>
      <c r="AM135" s="1471"/>
      <c r="AN135" s="1472"/>
    </row>
    <row r="136" spans="1:40" s="1475" customFormat="1" ht="39" customHeight="1" x14ac:dyDescent="0.3">
      <c r="A136" s="9"/>
      <c r="B136" s="17"/>
      <c r="C136" s="1462"/>
      <c r="D136" s="1462"/>
      <c r="E136" s="1462"/>
      <c r="F136" s="1462"/>
      <c r="G136" s="1463"/>
      <c r="H136" s="1464"/>
      <c r="I136" s="1342"/>
      <c r="J136" s="1466"/>
      <c r="K136" s="1665"/>
      <c r="L136" s="1666"/>
      <c r="M136" s="1467"/>
      <c r="N136" s="1467"/>
      <c r="O136" s="1467"/>
      <c r="P136" s="1468"/>
      <c r="Q136" s="1469"/>
      <c r="R136" s="1469"/>
      <c r="S136" s="1469"/>
      <c r="T136" s="1470"/>
      <c r="U136" s="1470"/>
      <c r="V136" s="1471"/>
      <c r="W136" s="1472"/>
      <c r="X136" s="1473"/>
      <c r="Y136" s="1474"/>
      <c r="Z136" s="1473"/>
      <c r="AA136" s="1474"/>
      <c r="AB136" s="1473"/>
      <c r="AC136" s="1474"/>
      <c r="AD136" s="1474"/>
      <c r="AE136" s="1474"/>
      <c r="AF136" s="1467"/>
      <c r="AG136" s="1468"/>
      <c r="AH136" s="1469"/>
      <c r="AI136" s="1469"/>
      <c r="AJ136" s="1469"/>
      <c r="AK136" s="1470"/>
      <c r="AL136" s="1470"/>
      <c r="AM136" s="1471"/>
      <c r="AN136" s="1472"/>
    </row>
    <row r="137" spans="1:40" s="28" customFormat="1" ht="39" customHeight="1" x14ac:dyDescent="0.3">
      <c r="A137" s="9"/>
      <c r="B137" s="17"/>
      <c r="C137" s="17"/>
      <c r="D137" s="17"/>
      <c r="E137" s="17"/>
      <c r="F137" s="17"/>
      <c r="G137" s="1341"/>
      <c r="H137" s="18"/>
      <c r="I137" s="1342"/>
      <c r="J137" s="19"/>
      <c r="K137" s="1661"/>
      <c r="L137" s="1662"/>
      <c r="M137" s="21"/>
      <c r="N137" s="21"/>
      <c r="O137" s="21"/>
      <c r="P137" s="22"/>
      <c r="Q137" s="20"/>
      <c r="R137" s="20"/>
      <c r="S137" s="20"/>
      <c r="T137" s="23"/>
      <c r="U137" s="23"/>
      <c r="V137" s="24"/>
      <c r="W137" s="25"/>
      <c r="X137" s="26"/>
      <c r="Y137" s="27"/>
      <c r="Z137" s="26"/>
      <c r="AA137" s="27"/>
      <c r="AB137" s="26"/>
      <c r="AC137" s="27"/>
      <c r="AD137" s="27"/>
      <c r="AE137" s="27"/>
      <c r="AF137" s="21"/>
      <c r="AG137" s="22"/>
      <c r="AH137" s="20"/>
      <c r="AI137" s="20"/>
      <c r="AJ137" s="20"/>
      <c r="AK137" s="23"/>
      <c r="AL137" s="23"/>
      <c r="AM137" s="24"/>
      <c r="AN137" s="25"/>
    </row>
    <row r="138" spans="1:40" s="1475" customFormat="1" ht="39" customHeight="1" x14ac:dyDescent="0.3">
      <c r="A138" s="9"/>
      <c r="B138" s="17"/>
      <c r="C138" s="1462"/>
      <c r="D138" s="1462"/>
      <c r="E138" s="1462"/>
      <c r="F138" s="1462"/>
      <c r="G138" s="1463"/>
      <c r="H138" s="1464"/>
      <c r="I138" s="1342"/>
      <c r="J138" s="1466"/>
      <c r="K138" s="1665"/>
      <c r="L138" s="1666"/>
      <c r="M138" s="1467"/>
      <c r="N138" s="1467"/>
      <c r="O138" s="1467"/>
      <c r="P138" s="1468"/>
      <c r="Q138" s="1469"/>
      <c r="R138" s="1469"/>
      <c r="S138" s="1469"/>
      <c r="T138" s="1470"/>
      <c r="U138" s="1470"/>
      <c r="V138" s="1471"/>
      <c r="W138" s="1472"/>
      <c r="X138" s="1473"/>
      <c r="Y138" s="1474"/>
      <c r="Z138" s="1473"/>
      <c r="AA138" s="1474"/>
      <c r="AB138" s="1473"/>
      <c r="AC138" s="1474"/>
      <c r="AD138" s="1474"/>
      <c r="AE138" s="1474"/>
      <c r="AF138" s="1467"/>
      <c r="AG138" s="1468"/>
      <c r="AH138" s="1469"/>
      <c r="AI138" s="1469"/>
      <c r="AJ138" s="1469"/>
      <c r="AK138" s="1470"/>
      <c r="AL138" s="1470"/>
      <c r="AM138" s="1471"/>
      <c r="AN138" s="1472"/>
    </row>
    <row r="139" spans="1:40" s="28" customFormat="1" ht="39" customHeight="1" x14ac:dyDescent="0.3">
      <c r="A139" s="9"/>
      <c r="B139" s="17"/>
      <c r="C139" s="17"/>
      <c r="D139" s="17"/>
      <c r="E139" s="17"/>
      <c r="F139" s="17"/>
      <c r="G139" s="1341"/>
      <c r="H139" s="18"/>
      <c r="I139" s="1342"/>
      <c r="J139" s="19"/>
      <c r="K139" s="1661"/>
      <c r="L139" s="1662"/>
      <c r="M139" s="21"/>
      <c r="N139" s="21"/>
      <c r="O139" s="21"/>
      <c r="P139" s="22"/>
      <c r="Q139" s="20"/>
      <c r="R139" s="20"/>
      <c r="S139" s="20"/>
      <c r="T139" s="23"/>
      <c r="U139" s="23"/>
      <c r="V139" s="24"/>
      <c r="W139" s="25"/>
      <c r="X139" s="26"/>
      <c r="Y139" s="27"/>
      <c r="Z139" s="26"/>
      <c r="AA139" s="27"/>
      <c r="AB139" s="26"/>
      <c r="AC139" s="27"/>
      <c r="AD139" s="27"/>
      <c r="AE139" s="27"/>
      <c r="AF139" s="21"/>
      <c r="AG139" s="22"/>
      <c r="AH139" s="20"/>
      <c r="AI139" s="20"/>
      <c r="AJ139" s="20"/>
      <c r="AK139" s="23"/>
      <c r="AL139" s="23"/>
      <c r="AM139" s="24"/>
      <c r="AN139" s="25"/>
    </row>
    <row r="140" spans="1:40" s="1475" customFormat="1" ht="39" customHeight="1" x14ac:dyDescent="0.3">
      <c r="A140" s="9"/>
      <c r="B140" s="17"/>
      <c r="C140" s="1462"/>
      <c r="D140" s="17"/>
      <c r="E140" s="17"/>
      <c r="F140" s="17"/>
      <c r="G140" s="1476"/>
      <c r="H140" s="1464"/>
      <c r="I140" s="1342"/>
      <c r="J140" s="1466"/>
      <c r="K140" s="1665"/>
      <c r="L140" s="1666"/>
      <c r="M140" s="1467"/>
      <c r="N140" s="1467"/>
      <c r="O140" s="1467"/>
      <c r="P140" s="1468"/>
      <c r="Q140" s="1469"/>
      <c r="R140" s="1469"/>
      <c r="S140" s="1469"/>
      <c r="T140" s="1470"/>
      <c r="U140" s="1470"/>
      <c r="V140" s="1471"/>
      <c r="W140" s="1472"/>
      <c r="X140" s="1473"/>
      <c r="Y140" s="1474"/>
      <c r="Z140" s="1473"/>
      <c r="AA140" s="1474"/>
      <c r="AB140" s="1473"/>
      <c r="AC140" s="1474"/>
      <c r="AD140" s="1474"/>
      <c r="AE140" s="1474"/>
      <c r="AF140" s="1467"/>
      <c r="AG140" s="1468"/>
      <c r="AH140" s="1469"/>
      <c r="AI140" s="1469"/>
      <c r="AJ140" s="1469"/>
      <c r="AK140" s="1470"/>
      <c r="AL140" s="1470"/>
      <c r="AM140" s="1471"/>
      <c r="AN140" s="1472"/>
    </row>
    <row r="141" spans="1:40" s="1475" customFormat="1" ht="39" customHeight="1" x14ac:dyDescent="0.3">
      <c r="A141" s="17"/>
      <c r="B141" s="17"/>
      <c r="C141" s="1462"/>
      <c r="D141" s="17"/>
      <c r="E141" s="17"/>
      <c r="F141" s="17"/>
      <c r="G141" s="1476"/>
      <c r="H141" s="1464"/>
      <c r="I141" s="1342"/>
      <c r="J141" s="1466"/>
      <c r="K141" s="1665"/>
      <c r="L141" s="1666"/>
      <c r="M141" s="1467"/>
      <c r="N141" s="1467"/>
      <c r="O141" s="1467"/>
      <c r="P141" s="1468"/>
      <c r="Q141" s="1469"/>
      <c r="R141" s="1469"/>
      <c r="S141" s="1469"/>
      <c r="T141" s="1470"/>
      <c r="U141" s="1470"/>
      <c r="V141" s="1471"/>
      <c r="W141" s="1472"/>
      <c r="X141" s="1473"/>
      <c r="Y141" s="1474"/>
      <c r="Z141" s="1473"/>
      <c r="AA141" s="1474"/>
      <c r="AB141" s="1473"/>
      <c r="AC141" s="1474"/>
      <c r="AD141" s="1474"/>
      <c r="AE141" s="1474"/>
      <c r="AF141" s="1467"/>
      <c r="AG141" s="1468"/>
      <c r="AH141" s="1469"/>
      <c r="AI141" s="1469"/>
      <c r="AJ141" s="1469"/>
      <c r="AK141" s="1470"/>
      <c r="AL141" s="1470"/>
      <c r="AM141" s="1471"/>
      <c r="AN141" s="1472"/>
    </row>
    <row r="142" spans="1:40" s="1475" customFormat="1" ht="39" customHeight="1" x14ac:dyDescent="0.3">
      <c r="A142" s="17"/>
      <c r="B142" s="17"/>
      <c r="C142" s="1462"/>
      <c r="D142" s="17"/>
      <c r="E142" s="17"/>
      <c r="F142" s="17"/>
      <c r="G142" s="1476"/>
      <c r="H142" s="1464"/>
      <c r="I142" s="1342"/>
      <c r="J142" s="1466"/>
      <c r="K142" s="1665"/>
      <c r="L142" s="1666"/>
      <c r="M142" s="1467"/>
      <c r="N142" s="1467"/>
      <c r="O142" s="1467"/>
      <c r="P142" s="1468"/>
      <c r="Q142" s="1469"/>
      <c r="R142" s="1469"/>
      <c r="S142" s="1469"/>
      <c r="T142" s="1470"/>
      <c r="U142" s="1470"/>
      <c r="V142" s="1471"/>
      <c r="W142" s="1472"/>
      <c r="X142" s="1473"/>
      <c r="Y142" s="1474"/>
      <c r="Z142" s="1473"/>
      <c r="AA142" s="1474"/>
      <c r="AB142" s="1473"/>
      <c r="AC142" s="1474"/>
      <c r="AD142" s="1474"/>
      <c r="AE142" s="1474"/>
      <c r="AF142" s="1467"/>
      <c r="AG142" s="1468"/>
      <c r="AH142" s="1469"/>
      <c r="AI142" s="1469"/>
      <c r="AJ142" s="1469"/>
      <c r="AK142" s="1470"/>
      <c r="AL142" s="1470"/>
      <c r="AM142" s="1471"/>
      <c r="AN142" s="1472"/>
    </row>
    <row r="143" spans="1:40" s="1475" customFormat="1" ht="39" customHeight="1" x14ac:dyDescent="0.3">
      <c r="A143" s="17"/>
      <c r="B143" s="17"/>
      <c r="C143" s="1462"/>
      <c r="D143" s="17"/>
      <c r="E143" s="17"/>
      <c r="F143" s="17"/>
      <c r="G143" s="1476"/>
      <c r="H143" s="1464"/>
      <c r="I143" s="1342"/>
      <c r="J143" s="1466"/>
      <c r="K143" s="1665"/>
      <c r="L143" s="1666"/>
      <c r="M143" s="1467"/>
      <c r="N143" s="1477"/>
      <c r="O143" s="1467"/>
      <c r="P143" s="1468"/>
      <c r="Q143" s="1469"/>
      <c r="R143" s="1469"/>
      <c r="S143" s="1469"/>
      <c r="T143" s="1470"/>
      <c r="U143" s="1470"/>
      <c r="V143" s="1471"/>
      <c r="W143" s="1472"/>
      <c r="X143" s="1473"/>
      <c r="Y143" s="1474"/>
      <c r="Z143" s="1473"/>
      <c r="AA143" s="1474"/>
      <c r="AB143" s="1473"/>
      <c r="AC143" s="1474"/>
      <c r="AD143" s="1474"/>
      <c r="AE143" s="1474"/>
      <c r="AF143" s="1467"/>
      <c r="AG143" s="1468"/>
      <c r="AH143" s="1469"/>
      <c r="AI143" s="1469"/>
      <c r="AJ143" s="1469"/>
      <c r="AK143" s="1470"/>
      <c r="AL143" s="1470"/>
      <c r="AM143" s="1471"/>
      <c r="AN143" s="1472"/>
    </row>
    <row r="144" spans="1:40" s="1475" customFormat="1" ht="39" customHeight="1" x14ac:dyDescent="0.3">
      <c r="A144" s="17"/>
      <c r="B144" s="17"/>
      <c r="C144" s="1462"/>
      <c r="D144" s="17"/>
      <c r="E144" s="17"/>
      <c r="F144" s="17"/>
      <c r="G144" s="1476"/>
      <c r="H144" s="1464"/>
      <c r="I144" s="1342"/>
      <c r="J144" s="1466"/>
      <c r="K144" s="1665"/>
      <c r="L144" s="1666"/>
      <c r="M144" s="1467"/>
      <c r="N144" s="1467"/>
      <c r="O144" s="1467"/>
      <c r="P144" s="1468"/>
      <c r="Q144" s="1469"/>
      <c r="R144" s="1469"/>
      <c r="S144" s="1469"/>
      <c r="T144" s="1470"/>
      <c r="U144" s="1470"/>
      <c r="V144" s="1471"/>
      <c r="W144" s="1472"/>
      <c r="X144" s="1473"/>
      <c r="Y144" s="1474"/>
      <c r="Z144" s="1473"/>
      <c r="AA144" s="1474"/>
      <c r="AB144" s="1473"/>
      <c r="AC144" s="1474"/>
      <c r="AD144" s="1474"/>
      <c r="AE144" s="1474"/>
      <c r="AF144" s="1467"/>
      <c r="AG144" s="1468"/>
      <c r="AH144" s="1469"/>
      <c r="AI144" s="1469"/>
      <c r="AJ144" s="1469"/>
      <c r="AK144" s="1470"/>
      <c r="AL144" s="1470"/>
      <c r="AM144" s="1471"/>
      <c r="AN144" s="1472"/>
    </row>
    <row r="145" spans="1:40" s="1475" customFormat="1" ht="39" customHeight="1" x14ac:dyDescent="0.3">
      <c r="A145" s="17"/>
      <c r="B145" s="17"/>
      <c r="C145" s="1462"/>
      <c r="D145" s="17"/>
      <c r="E145" s="17"/>
      <c r="F145" s="17"/>
      <c r="G145" s="1476"/>
      <c r="H145" s="1464"/>
      <c r="I145" s="1342"/>
      <c r="J145" s="1466"/>
      <c r="K145" s="1665"/>
      <c r="L145" s="1666"/>
      <c r="M145" s="1467"/>
      <c r="N145" s="1467"/>
      <c r="O145" s="1467"/>
      <c r="P145" s="1468"/>
      <c r="Q145" s="1469"/>
      <c r="R145" s="1469"/>
      <c r="S145" s="1469"/>
      <c r="T145" s="1470"/>
      <c r="U145" s="1470"/>
      <c r="V145" s="1471"/>
      <c r="W145" s="1472"/>
      <c r="X145" s="1473"/>
      <c r="Y145" s="1474"/>
      <c r="Z145" s="1473"/>
      <c r="AA145" s="1474"/>
      <c r="AB145" s="1473"/>
      <c r="AC145" s="1474"/>
      <c r="AD145" s="1474"/>
      <c r="AE145" s="1474"/>
      <c r="AF145" s="1467"/>
      <c r="AG145" s="1468"/>
      <c r="AH145" s="1469"/>
      <c r="AI145" s="1469"/>
      <c r="AJ145" s="1469"/>
      <c r="AK145" s="1470"/>
      <c r="AL145" s="1470"/>
      <c r="AM145" s="1471"/>
      <c r="AN145" s="1472"/>
    </row>
    <row r="146" spans="1:40" s="1475" customFormat="1" ht="39" customHeight="1" x14ac:dyDescent="0.3">
      <c r="A146" s="17"/>
      <c r="B146" s="17"/>
      <c r="C146" s="1462"/>
      <c r="D146" s="17"/>
      <c r="E146" s="17"/>
      <c r="F146" s="17"/>
      <c r="G146" s="1476"/>
      <c r="H146" s="1464"/>
      <c r="I146" s="1342"/>
      <c r="J146" s="1466"/>
      <c r="K146" s="1665"/>
      <c r="L146" s="1666"/>
      <c r="M146" s="1467"/>
      <c r="N146" s="1467"/>
      <c r="O146" s="1467"/>
      <c r="P146" s="1468"/>
      <c r="Q146" s="1469"/>
      <c r="R146" s="1469"/>
      <c r="S146" s="1469"/>
      <c r="T146" s="1470"/>
      <c r="U146" s="1470"/>
      <c r="V146" s="1471"/>
      <c r="W146" s="1472"/>
      <c r="X146" s="1473"/>
      <c r="Y146" s="1474"/>
      <c r="Z146" s="1473"/>
      <c r="AA146" s="1474"/>
      <c r="AB146" s="1473"/>
      <c r="AC146" s="1474"/>
      <c r="AD146" s="1474"/>
      <c r="AE146" s="1474"/>
      <c r="AF146" s="1467"/>
      <c r="AG146" s="1468"/>
      <c r="AH146" s="1469"/>
      <c r="AI146" s="1469"/>
      <c r="AJ146" s="1469"/>
      <c r="AK146" s="1470"/>
      <c r="AL146" s="1470"/>
      <c r="AM146" s="1471"/>
      <c r="AN146" s="1472"/>
    </row>
    <row r="147" spans="1:40" s="1475" customFormat="1" ht="39" customHeight="1" x14ac:dyDescent="0.3">
      <c r="A147" s="17"/>
      <c r="B147" s="17"/>
      <c r="C147" s="1462"/>
      <c r="D147" s="17"/>
      <c r="E147" s="17"/>
      <c r="F147" s="17"/>
      <c r="G147" s="1476"/>
      <c r="H147" s="1464"/>
      <c r="I147" s="1342"/>
      <c r="J147" s="1466"/>
      <c r="K147" s="1665"/>
      <c r="L147" s="1666"/>
      <c r="M147" s="1467"/>
      <c r="N147" s="1467"/>
      <c r="O147" s="1467"/>
      <c r="P147" s="1468"/>
      <c r="Q147" s="1469"/>
      <c r="R147" s="1469"/>
      <c r="S147" s="1469"/>
      <c r="T147" s="1470"/>
      <c r="U147" s="1470"/>
      <c r="V147" s="1471"/>
      <c r="W147" s="1472"/>
      <c r="X147" s="1473"/>
      <c r="Y147" s="1474"/>
      <c r="Z147" s="1473"/>
      <c r="AA147" s="1474"/>
      <c r="AB147" s="1473"/>
      <c r="AC147" s="1474"/>
      <c r="AD147" s="1474"/>
      <c r="AE147" s="1474"/>
      <c r="AF147" s="1467"/>
      <c r="AG147" s="1468"/>
      <c r="AH147" s="1469"/>
      <c r="AI147" s="1469"/>
      <c r="AJ147" s="1469"/>
      <c r="AK147" s="1470"/>
      <c r="AL147" s="1470"/>
      <c r="AM147" s="1471"/>
      <c r="AN147" s="1472"/>
    </row>
    <row r="148" spans="1:40" s="1475" customFormat="1" ht="39" customHeight="1" x14ac:dyDescent="0.3">
      <c r="A148" s="17"/>
      <c r="B148" s="17"/>
      <c r="C148" s="1462"/>
      <c r="D148" s="17"/>
      <c r="E148" s="17"/>
      <c r="F148" s="17"/>
      <c r="G148" s="1476"/>
      <c r="H148" s="1464"/>
      <c r="I148" s="1342"/>
      <c r="J148" s="1466"/>
      <c r="K148" s="1665"/>
      <c r="L148" s="1666"/>
      <c r="M148" s="1467"/>
      <c r="N148" s="1467"/>
      <c r="O148" s="1467"/>
      <c r="P148" s="1468"/>
      <c r="Q148" s="1469"/>
      <c r="R148" s="1469"/>
      <c r="S148" s="1469"/>
      <c r="T148" s="1470"/>
      <c r="U148" s="1470"/>
      <c r="V148" s="1471"/>
      <c r="W148" s="1472"/>
      <c r="X148" s="1473"/>
      <c r="Y148" s="1474"/>
      <c r="Z148" s="1473"/>
      <c r="AA148" s="1474"/>
      <c r="AB148" s="1473"/>
      <c r="AC148" s="1474"/>
      <c r="AD148" s="1474"/>
      <c r="AE148" s="1474"/>
      <c r="AF148" s="1467"/>
      <c r="AG148" s="1468"/>
      <c r="AH148" s="1469"/>
      <c r="AI148" s="1469"/>
      <c r="AJ148" s="1469"/>
      <c r="AK148" s="1470"/>
      <c r="AL148" s="1470"/>
      <c r="AM148" s="1471"/>
      <c r="AN148" s="1472"/>
    </row>
    <row r="149" spans="1:40" s="1475" customFormat="1" ht="39" customHeight="1" x14ac:dyDescent="0.3">
      <c r="A149" s="17"/>
      <c r="B149" s="17"/>
      <c r="C149" s="1462"/>
      <c r="D149" s="17"/>
      <c r="E149" s="17"/>
      <c r="F149" s="17"/>
      <c r="G149" s="1476"/>
      <c r="H149" s="1464"/>
      <c r="I149" s="1342"/>
      <c r="J149" s="1466"/>
      <c r="K149" s="1665"/>
      <c r="L149" s="1666"/>
      <c r="M149" s="1467"/>
      <c r="N149" s="1467"/>
      <c r="O149" s="1467"/>
      <c r="P149" s="1468"/>
      <c r="Q149" s="1469"/>
      <c r="R149" s="1469"/>
      <c r="S149" s="1469"/>
      <c r="T149" s="1470"/>
      <c r="U149" s="1470"/>
      <c r="V149" s="1471"/>
      <c r="W149" s="1472"/>
      <c r="X149" s="1473"/>
      <c r="Y149" s="1474"/>
      <c r="Z149" s="1473"/>
      <c r="AA149" s="1474"/>
      <c r="AB149" s="1473"/>
      <c r="AC149" s="1474"/>
      <c r="AD149" s="1474"/>
      <c r="AE149" s="1474"/>
      <c r="AF149" s="1467"/>
      <c r="AG149" s="1468"/>
      <c r="AH149" s="1469"/>
      <c r="AI149" s="1469"/>
      <c r="AJ149" s="1469"/>
      <c r="AK149" s="1470"/>
      <c r="AL149" s="1470"/>
      <c r="AM149" s="1471"/>
      <c r="AN149" s="1472"/>
    </row>
    <row r="150" spans="1:40" s="1475" customFormat="1" ht="39" customHeight="1" x14ac:dyDescent="0.3">
      <c r="A150" s="17"/>
      <c r="B150" s="17"/>
      <c r="C150" s="1462"/>
      <c r="D150" s="17"/>
      <c r="E150" s="17"/>
      <c r="F150" s="17"/>
      <c r="G150" s="1476"/>
      <c r="H150" s="1464"/>
      <c r="I150" s="1342"/>
      <c r="J150" s="1466"/>
      <c r="K150" s="1665"/>
      <c r="L150" s="1666"/>
      <c r="M150" s="1467"/>
      <c r="N150" s="1467"/>
      <c r="O150" s="1467"/>
      <c r="P150" s="1468"/>
      <c r="Q150" s="1469"/>
      <c r="R150" s="1469"/>
      <c r="S150" s="1469"/>
      <c r="T150" s="1470"/>
      <c r="U150" s="1470"/>
      <c r="V150" s="1471"/>
      <c r="W150" s="1472"/>
      <c r="X150" s="1473"/>
      <c r="Y150" s="1474"/>
      <c r="Z150" s="1473"/>
      <c r="AA150" s="1474"/>
      <c r="AB150" s="1473"/>
      <c r="AC150" s="1474"/>
      <c r="AD150" s="1474"/>
      <c r="AE150" s="1474"/>
      <c r="AF150" s="1467"/>
      <c r="AG150" s="1468"/>
      <c r="AH150" s="1469"/>
      <c r="AI150" s="1469"/>
      <c r="AJ150" s="1469"/>
      <c r="AK150" s="1470"/>
      <c r="AL150" s="1470"/>
      <c r="AM150" s="1471"/>
      <c r="AN150" s="1472"/>
    </row>
    <row r="151" spans="1:40" s="1475" customFormat="1" ht="39" customHeight="1" x14ac:dyDescent="0.3">
      <c r="A151" s="17"/>
      <c r="B151" s="17"/>
      <c r="C151" s="1462"/>
      <c r="D151" s="17"/>
      <c r="E151" s="17"/>
      <c r="F151" s="17"/>
      <c r="G151" s="1476"/>
      <c r="H151" s="1464"/>
      <c r="I151" s="1342"/>
      <c r="J151" s="1466"/>
      <c r="K151" s="1665"/>
      <c r="L151" s="1666"/>
      <c r="M151" s="1467"/>
      <c r="N151" s="1467"/>
      <c r="O151" s="1467"/>
      <c r="P151" s="1468"/>
      <c r="Q151" s="1469"/>
      <c r="R151" s="1469"/>
      <c r="S151" s="1469"/>
      <c r="T151" s="1470"/>
      <c r="U151" s="1470"/>
      <c r="V151" s="1471"/>
      <c r="W151" s="1472"/>
      <c r="X151" s="1473"/>
      <c r="Y151" s="1474"/>
      <c r="Z151" s="1473"/>
      <c r="AA151" s="1474"/>
      <c r="AB151" s="1473"/>
      <c r="AC151" s="1474"/>
      <c r="AD151" s="1474"/>
      <c r="AE151" s="1474"/>
      <c r="AF151" s="1467"/>
      <c r="AG151" s="1468"/>
      <c r="AH151" s="1469"/>
      <c r="AI151" s="1469"/>
      <c r="AJ151" s="1469"/>
      <c r="AK151" s="1470"/>
      <c r="AL151" s="1470"/>
      <c r="AM151" s="1471"/>
      <c r="AN151" s="1472"/>
    </row>
    <row r="152" spans="1:40" s="1475" customFormat="1" ht="39" customHeight="1" x14ac:dyDescent="0.3">
      <c r="A152" s="17"/>
      <c r="B152" s="17"/>
      <c r="C152" s="1462"/>
      <c r="D152" s="17"/>
      <c r="E152" s="17"/>
      <c r="F152" s="17"/>
      <c r="G152" s="1476"/>
      <c r="H152" s="1464"/>
      <c r="I152" s="1342"/>
      <c r="J152" s="1466"/>
      <c r="K152" s="1665"/>
      <c r="L152" s="1666"/>
      <c r="M152" s="1467"/>
      <c r="N152" s="1467"/>
      <c r="O152" s="1467"/>
      <c r="P152" s="1468"/>
      <c r="Q152" s="1469"/>
      <c r="R152" s="1469"/>
      <c r="S152" s="1469"/>
      <c r="T152" s="1470"/>
      <c r="U152" s="1470"/>
      <c r="V152" s="1471"/>
      <c r="W152" s="1472"/>
      <c r="X152" s="1473"/>
      <c r="Y152" s="1474"/>
      <c r="Z152" s="1473"/>
      <c r="AA152" s="1474"/>
      <c r="AB152" s="1473"/>
      <c r="AC152" s="1474"/>
      <c r="AD152" s="1474"/>
      <c r="AE152" s="1474"/>
      <c r="AF152" s="1467"/>
      <c r="AG152" s="1468"/>
      <c r="AH152" s="1469"/>
      <c r="AI152" s="1469"/>
      <c r="AJ152" s="1469"/>
      <c r="AK152" s="1470"/>
      <c r="AL152" s="1470"/>
      <c r="AM152" s="1471"/>
      <c r="AN152" s="1472"/>
    </row>
    <row r="153" spans="1:40" s="1475" customFormat="1" ht="39" customHeight="1" x14ac:dyDescent="0.3">
      <c r="A153" s="17"/>
      <c r="B153" s="17"/>
      <c r="C153" s="1462"/>
      <c r="D153" s="17"/>
      <c r="E153" s="17"/>
      <c r="F153" s="17"/>
      <c r="G153" s="1476"/>
      <c r="H153" s="1464"/>
      <c r="I153" s="1342"/>
      <c r="J153" s="1466"/>
      <c r="K153" s="1665"/>
      <c r="L153" s="1666"/>
      <c r="M153" s="1467"/>
      <c r="N153" s="1467"/>
      <c r="O153" s="1467"/>
      <c r="P153" s="1468"/>
      <c r="Q153" s="1469"/>
      <c r="R153" s="1469"/>
      <c r="S153" s="1469"/>
      <c r="T153" s="1470"/>
      <c r="U153" s="1470"/>
      <c r="V153" s="1471"/>
      <c r="W153" s="1472"/>
      <c r="X153" s="1473"/>
      <c r="Y153" s="1474"/>
      <c r="Z153" s="1473"/>
      <c r="AA153" s="1474"/>
      <c r="AB153" s="1473"/>
      <c r="AC153" s="1474"/>
      <c r="AD153" s="1474"/>
      <c r="AE153" s="1474"/>
      <c r="AF153" s="1467"/>
      <c r="AG153" s="1468"/>
      <c r="AH153" s="1469"/>
      <c r="AI153" s="1469"/>
      <c r="AJ153" s="1469"/>
      <c r="AK153" s="1470"/>
      <c r="AL153" s="1470"/>
      <c r="AM153" s="1471"/>
      <c r="AN153" s="1472"/>
    </row>
    <row r="154" spans="1:40" s="1475" customFormat="1" ht="39" customHeight="1" x14ac:dyDescent="0.3">
      <c r="A154" s="17"/>
      <c r="B154" s="17"/>
      <c r="C154" s="1462"/>
      <c r="D154" s="17"/>
      <c r="E154" s="17"/>
      <c r="F154" s="17"/>
      <c r="G154" s="1476"/>
      <c r="H154" s="1464"/>
      <c r="I154" s="1342"/>
      <c r="J154" s="1466"/>
      <c r="K154" s="1665"/>
      <c r="L154" s="1666"/>
      <c r="M154" s="1467"/>
      <c r="N154" s="1467"/>
      <c r="O154" s="1467"/>
      <c r="P154" s="1468"/>
      <c r="Q154" s="1469"/>
      <c r="R154" s="1469"/>
      <c r="S154" s="1469"/>
      <c r="T154" s="1470"/>
      <c r="U154" s="1470"/>
      <c r="V154" s="1471"/>
      <c r="W154" s="1472"/>
      <c r="X154" s="1473"/>
      <c r="Y154" s="1474"/>
      <c r="Z154" s="1473"/>
      <c r="AA154" s="1474"/>
      <c r="AB154" s="1473"/>
      <c r="AC154" s="1474"/>
      <c r="AD154" s="1474"/>
      <c r="AE154" s="1474"/>
      <c r="AF154" s="1467"/>
      <c r="AG154" s="1468"/>
      <c r="AH154" s="1469"/>
      <c r="AI154" s="1469"/>
      <c r="AJ154" s="1469"/>
      <c r="AK154" s="1470"/>
      <c r="AL154" s="1470"/>
      <c r="AM154" s="1471"/>
      <c r="AN154" s="1472"/>
    </row>
    <row r="155" spans="1:40" s="1475" customFormat="1" ht="39" customHeight="1" x14ac:dyDescent="0.3">
      <c r="A155" s="17"/>
      <c r="B155" s="17"/>
      <c r="C155" s="1462"/>
      <c r="D155" s="17"/>
      <c r="E155" s="17"/>
      <c r="F155" s="17"/>
      <c r="G155" s="1476"/>
      <c r="H155" s="1464"/>
      <c r="I155" s="1342"/>
      <c r="J155" s="1466"/>
      <c r="K155" s="1665"/>
      <c r="L155" s="1666"/>
      <c r="M155" s="1467"/>
      <c r="N155" s="1467"/>
      <c r="O155" s="1467"/>
      <c r="P155" s="1468"/>
      <c r="Q155" s="1469"/>
      <c r="R155" s="1469"/>
      <c r="S155" s="1469"/>
      <c r="T155" s="1470"/>
      <c r="U155" s="1470"/>
      <c r="V155" s="1471"/>
      <c r="W155" s="1472"/>
      <c r="X155" s="1473"/>
      <c r="Y155" s="1474"/>
      <c r="Z155" s="1473"/>
      <c r="AA155" s="1474"/>
      <c r="AB155" s="1473"/>
      <c r="AC155" s="1474"/>
      <c r="AD155" s="1474"/>
      <c r="AE155" s="1474"/>
      <c r="AF155" s="1467"/>
      <c r="AG155" s="1468"/>
      <c r="AH155" s="1469"/>
      <c r="AI155" s="1469"/>
      <c r="AJ155" s="1469"/>
      <c r="AK155" s="1470"/>
      <c r="AL155" s="1470"/>
      <c r="AM155" s="1471"/>
      <c r="AN155" s="1472"/>
    </row>
    <row r="156" spans="1:40" s="1475" customFormat="1" ht="39" customHeight="1" x14ac:dyDescent="0.3">
      <c r="A156" s="17"/>
      <c r="B156" s="17"/>
      <c r="C156" s="1462"/>
      <c r="D156" s="1462"/>
      <c r="E156" s="1462"/>
      <c r="F156" s="1462"/>
      <c r="G156" s="1476"/>
      <c r="H156" s="1464"/>
      <c r="I156" s="1465"/>
      <c r="J156" s="1466"/>
      <c r="K156" s="1665"/>
      <c r="L156" s="1666"/>
      <c r="M156" s="1467"/>
      <c r="N156" s="1467"/>
      <c r="O156" s="1467"/>
      <c r="P156" s="1468"/>
      <c r="Q156" s="1469"/>
      <c r="R156" s="1469"/>
      <c r="S156" s="1469"/>
      <c r="T156" s="1470"/>
      <c r="U156" s="1470"/>
      <c r="V156" s="1471"/>
      <c r="W156" s="1472"/>
      <c r="X156" s="1473"/>
      <c r="Y156" s="1474"/>
      <c r="Z156" s="1473"/>
      <c r="AA156" s="1474"/>
      <c r="AB156" s="1473"/>
      <c r="AC156" s="1474"/>
      <c r="AD156" s="1474"/>
      <c r="AE156" s="1474"/>
      <c r="AF156" s="1467"/>
      <c r="AG156" s="1468"/>
      <c r="AH156" s="1469"/>
      <c r="AI156" s="1469"/>
      <c r="AJ156" s="1469"/>
      <c r="AK156" s="1470"/>
      <c r="AL156" s="1470"/>
      <c r="AM156" s="1471"/>
      <c r="AN156" s="1472"/>
    </row>
    <row r="157" spans="1:40" s="1475" customFormat="1" ht="39" customHeight="1" x14ac:dyDescent="0.3">
      <c r="A157" s="17"/>
      <c r="B157" s="17"/>
      <c r="C157" s="1462"/>
      <c r="D157" s="1462"/>
      <c r="E157" s="1462"/>
      <c r="F157" s="1462"/>
      <c r="G157" s="1476"/>
      <c r="H157" s="1464"/>
      <c r="I157" s="1465"/>
      <c r="J157" s="1466"/>
      <c r="K157" s="1665"/>
      <c r="L157" s="1666"/>
      <c r="M157" s="1467"/>
      <c r="N157" s="1467"/>
      <c r="O157" s="1467"/>
      <c r="P157" s="1468"/>
      <c r="Q157" s="1469"/>
      <c r="R157" s="1469"/>
      <c r="S157" s="1469"/>
      <c r="T157" s="1470"/>
      <c r="U157" s="1470"/>
      <c r="V157" s="1471"/>
      <c r="W157" s="1472"/>
      <c r="X157" s="1473"/>
      <c r="Y157" s="1474"/>
      <c r="Z157" s="1473"/>
      <c r="AA157" s="1474"/>
      <c r="AB157" s="1473"/>
      <c r="AC157" s="1474"/>
      <c r="AD157" s="1474"/>
      <c r="AE157" s="1474"/>
      <c r="AF157" s="1467"/>
      <c r="AG157" s="1468"/>
      <c r="AH157" s="1469"/>
      <c r="AI157" s="1469"/>
      <c r="AJ157" s="1469"/>
      <c r="AK157" s="1470"/>
      <c r="AL157" s="1470"/>
      <c r="AM157" s="1471"/>
      <c r="AN157" s="1472"/>
    </row>
    <row r="158" spans="1:40" s="1475" customFormat="1" ht="39" customHeight="1" x14ac:dyDescent="0.3">
      <c r="A158" s="17"/>
      <c r="B158" s="17"/>
      <c r="C158" s="1462"/>
      <c r="D158" s="1462"/>
      <c r="E158" s="1462"/>
      <c r="F158" s="1462"/>
      <c r="G158" s="1476"/>
      <c r="H158" s="1464"/>
      <c r="I158" s="1465"/>
      <c r="J158" s="1466"/>
      <c r="K158" s="1665"/>
      <c r="L158" s="1666"/>
      <c r="M158" s="1467"/>
      <c r="N158" s="1467"/>
      <c r="O158" s="1467"/>
      <c r="P158" s="1468"/>
      <c r="Q158" s="1469"/>
      <c r="R158" s="1469"/>
      <c r="S158" s="1469"/>
      <c r="T158" s="1470"/>
      <c r="U158" s="1470"/>
      <c r="V158" s="1471"/>
      <c r="W158" s="1472"/>
      <c r="X158" s="1473"/>
      <c r="Y158" s="1474"/>
      <c r="Z158" s="1473"/>
      <c r="AA158" s="1474"/>
      <c r="AB158" s="1473"/>
      <c r="AC158" s="1474"/>
      <c r="AD158" s="1474"/>
      <c r="AE158" s="1474"/>
      <c r="AF158" s="1467"/>
      <c r="AG158" s="1468"/>
      <c r="AH158" s="1469"/>
      <c r="AI158" s="1469"/>
      <c r="AJ158" s="1469"/>
      <c r="AK158" s="1470"/>
      <c r="AL158" s="1470"/>
      <c r="AM158" s="1471"/>
      <c r="AN158" s="1472"/>
    </row>
    <row r="159" spans="1:40" s="1475" customFormat="1" ht="39" customHeight="1" x14ac:dyDescent="0.3">
      <c r="A159" s="17"/>
      <c r="B159" s="17"/>
      <c r="C159" s="1462"/>
      <c r="D159" s="1462"/>
      <c r="E159" s="1462"/>
      <c r="F159" s="1462"/>
      <c r="G159" s="1476"/>
      <c r="H159" s="1464"/>
      <c r="I159" s="1465"/>
      <c r="J159" s="1466"/>
      <c r="K159" s="1665"/>
      <c r="L159" s="1666"/>
      <c r="M159" s="1467"/>
      <c r="N159" s="1467"/>
      <c r="O159" s="1467"/>
      <c r="P159" s="1468"/>
      <c r="Q159" s="1469"/>
      <c r="R159" s="1469"/>
      <c r="S159" s="1469"/>
      <c r="T159" s="1470"/>
      <c r="U159" s="1470"/>
      <c r="V159" s="1471"/>
      <c r="W159" s="1472"/>
      <c r="X159" s="1473"/>
      <c r="Y159" s="1474"/>
      <c r="Z159" s="1473"/>
      <c r="AA159" s="1474"/>
      <c r="AB159" s="1473"/>
      <c r="AC159" s="1474"/>
      <c r="AD159" s="1474"/>
      <c r="AE159" s="1474"/>
      <c r="AF159" s="1467"/>
      <c r="AG159" s="1468"/>
      <c r="AH159" s="1469"/>
      <c r="AI159" s="1469"/>
      <c r="AJ159" s="1469"/>
      <c r="AK159" s="1470"/>
      <c r="AL159" s="1470"/>
      <c r="AM159" s="1471"/>
      <c r="AN159" s="1472"/>
    </row>
    <row r="160" spans="1:40" s="1475" customFormat="1" ht="39" customHeight="1" x14ac:dyDescent="0.3">
      <c r="A160" s="17"/>
      <c r="B160" s="17"/>
      <c r="C160" s="1462"/>
      <c r="D160" s="1462"/>
      <c r="E160" s="1462"/>
      <c r="F160" s="1462"/>
      <c r="G160" s="1463"/>
      <c r="H160" s="1464"/>
      <c r="I160" s="1465"/>
      <c r="J160" s="1466"/>
      <c r="K160" s="1665"/>
      <c r="L160" s="1666"/>
      <c r="M160" s="1467"/>
      <c r="N160" s="1467"/>
      <c r="O160" s="1467"/>
      <c r="P160" s="1468"/>
      <c r="Q160" s="1469"/>
      <c r="R160" s="1469"/>
      <c r="S160" s="1469"/>
      <c r="T160" s="1470"/>
      <c r="U160" s="1470"/>
      <c r="V160" s="1471"/>
      <c r="W160" s="1472"/>
      <c r="X160" s="1473"/>
      <c r="Y160" s="1474"/>
      <c r="Z160" s="1473"/>
      <c r="AA160" s="1474"/>
      <c r="AB160" s="1473"/>
      <c r="AC160" s="1474"/>
      <c r="AD160" s="1474"/>
      <c r="AE160" s="1474"/>
      <c r="AF160" s="1467"/>
      <c r="AG160" s="1468"/>
      <c r="AH160" s="1469"/>
      <c r="AI160" s="1469"/>
      <c r="AJ160" s="1469"/>
      <c r="AK160" s="1470"/>
      <c r="AL160" s="1470"/>
      <c r="AM160" s="1471"/>
      <c r="AN160" s="1472"/>
    </row>
    <row r="161" spans="1:40" s="1475" customFormat="1" ht="39" customHeight="1" x14ac:dyDescent="0.3">
      <c r="A161" s="17"/>
      <c r="B161" s="17"/>
      <c r="C161" s="1462"/>
      <c r="D161" s="1462"/>
      <c r="E161" s="1462"/>
      <c r="F161" s="1462"/>
      <c r="G161" s="1463"/>
      <c r="H161" s="1464"/>
      <c r="I161" s="1465"/>
      <c r="J161" s="1466"/>
      <c r="K161" s="1665"/>
      <c r="L161" s="1666"/>
      <c r="M161" s="1467"/>
      <c r="N161" s="1467"/>
      <c r="O161" s="1467"/>
      <c r="P161" s="1468"/>
      <c r="Q161" s="1469"/>
      <c r="R161" s="1469"/>
      <c r="S161" s="1469"/>
      <c r="T161" s="1470"/>
      <c r="U161" s="1470"/>
      <c r="V161" s="1471"/>
      <c r="W161" s="1472"/>
      <c r="X161" s="1473"/>
      <c r="Y161" s="1474"/>
      <c r="Z161" s="1473"/>
      <c r="AA161" s="1474"/>
      <c r="AB161" s="1473"/>
      <c r="AC161" s="1474"/>
      <c r="AD161" s="1474"/>
      <c r="AE161" s="1474"/>
      <c r="AF161" s="1467"/>
      <c r="AG161" s="1468"/>
      <c r="AH161" s="1469"/>
      <c r="AI161" s="1469"/>
      <c r="AJ161" s="1469"/>
      <c r="AK161" s="1470"/>
      <c r="AL161" s="1470"/>
      <c r="AM161" s="1471"/>
      <c r="AN161" s="1472"/>
    </row>
    <row r="162" spans="1:40" s="1475" customFormat="1" ht="39" customHeight="1" x14ac:dyDescent="0.3">
      <c r="A162" s="17"/>
      <c r="B162" s="17"/>
      <c r="C162" s="1462"/>
      <c r="D162" s="1462"/>
      <c r="E162" s="1462"/>
      <c r="F162" s="1462"/>
      <c r="G162" s="1463"/>
      <c r="H162" s="1464"/>
      <c r="I162" s="1465"/>
      <c r="J162" s="1466"/>
      <c r="K162" s="1665"/>
      <c r="L162" s="1666"/>
      <c r="M162" s="1467"/>
      <c r="N162" s="1467"/>
      <c r="O162" s="1467"/>
      <c r="P162" s="1468"/>
      <c r="Q162" s="1469"/>
      <c r="R162" s="1469"/>
      <c r="S162" s="1469"/>
      <c r="T162" s="1470"/>
      <c r="U162" s="1470"/>
      <c r="V162" s="1471"/>
      <c r="W162" s="1472"/>
      <c r="X162" s="1473"/>
      <c r="Y162" s="1474"/>
      <c r="Z162" s="1473"/>
      <c r="AA162" s="1474"/>
      <c r="AB162" s="1473"/>
      <c r="AC162" s="1474"/>
      <c r="AD162" s="1474"/>
      <c r="AE162" s="1474"/>
      <c r="AF162" s="1467"/>
      <c r="AG162" s="1468"/>
      <c r="AH162" s="1469"/>
      <c r="AI162" s="1469"/>
      <c r="AJ162" s="1469"/>
      <c r="AK162" s="1470"/>
      <c r="AL162" s="1470"/>
      <c r="AM162" s="1471"/>
      <c r="AN162" s="1472"/>
    </row>
    <row r="163" spans="1:40" s="540" customFormat="1" ht="42" customHeight="1" x14ac:dyDescent="0.3">
      <c r="A163" s="470"/>
      <c r="B163" s="471"/>
      <c r="C163" s="472"/>
      <c r="D163" s="470"/>
      <c r="E163" s="470"/>
      <c r="F163" s="470"/>
      <c r="G163" s="1"/>
      <c r="H163" s="473"/>
      <c r="I163" s="1"/>
      <c r="J163" s="473"/>
      <c r="K163" s="1648"/>
      <c r="L163" s="1667"/>
      <c r="M163" s="475"/>
      <c r="N163" s="475"/>
      <c r="O163" s="475"/>
      <c r="P163" s="477"/>
      <c r="Q163" s="1"/>
      <c r="R163" s="1"/>
      <c r="S163" s="1"/>
      <c r="T163" s="470"/>
      <c r="U163" s="470"/>
      <c r="V163" s="478"/>
      <c r="W163" s="537"/>
      <c r="X163" s="538"/>
      <c r="Y163" s="539"/>
      <c r="Z163" s="538"/>
      <c r="AA163" s="539"/>
      <c r="AB163" s="538"/>
      <c r="AC163" s="539"/>
      <c r="AD163" s="539"/>
      <c r="AE163" s="539"/>
      <c r="AF163" s="475"/>
      <c r="AG163" s="477"/>
      <c r="AH163" s="1"/>
      <c r="AI163" s="1"/>
      <c r="AJ163" s="1"/>
      <c r="AK163" s="470"/>
      <c r="AL163" s="470"/>
      <c r="AM163" s="478"/>
      <c r="AN163" s="537"/>
    </row>
    <row r="164" spans="1:40" s="138" customFormat="1" ht="42" customHeight="1" x14ac:dyDescent="0.3">
      <c r="A164" s="506"/>
      <c r="B164" s="506"/>
      <c r="C164" s="541"/>
      <c r="D164" s="506"/>
      <c r="E164" s="506"/>
      <c r="F164" s="507"/>
      <c r="G164" s="542"/>
      <c r="H164" s="510"/>
      <c r="I164" s="542"/>
      <c r="J164" s="510"/>
      <c r="K164" s="1655"/>
      <c r="L164" s="1656"/>
      <c r="M164" s="511"/>
      <c r="N164" s="511"/>
      <c r="O164" s="511"/>
      <c r="P164" s="512"/>
      <c r="Q164" s="97"/>
      <c r="R164" s="97"/>
      <c r="S164" s="97"/>
      <c r="T164" s="506"/>
      <c r="U164" s="506"/>
      <c r="V164" s="513"/>
      <c r="W164" s="514"/>
      <c r="X164" s="493"/>
      <c r="Y164" s="494"/>
      <c r="Z164" s="493"/>
      <c r="AA164" s="494"/>
      <c r="AB164" s="493"/>
      <c r="AC164" s="494"/>
      <c r="AD164" s="494"/>
      <c r="AE164" s="494"/>
      <c r="AF164" s="511"/>
      <c r="AG164" s="512"/>
      <c r="AH164" s="97"/>
      <c r="AI164" s="97"/>
      <c r="AJ164" s="97"/>
      <c r="AK164" s="506"/>
      <c r="AL164" s="506"/>
      <c r="AM164" s="513"/>
      <c r="AN164" s="514"/>
    </row>
    <row r="165" spans="1:40" s="138" customFormat="1" ht="47.4" customHeight="1" x14ac:dyDescent="0.3">
      <c r="A165" s="6"/>
      <c r="B165" s="7"/>
      <c r="C165" s="8"/>
      <c r="D165" s="9"/>
      <c r="E165" s="9"/>
      <c r="F165" s="31"/>
      <c r="G165" s="32"/>
      <c r="H165" s="33"/>
      <c r="I165" s="32"/>
      <c r="J165" s="34"/>
      <c r="K165" s="1659"/>
      <c r="L165" s="1660"/>
      <c r="M165" s="10"/>
      <c r="N165" s="10"/>
      <c r="O165" s="10"/>
      <c r="P165" s="41"/>
      <c r="Q165" s="10"/>
      <c r="R165" s="10"/>
      <c r="S165" s="10"/>
      <c r="T165" s="6"/>
      <c r="U165" s="6"/>
      <c r="V165" s="29"/>
      <c r="W165" s="6"/>
      <c r="X165" s="493"/>
      <c r="Y165" s="494"/>
      <c r="Z165" s="493"/>
      <c r="AA165" s="494"/>
      <c r="AB165" s="493"/>
      <c r="AC165" s="494"/>
      <c r="AD165" s="494"/>
      <c r="AE165" s="494"/>
      <c r="AF165" s="10"/>
      <c r="AG165" s="41"/>
      <c r="AH165" s="10"/>
      <c r="AI165" s="10"/>
      <c r="AJ165" s="10"/>
      <c r="AK165" s="6"/>
      <c r="AL165" s="6"/>
      <c r="AM165" s="29"/>
      <c r="AN165" s="6"/>
    </row>
    <row r="166" spans="1:40" s="138" customFormat="1" ht="45.6" customHeight="1" x14ac:dyDescent="0.3">
      <c r="A166" s="6"/>
      <c r="B166" s="7"/>
      <c r="C166" s="30"/>
      <c r="D166" s="9"/>
      <c r="E166" s="9"/>
      <c r="F166" s="31"/>
      <c r="G166" s="32"/>
      <c r="H166" s="33"/>
      <c r="I166" s="32"/>
      <c r="J166" s="34"/>
      <c r="K166" s="1659"/>
      <c r="L166" s="1660"/>
      <c r="M166" s="10"/>
      <c r="N166" s="10"/>
      <c r="O166" s="10"/>
      <c r="P166" s="41"/>
      <c r="Q166" s="10"/>
      <c r="R166" s="10"/>
      <c r="S166" s="10"/>
      <c r="T166" s="6"/>
      <c r="U166" s="6"/>
      <c r="V166" s="29"/>
      <c r="W166" s="6"/>
      <c r="X166" s="493"/>
      <c r="Y166" s="494"/>
      <c r="Z166" s="493"/>
      <c r="AA166" s="494"/>
      <c r="AB166" s="493"/>
      <c r="AC166" s="494"/>
      <c r="AD166" s="494"/>
      <c r="AE166" s="494"/>
      <c r="AF166" s="10"/>
      <c r="AG166" s="41"/>
      <c r="AH166" s="10"/>
      <c r="AI166" s="10"/>
      <c r="AJ166" s="10"/>
      <c r="AK166" s="6"/>
      <c r="AL166" s="6"/>
      <c r="AM166" s="29"/>
      <c r="AN166" s="6"/>
    </row>
    <row r="167" spans="1:40" s="138" customFormat="1" ht="42" customHeight="1" x14ac:dyDescent="0.3">
      <c r="A167" s="13"/>
      <c r="B167" s="9"/>
      <c r="C167" s="9"/>
      <c r="D167" s="9"/>
      <c r="E167" s="9"/>
      <c r="F167" s="36"/>
      <c r="G167" s="32"/>
      <c r="H167" s="38"/>
      <c r="I167" s="1107"/>
      <c r="J167" s="40"/>
      <c r="K167" s="1659"/>
      <c r="L167" s="1660"/>
      <c r="M167" s="10"/>
      <c r="N167" s="10"/>
      <c r="O167" s="10"/>
      <c r="P167" s="41"/>
      <c r="Q167" s="10"/>
      <c r="R167" s="10"/>
      <c r="S167" s="10"/>
      <c r="T167" s="6"/>
      <c r="U167" s="6"/>
      <c r="V167" s="29"/>
      <c r="W167" s="6"/>
      <c r="X167" s="493"/>
      <c r="Y167" s="494"/>
      <c r="Z167" s="493"/>
      <c r="AA167" s="494"/>
      <c r="AB167" s="493"/>
      <c r="AC167" s="494"/>
      <c r="AD167" s="494"/>
      <c r="AE167" s="494"/>
      <c r="AF167" s="10"/>
      <c r="AG167" s="41"/>
      <c r="AH167" s="10"/>
      <c r="AI167" s="10"/>
      <c r="AJ167" s="10"/>
      <c r="AK167" s="6"/>
      <c r="AL167" s="6"/>
      <c r="AM167" s="29"/>
      <c r="AN167" s="6"/>
    </row>
    <row r="168" spans="1:40" s="252" customFormat="1" ht="42" customHeight="1" x14ac:dyDescent="0.3">
      <c r="A168" s="15"/>
      <c r="B168" s="16"/>
      <c r="C168" s="9"/>
      <c r="D168" s="9"/>
      <c r="E168" s="9"/>
      <c r="F168" s="31"/>
      <c r="G168" s="32"/>
      <c r="H168" s="33"/>
      <c r="I168" s="1107"/>
      <c r="J168" s="367"/>
      <c r="K168" s="1661"/>
      <c r="L168" s="1662"/>
      <c r="M168" s="31"/>
      <c r="N168" s="31"/>
      <c r="O168" s="31"/>
      <c r="P168" s="519"/>
      <c r="Q168" s="31"/>
      <c r="R168" s="31"/>
      <c r="S168" s="31"/>
      <c r="T168" s="9"/>
      <c r="U168" s="9"/>
      <c r="V168" s="543"/>
      <c r="W168" s="9"/>
      <c r="X168" s="253"/>
      <c r="Y168" s="254"/>
      <c r="Z168" s="253"/>
      <c r="AA168" s="254"/>
      <c r="AB168" s="253"/>
      <c r="AC168" s="254"/>
      <c r="AD168" s="254"/>
      <c r="AE168" s="254"/>
      <c r="AF168" s="31"/>
      <c r="AG168" s="519"/>
      <c r="AH168" s="31"/>
      <c r="AI168" s="31"/>
      <c r="AJ168" s="31"/>
      <c r="AK168" s="9"/>
      <c r="AL168" s="9"/>
      <c r="AM168" s="543"/>
      <c r="AN168" s="9"/>
    </row>
    <row r="169" spans="1:40" s="252" customFormat="1" ht="42" customHeight="1" x14ac:dyDescent="0.3">
      <c r="A169" s="15"/>
      <c r="B169" s="16"/>
      <c r="C169" s="9"/>
      <c r="D169" s="9"/>
      <c r="E169" s="9"/>
      <c r="F169" s="31"/>
      <c r="G169" s="32"/>
      <c r="H169" s="33"/>
      <c r="I169" s="1107"/>
      <c r="J169" s="367"/>
      <c r="K169" s="19"/>
      <c r="L169" s="18"/>
      <c r="M169" s="31"/>
      <c r="N169" s="31"/>
      <c r="O169" s="31"/>
      <c r="P169" s="519"/>
      <c r="Q169" s="31"/>
      <c r="R169" s="31"/>
      <c r="S169" s="31"/>
      <c r="T169" s="9"/>
      <c r="U169" s="9"/>
      <c r="V169" s="543"/>
      <c r="W169" s="9"/>
      <c r="X169" s="253"/>
      <c r="Y169" s="254"/>
      <c r="Z169" s="253"/>
      <c r="AA169" s="254"/>
      <c r="AB169" s="253"/>
      <c r="AC169" s="254"/>
      <c r="AD169" s="254"/>
      <c r="AE169" s="254"/>
      <c r="AF169" s="31"/>
      <c r="AG169" s="519"/>
      <c r="AH169" s="31"/>
      <c r="AI169" s="31"/>
      <c r="AJ169" s="31"/>
      <c r="AK169" s="9"/>
      <c r="AL169" s="9"/>
      <c r="AM169" s="543"/>
      <c r="AN169" s="9"/>
    </row>
    <row r="170" spans="1:40" s="252" customFormat="1" ht="42" customHeight="1" x14ac:dyDescent="0.3">
      <c r="A170" s="15"/>
      <c r="B170" s="16"/>
      <c r="C170" s="9"/>
      <c r="D170" s="9"/>
      <c r="E170" s="9"/>
      <c r="F170" s="31"/>
      <c r="G170" s="32"/>
      <c r="H170" s="33"/>
      <c r="I170" s="1107"/>
      <c r="J170" s="367"/>
      <c r="K170" s="19"/>
      <c r="L170" s="18"/>
      <c r="M170" s="31"/>
      <c r="N170" s="31"/>
      <c r="O170" s="31"/>
      <c r="P170" s="519"/>
      <c r="Q170" s="31"/>
      <c r="R170" s="31"/>
      <c r="S170" s="31"/>
      <c r="T170" s="9"/>
      <c r="U170" s="9"/>
      <c r="V170" s="543"/>
      <c r="W170" s="9"/>
      <c r="X170" s="253"/>
      <c r="Y170" s="254"/>
      <c r="Z170" s="253"/>
      <c r="AA170" s="254"/>
      <c r="AB170" s="253"/>
      <c r="AC170" s="254"/>
      <c r="AD170" s="254"/>
      <c r="AE170" s="254"/>
      <c r="AF170" s="31"/>
      <c r="AG170" s="519"/>
      <c r="AH170" s="31"/>
      <c r="AI170" s="31"/>
      <c r="AJ170" s="31"/>
      <c r="AK170" s="9"/>
      <c r="AL170" s="9"/>
      <c r="AM170" s="543"/>
      <c r="AN170" s="9"/>
    </row>
    <row r="171" spans="1:40" s="252" customFormat="1" ht="42" customHeight="1" x14ac:dyDescent="0.3">
      <c r="A171" s="15"/>
      <c r="B171" s="16"/>
      <c r="C171" s="9"/>
      <c r="D171" s="9"/>
      <c r="E171" s="9"/>
      <c r="F171" s="31"/>
      <c r="G171" s="32"/>
      <c r="H171" s="33"/>
      <c r="I171" s="1107"/>
      <c r="J171" s="367"/>
      <c r="K171" s="1661"/>
      <c r="L171" s="1662"/>
      <c r="M171" s="31"/>
      <c r="N171" s="31"/>
      <c r="O171" s="31"/>
      <c r="P171" s="519"/>
      <c r="Q171" s="31"/>
      <c r="R171" s="31"/>
      <c r="S171" s="31"/>
      <c r="T171" s="9"/>
      <c r="U171" s="9"/>
      <c r="V171" s="543"/>
      <c r="W171" s="9"/>
      <c r="X171" s="253"/>
      <c r="Y171" s="254"/>
      <c r="Z171" s="253"/>
      <c r="AA171" s="254"/>
      <c r="AB171" s="253"/>
      <c r="AC171" s="254"/>
      <c r="AD171" s="254"/>
      <c r="AE171" s="254"/>
      <c r="AF171" s="31"/>
      <c r="AG171" s="519"/>
      <c r="AH171" s="31"/>
      <c r="AI171" s="31"/>
      <c r="AJ171" s="31"/>
      <c r="AK171" s="9"/>
      <c r="AL171" s="9"/>
      <c r="AM171" s="543"/>
      <c r="AN171" s="9"/>
    </row>
    <row r="172" spans="1:40" s="532" customFormat="1" ht="42" customHeight="1" x14ac:dyDescent="0.3">
      <c r="A172" s="9"/>
      <c r="B172" s="16"/>
      <c r="C172" s="16"/>
      <c r="D172" s="16"/>
      <c r="E172" s="16"/>
      <c r="F172" s="525"/>
      <c r="G172" s="1343"/>
      <c r="H172" s="522"/>
      <c r="I172" s="1340"/>
      <c r="J172" s="523"/>
      <c r="K172" s="1708"/>
      <c r="L172" s="1709"/>
      <c r="M172" s="525"/>
      <c r="N172" s="525"/>
      <c r="O172" s="525"/>
      <c r="P172" s="526"/>
      <c r="Q172" s="525"/>
      <c r="R172" s="525"/>
      <c r="S172" s="525"/>
      <c r="T172" s="16"/>
      <c r="U172" s="16"/>
      <c r="V172" s="533"/>
      <c r="W172" s="16"/>
      <c r="X172" s="530"/>
      <c r="Y172" s="531"/>
      <c r="Z172" s="530"/>
      <c r="AA172" s="531"/>
      <c r="AB172" s="530"/>
      <c r="AC172" s="531"/>
      <c r="AD172" s="531"/>
      <c r="AE172" s="531"/>
      <c r="AF172" s="525"/>
      <c r="AG172" s="526"/>
      <c r="AH172" s="525"/>
      <c r="AI172" s="525"/>
      <c r="AJ172" s="525"/>
      <c r="AK172" s="16"/>
      <c r="AL172" s="16"/>
      <c r="AM172" s="533"/>
      <c r="AN172" s="16"/>
    </row>
    <row r="173" spans="1:40" s="536" customFormat="1" ht="42" customHeight="1" x14ac:dyDescent="0.3">
      <c r="A173" s="9"/>
      <c r="B173" s="16"/>
      <c r="C173" s="16"/>
      <c r="D173" s="16"/>
      <c r="E173" s="16"/>
      <c r="F173" s="525"/>
      <c r="G173" s="1343"/>
      <c r="H173" s="522"/>
      <c r="I173" s="1340"/>
      <c r="J173" s="523"/>
      <c r="K173" s="1663"/>
      <c r="L173" s="1664"/>
      <c r="M173" s="525"/>
      <c r="N173" s="525"/>
      <c r="O173" s="525"/>
      <c r="P173" s="526"/>
      <c r="Q173" s="525"/>
      <c r="R173" s="525"/>
      <c r="S173" s="525"/>
      <c r="T173" s="16"/>
      <c r="U173" s="16"/>
      <c r="V173" s="533"/>
      <c r="W173" s="16"/>
      <c r="X173" s="534"/>
      <c r="Y173" s="535"/>
      <c r="Z173" s="534"/>
      <c r="AA173" s="535"/>
      <c r="AB173" s="534"/>
      <c r="AC173" s="535"/>
      <c r="AD173" s="535"/>
      <c r="AE173" s="535"/>
      <c r="AF173" s="525"/>
      <c r="AG173" s="526"/>
      <c r="AH173" s="525"/>
      <c r="AI173" s="525"/>
      <c r="AJ173" s="525"/>
      <c r="AK173" s="16"/>
      <c r="AL173" s="16"/>
      <c r="AM173" s="533"/>
      <c r="AN173" s="16"/>
    </row>
    <row r="174" spans="1:40" s="532" customFormat="1" ht="42" customHeight="1" x14ac:dyDescent="0.3">
      <c r="A174" s="9"/>
      <c r="B174" s="16"/>
      <c r="C174" s="16"/>
      <c r="D174" s="16"/>
      <c r="E174" s="16"/>
      <c r="F174" s="525"/>
      <c r="G174" s="1343"/>
      <c r="H174" s="522"/>
      <c r="I174" s="1340"/>
      <c r="J174" s="523"/>
      <c r="K174" s="1663"/>
      <c r="L174" s="1664"/>
      <c r="M174" s="525"/>
      <c r="N174" s="525"/>
      <c r="O174" s="525"/>
      <c r="P174" s="526"/>
      <c r="Q174" s="525"/>
      <c r="R174" s="525"/>
      <c r="S174" s="525"/>
      <c r="T174" s="16"/>
      <c r="U174" s="16"/>
      <c r="V174" s="533"/>
      <c r="W174" s="16"/>
      <c r="X174" s="530"/>
      <c r="Y174" s="531"/>
      <c r="Z174" s="530"/>
      <c r="AA174" s="531"/>
      <c r="AB174" s="530"/>
      <c r="AC174" s="531"/>
      <c r="AD174" s="531"/>
      <c r="AE174" s="531"/>
      <c r="AF174" s="525"/>
      <c r="AG174" s="526"/>
      <c r="AH174" s="525"/>
      <c r="AI174" s="525"/>
      <c r="AJ174" s="525"/>
      <c r="AK174" s="16"/>
      <c r="AL174" s="16"/>
      <c r="AM174" s="533"/>
      <c r="AN174" s="16"/>
    </row>
    <row r="175" spans="1:40" s="532" customFormat="1" ht="42" customHeight="1" x14ac:dyDescent="0.3">
      <c r="A175" s="9"/>
      <c r="B175" s="16"/>
      <c r="C175" s="16"/>
      <c r="D175" s="16"/>
      <c r="E175" s="16"/>
      <c r="F175" s="525"/>
      <c r="G175" s="1343"/>
      <c r="H175" s="522"/>
      <c r="I175" s="1340"/>
      <c r="J175" s="523"/>
      <c r="K175" s="1663"/>
      <c r="L175" s="1664"/>
      <c r="M175" s="525"/>
      <c r="N175" s="525"/>
      <c r="O175" s="525"/>
      <c r="P175" s="526"/>
      <c r="Q175" s="525"/>
      <c r="R175" s="525"/>
      <c r="S175" s="525"/>
      <c r="T175" s="16"/>
      <c r="U175" s="16"/>
      <c r="V175" s="533"/>
      <c r="W175" s="16"/>
      <c r="X175" s="530"/>
      <c r="Y175" s="531"/>
      <c r="Z175" s="530"/>
      <c r="AA175" s="531"/>
      <c r="AB175" s="530"/>
      <c r="AC175" s="531"/>
      <c r="AD175" s="531"/>
      <c r="AE175" s="531"/>
      <c r="AF175" s="525"/>
      <c r="AG175" s="526"/>
      <c r="AH175" s="525"/>
      <c r="AI175" s="525"/>
      <c r="AJ175" s="525"/>
      <c r="AK175" s="16"/>
      <c r="AL175" s="16"/>
      <c r="AM175" s="533"/>
      <c r="AN175" s="16"/>
    </row>
    <row r="176" spans="1:40" s="252" customFormat="1" ht="42" customHeight="1" x14ac:dyDescent="0.3">
      <c r="A176" s="9"/>
      <c r="B176" s="16"/>
      <c r="C176" s="14"/>
      <c r="D176" s="14"/>
      <c r="E176" s="14"/>
      <c r="F176" s="31"/>
      <c r="G176" s="37"/>
      <c r="H176" s="33"/>
      <c r="I176" s="39"/>
      <c r="J176" s="367"/>
      <c r="K176" s="1661"/>
      <c r="L176" s="1662"/>
      <c r="M176" s="31"/>
      <c r="N176" s="31"/>
      <c r="O176" s="31"/>
      <c r="P176" s="519"/>
      <c r="Q176" s="31"/>
      <c r="R176" s="31"/>
      <c r="S176" s="31"/>
      <c r="T176" s="9"/>
      <c r="U176" s="9"/>
      <c r="V176" s="543"/>
      <c r="W176" s="9"/>
      <c r="X176" s="253"/>
      <c r="Y176" s="254"/>
      <c r="Z176" s="253"/>
      <c r="AA176" s="254"/>
      <c r="AB176" s="253"/>
      <c r="AC176" s="254"/>
      <c r="AD176" s="254"/>
      <c r="AE176" s="254"/>
      <c r="AF176" s="31"/>
      <c r="AG176" s="519"/>
      <c r="AH176" s="31"/>
      <c r="AI176" s="31"/>
      <c r="AJ176" s="31"/>
      <c r="AK176" s="9"/>
      <c r="AL176" s="9"/>
      <c r="AM176" s="543"/>
      <c r="AN176" s="9"/>
    </row>
    <row r="177" spans="1:129" s="1501" customFormat="1" ht="45" customHeight="1" x14ac:dyDescent="0.3">
      <c r="A177" s="1488"/>
      <c r="B177" s="1488"/>
      <c r="C177" s="1489"/>
      <c r="D177" s="1488"/>
      <c r="E177" s="1488"/>
      <c r="F177" s="1488"/>
      <c r="G177" s="1488"/>
      <c r="H177" s="1490"/>
      <c r="I177" s="1491"/>
      <c r="J177" s="1490"/>
      <c r="K177" s="1668"/>
      <c r="L177" s="1668"/>
      <c r="M177" s="1492"/>
      <c r="N177" s="1492"/>
      <c r="O177" s="1492"/>
      <c r="P177" s="1493"/>
      <c r="Q177" s="1494"/>
      <c r="R177" s="1493"/>
      <c r="S177" s="1494"/>
      <c r="T177" s="1493"/>
      <c r="U177" s="1494"/>
      <c r="V177" s="1493"/>
      <c r="W177" s="1494"/>
      <c r="X177" s="1493"/>
      <c r="Y177" s="1494"/>
      <c r="Z177" s="1493"/>
      <c r="AA177" s="1494"/>
      <c r="AB177" s="1493"/>
      <c r="AC177" s="1494"/>
      <c r="AD177" s="1494"/>
      <c r="AE177" s="1494"/>
      <c r="AF177" s="1495"/>
      <c r="AG177" s="1496"/>
      <c r="AH177" s="1497"/>
      <c r="AI177" s="1497"/>
      <c r="AJ177" s="1497"/>
      <c r="AK177" s="1498"/>
      <c r="AL177" s="1498"/>
      <c r="AM177" s="1499"/>
      <c r="AN177" s="1499"/>
      <c r="AO177" s="1500"/>
      <c r="AP177" s="1500"/>
      <c r="AQ177" s="1500"/>
      <c r="AR177" s="1500"/>
      <c r="AS177" s="1500"/>
      <c r="AT177" s="1500"/>
      <c r="AU177" s="1500"/>
      <c r="AV177" s="1500"/>
      <c r="AW177" s="1500"/>
      <c r="AX177" s="1500"/>
      <c r="AY177" s="1500"/>
      <c r="AZ177" s="1500"/>
      <c r="BA177" s="1500"/>
      <c r="BB177" s="1500"/>
      <c r="BC177" s="1500"/>
      <c r="BD177" s="1500"/>
      <c r="BE177" s="1500"/>
      <c r="BF177" s="1500"/>
      <c r="BG177" s="1500"/>
      <c r="BH177" s="1500"/>
      <c r="BI177" s="1500"/>
      <c r="BJ177" s="1500"/>
      <c r="BK177" s="1500"/>
      <c r="BL177" s="1500"/>
      <c r="BM177" s="1500"/>
      <c r="BN177" s="1500"/>
      <c r="BO177" s="1500"/>
      <c r="BP177" s="1500"/>
      <c r="BQ177" s="1500"/>
      <c r="BR177" s="1500"/>
      <c r="BS177" s="1500"/>
      <c r="BT177" s="1500"/>
      <c r="BU177" s="1500"/>
      <c r="BV177" s="1500"/>
      <c r="BW177" s="1500"/>
      <c r="BX177" s="1500"/>
      <c r="BY177" s="1500"/>
      <c r="BZ177" s="1500"/>
      <c r="CA177" s="1500"/>
      <c r="CB177" s="1500"/>
      <c r="CC177" s="1500"/>
      <c r="CD177" s="1500"/>
      <c r="CE177" s="1500"/>
      <c r="CF177" s="1500"/>
      <c r="CG177" s="1500"/>
      <c r="CH177" s="1500"/>
      <c r="CI177" s="1500"/>
      <c r="CJ177" s="1500"/>
      <c r="CK177" s="1500"/>
      <c r="CL177" s="1500"/>
      <c r="CM177" s="1500"/>
      <c r="CN177" s="1500"/>
      <c r="CO177" s="1500"/>
      <c r="CP177" s="1500"/>
      <c r="CQ177" s="1500"/>
      <c r="CR177" s="1500"/>
      <c r="CS177" s="1500"/>
      <c r="CT177" s="1500"/>
      <c r="CU177" s="1500"/>
      <c r="CV177" s="1500"/>
      <c r="CW177" s="1500"/>
      <c r="CX177" s="1500"/>
      <c r="CY177" s="1500"/>
      <c r="CZ177" s="1500"/>
      <c r="DA177" s="1500"/>
      <c r="DB177" s="1500"/>
      <c r="DC177" s="1500"/>
      <c r="DD177" s="1500"/>
      <c r="DE177" s="1500"/>
      <c r="DF177" s="1500"/>
      <c r="DG177" s="1500"/>
      <c r="DH177" s="1500"/>
      <c r="DI177" s="1500"/>
      <c r="DJ177" s="1500"/>
      <c r="DK177" s="1500"/>
      <c r="DL177" s="1500"/>
      <c r="DM177" s="1500"/>
      <c r="DN177" s="1500"/>
      <c r="DO177" s="1500"/>
      <c r="DP177" s="1500"/>
      <c r="DQ177" s="1500"/>
      <c r="DR177" s="1500"/>
      <c r="DS177" s="1500"/>
      <c r="DT177" s="1500"/>
      <c r="DU177" s="1500"/>
      <c r="DV177" s="1500"/>
      <c r="DW177" s="1500"/>
      <c r="DX177" s="1500"/>
      <c r="DY177" s="1500"/>
    </row>
    <row r="178" spans="1:129" s="556" customFormat="1" ht="40.200000000000003" customHeight="1" x14ac:dyDescent="0.3">
      <c r="B178" s="557"/>
      <c r="C178" s="558"/>
      <c r="H178" s="559"/>
      <c r="I178" s="560"/>
      <c r="J178" s="559"/>
      <c r="K178" s="1669"/>
      <c r="L178" s="1669"/>
      <c r="M178" s="562"/>
      <c r="N178" s="562"/>
      <c r="O178" s="562"/>
      <c r="P178" s="562"/>
      <c r="Q178" s="563"/>
      <c r="R178" s="562"/>
      <c r="S178" s="563"/>
      <c r="T178" s="562"/>
      <c r="U178" s="563"/>
      <c r="V178" s="562"/>
      <c r="W178" s="563"/>
      <c r="X178" s="562"/>
      <c r="Y178" s="563"/>
      <c r="Z178" s="562"/>
      <c r="AA178" s="563"/>
      <c r="AB178" s="562"/>
      <c r="AC178" s="563"/>
      <c r="AD178" s="563"/>
      <c r="AE178" s="563"/>
      <c r="AF178" s="562"/>
      <c r="AG178" s="564"/>
      <c r="AH178" s="561"/>
      <c r="AI178" s="561"/>
      <c r="AJ178" s="561"/>
      <c r="AM178" s="565"/>
      <c r="AN178" s="1487"/>
      <c r="AO178" s="307"/>
      <c r="AP178" s="307"/>
      <c r="AQ178" s="307"/>
      <c r="AR178" s="307"/>
      <c r="AS178" s="307"/>
      <c r="AT178" s="307"/>
      <c r="AU178" s="307"/>
      <c r="AV178" s="307"/>
      <c r="AW178" s="307"/>
      <c r="AX178" s="307"/>
      <c r="AY178" s="307"/>
      <c r="AZ178" s="307"/>
      <c r="BA178" s="307"/>
      <c r="BB178" s="307"/>
      <c r="BC178" s="307"/>
      <c r="BD178" s="307"/>
      <c r="BE178" s="307"/>
      <c r="BF178" s="307"/>
      <c r="BG178" s="307"/>
      <c r="BH178" s="307"/>
      <c r="BI178" s="307"/>
      <c r="BJ178" s="307"/>
      <c r="BK178" s="307"/>
      <c r="BL178" s="307"/>
      <c r="BM178" s="307"/>
      <c r="BN178" s="307"/>
      <c r="BO178" s="307"/>
      <c r="BP178" s="307"/>
      <c r="BQ178" s="307"/>
      <c r="BR178" s="307"/>
      <c r="BS178" s="307"/>
      <c r="BT178" s="307"/>
      <c r="BU178" s="307"/>
      <c r="BV178" s="307"/>
      <c r="BW178" s="307"/>
      <c r="BX178" s="307"/>
      <c r="BY178" s="307"/>
      <c r="BZ178" s="307"/>
      <c r="CA178" s="307"/>
      <c r="CB178" s="307"/>
      <c r="CC178" s="307"/>
      <c r="CD178" s="307"/>
      <c r="CE178" s="307"/>
      <c r="CF178" s="307"/>
      <c r="CG178" s="307"/>
      <c r="CH178" s="307"/>
      <c r="CI178" s="307"/>
      <c r="CJ178" s="307"/>
      <c r="CK178" s="307"/>
      <c r="CL178" s="307"/>
      <c r="CM178" s="307"/>
      <c r="CN178" s="307"/>
      <c r="CO178" s="307"/>
      <c r="CP178" s="307"/>
      <c r="CQ178" s="307"/>
      <c r="CR178" s="307"/>
      <c r="CS178" s="307"/>
      <c r="CT178" s="307"/>
      <c r="CU178" s="307"/>
      <c r="CV178" s="307"/>
      <c r="CW178" s="307"/>
      <c r="CX178" s="307"/>
      <c r="CY178" s="307"/>
      <c r="CZ178" s="307"/>
      <c r="DA178" s="307"/>
      <c r="DB178" s="307"/>
      <c r="DC178" s="307"/>
      <c r="DD178" s="307"/>
      <c r="DE178" s="307"/>
      <c r="DF178" s="307"/>
      <c r="DG178" s="307"/>
      <c r="DH178" s="307"/>
      <c r="DI178" s="307"/>
      <c r="DJ178" s="307"/>
      <c r="DK178" s="307"/>
      <c r="DL178" s="307"/>
      <c r="DM178" s="307"/>
      <c r="DN178" s="307"/>
      <c r="DO178" s="307"/>
      <c r="DP178" s="307"/>
      <c r="DQ178" s="307"/>
      <c r="DR178" s="307"/>
      <c r="DS178" s="307"/>
      <c r="DT178" s="307"/>
      <c r="DU178" s="307"/>
      <c r="DV178" s="307"/>
      <c r="DW178" s="307"/>
      <c r="DX178" s="307"/>
      <c r="DY178" s="307"/>
    </row>
    <row r="179" spans="1:129" s="64" customFormat="1" ht="36" customHeight="1" x14ac:dyDescent="0.3">
      <c r="A179" s="43"/>
      <c r="B179" s="56"/>
      <c r="C179" s="42"/>
      <c r="D179" s="43"/>
      <c r="E179" s="43"/>
      <c r="F179" s="43"/>
      <c r="G179" s="43"/>
      <c r="H179" s="44"/>
      <c r="I179" s="45"/>
      <c r="J179" s="46"/>
      <c r="K179" s="1670"/>
      <c r="L179" s="1671"/>
      <c r="M179" s="47"/>
      <c r="N179" s="47"/>
      <c r="O179" s="47"/>
      <c r="P179" s="47"/>
      <c r="Q179" s="48"/>
      <c r="R179" s="47"/>
      <c r="S179" s="48"/>
      <c r="T179" s="47"/>
      <c r="U179" s="48"/>
      <c r="V179" s="47"/>
      <c r="W179" s="48"/>
      <c r="X179" s="47"/>
      <c r="Y179" s="48"/>
      <c r="Z179" s="49"/>
      <c r="AA179" s="50"/>
      <c r="AB179" s="49"/>
      <c r="AC179" s="50"/>
      <c r="AD179" s="48"/>
      <c r="AE179" s="48"/>
      <c r="AF179" s="47"/>
      <c r="AG179" s="51"/>
      <c r="AH179" s="47"/>
      <c r="AI179" s="47"/>
      <c r="AJ179" s="47"/>
      <c r="AM179" s="65"/>
      <c r="AO179" s="43"/>
      <c r="AP179" s="43"/>
      <c r="AQ179" s="43"/>
      <c r="AR179" s="43"/>
      <c r="AS179" s="43"/>
      <c r="AT179" s="43"/>
      <c r="AU179" s="43"/>
      <c r="AV179" s="43"/>
      <c r="AW179" s="43"/>
      <c r="AX179" s="43"/>
      <c r="AY179" s="43"/>
      <c r="AZ179" s="43"/>
      <c r="BA179" s="43"/>
      <c r="BB179" s="43"/>
      <c r="BC179" s="43"/>
      <c r="BD179" s="43"/>
      <c r="BE179" s="43"/>
      <c r="BF179" s="43"/>
      <c r="BG179" s="43"/>
      <c r="BH179" s="43"/>
      <c r="BI179" s="43"/>
      <c r="BJ179" s="43"/>
      <c r="BK179" s="43"/>
      <c r="BL179" s="43"/>
      <c r="BM179" s="43"/>
      <c r="BN179" s="43"/>
      <c r="BO179" s="43"/>
      <c r="BP179" s="43"/>
      <c r="BQ179" s="43"/>
      <c r="BR179" s="43"/>
      <c r="BS179" s="43"/>
      <c r="BT179" s="43"/>
      <c r="BU179" s="43"/>
      <c r="BV179" s="43"/>
      <c r="BW179" s="43"/>
      <c r="BX179" s="43"/>
      <c r="BY179" s="43"/>
      <c r="BZ179" s="43"/>
      <c r="CA179" s="43"/>
      <c r="CB179" s="43"/>
      <c r="CC179" s="43"/>
      <c r="CD179" s="43"/>
      <c r="CE179" s="43"/>
      <c r="CF179" s="43"/>
      <c r="CG179" s="43"/>
      <c r="CH179" s="43"/>
      <c r="CI179" s="43"/>
      <c r="CJ179" s="43"/>
      <c r="CK179" s="43"/>
      <c r="CL179" s="43"/>
      <c r="CM179" s="43"/>
      <c r="CN179" s="43"/>
      <c r="CO179" s="43"/>
      <c r="CP179" s="43"/>
      <c r="CQ179" s="43"/>
      <c r="CR179" s="43"/>
      <c r="CS179" s="43"/>
      <c r="CT179" s="43"/>
      <c r="CU179" s="43"/>
      <c r="CV179" s="43"/>
      <c r="CW179" s="43"/>
      <c r="CX179" s="43"/>
      <c r="CY179" s="43"/>
      <c r="CZ179" s="43"/>
      <c r="DA179" s="43"/>
      <c r="DB179" s="43"/>
      <c r="DC179" s="43"/>
      <c r="DD179" s="43"/>
      <c r="DE179" s="43"/>
      <c r="DF179" s="43"/>
      <c r="DG179" s="43"/>
      <c r="DH179" s="43"/>
      <c r="DI179" s="43"/>
      <c r="DJ179" s="43"/>
      <c r="DK179" s="43"/>
      <c r="DL179" s="43"/>
      <c r="DM179" s="43"/>
      <c r="DN179" s="43"/>
      <c r="DO179" s="43"/>
      <c r="DP179" s="43"/>
      <c r="DQ179" s="43"/>
      <c r="DR179" s="43"/>
      <c r="DS179" s="43"/>
      <c r="DT179" s="43"/>
      <c r="DU179" s="43"/>
      <c r="DV179" s="43"/>
      <c r="DW179" s="43"/>
      <c r="DX179" s="43"/>
      <c r="DY179" s="43"/>
    </row>
    <row r="180" spans="1:129" s="64" customFormat="1" ht="35.25" customHeight="1" x14ac:dyDescent="0.3">
      <c r="A180" s="43"/>
      <c r="B180" s="56"/>
      <c r="C180" s="42"/>
      <c r="D180" s="43"/>
      <c r="E180" s="43"/>
      <c r="F180" s="43"/>
      <c r="G180" s="49"/>
      <c r="H180" s="52"/>
      <c r="I180" s="45"/>
      <c r="J180" s="53"/>
      <c r="K180" s="1670"/>
      <c r="L180" s="1671"/>
      <c r="M180" s="54"/>
      <c r="N180" s="49"/>
      <c r="O180" s="47"/>
      <c r="P180" s="47"/>
      <c r="Q180" s="48"/>
      <c r="R180" s="47"/>
      <c r="S180" s="48"/>
      <c r="T180" s="47"/>
      <c r="U180" s="48"/>
      <c r="V180" s="47"/>
      <c r="W180" s="48"/>
      <c r="X180" s="47"/>
      <c r="Y180" s="48"/>
      <c r="Z180" s="47"/>
      <c r="AA180" s="50"/>
      <c r="AB180" s="49"/>
      <c r="AC180" s="50"/>
      <c r="AD180" s="48"/>
      <c r="AE180" s="48"/>
      <c r="AF180" s="47"/>
      <c r="AG180" s="51"/>
      <c r="AH180" s="47"/>
      <c r="AI180" s="47"/>
      <c r="AJ180" s="47"/>
      <c r="AM180" s="65"/>
      <c r="AO180" s="43"/>
      <c r="AP180" s="43"/>
      <c r="AQ180" s="43"/>
      <c r="AR180" s="43"/>
      <c r="AS180" s="43"/>
      <c r="AT180" s="43"/>
      <c r="AU180" s="43"/>
      <c r="AV180" s="43"/>
      <c r="AW180" s="43"/>
      <c r="AX180" s="43"/>
      <c r="AY180" s="43"/>
      <c r="AZ180" s="43"/>
      <c r="BA180" s="43"/>
      <c r="BB180" s="43"/>
      <c r="BC180" s="43"/>
      <c r="BD180" s="43"/>
      <c r="BE180" s="43"/>
      <c r="BF180" s="43"/>
      <c r="BG180" s="43"/>
      <c r="BH180" s="43"/>
      <c r="BI180" s="43"/>
      <c r="BJ180" s="43"/>
      <c r="BK180" s="43"/>
      <c r="BL180" s="43"/>
      <c r="BM180" s="43"/>
      <c r="BN180" s="43"/>
      <c r="BO180" s="43"/>
      <c r="BP180" s="43"/>
      <c r="BQ180" s="43"/>
      <c r="BR180" s="43"/>
      <c r="BS180" s="43"/>
      <c r="BT180" s="43"/>
      <c r="BU180" s="43"/>
      <c r="BV180" s="43"/>
      <c r="BW180" s="43"/>
      <c r="BX180" s="43"/>
      <c r="BY180" s="43"/>
      <c r="BZ180" s="43"/>
      <c r="CA180" s="43"/>
      <c r="CB180" s="43"/>
      <c r="CC180" s="43"/>
      <c r="CD180" s="43"/>
      <c r="CE180" s="43"/>
      <c r="CF180" s="43"/>
      <c r="CG180" s="43"/>
      <c r="CH180" s="43"/>
      <c r="CI180" s="43"/>
      <c r="CJ180" s="43"/>
      <c r="CK180" s="43"/>
      <c r="CL180" s="43"/>
      <c r="CM180" s="43"/>
      <c r="CN180" s="43"/>
      <c r="CO180" s="43"/>
      <c r="CP180" s="43"/>
      <c r="CQ180" s="43"/>
      <c r="CR180" s="43"/>
      <c r="CS180" s="43"/>
      <c r="CT180" s="43"/>
      <c r="CU180" s="43"/>
      <c r="CV180" s="43"/>
      <c r="CW180" s="43"/>
      <c r="CX180" s="43"/>
      <c r="CY180" s="43"/>
      <c r="CZ180" s="43"/>
      <c r="DA180" s="43"/>
      <c r="DB180" s="43"/>
      <c r="DC180" s="43"/>
      <c r="DD180" s="43"/>
      <c r="DE180" s="43"/>
      <c r="DF180" s="43"/>
      <c r="DG180" s="43"/>
      <c r="DH180" s="43"/>
      <c r="DI180" s="43"/>
      <c r="DJ180" s="43"/>
      <c r="DK180" s="43"/>
      <c r="DL180" s="43"/>
      <c r="DM180" s="43"/>
      <c r="DN180" s="43"/>
      <c r="DO180" s="43"/>
      <c r="DP180" s="43"/>
      <c r="DQ180" s="43"/>
      <c r="DR180" s="43"/>
      <c r="DS180" s="43"/>
      <c r="DT180" s="43"/>
      <c r="DU180" s="43"/>
      <c r="DV180" s="43"/>
      <c r="DW180" s="43"/>
      <c r="DX180" s="43"/>
      <c r="DY180" s="43"/>
    </row>
    <row r="181" spans="1:129" s="64" customFormat="1" ht="36" customHeight="1" x14ac:dyDescent="0.3">
      <c r="A181" s="43"/>
      <c r="B181" s="56"/>
      <c r="C181" s="42"/>
      <c r="D181" s="43"/>
      <c r="E181" s="43"/>
      <c r="F181" s="43"/>
      <c r="G181" s="43"/>
      <c r="H181" s="44"/>
      <c r="I181" s="45"/>
      <c r="J181" s="46"/>
      <c r="K181" s="1670"/>
      <c r="L181" s="1671"/>
      <c r="M181" s="54"/>
      <c r="N181" s="49"/>
      <c r="O181" s="47"/>
      <c r="P181" s="55"/>
      <c r="Q181" s="48"/>
      <c r="R181" s="55"/>
      <c r="S181" s="48"/>
      <c r="T181" s="47"/>
      <c r="U181" s="48"/>
      <c r="V181" s="47"/>
      <c r="W181" s="48"/>
      <c r="X181" s="47"/>
      <c r="Y181" s="48"/>
      <c r="Z181" s="49"/>
      <c r="AA181" s="50"/>
      <c r="AB181" s="49"/>
      <c r="AC181" s="50"/>
      <c r="AD181" s="48"/>
      <c r="AE181" s="48"/>
      <c r="AF181" s="47"/>
      <c r="AG181" s="51"/>
      <c r="AH181" s="47"/>
      <c r="AI181" s="47"/>
      <c r="AJ181" s="47"/>
      <c r="AM181" s="65"/>
      <c r="AO181" s="43"/>
      <c r="AP181" s="43"/>
      <c r="AQ181" s="43"/>
      <c r="AR181" s="43"/>
      <c r="AS181" s="43"/>
      <c r="AT181" s="43"/>
      <c r="AU181" s="43"/>
      <c r="AV181" s="43"/>
      <c r="AW181" s="43"/>
      <c r="AX181" s="43"/>
      <c r="AY181" s="43"/>
      <c r="AZ181" s="43"/>
      <c r="BA181" s="43"/>
      <c r="BB181" s="43"/>
      <c r="BC181" s="43"/>
      <c r="BD181" s="43"/>
      <c r="BE181" s="43"/>
      <c r="BF181" s="43"/>
      <c r="BG181" s="43"/>
      <c r="BH181" s="43"/>
      <c r="BI181" s="43"/>
      <c r="BJ181" s="43"/>
      <c r="BK181" s="43"/>
      <c r="BL181" s="43"/>
      <c r="BM181" s="43"/>
      <c r="BN181" s="43"/>
      <c r="BO181" s="43"/>
      <c r="BP181" s="43"/>
      <c r="BQ181" s="43"/>
      <c r="BR181" s="43"/>
      <c r="BS181" s="43"/>
      <c r="BT181" s="43"/>
      <c r="BU181" s="43"/>
      <c r="BV181" s="43"/>
      <c r="BW181" s="43"/>
      <c r="BX181" s="43"/>
      <c r="BY181" s="43"/>
      <c r="BZ181" s="43"/>
      <c r="CA181" s="43"/>
      <c r="CB181" s="43"/>
      <c r="CC181" s="43"/>
      <c r="CD181" s="43"/>
      <c r="CE181" s="43"/>
      <c r="CF181" s="43"/>
      <c r="CG181" s="43"/>
      <c r="CH181" s="43"/>
      <c r="CI181" s="43"/>
      <c r="CJ181" s="43"/>
      <c r="CK181" s="43"/>
      <c r="CL181" s="43"/>
      <c r="CM181" s="43"/>
      <c r="CN181" s="43"/>
      <c r="CO181" s="43"/>
      <c r="CP181" s="43"/>
      <c r="CQ181" s="43"/>
      <c r="CR181" s="43"/>
      <c r="CS181" s="43"/>
      <c r="CT181" s="43"/>
      <c r="CU181" s="43"/>
      <c r="CV181" s="43"/>
      <c r="CW181" s="43"/>
      <c r="CX181" s="43"/>
      <c r="CY181" s="43"/>
      <c r="CZ181" s="43"/>
      <c r="DA181" s="43"/>
      <c r="DB181" s="43"/>
      <c r="DC181" s="43"/>
      <c r="DD181" s="43"/>
      <c r="DE181" s="43"/>
      <c r="DF181" s="43"/>
      <c r="DG181" s="43"/>
      <c r="DH181" s="43"/>
      <c r="DI181" s="43"/>
      <c r="DJ181" s="43"/>
      <c r="DK181" s="43"/>
      <c r="DL181" s="43"/>
      <c r="DM181" s="43"/>
      <c r="DN181" s="43"/>
      <c r="DO181" s="43"/>
      <c r="DP181" s="43"/>
      <c r="DQ181" s="43"/>
      <c r="DR181" s="43"/>
      <c r="DS181" s="43"/>
      <c r="DT181" s="43"/>
      <c r="DU181" s="43"/>
      <c r="DV181" s="43"/>
      <c r="DW181" s="43"/>
      <c r="DX181" s="43"/>
      <c r="DY181" s="43"/>
    </row>
    <row r="182" spans="1:129" s="64" customFormat="1" ht="32.25" customHeight="1" x14ac:dyDescent="0.3">
      <c r="A182" s="43"/>
      <c r="B182" s="56"/>
      <c r="C182" s="42"/>
      <c r="D182" s="43"/>
      <c r="E182" s="43"/>
      <c r="F182" s="43"/>
      <c r="G182" s="43"/>
      <c r="H182" s="44"/>
      <c r="I182" s="45"/>
      <c r="J182" s="46"/>
      <c r="K182" s="1670"/>
      <c r="L182" s="1671"/>
      <c r="M182" s="47"/>
      <c r="N182" s="49"/>
      <c r="O182" s="47"/>
      <c r="P182" s="47"/>
      <c r="Q182" s="48"/>
      <c r="R182" s="47"/>
      <c r="S182" s="48"/>
      <c r="T182" s="47"/>
      <c r="U182" s="48"/>
      <c r="V182" s="47"/>
      <c r="W182" s="48"/>
      <c r="X182" s="47"/>
      <c r="Y182" s="48"/>
      <c r="Z182" s="49"/>
      <c r="AA182" s="50"/>
      <c r="AB182" s="49"/>
      <c r="AC182" s="50"/>
      <c r="AD182" s="48"/>
      <c r="AE182" s="48"/>
      <c r="AF182" s="47"/>
      <c r="AG182" s="51"/>
      <c r="AH182" s="47"/>
      <c r="AI182" s="47"/>
      <c r="AJ182" s="47"/>
      <c r="AM182" s="65"/>
      <c r="AO182" s="43"/>
      <c r="AP182" s="43"/>
      <c r="AQ182" s="43"/>
      <c r="AR182" s="43"/>
      <c r="AS182" s="43"/>
      <c r="AT182" s="43"/>
      <c r="AU182" s="43"/>
      <c r="AV182" s="43"/>
      <c r="AW182" s="43"/>
      <c r="AX182" s="43"/>
      <c r="AY182" s="43"/>
      <c r="AZ182" s="43"/>
      <c r="BA182" s="43"/>
      <c r="BB182" s="43"/>
      <c r="BC182" s="43"/>
      <c r="BD182" s="43"/>
      <c r="BE182" s="43"/>
      <c r="BF182" s="43"/>
      <c r="BG182" s="43"/>
      <c r="BH182" s="43"/>
      <c r="BI182" s="43"/>
      <c r="BJ182" s="43"/>
      <c r="BK182" s="43"/>
      <c r="BL182" s="43"/>
      <c r="BM182" s="43"/>
      <c r="BN182" s="43"/>
      <c r="BO182" s="43"/>
      <c r="BP182" s="43"/>
      <c r="BQ182" s="43"/>
      <c r="BR182" s="43"/>
      <c r="BS182" s="43"/>
      <c r="BT182" s="43"/>
      <c r="BU182" s="43"/>
      <c r="BV182" s="43"/>
      <c r="BW182" s="43"/>
      <c r="BX182" s="43"/>
      <c r="BY182" s="43"/>
      <c r="BZ182" s="43"/>
      <c r="CA182" s="43"/>
      <c r="CB182" s="43"/>
      <c r="CC182" s="43"/>
      <c r="CD182" s="43"/>
      <c r="CE182" s="43"/>
      <c r="CF182" s="43"/>
      <c r="CG182" s="43"/>
      <c r="CH182" s="43"/>
      <c r="CI182" s="43"/>
      <c r="CJ182" s="43"/>
      <c r="CK182" s="43"/>
      <c r="CL182" s="43"/>
      <c r="CM182" s="43"/>
      <c r="CN182" s="43"/>
      <c r="CO182" s="43"/>
      <c r="CP182" s="43"/>
      <c r="CQ182" s="43"/>
      <c r="CR182" s="43"/>
      <c r="CS182" s="43"/>
      <c r="CT182" s="43"/>
      <c r="CU182" s="43"/>
      <c r="CV182" s="43"/>
      <c r="CW182" s="43"/>
      <c r="CX182" s="43"/>
      <c r="CY182" s="43"/>
      <c r="CZ182" s="43"/>
      <c r="DA182" s="43"/>
      <c r="DB182" s="43"/>
      <c r="DC182" s="43"/>
      <c r="DD182" s="43"/>
      <c r="DE182" s="43"/>
      <c r="DF182" s="43"/>
      <c r="DG182" s="43"/>
      <c r="DH182" s="43"/>
      <c r="DI182" s="43"/>
      <c r="DJ182" s="43"/>
      <c r="DK182" s="43"/>
      <c r="DL182" s="43"/>
      <c r="DM182" s="43"/>
      <c r="DN182" s="43"/>
      <c r="DO182" s="43"/>
      <c r="DP182" s="43"/>
      <c r="DQ182" s="43"/>
      <c r="DR182" s="43"/>
      <c r="DS182" s="43"/>
      <c r="DT182" s="43"/>
      <c r="DU182" s="43"/>
      <c r="DV182" s="43"/>
      <c r="DW182" s="43"/>
      <c r="DX182" s="43"/>
      <c r="DY182" s="43"/>
    </row>
    <row r="183" spans="1:129" s="64" customFormat="1" ht="34.5" customHeight="1" x14ac:dyDescent="0.3">
      <c r="A183" s="43"/>
      <c r="B183" s="56"/>
      <c r="C183" s="42"/>
      <c r="D183" s="43"/>
      <c r="E183" s="43"/>
      <c r="F183" s="43"/>
      <c r="G183" s="43"/>
      <c r="H183" s="44"/>
      <c r="I183" s="45"/>
      <c r="J183" s="46"/>
      <c r="K183" s="1670"/>
      <c r="L183" s="1671"/>
      <c r="M183" s="54"/>
      <c r="N183" s="49"/>
      <c r="O183" s="47"/>
      <c r="P183" s="47"/>
      <c r="Q183" s="48"/>
      <c r="R183" s="47"/>
      <c r="S183" s="48"/>
      <c r="T183" s="47"/>
      <c r="U183" s="48"/>
      <c r="V183" s="47"/>
      <c r="W183" s="48"/>
      <c r="X183" s="47"/>
      <c r="Y183" s="48"/>
      <c r="Z183" s="49"/>
      <c r="AA183" s="50"/>
      <c r="AB183" s="49"/>
      <c r="AC183" s="50"/>
      <c r="AD183" s="48"/>
      <c r="AE183" s="48"/>
      <c r="AF183" s="47"/>
      <c r="AG183" s="51"/>
      <c r="AH183" s="47"/>
      <c r="AI183" s="62"/>
      <c r="AJ183" s="62"/>
      <c r="AM183" s="65"/>
      <c r="AO183" s="43"/>
      <c r="AP183" s="43"/>
      <c r="AQ183" s="43"/>
      <c r="AR183" s="43"/>
      <c r="AS183" s="43"/>
      <c r="AT183" s="43"/>
      <c r="AU183" s="43"/>
      <c r="AV183" s="43"/>
      <c r="AW183" s="43"/>
      <c r="AX183" s="43"/>
      <c r="AY183" s="43"/>
      <c r="AZ183" s="43"/>
      <c r="BA183" s="43"/>
      <c r="BB183" s="43"/>
      <c r="BC183" s="43"/>
      <c r="BD183" s="43"/>
      <c r="BE183" s="43"/>
      <c r="BF183" s="43"/>
      <c r="BG183" s="43"/>
      <c r="BH183" s="43"/>
      <c r="BI183" s="43"/>
      <c r="BJ183" s="43"/>
      <c r="BK183" s="43"/>
      <c r="BL183" s="43"/>
      <c r="BM183" s="43"/>
      <c r="BN183" s="43"/>
      <c r="BO183" s="43"/>
      <c r="BP183" s="43"/>
      <c r="BQ183" s="43"/>
      <c r="BR183" s="43"/>
      <c r="BS183" s="43"/>
      <c r="BT183" s="43"/>
      <c r="BU183" s="43"/>
      <c r="BV183" s="43"/>
      <c r="BW183" s="43"/>
      <c r="BX183" s="43"/>
      <c r="BY183" s="43"/>
      <c r="BZ183" s="43"/>
      <c r="CA183" s="43"/>
      <c r="CB183" s="43"/>
      <c r="CC183" s="43"/>
      <c r="CD183" s="43"/>
      <c r="CE183" s="43"/>
      <c r="CF183" s="43"/>
      <c r="CG183" s="43"/>
      <c r="CH183" s="43"/>
      <c r="CI183" s="43"/>
      <c r="CJ183" s="43"/>
      <c r="CK183" s="43"/>
      <c r="CL183" s="43"/>
      <c r="CM183" s="43"/>
      <c r="CN183" s="43"/>
      <c r="CO183" s="43"/>
      <c r="CP183" s="43"/>
      <c r="CQ183" s="43"/>
      <c r="CR183" s="43"/>
      <c r="CS183" s="43"/>
      <c r="CT183" s="43"/>
      <c r="CU183" s="43"/>
      <c r="CV183" s="43"/>
      <c r="CW183" s="43"/>
      <c r="CX183" s="43"/>
      <c r="CY183" s="43"/>
      <c r="CZ183" s="43"/>
      <c r="DA183" s="43"/>
      <c r="DB183" s="43"/>
      <c r="DC183" s="43"/>
      <c r="DD183" s="43"/>
      <c r="DE183" s="43"/>
      <c r="DF183" s="43"/>
      <c r="DG183" s="43"/>
      <c r="DH183" s="43"/>
      <c r="DI183" s="43"/>
      <c r="DJ183" s="43"/>
      <c r="DK183" s="43"/>
      <c r="DL183" s="43"/>
      <c r="DM183" s="43"/>
      <c r="DN183" s="43"/>
      <c r="DO183" s="43"/>
      <c r="DP183" s="43"/>
      <c r="DQ183" s="43"/>
      <c r="DR183" s="43"/>
      <c r="DS183" s="43"/>
      <c r="DT183" s="43"/>
      <c r="DU183" s="43"/>
      <c r="DV183" s="43"/>
      <c r="DW183" s="43"/>
      <c r="DX183" s="43"/>
      <c r="DY183" s="43"/>
    </row>
    <row r="184" spans="1:129" s="64" customFormat="1" ht="36" customHeight="1" x14ac:dyDescent="0.3">
      <c r="A184" s="43"/>
      <c r="B184" s="56"/>
      <c r="C184" s="42"/>
      <c r="D184" s="43"/>
      <c r="E184" s="43"/>
      <c r="F184" s="43"/>
      <c r="G184" s="57"/>
      <c r="H184" s="58"/>
      <c r="I184" s="59"/>
      <c r="J184" s="60"/>
      <c r="K184" s="1670"/>
      <c r="L184" s="1671"/>
      <c r="M184" s="61"/>
      <c r="N184" s="61"/>
      <c r="O184" s="62"/>
      <c r="P184" s="47"/>
      <c r="Q184" s="63"/>
      <c r="R184" s="61"/>
      <c r="S184" s="63"/>
      <c r="T184" s="61"/>
      <c r="U184" s="63"/>
      <c r="V184" s="47"/>
      <c r="W184" s="48"/>
      <c r="X184" s="47"/>
      <c r="Y184" s="48"/>
      <c r="Z184" s="49"/>
      <c r="AA184" s="50"/>
      <c r="AB184" s="49"/>
      <c r="AC184" s="50"/>
      <c r="AD184" s="63"/>
      <c r="AE184" s="48"/>
      <c r="AF184" s="47"/>
      <c r="AG184" s="51"/>
      <c r="AH184" s="61"/>
      <c r="AI184" s="61"/>
      <c r="AJ184" s="61"/>
      <c r="AK184" s="56"/>
      <c r="AM184" s="65"/>
      <c r="AO184" s="43"/>
      <c r="AP184" s="43"/>
      <c r="AQ184" s="43"/>
      <c r="AR184" s="43"/>
      <c r="AS184" s="43"/>
      <c r="AT184" s="43"/>
      <c r="AU184" s="43"/>
      <c r="AV184" s="43"/>
      <c r="AW184" s="43"/>
      <c r="AX184" s="43"/>
      <c r="AY184" s="43"/>
      <c r="AZ184" s="43"/>
      <c r="BA184" s="43"/>
      <c r="BB184" s="43"/>
      <c r="BC184" s="43"/>
      <c r="BD184" s="43"/>
      <c r="BE184" s="43"/>
      <c r="BF184" s="43"/>
      <c r="BG184" s="43"/>
      <c r="BH184" s="43"/>
      <c r="BI184" s="43"/>
      <c r="BJ184" s="43"/>
      <c r="BK184" s="43"/>
      <c r="BL184" s="43"/>
      <c r="BM184" s="43"/>
      <c r="BN184" s="43"/>
      <c r="BO184" s="43"/>
      <c r="BP184" s="43"/>
      <c r="BQ184" s="43"/>
      <c r="BR184" s="43"/>
      <c r="BS184" s="43"/>
      <c r="BT184" s="43"/>
      <c r="BU184" s="43"/>
      <c r="BV184" s="43"/>
      <c r="BW184" s="43"/>
      <c r="BX184" s="43"/>
      <c r="BY184" s="43"/>
      <c r="BZ184" s="43"/>
      <c r="CA184" s="43"/>
      <c r="CB184" s="43"/>
      <c r="CC184" s="43"/>
      <c r="CD184" s="43"/>
      <c r="CE184" s="43"/>
      <c r="CF184" s="43"/>
      <c r="CG184" s="43"/>
      <c r="CH184" s="43"/>
      <c r="CI184" s="43"/>
      <c r="CJ184" s="43"/>
      <c r="CK184" s="43"/>
      <c r="CL184" s="43"/>
      <c r="CM184" s="43"/>
      <c r="CN184" s="43"/>
      <c r="CO184" s="43"/>
      <c r="CP184" s="43"/>
      <c r="CQ184" s="43"/>
      <c r="CR184" s="43"/>
      <c r="CS184" s="43"/>
      <c r="CT184" s="43"/>
      <c r="CU184" s="43"/>
      <c r="CV184" s="43"/>
      <c r="CW184" s="43"/>
      <c r="CX184" s="43"/>
      <c r="CY184" s="43"/>
      <c r="CZ184" s="43"/>
      <c r="DA184" s="43"/>
      <c r="DB184" s="43"/>
      <c r="DC184" s="43"/>
      <c r="DD184" s="43"/>
      <c r="DE184" s="43"/>
      <c r="DF184" s="43"/>
      <c r="DG184" s="43"/>
      <c r="DH184" s="43"/>
      <c r="DI184" s="43"/>
      <c r="DJ184" s="43"/>
      <c r="DK184" s="43"/>
      <c r="DL184" s="43"/>
      <c r="DM184" s="43"/>
      <c r="DN184" s="43"/>
      <c r="DO184" s="43"/>
      <c r="DP184" s="43"/>
      <c r="DQ184" s="43"/>
      <c r="DR184" s="43"/>
      <c r="DS184" s="43"/>
      <c r="DT184" s="43"/>
      <c r="DU184" s="43"/>
      <c r="DV184" s="43"/>
      <c r="DW184" s="43"/>
      <c r="DX184" s="43"/>
      <c r="DY184" s="43"/>
    </row>
    <row r="185" spans="1:129" s="64" customFormat="1" ht="33" customHeight="1" x14ac:dyDescent="0.3">
      <c r="A185" s="43"/>
      <c r="B185" s="56"/>
      <c r="C185" s="42"/>
      <c r="D185" s="43"/>
      <c r="E185" s="43"/>
      <c r="F185" s="66"/>
      <c r="G185" s="67"/>
      <c r="H185" s="68"/>
      <c r="I185" s="69"/>
      <c r="J185" s="70"/>
      <c r="K185" s="1672"/>
      <c r="L185" s="1671"/>
      <c r="M185" s="61"/>
      <c r="N185" s="61"/>
      <c r="O185" s="71"/>
      <c r="P185" s="72"/>
      <c r="Q185" s="63"/>
      <c r="R185" s="61"/>
      <c r="S185" s="63"/>
      <c r="T185" s="61"/>
      <c r="U185" s="63"/>
      <c r="V185" s="47"/>
      <c r="W185" s="48"/>
      <c r="X185" s="47"/>
      <c r="Y185" s="48"/>
      <c r="Z185" s="49"/>
      <c r="AA185" s="50"/>
      <c r="AB185" s="49"/>
      <c r="AC185" s="50"/>
      <c r="AD185" s="63"/>
      <c r="AE185" s="48"/>
      <c r="AF185" s="47"/>
      <c r="AG185" s="51"/>
      <c r="AH185" s="61"/>
      <c r="AI185" s="61"/>
      <c r="AJ185" s="61"/>
      <c r="AK185" s="56"/>
      <c r="AM185" s="65"/>
      <c r="AO185" s="43"/>
      <c r="AP185" s="43"/>
      <c r="AQ185" s="43"/>
      <c r="AR185" s="43"/>
      <c r="AS185" s="43"/>
      <c r="AT185" s="43"/>
      <c r="AU185" s="43"/>
      <c r="AV185" s="43"/>
      <c r="AW185" s="43"/>
      <c r="AX185" s="43"/>
      <c r="AY185" s="43"/>
      <c r="AZ185" s="43"/>
      <c r="BA185" s="43"/>
      <c r="BB185" s="43"/>
      <c r="BC185" s="43"/>
      <c r="BD185" s="43"/>
      <c r="BE185" s="43"/>
      <c r="BF185" s="43"/>
      <c r="BG185" s="43"/>
      <c r="BH185" s="43"/>
      <c r="BI185" s="43"/>
      <c r="BJ185" s="43"/>
      <c r="BK185" s="43"/>
      <c r="BL185" s="43"/>
      <c r="BM185" s="43"/>
      <c r="BN185" s="43"/>
      <c r="BO185" s="43"/>
      <c r="BP185" s="43"/>
      <c r="BQ185" s="43"/>
      <c r="BR185" s="43"/>
      <c r="BS185" s="43"/>
      <c r="BT185" s="43"/>
      <c r="BU185" s="43"/>
      <c r="BV185" s="43"/>
      <c r="BW185" s="43"/>
      <c r="BX185" s="43"/>
      <c r="BY185" s="43"/>
      <c r="BZ185" s="43"/>
      <c r="CA185" s="43"/>
      <c r="CB185" s="43"/>
      <c r="CC185" s="43"/>
      <c r="CD185" s="43"/>
      <c r="CE185" s="43"/>
      <c r="CF185" s="43"/>
      <c r="CG185" s="43"/>
      <c r="CH185" s="43"/>
      <c r="CI185" s="43"/>
      <c r="CJ185" s="43"/>
      <c r="CK185" s="43"/>
      <c r="CL185" s="43"/>
      <c r="CM185" s="43"/>
      <c r="CN185" s="43"/>
      <c r="CO185" s="43"/>
      <c r="CP185" s="43"/>
      <c r="CQ185" s="43"/>
      <c r="CR185" s="43"/>
      <c r="CS185" s="43"/>
      <c r="CT185" s="43"/>
      <c r="CU185" s="43"/>
      <c r="CV185" s="43"/>
      <c r="CW185" s="43"/>
      <c r="CX185" s="43"/>
      <c r="CY185" s="43"/>
      <c r="CZ185" s="43"/>
      <c r="DA185" s="43"/>
      <c r="DB185" s="43"/>
      <c r="DC185" s="43"/>
      <c r="DD185" s="43"/>
      <c r="DE185" s="43"/>
      <c r="DF185" s="43"/>
      <c r="DG185" s="43"/>
      <c r="DH185" s="43"/>
      <c r="DI185" s="43"/>
      <c r="DJ185" s="43"/>
      <c r="DK185" s="43"/>
      <c r="DL185" s="43"/>
      <c r="DM185" s="43"/>
      <c r="DN185" s="43"/>
      <c r="DO185" s="43"/>
      <c r="DP185" s="43"/>
      <c r="DQ185" s="43"/>
      <c r="DR185" s="43"/>
      <c r="DS185" s="43"/>
      <c r="DT185" s="43"/>
      <c r="DU185" s="43"/>
      <c r="DV185" s="43"/>
      <c r="DW185" s="43"/>
      <c r="DX185" s="43"/>
      <c r="DY185" s="43"/>
    </row>
    <row r="186" spans="1:129" s="88" customFormat="1" ht="31.5" customHeight="1" x14ac:dyDescent="0.3">
      <c r="A186" s="57"/>
      <c r="B186" s="56"/>
      <c r="C186" s="73"/>
      <c r="D186" s="57"/>
      <c r="E186" s="57"/>
      <c r="F186" s="74"/>
      <c r="G186" s="75"/>
      <c r="H186" s="76"/>
      <c r="I186" s="77"/>
      <c r="J186" s="78"/>
      <c r="K186" s="1673"/>
      <c r="L186" s="1674"/>
      <c r="M186" s="79"/>
      <c r="N186" s="79"/>
      <c r="O186" s="80"/>
      <c r="P186" s="81"/>
      <c r="Q186" s="82"/>
      <c r="R186" s="79"/>
      <c r="S186" s="82"/>
      <c r="T186" s="79"/>
      <c r="U186" s="82"/>
      <c r="V186" s="62"/>
      <c r="W186" s="83"/>
      <c r="X186" s="62"/>
      <c r="Y186" s="83"/>
      <c r="Z186" s="84"/>
      <c r="AA186" s="85"/>
      <c r="AB186" s="84"/>
      <c r="AC186" s="85"/>
      <c r="AD186" s="82"/>
      <c r="AE186" s="83"/>
      <c r="AF186" s="62"/>
      <c r="AG186" s="86"/>
      <c r="AH186" s="79"/>
      <c r="AI186" s="61"/>
      <c r="AJ186" s="61"/>
      <c r="AK186" s="87"/>
      <c r="AM186" s="89"/>
      <c r="AN186" s="64"/>
      <c r="AO186" s="57"/>
      <c r="AP186" s="57"/>
      <c r="AQ186" s="57"/>
      <c r="AR186" s="57"/>
      <c r="AS186" s="57"/>
      <c r="AT186" s="57"/>
      <c r="AU186" s="57"/>
      <c r="AV186" s="57"/>
      <c r="AW186" s="57"/>
      <c r="AX186" s="57"/>
      <c r="AY186" s="57"/>
      <c r="AZ186" s="57"/>
      <c r="BA186" s="57"/>
      <c r="BB186" s="57"/>
      <c r="BC186" s="57"/>
      <c r="BD186" s="57"/>
      <c r="BE186" s="57"/>
      <c r="BF186" s="57"/>
      <c r="BG186" s="57"/>
      <c r="BH186" s="57"/>
      <c r="BI186" s="57"/>
      <c r="BJ186" s="57"/>
      <c r="BK186" s="57"/>
      <c r="BL186" s="57"/>
      <c r="BM186" s="57"/>
      <c r="BN186" s="57"/>
      <c r="BO186" s="57"/>
      <c r="BP186" s="57"/>
      <c r="BQ186" s="57"/>
      <c r="BR186" s="57"/>
      <c r="BS186" s="57"/>
      <c r="BT186" s="57"/>
      <c r="BU186" s="57"/>
      <c r="BV186" s="57"/>
      <c r="BW186" s="57"/>
      <c r="BX186" s="57"/>
      <c r="BY186" s="57"/>
      <c r="BZ186" s="57"/>
      <c r="CA186" s="57"/>
      <c r="CB186" s="57"/>
      <c r="CC186" s="57"/>
      <c r="CD186" s="57"/>
      <c r="CE186" s="57"/>
      <c r="CF186" s="57"/>
      <c r="CG186" s="57"/>
      <c r="CH186" s="57"/>
      <c r="CI186" s="57"/>
      <c r="CJ186" s="57"/>
      <c r="CK186" s="57"/>
      <c r="CL186" s="57"/>
      <c r="CM186" s="57"/>
      <c r="CN186" s="57"/>
      <c r="CO186" s="57"/>
      <c r="CP186" s="57"/>
      <c r="CQ186" s="57"/>
      <c r="CR186" s="57"/>
      <c r="CS186" s="57"/>
      <c r="CT186" s="57"/>
      <c r="CU186" s="57"/>
      <c r="CV186" s="57"/>
      <c r="CW186" s="57"/>
      <c r="CX186" s="57"/>
      <c r="CY186" s="57"/>
      <c r="CZ186" s="57"/>
      <c r="DA186" s="57"/>
      <c r="DB186" s="57"/>
      <c r="DC186" s="57"/>
      <c r="DD186" s="57"/>
      <c r="DE186" s="57"/>
      <c r="DF186" s="57"/>
      <c r="DG186" s="57"/>
      <c r="DH186" s="57"/>
      <c r="DI186" s="57"/>
      <c r="DJ186" s="57"/>
      <c r="DK186" s="57"/>
      <c r="DL186" s="57"/>
      <c r="DM186" s="57"/>
      <c r="DN186" s="57"/>
      <c r="DO186" s="57"/>
      <c r="DP186" s="57"/>
      <c r="DQ186" s="57"/>
      <c r="DR186" s="57"/>
      <c r="DS186" s="57"/>
      <c r="DT186" s="57"/>
      <c r="DU186" s="57"/>
      <c r="DV186" s="57"/>
      <c r="DW186" s="57"/>
      <c r="DX186" s="57"/>
      <c r="DY186" s="57"/>
    </row>
    <row r="187" spans="1:129" s="95" customFormat="1" ht="35.25" customHeight="1" x14ac:dyDescent="0.3">
      <c r="A187" s="75"/>
      <c r="B187" s="87"/>
      <c r="C187" s="90"/>
      <c r="D187" s="75"/>
      <c r="E187" s="67"/>
      <c r="F187" s="67"/>
      <c r="G187" s="67"/>
      <c r="H187" s="68"/>
      <c r="I187" s="69"/>
      <c r="J187" s="70"/>
      <c r="K187" s="1675"/>
      <c r="L187" s="1676"/>
      <c r="M187" s="79"/>
      <c r="N187" s="79"/>
      <c r="O187" s="80"/>
      <c r="P187" s="80"/>
      <c r="Q187" s="82"/>
      <c r="R187" s="79"/>
      <c r="S187" s="82"/>
      <c r="T187" s="79"/>
      <c r="U187" s="82"/>
      <c r="V187" s="80"/>
      <c r="W187" s="91"/>
      <c r="X187" s="80"/>
      <c r="Y187" s="91"/>
      <c r="Z187" s="92"/>
      <c r="AA187" s="93"/>
      <c r="AB187" s="92"/>
      <c r="AC187" s="93"/>
      <c r="AD187" s="82"/>
      <c r="AE187" s="91"/>
      <c r="AF187" s="80"/>
      <c r="AG187" s="94"/>
      <c r="AH187" s="79"/>
      <c r="AI187" s="79"/>
      <c r="AJ187" s="79"/>
      <c r="AM187" s="96"/>
      <c r="AN187" s="88"/>
      <c r="AO187" s="75"/>
      <c r="AP187" s="75"/>
      <c r="AQ187" s="75"/>
      <c r="AR187" s="75"/>
      <c r="AS187" s="75"/>
      <c r="AT187" s="75"/>
      <c r="AU187" s="75"/>
      <c r="AV187" s="75"/>
      <c r="AW187" s="75"/>
      <c r="AX187" s="75"/>
      <c r="AY187" s="75"/>
      <c r="AZ187" s="75"/>
      <c r="BA187" s="75"/>
      <c r="BB187" s="75"/>
      <c r="BC187" s="75"/>
      <c r="BD187" s="75"/>
      <c r="BE187" s="75"/>
      <c r="BF187" s="75"/>
      <c r="BG187" s="75"/>
      <c r="BH187" s="75"/>
      <c r="BI187" s="75"/>
      <c r="BJ187" s="75"/>
      <c r="BK187" s="75"/>
      <c r="BL187" s="75"/>
      <c r="BM187" s="75"/>
      <c r="BN187" s="75"/>
      <c r="BO187" s="75"/>
      <c r="BP187" s="75"/>
      <c r="BQ187" s="75"/>
      <c r="BR187" s="75"/>
      <c r="BS187" s="75"/>
      <c r="BT187" s="75"/>
      <c r="BU187" s="75"/>
      <c r="BV187" s="75"/>
      <c r="BW187" s="75"/>
      <c r="BX187" s="75"/>
      <c r="BY187" s="75"/>
      <c r="BZ187" s="75"/>
      <c r="CA187" s="75"/>
      <c r="CB187" s="75"/>
      <c r="CC187" s="75"/>
      <c r="CD187" s="75"/>
      <c r="CE187" s="75"/>
      <c r="CF187" s="75"/>
      <c r="CG187" s="75"/>
      <c r="CH187" s="75"/>
      <c r="CI187" s="75"/>
      <c r="CJ187" s="75"/>
      <c r="CK187" s="75"/>
      <c r="CL187" s="75"/>
      <c r="CM187" s="75"/>
      <c r="CN187" s="75"/>
      <c r="CO187" s="75"/>
      <c r="CP187" s="75"/>
      <c r="CQ187" s="75"/>
      <c r="CR187" s="75"/>
      <c r="CS187" s="75"/>
      <c r="CT187" s="75"/>
      <c r="CU187" s="75"/>
      <c r="CV187" s="75"/>
      <c r="CW187" s="75"/>
      <c r="CX187" s="75"/>
      <c r="CY187" s="75"/>
      <c r="CZ187" s="75"/>
      <c r="DA187" s="75"/>
      <c r="DB187" s="75"/>
      <c r="DC187" s="75"/>
      <c r="DD187" s="75"/>
      <c r="DE187" s="75"/>
      <c r="DF187" s="75"/>
      <c r="DG187" s="75"/>
      <c r="DH187" s="75"/>
      <c r="DI187" s="75"/>
      <c r="DJ187" s="75"/>
      <c r="DK187" s="75"/>
      <c r="DL187" s="75"/>
      <c r="DM187" s="75"/>
      <c r="DN187" s="75"/>
      <c r="DO187" s="75"/>
      <c r="DP187" s="75"/>
      <c r="DQ187" s="75"/>
      <c r="DR187" s="75"/>
      <c r="DS187" s="75"/>
      <c r="DT187" s="75"/>
      <c r="DU187" s="75"/>
      <c r="DV187" s="75"/>
      <c r="DW187" s="75"/>
      <c r="DX187" s="75"/>
      <c r="DY187" s="75"/>
    </row>
    <row r="188" spans="1:129" s="553" customFormat="1" ht="73.2" customHeight="1" x14ac:dyDescent="0.3">
      <c r="A188" s="67"/>
      <c r="C188" s="554"/>
      <c r="D188" s="67"/>
      <c r="E188" s="67"/>
      <c r="F188" s="67"/>
      <c r="G188" s="67"/>
      <c r="H188" s="68"/>
      <c r="I188" s="69"/>
      <c r="J188" s="70"/>
      <c r="K188" s="1677"/>
      <c r="L188" s="1678"/>
      <c r="M188" s="61"/>
      <c r="N188" s="61"/>
      <c r="O188" s="71"/>
      <c r="P188" s="71"/>
      <c r="Q188" s="63"/>
      <c r="R188" s="61"/>
      <c r="S188" s="63"/>
      <c r="T188" s="61"/>
      <c r="U188" s="63"/>
      <c r="V188" s="71"/>
      <c r="W188" s="264"/>
      <c r="X188" s="71"/>
      <c r="Y188" s="264"/>
      <c r="Z188" s="263"/>
      <c r="AA188" s="262"/>
      <c r="AB188" s="263"/>
      <c r="AC188" s="262"/>
      <c r="AD188" s="63"/>
      <c r="AE188" s="264"/>
      <c r="AF188" s="71"/>
      <c r="AG188" s="265"/>
      <c r="AH188" s="61"/>
      <c r="AI188" s="61"/>
      <c r="AJ188" s="61"/>
      <c r="AM188" s="555"/>
      <c r="AO188" s="67"/>
      <c r="AP188" s="67"/>
      <c r="AQ188" s="67"/>
      <c r="AR188" s="67"/>
      <c r="AS188" s="67"/>
      <c r="AT188" s="67"/>
      <c r="AU188" s="67"/>
      <c r="AV188" s="67"/>
      <c r="AW188" s="67"/>
      <c r="AX188" s="67"/>
      <c r="AY188" s="67"/>
      <c r="AZ188" s="67"/>
      <c r="BA188" s="67"/>
      <c r="BB188" s="67"/>
      <c r="BC188" s="67"/>
      <c r="BD188" s="67"/>
      <c r="BE188" s="67"/>
      <c r="BF188" s="67"/>
      <c r="BG188" s="67"/>
      <c r="BH188" s="67"/>
      <c r="BI188" s="67"/>
      <c r="BJ188" s="67"/>
      <c r="BK188" s="67"/>
      <c r="BL188" s="67"/>
      <c r="BM188" s="67"/>
      <c r="BN188" s="67"/>
      <c r="BO188" s="67"/>
      <c r="BP188" s="67"/>
      <c r="BQ188" s="67"/>
      <c r="BR188" s="67"/>
      <c r="BS188" s="67"/>
      <c r="BT188" s="67"/>
      <c r="BU188" s="67"/>
      <c r="BV188" s="67"/>
      <c r="BW188" s="67"/>
      <c r="BX188" s="67"/>
      <c r="BY188" s="67"/>
      <c r="BZ188" s="67"/>
      <c r="CA188" s="67"/>
      <c r="CB188" s="67"/>
      <c r="CC188" s="67"/>
      <c r="CD188" s="67"/>
      <c r="CE188" s="67"/>
      <c r="CF188" s="67"/>
      <c r="CG188" s="67"/>
      <c r="CH188" s="67"/>
      <c r="CI188" s="67"/>
      <c r="CJ188" s="67"/>
      <c r="CK188" s="67"/>
      <c r="CL188" s="67"/>
      <c r="CM188" s="67"/>
      <c r="CN188" s="67"/>
      <c r="CO188" s="67"/>
      <c r="CP188" s="67"/>
      <c r="CQ188" s="67"/>
      <c r="CR188" s="67"/>
      <c r="CS188" s="67"/>
      <c r="CT188" s="67"/>
      <c r="CU188" s="67"/>
      <c r="CV188" s="67"/>
      <c r="CW188" s="67"/>
      <c r="CX188" s="67"/>
      <c r="CY188" s="67"/>
      <c r="CZ188" s="67"/>
      <c r="DA188" s="67"/>
      <c r="DB188" s="67"/>
      <c r="DC188" s="67"/>
      <c r="DD188" s="67"/>
      <c r="DE188" s="67"/>
      <c r="DF188" s="67"/>
      <c r="DG188" s="67"/>
      <c r="DH188" s="67"/>
      <c r="DI188" s="67"/>
      <c r="DJ188" s="67"/>
      <c r="DK188" s="67"/>
      <c r="DL188" s="67"/>
      <c r="DM188" s="67"/>
      <c r="DN188" s="67"/>
      <c r="DO188" s="67"/>
      <c r="DP188" s="67"/>
      <c r="DQ188" s="67"/>
      <c r="DR188" s="67"/>
      <c r="DS188" s="67"/>
      <c r="DT188" s="67"/>
      <c r="DU188" s="67"/>
      <c r="DV188" s="67"/>
      <c r="DW188" s="67"/>
      <c r="DX188" s="67"/>
      <c r="DY188" s="67"/>
    </row>
    <row r="189" spans="1:129" s="556" customFormat="1" ht="23.4" customHeight="1" x14ac:dyDescent="0.3">
      <c r="B189" s="557"/>
      <c r="C189" s="558"/>
      <c r="H189" s="559"/>
      <c r="I189" s="560"/>
      <c r="J189" s="559"/>
      <c r="K189" s="1669"/>
      <c r="L189" s="1669"/>
      <c r="M189" s="562"/>
      <c r="N189" s="562"/>
      <c r="O189" s="562"/>
      <c r="P189" s="562"/>
      <c r="Q189" s="563"/>
      <c r="R189" s="562"/>
      <c r="S189" s="563"/>
      <c r="T189" s="562"/>
      <c r="U189" s="563"/>
      <c r="V189" s="562"/>
      <c r="W189" s="563"/>
      <c r="X189" s="562"/>
      <c r="Y189" s="563"/>
      <c r="Z189" s="562"/>
      <c r="AA189" s="563"/>
      <c r="AB189" s="562"/>
      <c r="AC189" s="563"/>
      <c r="AD189" s="563"/>
      <c r="AE189" s="563"/>
      <c r="AF189" s="562"/>
      <c r="AG189" s="564"/>
      <c r="AH189" s="561"/>
      <c r="AI189" s="561"/>
      <c r="AJ189" s="561"/>
      <c r="AM189" s="565"/>
      <c r="AN189" s="566"/>
      <c r="AO189" s="307"/>
      <c r="AP189" s="307"/>
      <c r="AQ189" s="307"/>
      <c r="AR189" s="307"/>
      <c r="AS189" s="307"/>
      <c r="AT189" s="307"/>
      <c r="AU189" s="307"/>
      <c r="AV189" s="307"/>
      <c r="AW189" s="307"/>
      <c r="AX189" s="307"/>
      <c r="AY189" s="307"/>
      <c r="AZ189" s="307"/>
      <c r="BA189" s="307"/>
      <c r="BB189" s="307"/>
      <c r="BC189" s="307"/>
      <c r="BD189" s="307"/>
      <c r="BE189" s="307"/>
      <c r="BF189" s="307"/>
      <c r="BG189" s="307"/>
      <c r="BH189" s="307"/>
      <c r="BI189" s="307"/>
      <c r="BJ189" s="307"/>
      <c r="BK189" s="307"/>
      <c r="BL189" s="307"/>
      <c r="BM189" s="307"/>
      <c r="BN189" s="307"/>
      <c r="BO189" s="307"/>
      <c r="BP189" s="307"/>
      <c r="BQ189" s="307"/>
      <c r="BR189" s="307"/>
      <c r="BS189" s="307"/>
      <c r="BT189" s="307"/>
      <c r="BU189" s="307"/>
      <c r="BV189" s="307"/>
      <c r="BW189" s="307"/>
      <c r="BX189" s="307"/>
      <c r="BY189" s="307"/>
      <c r="BZ189" s="307"/>
      <c r="CA189" s="307"/>
      <c r="CB189" s="307"/>
      <c r="CC189" s="307"/>
      <c r="CD189" s="307"/>
      <c r="CE189" s="307"/>
      <c r="CF189" s="307"/>
      <c r="CG189" s="307"/>
      <c r="CH189" s="307"/>
      <c r="CI189" s="307"/>
      <c r="CJ189" s="307"/>
      <c r="CK189" s="307"/>
      <c r="CL189" s="307"/>
      <c r="CM189" s="307"/>
      <c r="CN189" s="307"/>
      <c r="CO189" s="307"/>
      <c r="CP189" s="307"/>
      <c r="CQ189" s="307"/>
      <c r="CR189" s="307"/>
      <c r="CS189" s="307"/>
      <c r="CT189" s="307"/>
      <c r="CU189" s="307"/>
      <c r="CV189" s="307"/>
      <c r="CW189" s="307"/>
      <c r="CX189" s="307"/>
      <c r="CY189" s="307"/>
      <c r="CZ189" s="307"/>
      <c r="DA189" s="307"/>
      <c r="DB189" s="307"/>
      <c r="DC189" s="307"/>
      <c r="DD189" s="307"/>
      <c r="DE189" s="307"/>
      <c r="DF189" s="307"/>
      <c r="DG189" s="307"/>
      <c r="DH189" s="307"/>
      <c r="DI189" s="307"/>
      <c r="DJ189" s="307"/>
      <c r="DK189" s="307"/>
      <c r="DL189" s="307"/>
      <c r="DM189" s="307"/>
      <c r="DN189" s="307"/>
      <c r="DO189" s="307"/>
      <c r="DP189" s="307"/>
      <c r="DQ189" s="307"/>
      <c r="DR189" s="307"/>
      <c r="DS189" s="307"/>
      <c r="DT189" s="307"/>
      <c r="DU189" s="307"/>
      <c r="DV189" s="307"/>
      <c r="DW189" s="307"/>
      <c r="DX189" s="307"/>
      <c r="DY189" s="307"/>
    </row>
    <row r="190" spans="1:129" s="578" customFormat="1" ht="43.2" customHeight="1" x14ac:dyDescent="0.3">
      <c r="A190" s="567"/>
      <c r="B190" s="568"/>
      <c r="C190" s="569"/>
      <c r="D190" s="567"/>
      <c r="E190" s="567"/>
      <c r="F190" s="567"/>
      <c r="G190" s="567"/>
      <c r="H190" s="570"/>
      <c r="I190" s="571"/>
      <c r="J190" s="570"/>
      <c r="K190" s="1679"/>
      <c r="L190" s="1679"/>
      <c r="M190" s="573"/>
      <c r="N190" s="573"/>
      <c r="O190" s="573"/>
      <c r="P190" s="573"/>
      <c r="Q190" s="574"/>
      <c r="R190" s="573"/>
      <c r="S190" s="574"/>
      <c r="T190" s="573"/>
      <c r="U190" s="574"/>
      <c r="V190" s="573"/>
      <c r="W190" s="574"/>
      <c r="X190" s="573"/>
      <c r="Y190" s="574"/>
      <c r="Z190" s="573"/>
      <c r="AA190" s="574"/>
      <c r="AB190" s="573"/>
      <c r="AC190" s="574"/>
      <c r="AD190" s="574"/>
      <c r="AE190" s="574"/>
      <c r="AF190" s="573"/>
      <c r="AG190" s="575"/>
      <c r="AH190" s="572"/>
      <c r="AI190" s="572"/>
      <c r="AJ190" s="572"/>
      <c r="AK190" s="567"/>
      <c r="AL190" s="567"/>
      <c r="AM190" s="576"/>
      <c r="AN190" s="577"/>
      <c r="AO190" s="143"/>
      <c r="AP190" s="143"/>
      <c r="AQ190" s="143"/>
      <c r="AR190" s="143"/>
      <c r="AS190" s="143"/>
      <c r="AT190" s="143"/>
      <c r="AU190" s="143"/>
      <c r="AV190" s="143"/>
      <c r="AW190" s="143"/>
      <c r="AX190" s="143"/>
      <c r="AY190" s="143"/>
      <c r="AZ190" s="143"/>
      <c r="BA190" s="143"/>
      <c r="BB190" s="143"/>
      <c r="BC190" s="143"/>
      <c r="BD190" s="143"/>
      <c r="BE190" s="143"/>
      <c r="BF190" s="143"/>
      <c r="BG190" s="143"/>
      <c r="BH190" s="143"/>
      <c r="BI190" s="143"/>
      <c r="BJ190" s="143"/>
      <c r="BK190" s="143"/>
      <c r="BL190" s="143"/>
      <c r="BM190" s="143"/>
      <c r="BN190" s="143"/>
      <c r="BO190" s="143"/>
      <c r="BP190" s="143"/>
      <c r="BQ190" s="143"/>
      <c r="BR190" s="143"/>
      <c r="BS190" s="143"/>
      <c r="BT190" s="143"/>
      <c r="BU190" s="143"/>
      <c r="BV190" s="143"/>
      <c r="BW190" s="143"/>
      <c r="BX190" s="143"/>
      <c r="BY190" s="143"/>
      <c r="BZ190" s="143"/>
      <c r="CA190" s="143"/>
      <c r="CB190" s="143"/>
      <c r="CC190" s="143"/>
      <c r="CD190" s="143"/>
      <c r="CE190" s="143"/>
      <c r="CF190" s="143"/>
      <c r="CG190" s="143"/>
      <c r="CH190" s="143"/>
      <c r="CI190" s="143"/>
      <c r="CJ190" s="143"/>
      <c r="CK190" s="143"/>
      <c r="CL190" s="143"/>
      <c r="CM190" s="143"/>
      <c r="CN190" s="143"/>
      <c r="CO190" s="143"/>
      <c r="CP190" s="143"/>
      <c r="CQ190" s="143"/>
      <c r="CR190" s="143"/>
      <c r="CS190" s="143"/>
      <c r="CT190" s="143"/>
      <c r="CU190" s="143"/>
      <c r="CV190" s="143"/>
      <c r="CW190" s="143"/>
      <c r="CX190" s="143"/>
      <c r="CY190" s="143"/>
      <c r="CZ190" s="143"/>
      <c r="DA190" s="143"/>
      <c r="DB190" s="143"/>
      <c r="DC190" s="143"/>
      <c r="DD190" s="143"/>
      <c r="DE190" s="143"/>
      <c r="DF190" s="143"/>
      <c r="DG190" s="143"/>
      <c r="DH190" s="143"/>
      <c r="DI190" s="143"/>
      <c r="DJ190" s="143"/>
      <c r="DK190" s="143"/>
      <c r="DL190" s="143"/>
      <c r="DM190" s="143"/>
      <c r="DN190" s="143"/>
      <c r="DO190" s="143"/>
      <c r="DP190" s="143"/>
      <c r="DQ190" s="143"/>
      <c r="DR190" s="143"/>
      <c r="DS190" s="143"/>
      <c r="DT190" s="143"/>
      <c r="DU190" s="143"/>
      <c r="DV190" s="143"/>
      <c r="DW190" s="143"/>
      <c r="DX190" s="143"/>
      <c r="DY190" s="143"/>
    </row>
    <row r="191" spans="1:129" s="581" customFormat="1" ht="70.95" customHeight="1" x14ac:dyDescent="0.3">
      <c r="A191" s="359"/>
      <c r="B191" s="579"/>
      <c r="C191" s="580"/>
      <c r="H191" s="582"/>
      <c r="I191" s="583"/>
      <c r="J191" s="584"/>
      <c r="K191" s="1655"/>
      <c r="L191" s="1655"/>
      <c r="M191" s="585"/>
      <c r="N191" s="585"/>
      <c r="O191" s="585"/>
      <c r="P191" s="585"/>
      <c r="Q191" s="586"/>
      <c r="R191" s="585"/>
      <c r="S191" s="586"/>
      <c r="T191" s="585"/>
      <c r="U191" s="586"/>
      <c r="V191" s="585"/>
      <c r="W191" s="586"/>
      <c r="X191" s="585"/>
      <c r="Y191" s="586"/>
      <c r="Z191" s="585"/>
      <c r="AA191" s="586"/>
      <c r="AB191" s="585"/>
      <c r="AC191" s="586"/>
      <c r="AD191" s="586"/>
      <c r="AE191" s="586"/>
      <c r="AF191" s="585"/>
      <c r="AG191" s="587"/>
      <c r="AH191" s="588"/>
      <c r="AI191" s="588"/>
      <c r="AJ191" s="588"/>
      <c r="AM191" s="589"/>
      <c r="AN191" s="98"/>
      <c r="AO191" s="101"/>
      <c r="AP191" s="109"/>
      <c r="AQ191" s="100"/>
      <c r="AR191" s="100"/>
      <c r="AS191" s="100"/>
      <c r="AT191" s="100"/>
      <c r="AU191" s="100"/>
      <c r="AV191" s="100"/>
      <c r="AW191" s="100"/>
      <c r="AX191" s="100"/>
      <c r="AY191" s="100"/>
      <c r="AZ191" s="100"/>
      <c r="BA191" s="100"/>
      <c r="BB191" s="100"/>
      <c r="BC191" s="100"/>
      <c r="BD191" s="100"/>
      <c r="BE191" s="100"/>
      <c r="BF191" s="100"/>
      <c r="BG191" s="100"/>
      <c r="BH191" s="100"/>
      <c r="BI191" s="100"/>
      <c r="BJ191" s="100"/>
      <c r="BK191" s="100"/>
      <c r="BL191" s="100"/>
      <c r="BM191" s="100"/>
      <c r="BN191" s="100"/>
      <c r="BO191" s="100"/>
      <c r="BP191" s="100"/>
      <c r="BQ191" s="100"/>
      <c r="BR191" s="100"/>
      <c r="BS191" s="100"/>
      <c r="BT191" s="100"/>
      <c r="BU191" s="100"/>
      <c r="BV191" s="100"/>
      <c r="BW191" s="100"/>
      <c r="BX191" s="100"/>
      <c r="BY191" s="100"/>
      <c r="BZ191" s="100"/>
      <c r="CA191" s="100"/>
      <c r="CB191" s="100"/>
      <c r="CC191" s="100"/>
      <c r="CD191" s="100"/>
      <c r="CE191" s="100"/>
      <c r="CF191" s="100"/>
      <c r="CG191" s="100"/>
      <c r="CH191" s="100"/>
      <c r="CI191" s="100"/>
      <c r="CJ191" s="100"/>
      <c r="CK191" s="100"/>
      <c r="CL191" s="100"/>
      <c r="CM191" s="100"/>
      <c r="CN191" s="100"/>
      <c r="CO191" s="100"/>
      <c r="CP191" s="100"/>
      <c r="CQ191" s="100"/>
      <c r="CR191" s="100"/>
      <c r="CS191" s="100"/>
      <c r="CT191" s="100"/>
      <c r="CU191" s="100"/>
      <c r="CV191" s="100"/>
      <c r="CW191" s="100"/>
      <c r="CX191" s="100"/>
      <c r="CY191" s="100"/>
      <c r="CZ191" s="100"/>
      <c r="DA191" s="100"/>
      <c r="DB191" s="100"/>
      <c r="DC191" s="100"/>
      <c r="DD191" s="100"/>
      <c r="DE191" s="100"/>
      <c r="DF191" s="100"/>
      <c r="DG191" s="100"/>
      <c r="DH191" s="100"/>
      <c r="DI191" s="100"/>
      <c r="DJ191" s="100"/>
      <c r="DK191" s="100"/>
      <c r="DL191" s="100"/>
      <c r="DM191" s="100"/>
      <c r="DN191" s="100"/>
      <c r="DO191" s="100"/>
      <c r="DP191" s="100"/>
      <c r="DQ191" s="100"/>
      <c r="DR191" s="100"/>
      <c r="DS191" s="100"/>
      <c r="DT191" s="100"/>
      <c r="DU191" s="100"/>
      <c r="DV191" s="100"/>
      <c r="DW191" s="100"/>
      <c r="DX191" s="100"/>
      <c r="DY191" s="100"/>
    </row>
    <row r="192" spans="1:129" s="102" customFormat="1" ht="81.599999999999994" customHeight="1" x14ac:dyDescent="0.3">
      <c r="A192" s="590"/>
      <c r="B192" s="591"/>
      <c r="C192" s="592"/>
      <c r="D192" s="593"/>
      <c r="E192" s="593"/>
      <c r="F192" s="593"/>
      <c r="G192" s="593"/>
      <c r="H192" s="594"/>
      <c r="I192" s="595"/>
      <c r="J192" s="596"/>
      <c r="K192" s="1659"/>
      <c r="L192" s="1659"/>
      <c r="M192" s="597"/>
      <c r="N192" s="597"/>
      <c r="O192" s="597"/>
      <c r="P192" s="597"/>
      <c r="Q192" s="598"/>
      <c r="R192" s="597"/>
      <c r="S192" s="598"/>
      <c r="T192" s="597"/>
      <c r="U192" s="598"/>
      <c r="V192" s="597"/>
      <c r="W192" s="598"/>
      <c r="X192" s="597"/>
      <c r="Y192" s="598"/>
      <c r="Z192" s="597"/>
      <c r="AA192" s="598"/>
      <c r="AB192" s="597"/>
      <c r="AC192" s="598"/>
      <c r="AD192" s="598"/>
      <c r="AE192" s="598"/>
      <c r="AF192" s="597"/>
      <c r="AG192" s="147"/>
      <c r="AH192" s="380"/>
      <c r="AI192" s="380"/>
      <c r="AJ192" s="380"/>
      <c r="AK192" s="590"/>
      <c r="AL192" s="590"/>
      <c r="AM192" s="599"/>
      <c r="AN192" s="148"/>
    </row>
    <row r="193" spans="1:44" s="102" customFormat="1" ht="45" customHeight="1" x14ac:dyDescent="0.3">
      <c r="A193" s="600"/>
      <c r="B193" s="601"/>
      <c r="C193" s="602"/>
      <c r="D193" s="603"/>
      <c r="E193" s="601"/>
      <c r="F193" s="604"/>
      <c r="G193" s="604"/>
      <c r="H193" s="605"/>
      <c r="I193" s="606"/>
      <c r="J193" s="607"/>
      <c r="K193" s="1680"/>
      <c r="L193" s="1680"/>
      <c r="M193" s="608"/>
      <c r="N193" s="608"/>
      <c r="O193" s="601"/>
      <c r="P193" s="604"/>
      <c r="Q193" s="604"/>
      <c r="R193" s="604"/>
      <c r="S193" s="604"/>
      <c r="T193" s="604"/>
      <c r="U193" s="604"/>
      <c r="V193" s="604"/>
      <c r="W193" s="604"/>
      <c r="X193" s="604"/>
      <c r="Y193" s="604"/>
      <c r="Z193" s="604"/>
      <c r="AA193" s="604"/>
      <c r="AB193" s="604"/>
      <c r="AC193" s="604"/>
      <c r="AD193" s="609"/>
      <c r="AE193" s="609"/>
      <c r="AF193" s="601"/>
      <c r="AG193" s="601"/>
      <c r="AH193" s="206"/>
      <c r="AI193" s="206"/>
      <c r="AJ193" s="206"/>
      <c r="AK193" s="601"/>
      <c r="AL193" s="601"/>
      <c r="AM193" s="610"/>
      <c r="AN193" s="611"/>
    </row>
    <row r="194" spans="1:44" s="143" customFormat="1" ht="45" customHeight="1" x14ac:dyDescent="0.3">
      <c r="A194" s="612"/>
      <c r="B194" s="601"/>
      <c r="C194" s="613"/>
      <c r="D194" s="603"/>
      <c r="E194" s="601"/>
      <c r="F194" s="606"/>
      <c r="G194" s="606"/>
      <c r="H194" s="614"/>
      <c r="I194" s="606"/>
      <c r="J194" s="607"/>
      <c r="K194" s="1681"/>
      <c r="L194" s="1681"/>
      <c r="M194" s="608"/>
      <c r="N194" s="615"/>
      <c r="O194" s="324"/>
      <c r="P194" s="606"/>
      <c r="Q194" s="606"/>
      <c r="R194" s="606"/>
      <c r="S194" s="606"/>
      <c r="T194" s="606"/>
      <c r="U194" s="606"/>
      <c r="V194" s="606"/>
      <c r="W194" s="606"/>
      <c r="X194" s="606"/>
      <c r="Y194" s="606"/>
      <c r="Z194" s="606"/>
      <c r="AA194" s="606"/>
      <c r="AB194" s="606"/>
      <c r="AC194" s="606"/>
      <c r="AD194" s="334"/>
      <c r="AE194" s="334"/>
      <c r="AF194" s="324"/>
      <c r="AG194" s="324"/>
      <c r="AH194" s="616"/>
      <c r="AI194" s="616"/>
      <c r="AJ194" s="616"/>
      <c r="AK194" s="324"/>
      <c r="AL194" s="324"/>
      <c r="AM194" s="336"/>
      <c r="AN194" s="617"/>
      <c r="AO194" s="312"/>
      <c r="AP194" s="312"/>
    </row>
    <row r="195" spans="1:44" s="102" customFormat="1" ht="47.25" customHeight="1" x14ac:dyDescent="0.3">
      <c r="A195" s="618"/>
      <c r="B195" s="601"/>
      <c r="C195" s="619"/>
      <c r="D195" s="603"/>
      <c r="E195" s="601"/>
      <c r="F195" s="620"/>
      <c r="G195" s="620"/>
      <c r="H195" s="605"/>
      <c r="I195" s="620"/>
      <c r="J195" s="607"/>
      <c r="K195" s="1682"/>
      <c r="L195" s="1682"/>
      <c r="M195" s="115"/>
      <c r="N195" s="115"/>
      <c r="O195" s="116"/>
      <c r="P195" s="606"/>
      <c r="Q195" s="606"/>
      <c r="R195" s="606"/>
      <c r="S195" s="606"/>
      <c r="T195" s="606"/>
      <c r="U195" s="606"/>
      <c r="V195" s="606"/>
      <c r="W195" s="606"/>
      <c r="X195" s="606"/>
      <c r="Y195" s="606"/>
      <c r="Z195" s="606"/>
      <c r="AA195" s="606"/>
      <c r="AB195" s="606"/>
      <c r="AC195" s="606"/>
      <c r="AD195" s="334"/>
      <c r="AE195" s="334"/>
      <c r="AF195" s="116"/>
      <c r="AG195" s="116"/>
      <c r="AH195" s="230"/>
      <c r="AI195" s="230"/>
      <c r="AJ195" s="230"/>
      <c r="AK195" s="116"/>
      <c r="AL195" s="116"/>
      <c r="AM195" s="621"/>
      <c r="AN195" s="622"/>
      <c r="AP195" s="109"/>
    </row>
    <row r="196" spans="1:44" s="102" customFormat="1" ht="42" customHeight="1" x14ac:dyDescent="0.3">
      <c r="A196" s="99"/>
      <c r="B196" s="601"/>
      <c r="C196" s="623"/>
      <c r="D196" s="603"/>
      <c r="E196" s="601"/>
      <c r="F196" s="624"/>
      <c r="G196" s="624"/>
      <c r="H196" s="625"/>
      <c r="I196" s="620"/>
      <c r="J196" s="607"/>
      <c r="K196" s="1683"/>
      <c r="L196" s="1683"/>
      <c r="M196" s="125"/>
      <c r="N196" s="125"/>
      <c r="O196" s="126"/>
      <c r="P196" s="624"/>
      <c r="Q196" s="624"/>
      <c r="R196" s="624"/>
      <c r="S196" s="624"/>
      <c r="T196" s="624"/>
      <c r="U196" s="624"/>
      <c r="V196" s="624"/>
      <c r="W196" s="624"/>
      <c r="X196" s="624"/>
      <c r="Y196" s="624"/>
      <c r="Z196" s="624"/>
      <c r="AA196" s="624"/>
      <c r="AB196" s="624"/>
      <c r="AC196" s="624"/>
      <c r="AD196" s="626"/>
      <c r="AE196" s="626"/>
      <c r="AF196" s="126"/>
      <c r="AG196" s="126"/>
      <c r="AH196" s="627"/>
      <c r="AI196" s="627"/>
      <c r="AJ196" s="627"/>
      <c r="AK196" s="126"/>
      <c r="AL196" s="126"/>
      <c r="AM196" s="628"/>
      <c r="AN196" s="629"/>
      <c r="AO196" s="100"/>
      <c r="AP196" s="101"/>
      <c r="AQ196" s="100"/>
    </row>
    <row r="197" spans="1:44" s="100" customFormat="1" ht="43.5" customHeight="1" x14ac:dyDescent="0.3">
      <c r="A197" s="105"/>
      <c r="B197" s="601"/>
      <c r="C197" s="623"/>
      <c r="D197" s="603"/>
      <c r="E197" s="601"/>
      <c r="F197" s="624"/>
      <c r="G197" s="624"/>
      <c r="H197" s="630"/>
      <c r="I197" s="624"/>
      <c r="J197" s="607"/>
      <c r="K197" s="1683"/>
      <c r="L197" s="1683"/>
      <c r="M197" s="631"/>
      <c r="N197" s="631"/>
      <c r="O197" s="126"/>
      <c r="P197" s="632"/>
      <c r="Q197" s="632"/>
      <c r="R197" s="632"/>
      <c r="S197" s="632"/>
      <c r="T197" s="632"/>
      <c r="U197" s="632"/>
      <c r="V197" s="632"/>
      <c r="W197" s="632"/>
      <c r="X197" s="632"/>
      <c r="Y197" s="632"/>
      <c r="Z197" s="632"/>
      <c r="AA197" s="632"/>
      <c r="AB197" s="632"/>
      <c r="AC197" s="632"/>
      <c r="AD197" s="633"/>
      <c r="AE197" s="633"/>
      <c r="AF197" s="105"/>
      <c r="AG197" s="105"/>
      <c r="AH197" s="627"/>
      <c r="AI197" s="627"/>
      <c r="AJ197" s="627"/>
      <c r="AK197" s="126"/>
      <c r="AL197" s="105"/>
      <c r="AM197" s="628"/>
      <c r="AN197" s="105"/>
      <c r="AO197" s="103"/>
      <c r="AP197" s="103"/>
      <c r="AQ197" s="103"/>
      <c r="AR197" s="634"/>
    </row>
    <row r="198" spans="1:44" s="104" customFormat="1" ht="40.5" customHeight="1" x14ac:dyDescent="0.3">
      <c r="A198" s="105"/>
      <c r="B198" s="601"/>
      <c r="C198" s="623"/>
      <c r="D198" s="603"/>
      <c r="E198" s="105"/>
      <c r="F198" s="624"/>
      <c r="G198" s="624"/>
      <c r="H198" s="630"/>
      <c r="I198" s="624"/>
      <c r="J198" s="607"/>
      <c r="K198" s="1683"/>
      <c r="L198" s="1683"/>
      <c r="M198" s="125"/>
      <c r="N198" s="125"/>
      <c r="O198" s="126"/>
      <c r="P198" s="632"/>
      <c r="Q198" s="632"/>
      <c r="R198" s="632"/>
      <c r="S198" s="632"/>
      <c r="T198" s="632"/>
      <c r="U198" s="632"/>
      <c r="V198" s="632"/>
      <c r="W198" s="632"/>
      <c r="X198" s="632"/>
      <c r="Y198" s="632"/>
      <c r="Z198" s="632"/>
      <c r="AA198" s="632"/>
      <c r="AB198" s="632"/>
      <c r="AC198" s="632"/>
      <c r="AD198" s="633"/>
      <c r="AE198" s="633"/>
      <c r="AF198" s="105"/>
      <c r="AG198" s="105"/>
      <c r="AH198" s="627"/>
      <c r="AI198" s="627"/>
      <c r="AJ198" s="627"/>
      <c r="AK198" s="126"/>
      <c r="AL198" s="105"/>
      <c r="AM198" s="628"/>
      <c r="AN198" s="105"/>
      <c r="AO198" s="103"/>
      <c r="AP198" s="103"/>
      <c r="AQ198" s="103"/>
    </row>
    <row r="199" spans="1:44" s="104" customFormat="1" ht="58.2" customHeight="1" x14ac:dyDescent="0.3">
      <c r="A199" s="105"/>
      <c r="B199" s="601"/>
      <c r="C199" s="623"/>
      <c r="D199" s="603"/>
      <c r="E199" s="105"/>
      <c r="F199" s="624"/>
      <c r="G199" s="624"/>
      <c r="H199" s="630"/>
      <c r="I199" s="624"/>
      <c r="J199" s="607"/>
      <c r="K199" s="1683"/>
      <c r="L199" s="1683"/>
      <c r="M199" s="125"/>
      <c r="N199" s="125"/>
      <c r="O199" s="126"/>
      <c r="P199" s="624"/>
      <c r="Q199" s="624"/>
      <c r="R199" s="624"/>
      <c r="S199" s="624"/>
      <c r="T199" s="624"/>
      <c r="U199" s="624"/>
      <c r="V199" s="624"/>
      <c r="W199" s="624"/>
      <c r="X199" s="624"/>
      <c r="Y199" s="624"/>
      <c r="Z199" s="624"/>
      <c r="AA199" s="624"/>
      <c r="AB199" s="624"/>
      <c r="AC199" s="624"/>
      <c r="AD199" s="626"/>
      <c r="AE199" s="626"/>
      <c r="AF199" s="105"/>
      <c r="AG199" s="105"/>
      <c r="AH199" s="627"/>
      <c r="AI199" s="627"/>
      <c r="AJ199" s="627"/>
      <c r="AK199" s="126"/>
      <c r="AL199" s="105"/>
      <c r="AM199" s="628"/>
      <c r="AN199" s="105"/>
      <c r="AO199" s="103"/>
      <c r="AP199" s="103"/>
      <c r="AQ199" s="103"/>
    </row>
    <row r="200" spans="1:44" s="104" customFormat="1" ht="58.2" customHeight="1" x14ac:dyDescent="0.3">
      <c r="A200" s="105"/>
      <c r="B200" s="601"/>
      <c r="C200" s="623"/>
      <c r="D200" s="603"/>
      <c r="E200" s="105"/>
      <c r="F200" s="624"/>
      <c r="G200" s="624"/>
      <c r="H200" s="630"/>
      <c r="I200" s="624"/>
      <c r="J200" s="607"/>
      <c r="K200" s="1683"/>
      <c r="L200" s="1683"/>
      <c r="M200" s="125"/>
      <c r="N200" s="125"/>
      <c r="O200" s="126"/>
      <c r="P200" s="624"/>
      <c r="Q200" s="624"/>
      <c r="R200" s="624"/>
      <c r="S200" s="624"/>
      <c r="T200" s="624"/>
      <c r="U200" s="624"/>
      <c r="V200" s="624"/>
      <c r="W200" s="624"/>
      <c r="X200" s="624"/>
      <c r="Y200" s="624"/>
      <c r="Z200" s="624"/>
      <c r="AA200" s="624"/>
      <c r="AB200" s="624"/>
      <c r="AC200" s="624"/>
      <c r="AD200" s="626"/>
      <c r="AE200" s="626"/>
      <c r="AF200" s="105"/>
      <c r="AG200" s="105"/>
      <c r="AH200" s="627"/>
      <c r="AI200" s="627"/>
      <c r="AJ200" s="627"/>
      <c r="AK200" s="126"/>
      <c r="AL200" s="105"/>
      <c r="AM200" s="628"/>
      <c r="AN200" s="105"/>
      <c r="AO200" s="103"/>
      <c r="AP200" s="103"/>
      <c r="AQ200" s="103"/>
    </row>
    <row r="201" spans="1:44" s="104" customFormat="1" ht="58.2" customHeight="1" x14ac:dyDescent="0.3">
      <c r="A201" s="105"/>
      <c r="B201" s="601"/>
      <c r="C201" s="623"/>
      <c r="D201" s="603"/>
      <c r="E201" s="105"/>
      <c r="F201" s="624"/>
      <c r="G201" s="624"/>
      <c r="H201" s="630"/>
      <c r="I201" s="624"/>
      <c r="J201" s="607"/>
      <c r="K201" s="1683"/>
      <c r="L201" s="1683"/>
      <c r="M201" s="125"/>
      <c r="N201" s="125"/>
      <c r="O201" s="126"/>
      <c r="P201" s="624"/>
      <c r="Q201" s="624"/>
      <c r="R201" s="624"/>
      <c r="S201" s="624"/>
      <c r="T201" s="624"/>
      <c r="U201" s="624"/>
      <c r="V201" s="624"/>
      <c r="W201" s="624"/>
      <c r="X201" s="624"/>
      <c r="Y201" s="624"/>
      <c r="Z201" s="624"/>
      <c r="AA201" s="624"/>
      <c r="AB201" s="624"/>
      <c r="AC201" s="624"/>
      <c r="AD201" s="626"/>
      <c r="AE201" s="626"/>
      <c r="AF201" s="105"/>
      <c r="AG201" s="105"/>
      <c r="AH201" s="627"/>
      <c r="AI201" s="627"/>
      <c r="AJ201" s="627"/>
      <c r="AK201" s="126"/>
      <c r="AL201" s="105"/>
      <c r="AM201" s="628"/>
      <c r="AN201" s="105"/>
      <c r="AO201" s="103"/>
      <c r="AP201" s="103"/>
      <c r="AQ201" s="103"/>
    </row>
    <row r="202" spans="1:44" s="104" customFormat="1" ht="58.2" customHeight="1" x14ac:dyDescent="0.3">
      <c r="A202" s="105"/>
      <c r="B202" s="601"/>
      <c r="C202" s="623"/>
      <c r="D202" s="603"/>
      <c r="E202" s="105"/>
      <c r="F202" s="624"/>
      <c r="G202" s="624"/>
      <c r="H202" s="630"/>
      <c r="I202" s="624"/>
      <c r="J202" s="607"/>
      <c r="K202" s="1683"/>
      <c r="L202" s="1683"/>
      <c r="M202" s="125"/>
      <c r="N202" s="125"/>
      <c r="O202" s="126"/>
      <c r="P202" s="624"/>
      <c r="Q202" s="624"/>
      <c r="R202" s="624"/>
      <c r="S202" s="624"/>
      <c r="T202" s="624"/>
      <c r="U202" s="624"/>
      <c r="V202" s="624"/>
      <c r="W202" s="624"/>
      <c r="X202" s="624"/>
      <c r="Y202" s="624"/>
      <c r="Z202" s="624"/>
      <c r="AA202" s="624"/>
      <c r="AB202" s="624"/>
      <c r="AC202" s="624"/>
      <c r="AD202" s="626"/>
      <c r="AE202" s="626"/>
      <c r="AF202" s="105"/>
      <c r="AG202" s="105"/>
      <c r="AH202" s="627"/>
      <c r="AI202" s="627"/>
      <c r="AJ202" s="627"/>
      <c r="AK202" s="126"/>
      <c r="AL202" s="105"/>
      <c r="AM202" s="628"/>
      <c r="AN202" s="105"/>
      <c r="AO202" s="103"/>
      <c r="AP202" s="103"/>
      <c r="AQ202" s="103"/>
    </row>
    <row r="203" spans="1:44" s="104" customFormat="1" ht="58.2" customHeight="1" x14ac:dyDescent="0.3">
      <c r="A203" s="105"/>
      <c r="B203" s="601"/>
      <c r="C203" s="623"/>
      <c r="D203" s="603"/>
      <c r="E203" s="105"/>
      <c r="F203" s="624"/>
      <c r="G203" s="624"/>
      <c r="H203" s="630"/>
      <c r="I203" s="624"/>
      <c r="J203" s="607"/>
      <c r="K203" s="1683"/>
      <c r="L203" s="1683"/>
      <c r="M203" s="125"/>
      <c r="N203" s="125"/>
      <c r="O203" s="126"/>
      <c r="P203" s="632"/>
      <c r="Q203" s="632"/>
      <c r="R203" s="632"/>
      <c r="S203" s="632"/>
      <c r="T203" s="632"/>
      <c r="U203" s="632"/>
      <c r="V203" s="632"/>
      <c r="W203" s="632"/>
      <c r="X203" s="632"/>
      <c r="Y203" s="632"/>
      <c r="Z203" s="632"/>
      <c r="AA203" s="632"/>
      <c r="AB203" s="632"/>
      <c r="AC203" s="632"/>
      <c r="AD203" s="633"/>
      <c r="AE203" s="633"/>
      <c r="AF203" s="105"/>
      <c r="AG203" s="105"/>
      <c r="AH203" s="627"/>
      <c r="AI203" s="627"/>
      <c r="AJ203" s="627"/>
      <c r="AK203" s="126"/>
      <c r="AL203" s="105"/>
      <c r="AM203" s="628"/>
      <c r="AN203" s="105"/>
      <c r="AO203" s="103"/>
      <c r="AP203" s="103"/>
      <c r="AQ203" s="103"/>
    </row>
    <row r="204" spans="1:44" s="104" customFormat="1" ht="58.2" customHeight="1" x14ac:dyDescent="0.3">
      <c r="A204" s="105"/>
      <c r="B204" s="601"/>
      <c r="C204" s="623"/>
      <c r="D204" s="603"/>
      <c r="E204" s="105"/>
      <c r="F204" s="624"/>
      <c r="G204" s="624"/>
      <c r="H204" s="630"/>
      <c r="I204" s="624"/>
      <c r="J204" s="607"/>
      <c r="K204" s="1683"/>
      <c r="L204" s="1683"/>
      <c r="M204" s="125"/>
      <c r="N204" s="125"/>
      <c r="O204" s="126"/>
      <c r="P204" s="632"/>
      <c r="Q204" s="632"/>
      <c r="R204" s="632"/>
      <c r="S204" s="632"/>
      <c r="T204" s="632"/>
      <c r="U204" s="632"/>
      <c r="V204" s="632"/>
      <c r="W204" s="632"/>
      <c r="X204" s="632"/>
      <c r="Y204" s="632"/>
      <c r="Z204" s="632"/>
      <c r="AA204" s="632"/>
      <c r="AB204" s="632"/>
      <c r="AC204" s="632"/>
      <c r="AD204" s="633"/>
      <c r="AE204" s="633"/>
      <c r="AF204" s="105"/>
      <c r="AG204" s="105"/>
      <c r="AH204" s="627"/>
      <c r="AI204" s="627"/>
      <c r="AJ204" s="627"/>
      <c r="AK204" s="126"/>
      <c r="AL204" s="105"/>
      <c r="AM204" s="628"/>
      <c r="AN204" s="105"/>
      <c r="AO204" s="103"/>
      <c r="AP204" s="103"/>
      <c r="AQ204" s="103"/>
    </row>
    <row r="205" spans="1:44" s="104" customFormat="1" ht="58.2" customHeight="1" x14ac:dyDescent="0.3">
      <c r="A205" s="105"/>
      <c r="B205" s="601"/>
      <c r="C205" s="623"/>
      <c r="D205" s="603"/>
      <c r="E205" s="105"/>
      <c r="F205" s="624"/>
      <c r="G205" s="624"/>
      <c r="H205" s="630"/>
      <c r="I205" s="624"/>
      <c r="J205" s="607"/>
      <c r="K205" s="1683"/>
      <c r="L205" s="1683"/>
      <c r="M205" s="125"/>
      <c r="N205" s="125"/>
      <c r="O205" s="126"/>
      <c r="P205" s="632"/>
      <c r="Q205" s="632"/>
      <c r="R205" s="632"/>
      <c r="S205" s="632"/>
      <c r="T205" s="632"/>
      <c r="U205" s="632"/>
      <c r="V205" s="632"/>
      <c r="W205" s="632"/>
      <c r="X205" s="632"/>
      <c r="Y205" s="632"/>
      <c r="Z205" s="632"/>
      <c r="AA205" s="632"/>
      <c r="AB205" s="632"/>
      <c r="AC205" s="632"/>
      <c r="AD205" s="633"/>
      <c r="AE205" s="633"/>
      <c r="AF205" s="105"/>
      <c r="AG205" s="105"/>
      <c r="AH205" s="627"/>
      <c r="AI205" s="627"/>
      <c r="AJ205" s="627"/>
      <c r="AK205" s="126"/>
      <c r="AL205" s="105"/>
      <c r="AM205" s="628"/>
      <c r="AN205" s="105"/>
      <c r="AO205" s="103"/>
      <c r="AP205" s="103"/>
      <c r="AQ205" s="103"/>
    </row>
    <row r="206" spans="1:44" s="104" customFormat="1" ht="58.2" customHeight="1" x14ac:dyDescent="0.3">
      <c r="A206" s="105"/>
      <c r="B206" s="601"/>
      <c r="C206" s="623"/>
      <c r="D206" s="603"/>
      <c r="E206" s="105"/>
      <c r="F206" s="624"/>
      <c r="G206" s="624"/>
      <c r="H206" s="630"/>
      <c r="I206" s="624"/>
      <c r="J206" s="607"/>
      <c r="K206" s="1683"/>
      <c r="L206" s="1683"/>
      <c r="M206" s="125"/>
      <c r="N206" s="125"/>
      <c r="O206" s="126"/>
      <c r="P206" s="632"/>
      <c r="Q206" s="632"/>
      <c r="R206" s="632"/>
      <c r="S206" s="632"/>
      <c r="T206" s="632"/>
      <c r="U206" s="632"/>
      <c r="V206" s="632"/>
      <c r="W206" s="632"/>
      <c r="X206" s="632"/>
      <c r="Y206" s="632"/>
      <c r="Z206" s="632"/>
      <c r="AA206" s="632"/>
      <c r="AB206" s="632"/>
      <c r="AC206" s="632"/>
      <c r="AD206" s="633"/>
      <c r="AE206" s="633"/>
      <c r="AF206" s="105"/>
      <c r="AG206" s="105"/>
      <c r="AH206" s="627"/>
      <c r="AI206" s="627"/>
      <c r="AJ206" s="627"/>
      <c r="AK206" s="126"/>
      <c r="AL206" s="105"/>
      <c r="AM206" s="628"/>
      <c r="AN206" s="105"/>
      <c r="AO206" s="103"/>
      <c r="AP206" s="103"/>
      <c r="AQ206" s="103"/>
    </row>
    <row r="207" spans="1:44" s="104" customFormat="1" ht="58.2" customHeight="1" x14ac:dyDescent="0.3">
      <c r="A207" s="105"/>
      <c r="B207" s="601"/>
      <c r="C207" s="623"/>
      <c r="D207" s="603"/>
      <c r="E207" s="105"/>
      <c r="F207" s="624"/>
      <c r="G207" s="624"/>
      <c r="H207" s="630"/>
      <c r="I207" s="624"/>
      <c r="J207" s="607"/>
      <c r="K207" s="1683"/>
      <c r="L207" s="1683"/>
      <c r="M207" s="125"/>
      <c r="N207" s="125"/>
      <c r="O207" s="126"/>
      <c r="P207" s="632"/>
      <c r="Q207" s="632"/>
      <c r="R207" s="632"/>
      <c r="S207" s="632"/>
      <c r="T207" s="632"/>
      <c r="U207" s="632"/>
      <c r="V207" s="632"/>
      <c r="W207" s="632"/>
      <c r="X207" s="632"/>
      <c r="Y207" s="632"/>
      <c r="Z207" s="632"/>
      <c r="AA207" s="632"/>
      <c r="AB207" s="632"/>
      <c r="AC207" s="632"/>
      <c r="AD207" s="633"/>
      <c r="AE207" s="633"/>
      <c r="AF207" s="105"/>
      <c r="AG207" s="105"/>
      <c r="AH207" s="627"/>
      <c r="AI207" s="627"/>
      <c r="AJ207" s="627"/>
      <c r="AK207" s="126"/>
      <c r="AL207" s="105"/>
      <c r="AM207" s="628"/>
      <c r="AN207" s="105"/>
      <c r="AO207" s="103"/>
      <c r="AP207" s="103"/>
      <c r="AQ207" s="103"/>
    </row>
    <row r="208" spans="1:44" s="104" customFormat="1" ht="58.2" customHeight="1" x14ac:dyDescent="0.3">
      <c r="A208" s="105"/>
      <c r="B208" s="601"/>
      <c r="C208" s="623"/>
      <c r="D208" s="603"/>
      <c r="E208" s="105"/>
      <c r="F208" s="624"/>
      <c r="G208" s="624"/>
      <c r="H208" s="630"/>
      <c r="I208" s="624"/>
      <c r="J208" s="607"/>
      <c r="K208" s="1683"/>
      <c r="L208" s="1683"/>
      <c r="M208" s="125"/>
      <c r="N208" s="125"/>
      <c r="O208" s="126"/>
      <c r="P208" s="632"/>
      <c r="Q208" s="632"/>
      <c r="R208" s="632"/>
      <c r="S208" s="632"/>
      <c r="T208" s="632"/>
      <c r="U208" s="632"/>
      <c r="V208" s="632"/>
      <c r="W208" s="632"/>
      <c r="X208" s="632"/>
      <c r="Y208" s="632"/>
      <c r="Z208" s="632"/>
      <c r="AA208" s="632"/>
      <c r="AB208" s="632"/>
      <c r="AC208" s="632"/>
      <c r="AD208" s="633"/>
      <c r="AE208" s="633"/>
      <c r="AF208" s="105"/>
      <c r="AG208" s="105"/>
      <c r="AH208" s="627"/>
      <c r="AI208" s="627"/>
      <c r="AJ208" s="627"/>
      <c r="AK208" s="126"/>
      <c r="AL208" s="105"/>
      <c r="AM208" s="628"/>
      <c r="AN208" s="105"/>
      <c r="AO208" s="103"/>
      <c r="AP208" s="103"/>
      <c r="AQ208" s="103"/>
    </row>
    <row r="209" spans="1:42" s="103" customFormat="1" ht="58.2" customHeight="1" x14ac:dyDescent="0.3">
      <c r="A209" s="105"/>
      <c r="B209" s="635"/>
      <c r="C209" s="623"/>
      <c r="D209" s="1424"/>
      <c r="E209" s="105"/>
      <c r="F209" s="624"/>
      <c r="G209" s="624"/>
      <c r="H209" s="630"/>
      <c r="I209" s="624"/>
      <c r="J209" s="636"/>
      <c r="K209" s="1683"/>
      <c r="L209" s="1683"/>
      <c r="M209" s="125"/>
      <c r="N209" s="125"/>
      <c r="O209" s="126"/>
      <c r="P209" s="624"/>
      <c r="Q209" s="624"/>
      <c r="R209" s="624"/>
      <c r="S209" s="624"/>
      <c r="T209" s="624"/>
      <c r="U209" s="624"/>
      <c r="V209" s="624"/>
      <c r="W209" s="624"/>
      <c r="X209" s="624"/>
      <c r="Y209" s="624"/>
      <c r="Z209" s="624"/>
      <c r="AA209" s="624"/>
      <c r="AB209" s="624"/>
      <c r="AC209" s="624"/>
      <c r="AD209" s="626"/>
      <c r="AE209" s="626"/>
      <c r="AF209" s="105"/>
      <c r="AG209" s="105"/>
      <c r="AH209" s="627"/>
      <c r="AI209" s="627"/>
      <c r="AJ209" s="627"/>
      <c r="AK209" s="126"/>
      <c r="AL209" s="105"/>
      <c r="AM209" s="628"/>
      <c r="AN209" s="105"/>
    </row>
    <row r="210" spans="1:42" s="243" customFormat="1" ht="58.2" customHeight="1" x14ac:dyDescent="0.3">
      <c r="A210" s="321"/>
      <c r="B210" s="116"/>
      <c r="C210" s="619"/>
      <c r="D210" s="451"/>
      <c r="E210" s="105"/>
      <c r="F210" s="620"/>
      <c r="G210" s="620"/>
      <c r="H210" s="323"/>
      <c r="I210" s="620"/>
      <c r="J210" s="1825"/>
      <c r="K210" s="1825"/>
      <c r="L210" s="1826"/>
      <c r="M210" s="115"/>
      <c r="N210" s="115"/>
      <c r="O210" s="116"/>
      <c r="P210" s="620"/>
      <c r="Q210" s="620"/>
      <c r="R210" s="620"/>
      <c r="S210" s="620"/>
      <c r="T210" s="620"/>
      <c r="U210" s="620"/>
      <c r="V210" s="620"/>
      <c r="W210" s="620"/>
      <c r="X210" s="620"/>
      <c r="Y210" s="620"/>
      <c r="Z210" s="620"/>
      <c r="AA210" s="620"/>
      <c r="AB210" s="620"/>
      <c r="AC210" s="620"/>
      <c r="AD210" s="1827"/>
      <c r="AE210" s="1827"/>
      <c r="AF210" s="321"/>
      <c r="AG210" s="321"/>
      <c r="AH210" s="230"/>
      <c r="AI210" s="230"/>
      <c r="AJ210" s="230"/>
      <c r="AK210" s="116"/>
      <c r="AL210" s="321"/>
      <c r="AM210" s="621"/>
      <c r="AN210" s="321"/>
    </row>
    <row r="211" spans="1:42" s="243" customFormat="1" ht="58.2" customHeight="1" x14ac:dyDescent="0.3">
      <c r="A211" s="321"/>
      <c r="B211" s="116"/>
      <c r="C211" s="619"/>
      <c r="D211" s="451"/>
      <c r="E211" s="105"/>
      <c r="F211" s="620"/>
      <c r="G211" s="620"/>
      <c r="H211" s="323"/>
      <c r="I211" s="620"/>
      <c r="J211" s="1825"/>
      <c r="K211" s="1825"/>
      <c r="L211" s="1826"/>
      <c r="M211" s="115"/>
      <c r="N211" s="115"/>
      <c r="O211" s="116"/>
      <c r="P211" s="620"/>
      <c r="Q211" s="620"/>
      <c r="R211" s="620"/>
      <c r="S211" s="620"/>
      <c r="T211" s="620"/>
      <c r="U211" s="620"/>
      <c r="V211" s="620"/>
      <c r="W211" s="620"/>
      <c r="X211" s="620"/>
      <c r="Y211" s="620"/>
      <c r="Z211" s="620"/>
      <c r="AA211" s="620"/>
      <c r="AB211" s="620"/>
      <c r="AC211" s="620"/>
      <c r="AD211" s="1827"/>
      <c r="AE211" s="1827"/>
      <c r="AF211" s="321"/>
      <c r="AG211" s="321"/>
      <c r="AH211" s="230"/>
      <c r="AI211" s="230"/>
      <c r="AJ211" s="230"/>
      <c r="AK211" s="116"/>
      <c r="AL211" s="321"/>
      <c r="AM211" s="621"/>
      <c r="AN211" s="321"/>
    </row>
    <row r="212" spans="1:42" s="243" customFormat="1" ht="58.2" customHeight="1" x14ac:dyDescent="0.3">
      <c r="A212" s="321"/>
      <c r="B212" s="116"/>
      <c r="C212" s="619"/>
      <c r="D212" s="451"/>
      <c r="E212" s="105"/>
      <c r="F212" s="620"/>
      <c r="G212" s="620"/>
      <c r="H212" s="323"/>
      <c r="I212" s="620"/>
      <c r="J212" s="1825"/>
      <c r="K212" s="1825"/>
      <c r="L212" s="1826"/>
      <c r="M212" s="115"/>
      <c r="N212" s="115"/>
      <c r="O212" s="116"/>
      <c r="P212" s="620"/>
      <c r="Q212" s="620"/>
      <c r="R212" s="620"/>
      <c r="S212" s="620"/>
      <c r="T212" s="620"/>
      <c r="U212" s="620"/>
      <c r="V212" s="620"/>
      <c r="W212" s="620"/>
      <c r="X212" s="620"/>
      <c r="Y212" s="620"/>
      <c r="Z212" s="620"/>
      <c r="AA212" s="620"/>
      <c r="AB212" s="620"/>
      <c r="AC212" s="620"/>
      <c r="AD212" s="1827"/>
      <c r="AE212" s="1827"/>
      <c r="AF212" s="321"/>
      <c r="AG212" s="321"/>
      <c r="AH212" s="230"/>
      <c r="AI212" s="230"/>
      <c r="AJ212" s="230"/>
      <c r="AK212" s="116"/>
      <c r="AL212" s="321"/>
      <c r="AM212" s="621"/>
      <c r="AN212" s="321"/>
    </row>
    <row r="213" spans="1:42" s="243" customFormat="1" ht="58.2" customHeight="1" x14ac:dyDescent="0.3">
      <c r="A213" s="321"/>
      <c r="B213" s="116"/>
      <c r="C213" s="619"/>
      <c r="D213" s="451"/>
      <c r="E213" s="105"/>
      <c r="F213" s="620"/>
      <c r="G213" s="620"/>
      <c r="H213" s="323"/>
      <c r="I213" s="620"/>
      <c r="J213" s="1825"/>
      <c r="K213" s="1825"/>
      <c r="L213" s="1826"/>
      <c r="M213" s="115"/>
      <c r="N213" s="115"/>
      <c r="O213" s="116"/>
      <c r="P213" s="620"/>
      <c r="Q213" s="620"/>
      <c r="R213" s="620"/>
      <c r="S213" s="620"/>
      <c r="T213" s="620"/>
      <c r="U213" s="620"/>
      <c r="V213" s="620"/>
      <c r="W213" s="620"/>
      <c r="X213" s="620"/>
      <c r="Y213" s="620"/>
      <c r="Z213" s="620"/>
      <c r="AA213" s="620"/>
      <c r="AB213" s="620"/>
      <c r="AC213" s="620"/>
      <c r="AD213" s="1827"/>
      <c r="AE213" s="1827"/>
      <c r="AF213" s="321"/>
      <c r="AG213" s="321"/>
      <c r="AH213" s="230"/>
      <c r="AI213" s="230"/>
      <c r="AJ213" s="230"/>
      <c r="AK213" s="116"/>
      <c r="AL213" s="321"/>
      <c r="AM213" s="621"/>
      <c r="AN213" s="321"/>
    </row>
    <row r="214" spans="1:42" s="243" customFormat="1" ht="58.2" customHeight="1" x14ac:dyDescent="0.3">
      <c r="A214" s="321"/>
      <c r="B214" s="116"/>
      <c r="C214" s="619"/>
      <c r="D214" s="451"/>
      <c r="E214" s="105"/>
      <c r="F214" s="620"/>
      <c r="G214" s="620"/>
      <c r="H214" s="323"/>
      <c r="I214" s="620"/>
      <c r="J214" s="1825"/>
      <c r="K214" s="1825"/>
      <c r="L214" s="1826"/>
      <c r="M214" s="115"/>
      <c r="N214" s="115"/>
      <c r="O214" s="116"/>
      <c r="P214" s="620"/>
      <c r="Q214" s="620"/>
      <c r="R214" s="620"/>
      <c r="S214" s="620"/>
      <c r="T214" s="620"/>
      <c r="U214" s="620"/>
      <c r="V214" s="620"/>
      <c r="W214" s="620"/>
      <c r="X214" s="620"/>
      <c r="Y214" s="620"/>
      <c r="Z214" s="620"/>
      <c r="AA214" s="620"/>
      <c r="AB214" s="620"/>
      <c r="AC214" s="620"/>
      <c r="AD214" s="1827"/>
      <c r="AE214" s="1827"/>
      <c r="AF214" s="321"/>
      <c r="AG214" s="321"/>
      <c r="AH214" s="230"/>
      <c r="AI214" s="230"/>
      <c r="AJ214" s="230"/>
      <c r="AK214" s="116"/>
      <c r="AL214" s="321"/>
      <c r="AM214" s="621"/>
      <c r="AN214" s="321"/>
    </row>
    <row r="215" spans="1:42" s="243" customFormat="1" ht="58.2" customHeight="1" x14ac:dyDescent="0.3">
      <c r="A215" s="321"/>
      <c r="B215" s="116"/>
      <c r="C215" s="619"/>
      <c r="D215" s="451"/>
      <c r="E215" s="105"/>
      <c r="F215" s="620"/>
      <c r="G215" s="620"/>
      <c r="H215" s="323"/>
      <c r="I215" s="620"/>
      <c r="J215" s="1825"/>
      <c r="K215" s="1825"/>
      <c r="L215" s="1826"/>
      <c r="M215" s="115"/>
      <c r="N215" s="115"/>
      <c r="O215" s="116"/>
      <c r="P215" s="620"/>
      <c r="Q215" s="620"/>
      <c r="R215" s="620"/>
      <c r="S215" s="620"/>
      <c r="T215" s="620"/>
      <c r="U215" s="620"/>
      <c r="V215" s="620"/>
      <c r="W215" s="620"/>
      <c r="X215" s="620"/>
      <c r="Y215" s="620"/>
      <c r="Z215" s="620"/>
      <c r="AA215" s="620"/>
      <c r="AB215" s="620"/>
      <c r="AC215" s="620"/>
      <c r="AD215" s="1827"/>
      <c r="AE215" s="1827"/>
      <c r="AF215" s="321"/>
      <c r="AG215" s="321"/>
      <c r="AH215" s="230"/>
      <c r="AI215" s="230"/>
      <c r="AJ215" s="230"/>
      <c r="AK215" s="116"/>
      <c r="AL215" s="321"/>
      <c r="AM215" s="621"/>
      <c r="AN215" s="321"/>
    </row>
    <row r="216" spans="1:42" s="243" customFormat="1" ht="58.2" customHeight="1" x14ac:dyDescent="0.3">
      <c r="A216" s="321"/>
      <c r="B216" s="116"/>
      <c r="C216" s="619"/>
      <c r="D216" s="451"/>
      <c r="E216" s="105"/>
      <c r="F216" s="620"/>
      <c r="G216" s="620"/>
      <c r="H216" s="323"/>
      <c r="I216" s="620"/>
      <c r="J216" s="1825"/>
      <c r="K216" s="1825"/>
      <c r="L216" s="1826"/>
      <c r="M216" s="115"/>
      <c r="N216" s="115"/>
      <c r="O216" s="116"/>
      <c r="P216" s="620"/>
      <c r="Q216" s="620"/>
      <c r="R216" s="620"/>
      <c r="S216" s="620"/>
      <c r="T216" s="620"/>
      <c r="U216" s="620"/>
      <c r="V216" s="620"/>
      <c r="W216" s="620"/>
      <c r="X216" s="620"/>
      <c r="Y216" s="620"/>
      <c r="Z216" s="620"/>
      <c r="AA216" s="620"/>
      <c r="AB216" s="620"/>
      <c r="AC216" s="620"/>
      <c r="AD216" s="1827"/>
      <c r="AE216" s="1827"/>
      <c r="AF216" s="321"/>
      <c r="AG216" s="321"/>
      <c r="AH216" s="230"/>
      <c r="AI216" s="230"/>
      <c r="AJ216" s="230"/>
      <c r="AK216" s="116"/>
      <c r="AL216" s="321"/>
      <c r="AM216" s="621"/>
      <c r="AN216" s="321"/>
    </row>
    <row r="217" spans="1:42" s="243" customFormat="1" ht="58.2" customHeight="1" x14ac:dyDescent="0.3">
      <c r="A217" s="321"/>
      <c r="B217" s="116"/>
      <c r="C217" s="619"/>
      <c r="D217" s="451"/>
      <c r="E217" s="105"/>
      <c r="F217" s="620"/>
      <c r="G217" s="620"/>
      <c r="H217" s="323"/>
      <c r="I217" s="620"/>
      <c r="J217" s="1825"/>
      <c r="K217" s="1825"/>
      <c r="L217" s="1826"/>
      <c r="M217" s="115"/>
      <c r="N217" s="115"/>
      <c r="O217" s="116"/>
      <c r="P217" s="620"/>
      <c r="Q217" s="620"/>
      <c r="R217" s="620"/>
      <c r="S217" s="620"/>
      <c r="T217" s="620"/>
      <c r="U217" s="620"/>
      <c r="V217" s="620"/>
      <c r="W217" s="620"/>
      <c r="X217" s="620"/>
      <c r="Y217" s="620"/>
      <c r="Z217" s="620"/>
      <c r="AA217" s="620"/>
      <c r="AB217" s="620"/>
      <c r="AC217" s="620"/>
      <c r="AD217" s="1827"/>
      <c r="AE217" s="1827"/>
      <c r="AF217" s="321"/>
      <c r="AG217" s="321"/>
      <c r="AH217" s="230"/>
      <c r="AI217" s="230"/>
      <c r="AJ217" s="230"/>
      <c r="AK217" s="116"/>
      <c r="AL217" s="321"/>
      <c r="AM217" s="621"/>
      <c r="AN217" s="321"/>
    </row>
    <row r="218" spans="1:42" s="243" customFormat="1" ht="58.2" customHeight="1" x14ac:dyDescent="0.3">
      <c r="A218" s="321"/>
      <c r="B218" s="116"/>
      <c r="C218" s="619"/>
      <c r="D218" s="451"/>
      <c r="E218" s="105"/>
      <c r="F218" s="620"/>
      <c r="G218" s="620"/>
      <c r="H218" s="323"/>
      <c r="I218" s="620"/>
      <c r="J218" s="1825"/>
      <c r="K218" s="1825"/>
      <c r="L218" s="1826"/>
      <c r="M218" s="115"/>
      <c r="N218" s="115"/>
      <c r="O218" s="116"/>
      <c r="P218" s="620"/>
      <c r="Q218" s="620"/>
      <c r="R218" s="620"/>
      <c r="S218" s="620"/>
      <c r="T218" s="620"/>
      <c r="U218" s="620"/>
      <c r="V218" s="620"/>
      <c r="W218" s="620"/>
      <c r="X218" s="620"/>
      <c r="Y218" s="620"/>
      <c r="Z218" s="620"/>
      <c r="AA218" s="620"/>
      <c r="AB218" s="620"/>
      <c r="AC218" s="620"/>
      <c r="AD218" s="1827"/>
      <c r="AE218" s="1827"/>
      <c r="AF218" s="321"/>
      <c r="AG218" s="321"/>
      <c r="AH218" s="230"/>
      <c r="AI218" s="230"/>
      <c r="AJ218" s="230"/>
      <c r="AK218" s="116"/>
      <c r="AL218" s="321"/>
      <c r="AM218" s="621"/>
      <c r="AN218" s="321"/>
    </row>
    <row r="219" spans="1:42" s="243" customFormat="1" ht="58.2" customHeight="1" x14ac:dyDescent="0.3">
      <c r="A219" s="321"/>
      <c r="B219" s="116"/>
      <c r="C219" s="623"/>
      <c r="D219" s="921"/>
      <c r="E219" s="105"/>
      <c r="F219" s="620"/>
      <c r="G219" s="620"/>
      <c r="H219" s="323"/>
      <c r="I219" s="620"/>
      <c r="J219" s="1825"/>
      <c r="K219" s="1825"/>
      <c r="L219" s="1825"/>
      <c r="M219" s="115"/>
      <c r="N219" s="115"/>
      <c r="O219" s="116"/>
      <c r="P219" s="620"/>
      <c r="Q219" s="620"/>
      <c r="R219" s="620"/>
      <c r="S219" s="620"/>
      <c r="T219" s="620"/>
      <c r="U219" s="620"/>
      <c r="V219" s="620"/>
      <c r="W219" s="620"/>
      <c r="X219" s="620"/>
      <c r="Y219" s="620"/>
      <c r="Z219" s="620"/>
      <c r="AA219" s="620"/>
      <c r="AB219" s="620"/>
      <c r="AC219" s="620"/>
      <c r="AD219" s="1827"/>
      <c r="AE219" s="1827"/>
      <c r="AF219" s="321"/>
      <c r="AG219" s="321"/>
      <c r="AH219" s="230"/>
      <c r="AI219" s="230"/>
      <c r="AJ219" s="230"/>
      <c r="AK219" s="116"/>
      <c r="AL219" s="321"/>
      <c r="AM219" s="621"/>
      <c r="AN219" s="321"/>
    </row>
    <row r="220" spans="1:42" s="1434" customFormat="1" ht="58.2" customHeight="1" x14ac:dyDescent="0.3">
      <c r="A220" s="1425"/>
      <c r="B220" s="1451"/>
      <c r="C220" s="1456"/>
      <c r="D220" s="1457"/>
      <c r="E220" s="1458"/>
      <c r="F220" s="638"/>
      <c r="G220" s="1427"/>
      <c r="H220" s="1428"/>
      <c r="I220" s="1427"/>
      <c r="J220" s="1429"/>
      <c r="K220" s="1429"/>
      <c r="L220" s="1429"/>
      <c r="M220" s="1430"/>
      <c r="N220" s="1430"/>
      <c r="O220" s="1426"/>
      <c r="P220" s="1427"/>
      <c r="Q220" s="1427"/>
      <c r="R220" s="1427"/>
      <c r="S220" s="1427"/>
      <c r="T220" s="1427"/>
      <c r="U220" s="1427"/>
      <c r="V220" s="1427"/>
      <c r="W220" s="1427"/>
      <c r="X220" s="1427"/>
      <c r="Y220" s="1427"/>
      <c r="Z220" s="1427"/>
      <c r="AA220" s="1427"/>
      <c r="AB220" s="1427"/>
      <c r="AC220" s="1427"/>
      <c r="AD220" s="1431"/>
      <c r="AE220" s="1431"/>
      <c r="AF220" s="1425"/>
      <c r="AG220" s="1425"/>
      <c r="AH220" s="1432"/>
      <c r="AI220" s="1432"/>
      <c r="AJ220" s="1432"/>
      <c r="AK220" s="1426"/>
      <c r="AL220" s="1425"/>
      <c r="AM220" s="1433"/>
      <c r="AN220" s="1425"/>
    </row>
    <row r="221" spans="1:42" s="104" customFormat="1" ht="58.2" customHeight="1" x14ac:dyDescent="0.3">
      <c r="A221" s="1389"/>
      <c r="B221" s="1452"/>
      <c r="C221" s="1459"/>
      <c r="D221" s="1461"/>
      <c r="E221" s="1460"/>
      <c r="F221" s="1453"/>
      <c r="G221" s="1391"/>
      <c r="H221" s="1392"/>
      <c r="I221" s="1391"/>
      <c r="J221" s="1393"/>
      <c r="K221" s="1684"/>
      <c r="L221" s="1684"/>
      <c r="M221" s="1394"/>
      <c r="N221" s="1394"/>
      <c r="O221" s="1390"/>
      <c r="P221" s="638"/>
      <c r="Q221" s="638"/>
      <c r="R221" s="638"/>
      <c r="S221" s="638"/>
      <c r="T221" s="638"/>
      <c r="U221" s="638"/>
      <c r="V221" s="638"/>
      <c r="W221" s="638"/>
      <c r="X221" s="638"/>
      <c r="Y221" s="638"/>
      <c r="Z221" s="638"/>
      <c r="AA221" s="638"/>
      <c r="AB221" s="638"/>
      <c r="AC221" s="638"/>
      <c r="AD221" s="639"/>
      <c r="AE221" s="639"/>
      <c r="AF221" s="1389"/>
      <c r="AG221" s="1389"/>
      <c r="AH221" s="1395"/>
      <c r="AI221" s="1395"/>
      <c r="AJ221" s="1395"/>
      <c r="AK221" s="1390"/>
      <c r="AL221" s="1389"/>
      <c r="AM221" s="1396"/>
      <c r="AN221" s="1389"/>
    </row>
    <row r="222" spans="1:42" s="102" customFormat="1" ht="81" customHeight="1" x14ac:dyDescent="0.3">
      <c r="A222" s="233" t="s">
        <v>31</v>
      </c>
      <c r="B222" s="640" t="s">
        <v>85</v>
      </c>
      <c r="C222" s="1454" t="s">
        <v>87</v>
      </c>
      <c r="D222" s="556" t="s">
        <v>34</v>
      </c>
      <c r="E222" s="1455" t="s">
        <v>86</v>
      </c>
      <c r="F222" s="233" t="s">
        <v>35</v>
      </c>
      <c r="G222" s="233"/>
      <c r="H222" s="641">
        <v>18605076.899999999</v>
      </c>
      <c r="I222" s="642" t="s">
        <v>36</v>
      </c>
      <c r="J222" s="641">
        <v>18605076.899999999</v>
      </c>
      <c r="K222" s="1685">
        <f>K223</f>
        <v>2955061.8899999997</v>
      </c>
      <c r="L222" s="1685">
        <f>K222</f>
        <v>2955061.8899999997</v>
      </c>
      <c r="M222" s="644" t="s">
        <v>40</v>
      </c>
      <c r="N222" s="644" t="s">
        <v>40</v>
      </c>
      <c r="O222" s="644" t="s">
        <v>39</v>
      </c>
      <c r="P222" s="549" t="s">
        <v>40</v>
      </c>
      <c r="Q222" s="550" t="s">
        <v>40</v>
      </c>
      <c r="R222" s="549" t="s">
        <v>40</v>
      </c>
      <c r="S222" s="550"/>
      <c r="T222" s="549" t="s">
        <v>40</v>
      </c>
      <c r="U222" s="550"/>
      <c r="V222" s="549" t="s">
        <v>40</v>
      </c>
      <c r="W222" s="550"/>
      <c r="X222" s="549" t="s">
        <v>40</v>
      </c>
      <c r="Y222" s="550"/>
      <c r="Z222" s="549" t="s">
        <v>40</v>
      </c>
      <c r="AA222" s="550"/>
      <c r="AB222" s="549" t="s">
        <v>40</v>
      </c>
      <c r="AC222" s="550"/>
      <c r="AD222" s="550"/>
      <c r="AE222" s="550">
        <v>45199</v>
      </c>
      <c r="AF222" s="644" t="s">
        <v>88</v>
      </c>
      <c r="AG222" s="645">
        <v>2026</v>
      </c>
      <c r="AH222" s="643">
        <f>AH223</f>
        <v>35703097.809999995</v>
      </c>
      <c r="AI222" s="643"/>
      <c r="AJ222" s="643"/>
      <c r="AK222" s="233"/>
      <c r="AL222" s="233"/>
      <c r="AM222" s="646">
        <v>0</v>
      </c>
      <c r="AN222" s="647" t="s">
        <v>89</v>
      </c>
      <c r="AP222" s="109"/>
    </row>
    <row r="223" spans="1:42" s="102" customFormat="1" ht="77.400000000000006" customHeight="1" x14ac:dyDescent="0.3">
      <c r="A223" s="140" t="s">
        <v>31</v>
      </c>
      <c r="B223" s="648" t="s">
        <v>85</v>
      </c>
      <c r="C223" s="649" t="s">
        <v>3732</v>
      </c>
      <c r="D223" s="590" t="s">
        <v>34</v>
      </c>
      <c r="E223" s="140" t="s">
        <v>86</v>
      </c>
      <c r="F223" s="140" t="s">
        <v>35</v>
      </c>
      <c r="G223" s="140">
        <v>20</v>
      </c>
      <c r="H223" s="34">
        <f>SUM(H224:H286)</f>
        <v>7142850.0840883534</v>
      </c>
      <c r="I223" s="650" t="s">
        <v>36</v>
      </c>
      <c r="J223" s="34">
        <f>SUM(J224:J286)</f>
        <v>7142850.0840883534</v>
      </c>
      <c r="K223" s="1659">
        <f>SUM(K224:K286)+286668.15+70598.14</f>
        <v>2955061.8899999997</v>
      </c>
      <c r="L223" s="1659">
        <f>SUM(L224:L286)+286668.15+70598.14</f>
        <v>2955061.8899999997</v>
      </c>
      <c r="M223" s="10" t="s">
        <v>40</v>
      </c>
      <c r="N223" s="10" t="s">
        <v>40</v>
      </c>
      <c r="O223" s="10" t="s">
        <v>39</v>
      </c>
      <c r="P223" s="597" t="s">
        <v>40</v>
      </c>
      <c r="Q223" s="598" t="s">
        <v>40</v>
      </c>
      <c r="R223" s="597" t="s">
        <v>40</v>
      </c>
      <c r="S223" s="598"/>
      <c r="T223" s="597" t="s">
        <v>40</v>
      </c>
      <c r="U223" s="598"/>
      <c r="V223" s="597" t="s">
        <v>41</v>
      </c>
      <c r="W223" s="598">
        <v>45291</v>
      </c>
      <c r="X223" s="597" t="s">
        <v>41</v>
      </c>
      <c r="Y223" s="598">
        <v>45473</v>
      </c>
      <c r="Z223" s="597" t="s">
        <v>40</v>
      </c>
      <c r="AA223" s="598"/>
      <c r="AB223" s="597" t="s">
        <v>40</v>
      </c>
      <c r="AC223" s="598"/>
      <c r="AD223" s="598"/>
      <c r="AE223" s="598">
        <v>45199</v>
      </c>
      <c r="AF223" s="10" t="s">
        <v>90</v>
      </c>
      <c r="AG223" s="651" t="s">
        <v>91</v>
      </c>
      <c r="AH223" s="35">
        <f>SUM(AH224:AH286)</f>
        <v>35703097.809999995</v>
      </c>
      <c r="AI223" s="35"/>
      <c r="AJ223" s="35"/>
      <c r="AK223" s="140"/>
      <c r="AL223" s="140"/>
      <c r="AM223" s="142">
        <v>0</v>
      </c>
      <c r="AN223" s="6"/>
      <c r="AP223" s="109"/>
    </row>
    <row r="224" spans="1:42" s="102" customFormat="1" ht="45.6" customHeight="1" x14ac:dyDescent="0.3">
      <c r="A224" s="102" t="s">
        <v>31</v>
      </c>
      <c r="B224" s="111" t="s">
        <v>85</v>
      </c>
      <c r="C224" s="167" t="s">
        <v>3733</v>
      </c>
      <c r="D224" s="102" t="s">
        <v>34</v>
      </c>
      <c r="E224" s="102">
        <v>16</v>
      </c>
      <c r="F224" s="102" t="s">
        <v>35</v>
      </c>
      <c r="H224" s="429">
        <v>6600</v>
      </c>
      <c r="I224" s="109" t="s">
        <v>36</v>
      </c>
      <c r="J224" s="429">
        <v>6600</v>
      </c>
      <c r="K224" s="1686">
        <v>6626.51</v>
      </c>
      <c r="L224" s="1686">
        <f>K224</f>
        <v>6626.51</v>
      </c>
      <c r="M224" s="107" t="s">
        <v>58</v>
      </c>
      <c r="N224" s="107" t="s">
        <v>92</v>
      </c>
      <c r="O224" s="107" t="s">
        <v>93</v>
      </c>
      <c r="P224" s="107"/>
      <c r="Q224" s="106"/>
      <c r="R224" s="107"/>
      <c r="S224" s="106"/>
      <c r="T224" s="107"/>
      <c r="U224" s="106"/>
      <c r="V224" s="107"/>
      <c r="W224" s="106"/>
      <c r="X224" s="107"/>
      <c r="Y224" s="106"/>
      <c r="Z224" s="107"/>
      <c r="AA224" s="106"/>
      <c r="AB224" s="107"/>
      <c r="AC224" s="106"/>
      <c r="AD224" s="106"/>
      <c r="AE224" s="106">
        <v>44685</v>
      </c>
      <c r="AF224" s="107" t="s">
        <v>88</v>
      </c>
      <c r="AG224" s="108">
        <v>2026</v>
      </c>
      <c r="AH224" s="109">
        <v>33000</v>
      </c>
      <c r="AI224" s="109"/>
      <c r="AJ224" s="109"/>
      <c r="AK224" s="102" t="s">
        <v>77</v>
      </c>
      <c r="AL224" s="102" t="s">
        <v>41</v>
      </c>
      <c r="AM224" s="110">
        <v>1</v>
      </c>
      <c r="AN224" s="652"/>
    </row>
    <row r="225" spans="1:40" s="102" customFormat="1" ht="49.2" customHeight="1" x14ac:dyDescent="0.3">
      <c r="A225" s="102" t="s">
        <v>31</v>
      </c>
      <c r="B225" s="111" t="s">
        <v>85</v>
      </c>
      <c r="C225" s="167" t="s">
        <v>94</v>
      </c>
      <c r="D225" s="102" t="s">
        <v>34</v>
      </c>
      <c r="E225" s="102">
        <v>16</v>
      </c>
      <c r="F225" s="102" t="s">
        <v>35</v>
      </c>
      <c r="H225" s="429">
        <v>3361.3440000000001</v>
      </c>
      <c r="I225" s="109" t="s">
        <v>36</v>
      </c>
      <c r="J225" s="429">
        <v>3361.3440000000001</v>
      </c>
      <c r="K225" s="1686">
        <v>3374.84</v>
      </c>
      <c r="L225" s="1686">
        <f>K225</f>
        <v>3374.84</v>
      </c>
      <c r="M225" s="107" t="s">
        <v>58</v>
      </c>
      <c r="N225" s="107" t="s">
        <v>92</v>
      </c>
      <c r="O225" s="107" t="s">
        <v>93</v>
      </c>
      <c r="P225" s="107"/>
      <c r="Q225" s="106"/>
      <c r="R225" s="107"/>
      <c r="S225" s="106"/>
      <c r="T225" s="107"/>
      <c r="U225" s="106"/>
      <c r="V225" s="107"/>
      <c r="W225" s="106"/>
      <c r="X225" s="107"/>
      <c r="Y225" s="106"/>
      <c r="Z225" s="107"/>
      <c r="AA225" s="106"/>
      <c r="AB225" s="107"/>
      <c r="AC225" s="106"/>
      <c r="AD225" s="106"/>
      <c r="AE225" s="106">
        <v>44686</v>
      </c>
      <c r="AF225" s="107" t="s">
        <v>88</v>
      </c>
      <c r="AG225" s="108">
        <v>2026</v>
      </c>
      <c r="AH225" s="109">
        <v>16806.72</v>
      </c>
      <c r="AI225" s="109"/>
      <c r="AJ225" s="109"/>
      <c r="AK225" s="102" t="s">
        <v>77</v>
      </c>
      <c r="AL225" s="102" t="s">
        <v>41</v>
      </c>
      <c r="AM225" s="110">
        <v>1</v>
      </c>
      <c r="AN225" s="652"/>
    </row>
    <row r="226" spans="1:40" s="102" customFormat="1" ht="47.4" customHeight="1" x14ac:dyDescent="0.3">
      <c r="A226" s="102" t="s">
        <v>31</v>
      </c>
      <c r="B226" s="111" t="s">
        <v>85</v>
      </c>
      <c r="C226" s="167" t="s">
        <v>95</v>
      </c>
      <c r="D226" s="102" t="s">
        <v>34</v>
      </c>
      <c r="E226" s="102">
        <v>16</v>
      </c>
      <c r="F226" s="102" t="s">
        <v>35</v>
      </c>
      <c r="H226" s="429">
        <v>260000</v>
      </c>
      <c r="I226" s="109" t="s">
        <v>36</v>
      </c>
      <c r="J226" s="429">
        <v>260000</v>
      </c>
      <c r="K226" s="1686">
        <v>148795.18</v>
      </c>
      <c r="L226" s="1686">
        <f t="shared" ref="L226:L286" si="1">K226</f>
        <v>148795.18</v>
      </c>
      <c r="M226" s="107" t="s">
        <v>58</v>
      </c>
      <c r="N226" s="107" t="s">
        <v>92</v>
      </c>
      <c r="O226" s="107" t="s">
        <v>93</v>
      </c>
      <c r="P226" s="107"/>
      <c r="Q226" s="106"/>
      <c r="R226" s="107"/>
      <c r="S226" s="106"/>
      <c r="T226" s="107"/>
      <c r="U226" s="106"/>
      <c r="V226" s="107"/>
      <c r="W226" s="106"/>
      <c r="X226" s="107"/>
      <c r="Y226" s="106"/>
      <c r="Z226" s="107"/>
      <c r="AA226" s="106"/>
      <c r="AB226" s="107"/>
      <c r="AC226" s="106"/>
      <c r="AD226" s="106"/>
      <c r="AE226" s="106">
        <v>44728</v>
      </c>
      <c r="AF226" s="107" t="s">
        <v>65</v>
      </c>
      <c r="AG226" s="108">
        <v>2023</v>
      </c>
      <c r="AH226" s="109">
        <v>1300000</v>
      </c>
      <c r="AI226" s="109"/>
      <c r="AJ226" s="109"/>
      <c r="AK226" s="102" t="s">
        <v>43</v>
      </c>
      <c r="AL226" s="102" t="s">
        <v>41</v>
      </c>
      <c r="AM226" s="110">
        <v>0.7</v>
      </c>
      <c r="AN226" s="652"/>
    </row>
    <row r="227" spans="1:40" s="102" customFormat="1" ht="42" customHeight="1" x14ac:dyDescent="0.3">
      <c r="A227" s="102" t="s">
        <v>31</v>
      </c>
      <c r="B227" s="111" t="s">
        <v>85</v>
      </c>
      <c r="C227" s="167" t="s">
        <v>96</v>
      </c>
      <c r="D227" s="102" t="s">
        <v>34</v>
      </c>
      <c r="E227" s="102">
        <v>16</v>
      </c>
      <c r="F227" s="102" t="s">
        <v>35</v>
      </c>
      <c r="H227" s="429">
        <v>14980</v>
      </c>
      <c r="I227" s="109" t="s">
        <v>36</v>
      </c>
      <c r="J227" s="429">
        <v>14980</v>
      </c>
      <c r="K227" s="1686">
        <v>12638.79</v>
      </c>
      <c r="L227" s="1686">
        <f t="shared" si="1"/>
        <v>12638.79</v>
      </c>
      <c r="M227" s="107" t="s">
        <v>97</v>
      </c>
      <c r="N227" s="107" t="s">
        <v>98</v>
      </c>
      <c r="O227" s="107" t="s">
        <v>93</v>
      </c>
      <c r="P227" s="107"/>
      <c r="Q227" s="106"/>
      <c r="R227" s="107"/>
      <c r="S227" s="106"/>
      <c r="T227" s="107"/>
      <c r="U227" s="106"/>
      <c r="V227" s="107"/>
      <c r="W227" s="106"/>
      <c r="X227" s="107"/>
      <c r="Y227" s="106"/>
      <c r="Z227" s="107"/>
      <c r="AA227" s="106"/>
      <c r="AB227" s="107"/>
      <c r="AC227" s="106"/>
      <c r="AD227" s="106"/>
      <c r="AE227" s="106">
        <v>44679</v>
      </c>
      <c r="AF227" s="107" t="s">
        <v>88</v>
      </c>
      <c r="AG227" s="108">
        <v>2026</v>
      </c>
      <c r="AH227" s="109">
        <v>74900</v>
      </c>
      <c r="AI227" s="109"/>
      <c r="AJ227" s="109"/>
      <c r="AK227" s="102" t="s">
        <v>43</v>
      </c>
      <c r="AL227" s="102" t="s">
        <v>41</v>
      </c>
      <c r="AM227" s="110">
        <v>0</v>
      </c>
      <c r="AN227" s="652"/>
    </row>
    <row r="228" spans="1:40" s="102" customFormat="1" ht="52.95" customHeight="1" x14ac:dyDescent="0.3">
      <c r="A228" s="116" t="s">
        <v>31</v>
      </c>
      <c r="B228" s="446" t="s">
        <v>85</v>
      </c>
      <c r="C228" s="167" t="s">
        <v>3734</v>
      </c>
      <c r="D228" s="111" t="s">
        <v>34</v>
      </c>
      <c r="E228" s="102">
        <v>16</v>
      </c>
      <c r="F228" s="653" t="s">
        <v>99</v>
      </c>
      <c r="G228" s="653" t="s">
        <v>100</v>
      </c>
      <c r="H228" s="323">
        <v>557630.52208835341</v>
      </c>
      <c r="I228" s="109" t="s">
        <v>36</v>
      </c>
      <c r="J228" s="323">
        <v>557630.52208835341</v>
      </c>
      <c r="K228" s="1686">
        <v>0</v>
      </c>
      <c r="L228" s="1686">
        <f t="shared" si="1"/>
        <v>0</v>
      </c>
      <c r="M228" s="113" t="s">
        <v>97</v>
      </c>
      <c r="N228" s="113" t="s">
        <v>98</v>
      </c>
      <c r="O228" s="113" t="s">
        <v>93</v>
      </c>
      <c r="P228" s="232"/>
      <c r="Q228" s="378"/>
      <c r="R228" s="232"/>
      <c r="S228" s="378"/>
      <c r="T228" s="232"/>
      <c r="U228" s="378"/>
      <c r="V228" s="232"/>
      <c r="W228" s="378"/>
      <c r="X228" s="232"/>
      <c r="Y228" s="378"/>
      <c r="Z228" s="232"/>
      <c r="AA228" s="378"/>
      <c r="AB228" s="232"/>
      <c r="AC228" s="378"/>
      <c r="AD228" s="112"/>
      <c r="AE228" s="112" t="s">
        <v>78</v>
      </c>
      <c r="AF228" s="113" t="s">
        <v>88</v>
      </c>
      <c r="AG228" s="114">
        <v>2026</v>
      </c>
      <c r="AH228" s="115">
        <v>2777000</v>
      </c>
      <c r="AI228" s="115"/>
      <c r="AJ228" s="115"/>
      <c r="AK228" s="116" t="s">
        <v>43</v>
      </c>
      <c r="AL228" s="116" t="s">
        <v>41</v>
      </c>
      <c r="AM228" s="117">
        <v>0.7</v>
      </c>
      <c r="AN228" s="118"/>
    </row>
    <row r="229" spans="1:40" s="102" customFormat="1" ht="44.4" customHeight="1" x14ac:dyDescent="0.3">
      <c r="A229" s="102" t="s">
        <v>31</v>
      </c>
      <c r="B229" s="446" t="s">
        <v>85</v>
      </c>
      <c r="C229" s="167" t="s">
        <v>101</v>
      </c>
      <c r="D229" s="102" t="s">
        <v>34</v>
      </c>
      <c r="E229" s="102">
        <v>16</v>
      </c>
      <c r="F229" s="102" t="s">
        <v>35</v>
      </c>
      <c r="H229" s="429">
        <v>4800</v>
      </c>
      <c r="I229" s="109" t="s">
        <v>36</v>
      </c>
      <c r="J229" s="429">
        <v>4800</v>
      </c>
      <c r="K229" s="1686">
        <v>44049.81</v>
      </c>
      <c r="L229" s="1686">
        <f t="shared" si="1"/>
        <v>44049.81</v>
      </c>
      <c r="M229" s="107" t="s">
        <v>102</v>
      </c>
      <c r="N229" s="107" t="s">
        <v>103</v>
      </c>
      <c r="O229" s="107" t="s">
        <v>93</v>
      </c>
      <c r="P229" s="107"/>
      <c r="Q229" s="106"/>
      <c r="R229" s="107"/>
      <c r="S229" s="106"/>
      <c r="T229" s="107"/>
      <c r="U229" s="106"/>
      <c r="V229" s="107"/>
      <c r="W229" s="106"/>
      <c r="X229" s="107"/>
      <c r="Y229" s="106"/>
      <c r="Z229" s="107"/>
      <c r="AA229" s="106"/>
      <c r="AB229" s="107"/>
      <c r="AC229" s="106"/>
      <c r="AD229" s="106"/>
      <c r="AE229" s="106">
        <v>44679</v>
      </c>
      <c r="AF229" s="107" t="s">
        <v>88</v>
      </c>
      <c r="AG229" s="108">
        <v>2026</v>
      </c>
      <c r="AH229" s="109">
        <v>24000</v>
      </c>
      <c r="AI229" s="109"/>
      <c r="AJ229" s="109"/>
      <c r="AK229" s="102" t="s">
        <v>77</v>
      </c>
      <c r="AL229" s="102" t="s">
        <v>41</v>
      </c>
      <c r="AM229" s="110">
        <v>1</v>
      </c>
      <c r="AN229" s="652"/>
    </row>
    <row r="230" spans="1:40" s="102" customFormat="1" ht="52.95" customHeight="1" x14ac:dyDescent="0.3">
      <c r="A230" s="102" t="s">
        <v>31</v>
      </c>
      <c r="B230" s="446" t="s">
        <v>85</v>
      </c>
      <c r="C230" s="167" t="s">
        <v>104</v>
      </c>
      <c r="D230" s="102" t="s">
        <v>34</v>
      </c>
      <c r="E230" s="102">
        <v>16</v>
      </c>
      <c r="F230" s="102" t="s">
        <v>35</v>
      </c>
      <c r="H230" s="429">
        <v>64000</v>
      </c>
      <c r="I230" s="109" t="s">
        <v>36</v>
      </c>
      <c r="J230" s="429">
        <v>64000</v>
      </c>
      <c r="K230" s="1686">
        <v>20176.71</v>
      </c>
      <c r="L230" s="1686">
        <f t="shared" si="1"/>
        <v>20176.71</v>
      </c>
      <c r="M230" s="107" t="s">
        <v>102</v>
      </c>
      <c r="N230" s="107" t="s">
        <v>103</v>
      </c>
      <c r="O230" s="107" t="s">
        <v>93</v>
      </c>
      <c r="P230" s="107"/>
      <c r="Q230" s="106"/>
      <c r="R230" s="107"/>
      <c r="S230" s="106"/>
      <c r="T230" s="107"/>
      <c r="U230" s="106"/>
      <c r="V230" s="107"/>
      <c r="W230" s="106"/>
      <c r="X230" s="107"/>
      <c r="Y230" s="106"/>
      <c r="Z230" s="107"/>
      <c r="AA230" s="106"/>
      <c r="AB230" s="107"/>
      <c r="AC230" s="106"/>
      <c r="AD230" s="106"/>
      <c r="AE230" s="106">
        <v>44711</v>
      </c>
      <c r="AF230" s="107" t="s">
        <v>88</v>
      </c>
      <c r="AG230" s="108">
        <v>2026</v>
      </c>
      <c r="AH230" s="109">
        <v>320000</v>
      </c>
      <c r="AI230" s="109"/>
      <c r="AJ230" s="109"/>
      <c r="AK230" s="102" t="s">
        <v>43</v>
      </c>
      <c r="AL230" s="102" t="s">
        <v>41</v>
      </c>
      <c r="AM230" s="110">
        <v>0.7</v>
      </c>
      <c r="AN230" s="652"/>
    </row>
    <row r="231" spans="1:40" s="102" customFormat="1" ht="47.4" customHeight="1" x14ac:dyDescent="0.3">
      <c r="A231" s="102" t="s">
        <v>31</v>
      </c>
      <c r="B231" s="446" t="s">
        <v>85</v>
      </c>
      <c r="C231" s="167" t="s">
        <v>105</v>
      </c>
      <c r="D231" s="102" t="s">
        <v>34</v>
      </c>
      <c r="E231" s="102">
        <v>16</v>
      </c>
      <c r="F231" s="102" t="s">
        <v>35</v>
      </c>
      <c r="H231" s="429">
        <v>29299.471999999998</v>
      </c>
      <c r="I231" s="109" t="s">
        <v>36</v>
      </c>
      <c r="J231" s="429">
        <v>29299.471999999998</v>
      </c>
      <c r="K231" s="1686">
        <v>29417.14</v>
      </c>
      <c r="L231" s="1686">
        <f t="shared" si="1"/>
        <v>29417.14</v>
      </c>
      <c r="M231" s="107" t="s">
        <v>73</v>
      </c>
      <c r="N231" s="107" t="s">
        <v>106</v>
      </c>
      <c r="O231" s="107" t="s">
        <v>107</v>
      </c>
      <c r="P231" s="107"/>
      <c r="Q231" s="106"/>
      <c r="R231" s="107"/>
      <c r="S231" s="106"/>
      <c r="T231" s="107"/>
      <c r="U231" s="106"/>
      <c r="V231" s="107"/>
      <c r="W231" s="106"/>
      <c r="X231" s="107"/>
      <c r="Y231" s="106"/>
      <c r="Z231" s="107"/>
      <c r="AA231" s="106"/>
      <c r="AB231" s="107"/>
      <c r="AC231" s="106"/>
      <c r="AD231" s="106"/>
      <c r="AE231" s="106">
        <v>44711</v>
      </c>
      <c r="AF231" s="107" t="s">
        <v>88</v>
      </c>
      <c r="AG231" s="108">
        <v>2026</v>
      </c>
      <c r="AH231" s="109">
        <v>146497.35999999999</v>
      </c>
      <c r="AI231" s="109"/>
      <c r="AJ231" s="109"/>
      <c r="AK231" s="102" t="s">
        <v>43</v>
      </c>
      <c r="AL231" s="102" t="s">
        <v>41</v>
      </c>
      <c r="AM231" s="110">
        <v>1</v>
      </c>
      <c r="AN231" s="652"/>
    </row>
    <row r="232" spans="1:40" s="102" customFormat="1" ht="64.95" customHeight="1" x14ac:dyDescent="0.3">
      <c r="A232" s="102" t="s">
        <v>31</v>
      </c>
      <c r="B232" s="446" t="s">
        <v>85</v>
      </c>
      <c r="C232" s="167" t="s">
        <v>108</v>
      </c>
      <c r="D232" s="102" t="s">
        <v>34</v>
      </c>
      <c r="E232" s="102">
        <v>16</v>
      </c>
      <c r="F232" s="102" t="s">
        <v>35</v>
      </c>
      <c r="H232" s="429">
        <v>356040</v>
      </c>
      <c r="I232" s="109" t="s">
        <v>36</v>
      </c>
      <c r="J232" s="429">
        <v>356040</v>
      </c>
      <c r="K232" s="1686">
        <v>204348.43</v>
      </c>
      <c r="L232" s="1686">
        <f t="shared" si="1"/>
        <v>204348.43</v>
      </c>
      <c r="M232" s="107" t="s">
        <v>73</v>
      </c>
      <c r="N232" s="107" t="s">
        <v>106</v>
      </c>
      <c r="O232" s="107" t="s">
        <v>107</v>
      </c>
      <c r="P232" s="107"/>
      <c r="Q232" s="106"/>
      <c r="R232" s="107"/>
      <c r="S232" s="106"/>
      <c r="T232" s="107"/>
      <c r="U232" s="106"/>
      <c r="V232" s="107"/>
      <c r="W232" s="106"/>
      <c r="X232" s="107"/>
      <c r="Y232" s="106"/>
      <c r="Z232" s="107"/>
      <c r="AA232" s="106"/>
      <c r="AB232" s="107"/>
      <c r="AC232" s="106"/>
      <c r="AD232" s="106"/>
      <c r="AE232" s="106">
        <v>44711</v>
      </c>
      <c r="AF232" s="107" t="s">
        <v>65</v>
      </c>
      <c r="AG232" s="108">
        <v>2023</v>
      </c>
      <c r="AH232" s="109">
        <v>1780200</v>
      </c>
      <c r="AI232" s="109"/>
      <c r="AJ232" s="109"/>
      <c r="AK232" s="102" t="s">
        <v>43</v>
      </c>
      <c r="AL232" s="102" t="s">
        <v>41</v>
      </c>
      <c r="AM232" s="110">
        <v>0.9</v>
      </c>
      <c r="AN232" s="652"/>
    </row>
    <row r="233" spans="1:40" s="102" customFormat="1" ht="59.4" customHeight="1" x14ac:dyDescent="0.3">
      <c r="A233" s="102" t="s">
        <v>31</v>
      </c>
      <c r="B233" s="446" t="s">
        <v>85</v>
      </c>
      <c r="C233" s="167" t="s">
        <v>109</v>
      </c>
      <c r="D233" s="102" t="s">
        <v>34</v>
      </c>
      <c r="E233" s="102">
        <v>16</v>
      </c>
      <c r="F233" s="102" t="s">
        <v>35</v>
      </c>
      <c r="H233" s="429">
        <v>6820</v>
      </c>
      <c r="I233" s="109" t="s">
        <v>36</v>
      </c>
      <c r="J233" s="429">
        <v>6820</v>
      </c>
      <c r="K233" s="1686">
        <v>6847.39</v>
      </c>
      <c r="L233" s="1686">
        <f t="shared" si="1"/>
        <v>6847.39</v>
      </c>
      <c r="M233" s="107" t="s">
        <v>73</v>
      </c>
      <c r="N233" s="107" t="s">
        <v>110</v>
      </c>
      <c r="O233" s="107" t="s">
        <v>107</v>
      </c>
      <c r="P233" s="107"/>
      <c r="Q233" s="106"/>
      <c r="R233" s="107"/>
      <c r="S233" s="106"/>
      <c r="T233" s="107"/>
      <c r="U233" s="106"/>
      <c r="V233" s="107"/>
      <c r="W233" s="106"/>
      <c r="X233" s="107"/>
      <c r="Y233" s="106"/>
      <c r="Z233" s="107"/>
      <c r="AA233" s="106"/>
      <c r="AB233" s="107"/>
      <c r="AC233" s="106"/>
      <c r="AD233" s="106"/>
      <c r="AE233" s="494">
        <v>44729</v>
      </c>
      <c r="AF233" s="107" t="s">
        <v>88</v>
      </c>
      <c r="AG233" s="108">
        <v>2026</v>
      </c>
      <c r="AH233" s="109">
        <v>34100</v>
      </c>
      <c r="AI233" s="109"/>
      <c r="AJ233" s="109"/>
      <c r="AK233" s="102" t="s">
        <v>77</v>
      </c>
      <c r="AL233" s="102" t="s">
        <v>41</v>
      </c>
      <c r="AM233" s="110">
        <v>1</v>
      </c>
      <c r="AN233" s="652"/>
    </row>
    <row r="234" spans="1:40" s="102" customFormat="1" ht="52.95" customHeight="1" x14ac:dyDescent="0.3">
      <c r="A234" s="102" t="s">
        <v>31</v>
      </c>
      <c r="B234" s="446" t="s">
        <v>85</v>
      </c>
      <c r="C234" s="167" t="s">
        <v>111</v>
      </c>
      <c r="D234" s="102" t="s">
        <v>34</v>
      </c>
      <c r="E234" s="102">
        <v>16</v>
      </c>
      <c r="F234" s="102" t="s">
        <v>35</v>
      </c>
      <c r="H234" s="429">
        <v>464490</v>
      </c>
      <c r="I234" s="109" t="s">
        <v>36</v>
      </c>
      <c r="J234" s="429">
        <v>464490</v>
      </c>
      <c r="K234" s="1686">
        <v>147026.20000000001</v>
      </c>
      <c r="L234" s="1686">
        <f t="shared" si="1"/>
        <v>147026.20000000001</v>
      </c>
      <c r="M234" s="107" t="s">
        <v>73</v>
      </c>
      <c r="N234" s="107" t="s">
        <v>110</v>
      </c>
      <c r="O234" s="107" t="s">
        <v>107</v>
      </c>
      <c r="P234" s="107"/>
      <c r="Q234" s="106"/>
      <c r="R234" s="107"/>
      <c r="S234" s="106"/>
      <c r="T234" s="107"/>
      <c r="U234" s="106"/>
      <c r="V234" s="107"/>
      <c r="W234" s="106"/>
      <c r="X234" s="107"/>
      <c r="Y234" s="106"/>
      <c r="Z234" s="107"/>
      <c r="AA234" s="106"/>
      <c r="AB234" s="107"/>
      <c r="AC234" s="106"/>
      <c r="AD234" s="106"/>
      <c r="AE234" s="106" t="s">
        <v>112</v>
      </c>
      <c r="AF234" s="107" t="s">
        <v>88</v>
      </c>
      <c r="AG234" s="108">
        <v>2026</v>
      </c>
      <c r="AH234" s="109">
        <v>2322450</v>
      </c>
      <c r="AI234" s="109"/>
      <c r="AJ234" s="109"/>
      <c r="AK234" s="102" t="s">
        <v>43</v>
      </c>
      <c r="AL234" s="102" t="s">
        <v>41</v>
      </c>
      <c r="AM234" s="110">
        <v>0.7</v>
      </c>
      <c r="AN234" s="652"/>
    </row>
    <row r="235" spans="1:40" s="102" customFormat="1" ht="44.4" customHeight="1" x14ac:dyDescent="0.3">
      <c r="A235" s="102" t="s">
        <v>31</v>
      </c>
      <c r="B235" s="446" t="s">
        <v>85</v>
      </c>
      <c r="C235" s="167" t="s">
        <v>113</v>
      </c>
      <c r="D235" s="102" t="s">
        <v>34</v>
      </c>
      <c r="E235" s="102">
        <v>16</v>
      </c>
      <c r="F235" s="102" t="s">
        <v>35</v>
      </c>
      <c r="H235" s="429">
        <v>3980</v>
      </c>
      <c r="I235" s="109" t="s">
        <v>36</v>
      </c>
      <c r="J235" s="429">
        <v>3980</v>
      </c>
      <c r="K235" s="1686">
        <v>3995.98</v>
      </c>
      <c r="L235" s="1686">
        <f t="shared" si="1"/>
        <v>3995.98</v>
      </c>
      <c r="M235" s="107" t="s">
        <v>63</v>
      </c>
      <c r="N235" s="107" t="s">
        <v>114</v>
      </c>
      <c r="O235" s="107" t="s">
        <v>107</v>
      </c>
      <c r="P235" s="107"/>
      <c r="Q235" s="106"/>
      <c r="R235" s="107"/>
      <c r="S235" s="106"/>
      <c r="T235" s="107"/>
      <c r="U235" s="106"/>
      <c r="V235" s="107"/>
      <c r="W235" s="106"/>
      <c r="X235" s="107"/>
      <c r="Y235" s="106"/>
      <c r="Z235" s="107"/>
      <c r="AA235" s="106"/>
      <c r="AB235" s="107"/>
      <c r="AC235" s="106"/>
      <c r="AD235" s="106"/>
      <c r="AE235" s="106">
        <v>44711</v>
      </c>
      <c r="AF235" s="107" t="s">
        <v>88</v>
      </c>
      <c r="AG235" s="108">
        <v>2026</v>
      </c>
      <c r="AH235" s="109">
        <v>19900</v>
      </c>
      <c r="AI235" s="109"/>
      <c r="AJ235" s="109"/>
      <c r="AK235" s="102" t="s">
        <v>77</v>
      </c>
      <c r="AL235" s="102" t="s">
        <v>41</v>
      </c>
      <c r="AM235" s="110">
        <v>1</v>
      </c>
      <c r="AN235" s="652"/>
    </row>
    <row r="236" spans="1:40" s="102" customFormat="1" ht="70.2" customHeight="1" x14ac:dyDescent="0.3">
      <c r="A236" s="102" t="s">
        <v>31</v>
      </c>
      <c r="B236" s="446" t="s">
        <v>85</v>
      </c>
      <c r="C236" s="167" t="s">
        <v>115</v>
      </c>
      <c r="D236" s="102" t="s">
        <v>34</v>
      </c>
      <c r="E236" s="102">
        <v>16</v>
      </c>
      <c r="F236" s="102" t="s">
        <v>35</v>
      </c>
      <c r="H236" s="429">
        <v>304000</v>
      </c>
      <c r="I236" s="109" t="s">
        <v>36</v>
      </c>
      <c r="J236" s="429">
        <v>304000</v>
      </c>
      <c r="K236" s="1686">
        <v>96429.96</v>
      </c>
      <c r="L236" s="1686">
        <f t="shared" si="1"/>
        <v>96429.96</v>
      </c>
      <c r="M236" s="107" t="s">
        <v>63</v>
      </c>
      <c r="N236" s="107" t="s">
        <v>114</v>
      </c>
      <c r="O236" s="107" t="s">
        <v>107</v>
      </c>
      <c r="P236" s="107"/>
      <c r="Q236" s="106"/>
      <c r="R236" s="107"/>
      <c r="S236" s="106"/>
      <c r="T236" s="107"/>
      <c r="U236" s="106"/>
      <c r="V236" s="107"/>
      <c r="W236" s="106"/>
      <c r="X236" s="107"/>
      <c r="Y236" s="106"/>
      <c r="Z236" s="107"/>
      <c r="AA236" s="106"/>
      <c r="AB236" s="107"/>
      <c r="AC236" s="106"/>
      <c r="AD236" s="106"/>
      <c r="AE236" s="106" t="s">
        <v>112</v>
      </c>
      <c r="AF236" s="107" t="s">
        <v>88</v>
      </c>
      <c r="AG236" s="108">
        <v>2026</v>
      </c>
      <c r="AH236" s="109">
        <v>1520000</v>
      </c>
      <c r="AI236" s="109"/>
      <c r="AJ236" s="109"/>
      <c r="AK236" s="102" t="s">
        <v>43</v>
      </c>
      <c r="AL236" s="102" t="s">
        <v>41</v>
      </c>
      <c r="AM236" s="110">
        <v>0.7</v>
      </c>
      <c r="AN236" s="652"/>
    </row>
    <row r="237" spans="1:40" s="102" customFormat="1" ht="43.95" customHeight="1" x14ac:dyDescent="0.3">
      <c r="A237" s="102" t="s">
        <v>31</v>
      </c>
      <c r="B237" s="446" t="s">
        <v>85</v>
      </c>
      <c r="C237" s="167" t="s">
        <v>116</v>
      </c>
      <c r="D237" s="102" t="s">
        <v>34</v>
      </c>
      <c r="E237" s="102">
        <v>16</v>
      </c>
      <c r="F237" s="102" t="s">
        <v>35</v>
      </c>
      <c r="H237" s="429">
        <v>6820</v>
      </c>
      <c r="I237" s="109" t="s">
        <v>36</v>
      </c>
      <c r="J237" s="429">
        <v>6820</v>
      </c>
      <c r="K237" s="1686">
        <v>6847.39</v>
      </c>
      <c r="L237" s="1686">
        <f t="shared" si="1"/>
        <v>6847.39</v>
      </c>
      <c r="M237" s="107" t="s">
        <v>63</v>
      </c>
      <c r="N237" s="107" t="s">
        <v>117</v>
      </c>
      <c r="O237" s="107" t="s">
        <v>107</v>
      </c>
      <c r="P237" s="107"/>
      <c r="Q237" s="106"/>
      <c r="R237" s="107"/>
      <c r="S237" s="106"/>
      <c r="T237" s="107"/>
      <c r="U237" s="106"/>
      <c r="V237" s="107"/>
      <c r="W237" s="106"/>
      <c r="X237" s="107"/>
      <c r="Y237" s="106"/>
      <c r="Z237" s="107"/>
      <c r="AA237" s="106"/>
      <c r="AB237" s="107"/>
      <c r="AC237" s="106"/>
      <c r="AD237" s="106"/>
      <c r="AE237" s="106">
        <v>44666</v>
      </c>
      <c r="AF237" s="107" t="s">
        <v>88</v>
      </c>
      <c r="AG237" s="108">
        <v>2026</v>
      </c>
      <c r="AH237" s="109">
        <v>34100</v>
      </c>
      <c r="AI237" s="109"/>
      <c r="AJ237" s="109"/>
      <c r="AK237" s="102" t="s">
        <v>43</v>
      </c>
      <c r="AL237" s="102" t="s">
        <v>41</v>
      </c>
      <c r="AM237" s="110">
        <v>1</v>
      </c>
      <c r="AN237" s="652"/>
    </row>
    <row r="238" spans="1:40" s="102" customFormat="1" ht="57" customHeight="1" x14ac:dyDescent="0.3">
      <c r="A238" s="102" t="s">
        <v>31</v>
      </c>
      <c r="B238" s="446" t="s">
        <v>85</v>
      </c>
      <c r="C238" s="167" t="s">
        <v>118</v>
      </c>
      <c r="D238" s="102" t="s">
        <v>34</v>
      </c>
      <c r="E238" s="102">
        <v>16</v>
      </c>
      <c r="F238" s="102" t="s">
        <v>35</v>
      </c>
      <c r="H238" s="429">
        <v>468000</v>
      </c>
      <c r="I238" s="109" t="s">
        <v>36</v>
      </c>
      <c r="J238" s="429">
        <v>468000</v>
      </c>
      <c r="K238" s="1686">
        <v>148132.76999999999</v>
      </c>
      <c r="L238" s="1686">
        <f t="shared" si="1"/>
        <v>148132.76999999999</v>
      </c>
      <c r="M238" s="107" t="s">
        <v>63</v>
      </c>
      <c r="N238" s="107" t="s">
        <v>117</v>
      </c>
      <c r="O238" s="107" t="s">
        <v>107</v>
      </c>
      <c r="P238" s="107"/>
      <c r="Q238" s="106"/>
      <c r="R238" s="107"/>
      <c r="S238" s="106"/>
      <c r="T238" s="107"/>
      <c r="U238" s="106"/>
      <c r="V238" s="107"/>
      <c r="W238" s="106"/>
      <c r="X238" s="107"/>
      <c r="Y238" s="106"/>
      <c r="Z238" s="107"/>
      <c r="AA238" s="106"/>
      <c r="AB238" s="107"/>
      <c r="AC238" s="106"/>
      <c r="AD238" s="106"/>
      <c r="AE238" s="106" t="s">
        <v>112</v>
      </c>
      <c r="AF238" s="107" t="s">
        <v>88</v>
      </c>
      <c r="AG238" s="108">
        <v>2026</v>
      </c>
      <c r="AH238" s="109">
        <v>2340000</v>
      </c>
      <c r="AI238" s="109"/>
      <c r="AJ238" s="109"/>
      <c r="AK238" s="102" t="s">
        <v>43</v>
      </c>
      <c r="AL238" s="102" t="s">
        <v>41</v>
      </c>
      <c r="AM238" s="110">
        <v>0.7</v>
      </c>
      <c r="AN238" s="652"/>
    </row>
    <row r="239" spans="1:40" s="102" customFormat="1" ht="42" customHeight="1" x14ac:dyDescent="0.3">
      <c r="A239" s="102" t="s">
        <v>31</v>
      </c>
      <c r="B239" s="446" t="s">
        <v>85</v>
      </c>
      <c r="C239" s="167" t="s">
        <v>119</v>
      </c>
      <c r="D239" s="102" t="s">
        <v>34</v>
      </c>
      <c r="E239" s="102">
        <v>16</v>
      </c>
      <c r="F239" s="102" t="s">
        <v>35</v>
      </c>
      <c r="H239" s="429">
        <v>3980</v>
      </c>
      <c r="I239" s="109" t="s">
        <v>36</v>
      </c>
      <c r="J239" s="429">
        <v>3980</v>
      </c>
      <c r="K239" s="1686">
        <v>3995.98</v>
      </c>
      <c r="L239" s="1686">
        <f t="shared" si="1"/>
        <v>3995.98</v>
      </c>
      <c r="M239" s="107" t="s">
        <v>63</v>
      </c>
      <c r="N239" s="107" t="s">
        <v>120</v>
      </c>
      <c r="O239" s="107" t="s">
        <v>107</v>
      </c>
      <c r="P239" s="107"/>
      <c r="Q239" s="106"/>
      <c r="R239" s="107"/>
      <c r="S239" s="106"/>
      <c r="T239" s="107"/>
      <c r="U239" s="106"/>
      <c r="V239" s="107"/>
      <c r="W239" s="106"/>
      <c r="X239" s="107"/>
      <c r="Y239" s="106"/>
      <c r="Z239" s="107"/>
      <c r="AA239" s="106"/>
      <c r="AB239" s="107"/>
      <c r="AC239" s="106"/>
      <c r="AD239" s="106"/>
      <c r="AE239" s="106">
        <v>44711</v>
      </c>
      <c r="AF239" s="107" t="s">
        <v>88</v>
      </c>
      <c r="AG239" s="108">
        <v>2026</v>
      </c>
      <c r="AH239" s="109">
        <v>19900</v>
      </c>
      <c r="AI239" s="109"/>
      <c r="AJ239" s="109"/>
      <c r="AK239" s="102" t="s">
        <v>77</v>
      </c>
      <c r="AL239" s="102" t="s">
        <v>41</v>
      </c>
      <c r="AM239" s="110">
        <v>1</v>
      </c>
      <c r="AN239" s="652"/>
    </row>
    <row r="240" spans="1:40" s="102" customFormat="1" ht="57" customHeight="1" x14ac:dyDescent="0.3">
      <c r="A240" s="102" t="s">
        <v>31</v>
      </c>
      <c r="B240" s="446" t="s">
        <v>85</v>
      </c>
      <c r="C240" s="167" t="s">
        <v>121</v>
      </c>
      <c r="D240" s="102" t="s">
        <v>34</v>
      </c>
      <c r="E240" s="102">
        <v>16</v>
      </c>
      <c r="F240" s="102" t="s">
        <v>35</v>
      </c>
      <c r="H240" s="429">
        <v>312000</v>
      </c>
      <c r="I240" s="109" t="s">
        <v>36</v>
      </c>
      <c r="J240" s="429">
        <v>312000</v>
      </c>
      <c r="K240" s="1686">
        <v>98952.04</v>
      </c>
      <c r="L240" s="1686">
        <f t="shared" si="1"/>
        <v>98952.04</v>
      </c>
      <c r="M240" s="107" t="s">
        <v>63</v>
      </c>
      <c r="N240" s="107" t="s">
        <v>120</v>
      </c>
      <c r="O240" s="107" t="s">
        <v>107</v>
      </c>
      <c r="P240" s="107"/>
      <c r="Q240" s="106"/>
      <c r="R240" s="107"/>
      <c r="S240" s="106"/>
      <c r="T240" s="107"/>
      <c r="U240" s="106"/>
      <c r="V240" s="107"/>
      <c r="W240" s="106"/>
      <c r="X240" s="107"/>
      <c r="Y240" s="106"/>
      <c r="Z240" s="107"/>
      <c r="AA240" s="106"/>
      <c r="AB240" s="107"/>
      <c r="AC240" s="106"/>
      <c r="AD240" s="106"/>
      <c r="AE240" s="106">
        <v>44711</v>
      </c>
      <c r="AF240" s="107" t="s">
        <v>88</v>
      </c>
      <c r="AG240" s="108">
        <v>2026</v>
      </c>
      <c r="AH240" s="109">
        <v>1560000</v>
      </c>
      <c r="AI240" s="109"/>
      <c r="AJ240" s="109"/>
      <c r="AK240" s="102" t="s">
        <v>43</v>
      </c>
      <c r="AL240" s="102" t="s">
        <v>41</v>
      </c>
      <c r="AM240" s="110">
        <v>0.7</v>
      </c>
      <c r="AN240" s="652"/>
    </row>
    <row r="241" spans="1:40" s="102" customFormat="1" ht="51" customHeight="1" x14ac:dyDescent="0.3">
      <c r="A241" s="102" t="s">
        <v>31</v>
      </c>
      <c r="B241" s="446" t="s">
        <v>85</v>
      </c>
      <c r="C241" s="167" t="s">
        <v>122</v>
      </c>
      <c r="D241" s="102" t="s">
        <v>34</v>
      </c>
      <c r="E241" s="102">
        <v>16</v>
      </c>
      <c r="F241" s="102" t="s">
        <v>35</v>
      </c>
      <c r="H241" s="429">
        <v>3980</v>
      </c>
      <c r="I241" s="109" t="s">
        <v>36</v>
      </c>
      <c r="J241" s="429">
        <v>3980</v>
      </c>
      <c r="K241" s="1686">
        <v>3995.98</v>
      </c>
      <c r="L241" s="1686">
        <f t="shared" si="1"/>
        <v>3995.98</v>
      </c>
      <c r="M241" s="107" t="s">
        <v>73</v>
      </c>
      <c r="N241" s="107" t="s">
        <v>123</v>
      </c>
      <c r="O241" s="107" t="s">
        <v>107</v>
      </c>
      <c r="P241" s="107"/>
      <c r="Q241" s="106"/>
      <c r="R241" s="107"/>
      <c r="S241" s="106"/>
      <c r="T241" s="107"/>
      <c r="U241" s="106"/>
      <c r="V241" s="107"/>
      <c r="W241" s="106"/>
      <c r="X241" s="107"/>
      <c r="Y241" s="106"/>
      <c r="Z241" s="107"/>
      <c r="AA241" s="106"/>
      <c r="AB241" s="107"/>
      <c r="AC241" s="106"/>
      <c r="AD241" s="106"/>
      <c r="AE241" s="106">
        <v>44711</v>
      </c>
      <c r="AF241" s="107" t="s">
        <v>88</v>
      </c>
      <c r="AG241" s="108">
        <v>2026</v>
      </c>
      <c r="AH241" s="109">
        <v>19900</v>
      </c>
      <c r="AI241" s="109"/>
      <c r="AJ241" s="109"/>
      <c r="AK241" s="102" t="s">
        <v>77</v>
      </c>
      <c r="AL241" s="102" t="s">
        <v>41</v>
      </c>
      <c r="AM241" s="110">
        <v>1</v>
      </c>
      <c r="AN241" s="652"/>
    </row>
    <row r="242" spans="1:40" s="102" customFormat="1" ht="74.400000000000006" customHeight="1" x14ac:dyDescent="0.3">
      <c r="A242" s="102" t="s">
        <v>31</v>
      </c>
      <c r="B242" s="446" t="s">
        <v>85</v>
      </c>
      <c r="C242" s="167" t="s">
        <v>124</v>
      </c>
      <c r="D242" s="102" t="s">
        <v>34</v>
      </c>
      <c r="E242" s="102">
        <v>16</v>
      </c>
      <c r="F242" s="102" t="s">
        <v>35</v>
      </c>
      <c r="H242" s="429">
        <v>298000</v>
      </c>
      <c r="I242" s="109" t="s">
        <v>36</v>
      </c>
      <c r="J242" s="429">
        <v>298000</v>
      </c>
      <c r="K242" s="1686">
        <v>94538.39</v>
      </c>
      <c r="L242" s="1686">
        <f t="shared" si="1"/>
        <v>94538.39</v>
      </c>
      <c r="M242" s="107" t="s">
        <v>73</v>
      </c>
      <c r="N242" s="107" t="s">
        <v>123</v>
      </c>
      <c r="O242" s="107" t="s">
        <v>107</v>
      </c>
      <c r="P242" s="107"/>
      <c r="Q242" s="106"/>
      <c r="R242" s="107"/>
      <c r="S242" s="106"/>
      <c r="T242" s="107"/>
      <c r="U242" s="106"/>
      <c r="V242" s="107"/>
      <c r="W242" s="106"/>
      <c r="X242" s="107"/>
      <c r="Y242" s="106"/>
      <c r="Z242" s="107"/>
      <c r="AA242" s="106"/>
      <c r="AB242" s="107"/>
      <c r="AC242" s="106"/>
      <c r="AD242" s="106"/>
      <c r="AE242" s="106">
        <v>44711</v>
      </c>
      <c r="AF242" s="107" t="s">
        <v>88</v>
      </c>
      <c r="AG242" s="108">
        <v>2026</v>
      </c>
      <c r="AH242" s="109">
        <v>1490000</v>
      </c>
      <c r="AI242" s="109"/>
      <c r="AJ242" s="109"/>
      <c r="AK242" s="102" t="s">
        <v>43</v>
      </c>
      <c r="AL242" s="102" t="s">
        <v>41</v>
      </c>
      <c r="AM242" s="110">
        <v>0.7</v>
      </c>
      <c r="AN242" s="652"/>
    </row>
    <row r="243" spans="1:40" s="102" customFormat="1" ht="86.4" customHeight="1" x14ac:dyDescent="0.3">
      <c r="A243" s="102" t="s">
        <v>31</v>
      </c>
      <c r="B243" s="654" t="s">
        <v>85</v>
      </c>
      <c r="C243" s="167" t="s">
        <v>125</v>
      </c>
      <c r="D243" s="102" t="s">
        <v>34</v>
      </c>
      <c r="E243" s="102">
        <v>16</v>
      </c>
      <c r="F243" s="102" t="s">
        <v>35</v>
      </c>
      <c r="H243" s="429">
        <v>328000</v>
      </c>
      <c r="I243" s="109" t="s">
        <v>36</v>
      </c>
      <c r="J243" s="429">
        <v>328000</v>
      </c>
      <c r="K243" s="1686">
        <v>237108.43</v>
      </c>
      <c r="L243" s="1686">
        <f t="shared" si="1"/>
        <v>237108.43</v>
      </c>
      <c r="M243" s="107" t="s">
        <v>60</v>
      </c>
      <c r="N243" s="107" t="s">
        <v>126</v>
      </c>
      <c r="O243" s="107" t="s">
        <v>127</v>
      </c>
      <c r="P243" s="107"/>
      <c r="Q243" s="106"/>
      <c r="R243" s="107"/>
      <c r="S243" s="106"/>
      <c r="T243" s="107"/>
      <c r="U243" s="106"/>
      <c r="V243" s="107"/>
      <c r="W243" s="106"/>
      <c r="X243" s="107"/>
      <c r="Y243" s="106"/>
      <c r="Z243" s="107"/>
      <c r="AA243" s="106"/>
      <c r="AB243" s="107"/>
      <c r="AC243" s="106"/>
      <c r="AD243" s="106"/>
      <c r="AE243" s="106" t="s">
        <v>128</v>
      </c>
      <c r="AF243" s="107" t="s">
        <v>65</v>
      </c>
      <c r="AG243" s="108">
        <v>2023</v>
      </c>
      <c r="AH243" s="109">
        <v>1640000</v>
      </c>
      <c r="AI243" s="109"/>
      <c r="AJ243" s="109"/>
      <c r="AK243" s="102" t="s">
        <v>43</v>
      </c>
      <c r="AL243" s="102" t="s">
        <v>41</v>
      </c>
      <c r="AM243" s="110">
        <v>0.9</v>
      </c>
      <c r="AN243" s="652"/>
    </row>
    <row r="244" spans="1:40" s="138" customFormat="1" ht="54.6" customHeight="1" x14ac:dyDescent="0.3">
      <c r="A244" s="138" t="s">
        <v>31</v>
      </c>
      <c r="B244" s="655" t="s">
        <v>85</v>
      </c>
      <c r="C244" s="167" t="s">
        <v>129</v>
      </c>
      <c r="D244" s="138" t="s">
        <v>34</v>
      </c>
      <c r="E244" s="102">
        <v>16</v>
      </c>
      <c r="F244" s="138" t="s">
        <v>35</v>
      </c>
      <c r="H244" s="5">
        <v>120000</v>
      </c>
      <c r="I244" s="139" t="s">
        <v>36</v>
      </c>
      <c r="J244" s="5">
        <v>120000</v>
      </c>
      <c r="K244" s="1652">
        <v>12048.19</v>
      </c>
      <c r="L244" s="1686">
        <f t="shared" si="1"/>
        <v>12048.19</v>
      </c>
      <c r="M244" s="493" t="s">
        <v>130</v>
      </c>
      <c r="N244" s="493" t="s">
        <v>131</v>
      </c>
      <c r="O244" s="493" t="s">
        <v>127</v>
      </c>
      <c r="P244" s="493"/>
      <c r="Q244" s="494"/>
      <c r="R244" s="493"/>
      <c r="S244" s="494"/>
      <c r="T244" s="493"/>
      <c r="U244" s="494"/>
      <c r="V244" s="493"/>
      <c r="W244" s="494"/>
      <c r="X244" s="493"/>
      <c r="Y244" s="494"/>
      <c r="Z244" s="493"/>
      <c r="AA244" s="494"/>
      <c r="AB244" s="493"/>
      <c r="AC244" s="494"/>
      <c r="AD244" s="494"/>
      <c r="AE244" s="494" t="s">
        <v>112</v>
      </c>
      <c r="AF244" s="493" t="s">
        <v>88</v>
      </c>
      <c r="AG244" s="495">
        <v>2026</v>
      </c>
      <c r="AH244" s="139">
        <v>600000</v>
      </c>
      <c r="AI244" s="139"/>
      <c r="AJ244" s="139"/>
      <c r="AK244" s="138" t="s">
        <v>43</v>
      </c>
      <c r="AL244" s="138" t="s">
        <v>41</v>
      </c>
      <c r="AM244" s="496">
        <v>0.7</v>
      </c>
      <c r="AN244" s="656"/>
    </row>
    <row r="245" spans="1:40" s="138" customFormat="1" ht="47.4" customHeight="1" x14ac:dyDescent="0.3">
      <c r="A245" s="138" t="s">
        <v>31</v>
      </c>
      <c r="B245" s="655" t="s">
        <v>85</v>
      </c>
      <c r="C245" s="167" t="s">
        <v>132</v>
      </c>
      <c r="D245" s="138" t="s">
        <v>34</v>
      </c>
      <c r="E245" s="102">
        <v>16</v>
      </c>
      <c r="F245" s="138" t="s">
        <v>35</v>
      </c>
      <c r="H245" s="5">
        <v>3300</v>
      </c>
      <c r="I245" s="139" t="s">
        <v>36</v>
      </c>
      <c r="J245" s="5">
        <v>3300</v>
      </c>
      <c r="K245" s="1652">
        <v>2784.25</v>
      </c>
      <c r="L245" s="1686">
        <f t="shared" si="1"/>
        <v>2784.25</v>
      </c>
      <c r="M245" s="493" t="s">
        <v>133</v>
      </c>
      <c r="N245" s="493" t="s">
        <v>134</v>
      </c>
      <c r="O245" s="493" t="s">
        <v>135</v>
      </c>
      <c r="P245" s="493"/>
      <c r="Q245" s="494"/>
      <c r="R245" s="493"/>
      <c r="S245" s="494"/>
      <c r="T245" s="493"/>
      <c r="U245" s="494"/>
      <c r="V245" s="493"/>
      <c r="W245" s="494"/>
      <c r="X245" s="493"/>
      <c r="Y245" s="494"/>
      <c r="Z245" s="493"/>
      <c r="AA245" s="494"/>
      <c r="AB245" s="493"/>
      <c r="AC245" s="494"/>
      <c r="AD245" s="494"/>
      <c r="AE245" s="494">
        <v>44729</v>
      </c>
      <c r="AF245" s="493" t="s">
        <v>88</v>
      </c>
      <c r="AG245" s="495">
        <v>2026</v>
      </c>
      <c r="AH245" s="139">
        <v>16500</v>
      </c>
      <c r="AI245" s="139"/>
      <c r="AJ245" s="139"/>
      <c r="AK245" s="138" t="s">
        <v>43</v>
      </c>
      <c r="AL245" s="138" t="s">
        <v>41</v>
      </c>
      <c r="AM245" s="496">
        <v>0</v>
      </c>
      <c r="AN245" s="656"/>
    </row>
    <row r="246" spans="1:40" s="102" customFormat="1" ht="47.4" customHeight="1" x14ac:dyDescent="0.3">
      <c r="A246" s="102" t="s">
        <v>31</v>
      </c>
      <c r="B246" s="654" t="s">
        <v>85</v>
      </c>
      <c r="C246" s="167" t="s">
        <v>136</v>
      </c>
      <c r="D246" s="102" t="s">
        <v>34</v>
      </c>
      <c r="E246" s="102">
        <v>16</v>
      </c>
      <c r="F246" s="102" t="s">
        <v>35</v>
      </c>
      <c r="H246" s="429">
        <v>164000</v>
      </c>
      <c r="I246" s="109" t="s">
        <v>36</v>
      </c>
      <c r="J246" s="429">
        <v>164000</v>
      </c>
      <c r="K246" s="1686">
        <v>69747.22</v>
      </c>
      <c r="L246" s="1686">
        <f t="shared" si="1"/>
        <v>69747.22</v>
      </c>
      <c r="M246" s="107" t="s">
        <v>133</v>
      </c>
      <c r="N246" s="107" t="s">
        <v>137</v>
      </c>
      <c r="O246" s="107" t="s">
        <v>135</v>
      </c>
      <c r="P246" s="107"/>
      <c r="Q246" s="106"/>
      <c r="R246" s="107"/>
      <c r="S246" s="106"/>
      <c r="T246" s="107"/>
      <c r="U246" s="106"/>
      <c r="V246" s="107"/>
      <c r="W246" s="106"/>
      <c r="X246" s="107"/>
      <c r="Y246" s="106"/>
      <c r="Z246" s="107"/>
      <c r="AA246" s="106"/>
      <c r="AB246" s="107"/>
      <c r="AC246" s="106"/>
      <c r="AD246" s="106"/>
      <c r="AE246" s="106" t="s">
        <v>138</v>
      </c>
      <c r="AF246" s="107" t="s">
        <v>65</v>
      </c>
      <c r="AG246" s="108">
        <v>2023</v>
      </c>
      <c r="AH246" s="109">
        <v>820000</v>
      </c>
      <c r="AI246" s="109"/>
      <c r="AJ246" s="109"/>
      <c r="AK246" s="102" t="s">
        <v>43</v>
      </c>
      <c r="AL246" s="102" t="s">
        <v>41</v>
      </c>
      <c r="AM246" s="110">
        <v>0.5</v>
      </c>
      <c r="AN246" s="652"/>
    </row>
    <row r="247" spans="1:40" s="138" customFormat="1" ht="69" customHeight="1" x14ac:dyDescent="0.3">
      <c r="A247" s="138" t="s">
        <v>31</v>
      </c>
      <c r="B247" s="655" t="s">
        <v>85</v>
      </c>
      <c r="C247" s="167" t="s">
        <v>139</v>
      </c>
      <c r="D247" s="138" t="s">
        <v>34</v>
      </c>
      <c r="E247" s="102">
        <v>16</v>
      </c>
      <c r="F247" s="138" t="s">
        <v>35</v>
      </c>
      <c r="H247" s="5">
        <v>16700</v>
      </c>
      <c r="I247" s="139" t="s">
        <v>36</v>
      </c>
      <c r="J247" s="5">
        <v>16700</v>
      </c>
      <c r="K247" s="1652">
        <v>14089.97</v>
      </c>
      <c r="L247" s="1686">
        <f t="shared" si="1"/>
        <v>14089.97</v>
      </c>
      <c r="M247" s="493" t="s">
        <v>140</v>
      </c>
      <c r="N247" s="493" t="s">
        <v>141</v>
      </c>
      <c r="O247" s="493" t="s">
        <v>135</v>
      </c>
      <c r="P247" s="493"/>
      <c r="Q247" s="494"/>
      <c r="R247" s="493"/>
      <c r="S247" s="494"/>
      <c r="T247" s="493"/>
      <c r="U247" s="494"/>
      <c r="V247" s="493"/>
      <c r="W247" s="494"/>
      <c r="X247" s="493"/>
      <c r="Y247" s="494"/>
      <c r="Z247" s="493"/>
      <c r="AA247" s="494"/>
      <c r="AB247" s="493"/>
      <c r="AC247" s="494"/>
      <c r="AD247" s="494"/>
      <c r="AE247" s="494">
        <v>44729</v>
      </c>
      <c r="AF247" s="493" t="s">
        <v>88</v>
      </c>
      <c r="AG247" s="495">
        <v>2026</v>
      </c>
      <c r="AH247" s="139">
        <v>83500</v>
      </c>
      <c r="AI247" s="139"/>
      <c r="AJ247" s="139"/>
      <c r="AK247" s="102" t="s">
        <v>77</v>
      </c>
      <c r="AL247" s="138" t="s">
        <v>41</v>
      </c>
      <c r="AM247" s="496">
        <v>1</v>
      </c>
      <c r="AN247" s="656"/>
    </row>
    <row r="248" spans="1:40" s="102" customFormat="1" ht="71.400000000000006" customHeight="1" x14ac:dyDescent="0.3">
      <c r="A248" s="102" t="s">
        <v>31</v>
      </c>
      <c r="B248" s="654" t="s">
        <v>85</v>
      </c>
      <c r="C248" s="167" t="s">
        <v>142</v>
      </c>
      <c r="D248" s="102" t="s">
        <v>34</v>
      </c>
      <c r="E248" s="102">
        <v>16</v>
      </c>
      <c r="F248" s="102" t="s">
        <v>35</v>
      </c>
      <c r="H248" s="429">
        <v>6700</v>
      </c>
      <c r="I248" s="109" t="s">
        <v>36</v>
      </c>
      <c r="J248" s="429">
        <v>6700</v>
      </c>
      <c r="K248" s="1686">
        <v>6726.91</v>
      </c>
      <c r="L248" s="1686">
        <f t="shared" si="1"/>
        <v>6726.91</v>
      </c>
      <c r="M248" s="107" t="s">
        <v>68</v>
      </c>
      <c r="N248" s="107" t="s">
        <v>143</v>
      </c>
      <c r="O248" s="107" t="s">
        <v>144</v>
      </c>
      <c r="P248" s="107"/>
      <c r="Q248" s="106"/>
      <c r="R248" s="107"/>
      <c r="S248" s="106"/>
      <c r="T248" s="107"/>
      <c r="U248" s="106"/>
      <c r="V248" s="107"/>
      <c r="W248" s="106"/>
      <c r="X248" s="107"/>
      <c r="Y248" s="106"/>
      <c r="Z248" s="107"/>
      <c r="AA248" s="106"/>
      <c r="AB248" s="107"/>
      <c r="AC248" s="106"/>
      <c r="AD248" s="106"/>
      <c r="AE248" s="106">
        <v>44635</v>
      </c>
      <c r="AF248" s="107" t="s">
        <v>88</v>
      </c>
      <c r="AG248" s="108">
        <v>2026</v>
      </c>
      <c r="AH248" s="109">
        <v>33500</v>
      </c>
      <c r="AI248" s="109"/>
      <c r="AJ248" s="109"/>
      <c r="AK248" s="102" t="s">
        <v>77</v>
      </c>
      <c r="AL248" s="102" t="s">
        <v>41</v>
      </c>
      <c r="AM248" s="110">
        <v>1</v>
      </c>
      <c r="AN248" s="652"/>
    </row>
    <row r="249" spans="1:40" s="102" customFormat="1" ht="71.400000000000006" customHeight="1" x14ac:dyDescent="0.3">
      <c r="A249" s="102" t="s">
        <v>31</v>
      </c>
      <c r="B249" s="654" t="s">
        <v>85</v>
      </c>
      <c r="C249" s="167" t="s">
        <v>145</v>
      </c>
      <c r="D249" s="102" t="s">
        <v>34</v>
      </c>
      <c r="E249" s="102">
        <v>16</v>
      </c>
      <c r="F249" s="102" t="s">
        <v>35</v>
      </c>
      <c r="H249" s="429">
        <v>102000</v>
      </c>
      <c r="I249" s="109" t="s">
        <v>36</v>
      </c>
      <c r="J249" s="429">
        <v>102000</v>
      </c>
      <c r="K249" s="1686">
        <f>8032.13+15975.9</f>
        <v>24008.03</v>
      </c>
      <c r="L249" s="1686">
        <f t="shared" si="1"/>
        <v>24008.03</v>
      </c>
      <c r="M249" s="107" t="s">
        <v>68</v>
      </c>
      <c r="N249" s="107" t="s">
        <v>143</v>
      </c>
      <c r="O249" s="107" t="s">
        <v>144</v>
      </c>
      <c r="P249" s="107"/>
      <c r="Q249" s="106"/>
      <c r="R249" s="107"/>
      <c r="S249" s="106"/>
      <c r="T249" s="107"/>
      <c r="U249" s="106"/>
      <c r="V249" s="107"/>
      <c r="W249" s="106"/>
      <c r="X249" s="107"/>
      <c r="Y249" s="106"/>
      <c r="Z249" s="107"/>
      <c r="AA249" s="106"/>
      <c r="AB249" s="107"/>
      <c r="AC249" s="106"/>
      <c r="AD249" s="106"/>
      <c r="AE249" s="106">
        <v>44715</v>
      </c>
      <c r="AF249" s="107" t="s">
        <v>88</v>
      </c>
      <c r="AG249" s="108">
        <v>2026</v>
      </c>
      <c r="AH249" s="109">
        <v>510000</v>
      </c>
      <c r="AI249" s="109"/>
      <c r="AJ249" s="109"/>
      <c r="AK249" s="102" t="s">
        <v>43</v>
      </c>
      <c r="AL249" s="102" t="s">
        <v>41</v>
      </c>
      <c r="AM249" s="110">
        <v>0.5</v>
      </c>
      <c r="AN249" s="652"/>
    </row>
    <row r="250" spans="1:40" s="102" customFormat="1" ht="71.400000000000006" customHeight="1" x14ac:dyDescent="0.3">
      <c r="A250" s="102" t="s">
        <v>31</v>
      </c>
      <c r="B250" s="654" t="s">
        <v>85</v>
      </c>
      <c r="C250" s="167" t="s">
        <v>146</v>
      </c>
      <c r="D250" s="102" t="s">
        <v>34</v>
      </c>
      <c r="E250" s="102">
        <v>16</v>
      </c>
      <c r="F250" s="102" t="s">
        <v>35</v>
      </c>
      <c r="H250" s="429">
        <v>10023.266</v>
      </c>
      <c r="I250" s="109" t="s">
        <v>36</v>
      </c>
      <c r="J250" s="429">
        <v>10023.266</v>
      </c>
      <c r="K250" s="1686">
        <f>10063.52+15659.04</f>
        <v>25722.560000000001</v>
      </c>
      <c r="L250" s="1686">
        <f t="shared" si="1"/>
        <v>25722.560000000001</v>
      </c>
      <c r="M250" s="107" t="s">
        <v>79</v>
      </c>
      <c r="N250" s="107" t="s">
        <v>147</v>
      </c>
      <c r="O250" s="107" t="s">
        <v>148</v>
      </c>
      <c r="P250" s="107"/>
      <c r="Q250" s="106"/>
      <c r="R250" s="107"/>
      <c r="S250" s="106"/>
      <c r="T250" s="107"/>
      <c r="U250" s="106"/>
      <c r="V250" s="107"/>
      <c r="W250" s="106"/>
      <c r="X250" s="107"/>
      <c r="Y250" s="106"/>
      <c r="Z250" s="107"/>
      <c r="AA250" s="106"/>
      <c r="AB250" s="107"/>
      <c r="AC250" s="106"/>
      <c r="AD250" s="494"/>
      <c r="AE250" s="494">
        <v>44729</v>
      </c>
      <c r="AF250" s="107" t="s">
        <v>88</v>
      </c>
      <c r="AG250" s="108">
        <v>2026</v>
      </c>
      <c r="AH250" s="109">
        <v>50116.33</v>
      </c>
      <c r="AI250" s="109"/>
      <c r="AJ250" s="109"/>
      <c r="AK250" s="102" t="s">
        <v>77</v>
      </c>
      <c r="AL250" s="102" t="s">
        <v>41</v>
      </c>
      <c r="AM250" s="110">
        <v>1</v>
      </c>
      <c r="AN250" s="652"/>
    </row>
    <row r="251" spans="1:40" s="102" customFormat="1" ht="71.400000000000006" customHeight="1" x14ac:dyDescent="0.3">
      <c r="A251" s="102" t="s">
        <v>31</v>
      </c>
      <c r="B251" s="654" t="s">
        <v>85</v>
      </c>
      <c r="C251" s="167" t="s">
        <v>149</v>
      </c>
      <c r="D251" s="102" t="s">
        <v>34</v>
      </c>
      <c r="E251" s="102">
        <v>16</v>
      </c>
      <c r="F251" s="102" t="s">
        <v>35</v>
      </c>
      <c r="H251" s="429">
        <v>129970</v>
      </c>
      <c r="I251" s="109" t="s">
        <v>36</v>
      </c>
      <c r="J251" s="429">
        <v>129970</v>
      </c>
      <c r="K251" s="1686">
        <v>114632.73</v>
      </c>
      <c r="L251" s="1686">
        <f t="shared" si="1"/>
        <v>114632.73</v>
      </c>
      <c r="M251" s="107" t="s">
        <v>79</v>
      </c>
      <c r="N251" s="107" t="s">
        <v>147</v>
      </c>
      <c r="O251" s="107" t="s">
        <v>148</v>
      </c>
      <c r="P251" s="107"/>
      <c r="Q251" s="106"/>
      <c r="R251" s="107"/>
      <c r="S251" s="106"/>
      <c r="T251" s="107"/>
      <c r="U251" s="106"/>
      <c r="V251" s="107"/>
      <c r="W251" s="106"/>
      <c r="X251" s="107"/>
      <c r="Y251" s="106"/>
      <c r="Z251" s="107"/>
      <c r="AA251" s="106"/>
      <c r="AB251" s="107"/>
      <c r="AC251" s="106"/>
      <c r="AD251" s="106"/>
      <c r="AE251" s="106">
        <v>45107</v>
      </c>
      <c r="AF251" s="107" t="s">
        <v>65</v>
      </c>
      <c r="AG251" s="108">
        <v>2023</v>
      </c>
      <c r="AH251" s="109">
        <v>649850</v>
      </c>
      <c r="AI251" s="109"/>
      <c r="AJ251" s="109"/>
      <c r="AK251" s="102" t="s">
        <v>43</v>
      </c>
      <c r="AL251" s="102" t="s">
        <v>41</v>
      </c>
      <c r="AM251" s="110">
        <v>0.9</v>
      </c>
      <c r="AN251" s="652"/>
    </row>
    <row r="252" spans="1:40" s="102" customFormat="1" ht="71.400000000000006" customHeight="1" x14ac:dyDescent="0.3">
      <c r="A252" s="102" t="s">
        <v>31</v>
      </c>
      <c r="B252" s="654" t="s">
        <v>85</v>
      </c>
      <c r="C252" s="167" t="s">
        <v>150</v>
      </c>
      <c r="D252" s="102" t="s">
        <v>34</v>
      </c>
      <c r="E252" s="102">
        <v>16</v>
      </c>
      <c r="F252" s="102" t="s">
        <v>35</v>
      </c>
      <c r="H252" s="429">
        <v>3200</v>
      </c>
      <c r="I252" s="109" t="s">
        <v>36</v>
      </c>
      <c r="J252" s="429">
        <v>3200</v>
      </c>
      <c r="K252" s="1686">
        <v>3212.85</v>
      </c>
      <c r="L252" s="1686">
        <f t="shared" si="1"/>
        <v>3212.85</v>
      </c>
      <c r="M252" s="107" t="s">
        <v>151</v>
      </c>
      <c r="N252" s="107" t="s">
        <v>152</v>
      </c>
      <c r="O252" s="107" t="s">
        <v>153</v>
      </c>
      <c r="P252" s="107"/>
      <c r="Q252" s="106"/>
      <c r="R252" s="107"/>
      <c r="S252" s="106"/>
      <c r="T252" s="107"/>
      <c r="U252" s="106"/>
      <c r="V252" s="107"/>
      <c r="W252" s="106"/>
      <c r="X252" s="107"/>
      <c r="Y252" s="106"/>
      <c r="Z252" s="107"/>
      <c r="AA252" s="106"/>
      <c r="AB252" s="107"/>
      <c r="AC252" s="106"/>
      <c r="AD252" s="106"/>
      <c r="AE252" s="106">
        <v>44736</v>
      </c>
      <c r="AF252" s="107" t="s">
        <v>88</v>
      </c>
      <c r="AG252" s="108">
        <v>2026</v>
      </c>
      <c r="AH252" s="109">
        <v>16000</v>
      </c>
      <c r="AI252" s="109"/>
      <c r="AJ252" s="109"/>
      <c r="AK252" s="102" t="s">
        <v>77</v>
      </c>
      <c r="AL252" s="102" t="s">
        <v>41</v>
      </c>
      <c r="AM252" s="110">
        <v>1</v>
      </c>
      <c r="AN252" s="652"/>
    </row>
    <row r="253" spans="1:40" s="102" customFormat="1" ht="71.400000000000006" customHeight="1" x14ac:dyDescent="0.3">
      <c r="A253" s="102" t="s">
        <v>31</v>
      </c>
      <c r="B253" s="654" t="s">
        <v>85</v>
      </c>
      <c r="C253" s="167" t="s">
        <v>154</v>
      </c>
      <c r="D253" s="102" t="s">
        <v>34</v>
      </c>
      <c r="E253" s="102">
        <v>16</v>
      </c>
      <c r="F253" s="102" t="s">
        <v>35</v>
      </c>
      <c r="H253" s="429">
        <v>103837</v>
      </c>
      <c r="I253" s="109" t="s">
        <v>36</v>
      </c>
      <c r="J253" s="429">
        <v>103837</v>
      </c>
      <c r="K253" s="1686">
        <v>50853.32</v>
      </c>
      <c r="L253" s="1686">
        <f t="shared" si="1"/>
        <v>50853.32</v>
      </c>
      <c r="M253" s="107" t="s">
        <v>151</v>
      </c>
      <c r="N253" s="107" t="s">
        <v>152</v>
      </c>
      <c r="O253" s="107" t="s">
        <v>153</v>
      </c>
      <c r="P253" s="107"/>
      <c r="Q253" s="106"/>
      <c r="R253" s="107"/>
      <c r="S253" s="106"/>
      <c r="T253" s="107"/>
      <c r="U253" s="106"/>
      <c r="V253" s="107"/>
      <c r="W253" s="106"/>
      <c r="X253" s="107"/>
      <c r="Y253" s="106"/>
      <c r="Z253" s="107"/>
      <c r="AA253" s="106"/>
      <c r="AB253" s="107"/>
      <c r="AC253" s="106"/>
      <c r="AD253" s="106"/>
      <c r="AE253" s="106" t="s">
        <v>155</v>
      </c>
      <c r="AF253" s="107" t="s">
        <v>65</v>
      </c>
      <c r="AG253" s="108">
        <v>2023</v>
      </c>
      <c r="AH253" s="109">
        <v>519185</v>
      </c>
      <c r="AI253" s="109"/>
      <c r="AJ253" s="109"/>
      <c r="AK253" s="102" t="s">
        <v>43</v>
      </c>
      <c r="AL253" s="102" t="s">
        <v>41</v>
      </c>
      <c r="AM253" s="110">
        <v>0.9</v>
      </c>
      <c r="AN253" s="652"/>
    </row>
    <row r="254" spans="1:40" s="102" customFormat="1" ht="71.400000000000006" customHeight="1" x14ac:dyDescent="0.3">
      <c r="A254" s="102" t="s">
        <v>31</v>
      </c>
      <c r="B254" s="654" t="s">
        <v>85</v>
      </c>
      <c r="C254" s="167" t="s">
        <v>156</v>
      </c>
      <c r="D254" s="102" t="s">
        <v>34</v>
      </c>
      <c r="E254" s="102">
        <v>16</v>
      </c>
      <c r="F254" s="102" t="s">
        <v>35</v>
      </c>
      <c r="H254" s="429">
        <v>4100</v>
      </c>
      <c r="I254" s="109" t="s">
        <v>36</v>
      </c>
      <c r="J254" s="429">
        <v>4100</v>
      </c>
      <c r="K254" s="1686">
        <v>3459.22</v>
      </c>
      <c r="L254" s="1686">
        <f t="shared" si="1"/>
        <v>3459.22</v>
      </c>
      <c r="M254" s="107" t="s">
        <v>151</v>
      </c>
      <c r="N254" s="107" t="s">
        <v>157</v>
      </c>
      <c r="O254" s="107" t="s">
        <v>153</v>
      </c>
      <c r="P254" s="107"/>
      <c r="Q254" s="106"/>
      <c r="R254" s="107"/>
      <c r="S254" s="106"/>
      <c r="T254" s="107"/>
      <c r="U254" s="106"/>
      <c r="V254" s="107"/>
      <c r="W254" s="106"/>
      <c r="X254" s="107"/>
      <c r="Y254" s="106"/>
      <c r="Z254" s="107"/>
      <c r="AA254" s="106"/>
      <c r="AB254" s="107"/>
      <c r="AC254" s="106"/>
      <c r="AD254" s="106"/>
      <c r="AE254" s="106">
        <v>44734</v>
      </c>
      <c r="AF254" s="107" t="s">
        <v>88</v>
      </c>
      <c r="AG254" s="108">
        <v>2026</v>
      </c>
      <c r="AH254" s="109">
        <v>20500</v>
      </c>
      <c r="AI254" s="109"/>
      <c r="AJ254" s="109"/>
      <c r="AK254" s="102" t="s">
        <v>77</v>
      </c>
      <c r="AL254" s="102" t="s">
        <v>41</v>
      </c>
      <c r="AM254" s="110">
        <v>1</v>
      </c>
      <c r="AN254" s="652"/>
    </row>
    <row r="255" spans="1:40" s="102" customFormat="1" ht="71.400000000000006" customHeight="1" x14ac:dyDescent="0.3">
      <c r="A255" s="102" t="s">
        <v>31</v>
      </c>
      <c r="B255" s="654" t="s">
        <v>85</v>
      </c>
      <c r="C255" s="167" t="s">
        <v>158</v>
      </c>
      <c r="D255" s="102" t="s">
        <v>34</v>
      </c>
      <c r="E255" s="102">
        <v>16</v>
      </c>
      <c r="F255" s="102" t="s">
        <v>35</v>
      </c>
      <c r="H255" s="429">
        <v>4800</v>
      </c>
      <c r="I255" s="109" t="s">
        <v>36</v>
      </c>
      <c r="J255" s="429">
        <v>4800</v>
      </c>
      <c r="K255" s="1686">
        <v>4819.28</v>
      </c>
      <c r="L255" s="1686">
        <f t="shared" si="1"/>
        <v>4819.28</v>
      </c>
      <c r="M255" s="107" t="s">
        <v>151</v>
      </c>
      <c r="N255" s="107" t="s">
        <v>159</v>
      </c>
      <c r="O255" s="107" t="s">
        <v>153</v>
      </c>
      <c r="P255" s="107"/>
      <c r="Q255" s="106"/>
      <c r="R255" s="107"/>
      <c r="S255" s="106"/>
      <c r="T255" s="107"/>
      <c r="U255" s="106"/>
      <c r="V255" s="107"/>
      <c r="W255" s="106"/>
      <c r="X255" s="107"/>
      <c r="Y255" s="106"/>
      <c r="Z255" s="107"/>
      <c r="AA255" s="106"/>
      <c r="AB255" s="107"/>
      <c r="AC255" s="106"/>
      <c r="AD255" s="106"/>
      <c r="AE255" s="106">
        <v>44736</v>
      </c>
      <c r="AF255" s="107" t="s">
        <v>88</v>
      </c>
      <c r="AG255" s="108">
        <v>2026</v>
      </c>
      <c r="AH255" s="109">
        <v>24000</v>
      </c>
      <c r="AI255" s="109"/>
      <c r="AJ255" s="109"/>
      <c r="AK255" s="102" t="s">
        <v>77</v>
      </c>
      <c r="AL255" s="102" t="s">
        <v>41</v>
      </c>
      <c r="AM255" s="110">
        <v>1</v>
      </c>
      <c r="AN255" s="652"/>
    </row>
    <row r="256" spans="1:40" s="102" customFormat="1" ht="71.400000000000006" customHeight="1" x14ac:dyDescent="0.3">
      <c r="A256" s="102" t="s">
        <v>31</v>
      </c>
      <c r="B256" s="654" t="s">
        <v>85</v>
      </c>
      <c r="C256" s="167" t="s">
        <v>160</v>
      </c>
      <c r="D256" s="102" t="s">
        <v>34</v>
      </c>
      <c r="E256" s="102">
        <v>16</v>
      </c>
      <c r="F256" s="102" t="s">
        <v>35</v>
      </c>
      <c r="H256" s="429">
        <v>3200</v>
      </c>
      <c r="I256" s="109" t="s">
        <v>36</v>
      </c>
      <c r="J256" s="429">
        <v>3200</v>
      </c>
      <c r="K256" s="1686">
        <v>3212.85</v>
      </c>
      <c r="L256" s="1686">
        <f t="shared" si="1"/>
        <v>3212.85</v>
      </c>
      <c r="M256" s="107" t="s">
        <v>67</v>
      </c>
      <c r="N256" s="107" t="s">
        <v>161</v>
      </c>
      <c r="O256" s="107" t="s">
        <v>153</v>
      </c>
      <c r="P256" s="107"/>
      <c r="Q256" s="106"/>
      <c r="R256" s="107"/>
      <c r="S256" s="106"/>
      <c r="T256" s="107"/>
      <c r="U256" s="106"/>
      <c r="V256" s="107"/>
      <c r="W256" s="106"/>
      <c r="X256" s="107"/>
      <c r="Y256" s="106"/>
      <c r="Z256" s="107"/>
      <c r="AA256" s="106"/>
      <c r="AB256" s="107"/>
      <c r="AC256" s="106"/>
      <c r="AD256" s="106"/>
      <c r="AE256" s="106">
        <v>44736</v>
      </c>
      <c r="AF256" s="107" t="s">
        <v>88</v>
      </c>
      <c r="AG256" s="108">
        <v>2026</v>
      </c>
      <c r="AH256" s="109">
        <v>16000</v>
      </c>
      <c r="AI256" s="109"/>
      <c r="AJ256" s="109"/>
      <c r="AK256" s="102" t="s">
        <v>77</v>
      </c>
      <c r="AL256" s="102" t="s">
        <v>41</v>
      </c>
      <c r="AM256" s="110">
        <v>1</v>
      </c>
      <c r="AN256" s="652"/>
    </row>
    <row r="257" spans="1:129" s="138" customFormat="1" ht="71.400000000000006" customHeight="1" x14ac:dyDescent="0.3">
      <c r="A257" s="102" t="s">
        <v>31</v>
      </c>
      <c r="B257" s="654" t="s">
        <v>85</v>
      </c>
      <c r="C257" s="167" t="s">
        <v>162</v>
      </c>
      <c r="D257" s="102" t="s">
        <v>34</v>
      </c>
      <c r="E257" s="102">
        <v>16</v>
      </c>
      <c r="F257" s="102" t="s">
        <v>35</v>
      </c>
      <c r="H257" s="5">
        <v>1680</v>
      </c>
      <c r="I257" s="109" t="s">
        <v>36</v>
      </c>
      <c r="J257" s="5">
        <v>1680</v>
      </c>
      <c r="K257" s="1686">
        <v>1417.43</v>
      </c>
      <c r="L257" s="1686">
        <f t="shared" si="1"/>
        <v>1417.43</v>
      </c>
      <c r="M257" s="107" t="s">
        <v>151</v>
      </c>
      <c r="N257" s="107" t="s">
        <v>163</v>
      </c>
      <c r="O257" s="107" t="s">
        <v>153</v>
      </c>
      <c r="P257" s="493"/>
      <c r="Q257" s="494"/>
      <c r="R257" s="493"/>
      <c r="S257" s="494"/>
      <c r="T257" s="493"/>
      <c r="U257" s="494"/>
      <c r="V257" s="493"/>
      <c r="W257" s="494"/>
      <c r="X257" s="493"/>
      <c r="Y257" s="494"/>
      <c r="Z257" s="493"/>
      <c r="AA257" s="494"/>
      <c r="AB257" s="493"/>
      <c r="AC257" s="494"/>
      <c r="AD257" s="106"/>
      <c r="AE257" s="106">
        <v>44733</v>
      </c>
      <c r="AF257" s="107" t="s">
        <v>88</v>
      </c>
      <c r="AG257" s="108">
        <v>2026</v>
      </c>
      <c r="AH257" s="109">
        <v>8400</v>
      </c>
      <c r="AI257" s="109"/>
      <c r="AJ257" s="109"/>
      <c r="AK257" s="102" t="s">
        <v>43</v>
      </c>
      <c r="AL257" s="102" t="s">
        <v>41</v>
      </c>
      <c r="AM257" s="110">
        <v>1</v>
      </c>
      <c r="AN257" s="119"/>
      <c r="AO257" s="102"/>
      <c r="AP257" s="102"/>
      <c r="AQ257" s="102"/>
      <c r="AR257" s="102"/>
      <c r="AS257" s="102"/>
      <c r="AT257" s="102"/>
      <c r="AU257" s="102"/>
      <c r="AV257" s="102"/>
      <c r="AW257" s="102"/>
      <c r="AX257" s="102"/>
      <c r="AY257" s="102"/>
      <c r="AZ257" s="102"/>
      <c r="BA257" s="102"/>
      <c r="BB257" s="102"/>
      <c r="BC257" s="102"/>
      <c r="BD257" s="102"/>
      <c r="BE257" s="102"/>
      <c r="BF257" s="102"/>
      <c r="BG257" s="102"/>
      <c r="BH257" s="102"/>
      <c r="BI257" s="102"/>
      <c r="BJ257" s="102"/>
      <c r="BK257" s="102"/>
      <c r="BL257" s="102"/>
      <c r="BM257" s="102"/>
      <c r="BN257" s="102"/>
      <c r="BO257" s="102"/>
      <c r="BP257" s="102"/>
      <c r="BQ257" s="102"/>
      <c r="BR257" s="102"/>
      <c r="BS257" s="102"/>
      <c r="BT257" s="102"/>
      <c r="BU257" s="102"/>
      <c r="BV257" s="102"/>
      <c r="BW257" s="102"/>
      <c r="BX257" s="102"/>
      <c r="BY257" s="102"/>
      <c r="BZ257" s="102"/>
      <c r="CA257" s="102"/>
      <c r="CB257" s="102"/>
      <c r="CC257" s="102"/>
      <c r="CD257" s="102"/>
      <c r="CE257" s="102"/>
      <c r="CF257" s="102"/>
      <c r="CG257" s="102"/>
      <c r="CH257" s="102"/>
      <c r="CI257" s="102"/>
      <c r="CJ257" s="102"/>
      <c r="CK257" s="102"/>
      <c r="CL257" s="102"/>
      <c r="CM257" s="102"/>
      <c r="CN257" s="102"/>
      <c r="CO257" s="102"/>
      <c r="CP257" s="102"/>
      <c r="CQ257" s="102"/>
      <c r="CR257" s="102"/>
      <c r="CS257" s="102"/>
      <c r="CT257" s="102"/>
      <c r="CU257" s="102"/>
      <c r="CV257" s="102"/>
      <c r="CW257" s="102"/>
      <c r="CX257" s="102"/>
      <c r="CY257" s="102"/>
      <c r="CZ257" s="102"/>
      <c r="DA257" s="102"/>
      <c r="DB257" s="102"/>
      <c r="DC257" s="102"/>
      <c r="DD257" s="102"/>
      <c r="DE257" s="102"/>
      <c r="DF257" s="102"/>
      <c r="DG257" s="102"/>
      <c r="DH257" s="102"/>
      <c r="DI257" s="102"/>
      <c r="DJ257" s="102"/>
      <c r="DK257" s="102"/>
      <c r="DL257" s="102"/>
      <c r="DM257" s="102"/>
      <c r="DN257" s="102"/>
      <c r="DO257" s="102"/>
      <c r="DP257" s="102"/>
      <c r="DQ257" s="102"/>
      <c r="DR257" s="102"/>
      <c r="DS257" s="102"/>
      <c r="DT257" s="102"/>
      <c r="DU257" s="102"/>
      <c r="DV257" s="102"/>
      <c r="DW257" s="102"/>
      <c r="DX257" s="102"/>
      <c r="DY257" s="102"/>
    </row>
    <row r="258" spans="1:129" s="138" customFormat="1" ht="71.400000000000006" customHeight="1" x14ac:dyDescent="0.3">
      <c r="A258" s="102" t="s">
        <v>31</v>
      </c>
      <c r="B258" s="654" t="s">
        <v>85</v>
      </c>
      <c r="C258" s="167" t="s">
        <v>164</v>
      </c>
      <c r="D258" s="102" t="s">
        <v>34</v>
      </c>
      <c r="E258" s="102">
        <v>16</v>
      </c>
      <c r="F258" s="102" t="s">
        <v>35</v>
      </c>
      <c r="H258" s="5">
        <v>66800</v>
      </c>
      <c r="I258" s="109" t="s">
        <v>36</v>
      </c>
      <c r="J258" s="5">
        <v>66800</v>
      </c>
      <c r="K258" s="1686">
        <v>38257.03</v>
      </c>
      <c r="L258" s="1686">
        <f t="shared" si="1"/>
        <v>38257.03</v>
      </c>
      <c r="M258" s="107" t="s">
        <v>151</v>
      </c>
      <c r="N258" s="107" t="s">
        <v>163</v>
      </c>
      <c r="O258" s="107" t="s">
        <v>153</v>
      </c>
      <c r="P258" s="493"/>
      <c r="Q258" s="494"/>
      <c r="R258" s="493"/>
      <c r="S258" s="494"/>
      <c r="T258" s="493"/>
      <c r="U258" s="494"/>
      <c r="V258" s="493"/>
      <c r="W258" s="494"/>
      <c r="X258" s="493"/>
      <c r="Y258" s="494"/>
      <c r="Z258" s="493"/>
      <c r="AA258" s="494"/>
      <c r="AB258" s="493"/>
      <c r="AC258" s="494"/>
      <c r="AD258" s="106"/>
      <c r="AE258" s="106" t="s">
        <v>155</v>
      </c>
      <c r="AF258" s="107" t="s">
        <v>65</v>
      </c>
      <c r="AG258" s="108">
        <v>2023</v>
      </c>
      <c r="AH258" s="109">
        <v>334000</v>
      </c>
      <c r="AI258" s="109"/>
      <c r="AJ258" s="109"/>
      <c r="AK258" s="102" t="s">
        <v>43</v>
      </c>
      <c r="AL258" s="102" t="s">
        <v>41</v>
      </c>
      <c r="AM258" s="110">
        <v>0</v>
      </c>
      <c r="AN258" s="119"/>
      <c r="AO258" s="102"/>
      <c r="AP258" s="102"/>
      <c r="AQ258" s="102"/>
      <c r="AR258" s="102"/>
      <c r="AS258" s="102"/>
      <c r="AT258" s="102"/>
      <c r="AU258" s="102"/>
      <c r="AV258" s="102"/>
      <c r="AW258" s="102"/>
      <c r="AX258" s="102"/>
      <c r="AY258" s="102"/>
      <c r="AZ258" s="102"/>
      <c r="BA258" s="102"/>
      <c r="BB258" s="102"/>
      <c r="BC258" s="102"/>
      <c r="BD258" s="102"/>
      <c r="BE258" s="102"/>
      <c r="BF258" s="102"/>
      <c r="BG258" s="102"/>
      <c r="BH258" s="102"/>
      <c r="BI258" s="102"/>
      <c r="BJ258" s="102"/>
      <c r="BK258" s="102"/>
      <c r="BL258" s="102"/>
      <c r="BM258" s="102"/>
      <c r="BN258" s="102"/>
      <c r="BO258" s="102"/>
      <c r="BP258" s="102"/>
      <c r="BQ258" s="102"/>
      <c r="BR258" s="102"/>
      <c r="BS258" s="102"/>
      <c r="BT258" s="102"/>
      <c r="BU258" s="102"/>
      <c r="BV258" s="102"/>
      <c r="BW258" s="102"/>
      <c r="BX258" s="102"/>
      <c r="BY258" s="102"/>
      <c r="BZ258" s="102"/>
      <c r="CA258" s="102"/>
      <c r="CB258" s="102"/>
      <c r="CC258" s="102"/>
      <c r="CD258" s="102"/>
      <c r="CE258" s="102"/>
      <c r="CF258" s="102"/>
      <c r="CG258" s="102"/>
      <c r="CH258" s="102"/>
      <c r="CI258" s="102"/>
      <c r="CJ258" s="102"/>
      <c r="CK258" s="102"/>
      <c r="CL258" s="102"/>
      <c r="CM258" s="102"/>
      <c r="CN258" s="102"/>
      <c r="CO258" s="102"/>
      <c r="CP258" s="102"/>
      <c r="CQ258" s="102"/>
      <c r="CR258" s="102"/>
      <c r="CS258" s="102"/>
      <c r="CT258" s="102"/>
      <c r="CU258" s="102"/>
      <c r="CV258" s="102"/>
      <c r="CW258" s="102"/>
      <c r="CX258" s="102"/>
      <c r="CY258" s="102"/>
      <c r="CZ258" s="102"/>
      <c r="DA258" s="102"/>
      <c r="DB258" s="102"/>
      <c r="DC258" s="102"/>
      <c r="DD258" s="102"/>
      <c r="DE258" s="102"/>
      <c r="DF258" s="102"/>
      <c r="DG258" s="102"/>
      <c r="DH258" s="102"/>
      <c r="DI258" s="102"/>
      <c r="DJ258" s="102"/>
      <c r="DK258" s="102"/>
      <c r="DL258" s="102"/>
      <c r="DM258" s="102"/>
      <c r="DN258" s="102"/>
      <c r="DO258" s="102"/>
      <c r="DP258" s="102"/>
      <c r="DQ258" s="102"/>
      <c r="DR258" s="102"/>
      <c r="DS258" s="102"/>
      <c r="DT258" s="102"/>
      <c r="DU258" s="102"/>
      <c r="DV258" s="102"/>
      <c r="DW258" s="102"/>
      <c r="DX258" s="102"/>
      <c r="DY258" s="102"/>
    </row>
    <row r="259" spans="1:129" s="138" customFormat="1" ht="71.400000000000006" customHeight="1" x14ac:dyDescent="0.3">
      <c r="A259" s="102" t="s">
        <v>31</v>
      </c>
      <c r="B259" s="654" t="s">
        <v>85</v>
      </c>
      <c r="C259" s="167" t="s">
        <v>165</v>
      </c>
      <c r="D259" s="102" t="s">
        <v>34</v>
      </c>
      <c r="E259" s="102">
        <v>16</v>
      </c>
      <c r="F259" s="102" t="s">
        <v>35</v>
      </c>
      <c r="H259" s="5">
        <v>5000</v>
      </c>
      <c r="I259" s="109" t="s">
        <v>36</v>
      </c>
      <c r="J259" s="5">
        <v>5000</v>
      </c>
      <c r="K259" s="1686">
        <v>5020.08</v>
      </c>
      <c r="L259" s="1686">
        <f t="shared" si="1"/>
        <v>5020.08</v>
      </c>
      <c r="M259" s="107" t="s">
        <v>67</v>
      </c>
      <c r="N259" s="107" t="s">
        <v>166</v>
      </c>
      <c r="O259" s="107" t="s">
        <v>153</v>
      </c>
      <c r="P259" s="493"/>
      <c r="Q259" s="494"/>
      <c r="R259" s="493"/>
      <c r="S259" s="494"/>
      <c r="T259" s="493"/>
      <c r="U259" s="494"/>
      <c r="V259" s="493"/>
      <c r="W259" s="494"/>
      <c r="X259" s="493"/>
      <c r="Y259" s="494"/>
      <c r="Z259" s="493"/>
      <c r="AA259" s="494"/>
      <c r="AB259" s="493"/>
      <c r="AC259" s="494"/>
      <c r="AD259" s="106"/>
      <c r="AE259" s="106">
        <v>44735</v>
      </c>
      <c r="AF259" s="107" t="s">
        <v>88</v>
      </c>
      <c r="AG259" s="108">
        <v>2026</v>
      </c>
      <c r="AH259" s="109">
        <v>25000</v>
      </c>
      <c r="AI259" s="109"/>
      <c r="AJ259" s="109"/>
      <c r="AK259" s="102" t="s">
        <v>43</v>
      </c>
      <c r="AL259" s="102" t="s">
        <v>41</v>
      </c>
      <c r="AM259" s="110">
        <v>0</v>
      </c>
      <c r="AN259" s="119"/>
      <c r="AO259" s="102"/>
      <c r="AP259" s="102"/>
      <c r="AQ259" s="102"/>
      <c r="AR259" s="102"/>
      <c r="AS259" s="102"/>
      <c r="AT259" s="102"/>
      <c r="AU259" s="102"/>
      <c r="AV259" s="102"/>
      <c r="AW259" s="102"/>
      <c r="AX259" s="102"/>
      <c r="AY259" s="102"/>
      <c r="AZ259" s="102"/>
      <c r="BA259" s="102"/>
      <c r="BB259" s="102"/>
      <c r="BC259" s="102"/>
      <c r="BD259" s="102"/>
      <c r="BE259" s="102"/>
      <c r="BF259" s="102"/>
      <c r="BG259" s="102"/>
      <c r="BH259" s="102"/>
      <c r="BI259" s="102"/>
      <c r="BJ259" s="102"/>
      <c r="BK259" s="102"/>
      <c r="BL259" s="102"/>
      <c r="BM259" s="102"/>
      <c r="BN259" s="102"/>
      <c r="BO259" s="102"/>
      <c r="BP259" s="102"/>
      <c r="BQ259" s="102"/>
      <c r="BR259" s="102"/>
      <c r="BS259" s="102"/>
      <c r="BT259" s="102"/>
      <c r="BU259" s="102"/>
      <c r="BV259" s="102"/>
      <c r="BW259" s="102"/>
      <c r="BX259" s="102"/>
      <c r="BY259" s="102"/>
      <c r="BZ259" s="102"/>
      <c r="CA259" s="102"/>
      <c r="CB259" s="102"/>
      <c r="CC259" s="102"/>
      <c r="CD259" s="102"/>
      <c r="CE259" s="102"/>
      <c r="CF259" s="102"/>
      <c r="CG259" s="102"/>
      <c r="CH259" s="102"/>
      <c r="CI259" s="102"/>
      <c r="CJ259" s="102"/>
      <c r="CK259" s="102"/>
      <c r="CL259" s="102"/>
      <c r="CM259" s="102"/>
      <c r="CN259" s="102"/>
      <c r="CO259" s="102"/>
      <c r="CP259" s="102"/>
      <c r="CQ259" s="102"/>
      <c r="CR259" s="102"/>
      <c r="CS259" s="102"/>
      <c r="CT259" s="102"/>
      <c r="CU259" s="102"/>
      <c r="CV259" s="102"/>
      <c r="CW259" s="102"/>
      <c r="CX259" s="102"/>
      <c r="CY259" s="102"/>
      <c r="CZ259" s="102"/>
      <c r="DA259" s="102"/>
      <c r="DB259" s="102"/>
      <c r="DC259" s="102"/>
      <c r="DD259" s="102"/>
      <c r="DE259" s="102"/>
      <c r="DF259" s="102"/>
      <c r="DG259" s="102"/>
      <c r="DH259" s="102"/>
      <c r="DI259" s="102"/>
      <c r="DJ259" s="102"/>
      <c r="DK259" s="102"/>
      <c r="DL259" s="102"/>
      <c r="DM259" s="102"/>
      <c r="DN259" s="102"/>
      <c r="DO259" s="102"/>
      <c r="DP259" s="102"/>
      <c r="DQ259" s="102"/>
      <c r="DR259" s="102"/>
      <c r="DS259" s="102"/>
      <c r="DT259" s="102"/>
      <c r="DU259" s="102"/>
      <c r="DV259" s="102"/>
      <c r="DW259" s="102"/>
      <c r="DX259" s="102"/>
      <c r="DY259" s="102"/>
    </row>
    <row r="260" spans="1:129" s="138" customFormat="1" ht="71.400000000000006" customHeight="1" x14ac:dyDescent="0.3">
      <c r="A260" s="102" t="s">
        <v>31</v>
      </c>
      <c r="B260" s="654" t="s">
        <v>85</v>
      </c>
      <c r="C260" s="167" t="s">
        <v>167</v>
      </c>
      <c r="D260" s="102" t="s">
        <v>34</v>
      </c>
      <c r="E260" s="102">
        <v>16</v>
      </c>
      <c r="F260" s="102" t="s">
        <v>35</v>
      </c>
      <c r="H260" s="5">
        <v>11000</v>
      </c>
      <c r="I260" s="109" t="s">
        <v>36</v>
      </c>
      <c r="J260" s="5">
        <v>11000</v>
      </c>
      <c r="K260" s="1686">
        <v>9280.82</v>
      </c>
      <c r="L260" s="1686">
        <f t="shared" si="1"/>
        <v>9280.82</v>
      </c>
      <c r="M260" s="107" t="s">
        <v>67</v>
      </c>
      <c r="N260" s="107" t="s">
        <v>168</v>
      </c>
      <c r="O260" s="107" t="s">
        <v>153</v>
      </c>
      <c r="P260" s="493"/>
      <c r="Q260" s="494"/>
      <c r="R260" s="493"/>
      <c r="S260" s="494"/>
      <c r="T260" s="493"/>
      <c r="U260" s="494"/>
      <c r="V260" s="493"/>
      <c r="W260" s="494"/>
      <c r="X260" s="493"/>
      <c r="Y260" s="494"/>
      <c r="Z260" s="493"/>
      <c r="AA260" s="494"/>
      <c r="AB260" s="493"/>
      <c r="AC260" s="494"/>
      <c r="AD260" s="106"/>
      <c r="AE260" s="106">
        <v>44733</v>
      </c>
      <c r="AF260" s="107" t="s">
        <v>88</v>
      </c>
      <c r="AG260" s="108">
        <v>2026</v>
      </c>
      <c r="AH260" s="109">
        <v>55000</v>
      </c>
      <c r="AI260" s="109"/>
      <c r="AJ260" s="109"/>
      <c r="AK260" s="102" t="s">
        <v>43</v>
      </c>
      <c r="AL260" s="102" t="s">
        <v>41</v>
      </c>
      <c r="AM260" s="110">
        <v>0</v>
      </c>
      <c r="AN260" s="119"/>
      <c r="AO260" s="102"/>
      <c r="AP260" s="102"/>
      <c r="AQ260" s="102"/>
      <c r="AR260" s="102"/>
      <c r="AS260" s="102"/>
      <c r="AT260" s="102"/>
      <c r="AU260" s="102"/>
      <c r="AV260" s="102"/>
      <c r="AW260" s="102"/>
      <c r="AX260" s="102"/>
      <c r="AY260" s="102"/>
      <c r="AZ260" s="102"/>
      <c r="BA260" s="102"/>
      <c r="BB260" s="102"/>
      <c r="BC260" s="102"/>
      <c r="BD260" s="102"/>
      <c r="BE260" s="102"/>
      <c r="BF260" s="102"/>
      <c r="BG260" s="102"/>
      <c r="BH260" s="102"/>
      <c r="BI260" s="102"/>
      <c r="BJ260" s="102"/>
      <c r="BK260" s="102"/>
      <c r="BL260" s="102"/>
      <c r="BM260" s="102"/>
      <c r="BN260" s="102"/>
      <c r="BO260" s="102"/>
      <c r="BP260" s="102"/>
      <c r="BQ260" s="102"/>
      <c r="BR260" s="102"/>
      <c r="BS260" s="102"/>
      <c r="BT260" s="102"/>
      <c r="BU260" s="102"/>
      <c r="BV260" s="102"/>
      <c r="BW260" s="102"/>
      <c r="BX260" s="102"/>
      <c r="BY260" s="102"/>
      <c r="BZ260" s="102"/>
      <c r="CA260" s="102"/>
      <c r="CB260" s="102"/>
      <c r="CC260" s="102"/>
      <c r="CD260" s="102"/>
      <c r="CE260" s="102"/>
      <c r="CF260" s="102"/>
      <c r="CG260" s="102"/>
      <c r="CH260" s="102"/>
      <c r="CI260" s="102"/>
      <c r="CJ260" s="102"/>
      <c r="CK260" s="102"/>
      <c r="CL260" s="102"/>
      <c r="CM260" s="102"/>
      <c r="CN260" s="102"/>
      <c r="CO260" s="102"/>
      <c r="CP260" s="102"/>
      <c r="CQ260" s="102"/>
      <c r="CR260" s="102"/>
      <c r="CS260" s="102"/>
      <c r="CT260" s="102"/>
      <c r="CU260" s="102"/>
      <c r="CV260" s="102"/>
      <c r="CW260" s="102"/>
      <c r="CX260" s="102"/>
      <c r="CY260" s="102"/>
      <c r="CZ260" s="102"/>
      <c r="DA260" s="102"/>
      <c r="DB260" s="102"/>
      <c r="DC260" s="102"/>
      <c r="DD260" s="102"/>
      <c r="DE260" s="102"/>
      <c r="DF260" s="102"/>
      <c r="DG260" s="102"/>
      <c r="DH260" s="102"/>
      <c r="DI260" s="102"/>
      <c r="DJ260" s="102"/>
      <c r="DK260" s="102"/>
      <c r="DL260" s="102"/>
      <c r="DM260" s="102"/>
      <c r="DN260" s="102"/>
      <c r="DO260" s="102"/>
      <c r="DP260" s="102"/>
      <c r="DQ260" s="102"/>
      <c r="DR260" s="102"/>
      <c r="DS260" s="102"/>
      <c r="DT260" s="102"/>
      <c r="DU260" s="102"/>
      <c r="DV260" s="102"/>
      <c r="DW260" s="102"/>
      <c r="DX260" s="102"/>
      <c r="DY260" s="102"/>
    </row>
    <row r="261" spans="1:129" s="138" customFormat="1" ht="71.400000000000006" customHeight="1" x14ac:dyDescent="0.3">
      <c r="A261" s="102" t="s">
        <v>31</v>
      </c>
      <c r="B261" s="654" t="s">
        <v>85</v>
      </c>
      <c r="C261" s="167" t="s">
        <v>169</v>
      </c>
      <c r="D261" s="102" t="s">
        <v>34</v>
      </c>
      <c r="E261" s="102">
        <v>16</v>
      </c>
      <c r="F261" s="102" t="s">
        <v>35</v>
      </c>
      <c r="H261" s="5">
        <v>5000</v>
      </c>
      <c r="I261" s="109" t="s">
        <v>36</v>
      </c>
      <c r="J261" s="5">
        <v>5000</v>
      </c>
      <c r="K261" s="1686">
        <v>5020.08</v>
      </c>
      <c r="L261" s="1686">
        <f t="shared" si="1"/>
        <v>5020.08</v>
      </c>
      <c r="M261" s="107" t="s">
        <v>72</v>
      </c>
      <c r="N261" s="657" t="s">
        <v>170</v>
      </c>
      <c r="O261" s="107" t="s">
        <v>153</v>
      </c>
      <c r="P261" s="493"/>
      <c r="Q261" s="494"/>
      <c r="R261" s="493"/>
      <c r="S261" s="494"/>
      <c r="T261" s="493"/>
      <c r="U261" s="494"/>
      <c r="V261" s="493"/>
      <c r="W261" s="494"/>
      <c r="X261" s="493"/>
      <c r="Y261" s="494"/>
      <c r="Z261" s="493"/>
      <c r="AA261" s="494"/>
      <c r="AB261" s="493"/>
      <c r="AC261" s="494"/>
      <c r="AD261" s="106"/>
      <c r="AE261" s="106">
        <v>44735</v>
      </c>
      <c r="AF261" s="107" t="s">
        <v>88</v>
      </c>
      <c r="AG261" s="108">
        <v>2026</v>
      </c>
      <c r="AH261" s="109">
        <v>25000</v>
      </c>
      <c r="AI261" s="109"/>
      <c r="AJ261" s="109"/>
      <c r="AK261" s="102" t="s">
        <v>43</v>
      </c>
      <c r="AL261" s="102" t="s">
        <v>41</v>
      </c>
      <c r="AM261" s="110">
        <v>0</v>
      </c>
      <c r="AN261" s="119"/>
      <c r="AO261" s="102"/>
      <c r="AP261" s="102"/>
      <c r="AQ261" s="102"/>
      <c r="AR261" s="102"/>
      <c r="AS261" s="102"/>
      <c r="AT261" s="102"/>
      <c r="AU261" s="102"/>
      <c r="AV261" s="102"/>
      <c r="AW261" s="102"/>
      <c r="AX261" s="102"/>
      <c r="AY261" s="102"/>
      <c r="AZ261" s="102"/>
      <c r="BA261" s="102"/>
      <c r="BB261" s="102"/>
      <c r="BC261" s="102"/>
      <c r="BD261" s="102"/>
      <c r="BE261" s="102"/>
      <c r="BF261" s="102"/>
      <c r="BG261" s="102"/>
      <c r="BH261" s="102"/>
      <c r="BI261" s="102"/>
      <c r="BJ261" s="102"/>
      <c r="BK261" s="102"/>
      <c r="BL261" s="102"/>
      <c r="BM261" s="102"/>
      <c r="BN261" s="102"/>
      <c r="BO261" s="102"/>
      <c r="BP261" s="102"/>
      <c r="BQ261" s="102"/>
      <c r="BR261" s="102"/>
      <c r="BS261" s="102"/>
      <c r="BT261" s="102"/>
      <c r="BU261" s="102"/>
      <c r="BV261" s="102"/>
      <c r="BW261" s="102"/>
      <c r="BX261" s="102"/>
      <c r="BY261" s="102"/>
      <c r="BZ261" s="102"/>
      <c r="CA261" s="102"/>
      <c r="CB261" s="102"/>
      <c r="CC261" s="102"/>
      <c r="CD261" s="102"/>
      <c r="CE261" s="102"/>
      <c r="CF261" s="102"/>
      <c r="CG261" s="102"/>
      <c r="CH261" s="102"/>
      <c r="CI261" s="102"/>
      <c r="CJ261" s="102"/>
      <c r="CK261" s="102"/>
      <c r="CL261" s="102"/>
      <c r="CM261" s="102"/>
      <c r="CN261" s="102"/>
      <c r="CO261" s="102"/>
      <c r="CP261" s="102"/>
      <c r="CQ261" s="102"/>
      <c r="CR261" s="102"/>
      <c r="CS261" s="102"/>
      <c r="CT261" s="102"/>
      <c r="CU261" s="102"/>
      <c r="CV261" s="102"/>
      <c r="CW261" s="102"/>
      <c r="CX261" s="102"/>
      <c r="CY261" s="102"/>
      <c r="CZ261" s="102"/>
      <c r="DA261" s="102"/>
      <c r="DB261" s="102"/>
      <c r="DC261" s="102"/>
      <c r="DD261" s="102"/>
      <c r="DE261" s="102"/>
      <c r="DF261" s="102"/>
      <c r="DG261" s="102"/>
      <c r="DH261" s="102"/>
      <c r="DI261" s="102"/>
      <c r="DJ261" s="102"/>
      <c r="DK261" s="102"/>
      <c r="DL261" s="102"/>
      <c r="DM261" s="102"/>
      <c r="DN261" s="102"/>
      <c r="DO261" s="102"/>
      <c r="DP261" s="102"/>
      <c r="DQ261" s="102"/>
      <c r="DR261" s="102"/>
      <c r="DS261" s="102"/>
      <c r="DT261" s="102"/>
      <c r="DU261" s="102"/>
      <c r="DV261" s="102"/>
      <c r="DW261" s="102"/>
      <c r="DX261" s="102"/>
      <c r="DY261" s="102"/>
    </row>
    <row r="262" spans="1:129" s="138" customFormat="1" ht="71.400000000000006" customHeight="1" x14ac:dyDescent="0.3">
      <c r="A262" s="102" t="s">
        <v>31</v>
      </c>
      <c r="B262" s="654" t="s">
        <v>85</v>
      </c>
      <c r="C262" s="167" t="s">
        <v>171</v>
      </c>
      <c r="D262" s="102" t="s">
        <v>34</v>
      </c>
      <c r="E262" s="102">
        <v>16</v>
      </c>
      <c r="F262" s="102" t="s">
        <v>35</v>
      </c>
      <c r="H262" s="5">
        <v>168060</v>
      </c>
      <c r="I262" s="109" t="s">
        <v>36</v>
      </c>
      <c r="J262" s="5">
        <v>168060</v>
      </c>
      <c r="K262" s="1686">
        <v>72556.02</v>
      </c>
      <c r="L262" s="1686">
        <f t="shared" si="1"/>
        <v>72556.02</v>
      </c>
      <c r="M262" s="107" t="s">
        <v>72</v>
      </c>
      <c r="N262" s="657" t="s">
        <v>170</v>
      </c>
      <c r="O262" s="107" t="s">
        <v>153</v>
      </c>
      <c r="P262" s="493"/>
      <c r="Q262" s="494"/>
      <c r="R262" s="493"/>
      <c r="S262" s="494"/>
      <c r="T262" s="493"/>
      <c r="U262" s="494"/>
      <c r="V262" s="493"/>
      <c r="W262" s="494"/>
      <c r="X262" s="493"/>
      <c r="Y262" s="494"/>
      <c r="Z262" s="493"/>
      <c r="AA262" s="494"/>
      <c r="AB262" s="493"/>
      <c r="AC262" s="494"/>
      <c r="AD262" s="106"/>
      <c r="AE262" s="106" t="s">
        <v>155</v>
      </c>
      <c r="AF262" s="107" t="s">
        <v>65</v>
      </c>
      <c r="AG262" s="108">
        <v>2023</v>
      </c>
      <c r="AH262" s="109">
        <v>840300</v>
      </c>
      <c r="AI262" s="109"/>
      <c r="AJ262" s="109"/>
      <c r="AK262" s="102" t="s">
        <v>43</v>
      </c>
      <c r="AL262" s="102" t="s">
        <v>41</v>
      </c>
      <c r="AM262" s="110">
        <v>0</v>
      </c>
      <c r="AN262" s="119"/>
      <c r="AO262" s="102"/>
      <c r="AP262" s="102"/>
      <c r="AQ262" s="102"/>
      <c r="AR262" s="102"/>
      <c r="AS262" s="102"/>
      <c r="AT262" s="102"/>
      <c r="AU262" s="102"/>
      <c r="AV262" s="102"/>
      <c r="AW262" s="102"/>
      <c r="AX262" s="102"/>
      <c r="AY262" s="102"/>
      <c r="AZ262" s="102"/>
      <c r="BA262" s="102"/>
      <c r="BB262" s="102"/>
      <c r="BC262" s="102"/>
      <c r="BD262" s="102"/>
      <c r="BE262" s="102"/>
      <c r="BF262" s="102"/>
      <c r="BG262" s="102"/>
      <c r="BH262" s="102"/>
      <c r="BI262" s="102"/>
      <c r="BJ262" s="102"/>
      <c r="BK262" s="102"/>
      <c r="BL262" s="102"/>
      <c r="BM262" s="102"/>
      <c r="BN262" s="102"/>
      <c r="BO262" s="102"/>
      <c r="BP262" s="102"/>
      <c r="BQ262" s="102"/>
      <c r="BR262" s="102"/>
      <c r="BS262" s="102"/>
      <c r="BT262" s="102"/>
      <c r="BU262" s="102"/>
      <c r="BV262" s="102"/>
      <c r="BW262" s="102"/>
      <c r="BX262" s="102"/>
      <c r="BY262" s="102"/>
      <c r="BZ262" s="102"/>
      <c r="CA262" s="102"/>
      <c r="CB262" s="102"/>
      <c r="CC262" s="102"/>
      <c r="CD262" s="102"/>
      <c r="CE262" s="102"/>
      <c r="CF262" s="102"/>
      <c r="CG262" s="102"/>
      <c r="CH262" s="102"/>
      <c r="CI262" s="102"/>
      <c r="CJ262" s="102"/>
      <c r="CK262" s="102"/>
      <c r="CL262" s="102"/>
      <c r="CM262" s="102"/>
      <c r="CN262" s="102"/>
      <c r="CO262" s="102"/>
      <c r="CP262" s="102"/>
      <c r="CQ262" s="102"/>
      <c r="CR262" s="102"/>
      <c r="CS262" s="102"/>
      <c r="CT262" s="102"/>
      <c r="CU262" s="102"/>
      <c r="CV262" s="102"/>
      <c r="CW262" s="102"/>
      <c r="CX262" s="102"/>
      <c r="CY262" s="102"/>
      <c r="CZ262" s="102"/>
      <c r="DA262" s="102"/>
      <c r="DB262" s="102"/>
      <c r="DC262" s="102"/>
      <c r="DD262" s="102"/>
      <c r="DE262" s="102"/>
      <c r="DF262" s="102"/>
      <c r="DG262" s="102"/>
      <c r="DH262" s="102"/>
      <c r="DI262" s="102"/>
      <c r="DJ262" s="102"/>
      <c r="DK262" s="102"/>
      <c r="DL262" s="102"/>
      <c r="DM262" s="102"/>
      <c r="DN262" s="102"/>
      <c r="DO262" s="102"/>
      <c r="DP262" s="102"/>
      <c r="DQ262" s="102"/>
      <c r="DR262" s="102"/>
      <c r="DS262" s="102"/>
      <c r="DT262" s="102"/>
      <c r="DU262" s="102"/>
      <c r="DV262" s="102"/>
      <c r="DW262" s="102"/>
      <c r="DX262" s="102"/>
      <c r="DY262" s="102"/>
    </row>
    <row r="263" spans="1:129" s="102" customFormat="1" ht="71.400000000000006" customHeight="1" x14ac:dyDescent="0.3">
      <c r="A263" s="102" t="s">
        <v>31</v>
      </c>
      <c r="B263" s="654" t="s">
        <v>85</v>
      </c>
      <c r="C263" s="167" t="s">
        <v>172</v>
      </c>
      <c r="D263" s="102" t="s">
        <v>34</v>
      </c>
      <c r="E263" s="102">
        <v>16</v>
      </c>
      <c r="F263" s="102" t="s">
        <v>35</v>
      </c>
      <c r="H263" s="429">
        <v>8400</v>
      </c>
      <c r="I263" s="109" t="s">
        <v>36</v>
      </c>
      <c r="J263" s="429">
        <v>8400</v>
      </c>
      <c r="K263" s="1686">
        <v>7087.17</v>
      </c>
      <c r="L263" s="1686">
        <f t="shared" si="1"/>
        <v>7087.17</v>
      </c>
      <c r="M263" s="107" t="s">
        <v>173</v>
      </c>
      <c r="N263" s="107" t="s">
        <v>174</v>
      </c>
      <c r="O263" s="107" t="s">
        <v>175</v>
      </c>
      <c r="P263" s="107"/>
      <c r="Q263" s="106"/>
      <c r="R263" s="107"/>
      <c r="S263" s="106"/>
      <c r="T263" s="107"/>
      <c r="U263" s="106"/>
      <c r="V263" s="107"/>
      <c r="W263" s="106"/>
      <c r="X263" s="107"/>
      <c r="Y263" s="106"/>
      <c r="Z263" s="107"/>
      <c r="AA263" s="106"/>
      <c r="AB263" s="107"/>
      <c r="AC263" s="106"/>
      <c r="AD263" s="106"/>
      <c r="AE263" s="106">
        <v>44704</v>
      </c>
      <c r="AF263" s="107" t="s">
        <v>88</v>
      </c>
      <c r="AG263" s="108">
        <v>2026</v>
      </c>
      <c r="AH263" s="109">
        <v>42000</v>
      </c>
      <c r="AI263" s="109"/>
      <c r="AJ263" s="109"/>
      <c r="AK263" s="102" t="s">
        <v>43</v>
      </c>
      <c r="AL263" s="102" t="s">
        <v>41</v>
      </c>
      <c r="AM263" s="110">
        <v>1</v>
      </c>
      <c r="AN263" s="658"/>
    </row>
    <row r="264" spans="1:129" s="138" customFormat="1" ht="71.400000000000006" customHeight="1" x14ac:dyDescent="0.3">
      <c r="A264" s="102" t="s">
        <v>31</v>
      </c>
      <c r="B264" s="654" t="s">
        <v>85</v>
      </c>
      <c r="C264" s="167" t="s">
        <v>176</v>
      </c>
      <c r="D264" s="102" t="s">
        <v>34</v>
      </c>
      <c r="E264" s="102">
        <v>16</v>
      </c>
      <c r="F264" s="102" t="s">
        <v>35</v>
      </c>
      <c r="H264" s="5">
        <v>3360</v>
      </c>
      <c r="I264" s="109" t="s">
        <v>36</v>
      </c>
      <c r="J264" s="5">
        <v>3360</v>
      </c>
      <c r="K264" s="1686">
        <v>2834.87</v>
      </c>
      <c r="L264" s="1686">
        <f t="shared" si="1"/>
        <v>2834.87</v>
      </c>
      <c r="M264" s="107" t="s">
        <v>71</v>
      </c>
      <c r="N264" s="107" t="s">
        <v>177</v>
      </c>
      <c r="O264" s="107" t="s">
        <v>175</v>
      </c>
      <c r="P264" s="493"/>
      <c r="Q264" s="494"/>
      <c r="R264" s="493"/>
      <c r="S264" s="494"/>
      <c r="T264" s="493"/>
      <c r="U264" s="494"/>
      <c r="V264" s="493"/>
      <c r="W264" s="494"/>
      <c r="X264" s="493"/>
      <c r="Y264" s="494"/>
      <c r="Z264" s="493"/>
      <c r="AA264" s="494"/>
      <c r="AB264" s="493"/>
      <c r="AC264" s="494"/>
      <c r="AD264" s="106"/>
      <c r="AE264" s="106">
        <v>44704</v>
      </c>
      <c r="AF264" s="107" t="s">
        <v>88</v>
      </c>
      <c r="AG264" s="108">
        <v>2026</v>
      </c>
      <c r="AH264" s="109">
        <v>16800</v>
      </c>
      <c r="AI264" s="109"/>
      <c r="AJ264" s="109"/>
      <c r="AK264" s="102" t="s">
        <v>43</v>
      </c>
      <c r="AL264" s="102" t="s">
        <v>41</v>
      </c>
      <c r="AM264" s="110">
        <v>1</v>
      </c>
      <c r="AN264" s="119"/>
      <c r="AO264" s="102"/>
      <c r="AP264" s="102"/>
      <c r="AQ264" s="102"/>
      <c r="AR264" s="102"/>
      <c r="AS264" s="102"/>
      <c r="AT264" s="102"/>
      <c r="AU264" s="102"/>
      <c r="AV264" s="102"/>
      <c r="AW264" s="102"/>
      <c r="AX264" s="102"/>
      <c r="AY264" s="102"/>
      <c r="AZ264" s="102"/>
      <c r="BA264" s="102"/>
      <c r="BB264" s="102"/>
      <c r="BC264" s="102"/>
      <c r="BD264" s="102"/>
      <c r="BE264" s="102"/>
      <c r="BF264" s="102"/>
      <c r="BG264" s="102"/>
      <c r="BH264" s="102"/>
      <c r="BI264" s="102"/>
      <c r="BJ264" s="102"/>
      <c r="BK264" s="102"/>
      <c r="BL264" s="102"/>
      <c r="BM264" s="102"/>
      <c r="BN264" s="102"/>
      <c r="BO264" s="102"/>
      <c r="BP264" s="102"/>
      <c r="BQ264" s="102"/>
      <c r="BR264" s="102"/>
      <c r="BS264" s="102"/>
      <c r="BT264" s="102"/>
      <c r="BU264" s="102"/>
      <c r="BV264" s="102"/>
      <c r="BW264" s="102"/>
      <c r="BX264" s="102"/>
      <c r="BY264" s="102"/>
      <c r="BZ264" s="102"/>
      <c r="CA264" s="102"/>
      <c r="CB264" s="102"/>
      <c r="CC264" s="102"/>
      <c r="CD264" s="102"/>
      <c r="CE264" s="102"/>
      <c r="CF264" s="102"/>
      <c r="CG264" s="102"/>
      <c r="CH264" s="102"/>
      <c r="CI264" s="102"/>
      <c r="CJ264" s="102"/>
      <c r="CK264" s="102"/>
      <c r="CL264" s="102"/>
      <c r="CM264" s="102"/>
      <c r="CN264" s="102"/>
      <c r="CO264" s="102"/>
      <c r="CP264" s="102"/>
      <c r="CQ264" s="102"/>
      <c r="CR264" s="102"/>
      <c r="CS264" s="102"/>
      <c r="CT264" s="102"/>
      <c r="CU264" s="102"/>
      <c r="CV264" s="102"/>
      <c r="CW264" s="102"/>
      <c r="CX264" s="102"/>
      <c r="CY264" s="102"/>
      <c r="CZ264" s="102"/>
      <c r="DA264" s="102"/>
      <c r="DB264" s="102"/>
      <c r="DC264" s="102"/>
      <c r="DD264" s="102"/>
      <c r="DE264" s="102"/>
      <c r="DF264" s="102"/>
      <c r="DG264" s="102"/>
      <c r="DH264" s="102"/>
      <c r="DI264" s="102"/>
      <c r="DJ264" s="102"/>
      <c r="DK264" s="102"/>
      <c r="DL264" s="102"/>
      <c r="DM264" s="102"/>
      <c r="DN264" s="102"/>
      <c r="DO264" s="102"/>
      <c r="DP264" s="102"/>
      <c r="DQ264" s="102"/>
      <c r="DR264" s="102"/>
      <c r="DS264" s="102"/>
      <c r="DT264" s="102"/>
      <c r="DU264" s="102"/>
      <c r="DV264" s="102"/>
      <c r="DW264" s="102"/>
      <c r="DX264" s="102"/>
      <c r="DY264" s="102"/>
    </row>
    <row r="265" spans="1:129" s="138" customFormat="1" ht="71.400000000000006" customHeight="1" x14ac:dyDescent="0.3">
      <c r="A265" s="102" t="s">
        <v>31</v>
      </c>
      <c r="B265" s="358" t="s">
        <v>85</v>
      </c>
      <c r="C265" s="167" t="s">
        <v>178</v>
      </c>
      <c r="D265" s="102" t="s">
        <v>34</v>
      </c>
      <c r="E265" s="102">
        <v>16</v>
      </c>
      <c r="F265" s="102" t="s">
        <v>35</v>
      </c>
      <c r="H265" s="5">
        <v>7470</v>
      </c>
      <c r="I265" s="109" t="s">
        <v>36</v>
      </c>
      <c r="J265" s="5">
        <v>7470</v>
      </c>
      <c r="K265" s="1686">
        <v>7500</v>
      </c>
      <c r="L265" s="1686">
        <f t="shared" si="1"/>
        <v>7500</v>
      </c>
      <c r="M265" s="107" t="s">
        <v>79</v>
      </c>
      <c r="N265" s="107" t="s">
        <v>179</v>
      </c>
      <c r="O265" s="107" t="s">
        <v>81</v>
      </c>
      <c r="P265" s="493"/>
      <c r="Q265" s="494"/>
      <c r="R265" s="493"/>
      <c r="S265" s="494"/>
      <c r="T265" s="493"/>
      <c r="U265" s="494"/>
      <c r="V265" s="493"/>
      <c r="W265" s="494"/>
      <c r="X265" s="493"/>
      <c r="Y265" s="494"/>
      <c r="Z265" s="493"/>
      <c r="AA265" s="494"/>
      <c r="AB265" s="493"/>
      <c r="AC265" s="494"/>
      <c r="AD265" s="106"/>
      <c r="AE265" s="106">
        <v>44733</v>
      </c>
      <c r="AF265" s="107" t="s">
        <v>88</v>
      </c>
      <c r="AG265" s="108">
        <v>2026</v>
      </c>
      <c r="AH265" s="109">
        <v>37350</v>
      </c>
      <c r="AI265" s="109"/>
      <c r="AJ265" s="109"/>
      <c r="AK265" s="102" t="s">
        <v>43</v>
      </c>
      <c r="AL265" s="102" t="s">
        <v>41</v>
      </c>
      <c r="AM265" s="110">
        <v>1</v>
      </c>
      <c r="AN265" s="119"/>
      <c r="AO265" s="102"/>
      <c r="AP265" s="102"/>
      <c r="AQ265" s="102"/>
      <c r="AR265" s="102"/>
      <c r="AS265" s="102"/>
      <c r="AT265" s="102"/>
      <c r="AU265" s="102"/>
      <c r="AV265" s="102"/>
      <c r="AW265" s="102"/>
      <c r="AX265" s="102"/>
      <c r="AY265" s="102"/>
      <c r="AZ265" s="102"/>
      <c r="BA265" s="102"/>
      <c r="BB265" s="102"/>
      <c r="BC265" s="102"/>
      <c r="BD265" s="102"/>
      <c r="BE265" s="102"/>
      <c r="BF265" s="102"/>
      <c r="BG265" s="102"/>
      <c r="BH265" s="102"/>
      <c r="BI265" s="102"/>
      <c r="BJ265" s="102"/>
      <c r="BK265" s="102"/>
      <c r="BL265" s="102"/>
      <c r="BM265" s="102"/>
      <c r="BN265" s="102"/>
      <c r="BO265" s="102"/>
      <c r="BP265" s="102"/>
      <c r="BQ265" s="102"/>
      <c r="BR265" s="102"/>
      <c r="BS265" s="102"/>
      <c r="BT265" s="102"/>
      <c r="BU265" s="102"/>
      <c r="BV265" s="102"/>
      <c r="BW265" s="102"/>
      <c r="BX265" s="102"/>
      <c r="BY265" s="102"/>
      <c r="BZ265" s="102"/>
      <c r="CA265" s="102"/>
      <c r="CB265" s="102"/>
      <c r="CC265" s="102"/>
      <c r="CD265" s="102"/>
      <c r="CE265" s="102"/>
      <c r="CF265" s="102"/>
      <c r="CG265" s="102"/>
      <c r="CH265" s="102"/>
      <c r="CI265" s="102"/>
      <c r="CJ265" s="102"/>
      <c r="CK265" s="102"/>
      <c r="CL265" s="102"/>
      <c r="CM265" s="102"/>
      <c r="CN265" s="102"/>
      <c r="CO265" s="102"/>
      <c r="CP265" s="102"/>
      <c r="CQ265" s="102"/>
      <c r="CR265" s="102"/>
      <c r="CS265" s="102"/>
      <c r="CT265" s="102"/>
      <c r="CU265" s="102"/>
      <c r="CV265" s="102"/>
      <c r="CW265" s="102"/>
      <c r="CX265" s="102"/>
      <c r="CY265" s="102"/>
      <c r="CZ265" s="102"/>
      <c r="DA265" s="102"/>
      <c r="DB265" s="102"/>
      <c r="DC265" s="102"/>
      <c r="DD265" s="102"/>
      <c r="DE265" s="102"/>
      <c r="DF265" s="102"/>
      <c r="DG265" s="102"/>
      <c r="DH265" s="102"/>
      <c r="DI265" s="102"/>
      <c r="DJ265" s="102"/>
      <c r="DK265" s="102"/>
      <c r="DL265" s="102"/>
      <c r="DM265" s="102"/>
      <c r="DN265" s="102"/>
      <c r="DO265" s="102"/>
      <c r="DP265" s="102"/>
      <c r="DQ265" s="102"/>
      <c r="DR265" s="102"/>
      <c r="DS265" s="102"/>
      <c r="DT265" s="102"/>
      <c r="DU265" s="102"/>
      <c r="DV265" s="102"/>
      <c r="DW265" s="102"/>
      <c r="DX265" s="102"/>
      <c r="DY265" s="102"/>
    </row>
    <row r="266" spans="1:129" s="138" customFormat="1" ht="71.400000000000006" customHeight="1" x14ac:dyDescent="0.3">
      <c r="A266" s="102" t="s">
        <v>31</v>
      </c>
      <c r="B266" s="358" t="s">
        <v>85</v>
      </c>
      <c r="C266" s="167" t="s">
        <v>180</v>
      </c>
      <c r="D266" s="102" t="s">
        <v>34</v>
      </c>
      <c r="E266" s="102">
        <v>16</v>
      </c>
      <c r="F266" s="102" t="s">
        <v>35</v>
      </c>
      <c r="H266" s="5">
        <v>60000</v>
      </c>
      <c r="I266" s="109" t="s">
        <v>36</v>
      </c>
      <c r="J266" s="5">
        <v>60000</v>
      </c>
      <c r="K266" s="1686">
        <v>36281.82</v>
      </c>
      <c r="L266" s="1686">
        <f t="shared" si="1"/>
        <v>36281.82</v>
      </c>
      <c r="M266" s="107" t="s">
        <v>79</v>
      </c>
      <c r="N266" s="107" t="s">
        <v>179</v>
      </c>
      <c r="O266" s="107" t="s">
        <v>81</v>
      </c>
      <c r="P266" s="493"/>
      <c r="Q266" s="494"/>
      <c r="R266" s="493"/>
      <c r="S266" s="494"/>
      <c r="T266" s="493"/>
      <c r="U266" s="494"/>
      <c r="V266" s="493"/>
      <c r="W266" s="494"/>
      <c r="X266" s="493"/>
      <c r="Y266" s="494"/>
      <c r="Z266" s="493"/>
      <c r="AA266" s="494"/>
      <c r="AB266" s="493"/>
      <c r="AC266" s="494"/>
      <c r="AD266" s="106"/>
      <c r="AE266" s="106">
        <v>45107</v>
      </c>
      <c r="AF266" s="107" t="s">
        <v>65</v>
      </c>
      <c r="AG266" s="108">
        <v>2023</v>
      </c>
      <c r="AH266" s="109">
        <v>300000</v>
      </c>
      <c r="AI266" s="109"/>
      <c r="AJ266" s="109"/>
      <c r="AK266" s="102" t="s">
        <v>43</v>
      </c>
      <c r="AL266" s="102" t="s">
        <v>41</v>
      </c>
      <c r="AM266" s="110">
        <v>0.15</v>
      </c>
      <c r="AN266" s="118" t="s">
        <v>181</v>
      </c>
      <c r="AO266" s="102"/>
      <c r="AP266" s="102"/>
      <c r="AQ266" s="102"/>
      <c r="AR266" s="102"/>
      <c r="AS266" s="102"/>
      <c r="AT266" s="102"/>
      <c r="AU266" s="102"/>
      <c r="AV266" s="102"/>
      <c r="AW266" s="102"/>
      <c r="AX266" s="102"/>
      <c r="AY266" s="102"/>
      <c r="AZ266" s="102"/>
      <c r="BA266" s="102"/>
      <c r="BB266" s="102"/>
      <c r="BC266" s="102"/>
      <c r="BD266" s="102"/>
      <c r="BE266" s="102"/>
      <c r="BF266" s="102"/>
      <c r="BG266" s="102"/>
      <c r="BH266" s="102"/>
      <c r="BI266" s="102"/>
      <c r="BJ266" s="102"/>
      <c r="BK266" s="102"/>
      <c r="BL266" s="102"/>
      <c r="BM266" s="102"/>
      <c r="BN266" s="102"/>
      <c r="BO266" s="102"/>
      <c r="BP266" s="102"/>
      <c r="BQ266" s="102"/>
      <c r="BR266" s="102"/>
      <c r="BS266" s="102"/>
      <c r="BT266" s="102"/>
      <c r="BU266" s="102"/>
      <c r="BV266" s="102"/>
      <c r="BW266" s="102"/>
      <c r="BX266" s="102"/>
      <c r="BY266" s="102"/>
      <c r="BZ266" s="102"/>
      <c r="CA266" s="102"/>
      <c r="CB266" s="102"/>
      <c r="CC266" s="102"/>
      <c r="CD266" s="102"/>
      <c r="CE266" s="102"/>
      <c r="CF266" s="102"/>
      <c r="CG266" s="102"/>
      <c r="CH266" s="102"/>
      <c r="CI266" s="102"/>
      <c r="CJ266" s="102"/>
      <c r="CK266" s="102"/>
      <c r="CL266" s="102"/>
      <c r="CM266" s="102"/>
      <c r="CN266" s="102"/>
      <c r="CO266" s="102"/>
      <c r="CP266" s="102"/>
      <c r="CQ266" s="102"/>
      <c r="CR266" s="102"/>
      <c r="CS266" s="102"/>
      <c r="CT266" s="102"/>
      <c r="CU266" s="102"/>
      <c r="CV266" s="102"/>
      <c r="CW266" s="102"/>
      <c r="CX266" s="102"/>
      <c r="CY266" s="102"/>
      <c r="CZ266" s="102"/>
      <c r="DA266" s="102"/>
      <c r="DB266" s="102"/>
      <c r="DC266" s="102"/>
      <c r="DD266" s="102"/>
      <c r="DE266" s="102"/>
      <c r="DF266" s="102"/>
      <c r="DG266" s="102"/>
      <c r="DH266" s="102"/>
      <c r="DI266" s="102"/>
      <c r="DJ266" s="102"/>
      <c r="DK266" s="102"/>
      <c r="DL266" s="102"/>
      <c r="DM266" s="102"/>
      <c r="DN266" s="102"/>
      <c r="DO266" s="102"/>
      <c r="DP266" s="102"/>
      <c r="DQ266" s="102"/>
      <c r="DR266" s="102"/>
      <c r="DS266" s="102"/>
      <c r="DT266" s="102"/>
      <c r="DU266" s="102"/>
      <c r="DV266" s="102"/>
      <c r="DW266" s="102"/>
      <c r="DX266" s="102"/>
      <c r="DY266" s="102"/>
    </row>
    <row r="267" spans="1:129" s="138" customFormat="1" ht="71.400000000000006" customHeight="1" x14ac:dyDescent="0.3">
      <c r="A267" s="102" t="s">
        <v>31</v>
      </c>
      <c r="B267" s="654" t="s">
        <v>85</v>
      </c>
      <c r="C267" s="167" t="s">
        <v>182</v>
      </c>
      <c r="D267" s="102" t="s">
        <v>34</v>
      </c>
      <c r="E267" s="102">
        <v>16</v>
      </c>
      <c r="F267" s="102" t="s">
        <v>35</v>
      </c>
      <c r="H267" s="5">
        <v>3798</v>
      </c>
      <c r="I267" s="109" t="s">
        <v>36</v>
      </c>
      <c r="J267" s="5">
        <v>3798</v>
      </c>
      <c r="K267" s="1686">
        <v>3204.41</v>
      </c>
      <c r="L267" s="1686">
        <f t="shared" si="1"/>
        <v>3204.41</v>
      </c>
      <c r="M267" s="107" t="s">
        <v>183</v>
      </c>
      <c r="N267" s="107" t="s">
        <v>184</v>
      </c>
      <c r="O267" s="107" t="s">
        <v>81</v>
      </c>
      <c r="P267" s="493"/>
      <c r="Q267" s="494"/>
      <c r="R267" s="493"/>
      <c r="S267" s="494"/>
      <c r="T267" s="493"/>
      <c r="U267" s="494"/>
      <c r="V267" s="493"/>
      <c r="W267" s="494"/>
      <c r="X267" s="493"/>
      <c r="Y267" s="494"/>
      <c r="Z267" s="493"/>
      <c r="AA267" s="494"/>
      <c r="AB267" s="493"/>
      <c r="AC267" s="494"/>
      <c r="AD267" s="106"/>
      <c r="AE267" s="106">
        <v>44715</v>
      </c>
      <c r="AF267" s="107" t="s">
        <v>88</v>
      </c>
      <c r="AG267" s="108">
        <v>2026</v>
      </c>
      <c r="AH267" s="109">
        <v>18990</v>
      </c>
      <c r="AI267" s="109"/>
      <c r="AJ267" s="109"/>
      <c r="AK267" s="102" t="s">
        <v>77</v>
      </c>
      <c r="AL267" s="102" t="s">
        <v>41</v>
      </c>
      <c r="AM267" s="110">
        <v>1</v>
      </c>
      <c r="AN267" s="118"/>
      <c r="AO267" s="102"/>
      <c r="AP267" s="102"/>
      <c r="AQ267" s="102"/>
      <c r="AR267" s="102"/>
      <c r="AS267" s="102"/>
      <c r="AT267" s="102"/>
      <c r="AU267" s="102"/>
      <c r="AV267" s="102"/>
      <c r="AW267" s="102"/>
      <c r="AX267" s="102"/>
      <c r="AY267" s="102"/>
      <c r="AZ267" s="102"/>
      <c r="BA267" s="102"/>
      <c r="BB267" s="102"/>
      <c r="BC267" s="102"/>
      <c r="BD267" s="102"/>
      <c r="BE267" s="102"/>
      <c r="BF267" s="102"/>
      <c r="BG267" s="102"/>
      <c r="BH267" s="102"/>
      <c r="BI267" s="102"/>
      <c r="BJ267" s="102"/>
      <c r="BK267" s="102"/>
      <c r="BL267" s="102"/>
      <c r="BM267" s="102"/>
      <c r="BN267" s="102"/>
      <c r="BO267" s="102"/>
      <c r="BP267" s="102"/>
      <c r="BQ267" s="102"/>
      <c r="BR267" s="102"/>
      <c r="BS267" s="102"/>
      <c r="BT267" s="102"/>
      <c r="BU267" s="102"/>
      <c r="BV267" s="102"/>
      <c r="BW267" s="102"/>
      <c r="BX267" s="102"/>
      <c r="BY267" s="102"/>
      <c r="BZ267" s="102"/>
      <c r="CA267" s="102"/>
      <c r="CB267" s="102"/>
      <c r="CC267" s="102"/>
      <c r="CD267" s="102"/>
      <c r="CE267" s="102"/>
      <c r="CF267" s="102"/>
      <c r="CG267" s="102"/>
      <c r="CH267" s="102"/>
      <c r="CI267" s="102"/>
      <c r="CJ267" s="102"/>
      <c r="CK267" s="102"/>
      <c r="CL267" s="102"/>
      <c r="CM267" s="102"/>
      <c r="CN267" s="102"/>
      <c r="CO267" s="102"/>
      <c r="CP267" s="102"/>
      <c r="CQ267" s="102"/>
      <c r="CR267" s="102"/>
      <c r="CS267" s="102"/>
      <c r="CT267" s="102"/>
      <c r="CU267" s="102"/>
      <c r="CV267" s="102"/>
      <c r="CW267" s="102"/>
      <c r="CX267" s="102"/>
      <c r="CY267" s="102"/>
      <c r="CZ267" s="102"/>
      <c r="DA267" s="102"/>
      <c r="DB267" s="102"/>
      <c r="DC267" s="102"/>
      <c r="DD267" s="102"/>
      <c r="DE267" s="102"/>
      <c r="DF267" s="102"/>
      <c r="DG267" s="102"/>
      <c r="DH267" s="102"/>
      <c r="DI267" s="102"/>
      <c r="DJ267" s="102"/>
      <c r="DK267" s="102"/>
      <c r="DL267" s="102"/>
      <c r="DM267" s="102"/>
      <c r="DN267" s="102"/>
      <c r="DO267" s="102"/>
      <c r="DP267" s="102"/>
      <c r="DQ267" s="102"/>
      <c r="DR267" s="102"/>
      <c r="DS267" s="102"/>
      <c r="DT267" s="102"/>
      <c r="DU267" s="102"/>
      <c r="DV267" s="102"/>
      <c r="DW267" s="102"/>
      <c r="DX267" s="102"/>
      <c r="DY267" s="102"/>
    </row>
    <row r="268" spans="1:129" s="138" customFormat="1" ht="71.400000000000006" customHeight="1" x14ac:dyDescent="0.3">
      <c r="A268" s="102" t="s">
        <v>31</v>
      </c>
      <c r="B268" s="358" t="s">
        <v>85</v>
      </c>
      <c r="C268" s="167" t="s">
        <v>185</v>
      </c>
      <c r="D268" s="102" t="s">
        <v>34</v>
      </c>
      <c r="E268" s="102">
        <v>16</v>
      </c>
      <c r="F268" s="102" t="s">
        <v>35</v>
      </c>
      <c r="H268" s="5">
        <v>608000</v>
      </c>
      <c r="I268" s="109" t="s">
        <v>36</v>
      </c>
      <c r="J268" s="5">
        <v>608000</v>
      </c>
      <c r="K268" s="1686">
        <v>241479.59</v>
      </c>
      <c r="L268" s="1686">
        <f t="shared" si="1"/>
        <v>241479.59</v>
      </c>
      <c r="M268" s="107" t="s">
        <v>183</v>
      </c>
      <c r="N268" s="107" t="s">
        <v>184</v>
      </c>
      <c r="O268" s="107" t="s">
        <v>81</v>
      </c>
      <c r="P268" s="493"/>
      <c r="Q268" s="494"/>
      <c r="R268" s="493"/>
      <c r="S268" s="494"/>
      <c r="T268" s="493"/>
      <c r="U268" s="494"/>
      <c r="V268" s="493"/>
      <c r="W268" s="494"/>
      <c r="X268" s="493"/>
      <c r="Y268" s="494"/>
      <c r="Z268" s="493"/>
      <c r="AA268" s="494"/>
      <c r="AB268" s="493"/>
      <c r="AC268" s="494"/>
      <c r="AD268" s="106"/>
      <c r="AE268" s="106">
        <v>46081</v>
      </c>
      <c r="AF268" s="107" t="s">
        <v>88</v>
      </c>
      <c r="AG268" s="108">
        <v>2026</v>
      </c>
      <c r="AH268" s="109">
        <v>3040000</v>
      </c>
      <c r="AI268" s="109"/>
      <c r="AJ268" s="109"/>
      <c r="AK268" s="102" t="s">
        <v>43</v>
      </c>
      <c r="AL268" s="102" t="s">
        <v>41</v>
      </c>
      <c r="AM268" s="110">
        <v>0.7</v>
      </c>
      <c r="AN268" s="118" t="s">
        <v>186</v>
      </c>
      <c r="AO268" s="102"/>
      <c r="AP268" s="102"/>
      <c r="AQ268" s="102"/>
      <c r="AR268" s="102"/>
      <c r="AS268" s="102"/>
      <c r="AT268" s="102"/>
      <c r="AU268" s="102"/>
      <c r="AV268" s="102"/>
      <c r="AW268" s="102"/>
      <c r="AX268" s="102"/>
      <c r="AY268" s="102"/>
      <c r="AZ268" s="102"/>
      <c r="BA268" s="102"/>
      <c r="BB268" s="102"/>
      <c r="BC268" s="102"/>
      <c r="BD268" s="102"/>
      <c r="BE268" s="102"/>
      <c r="BF268" s="102"/>
      <c r="BG268" s="102"/>
      <c r="BH268" s="102"/>
      <c r="BI268" s="102"/>
      <c r="BJ268" s="102"/>
      <c r="BK268" s="102"/>
      <c r="BL268" s="102"/>
      <c r="BM268" s="102"/>
      <c r="BN268" s="102"/>
      <c r="BO268" s="102"/>
      <c r="BP268" s="102"/>
      <c r="BQ268" s="102"/>
      <c r="BR268" s="102"/>
      <c r="BS268" s="102"/>
      <c r="BT268" s="102"/>
      <c r="BU268" s="102"/>
      <c r="BV268" s="102"/>
      <c r="BW268" s="102"/>
      <c r="BX268" s="102"/>
      <c r="BY268" s="102"/>
      <c r="BZ268" s="102"/>
      <c r="CA268" s="102"/>
      <c r="CB268" s="102"/>
      <c r="CC268" s="102"/>
      <c r="CD268" s="102"/>
      <c r="CE268" s="102"/>
      <c r="CF268" s="102"/>
      <c r="CG268" s="102"/>
      <c r="CH268" s="102"/>
      <c r="CI268" s="102"/>
      <c r="CJ268" s="102"/>
      <c r="CK268" s="102"/>
      <c r="CL268" s="102"/>
      <c r="CM268" s="102"/>
      <c r="CN268" s="102"/>
      <c r="CO268" s="102"/>
      <c r="CP268" s="102"/>
      <c r="CQ268" s="102"/>
      <c r="CR268" s="102"/>
      <c r="CS268" s="102"/>
      <c r="CT268" s="102"/>
      <c r="CU268" s="102"/>
      <c r="CV268" s="102"/>
      <c r="CW268" s="102"/>
      <c r="CX268" s="102"/>
      <c r="CY268" s="102"/>
      <c r="CZ268" s="102"/>
      <c r="DA268" s="102"/>
      <c r="DB268" s="102"/>
      <c r="DC268" s="102"/>
      <c r="DD268" s="102"/>
      <c r="DE268" s="102"/>
      <c r="DF268" s="102"/>
      <c r="DG268" s="102"/>
      <c r="DH268" s="102"/>
      <c r="DI268" s="102"/>
      <c r="DJ268" s="102"/>
      <c r="DK268" s="102"/>
      <c r="DL268" s="102"/>
      <c r="DM268" s="102"/>
      <c r="DN268" s="102"/>
      <c r="DO268" s="102"/>
      <c r="DP268" s="102"/>
      <c r="DQ268" s="102"/>
      <c r="DR268" s="102"/>
      <c r="DS268" s="102"/>
      <c r="DT268" s="102"/>
      <c r="DU268" s="102"/>
      <c r="DV268" s="102"/>
      <c r="DW268" s="102"/>
      <c r="DX268" s="102"/>
      <c r="DY268" s="102"/>
    </row>
    <row r="269" spans="1:129" s="138" customFormat="1" ht="71.400000000000006" customHeight="1" x14ac:dyDescent="0.3">
      <c r="A269" s="102" t="s">
        <v>31</v>
      </c>
      <c r="B269" s="654" t="s">
        <v>85</v>
      </c>
      <c r="C269" s="167" t="s">
        <v>187</v>
      </c>
      <c r="D269" s="102" t="s">
        <v>34</v>
      </c>
      <c r="E269" s="102">
        <v>16</v>
      </c>
      <c r="F269" s="102" t="s">
        <v>35</v>
      </c>
      <c r="H269" s="5">
        <v>2400</v>
      </c>
      <c r="I269" s="109" t="s">
        <v>36</v>
      </c>
      <c r="J269" s="5">
        <v>2400</v>
      </c>
      <c r="K269" s="1686">
        <v>2409.64</v>
      </c>
      <c r="L269" s="1686">
        <f t="shared" si="1"/>
        <v>2409.64</v>
      </c>
      <c r="M269" s="107" t="s">
        <v>55</v>
      </c>
      <c r="N269" s="107" t="s">
        <v>188</v>
      </c>
      <c r="O269" s="107" t="s">
        <v>189</v>
      </c>
      <c r="P269" s="493"/>
      <c r="Q269" s="494"/>
      <c r="R269" s="493"/>
      <c r="S269" s="494"/>
      <c r="T269" s="493"/>
      <c r="U269" s="494"/>
      <c r="V269" s="493"/>
      <c r="W269" s="494"/>
      <c r="X269" s="493"/>
      <c r="Y269" s="494"/>
      <c r="Z269" s="493"/>
      <c r="AA269" s="494"/>
      <c r="AB269" s="493"/>
      <c r="AC269" s="494"/>
      <c r="AD269" s="106"/>
      <c r="AE269" s="106">
        <v>44640</v>
      </c>
      <c r="AF269" s="107" t="s">
        <v>88</v>
      </c>
      <c r="AG269" s="108">
        <v>2026</v>
      </c>
      <c r="AH269" s="109">
        <v>12000</v>
      </c>
      <c r="AI269" s="109"/>
      <c r="AJ269" s="109"/>
      <c r="AK269" s="102" t="s">
        <v>43</v>
      </c>
      <c r="AL269" s="102" t="s">
        <v>41</v>
      </c>
      <c r="AM269" s="110">
        <v>1</v>
      </c>
      <c r="AN269" s="119"/>
      <c r="AO269" s="102"/>
      <c r="AP269" s="102"/>
      <c r="AQ269" s="102"/>
      <c r="AR269" s="102"/>
      <c r="AS269" s="102"/>
      <c r="AT269" s="102"/>
      <c r="AU269" s="102"/>
      <c r="AV269" s="102"/>
      <c r="AW269" s="102"/>
      <c r="AX269" s="102"/>
      <c r="AY269" s="102"/>
      <c r="AZ269" s="102"/>
      <c r="BA269" s="102"/>
      <c r="BB269" s="102"/>
      <c r="BC269" s="102"/>
      <c r="BD269" s="102"/>
      <c r="BE269" s="102"/>
      <c r="BF269" s="102"/>
      <c r="BG269" s="102"/>
      <c r="BH269" s="102"/>
      <c r="BI269" s="102"/>
      <c r="BJ269" s="102"/>
      <c r="BK269" s="102"/>
      <c r="BL269" s="102"/>
      <c r="BM269" s="102"/>
      <c r="BN269" s="102"/>
      <c r="BO269" s="102"/>
      <c r="BP269" s="102"/>
      <c r="BQ269" s="102"/>
      <c r="BR269" s="102"/>
      <c r="BS269" s="102"/>
      <c r="BT269" s="102"/>
      <c r="BU269" s="102"/>
      <c r="BV269" s="102"/>
      <c r="BW269" s="102"/>
      <c r="BX269" s="102"/>
      <c r="BY269" s="102"/>
      <c r="BZ269" s="102"/>
      <c r="CA269" s="102"/>
      <c r="CB269" s="102"/>
      <c r="CC269" s="102"/>
      <c r="CD269" s="102"/>
      <c r="CE269" s="102"/>
      <c r="CF269" s="102"/>
      <c r="CG269" s="102"/>
      <c r="CH269" s="102"/>
      <c r="CI269" s="102"/>
      <c r="CJ269" s="102"/>
      <c r="CK269" s="102"/>
      <c r="CL269" s="102"/>
      <c r="CM269" s="102"/>
      <c r="CN269" s="102"/>
      <c r="CO269" s="102"/>
      <c r="CP269" s="102"/>
      <c r="CQ269" s="102"/>
      <c r="CR269" s="102"/>
      <c r="CS269" s="102"/>
      <c r="CT269" s="102"/>
      <c r="CU269" s="102"/>
      <c r="CV269" s="102"/>
      <c r="CW269" s="102"/>
      <c r="CX269" s="102"/>
      <c r="CY269" s="102"/>
      <c r="CZ269" s="102"/>
      <c r="DA269" s="102"/>
      <c r="DB269" s="102"/>
      <c r="DC269" s="102"/>
      <c r="DD269" s="102"/>
      <c r="DE269" s="102"/>
      <c r="DF269" s="102"/>
      <c r="DG269" s="102"/>
      <c r="DH269" s="102"/>
      <c r="DI269" s="102"/>
      <c r="DJ269" s="102"/>
      <c r="DK269" s="102"/>
      <c r="DL269" s="102"/>
      <c r="DM269" s="102"/>
      <c r="DN269" s="102"/>
      <c r="DO269" s="102"/>
      <c r="DP269" s="102"/>
      <c r="DQ269" s="102"/>
      <c r="DR269" s="102"/>
      <c r="DS269" s="102"/>
      <c r="DT269" s="102"/>
      <c r="DU269" s="102"/>
      <c r="DV269" s="102"/>
      <c r="DW269" s="102"/>
      <c r="DX269" s="102"/>
      <c r="DY269" s="102"/>
    </row>
    <row r="270" spans="1:129" s="138" customFormat="1" ht="71.400000000000006" customHeight="1" x14ac:dyDescent="0.3">
      <c r="A270" s="102" t="s">
        <v>31</v>
      </c>
      <c r="B270" s="654" t="s">
        <v>85</v>
      </c>
      <c r="C270" s="167" t="s">
        <v>190</v>
      </c>
      <c r="D270" s="102" t="s">
        <v>34</v>
      </c>
      <c r="E270" s="102">
        <v>16</v>
      </c>
      <c r="F270" s="102" t="s">
        <v>35</v>
      </c>
      <c r="H270" s="5">
        <v>165000</v>
      </c>
      <c r="I270" s="109" t="s">
        <v>36</v>
      </c>
      <c r="J270" s="5">
        <v>165000</v>
      </c>
      <c r="K270" s="1686">
        <v>119277.11</v>
      </c>
      <c r="L270" s="1686">
        <f t="shared" si="1"/>
        <v>119277.11</v>
      </c>
      <c r="M270" s="107" t="s">
        <v>55</v>
      </c>
      <c r="N270" s="107" t="s">
        <v>188</v>
      </c>
      <c r="O270" s="107" t="s">
        <v>189</v>
      </c>
      <c r="P270" s="493"/>
      <c r="Q270" s="494"/>
      <c r="R270" s="493"/>
      <c r="S270" s="494"/>
      <c r="T270" s="493"/>
      <c r="U270" s="494"/>
      <c r="V270" s="493"/>
      <c r="W270" s="494"/>
      <c r="X270" s="493"/>
      <c r="Y270" s="494"/>
      <c r="Z270" s="493"/>
      <c r="AA270" s="494"/>
      <c r="AB270" s="493"/>
      <c r="AC270" s="494"/>
      <c r="AD270" s="106"/>
      <c r="AE270" s="106" t="s">
        <v>155</v>
      </c>
      <c r="AF270" s="107" t="s">
        <v>65</v>
      </c>
      <c r="AG270" s="108">
        <v>2023</v>
      </c>
      <c r="AH270" s="109">
        <v>825000</v>
      </c>
      <c r="AI270" s="109"/>
      <c r="AJ270" s="109"/>
      <c r="AK270" s="102" t="s">
        <v>43</v>
      </c>
      <c r="AL270" s="102" t="s">
        <v>41</v>
      </c>
      <c r="AM270" s="110">
        <v>0.9</v>
      </c>
      <c r="AN270" s="119"/>
      <c r="AO270" s="102"/>
      <c r="AP270" s="102"/>
      <c r="AQ270" s="102"/>
      <c r="AR270" s="102"/>
      <c r="AS270" s="102"/>
      <c r="AT270" s="102"/>
      <c r="AU270" s="102"/>
      <c r="AV270" s="102"/>
      <c r="AW270" s="102"/>
      <c r="AX270" s="102"/>
      <c r="AY270" s="102"/>
      <c r="AZ270" s="102"/>
      <c r="BA270" s="102"/>
      <c r="BB270" s="102"/>
      <c r="BC270" s="102"/>
      <c r="BD270" s="102"/>
      <c r="BE270" s="102"/>
      <c r="BF270" s="102"/>
      <c r="BG270" s="102"/>
      <c r="BH270" s="102"/>
      <c r="BI270" s="102"/>
      <c r="BJ270" s="102"/>
      <c r="BK270" s="102"/>
      <c r="BL270" s="102"/>
      <c r="BM270" s="102"/>
      <c r="BN270" s="102"/>
      <c r="BO270" s="102"/>
      <c r="BP270" s="102"/>
      <c r="BQ270" s="102"/>
      <c r="BR270" s="102"/>
      <c r="BS270" s="102"/>
      <c r="BT270" s="102"/>
      <c r="BU270" s="102"/>
      <c r="BV270" s="102"/>
      <c r="BW270" s="102"/>
      <c r="BX270" s="102"/>
      <c r="BY270" s="102"/>
      <c r="BZ270" s="102"/>
      <c r="CA270" s="102"/>
      <c r="CB270" s="102"/>
      <c r="CC270" s="102"/>
      <c r="CD270" s="102"/>
      <c r="CE270" s="102"/>
      <c r="CF270" s="102"/>
      <c r="CG270" s="102"/>
      <c r="CH270" s="102"/>
      <c r="CI270" s="102"/>
      <c r="CJ270" s="102"/>
      <c r="CK270" s="102"/>
      <c r="CL270" s="102"/>
      <c r="CM270" s="102"/>
      <c r="CN270" s="102"/>
      <c r="CO270" s="102"/>
      <c r="CP270" s="102"/>
      <c r="CQ270" s="102"/>
      <c r="CR270" s="102"/>
      <c r="CS270" s="102"/>
      <c r="CT270" s="102"/>
      <c r="CU270" s="102"/>
      <c r="CV270" s="102"/>
      <c r="CW270" s="102"/>
      <c r="CX270" s="102"/>
      <c r="CY270" s="102"/>
      <c r="CZ270" s="102"/>
      <c r="DA270" s="102"/>
      <c r="DB270" s="102"/>
      <c r="DC270" s="102"/>
      <c r="DD270" s="102"/>
      <c r="DE270" s="102"/>
      <c r="DF270" s="102"/>
      <c r="DG270" s="102"/>
      <c r="DH270" s="102"/>
      <c r="DI270" s="102"/>
      <c r="DJ270" s="102"/>
      <c r="DK270" s="102"/>
      <c r="DL270" s="102"/>
      <c r="DM270" s="102"/>
      <c r="DN270" s="102"/>
      <c r="DO270" s="102"/>
      <c r="DP270" s="102"/>
      <c r="DQ270" s="102"/>
      <c r="DR270" s="102"/>
      <c r="DS270" s="102"/>
      <c r="DT270" s="102"/>
      <c r="DU270" s="102"/>
      <c r="DV270" s="102"/>
      <c r="DW270" s="102"/>
      <c r="DX270" s="102"/>
      <c r="DY270" s="102"/>
    </row>
    <row r="271" spans="1:129" s="138" customFormat="1" ht="71.400000000000006" customHeight="1" x14ac:dyDescent="0.3">
      <c r="A271" s="102" t="s">
        <v>31</v>
      </c>
      <c r="B271" s="654" t="s">
        <v>85</v>
      </c>
      <c r="C271" s="167" t="s">
        <v>191</v>
      </c>
      <c r="D271" s="102" t="s">
        <v>34</v>
      </c>
      <c r="E271" s="102">
        <v>16</v>
      </c>
      <c r="F271" s="102" t="s">
        <v>35</v>
      </c>
      <c r="H271" s="5">
        <v>2300</v>
      </c>
      <c r="I271" s="109" t="s">
        <v>36</v>
      </c>
      <c r="J271" s="5">
        <v>2300</v>
      </c>
      <c r="K271" s="1686">
        <v>1940.54</v>
      </c>
      <c r="L271" s="1686">
        <f t="shared" si="1"/>
        <v>1940.54</v>
      </c>
      <c r="M271" s="107" t="s">
        <v>55</v>
      </c>
      <c r="N271" s="107" t="s">
        <v>192</v>
      </c>
      <c r="O271" s="107" t="s">
        <v>189</v>
      </c>
      <c r="P271" s="493"/>
      <c r="Q271" s="494"/>
      <c r="R271" s="493"/>
      <c r="S271" s="494"/>
      <c r="T271" s="493"/>
      <c r="U271" s="494"/>
      <c r="V271" s="493"/>
      <c r="W271" s="494"/>
      <c r="X271" s="493"/>
      <c r="Y271" s="494"/>
      <c r="Z271" s="493"/>
      <c r="AA271" s="494"/>
      <c r="AB271" s="493"/>
      <c r="AC271" s="494"/>
      <c r="AD271" s="106"/>
      <c r="AE271" s="106">
        <v>44638</v>
      </c>
      <c r="AF271" s="107" t="s">
        <v>88</v>
      </c>
      <c r="AG271" s="108">
        <v>2026</v>
      </c>
      <c r="AH271" s="109">
        <v>11500</v>
      </c>
      <c r="AI271" s="109"/>
      <c r="AJ271" s="109"/>
      <c r="AK271" s="102" t="s">
        <v>77</v>
      </c>
      <c r="AL271" s="102" t="s">
        <v>41</v>
      </c>
      <c r="AM271" s="110">
        <v>1</v>
      </c>
      <c r="AN271" s="119"/>
      <c r="AO271" s="102"/>
      <c r="AP271" s="102"/>
      <c r="AQ271" s="102"/>
      <c r="AR271" s="102"/>
      <c r="AS271" s="102"/>
      <c r="AT271" s="102"/>
      <c r="AU271" s="102"/>
      <c r="AV271" s="102"/>
      <c r="AW271" s="102"/>
      <c r="AX271" s="102"/>
      <c r="AY271" s="102"/>
      <c r="AZ271" s="102"/>
      <c r="BA271" s="102"/>
      <c r="BB271" s="102"/>
      <c r="BC271" s="102"/>
      <c r="BD271" s="102"/>
      <c r="BE271" s="102"/>
      <c r="BF271" s="102"/>
      <c r="BG271" s="102"/>
      <c r="BH271" s="102"/>
      <c r="BI271" s="102"/>
      <c r="BJ271" s="102"/>
      <c r="BK271" s="102"/>
      <c r="BL271" s="102"/>
      <c r="BM271" s="102"/>
      <c r="BN271" s="102"/>
      <c r="BO271" s="102"/>
      <c r="BP271" s="102"/>
      <c r="BQ271" s="102"/>
      <c r="BR271" s="102"/>
      <c r="BS271" s="102"/>
      <c r="BT271" s="102"/>
      <c r="BU271" s="102"/>
      <c r="BV271" s="102"/>
      <c r="BW271" s="102"/>
      <c r="BX271" s="102"/>
      <c r="BY271" s="102"/>
      <c r="BZ271" s="102"/>
      <c r="CA271" s="102"/>
      <c r="CB271" s="102"/>
      <c r="CC271" s="102"/>
      <c r="CD271" s="102"/>
      <c r="CE271" s="102"/>
      <c r="CF271" s="102"/>
      <c r="CG271" s="102"/>
      <c r="CH271" s="102"/>
      <c r="CI271" s="102"/>
      <c r="CJ271" s="102"/>
      <c r="CK271" s="102"/>
      <c r="CL271" s="102"/>
      <c r="CM271" s="102"/>
      <c r="CN271" s="102"/>
      <c r="CO271" s="102"/>
      <c r="CP271" s="102"/>
      <c r="CQ271" s="102"/>
      <c r="CR271" s="102"/>
      <c r="CS271" s="102"/>
      <c r="CT271" s="102"/>
      <c r="CU271" s="102"/>
      <c r="CV271" s="102"/>
      <c r="CW271" s="102"/>
      <c r="CX271" s="102"/>
      <c r="CY271" s="102"/>
      <c r="CZ271" s="102"/>
      <c r="DA271" s="102"/>
      <c r="DB271" s="102"/>
      <c r="DC271" s="102"/>
      <c r="DD271" s="102"/>
      <c r="DE271" s="102"/>
      <c r="DF271" s="102"/>
      <c r="DG271" s="102"/>
      <c r="DH271" s="102"/>
      <c r="DI271" s="102"/>
      <c r="DJ271" s="102"/>
      <c r="DK271" s="102"/>
      <c r="DL271" s="102"/>
      <c r="DM271" s="102"/>
      <c r="DN271" s="102"/>
      <c r="DO271" s="102"/>
      <c r="DP271" s="102"/>
      <c r="DQ271" s="102"/>
      <c r="DR271" s="102"/>
      <c r="DS271" s="102"/>
      <c r="DT271" s="102"/>
      <c r="DU271" s="102"/>
      <c r="DV271" s="102"/>
      <c r="DW271" s="102"/>
      <c r="DX271" s="102"/>
      <c r="DY271" s="102"/>
    </row>
    <row r="272" spans="1:129" s="138" customFormat="1" ht="71.400000000000006" customHeight="1" x14ac:dyDescent="0.3">
      <c r="A272" s="102" t="s">
        <v>31</v>
      </c>
      <c r="B272" s="654" t="s">
        <v>85</v>
      </c>
      <c r="C272" s="167" t="s">
        <v>193</v>
      </c>
      <c r="D272" s="102" t="s">
        <v>34</v>
      </c>
      <c r="E272" s="102">
        <v>16</v>
      </c>
      <c r="F272" s="102" t="s">
        <v>35</v>
      </c>
      <c r="H272" s="5">
        <v>1900</v>
      </c>
      <c r="I272" s="109" t="s">
        <v>36</v>
      </c>
      <c r="J272" s="5">
        <v>1900</v>
      </c>
      <c r="K272" s="1686">
        <v>1603.05</v>
      </c>
      <c r="L272" s="1686">
        <f t="shared" si="1"/>
        <v>1603.05</v>
      </c>
      <c r="M272" s="107" t="s">
        <v>55</v>
      </c>
      <c r="N272" s="107" t="s">
        <v>194</v>
      </c>
      <c r="O272" s="107" t="s">
        <v>189</v>
      </c>
      <c r="P272" s="493"/>
      <c r="Q272" s="494"/>
      <c r="R272" s="493"/>
      <c r="S272" s="494"/>
      <c r="T272" s="493"/>
      <c r="U272" s="494"/>
      <c r="V272" s="493"/>
      <c r="W272" s="494"/>
      <c r="X272" s="493"/>
      <c r="Y272" s="494"/>
      <c r="Z272" s="493"/>
      <c r="AA272" s="494"/>
      <c r="AB272" s="493"/>
      <c r="AC272" s="494"/>
      <c r="AD272" s="106"/>
      <c r="AE272" s="106">
        <v>44638</v>
      </c>
      <c r="AF272" s="107" t="s">
        <v>88</v>
      </c>
      <c r="AG272" s="108">
        <v>2026</v>
      </c>
      <c r="AH272" s="109">
        <v>9500</v>
      </c>
      <c r="AI272" s="109"/>
      <c r="AJ272" s="109"/>
      <c r="AK272" s="102" t="s">
        <v>77</v>
      </c>
      <c r="AL272" s="102" t="s">
        <v>41</v>
      </c>
      <c r="AM272" s="110">
        <v>1</v>
      </c>
      <c r="AN272" s="119"/>
      <c r="AO272" s="102"/>
      <c r="AP272" s="102"/>
      <c r="AQ272" s="102"/>
      <c r="AR272" s="102"/>
      <c r="AS272" s="102"/>
      <c r="AT272" s="102"/>
      <c r="AU272" s="102"/>
      <c r="AV272" s="102"/>
      <c r="AW272" s="102"/>
      <c r="AX272" s="102"/>
      <c r="AY272" s="102"/>
      <c r="AZ272" s="102"/>
      <c r="BA272" s="102"/>
      <c r="BB272" s="102"/>
      <c r="BC272" s="102"/>
      <c r="BD272" s="102"/>
      <c r="BE272" s="102"/>
      <c r="BF272" s="102"/>
      <c r="BG272" s="102"/>
      <c r="BH272" s="102"/>
      <c r="BI272" s="102"/>
      <c r="BJ272" s="102"/>
      <c r="BK272" s="102"/>
      <c r="BL272" s="102"/>
      <c r="BM272" s="102"/>
      <c r="BN272" s="102"/>
      <c r="BO272" s="102"/>
      <c r="BP272" s="102"/>
      <c r="BQ272" s="102"/>
      <c r="BR272" s="102"/>
      <c r="BS272" s="102"/>
      <c r="BT272" s="102"/>
      <c r="BU272" s="102"/>
      <c r="BV272" s="102"/>
      <c r="BW272" s="102"/>
      <c r="BX272" s="102"/>
      <c r="BY272" s="102"/>
      <c r="BZ272" s="102"/>
      <c r="CA272" s="102"/>
      <c r="CB272" s="102"/>
      <c r="CC272" s="102"/>
      <c r="CD272" s="102"/>
      <c r="CE272" s="102"/>
      <c r="CF272" s="102"/>
      <c r="CG272" s="102"/>
      <c r="CH272" s="102"/>
      <c r="CI272" s="102"/>
      <c r="CJ272" s="102"/>
      <c r="CK272" s="102"/>
      <c r="CL272" s="102"/>
      <c r="CM272" s="102"/>
      <c r="CN272" s="102"/>
      <c r="CO272" s="102"/>
      <c r="CP272" s="102"/>
      <c r="CQ272" s="102"/>
      <c r="CR272" s="102"/>
      <c r="CS272" s="102"/>
      <c r="CT272" s="102"/>
      <c r="CU272" s="102"/>
      <c r="CV272" s="102"/>
      <c r="CW272" s="102"/>
      <c r="CX272" s="102"/>
      <c r="CY272" s="102"/>
      <c r="CZ272" s="102"/>
      <c r="DA272" s="102"/>
      <c r="DB272" s="102"/>
      <c r="DC272" s="102"/>
      <c r="DD272" s="102"/>
      <c r="DE272" s="102"/>
      <c r="DF272" s="102"/>
      <c r="DG272" s="102"/>
      <c r="DH272" s="102"/>
      <c r="DI272" s="102"/>
      <c r="DJ272" s="102"/>
      <c r="DK272" s="102"/>
      <c r="DL272" s="102"/>
      <c r="DM272" s="102"/>
      <c r="DN272" s="102"/>
      <c r="DO272" s="102"/>
      <c r="DP272" s="102"/>
      <c r="DQ272" s="102"/>
      <c r="DR272" s="102"/>
      <c r="DS272" s="102"/>
      <c r="DT272" s="102"/>
      <c r="DU272" s="102"/>
      <c r="DV272" s="102"/>
      <c r="DW272" s="102"/>
      <c r="DX272" s="102"/>
      <c r="DY272" s="102"/>
    </row>
    <row r="273" spans="1:129" s="138" customFormat="1" ht="71.400000000000006" customHeight="1" x14ac:dyDescent="0.3">
      <c r="A273" s="102" t="s">
        <v>31</v>
      </c>
      <c r="B273" s="654" t="s">
        <v>85</v>
      </c>
      <c r="C273" s="167" t="s">
        <v>195</v>
      </c>
      <c r="D273" s="102" t="s">
        <v>34</v>
      </c>
      <c r="E273" s="102">
        <v>16</v>
      </c>
      <c r="F273" s="102" t="s">
        <v>35</v>
      </c>
      <c r="H273" s="5">
        <v>2300</v>
      </c>
      <c r="I273" s="109" t="s">
        <v>36</v>
      </c>
      <c r="J273" s="5">
        <v>2300</v>
      </c>
      <c r="K273" s="1686">
        <v>1940.54</v>
      </c>
      <c r="L273" s="1686">
        <f t="shared" si="1"/>
        <v>1940.54</v>
      </c>
      <c r="M273" s="107" t="s">
        <v>55</v>
      </c>
      <c r="N273" s="107" t="s">
        <v>196</v>
      </c>
      <c r="O273" s="107" t="s">
        <v>189</v>
      </c>
      <c r="P273" s="493"/>
      <c r="Q273" s="494"/>
      <c r="R273" s="493"/>
      <c r="S273" s="494"/>
      <c r="T273" s="493"/>
      <c r="U273" s="494"/>
      <c r="V273" s="493"/>
      <c r="W273" s="494"/>
      <c r="X273" s="493"/>
      <c r="Y273" s="494"/>
      <c r="Z273" s="493"/>
      <c r="AA273" s="494"/>
      <c r="AB273" s="493"/>
      <c r="AC273" s="494"/>
      <c r="AD273" s="106"/>
      <c r="AE273" s="106">
        <v>44638</v>
      </c>
      <c r="AF273" s="107" t="s">
        <v>88</v>
      </c>
      <c r="AG273" s="108">
        <v>2026</v>
      </c>
      <c r="AH273" s="109">
        <v>11500</v>
      </c>
      <c r="AI273" s="109"/>
      <c r="AJ273" s="109"/>
      <c r="AK273" s="102" t="s">
        <v>77</v>
      </c>
      <c r="AL273" s="102" t="s">
        <v>41</v>
      </c>
      <c r="AM273" s="110">
        <v>1</v>
      </c>
      <c r="AN273" s="119"/>
      <c r="AO273" s="102"/>
      <c r="AP273" s="102"/>
      <c r="AQ273" s="102"/>
      <c r="AR273" s="102"/>
      <c r="AS273" s="102"/>
      <c r="AT273" s="102"/>
      <c r="AU273" s="102"/>
      <c r="AV273" s="102"/>
      <c r="AW273" s="102"/>
      <c r="AX273" s="102"/>
      <c r="AY273" s="102"/>
      <c r="AZ273" s="102"/>
      <c r="BA273" s="102"/>
      <c r="BB273" s="102"/>
      <c r="BC273" s="102"/>
      <c r="BD273" s="102"/>
      <c r="BE273" s="102"/>
      <c r="BF273" s="102"/>
      <c r="BG273" s="102"/>
      <c r="BH273" s="102"/>
      <c r="BI273" s="102"/>
      <c r="BJ273" s="102"/>
      <c r="BK273" s="102"/>
      <c r="BL273" s="102"/>
      <c r="BM273" s="102"/>
      <c r="BN273" s="102"/>
      <c r="BO273" s="102"/>
      <c r="BP273" s="102"/>
      <c r="BQ273" s="102"/>
      <c r="BR273" s="102"/>
      <c r="BS273" s="102"/>
      <c r="BT273" s="102"/>
      <c r="BU273" s="102"/>
      <c r="BV273" s="102"/>
      <c r="BW273" s="102"/>
      <c r="BX273" s="102"/>
      <c r="BY273" s="102"/>
      <c r="BZ273" s="102"/>
      <c r="CA273" s="102"/>
      <c r="CB273" s="102"/>
      <c r="CC273" s="102"/>
      <c r="CD273" s="102"/>
      <c r="CE273" s="102"/>
      <c r="CF273" s="102"/>
      <c r="CG273" s="102"/>
      <c r="CH273" s="102"/>
      <c r="CI273" s="102"/>
      <c r="CJ273" s="102"/>
      <c r="CK273" s="102"/>
      <c r="CL273" s="102"/>
      <c r="CM273" s="102"/>
      <c r="CN273" s="102"/>
      <c r="CO273" s="102"/>
      <c r="CP273" s="102"/>
      <c r="CQ273" s="102"/>
      <c r="CR273" s="102"/>
      <c r="CS273" s="102"/>
      <c r="CT273" s="102"/>
      <c r="CU273" s="102"/>
      <c r="CV273" s="102"/>
      <c r="CW273" s="102"/>
      <c r="CX273" s="102"/>
      <c r="CY273" s="102"/>
      <c r="CZ273" s="102"/>
      <c r="DA273" s="102"/>
      <c r="DB273" s="102"/>
      <c r="DC273" s="102"/>
      <c r="DD273" s="102"/>
      <c r="DE273" s="102"/>
      <c r="DF273" s="102"/>
      <c r="DG273" s="102"/>
      <c r="DH273" s="102"/>
      <c r="DI273" s="102"/>
      <c r="DJ273" s="102"/>
      <c r="DK273" s="102"/>
      <c r="DL273" s="102"/>
      <c r="DM273" s="102"/>
      <c r="DN273" s="102"/>
      <c r="DO273" s="102"/>
      <c r="DP273" s="102"/>
      <c r="DQ273" s="102"/>
      <c r="DR273" s="102"/>
      <c r="DS273" s="102"/>
      <c r="DT273" s="102"/>
      <c r="DU273" s="102"/>
      <c r="DV273" s="102"/>
      <c r="DW273" s="102"/>
      <c r="DX273" s="102"/>
      <c r="DY273" s="102"/>
    </row>
    <row r="274" spans="1:129" s="138" customFormat="1" ht="71.400000000000006" customHeight="1" x14ac:dyDescent="0.3">
      <c r="A274" s="102" t="s">
        <v>31</v>
      </c>
      <c r="B274" s="654" t="s">
        <v>85</v>
      </c>
      <c r="C274" s="167" t="s">
        <v>197</v>
      </c>
      <c r="D274" s="102" t="s">
        <v>34</v>
      </c>
      <c r="E274" s="102">
        <v>16</v>
      </c>
      <c r="F274" s="102" t="s">
        <v>35</v>
      </c>
      <c r="H274" s="5">
        <v>2300</v>
      </c>
      <c r="I274" s="109" t="s">
        <v>36</v>
      </c>
      <c r="J274" s="5">
        <v>2300</v>
      </c>
      <c r="K274" s="1686">
        <v>1940.54</v>
      </c>
      <c r="L274" s="1686">
        <f t="shared" si="1"/>
        <v>1940.54</v>
      </c>
      <c r="M274" s="107" t="s">
        <v>55</v>
      </c>
      <c r="N274" s="107" t="s">
        <v>198</v>
      </c>
      <c r="O274" s="107" t="s">
        <v>189</v>
      </c>
      <c r="P274" s="493"/>
      <c r="Q274" s="494"/>
      <c r="R274" s="493"/>
      <c r="S274" s="494"/>
      <c r="T274" s="493"/>
      <c r="U274" s="494"/>
      <c r="V274" s="493"/>
      <c r="W274" s="494"/>
      <c r="X274" s="493"/>
      <c r="Y274" s="494"/>
      <c r="Z274" s="493"/>
      <c r="AA274" s="494"/>
      <c r="AB274" s="493"/>
      <c r="AC274" s="494"/>
      <c r="AD274" s="106"/>
      <c r="AE274" s="106">
        <v>44638</v>
      </c>
      <c r="AF274" s="107" t="s">
        <v>88</v>
      </c>
      <c r="AG274" s="108">
        <v>2026</v>
      </c>
      <c r="AH274" s="109">
        <v>11500</v>
      </c>
      <c r="AI274" s="109"/>
      <c r="AJ274" s="109"/>
      <c r="AK274" s="102" t="s">
        <v>77</v>
      </c>
      <c r="AL274" s="102" t="s">
        <v>41</v>
      </c>
      <c r="AM274" s="110">
        <v>1</v>
      </c>
      <c r="AN274" s="119"/>
      <c r="AO274" s="102"/>
      <c r="AP274" s="102"/>
      <c r="AQ274" s="102"/>
      <c r="AR274" s="102"/>
      <c r="AS274" s="102"/>
      <c r="AT274" s="102"/>
      <c r="AU274" s="102"/>
      <c r="AV274" s="102"/>
      <c r="AW274" s="102"/>
      <c r="AX274" s="102"/>
      <c r="AY274" s="102"/>
      <c r="AZ274" s="102"/>
      <c r="BA274" s="102"/>
      <c r="BB274" s="102"/>
      <c r="BC274" s="102"/>
      <c r="BD274" s="102"/>
      <c r="BE274" s="102"/>
      <c r="BF274" s="102"/>
      <c r="BG274" s="102"/>
      <c r="BH274" s="102"/>
      <c r="BI274" s="102"/>
      <c r="BJ274" s="102"/>
      <c r="BK274" s="102"/>
      <c r="BL274" s="102"/>
      <c r="BM274" s="102"/>
      <c r="BN274" s="102"/>
      <c r="BO274" s="102"/>
      <c r="BP274" s="102"/>
      <c r="BQ274" s="102"/>
      <c r="BR274" s="102"/>
      <c r="BS274" s="102"/>
      <c r="BT274" s="102"/>
      <c r="BU274" s="102"/>
      <c r="BV274" s="102"/>
      <c r="BW274" s="102"/>
      <c r="BX274" s="102"/>
      <c r="BY274" s="102"/>
      <c r="BZ274" s="102"/>
      <c r="CA274" s="102"/>
      <c r="CB274" s="102"/>
      <c r="CC274" s="102"/>
      <c r="CD274" s="102"/>
      <c r="CE274" s="102"/>
      <c r="CF274" s="102"/>
      <c r="CG274" s="102"/>
      <c r="CH274" s="102"/>
      <c r="CI274" s="102"/>
      <c r="CJ274" s="102"/>
      <c r="CK274" s="102"/>
      <c r="CL274" s="102"/>
      <c r="CM274" s="102"/>
      <c r="CN274" s="102"/>
      <c r="CO274" s="102"/>
      <c r="CP274" s="102"/>
      <c r="CQ274" s="102"/>
      <c r="CR274" s="102"/>
      <c r="CS274" s="102"/>
      <c r="CT274" s="102"/>
      <c r="CU274" s="102"/>
      <c r="CV274" s="102"/>
      <c r="CW274" s="102"/>
      <c r="CX274" s="102"/>
      <c r="CY274" s="102"/>
      <c r="CZ274" s="102"/>
      <c r="DA274" s="102"/>
      <c r="DB274" s="102"/>
      <c r="DC274" s="102"/>
      <c r="DD274" s="102"/>
      <c r="DE274" s="102"/>
      <c r="DF274" s="102"/>
      <c r="DG274" s="102"/>
      <c r="DH274" s="102"/>
      <c r="DI274" s="102"/>
      <c r="DJ274" s="102"/>
      <c r="DK274" s="102"/>
      <c r="DL274" s="102"/>
      <c r="DM274" s="102"/>
      <c r="DN274" s="102"/>
      <c r="DO274" s="102"/>
      <c r="DP274" s="102"/>
      <c r="DQ274" s="102"/>
      <c r="DR274" s="102"/>
      <c r="DS274" s="102"/>
      <c r="DT274" s="102"/>
      <c r="DU274" s="102"/>
      <c r="DV274" s="102"/>
      <c r="DW274" s="102"/>
      <c r="DX274" s="102"/>
      <c r="DY274" s="102"/>
    </row>
    <row r="275" spans="1:129" s="138" customFormat="1" ht="71.400000000000006" customHeight="1" x14ac:dyDescent="0.3">
      <c r="A275" s="102" t="s">
        <v>31</v>
      </c>
      <c r="B275" s="111" t="s">
        <v>85</v>
      </c>
      <c r="C275" s="167" t="s">
        <v>199</v>
      </c>
      <c r="D275" s="102" t="s">
        <v>34</v>
      </c>
      <c r="E275" s="102">
        <v>16</v>
      </c>
      <c r="F275" s="102" t="s">
        <v>35</v>
      </c>
      <c r="H275" s="5">
        <v>2020</v>
      </c>
      <c r="I275" s="109" t="s">
        <v>36</v>
      </c>
      <c r="J275" s="5">
        <v>2020</v>
      </c>
      <c r="K275" s="1686">
        <v>1704.3</v>
      </c>
      <c r="L275" s="1686">
        <f t="shared" si="1"/>
        <v>1704.3</v>
      </c>
      <c r="M275" s="107" t="s">
        <v>200</v>
      </c>
      <c r="N275" s="107" t="s">
        <v>201</v>
      </c>
      <c r="O275" s="107" t="s">
        <v>189</v>
      </c>
      <c r="P275" s="493"/>
      <c r="Q275" s="494"/>
      <c r="R275" s="493"/>
      <c r="S275" s="494"/>
      <c r="T275" s="493"/>
      <c r="U275" s="494"/>
      <c r="V275" s="493"/>
      <c r="W275" s="494"/>
      <c r="X275" s="493"/>
      <c r="Y275" s="494"/>
      <c r="Z275" s="493"/>
      <c r="AA275" s="494"/>
      <c r="AB275" s="493"/>
      <c r="AC275" s="494"/>
      <c r="AD275" s="106"/>
      <c r="AE275" s="106">
        <v>44638</v>
      </c>
      <c r="AF275" s="107" t="s">
        <v>88</v>
      </c>
      <c r="AG275" s="108">
        <v>2026</v>
      </c>
      <c r="AH275" s="109">
        <v>10100</v>
      </c>
      <c r="AI275" s="109"/>
      <c r="AJ275" s="109"/>
      <c r="AK275" s="102" t="s">
        <v>77</v>
      </c>
      <c r="AL275" s="102" t="s">
        <v>41</v>
      </c>
      <c r="AM275" s="110">
        <v>1</v>
      </c>
      <c r="AN275" s="119" t="s">
        <v>40</v>
      </c>
      <c r="AO275" s="102"/>
      <c r="AP275" s="102"/>
      <c r="AQ275" s="102"/>
      <c r="AR275" s="102"/>
      <c r="AS275" s="102"/>
      <c r="AT275" s="102"/>
      <c r="AU275" s="102"/>
      <c r="AV275" s="102"/>
      <c r="AW275" s="102"/>
      <c r="AX275" s="102"/>
      <c r="AY275" s="102"/>
      <c r="AZ275" s="102"/>
      <c r="BA275" s="102"/>
      <c r="BB275" s="102"/>
      <c r="BC275" s="102"/>
      <c r="BD275" s="102"/>
      <c r="BE275" s="102"/>
      <c r="BF275" s="102"/>
      <c r="BG275" s="102"/>
      <c r="BH275" s="102"/>
      <c r="BI275" s="102"/>
      <c r="BJ275" s="102"/>
      <c r="BK275" s="102"/>
      <c r="BL275" s="102"/>
      <c r="BM275" s="102"/>
      <c r="BN275" s="102"/>
      <c r="BO275" s="102"/>
      <c r="BP275" s="102"/>
      <c r="BQ275" s="102"/>
      <c r="BR275" s="102"/>
      <c r="BS275" s="102"/>
      <c r="BT275" s="102"/>
      <c r="BU275" s="102"/>
      <c r="BV275" s="102"/>
      <c r="BW275" s="102"/>
      <c r="BX275" s="102"/>
      <c r="BY275" s="102"/>
      <c r="BZ275" s="102"/>
      <c r="CA275" s="102"/>
      <c r="CB275" s="102"/>
      <c r="CC275" s="102"/>
      <c r="CD275" s="102"/>
      <c r="CE275" s="102"/>
      <c r="CF275" s="102"/>
      <c r="CG275" s="102"/>
      <c r="CH275" s="102"/>
      <c r="CI275" s="102"/>
      <c r="CJ275" s="102"/>
      <c r="CK275" s="102"/>
      <c r="CL275" s="102"/>
      <c r="CM275" s="102"/>
      <c r="CN275" s="102"/>
      <c r="CO275" s="102"/>
      <c r="CP275" s="102"/>
      <c r="CQ275" s="102"/>
      <c r="CR275" s="102"/>
      <c r="CS275" s="102"/>
      <c r="CT275" s="102"/>
      <c r="CU275" s="102"/>
      <c r="CV275" s="102"/>
      <c r="CW275" s="102"/>
      <c r="CX275" s="102"/>
      <c r="CY275" s="102"/>
      <c r="CZ275" s="102"/>
      <c r="DA275" s="102"/>
      <c r="DB275" s="102"/>
      <c r="DC275" s="102"/>
      <c r="DD275" s="102"/>
      <c r="DE275" s="102"/>
      <c r="DF275" s="102"/>
      <c r="DG275" s="102"/>
      <c r="DH275" s="102"/>
      <c r="DI275" s="102"/>
      <c r="DJ275" s="102"/>
      <c r="DK275" s="102"/>
      <c r="DL275" s="102"/>
      <c r="DM275" s="102"/>
      <c r="DN275" s="102"/>
      <c r="DO275" s="102"/>
      <c r="DP275" s="102"/>
      <c r="DQ275" s="102"/>
      <c r="DR275" s="102"/>
      <c r="DS275" s="102"/>
      <c r="DT275" s="102"/>
      <c r="DU275" s="102"/>
      <c r="DV275" s="102"/>
      <c r="DW275" s="102"/>
      <c r="DX275" s="102"/>
      <c r="DY275" s="102"/>
    </row>
    <row r="276" spans="1:129" s="138" customFormat="1" ht="71.400000000000006" customHeight="1" x14ac:dyDescent="0.3">
      <c r="A276" s="102" t="s">
        <v>31</v>
      </c>
      <c r="B276" s="111" t="s">
        <v>85</v>
      </c>
      <c r="C276" s="167" t="s">
        <v>202</v>
      </c>
      <c r="D276" s="102" t="s">
        <v>34</v>
      </c>
      <c r="E276" s="102">
        <v>16</v>
      </c>
      <c r="F276" s="102" t="s">
        <v>35</v>
      </c>
      <c r="H276" s="5">
        <v>1990</v>
      </c>
      <c r="I276" s="109" t="s">
        <v>36</v>
      </c>
      <c r="J276" s="5">
        <v>1990</v>
      </c>
      <c r="K276" s="1686">
        <v>1678.98</v>
      </c>
      <c r="L276" s="1686">
        <f t="shared" si="1"/>
        <v>1678.98</v>
      </c>
      <c r="M276" s="107" t="s">
        <v>203</v>
      </c>
      <c r="N276" s="107" t="s">
        <v>204</v>
      </c>
      <c r="O276" s="107" t="s">
        <v>189</v>
      </c>
      <c r="P276" s="493"/>
      <c r="Q276" s="494"/>
      <c r="R276" s="493"/>
      <c r="S276" s="494"/>
      <c r="T276" s="493"/>
      <c r="U276" s="494"/>
      <c r="V276" s="493"/>
      <c r="W276" s="494"/>
      <c r="X276" s="493"/>
      <c r="Y276" s="494"/>
      <c r="Z276" s="493"/>
      <c r="AA276" s="494"/>
      <c r="AB276" s="493"/>
      <c r="AC276" s="494"/>
      <c r="AD276" s="106"/>
      <c r="AE276" s="106">
        <v>44638</v>
      </c>
      <c r="AF276" s="107" t="s">
        <v>88</v>
      </c>
      <c r="AG276" s="108">
        <v>2026</v>
      </c>
      <c r="AH276" s="109">
        <v>9950</v>
      </c>
      <c r="AI276" s="109"/>
      <c r="AJ276" s="109"/>
      <c r="AK276" s="102" t="s">
        <v>77</v>
      </c>
      <c r="AL276" s="102" t="s">
        <v>41</v>
      </c>
      <c r="AM276" s="110">
        <v>1</v>
      </c>
      <c r="AN276" s="119" t="s">
        <v>40</v>
      </c>
      <c r="AO276" s="102"/>
      <c r="AP276" s="102"/>
      <c r="AQ276" s="102"/>
      <c r="AR276" s="102"/>
      <c r="AS276" s="102"/>
      <c r="AT276" s="102"/>
      <c r="AU276" s="102"/>
      <c r="AV276" s="102"/>
      <c r="AW276" s="102"/>
      <c r="AX276" s="102"/>
      <c r="AY276" s="102"/>
      <c r="AZ276" s="102"/>
      <c r="BA276" s="102"/>
      <c r="BB276" s="102"/>
      <c r="BC276" s="102"/>
      <c r="BD276" s="102"/>
      <c r="BE276" s="102"/>
      <c r="BF276" s="102"/>
      <c r="BG276" s="102"/>
      <c r="BH276" s="102"/>
      <c r="BI276" s="102"/>
      <c r="BJ276" s="102"/>
      <c r="BK276" s="102"/>
      <c r="BL276" s="102"/>
      <c r="BM276" s="102"/>
      <c r="BN276" s="102"/>
      <c r="BO276" s="102"/>
      <c r="BP276" s="102"/>
      <c r="BQ276" s="102"/>
      <c r="BR276" s="102"/>
      <c r="BS276" s="102"/>
      <c r="BT276" s="102"/>
      <c r="BU276" s="102"/>
      <c r="BV276" s="102"/>
      <c r="BW276" s="102"/>
      <c r="BX276" s="102"/>
      <c r="BY276" s="102"/>
      <c r="BZ276" s="102"/>
      <c r="CA276" s="102"/>
      <c r="CB276" s="102"/>
      <c r="CC276" s="102"/>
      <c r="CD276" s="102"/>
      <c r="CE276" s="102"/>
      <c r="CF276" s="102"/>
      <c r="CG276" s="102"/>
      <c r="CH276" s="102"/>
      <c r="CI276" s="102"/>
      <c r="CJ276" s="102"/>
      <c r="CK276" s="102"/>
      <c r="CL276" s="102"/>
      <c r="CM276" s="102"/>
      <c r="CN276" s="102"/>
      <c r="CO276" s="102"/>
      <c r="CP276" s="102"/>
      <c r="CQ276" s="102"/>
      <c r="CR276" s="102"/>
      <c r="CS276" s="102"/>
      <c r="CT276" s="102"/>
      <c r="CU276" s="102"/>
      <c r="CV276" s="102"/>
      <c r="CW276" s="102"/>
      <c r="CX276" s="102"/>
      <c r="CY276" s="102"/>
      <c r="CZ276" s="102"/>
      <c r="DA276" s="102"/>
      <c r="DB276" s="102"/>
      <c r="DC276" s="102"/>
      <c r="DD276" s="102"/>
      <c r="DE276" s="102"/>
      <c r="DF276" s="102"/>
      <c r="DG276" s="102"/>
      <c r="DH276" s="102"/>
      <c r="DI276" s="102"/>
      <c r="DJ276" s="102"/>
      <c r="DK276" s="102"/>
      <c r="DL276" s="102"/>
      <c r="DM276" s="102"/>
      <c r="DN276" s="102"/>
      <c r="DO276" s="102"/>
      <c r="DP276" s="102"/>
      <c r="DQ276" s="102"/>
      <c r="DR276" s="102"/>
      <c r="DS276" s="102"/>
      <c r="DT276" s="102"/>
      <c r="DU276" s="102"/>
      <c r="DV276" s="102"/>
      <c r="DW276" s="102"/>
      <c r="DX276" s="102"/>
      <c r="DY276" s="102"/>
    </row>
    <row r="277" spans="1:129" s="138" customFormat="1" ht="70.95" customHeight="1" x14ac:dyDescent="0.3">
      <c r="A277" s="102" t="s">
        <v>31</v>
      </c>
      <c r="B277" s="111" t="s">
        <v>85</v>
      </c>
      <c r="C277" s="167" t="s">
        <v>205</v>
      </c>
      <c r="D277" s="102" t="s">
        <v>34</v>
      </c>
      <c r="E277" s="102">
        <v>16</v>
      </c>
      <c r="F277" s="102" t="s">
        <v>35</v>
      </c>
      <c r="H277" s="5">
        <v>164800</v>
      </c>
      <c r="I277" s="109" t="s">
        <v>36</v>
      </c>
      <c r="J277" s="5">
        <v>164800</v>
      </c>
      <c r="K277" s="1686">
        <v>119132.53</v>
      </c>
      <c r="L277" s="1686">
        <f t="shared" si="1"/>
        <v>119132.53</v>
      </c>
      <c r="M277" s="107" t="s">
        <v>203</v>
      </c>
      <c r="N277" s="107" t="s">
        <v>204</v>
      </c>
      <c r="O277" s="107" t="s">
        <v>189</v>
      </c>
      <c r="P277" s="493"/>
      <c r="Q277" s="494"/>
      <c r="R277" s="493"/>
      <c r="S277" s="494"/>
      <c r="T277" s="493"/>
      <c r="U277" s="494"/>
      <c r="V277" s="493"/>
      <c r="W277" s="494"/>
      <c r="X277" s="493"/>
      <c r="Y277" s="494"/>
      <c r="Z277" s="493"/>
      <c r="AA277" s="494"/>
      <c r="AB277" s="493"/>
      <c r="AC277" s="494"/>
      <c r="AD277" s="112"/>
      <c r="AE277" s="112" t="s">
        <v>206</v>
      </c>
      <c r="AF277" s="107" t="s">
        <v>65</v>
      </c>
      <c r="AG277" s="108">
        <v>2023</v>
      </c>
      <c r="AH277" s="109">
        <v>824000</v>
      </c>
      <c r="AI277" s="109"/>
      <c r="AJ277" s="109"/>
      <c r="AK277" s="102" t="s">
        <v>43</v>
      </c>
      <c r="AL277" s="102" t="s">
        <v>41</v>
      </c>
      <c r="AM277" s="110">
        <v>0.9</v>
      </c>
      <c r="AN277" s="119" t="s">
        <v>40</v>
      </c>
      <c r="AO277" s="102"/>
      <c r="AP277" s="102"/>
      <c r="AQ277" s="102"/>
      <c r="AR277" s="102"/>
      <c r="AS277" s="102"/>
      <c r="AT277" s="102"/>
      <c r="AU277" s="102"/>
      <c r="AV277" s="102"/>
      <c r="AW277" s="102"/>
      <c r="AX277" s="102"/>
      <c r="AY277" s="102"/>
      <c r="AZ277" s="102"/>
      <c r="BA277" s="102"/>
      <c r="BB277" s="102"/>
      <c r="BC277" s="102"/>
      <c r="BD277" s="102"/>
      <c r="BE277" s="102"/>
      <c r="BF277" s="102"/>
      <c r="BG277" s="102"/>
      <c r="BH277" s="102"/>
      <c r="BI277" s="102"/>
      <c r="BJ277" s="102"/>
      <c r="BK277" s="102"/>
      <c r="BL277" s="102"/>
      <c r="BM277" s="102"/>
      <c r="BN277" s="102"/>
      <c r="BO277" s="102"/>
      <c r="BP277" s="102"/>
      <c r="BQ277" s="102"/>
      <c r="BR277" s="102"/>
      <c r="BS277" s="102"/>
      <c r="BT277" s="102"/>
      <c r="BU277" s="102"/>
      <c r="BV277" s="102"/>
      <c r="BW277" s="102"/>
      <c r="BX277" s="102"/>
      <c r="BY277" s="102"/>
      <c r="BZ277" s="102"/>
      <c r="CA277" s="102"/>
      <c r="CB277" s="102"/>
      <c r="CC277" s="102"/>
      <c r="CD277" s="102"/>
      <c r="CE277" s="102"/>
      <c r="CF277" s="102"/>
      <c r="CG277" s="102"/>
      <c r="CH277" s="102"/>
      <c r="CI277" s="102"/>
      <c r="CJ277" s="102"/>
      <c r="CK277" s="102"/>
      <c r="CL277" s="102"/>
      <c r="CM277" s="102"/>
      <c r="CN277" s="102"/>
      <c r="CO277" s="102"/>
      <c r="CP277" s="102"/>
      <c r="CQ277" s="102"/>
      <c r="CR277" s="102"/>
      <c r="CS277" s="102"/>
      <c r="CT277" s="102"/>
      <c r="CU277" s="102"/>
      <c r="CV277" s="102"/>
      <c r="CW277" s="102"/>
      <c r="CX277" s="102"/>
      <c r="CY277" s="102"/>
      <c r="CZ277" s="102"/>
      <c r="DA277" s="102"/>
      <c r="DB277" s="102"/>
      <c r="DC277" s="102"/>
      <c r="DD277" s="102"/>
      <c r="DE277" s="102"/>
      <c r="DF277" s="102"/>
      <c r="DG277" s="102"/>
      <c r="DH277" s="102"/>
      <c r="DI277" s="102"/>
      <c r="DJ277" s="102"/>
      <c r="DK277" s="102"/>
      <c r="DL277" s="102"/>
      <c r="DM277" s="102"/>
      <c r="DN277" s="102"/>
      <c r="DO277" s="102"/>
      <c r="DP277" s="102"/>
      <c r="DQ277" s="102"/>
      <c r="DR277" s="102"/>
      <c r="DS277" s="102"/>
      <c r="DT277" s="102"/>
      <c r="DU277" s="102"/>
      <c r="DV277" s="102"/>
      <c r="DW277" s="102"/>
      <c r="DX277" s="102"/>
      <c r="DY277" s="102"/>
    </row>
    <row r="278" spans="1:129" s="138" customFormat="1" ht="58.95" customHeight="1" x14ac:dyDescent="0.3">
      <c r="A278" s="102" t="s">
        <v>31</v>
      </c>
      <c r="B278" s="111" t="s">
        <v>85</v>
      </c>
      <c r="C278" s="167" t="s">
        <v>207</v>
      </c>
      <c r="D278" s="102" t="s">
        <v>34</v>
      </c>
      <c r="E278" s="102">
        <v>16</v>
      </c>
      <c r="F278" s="102" t="s">
        <v>35</v>
      </c>
      <c r="H278" s="5">
        <v>2180</v>
      </c>
      <c r="I278" s="109" t="s">
        <v>36</v>
      </c>
      <c r="J278" s="5">
        <v>2180</v>
      </c>
      <c r="K278" s="1686">
        <v>1839.29</v>
      </c>
      <c r="L278" s="1686">
        <f t="shared" si="1"/>
        <v>1839.29</v>
      </c>
      <c r="M278" s="107" t="s">
        <v>200</v>
      </c>
      <c r="N278" s="107" t="s">
        <v>208</v>
      </c>
      <c r="O278" s="107" t="s">
        <v>189</v>
      </c>
      <c r="P278" s="493"/>
      <c r="Q278" s="494"/>
      <c r="R278" s="493"/>
      <c r="S278" s="494"/>
      <c r="T278" s="493"/>
      <c r="U278" s="494"/>
      <c r="V278" s="493"/>
      <c r="W278" s="494"/>
      <c r="X278" s="493"/>
      <c r="Y278" s="494"/>
      <c r="Z278" s="493"/>
      <c r="AA278" s="494"/>
      <c r="AB278" s="493"/>
      <c r="AC278" s="494"/>
      <c r="AD278" s="106"/>
      <c r="AE278" s="106">
        <v>44638</v>
      </c>
      <c r="AF278" s="107" t="s">
        <v>88</v>
      </c>
      <c r="AG278" s="108">
        <v>2026</v>
      </c>
      <c r="AH278" s="109">
        <v>10900</v>
      </c>
      <c r="AI278" s="109"/>
      <c r="AJ278" s="109"/>
      <c r="AK278" s="102" t="s">
        <v>77</v>
      </c>
      <c r="AL278" s="102" t="s">
        <v>41</v>
      </c>
      <c r="AM278" s="110">
        <v>1</v>
      </c>
      <c r="AN278" s="119"/>
      <c r="AO278" s="102"/>
      <c r="AP278" s="102"/>
      <c r="AQ278" s="102"/>
      <c r="AR278" s="102"/>
      <c r="AS278" s="102"/>
      <c r="AT278" s="102"/>
      <c r="AU278" s="102"/>
      <c r="AV278" s="102"/>
      <c r="AW278" s="102"/>
      <c r="AX278" s="102"/>
      <c r="AY278" s="102"/>
      <c r="AZ278" s="102"/>
      <c r="BA278" s="102"/>
      <c r="BB278" s="102"/>
      <c r="BC278" s="102"/>
      <c r="BD278" s="102"/>
      <c r="BE278" s="102"/>
      <c r="BF278" s="102"/>
      <c r="BG278" s="102"/>
      <c r="BH278" s="102"/>
      <c r="BI278" s="102"/>
      <c r="BJ278" s="102"/>
      <c r="BK278" s="102"/>
      <c r="BL278" s="102"/>
      <c r="BM278" s="102"/>
      <c r="BN278" s="102"/>
      <c r="BO278" s="102"/>
      <c r="BP278" s="102"/>
      <c r="BQ278" s="102"/>
      <c r="BR278" s="102"/>
      <c r="BS278" s="102"/>
      <c r="BT278" s="102"/>
      <c r="BU278" s="102"/>
      <c r="BV278" s="102"/>
      <c r="BW278" s="102"/>
      <c r="BX278" s="102"/>
      <c r="BY278" s="102"/>
      <c r="BZ278" s="102"/>
      <c r="CA278" s="102"/>
      <c r="CB278" s="102"/>
      <c r="CC278" s="102"/>
      <c r="CD278" s="102"/>
      <c r="CE278" s="102"/>
      <c r="CF278" s="102"/>
      <c r="CG278" s="102"/>
      <c r="CH278" s="102"/>
      <c r="CI278" s="102"/>
      <c r="CJ278" s="102"/>
      <c r="CK278" s="102"/>
      <c r="CL278" s="102"/>
      <c r="CM278" s="102"/>
      <c r="CN278" s="102"/>
      <c r="CO278" s="102"/>
      <c r="CP278" s="102"/>
      <c r="CQ278" s="102"/>
      <c r="CR278" s="102"/>
      <c r="CS278" s="102"/>
      <c r="CT278" s="102"/>
      <c r="CU278" s="102"/>
      <c r="CV278" s="102"/>
      <c r="CW278" s="102"/>
      <c r="CX278" s="102"/>
      <c r="CY278" s="102"/>
      <c r="CZ278" s="102"/>
      <c r="DA278" s="102"/>
      <c r="DB278" s="102"/>
      <c r="DC278" s="102"/>
      <c r="DD278" s="102"/>
      <c r="DE278" s="102"/>
      <c r="DF278" s="102"/>
      <c r="DG278" s="102"/>
      <c r="DH278" s="102"/>
      <c r="DI278" s="102"/>
      <c r="DJ278" s="102"/>
      <c r="DK278" s="102"/>
      <c r="DL278" s="102"/>
      <c r="DM278" s="102"/>
      <c r="DN278" s="102"/>
      <c r="DO278" s="102"/>
      <c r="DP278" s="102"/>
      <c r="DQ278" s="102"/>
      <c r="DR278" s="102"/>
      <c r="DS278" s="102"/>
      <c r="DT278" s="102"/>
      <c r="DU278" s="102"/>
      <c r="DV278" s="102"/>
      <c r="DW278" s="102"/>
      <c r="DX278" s="102"/>
      <c r="DY278" s="102"/>
    </row>
    <row r="279" spans="1:129" s="138" customFormat="1" ht="58.95" customHeight="1" x14ac:dyDescent="0.3">
      <c r="A279" s="102" t="s">
        <v>31</v>
      </c>
      <c r="B279" s="111" t="s">
        <v>85</v>
      </c>
      <c r="C279" s="167" t="s">
        <v>209</v>
      </c>
      <c r="D279" s="102" t="s">
        <v>34</v>
      </c>
      <c r="E279" s="102">
        <v>16</v>
      </c>
      <c r="F279" s="102" t="s">
        <v>35</v>
      </c>
      <c r="H279" s="5">
        <v>1980</v>
      </c>
      <c r="I279" s="109" t="s">
        <v>36</v>
      </c>
      <c r="J279" s="5">
        <v>1980</v>
      </c>
      <c r="K279" s="1686">
        <v>1670.55</v>
      </c>
      <c r="L279" s="1686">
        <f t="shared" si="1"/>
        <v>1670.55</v>
      </c>
      <c r="M279" s="107" t="s">
        <v>200</v>
      </c>
      <c r="N279" s="107" t="s">
        <v>210</v>
      </c>
      <c r="O279" s="107" t="s">
        <v>189</v>
      </c>
      <c r="P279" s="493"/>
      <c r="Q279" s="494"/>
      <c r="R279" s="493"/>
      <c r="S279" s="494"/>
      <c r="T279" s="493"/>
      <c r="U279" s="494"/>
      <c r="V279" s="493"/>
      <c r="W279" s="494"/>
      <c r="X279" s="493"/>
      <c r="Y279" s="494"/>
      <c r="Z279" s="493"/>
      <c r="AA279" s="494"/>
      <c r="AB279" s="493"/>
      <c r="AC279" s="494"/>
      <c r="AD279" s="106"/>
      <c r="AE279" s="106">
        <v>44638</v>
      </c>
      <c r="AF279" s="107" t="s">
        <v>88</v>
      </c>
      <c r="AG279" s="108">
        <v>2026</v>
      </c>
      <c r="AH279" s="109">
        <v>9900</v>
      </c>
      <c r="AI279" s="109"/>
      <c r="AJ279" s="109"/>
      <c r="AK279" s="102" t="s">
        <v>77</v>
      </c>
      <c r="AL279" s="102" t="s">
        <v>41</v>
      </c>
      <c r="AM279" s="110">
        <v>1</v>
      </c>
      <c r="AN279" s="119" t="s">
        <v>40</v>
      </c>
      <c r="AO279" s="102"/>
      <c r="AP279" s="102"/>
      <c r="AQ279" s="102"/>
      <c r="AR279" s="102"/>
      <c r="AS279" s="102"/>
      <c r="AT279" s="102"/>
      <c r="AU279" s="102"/>
      <c r="AV279" s="102"/>
      <c r="AW279" s="102"/>
      <c r="AX279" s="102"/>
      <c r="AY279" s="102"/>
      <c r="AZ279" s="102"/>
      <c r="BA279" s="102"/>
      <c r="BB279" s="102"/>
      <c r="BC279" s="102"/>
      <c r="BD279" s="102"/>
      <c r="BE279" s="102"/>
      <c r="BF279" s="102"/>
      <c r="BG279" s="102"/>
      <c r="BH279" s="102"/>
      <c r="BI279" s="102"/>
      <c r="BJ279" s="102"/>
      <c r="BK279" s="102"/>
      <c r="BL279" s="102"/>
      <c r="BM279" s="102"/>
      <c r="BN279" s="102"/>
      <c r="BO279" s="102"/>
      <c r="BP279" s="102"/>
      <c r="BQ279" s="102"/>
      <c r="BR279" s="102"/>
      <c r="BS279" s="102"/>
      <c r="BT279" s="102"/>
      <c r="BU279" s="102"/>
      <c r="BV279" s="102"/>
      <c r="BW279" s="102"/>
      <c r="BX279" s="102"/>
      <c r="BY279" s="102"/>
      <c r="BZ279" s="102"/>
      <c r="CA279" s="102"/>
      <c r="CB279" s="102"/>
      <c r="CC279" s="102"/>
      <c r="CD279" s="102"/>
      <c r="CE279" s="102"/>
      <c r="CF279" s="102"/>
      <c r="CG279" s="102"/>
      <c r="CH279" s="102"/>
      <c r="CI279" s="102"/>
      <c r="CJ279" s="102"/>
      <c r="CK279" s="102"/>
      <c r="CL279" s="102"/>
      <c r="CM279" s="102"/>
      <c r="CN279" s="102"/>
      <c r="CO279" s="102"/>
      <c r="CP279" s="102"/>
      <c r="CQ279" s="102"/>
      <c r="CR279" s="102"/>
      <c r="CS279" s="102"/>
      <c r="CT279" s="102"/>
      <c r="CU279" s="102"/>
      <c r="CV279" s="102"/>
      <c r="CW279" s="102"/>
      <c r="CX279" s="102"/>
      <c r="CY279" s="102"/>
      <c r="CZ279" s="102"/>
      <c r="DA279" s="102"/>
      <c r="DB279" s="102"/>
      <c r="DC279" s="102"/>
      <c r="DD279" s="102"/>
      <c r="DE279" s="102"/>
      <c r="DF279" s="102"/>
      <c r="DG279" s="102"/>
      <c r="DH279" s="102"/>
      <c r="DI279" s="102"/>
      <c r="DJ279" s="102"/>
      <c r="DK279" s="102"/>
      <c r="DL279" s="102"/>
      <c r="DM279" s="102"/>
      <c r="DN279" s="102"/>
      <c r="DO279" s="102"/>
      <c r="DP279" s="102"/>
      <c r="DQ279" s="102"/>
      <c r="DR279" s="102"/>
      <c r="DS279" s="102"/>
      <c r="DT279" s="102"/>
      <c r="DU279" s="102"/>
      <c r="DV279" s="102"/>
      <c r="DW279" s="102"/>
      <c r="DX279" s="102"/>
      <c r="DY279" s="102"/>
    </row>
    <row r="280" spans="1:129" s="138" customFormat="1" ht="58.95" customHeight="1" x14ac:dyDescent="0.3">
      <c r="A280" s="102" t="s">
        <v>31</v>
      </c>
      <c r="B280" s="111" t="s">
        <v>85</v>
      </c>
      <c r="C280" s="167" t="s">
        <v>211</v>
      </c>
      <c r="D280" s="102" t="s">
        <v>34</v>
      </c>
      <c r="E280" s="102">
        <v>16</v>
      </c>
      <c r="F280" s="102" t="s">
        <v>35</v>
      </c>
      <c r="H280" s="5">
        <v>165000</v>
      </c>
      <c r="I280" s="109" t="s">
        <v>36</v>
      </c>
      <c r="J280" s="5">
        <v>165000</v>
      </c>
      <c r="K280" s="1686">
        <v>119277.11</v>
      </c>
      <c r="L280" s="1686">
        <f t="shared" si="1"/>
        <v>119277.11</v>
      </c>
      <c r="M280" s="107" t="s">
        <v>200</v>
      </c>
      <c r="N280" s="107" t="s">
        <v>210</v>
      </c>
      <c r="O280" s="107" t="s">
        <v>189</v>
      </c>
      <c r="P280" s="493"/>
      <c r="Q280" s="494"/>
      <c r="R280" s="493"/>
      <c r="S280" s="494"/>
      <c r="T280" s="493"/>
      <c r="U280" s="494"/>
      <c r="V280" s="493"/>
      <c r="W280" s="494"/>
      <c r="X280" s="493"/>
      <c r="Y280" s="494"/>
      <c r="Z280" s="493"/>
      <c r="AA280" s="494"/>
      <c r="AB280" s="493"/>
      <c r="AC280" s="494"/>
      <c r="AD280" s="112"/>
      <c r="AE280" s="106">
        <v>45107</v>
      </c>
      <c r="AF280" s="107" t="s">
        <v>65</v>
      </c>
      <c r="AG280" s="108">
        <v>2023</v>
      </c>
      <c r="AH280" s="109">
        <v>825000</v>
      </c>
      <c r="AI280" s="109"/>
      <c r="AJ280" s="109"/>
      <c r="AK280" s="102" t="s">
        <v>43</v>
      </c>
      <c r="AL280" s="102" t="s">
        <v>41</v>
      </c>
      <c r="AM280" s="110">
        <v>0.9</v>
      </c>
      <c r="AN280" s="119" t="s">
        <v>40</v>
      </c>
      <c r="AO280" s="102"/>
      <c r="AP280" s="102"/>
      <c r="AQ280" s="102"/>
      <c r="AR280" s="102"/>
      <c r="AS280" s="102"/>
      <c r="AT280" s="102"/>
      <c r="AU280" s="102"/>
      <c r="AV280" s="102"/>
      <c r="AW280" s="102"/>
      <c r="AX280" s="102"/>
      <c r="AY280" s="102"/>
      <c r="AZ280" s="102"/>
      <c r="BA280" s="102"/>
      <c r="BB280" s="102"/>
      <c r="BC280" s="102"/>
      <c r="BD280" s="102"/>
      <c r="BE280" s="102"/>
      <c r="BF280" s="102"/>
      <c r="BG280" s="102"/>
      <c r="BH280" s="102"/>
      <c r="BI280" s="102"/>
      <c r="BJ280" s="102"/>
      <c r="BK280" s="102"/>
      <c r="BL280" s="102"/>
      <c r="BM280" s="102"/>
      <c r="BN280" s="102"/>
      <c r="BO280" s="102"/>
      <c r="BP280" s="102"/>
      <c r="BQ280" s="102"/>
      <c r="BR280" s="102"/>
      <c r="BS280" s="102"/>
      <c r="BT280" s="102"/>
      <c r="BU280" s="102"/>
      <c r="BV280" s="102"/>
      <c r="BW280" s="102"/>
      <c r="BX280" s="102"/>
      <c r="BY280" s="102"/>
      <c r="BZ280" s="102"/>
      <c r="CA280" s="102"/>
      <c r="CB280" s="102"/>
      <c r="CC280" s="102"/>
      <c r="CD280" s="102"/>
      <c r="CE280" s="102"/>
      <c r="CF280" s="102"/>
      <c r="CG280" s="102"/>
      <c r="CH280" s="102"/>
      <c r="CI280" s="102"/>
      <c r="CJ280" s="102"/>
      <c r="CK280" s="102"/>
      <c r="CL280" s="102"/>
      <c r="CM280" s="102"/>
      <c r="CN280" s="102"/>
      <c r="CO280" s="102"/>
      <c r="CP280" s="102"/>
      <c r="CQ280" s="102"/>
      <c r="CR280" s="102"/>
      <c r="CS280" s="102"/>
      <c r="CT280" s="102"/>
      <c r="CU280" s="102"/>
      <c r="CV280" s="102"/>
      <c r="CW280" s="102"/>
      <c r="CX280" s="102"/>
      <c r="CY280" s="102"/>
      <c r="CZ280" s="102"/>
      <c r="DA280" s="102"/>
      <c r="DB280" s="102"/>
      <c r="DC280" s="102"/>
      <c r="DD280" s="102"/>
      <c r="DE280" s="102"/>
      <c r="DF280" s="102"/>
      <c r="DG280" s="102"/>
      <c r="DH280" s="102"/>
      <c r="DI280" s="102"/>
      <c r="DJ280" s="102"/>
      <c r="DK280" s="102"/>
      <c r="DL280" s="102"/>
      <c r="DM280" s="102"/>
      <c r="DN280" s="102"/>
      <c r="DO280" s="102"/>
      <c r="DP280" s="102"/>
      <c r="DQ280" s="102"/>
      <c r="DR280" s="102"/>
      <c r="DS280" s="102"/>
      <c r="DT280" s="102"/>
      <c r="DU280" s="102"/>
      <c r="DV280" s="102"/>
      <c r="DW280" s="102"/>
      <c r="DX280" s="102"/>
      <c r="DY280" s="102"/>
    </row>
    <row r="281" spans="1:129" s="138" customFormat="1" ht="58.95" customHeight="1" x14ac:dyDescent="0.3">
      <c r="A281" s="102" t="s">
        <v>31</v>
      </c>
      <c r="B281" s="111" t="s">
        <v>85</v>
      </c>
      <c r="C281" s="167" t="s">
        <v>212</v>
      </c>
      <c r="D281" s="102" t="s">
        <v>34</v>
      </c>
      <c r="E281" s="102">
        <v>16</v>
      </c>
      <c r="F281" s="102" t="s">
        <v>35</v>
      </c>
      <c r="H281" s="5">
        <v>2550</v>
      </c>
      <c r="I281" s="109" t="s">
        <v>36</v>
      </c>
      <c r="J281" s="5">
        <v>2550</v>
      </c>
      <c r="K281" s="1686">
        <v>2560.2399999999998</v>
      </c>
      <c r="L281" s="1686">
        <f t="shared" si="1"/>
        <v>2560.2399999999998</v>
      </c>
      <c r="M281" s="659" t="s">
        <v>200</v>
      </c>
      <c r="N281" s="660" t="s">
        <v>213</v>
      </c>
      <c r="O281" s="107" t="s">
        <v>189</v>
      </c>
      <c r="P281" s="493"/>
      <c r="Q281" s="494"/>
      <c r="R281" s="493"/>
      <c r="S281" s="494"/>
      <c r="T281" s="493"/>
      <c r="U281" s="494"/>
      <c r="V281" s="493"/>
      <c r="W281" s="494"/>
      <c r="X281" s="493"/>
      <c r="Y281" s="494"/>
      <c r="Z281" s="493"/>
      <c r="AA281" s="494"/>
      <c r="AB281" s="493"/>
      <c r="AC281" s="494"/>
      <c r="AD281" s="106"/>
      <c r="AE281" s="106">
        <v>44638</v>
      </c>
      <c r="AF281" s="107" t="s">
        <v>88</v>
      </c>
      <c r="AG281" s="108">
        <v>2026</v>
      </c>
      <c r="AH281" s="109">
        <v>12750</v>
      </c>
      <c r="AI281" s="109"/>
      <c r="AJ281" s="109"/>
      <c r="AK281" s="102" t="s">
        <v>43</v>
      </c>
      <c r="AL281" s="102" t="s">
        <v>41</v>
      </c>
      <c r="AM281" s="110">
        <v>0</v>
      </c>
      <c r="AN281" s="119"/>
      <c r="AO281" s="102"/>
      <c r="AP281" s="102"/>
      <c r="AQ281" s="102"/>
      <c r="AR281" s="102"/>
      <c r="AS281" s="102"/>
      <c r="AT281" s="102"/>
      <c r="AU281" s="102"/>
      <c r="AV281" s="102"/>
      <c r="AW281" s="102"/>
      <c r="AX281" s="102"/>
      <c r="AY281" s="102"/>
      <c r="AZ281" s="102"/>
      <c r="BA281" s="102"/>
      <c r="BB281" s="102"/>
      <c r="BC281" s="102"/>
      <c r="BD281" s="102"/>
      <c r="BE281" s="102"/>
      <c r="BF281" s="102"/>
      <c r="BG281" s="102"/>
      <c r="BH281" s="102"/>
      <c r="BI281" s="102"/>
      <c r="BJ281" s="102"/>
      <c r="BK281" s="102"/>
      <c r="BL281" s="102"/>
      <c r="BM281" s="102"/>
      <c r="BN281" s="102"/>
      <c r="BO281" s="102"/>
      <c r="BP281" s="102"/>
      <c r="BQ281" s="102"/>
      <c r="BR281" s="102"/>
      <c r="BS281" s="102"/>
      <c r="BT281" s="102"/>
      <c r="BU281" s="102"/>
      <c r="BV281" s="102"/>
      <c r="BW281" s="102"/>
      <c r="BX281" s="102"/>
      <c r="BY281" s="102"/>
      <c r="BZ281" s="102"/>
      <c r="CA281" s="102"/>
      <c r="CB281" s="102"/>
      <c r="CC281" s="102"/>
      <c r="CD281" s="102"/>
      <c r="CE281" s="102"/>
      <c r="CF281" s="102"/>
      <c r="CG281" s="102"/>
      <c r="CH281" s="102"/>
      <c r="CI281" s="102"/>
      <c r="CJ281" s="102"/>
      <c r="CK281" s="102"/>
      <c r="CL281" s="102"/>
      <c r="CM281" s="102"/>
      <c r="CN281" s="102"/>
      <c r="CO281" s="102"/>
      <c r="CP281" s="102"/>
      <c r="CQ281" s="102"/>
      <c r="CR281" s="102"/>
      <c r="CS281" s="102"/>
      <c r="CT281" s="102"/>
      <c r="CU281" s="102"/>
      <c r="CV281" s="102"/>
      <c r="CW281" s="102"/>
      <c r="CX281" s="102"/>
      <c r="CY281" s="102"/>
      <c r="CZ281" s="102"/>
      <c r="DA281" s="102"/>
      <c r="DB281" s="102"/>
      <c r="DC281" s="102"/>
      <c r="DD281" s="102"/>
      <c r="DE281" s="102"/>
      <c r="DF281" s="102"/>
      <c r="DG281" s="102"/>
      <c r="DH281" s="102"/>
      <c r="DI281" s="102"/>
      <c r="DJ281" s="102"/>
      <c r="DK281" s="102"/>
      <c r="DL281" s="102"/>
      <c r="DM281" s="102"/>
      <c r="DN281" s="102"/>
      <c r="DO281" s="102"/>
      <c r="DP281" s="102"/>
      <c r="DQ281" s="102"/>
      <c r="DR281" s="102"/>
      <c r="DS281" s="102"/>
      <c r="DT281" s="102"/>
      <c r="DU281" s="102"/>
      <c r="DV281" s="102"/>
      <c r="DW281" s="102"/>
      <c r="DX281" s="102"/>
      <c r="DY281" s="102"/>
    </row>
    <row r="282" spans="1:129" s="138" customFormat="1" ht="58.95" customHeight="1" x14ac:dyDescent="0.3">
      <c r="A282" s="111" t="s">
        <v>214</v>
      </c>
      <c r="B282" s="111" t="s">
        <v>85</v>
      </c>
      <c r="C282" s="287" t="s">
        <v>3735</v>
      </c>
      <c r="D282" s="111" t="s">
        <v>34</v>
      </c>
      <c r="E282" s="102">
        <v>16</v>
      </c>
      <c r="F282" s="102" t="s">
        <v>35</v>
      </c>
      <c r="G282" s="661"/>
      <c r="H282" s="5">
        <v>3280</v>
      </c>
      <c r="I282" s="109" t="s">
        <v>36</v>
      </c>
      <c r="J282" s="5">
        <v>3280</v>
      </c>
      <c r="K282" s="1638">
        <v>3293.17</v>
      </c>
      <c r="L282" s="1686">
        <f t="shared" si="1"/>
        <v>3293.17</v>
      </c>
      <c r="M282" s="113" t="s">
        <v>72</v>
      </c>
      <c r="N282" s="113" t="s">
        <v>215</v>
      </c>
      <c r="O282" s="113" t="s">
        <v>153</v>
      </c>
      <c r="P282" s="232"/>
      <c r="Q282" s="378"/>
      <c r="R282" s="232"/>
      <c r="S282" s="378"/>
      <c r="T282" s="232"/>
      <c r="U282" s="378"/>
      <c r="V282" s="232"/>
      <c r="W282" s="378"/>
      <c r="X282" s="232"/>
      <c r="Y282" s="378"/>
      <c r="Z282" s="232"/>
      <c r="AA282" s="378"/>
      <c r="AB282" s="232"/>
      <c r="AC282" s="378"/>
      <c r="AD282" s="112"/>
      <c r="AE282" s="112" t="s">
        <v>216</v>
      </c>
      <c r="AF282" s="113" t="s">
        <v>88</v>
      </c>
      <c r="AG282" s="114">
        <v>2026</v>
      </c>
      <c r="AH282" s="115">
        <v>16400</v>
      </c>
      <c r="AI282" s="115"/>
      <c r="AJ282" s="115"/>
      <c r="AK282" s="116" t="s">
        <v>43</v>
      </c>
      <c r="AL282" s="116" t="s">
        <v>41</v>
      </c>
      <c r="AM282" s="117">
        <v>0.7</v>
      </c>
      <c r="AN282" s="120" t="s">
        <v>40</v>
      </c>
      <c r="AO282" s="102"/>
      <c r="AP282" s="102"/>
      <c r="AQ282" s="102"/>
      <c r="AR282" s="102"/>
      <c r="AS282" s="102"/>
      <c r="AT282" s="102"/>
      <c r="AU282" s="102"/>
      <c r="AV282" s="102"/>
      <c r="AW282" s="102"/>
      <c r="AX282" s="102"/>
      <c r="AY282" s="102"/>
      <c r="AZ282" s="102"/>
      <c r="BA282" s="102"/>
      <c r="BB282" s="102"/>
      <c r="BC282" s="102"/>
      <c r="BD282" s="102"/>
      <c r="BE282" s="102"/>
      <c r="BF282" s="102"/>
      <c r="BG282" s="102"/>
      <c r="BH282" s="102"/>
      <c r="BI282" s="102"/>
      <c r="BJ282" s="102"/>
      <c r="BK282" s="102"/>
      <c r="BL282" s="102"/>
      <c r="BM282" s="102"/>
      <c r="BN282" s="102"/>
      <c r="BO282" s="102"/>
      <c r="BP282" s="102"/>
      <c r="BQ282" s="102"/>
      <c r="BR282" s="102"/>
      <c r="BS282" s="102"/>
      <c r="BT282" s="102"/>
      <c r="BU282" s="102"/>
      <c r="BV282" s="102"/>
      <c r="BW282" s="102"/>
      <c r="BX282" s="102"/>
      <c r="BY282" s="102"/>
      <c r="BZ282" s="102"/>
      <c r="CA282" s="102"/>
      <c r="CB282" s="102"/>
      <c r="CC282" s="102"/>
      <c r="CD282" s="102"/>
      <c r="CE282" s="102"/>
      <c r="CF282" s="102"/>
      <c r="CG282" s="102"/>
      <c r="CH282" s="102"/>
      <c r="CI282" s="102"/>
      <c r="CJ282" s="102"/>
      <c r="CK282" s="102"/>
      <c r="CL282" s="102"/>
      <c r="CM282" s="102"/>
      <c r="CN282" s="102"/>
      <c r="CO282" s="102"/>
      <c r="CP282" s="102"/>
      <c r="CQ282" s="102"/>
      <c r="CR282" s="102"/>
      <c r="CS282" s="102"/>
      <c r="CT282" s="102"/>
      <c r="CU282" s="102"/>
      <c r="CV282" s="102"/>
      <c r="CW282" s="102"/>
      <c r="CX282" s="102"/>
      <c r="CY282" s="102"/>
      <c r="CZ282" s="102"/>
      <c r="DA282" s="102"/>
      <c r="DB282" s="102"/>
      <c r="DC282" s="102"/>
      <c r="DD282" s="102"/>
      <c r="DE282" s="102"/>
      <c r="DF282" s="102"/>
      <c r="DG282" s="102"/>
      <c r="DH282" s="102"/>
      <c r="DI282" s="102"/>
      <c r="DJ282" s="102"/>
      <c r="DK282" s="102"/>
      <c r="DL282" s="102"/>
      <c r="DM282" s="102"/>
      <c r="DN282" s="102"/>
      <c r="DO282" s="102"/>
      <c r="DP282" s="102"/>
      <c r="DQ282" s="102"/>
      <c r="DR282" s="102"/>
      <c r="DS282" s="102"/>
      <c r="DT282" s="102"/>
      <c r="DU282" s="102"/>
      <c r="DV282" s="102"/>
      <c r="DW282" s="102"/>
      <c r="DX282" s="102"/>
      <c r="DY282" s="102"/>
    </row>
    <row r="283" spans="1:129" s="138" customFormat="1" ht="58.95" customHeight="1" x14ac:dyDescent="0.3">
      <c r="A283" s="121" t="s">
        <v>214</v>
      </c>
      <c r="B283" s="111" t="s">
        <v>85</v>
      </c>
      <c r="C283" s="662" t="s">
        <v>3736</v>
      </c>
      <c r="D283" s="121" t="s">
        <v>34</v>
      </c>
      <c r="E283" s="102">
        <v>16</v>
      </c>
      <c r="F283" s="102" t="s">
        <v>35</v>
      </c>
      <c r="G283" s="663"/>
      <c r="H283" s="5">
        <v>5900</v>
      </c>
      <c r="I283" s="109" t="s">
        <v>36</v>
      </c>
      <c r="J283" s="5">
        <v>5900</v>
      </c>
      <c r="K283" s="1687">
        <v>5923.69</v>
      </c>
      <c r="L283" s="1686">
        <f t="shared" si="1"/>
        <v>5923.69</v>
      </c>
      <c r="M283" s="123" t="s">
        <v>38</v>
      </c>
      <c r="N283" s="123" t="s">
        <v>217</v>
      </c>
      <c r="O283" s="123" t="s">
        <v>153</v>
      </c>
      <c r="P283" s="664"/>
      <c r="Q283" s="665"/>
      <c r="R283" s="664"/>
      <c r="S283" s="665"/>
      <c r="T283" s="664"/>
      <c r="U283" s="665"/>
      <c r="V283" s="664"/>
      <c r="W283" s="665"/>
      <c r="X283" s="664"/>
      <c r="Y283" s="665"/>
      <c r="Z283" s="664"/>
      <c r="AA283" s="665"/>
      <c r="AB283" s="664"/>
      <c r="AC283" s="665"/>
      <c r="AD283" s="122"/>
      <c r="AE283" s="122" t="s">
        <v>216</v>
      </c>
      <c r="AF283" s="123" t="s">
        <v>88</v>
      </c>
      <c r="AG283" s="124">
        <v>2026</v>
      </c>
      <c r="AH283" s="125">
        <v>29500</v>
      </c>
      <c r="AI283" s="125"/>
      <c r="AJ283" s="125"/>
      <c r="AK283" s="126" t="s">
        <v>43</v>
      </c>
      <c r="AL283" s="126" t="s">
        <v>41</v>
      </c>
      <c r="AM283" s="127">
        <v>0.7</v>
      </c>
      <c r="AN283" s="128" t="s">
        <v>40</v>
      </c>
      <c r="AO283" s="102"/>
      <c r="AP283" s="102"/>
      <c r="AQ283" s="102"/>
      <c r="AR283" s="102"/>
      <c r="AS283" s="102"/>
      <c r="AT283" s="102"/>
      <c r="AU283" s="102"/>
      <c r="AV283" s="102"/>
      <c r="AW283" s="102"/>
      <c r="AX283" s="102"/>
      <c r="AY283" s="102"/>
      <c r="AZ283" s="102"/>
      <c r="BA283" s="102"/>
      <c r="BB283" s="102"/>
      <c r="BC283" s="102"/>
      <c r="BD283" s="102"/>
      <c r="BE283" s="102"/>
      <c r="BF283" s="102"/>
      <c r="BG283" s="102"/>
      <c r="BH283" s="102"/>
      <c r="BI283" s="102"/>
      <c r="BJ283" s="102"/>
      <c r="BK283" s="102"/>
      <c r="BL283" s="102"/>
      <c r="BM283" s="102"/>
      <c r="BN283" s="102"/>
      <c r="BO283" s="102"/>
      <c r="BP283" s="102"/>
      <c r="BQ283" s="102"/>
      <c r="BR283" s="102"/>
      <c r="BS283" s="102"/>
      <c r="BT283" s="102"/>
      <c r="BU283" s="102"/>
      <c r="BV283" s="102"/>
      <c r="BW283" s="102"/>
      <c r="BX283" s="102"/>
      <c r="BY283" s="102"/>
      <c r="BZ283" s="102"/>
      <c r="CA283" s="102"/>
      <c r="CB283" s="102"/>
      <c r="CC283" s="102"/>
      <c r="CD283" s="102"/>
      <c r="CE283" s="102"/>
      <c r="CF283" s="102"/>
      <c r="CG283" s="102"/>
      <c r="CH283" s="102"/>
      <c r="CI283" s="102"/>
      <c r="CJ283" s="102"/>
      <c r="CK283" s="102"/>
      <c r="CL283" s="102"/>
      <c r="CM283" s="102"/>
      <c r="CN283" s="102"/>
      <c r="CO283" s="102"/>
      <c r="CP283" s="102"/>
      <c r="CQ283" s="102"/>
      <c r="CR283" s="102"/>
      <c r="CS283" s="102"/>
      <c r="CT283" s="102"/>
      <c r="CU283" s="102"/>
      <c r="CV283" s="102"/>
      <c r="CW283" s="102"/>
      <c r="CX283" s="102"/>
      <c r="CY283" s="102"/>
      <c r="CZ283" s="102"/>
      <c r="DA283" s="102"/>
      <c r="DB283" s="102"/>
      <c r="DC283" s="102"/>
      <c r="DD283" s="102"/>
      <c r="DE283" s="102"/>
      <c r="DF283" s="102"/>
      <c r="DG283" s="102"/>
      <c r="DH283" s="102"/>
      <c r="DI283" s="102"/>
      <c r="DJ283" s="102"/>
      <c r="DK283" s="102"/>
      <c r="DL283" s="102"/>
      <c r="DM283" s="102"/>
      <c r="DN283" s="102"/>
      <c r="DO283" s="102"/>
      <c r="DP283" s="102"/>
      <c r="DQ283" s="102"/>
      <c r="DR283" s="102"/>
      <c r="DS283" s="102"/>
      <c r="DT283" s="102"/>
      <c r="DU283" s="102"/>
      <c r="DV283" s="102"/>
      <c r="DW283" s="102"/>
      <c r="DX283" s="102"/>
      <c r="DY283" s="102"/>
    </row>
    <row r="284" spans="1:129" s="129" customFormat="1" ht="58.95" customHeight="1" x14ac:dyDescent="0.3">
      <c r="A284" s="129" t="s">
        <v>31</v>
      </c>
      <c r="B284" s="111" t="s">
        <v>85</v>
      </c>
      <c r="C284" s="167" t="s">
        <v>218</v>
      </c>
      <c r="D284" s="129" t="s">
        <v>34</v>
      </c>
      <c r="E284" s="102">
        <v>16</v>
      </c>
      <c r="F284" s="129" t="s">
        <v>35</v>
      </c>
      <c r="H284" s="666">
        <v>26880.48</v>
      </c>
      <c r="I284" s="133" t="s">
        <v>36</v>
      </c>
      <c r="J284" s="666">
        <v>26880.48</v>
      </c>
      <c r="K284" s="1688">
        <v>0</v>
      </c>
      <c r="L284" s="1686">
        <f t="shared" si="1"/>
        <v>0</v>
      </c>
      <c r="M284" s="131" t="s">
        <v>219</v>
      </c>
      <c r="N284" s="131" t="s">
        <v>217</v>
      </c>
      <c r="O284" s="131" t="s">
        <v>153</v>
      </c>
      <c r="P284" s="131"/>
      <c r="Q284" s="130"/>
      <c r="R284" s="131"/>
      <c r="S284" s="130"/>
      <c r="T284" s="131"/>
      <c r="U284" s="130"/>
      <c r="V284" s="131"/>
      <c r="W284" s="130"/>
      <c r="X284" s="131"/>
      <c r="Y284" s="130"/>
      <c r="Z284" s="131"/>
      <c r="AA284" s="130"/>
      <c r="AB284" s="131"/>
      <c r="AC284" s="130"/>
      <c r="AD284" s="130"/>
      <c r="AE284" s="130">
        <v>44727</v>
      </c>
      <c r="AF284" s="131" t="s">
        <v>88</v>
      </c>
      <c r="AG284" s="132">
        <v>2026</v>
      </c>
      <c r="AH284" s="133">
        <v>134402.4</v>
      </c>
      <c r="AI284" s="133"/>
      <c r="AJ284" s="133"/>
      <c r="AK284" s="129" t="s">
        <v>43</v>
      </c>
      <c r="AL284" s="129" t="s">
        <v>41</v>
      </c>
      <c r="AM284" s="134">
        <v>0</v>
      </c>
      <c r="AN284" s="135"/>
    </row>
    <row r="285" spans="1:129" s="138" customFormat="1" ht="58.95" customHeight="1" x14ac:dyDescent="0.3">
      <c r="A285" s="102" t="s">
        <v>31</v>
      </c>
      <c r="B285" s="111" t="s">
        <v>85</v>
      </c>
      <c r="C285" s="167" t="s">
        <v>220</v>
      </c>
      <c r="D285" s="102" t="s">
        <v>34</v>
      </c>
      <c r="E285" s="102">
        <v>16</v>
      </c>
      <c r="F285" s="102" t="s">
        <v>35</v>
      </c>
      <c r="H285" s="5">
        <v>856890</v>
      </c>
      <c r="I285" s="109" t="s">
        <v>36</v>
      </c>
      <c r="J285" s="5">
        <v>856890</v>
      </c>
      <c r="K285" s="1686">
        <v>129049.7</v>
      </c>
      <c r="L285" s="1686">
        <f t="shared" si="1"/>
        <v>129049.7</v>
      </c>
      <c r="M285" s="107" t="s">
        <v>219</v>
      </c>
      <c r="N285" s="107" t="s">
        <v>217</v>
      </c>
      <c r="O285" s="107" t="s">
        <v>153</v>
      </c>
      <c r="P285" s="493"/>
      <c r="Q285" s="494"/>
      <c r="R285" s="493"/>
      <c r="S285" s="494"/>
      <c r="T285" s="493"/>
      <c r="U285" s="494"/>
      <c r="V285" s="493"/>
      <c r="W285" s="494"/>
      <c r="X285" s="493"/>
      <c r="Y285" s="494"/>
      <c r="Z285" s="493"/>
      <c r="AA285" s="494"/>
      <c r="AB285" s="493"/>
      <c r="AC285" s="494"/>
      <c r="AD285" s="106"/>
      <c r="AE285" s="136">
        <v>45000</v>
      </c>
      <c r="AF285" s="107" t="s">
        <v>65</v>
      </c>
      <c r="AG285" s="108">
        <v>2023</v>
      </c>
      <c r="AH285" s="109">
        <v>4284450</v>
      </c>
      <c r="AI285" s="109"/>
      <c r="AJ285" s="109"/>
      <c r="AK285" s="102" t="s">
        <v>77</v>
      </c>
      <c r="AL285" s="102" t="s">
        <v>41</v>
      </c>
      <c r="AM285" s="110">
        <v>1</v>
      </c>
      <c r="AN285" s="119"/>
      <c r="AO285" s="102"/>
      <c r="AP285" s="102"/>
      <c r="AQ285" s="102"/>
      <c r="AR285" s="102"/>
      <c r="AS285" s="102"/>
      <c r="AT285" s="102"/>
      <c r="AU285" s="102"/>
      <c r="AV285" s="102"/>
      <c r="AW285" s="102"/>
      <c r="AX285" s="102"/>
      <c r="AY285" s="102"/>
      <c r="AZ285" s="102"/>
      <c r="BA285" s="102"/>
      <c r="BB285" s="102"/>
      <c r="BC285" s="102"/>
      <c r="BD285" s="102"/>
      <c r="BE285" s="102"/>
      <c r="BF285" s="102"/>
      <c r="BG285" s="102"/>
      <c r="BH285" s="102"/>
      <c r="BI285" s="102"/>
      <c r="BJ285" s="102"/>
      <c r="BK285" s="102"/>
      <c r="BL285" s="102"/>
      <c r="BM285" s="102"/>
      <c r="BN285" s="102"/>
      <c r="BO285" s="102"/>
      <c r="BP285" s="102"/>
      <c r="BQ285" s="102"/>
      <c r="BR285" s="102"/>
      <c r="BS285" s="102"/>
      <c r="BT285" s="102"/>
      <c r="BU285" s="102"/>
      <c r="BV285" s="102"/>
      <c r="BW285" s="102"/>
      <c r="BX285" s="102"/>
      <c r="BY285" s="102"/>
      <c r="BZ285" s="102"/>
      <c r="CA285" s="102"/>
      <c r="CB285" s="102"/>
      <c r="CC285" s="102"/>
      <c r="CD285" s="102"/>
      <c r="CE285" s="102"/>
      <c r="CF285" s="102"/>
      <c r="CG285" s="102"/>
      <c r="CH285" s="102"/>
      <c r="CI285" s="102"/>
      <c r="CJ285" s="102"/>
      <c r="CK285" s="102"/>
      <c r="CL285" s="102"/>
      <c r="CM285" s="102"/>
      <c r="CN285" s="102"/>
      <c r="CO285" s="102"/>
      <c r="CP285" s="102"/>
      <c r="CQ285" s="102"/>
      <c r="CR285" s="102"/>
      <c r="CS285" s="102"/>
      <c r="CT285" s="102"/>
      <c r="CU285" s="102"/>
      <c r="CV285" s="102"/>
      <c r="CW285" s="102"/>
      <c r="CX285" s="102"/>
      <c r="CY285" s="102"/>
      <c r="CZ285" s="102"/>
      <c r="DA285" s="102"/>
      <c r="DB285" s="102"/>
      <c r="DC285" s="102"/>
      <c r="DD285" s="102"/>
      <c r="DE285" s="102"/>
      <c r="DF285" s="102"/>
      <c r="DG285" s="102"/>
      <c r="DH285" s="102"/>
      <c r="DI285" s="102"/>
      <c r="DJ285" s="102"/>
      <c r="DK285" s="102"/>
      <c r="DL285" s="102"/>
      <c r="DM285" s="102"/>
      <c r="DN285" s="102"/>
      <c r="DO285" s="102"/>
      <c r="DP285" s="102"/>
      <c r="DQ285" s="102"/>
      <c r="DR285" s="102"/>
      <c r="DS285" s="102"/>
      <c r="DT285" s="102"/>
      <c r="DU285" s="102"/>
      <c r="DV285" s="102"/>
      <c r="DW285" s="102"/>
      <c r="DX285" s="102"/>
      <c r="DY285" s="102"/>
    </row>
    <row r="286" spans="1:129" s="138" customFormat="1" ht="58.95" customHeight="1" x14ac:dyDescent="0.3">
      <c r="A286" s="102" t="s">
        <v>31</v>
      </c>
      <c r="B286" s="111" t="s">
        <v>85</v>
      </c>
      <c r="C286" s="167" t="s">
        <v>221</v>
      </c>
      <c r="D286" s="102" t="s">
        <v>34</v>
      </c>
      <c r="E286" s="102">
        <v>16</v>
      </c>
      <c r="F286" s="138" t="s">
        <v>35</v>
      </c>
      <c r="H286" s="5">
        <v>616000</v>
      </c>
      <c r="I286" s="139" t="s">
        <v>36</v>
      </c>
      <c r="J286" s="5">
        <v>616000</v>
      </c>
      <c r="K286" s="1652">
        <v>0</v>
      </c>
      <c r="L286" s="1686">
        <f t="shared" si="1"/>
        <v>0</v>
      </c>
      <c r="M286" s="107" t="s">
        <v>140</v>
      </c>
      <c r="N286" s="107" t="s">
        <v>141</v>
      </c>
      <c r="O286" s="107" t="s">
        <v>135</v>
      </c>
      <c r="P286" s="493"/>
      <c r="Q286" s="494"/>
      <c r="R286" s="493"/>
      <c r="S286" s="494"/>
      <c r="T286" s="493"/>
      <c r="U286" s="494"/>
      <c r="V286" s="493"/>
      <c r="W286" s="494"/>
      <c r="X286" s="493"/>
      <c r="Y286" s="494"/>
      <c r="Z286" s="493"/>
      <c r="AA286" s="494"/>
      <c r="AB286" s="493"/>
      <c r="AC286" s="494"/>
      <c r="AD286" s="106"/>
      <c r="AE286" s="106" t="s">
        <v>112</v>
      </c>
      <c r="AF286" s="107" t="s">
        <v>88</v>
      </c>
      <c r="AG286" s="108">
        <v>2026</v>
      </c>
      <c r="AH286" s="109">
        <v>3080000</v>
      </c>
      <c r="AI286" s="109"/>
      <c r="AJ286" s="109"/>
      <c r="AK286" s="102" t="s">
        <v>43</v>
      </c>
      <c r="AL286" s="102" t="s">
        <v>41</v>
      </c>
      <c r="AM286" s="110">
        <v>0</v>
      </c>
      <c r="AN286" s="656"/>
    </row>
    <row r="287" spans="1:129" s="138" customFormat="1" ht="23.4" customHeight="1" x14ac:dyDescent="0.3">
      <c r="A287" s="102"/>
      <c r="B287" s="137"/>
      <c r="D287" s="102"/>
      <c r="H287" s="5"/>
      <c r="I287" s="139"/>
      <c r="J287" s="5"/>
      <c r="K287" s="5"/>
      <c r="L287" s="1436"/>
      <c r="M287" s="107"/>
      <c r="N287" s="107"/>
      <c r="O287" s="667"/>
      <c r="P287" s="493"/>
      <c r="Q287" s="494"/>
      <c r="R287" s="493"/>
      <c r="S287" s="494"/>
      <c r="T287" s="493"/>
      <c r="U287" s="494"/>
      <c r="V287" s="493"/>
      <c r="W287" s="494"/>
      <c r="X287" s="493"/>
      <c r="Y287" s="494"/>
      <c r="Z287" s="493"/>
      <c r="AA287" s="494"/>
      <c r="AB287" s="493"/>
      <c r="AC287" s="494"/>
      <c r="AD287" s="106"/>
      <c r="AE287" s="106"/>
      <c r="AF287" s="107"/>
      <c r="AG287" s="108"/>
      <c r="AH287" s="109"/>
      <c r="AI287" s="109"/>
      <c r="AJ287" s="109"/>
      <c r="AK287" s="102"/>
      <c r="AL287" s="102"/>
      <c r="AM287" s="110"/>
      <c r="AN287" s="656"/>
    </row>
    <row r="288" spans="1:129" s="359" customFormat="1" ht="32.4" customHeight="1" x14ac:dyDescent="0.3">
      <c r="A288" s="359" t="s">
        <v>31</v>
      </c>
      <c r="B288" s="545"/>
      <c r="C288" s="546" t="s">
        <v>222</v>
      </c>
      <c r="H288" s="547">
        <f>H221-H222</f>
        <v>-18605076.899999999</v>
      </c>
      <c r="I288" s="548" t="s">
        <v>36</v>
      </c>
      <c r="J288" s="547"/>
      <c r="K288" s="1689"/>
      <c r="L288" s="1690"/>
      <c r="M288" s="549"/>
      <c r="N288" s="549"/>
      <c r="O288" s="668"/>
      <c r="P288" s="549"/>
      <c r="Q288" s="550"/>
      <c r="R288" s="549"/>
      <c r="S288" s="550"/>
      <c r="T288" s="549"/>
      <c r="U288" s="550"/>
      <c r="V288" s="549"/>
      <c r="W288" s="550"/>
      <c r="X288" s="549"/>
      <c r="Y288" s="550"/>
      <c r="Z288" s="549"/>
      <c r="AA288" s="550"/>
      <c r="AB288" s="549"/>
      <c r="AC288" s="550"/>
      <c r="AD288" s="550"/>
      <c r="AE288" s="550"/>
      <c r="AF288" s="549"/>
      <c r="AG288" s="551"/>
      <c r="AH288" s="379"/>
      <c r="AI288" s="379"/>
      <c r="AJ288" s="379"/>
      <c r="AM288" s="552"/>
      <c r="AN288" s="669"/>
      <c r="AO288" s="102"/>
      <c r="AP288" s="102"/>
      <c r="AQ288" s="102"/>
      <c r="AR288" s="102"/>
      <c r="AS288" s="102"/>
      <c r="AT288" s="102"/>
      <c r="AU288" s="102"/>
      <c r="AV288" s="102"/>
      <c r="AW288" s="102"/>
      <c r="AX288" s="102"/>
      <c r="AY288" s="102"/>
      <c r="AZ288" s="102"/>
      <c r="BA288" s="102"/>
      <c r="BB288" s="102"/>
      <c r="BC288" s="102"/>
      <c r="BD288" s="102"/>
      <c r="BE288" s="102"/>
      <c r="BF288" s="102"/>
      <c r="BG288" s="102"/>
      <c r="BH288" s="102"/>
      <c r="BI288" s="102"/>
      <c r="BJ288" s="102"/>
      <c r="BK288" s="102"/>
      <c r="BL288" s="102"/>
      <c r="BM288" s="102"/>
      <c r="BN288" s="102"/>
      <c r="BO288" s="102"/>
      <c r="BP288" s="102"/>
      <c r="BQ288" s="102"/>
      <c r="BR288" s="102"/>
      <c r="BS288" s="102"/>
      <c r="BT288" s="102"/>
      <c r="BU288" s="102"/>
      <c r="BV288" s="102"/>
      <c r="BW288" s="102"/>
      <c r="BX288" s="102"/>
      <c r="BY288" s="102"/>
      <c r="BZ288" s="102"/>
      <c r="CA288" s="102"/>
      <c r="CB288" s="102"/>
      <c r="CC288" s="102"/>
      <c r="CD288" s="102"/>
      <c r="CE288" s="102"/>
      <c r="CF288" s="102"/>
      <c r="CG288" s="102"/>
      <c r="CH288" s="102"/>
      <c r="CI288" s="102"/>
      <c r="CJ288" s="102"/>
      <c r="CK288" s="102"/>
      <c r="CL288" s="102"/>
      <c r="CM288" s="102"/>
      <c r="CN288" s="102"/>
      <c r="CO288" s="102"/>
      <c r="CP288" s="102"/>
      <c r="CQ288" s="102"/>
      <c r="CR288" s="102"/>
      <c r="CS288" s="102"/>
      <c r="CT288" s="102"/>
      <c r="CU288" s="102"/>
      <c r="CV288" s="102"/>
      <c r="CW288" s="102"/>
      <c r="CX288" s="102"/>
      <c r="CY288" s="102"/>
      <c r="CZ288" s="102"/>
      <c r="DA288" s="102"/>
      <c r="DB288" s="102"/>
      <c r="DC288" s="102"/>
      <c r="DD288" s="102"/>
      <c r="DE288" s="102"/>
      <c r="DF288" s="102"/>
      <c r="DG288" s="102"/>
      <c r="DH288" s="102"/>
      <c r="DI288" s="102"/>
      <c r="DJ288" s="102"/>
      <c r="DK288" s="102"/>
      <c r="DL288" s="102"/>
      <c r="DM288" s="102"/>
      <c r="DN288" s="102"/>
      <c r="DO288" s="102"/>
      <c r="DP288" s="102"/>
      <c r="DQ288" s="102"/>
      <c r="DR288" s="102"/>
      <c r="DS288" s="102"/>
      <c r="DT288" s="102"/>
      <c r="DU288" s="102"/>
      <c r="DV288" s="102"/>
      <c r="DW288" s="102"/>
      <c r="DX288" s="102"/>
      <c r="DY288" s="102"/>
    </row>
    <row r="289" spans="1:129" s="365" customFormat="1" ht="67.2" customHeight="1" x14ac:dyDescent="0.3">
      <c r="A289" s="365" t="s">
        <v>31</v>
      </c>
      <c r="B289" s="497" t="s">
        <v>223</v>
      </c>
      <c r="C289" s="498" t="s">
        <v>224</v>
      </c>
      <c r="D289" s="365" t="s">
        <v>34</v>
      </c>
      <c r="E289" s="365">
        <v>18</v>
      </c>
      <c r="F289" s="365" t="s">
        <v>35</v>
      </c>
      <c r="G289" s="365">
        <v>11</v>
      </c>
      <c r="H289" s="500">
        <v>35000000</v>
      </c>
      <c r="I289" s="670" t="s">
        <v>36</v>
      </c>
      <c r="J289" s="500">
        <f>J290</f>
        <v>16453165.451365462</v>
      </c>
      <c r="K289" s="1653">
        <v>0</v>
      </c>
      <c r="L289" s="1653">
        <v>0</v>
      </c>
      <c r="M289" s="1874" t="s">
        <v>225</v>
      </c>
      <c r="N289" s="1874"/>
      <c r="O289" s="501" t="s">
        <v>39</v>
      </c>
      <c r="P289" s="501" t="s">
        <v>40</v>
      </c>
      <c r="Q289" s="671"/>
      <c r="R289" s="501" t="s">
        <v>40</v>
      </c>
      <c r="S289" s="671"/>
      <c r="T289" s="501" t="s">
        <v>40</v>
      </c>
      <c r="U289" s="671"/>
      <c r="V289" s="501" t="s">
        <v>64</v>
      </c>
      <c r="W289" s="671"/>
      <c r="X289" s="501" t="s">
        <v>41</v>
      </c>
      <c r="Y289" s="671">
        <v>45107</v>
      </c>
      <c r="Z289" s="501" t="s">
        <v>40</v>
      </c>
      <c r="AA289" s="671"/>
      <c r="AB289" s="501" t="s">
        <v>40</v>
      </c>
      <c r="AC289" s="671"/>
      <c r="AD289" s="671"/>
      <c r="AE289" s="671">
        <v>45199</v>
      </c>
      <c r="AF289" s="501" t="s">
        <v>42</v>
      </c>
      <c r="AG289" s="502">
        <v>2023</v>
      </c>
      <c r="AH289" s="499">
        <v>0</v>
      </c>
      <c r="AI289" s="499"/>
      <c r="AJ289" s="499"/>
      <c r="AK289" s="365" t="s">
        <v>43</v>
      </c>
      <c r="AL289" s="365" t="s">
        <v>41</v>
      </c>
      <c r="AM289" s="503">
        <v>0</v>
      </c>
      <c r="AN289" s="672"/>
      <c r="AO289" s="102"/>
      <c r="AP289" s="102"/>
      <c r="AQ289" s="102"/>
      <c r="AR289" s="102"/>
      <c r="AS289" s="102"/>
      <c r="AT289" s="102"/>
      <c r="AU289" s="102"/>
      <c r="AV289" s="102"/>
      <c r="AW289" s="102"/>
      <c r="AX289" s="102"/>
      <c r="AY289" s="102"/>
      <c r="AZ289" s="102"/>
      <c r="BA289" s="102"/>
      <c r="BB289" s="102"/>
      <c r="BC289" s="102"/>
      <c r="BD289" s="102"/>
      <c r="BE289" s="102"/>
      <c r="BF289" s="102"/>
      <c r="BG289" s="102"/>
      <c r="BH289" s="102"/>
      <c r="BI289" s="102"/>
      <c r="BJ289" s="102"/>
      <c r="BK289" s="102"/>
      <c r="BL289" s="102"/>
      <c r="BM289" s="102"/>
      <c r="BN289" s="102"/>
      <c r="BO289" s="102"/>
      <c r="BP289" s="102"/>
      <c r="BQ289" s="102"/>
      <c r="BR289" s="102"/>
      <c r="BS289" s="102"/>
      <c r="BT289" s="102"/>
      <c r="BU289" s="102"/>
      <c r="BV289" s="102"/>
      <c r="BW289" s="102"/>
      <c r="BX289" s="102"/>
      <c r="BY289" s="102"/>
      <c r="BZ289" s="102"/>
      <c r="CA289" s="102"/>
      <c r="CB289" s="102"/>
      <c r="CC289" s="102"/>
      <c r="CD289" s="102"/>
      <c r="CE289" s="102"/>
      <c r="CF289" s="102"/>
      <c r="CG289" s="102"/>
      <c r="CH289" s="102"/>
      <c r="CI289" s="102"/>
      <c r="CJ289" s="102"/>
      <c r="CK289" s="102"/>
      <c r="CL289" s="102"/>
      <c r="CM289" s="102"/>
      <c r="CN289" s="102"/>
      <c r="CO289" s="102"/>
      <c r="CP289" s="102"/>
      <c r="CQ289" s="102"/>
      <c r="CR289" s="102"/>
      <c r="CS289" s="102"/>
      <c r="CT289" s="102"/>
      <c r="CU289" s="102"/>
      <c r="CV289" s="102"/>
      <c r="CW289" s="102"/>
      <c r="CX289" s="102"/>
      <c r="CY289" s="102"/>
      <c r="CZ289" s="102"/>
      <c r="DA289" s="102"/>
      <c r="DB289" s="102"/>
      <c r="DC289" s="102"/>
      <c r="DD289" s="102"/>
      <c r="DE289" s="102"/>
      <c r="DF289" s="102"/>
      <c r="DG289" s="102"/>
      <c r="DH289" s="102"/>
      <c r="DI289" s="102"/>
      <c r="DJ289" s="102"/>
      <c r="DK289" s="102"/>
      <c r="DL289" s="102"/>
      <c r="DM289" s="102"/>
      <c r="DN289" s="102"/>
      <c r="DO289" s="102"/>
      <c r="DP289" s="102"/>
      <c r="DQ289" s="102"/>
      <c r="DR289" s="102"/>
      <c r="DS289" s="102"/>
      <c r="DT289" s="102"/>
      <c r="DU289" s="102"/>
      <c r="DV289" s="102"/>
      <c r="DW289" s="102"/>
      <c r="DX289" s="102"/>
      <c r="DY289" s="102"/>
    </row>
    <row r="290" spans="1:129" s="359" customFormat="1" ht="75.599999999999994" customHeight="1" x14ac:dyDescent="0.3">
      <c r="A290" s="359" t="s">
        <v>31</v>
      </c>
      <c r="B290" s="545" t="s">
        <v>226</v>
      </c>
      <c r="C290" s="546" t="s">
        <v>227</v>
      </c>
      <c r="D290" s="359" t="s">
        <v>34</v>
      </c>
      <c r="E290" s="359">
        <v>18</v>
      </c>
      <c r="F290" s="359" t="s">
        <v>35</v>
      </c>
      <c r="G290" s="359">
        <v>11</v>
      </c>
      <c r="H290" s="547">
        <v>35000000</v>
      </c>
      <c r="I290" s="548" t="s">
        <v>36</v>
      </c>
      <c r="J290" s="547">
        <f>J291</f>
        <v>16453165.451365462</v>
      </c>
      <c r="K290" s="1689">
        <v>0</v>
      </c>
      <c r="L290" s="1689">
        <v>0</v>
      </c>
      <c r="M290" s="1875" t="s">
        <v>225</v>
      </c>
      <c r="N290" s="1875"/>
      <c r="O290" s="549" t="s">
        <v>39</v>
      </c>
      <c r="P290" s="549" t="s">
        <v>40</v>
      </c>
      <c r="Q290" s="550"/>
      <c r="R290" s="549" t="s">
        <v>40</v>
      </c>
      <c r="S290" s="550"/>
      <c r="T290" s="549" t="s">
        <v>40</v>
      </c>
      <c r="U290" s="550"/>
      <c r="V290" s="549" t="s">
        <v>64</v>
      </c>
      <c r="W290" s="550"/>
      <c r="X290" s="549" t="s">
        <v>41</v>
      </c>
      <c r="Y290" s="550">
        <v>45107</v>
      </c>
      <c r="Z290" s="549" t="s">
        <v>40</v>
      </c>
      <c r="AA290" s="550"/>
      <c r="AB290" s="549" t="s">
        <v>40</v>
      </c>
      <c r="AC290" s="550"/>
      <c r="AD290" s="550"/>
      <c r="AE290" s="550">
        <v>45199</v>
      </c>
      <c r="AF290" s="549" t="s">
        <v>42</v>
      </c>
      <c r="AG290" s="551">
        <v>2023</v>
      </c>
      <c r="AH290" s="379">
        <v>0</v>
      </c>
      <c r="AI290" s="379"/>
      <c r="AJ290" s="379"/>
      <c r="AK290" s="359" t="s">
        <v>43</v>
      </c>
      <c r="AL290" s="359" t="s">
        <v>41</v>
      </c>
      <c r="AM290" s="552">
        <v>0</v>
      </c>
      <c r="AN290" s="669" t="s">
        <v>40</v>
      </c>
      <c r="AO290" s="102"/>
      <c r="AP290" s="102"/>
      <c r="AQ290" s="102"/>
      <c r="AR290" s="102"/>
      <c r="AS290" s="102"/>
      <c r="AT290" s="102"/>
      <c r="AU290" s="102"/>
      <c r="AV290" s="102"/>
      <c r="AW290" s="102"/>
      <c r="AX290" s="102"/>
      <c r="AY290" s="102"/>
      <c r="AZ290" s="102"/>
      <c r="BA290" s="102"/>
      <c r="BB290" s="102"/>
      <c r="BC290" s="102"/>
      <c r="BD290" s="102"/>
      <c r="BE290" s="102"/>
      <c r="BF290" s="102"/>
      <c r="BG290" s="102"/>
      <c r="BH290" s="102"/>
      <c r="BI290" s="102"/>
      <c r="BJ290" s="102"/>
      <c r="BK290" s="102"/>
      <c r="BL290" s="102"/>
      <c r="BM290" s="102"/>
      <c r="BN290" s="102"/>
      <c r="BO290" s="102"/>
      <c r="BP290" s="102"/>
      <c r="BQ290" s="102"/>
      <c r="BR290" s="102"/>
      <c r="BS290" s="102"/>
      <c r="BT290" s="102"/>
      <c r="BU290" s="102"/>
      <c r="BV290" s="102"/>
      <c r="BW290" s="102"/>
      <c r="BX290" s="102"/>
      <c r="BY290" s="102"/>
      <c r="BZ290" s="102"/>
      <c r="CA290" s="102"/>
      <c r="CB290" s="102"/>
      <c r="CC290" s="102"/>
      <c r="CD290" s="102"/>
      <c r="CE290" s="102"/>
      <c r="CF290" s="102"/>
      <c r="CG290" s="102"/>
      <c r="CH290" s="102"/>
      <c r="CI290" s="102"/>
      <c r="CJ290" s="102"/>
      <c r="CK290" s="102"/>
      <c r="CL290" s="102"/>
      <c r="CM290" s="102"/>
      <c r="CN290" s="102"/>
      <c r="CO290" s="102"/>
      <c r="CP290" s="102"/>
      <c r="CQ290" s="102"/>
      <c r="CR290" s="102"/>
      <c r="CS290" s="102"/>
      <c r="CT290" s="102"/>
      <c r="CU290" s="102"/>
      <c r="CV290" s="102"/>
      <c r="CW290" s="102"/>
      <c r="CX290" s="102"/>
      <c r="CY290" s="102"/>
      <c r="CZ290" s="102"/>
      <c r="DA290" s="102"/>
      <c r="DB290" s="102"/>
      <c r="DC290" s="102"/>
      <c r="DD290" s="102"/>
      <c r="DE290" s="102"/>
      <c r="DF290" s="102"/>
      <c r="DG290" s="102"/>
      <c r="DH290" s="102"/>
      <c r="DI290" s="102"/>
      <c r="DJ290" s="102"/>
      <c r="DK290" s="102"/>
      <c r="DL290" s="102"/>
      <c r="DM290" s="102"/>
      <c r="DN290" s="102"/>
      <c r="DO290" s="102"/>
      <c r="DP290" s="102"/>
      <c r="DQ290" s="102"/>
      <c r="DR290" s="102"/>
      <c r="DS290" s="102"/>
      <c r="DT290" s="102"/>
      <c r="DU290" s="102"/>
      <c r="DV290" s="102"/>
      <c r="DW290" s="102"/>
      <c r="DX290" s="102"/>
      <c r="DY290" s="102"/>
    </row>
    <row r="291" spans="1:129" s="138" customFormat="1" ht="72" customHeight="1" x14ac:dyDescent="0.3">
      <c r="A291" s="140" t="s">
        <v>31</v>
      </c>
      <c r="B291" s="673" t="s">
        <v>228</v>
      </c>
      <c r="C291" s="674" t="s">
        <v>229</v>
      </c>
      <c r="D291" s="138" t="s">
        <v>34</v>
      </c>
      <c r="E291" s="675">
        <v>18</v>
      </c>
      <c r="F291" s="675" t="s">
        <v>35</v>
      </c>
      <c r="G291" s="675">
        <v>11</v>
      </c>
      <c r="H291" s="676">
        <f>SUM(H292:H299)</f>
        <v>16453165.491365461</v>
      </c>
      <c r="I291" s="677" t="s">
        <v>36</v>
      </c>
      <c r="J291" s="676">
        <f>SUM(J292:J299)</f>
        <v>16453165.451365462</v>
      </c>
      <c r="K291" s="1691">
        <f>SUM(K292:K299)</f>
        <v>2557830.1100000003</v>
      </c>
      <c r="L291" s="1691">
        <f>SUM(L292:L299)</f>
        <v>2557830.1100000003</v>
      </c>
      <c r="M291" s="1876" t="s">
        <v>225</v>
      </c>
      <c r="N291" s="1877"/>
      <c r="O291" s="678" t="s">
        <v>39</v>
      </c>
      <c r="P291" s="493" t="s">
        <v>40</v>
      </c>
      <c r="Q291" s="494"/>
      <c r="R291" s="493" t="s">
        <v>40</v>
      </c>
      <c r="S291" s="494"/>
      <c r="T291" s="493" t="s">
        <v>40</v>
      </c>
      <c r="U291" s="494"/>
      <c r="V291" s="493" t="s">
        <v>64</v>
      </c>
      <c r="W291" s="494"/>
      <c r="X291" s="493" t="s">
        <v>41</v>
      </c>
      <c r="Y291" s="106">
        <v>45107</v>
      </c>
      <c r="Z291" s="493" t="s">
        <v>40</v>
      </c>
      <c r="AA291" s="494"/>
      <c r="AB291" s="493" t="s">
        <v>40</v>
      </c>
      <c r="AC291" s="494"/>
      <c r="AD291" s="494"/>
      <c r="AE291" s="494">
        <v>45199</v>
      </c>
      <c r="AF291" s="678" t="s">
        <v>42</v>
      </c>
      <c r="AG291" s="679">
        <v>2023</v>
      </c>
      <c r="AH291" s="35">
        <v>0</v>
      </c>
      <c r="AI291" s="35"/>
      <c r="AJ291" s="35"/>
      <c r="AK291" s="675" t="s">
        <v>43</v>
      </c>
      <c r="AL291" s="675" t="s">
        <v>41</v>
      </c>
      <c r="AM291" s="680">
        <v>0</v>
      </c>
      <c r="AN291" s="681" t="s">
        <v>230</v>
      </c>
      <c r="AO291" s="102"/>
      <c r="AP291" s="102"/>
      <c r="AQ291" s="102"/>
      <c r="AR291" s="102"/>
      <c r="AS291" s="102"/>
      <c r="AT291" s="102"/>
      <c r="AU291" s="102"/>
      <c r="AV291" s="102"/>
      <c r="AW291" s="102"/>
      <c r="AX291" s="102"/>
      <c r="AY291" s="102"/>
      <c r="AZ291" s="102"/>
      <c r="BA291" s="102"/>
      <c r="BB291" s="102"/>
      <c r="BC291" s="102"/>
      <c r="BD291" s="102"/>
      <c r="BE291" s="102"/>
      <c r="BF291" s="102"/>
      <c r="BG291" s="102"/>
      <c r="BH291" s="102"/>
      <c r="BI291" s="102"/>
      <c r="BJ291" s="102"/>
      <c r="BK291" s="102"/>
      <c r="BL291" s="102"/>
      <c r="BM291" s="102"/>
      <c r="BN291" s="102"/>
      <c r="BO291" s="102"/>
      <c r="BP291" s="102"/>
      <c r="BQ291" s="102"/>
      <c r="BR291" s="102"/>
      <c r="BS291" s="102"/>
      <c r="BT291" s="102"/>
      <c r="BU291" s="102"/>
      <c r="BV291" s="102"/>
      <c r="BW291" s="102"/>
      <c r="BX291" s="102"/>
      <c r="BY291" s="102"/>
      <c r="BZ291" s="102"/>
      <c r="CA291" s="102"/>
      <c r="CB291" s="102"/>
      <c r="CC291" s="102"/>
      <c r="CD291" s="102"/>
      <c r="CE291" s="102"/>
      <c r="CF291" s="102"/>
      <c r="CG291" s="102"/>
      <c r="CH291" s="102"/>
      <c r="CI291" s="102"/>
      <c r="CJ291" s="102"/>
      <c r="CK291" s="102"/>
      <c r="CL291" s="102"/>
      <c r="CM291" s="102"/>
      <c r="CN291" s="102"/>
      <c r="CO291" s="102"/>
      <c r="CP291" s="102"/>
      <c r="CQ291" s="102"/>
      <c r="CR291" s="102"/>
      <c r="CS291" s="102"/>
      <c r="CT291" s="102"/>
      <c r="CU291" s="102"/>
      <c r="CV291" s="102"/>
      <c r="CW291" s="102"/>
      <c r="CX291" s="102"/>
      <c r="CY291" s="102"/>
      <c r="CZ291" s="102"/>
      <c r="DA291" s="102"/>
      <c r="DB291" s="102"/>
      <c r="DC291" s="102"/>
      <c r="DD291" s="102"/>
      <c r="DE291" s="102"/>
      <c r="DF291" s="102"/>
      <c r="DG291" s="102"/>
      <c r="DH291" s="102"/>
      <c r="DI291" s="102"/>
      <c r="DJ291" s="102"/>
      <c r="DK291" s="102"/>
      <c r="DL291" s="102"/>
      <c r="DM291" s="102"/>
      <c r="DN291" s="102"/>
      <c r="DO291" s="102"/>
      <c r="DP291" s="102"/>
      <c r="DQ291" s="102"/>
      <c r="DR291" s="102"/>
      <c r="DS291" s="102"/>
      <c r="DT291" s="102"/>
      <c r="DU291" s="102"/>
      <c r="DV291" s="102"/>
      <c r="DW291" s="102"/>
      <c r="DX291" s="102"/>
      <c r="DY291" s="102"/>
    </row>
    <row r="292" spans="1:129" s="102" customFormat="1" ht="67.2" customHeight="1" x14ac:dyDescent="0.3">
      <c r="A292" s="102" t="s">
        <v>31</v>
      </c>
      <c r="B292" s="358" t="s">
        <v>223</v>
      </c>
      <c r="C292" s="167" t="s">
        <v>231</v>
      </c>
      <c r="D292" s="102" t="s">
        <v>34</v>
      </c>
      <c r="E292" s="102">
        <v>18</v>
      </c>
      <c r="F292" s="102" t="s">
        <v>35</v>
      </c>
      <c r="G292" s="102">
        <v>1</v>
      </c>
      <c r="H292" s="429">
        <v>686745.77</v>
      </c>
      <c r="I292" s="682" t="s">
        <v>36</v>
      </c>
      <c r="J292" s="429">
        <v>686745.77</v>
      </c>
      <c r="K292" s="1686">
        <v>686745.77</v>
      </c>
      <c r="L292" s="1686">
        <v>686745.77</v>
      </c>
      <c r="M292" s="107"/>
      <c r="N292" s="107"/>
      <c r="O292" s="107"/>
      <c r="P292" s="107"/>
      <c r="Q292" s="106"/>
      <c r="R292" s="107"/>
      <c r="S292" s="106"/>
      <c r="T292" s="107"/>
      <c r="U292" s="106"/>
      <c r="V292" s="107"/>
      <c r="W292" s="106"/>
      <c r="X292" s="107"/>
      <c r="Y292" s="106"/>
      <c r="Z292" s="107"/>
      <c r="AA292" s="106"/>
      <c r="AB292" s="107"/>
      <c r="AC292" s="106"/>
      <c r="AD292" s="1710" t="s">
        <v>3899</v>
      </c>
      <c r="AE292" s="1710">
        <v>45290</v>
      </c>
      <c r="AF292" s="107"/>
      <c r="AG292" s="108"/>
      <c r="AH292" s="109">
        <v>3419993.92</v>
      </c>
      <c r="AI292" s="109" t="s">
        <v>232</v>
      </c>
      <c r="AJ292" s="109" t="s">
        <v>3900</v>
      </c>
      <c r="AK292" s="102" t="s">
        <v>3901</v>
      </c>
      <c r="AL292" s="102" t="s">
        <v>70</v>
      </c>
      <c r="AM292" s="110">
        <v>1</v>
      </c>
      <c r="AN292" s="658"/>
    </row>
    <row r="293" spans="1:129" s="102" customFormat="1" ht="67.2" customHeight="1" x14ac:dyDescent="0.3">
      <c r="A293" s="102" t="s">
        <v>31</v>
      </c>
      <c r="B293" s="358" t="s">
        <v>223</v>
      </c>
      <c r="C293" s="167" t="s">
        <v>233</v>
      </c>
      <c r="D293" s="102" t="s">
        <v>34</v>
      </c>
      <c r="E293" s="102">
        <v>18</v>
      </c>
      <c r="F293" s="102" t="s">
        <v>35</v>
      </c>
      <c r="G293" s="102">
        <v>64</v>
      </c>
      <c r="H293" s="429">
        <v>1871084.38</v>
      </c>
      <c r="I293" s="682" t="s">
        <v>36</v>
      </c>
      <c r="J293" s="429">
        <v>1871084.34</v>
      </c>
      <c r="K293" s="1686">
        <v>1871084.34</v>
      </c>
      <c r="L293" s="1686">
        <v>1871084.34</v>
      </c>
      <c r="M293" s="107"/>
      <c r="N293" s="107"/>
      <c r="O293" s="107"/>
      <c r="P293" s="107"/>
      <c r="Q293" s="106"/>
      <c r="R293" s="107"/>
      <c r="S293" s="106"/>
      <c r="T293" s="107"/>
      <c r="U293" s="106"/>
      <c r="V293" s="107"/>
      <c r="W293" s="106"/>
      <c r="X293" s="107"/>
      <c r="Y293" s="106"/>
      <c r="Z293" s="107"/>
      <c r="AA293" s="106"/>
      <c r="AB293" s="107"/>
      <c r="AC293" s="106"/>
      <c r="AD293" s="1710" t="s">
        <v>3902</v>
      </c>
      <c r="AE293" s="1710">
        <v>45302</v>
      </c>
      <c r="AF293" s="107"/>
      <c r="AG293" s="108"/>
      <c r="AH293" s="109">
        <v>9318000</v>
      </c>
      <c r="AI293" s="109" t="s">
        <v>234</v>
      </c>
      <c r="AJ293" s="1711" t="s">
        <v>3900</v>
      </c>
      <c r="AK293" s="1381" t="s">
        <v>3901</v>
      </c>
      <c r="AL293" s="102" t="s">
        <v>70</v>
      </c>
      <c r="AM293" s="110">
        <v>1</v>
      </c>
      <c r="AN293" s="658"/>
    </row>
    <row r="294" spans="1:129" s="102" customFormat="1" ht="67.2" customHeight="1" x14ac:dyDescent="0.3">
      <c r="A294" s="102" t="s">
        <v>31</v>
      </c>
      <c r="B294" s="358" t="s">
        <v>223</v>
      </c>
      <c r="C294" s="167" t="s">
        <v>235</v>
      </c>
      <c r="D294" s="102" t="s">
        <v>34</v>
      </c>
      <c r="E294" s="102">
        <v>18</v>
      </c>
      <c r="F294" s="102" t="s">
        <v>35</v>
      </c>
      <c r="G294" s="102">
        <v>20</v>
      </c>
      <c r="H294" s="429">
        <f>AH294/4.98</f>
        <v>4995855.4216867462</v>
      </c>
      <c r="I294" s="682" t="s">
        <v>36</v>
      </c>
      <c r="J294" s="429">
        <f>H294</f>
        <v>4995855.4216867462</v>
      </c>
      <c r="K294" s="1686">
        <v>0</v>
      </c>
      <c r="L294" s="1686">
        <v>0</v>
      </c>
      <c r="M294" s="107"/>
      <c r="N294" s="107"/>
      <c r="O294" s="107"/>
      <c r="P294" s="107"/>
      <c r="Q294" s="106"/>
      <c r="R294" s="107"/>
      <c r="S294" s="106"/>
      <c r="T294" s="107"/>
      <c r="U294" s="106"/>
      <c r="V294" s="107"/>
      <c r="W294" s="106"/>
      <c r="X294" s="107"/>
      <c r="Y294" s="106"/>
      <c r="Z294" s="107"/>
      <c r="AA294" s="106"/>
      <c r="AB294" s="107"/>
      <c r="AC294" s="106"/>
      <c r="AD294" s="106"/>
      <c r="AE294" s="106"/>
      <c r="AF294" s="107"/>
      <c r="AG294" s="108"/>
      <c r="AH294" s="109">
        <v>24879360</v>
      </c>
      <c r="AI294" s="109" t="s">
        <v>236</v>
      </c>
      <c r="AJ294" s="1712" t="s">
        <v>237</v>
      </c>
      <c r="AK294" s="1381"/>
      <c r="AM294" s="110"/>
      <c r="AN294" s="658"/>
    </row>
    <row r="295" spans="1:129" s="102" customFormat="1" ht="67.2" customHeight="1" x14ac:dyDescent="0.3">
      <c r="A295" s="102" t="s">
        <v>31</v>
      </c>
      <c r="B295" s="358" t="s">
        <v>223</v>
      </c>
      <c r="C295" s="167" t="s">
        <v>238</v>
      </c>
      <c r="D295" s="102" t="s">
        <v>34</v>
      </c>
      <c r="E295" s="102">
        <v>18</v>
      </c>
      <c r="F295" s="102" t="s">
        <v>35</v>
      </c>
      <c r="G295" s="102">
        <v>11</v>
      </c>
      <c r="H295" s="429">
        <v>3269765.4618473891</v>
      </c>
      <c r="I295" s="682" t="s">
        <v>36</v>
      </c>
      <c r="J295" s="429">
        <v>3269765.4618473891</v>
      </c>
      <c r="K295" s="1686">
        <v>0</v>
      </c>
      <c r="L295" s="1686">
        <v>0</v>
      </c>
      <c r="M295" s="107"/>
      <c r="N295" s="107"/>
      <c r="O295" s="107"/>
      <c r="P295" s="107"/>
      <c r="Q295" s="106"/>
      <c r="R295" s="107"/>
      <c r="S295" s="106"/>
      <c r="T295" s="107"/>
      <c r="U295" s="106"/>
      <c r="V295" s="107"/>
      <c r="W295" s="106"/>
      <c r="X295" s="107"/>
      <c r="Y295" s="106"/>
      <c r="Z295" s="107"/>
      <c r="AA295" s="106"/>
      <c r="AB295" s="107"/>
      <c r="AC295" s="106"/>
      <c r="AD295" s="106" t="s">
        <v>3903</v>
      </c>
      <c r="AE295" s="106">
        <v>45447</v>
      </c>
      <c r="AF295" s="107"/>
      <c r="AG295" s="108"/>
      <c r="AH295" s="109">
        <v>16283432</v>
      </c>
      <c r="AI295" s="109" t="s">
        <v>236</v>
      </c>
      <c r="AJ295" s="1712" t="s">
        <v>237</v>
      </c>
      <c r="AK295" s="1381" t="s">
        <v>3904</v>
      </c>
      <c r="AL295" s="102" t="s">
        <v>70</v>
      </c>
      <c r="AM295" s="110">
        <v>0</v>
      </c>
      <c r="AN295" s="658"/>
    </row>
    <row r="296" spans="1:129" s="102" customFormat="1" ht="67.2" customHeight="1" x14ac:dyDescent="0.3">
      <c r="A296" s="102" t="s">
        <v>31</v>
      </c>
      <c r="B296" s="358" t="s">
        <v>223</v>
      </c>
      <c r="C296" s="167" t="s">
        <v>239</v>
      </c>
      <c r="D296" s="102" t="s">
        <v>34</v>
      </c>
      <c r="E296" s="102">
        <v>18</v>
      </c>
      <c r="F296" s="102" t="s">
        <v>35</v>
      </c>
      <c r="G296" s="102">
        <v>11</v>
      </c>
      <c r="H296" s="429">
        <v>3297265.4618473891</v>
      </c>
      <c r="I296" s="682" t="s">
        <v>36</v>
      </c>
      <c r="J296" s="429">
        <v>3297265.4618473891</v>
      </c>
      <c r="K296" s="1686">
        <v>0</v>
      </c>
      <c r="L296" s="1686">
        <v>0</v>
      </c>
      <c r="M296" s="107"/>
      <c r="N296" s="107"/>
      <c r="O296" s="107"/>
      <c r="P296" s="107"/>
      <c r="Q296" s="106"/>
      <c r="R296" s="107"/>
      <c r="S296" s="106"/>
      <c r="T296" s="107"/>
      <c r="U296" s="106"/>
      <c r="V296" s="107"/>
      <c r="W296" s="106"/>
      <c r="X296" s="107"/>
      <c r="Y296" s="106"/>
      <c r="Z296" s="107"/>
      <c r="AA296" s="106"/>
      <c r="AB296" s="107"/>
      <c r="AC296" s="106"/>
      <c r="AD296" s="106" t="s">
        <v>3903</v>
      </c>
      <c r="AE296" s="106">
        <v>45447</v>
      </c>
      <c r="AF296" s="107"/>
      <c r="AG296" s="108"/>
      <c r="AH296" s="109">
        <v>16420382</v>
      </c>
      <c r="AI296" s="109" t="s">
        <v>236</v>
      </c>
      <c r="AJ296" s="1711" t="s">
        <v>237</v>
      </c>
      <c r="AK296" s="1381" t="s">
        <v>3905</v>
      </c>
      <c r="AL296" s="102" t="s">
        <v>70</v>
      </c>
      <c r="AM296" s="110">
        <v>0</v>
      </c>
      <c r="AN296" s="658"/>
    </row>
    <row r="297" spans="1:129" s="102" customFormat="1" ht="67.2" customHeight="1" x14ac:dyDescent="0.3">
      <c r="A297" s="102" t="s">
        <v>31</v>
      </c>
      <c r="B297" s="358" t="s">
        <v>223</v>
      </c>
      <c r="C297" s="167" t="s">
        <v>240</v>
      </c>
      <c r="D297" s="102" t="s">
        <v>34</v>
      </c>
      <c r="E297" s="102">
        <v>18</v>
      </c>
      <c r="F297" s="102" t="s">
        <v>35</v>
      </c>
      <c r="G297" s="102">
        <v>4</v>
      </c>
      <c r="H297" s="429">
        <v>999336.54618473887</v>
      </c>
      <c r="I297" s="682" t="s">
        <v>36</v>
      </c>
      <c r="J297" s="429">
        <v>999336.54618473887</v>
      </c>
      <c r="K297" s="1686">
        <v>0</v>
      </c>
      <c r="L297" s="1686">
        <v>0</v>
      </c>
      <c r="M297" s="107"/>
      <c r="N297" s="107"/>
      <c r="O297" s="107"/>
      <c r="P297" s="107"/>
      <c r="Q297" s="106"/>
      <c r="R297" s="107"/>
      <c r="S297" s="106"/>
      <c r="T297" s="107"/>
      <c r="U297" s="106"/>
      <c r="V297" s="107"/>
      <c r="W297" s="106"/>
      <c r="X297" s="107"/>
      <c r="Y297" s="106"/>
      <c r="Z297" s="107"/>
      <c r="AA297" s="106"/>
      <c r="AB297" s="107"/>
      <c r="AC297" s="106"/>
      <c r="AD297" s="106" t="s">
        <v>3903</v>
      </c>
      <c r="AE297" s="106">
        <v>45447</v>
      </c>
      <c r="AF297" s="107"/>
      <c r="AG297" s="108"/>
      <c r="AH297" s="109">
        <v>4976696</v>
      </c>
      <c r="AI297" s="109" t="s">
        <v>236</v>
      </c>
      <c r="AJ297" s="1711" t="s">
        <v>237</v>
      </c>
      <c r="AK297" s="1381" t="s">
        <v>3905</v>
      </c>
      <c r="AL297" s="102" t="s">
        <v>70</v>
      </c>
      <c r="AM297" s="110">
        <v>0</v>
      </c>
      <c r="AN297" s="658"/>
    </row>
    <row r="298" spans="1:129" s="102" customFormat="1" ht="67.2" customHeight="1" x14ac:dyDescent="0.3">
      <c r="A298" s="102" t="s">
        <v>31</v>
      </c>
      <c r="B298" s="358" t="s">
        <v>223</v>
      </c>
      <c r="C298" s="167" t="s">
        <v>241</v>
      </c>
      <c r="D298" s="102" t="s">
        <v>34</v>
      </c>
      <c r="E298" s="102">
        <v>18</v>
      </c>
      <c r="F298" s="102" t="s">
        <v>35</v>
      </c>
      <c r="G298" s="102">
        <v>6</v>
      </c>
      <c r="H298" s="429">
        <v>733614.45783132524</v>
      </c>
      <c r="I298" s="682" t="s">
        <v>36</v>
      </c>
      <c r="J298" s="429">
        <v>733614.45783132524</v>
      </c>
      <c r="K298" s="1686">
        <v>0</v>
      </c>
      <c r="L298" s="1686">
        <v>0</v>
      </c>
      <c r="M298" s="107"/>
      <c r="N298" s="107"/>
      <c r="O298" s="107"/>
      <c r="P298" s="107"/>
      <c r="Q298" s="106"/>
      <c r="R298" s="107"/>
      <c r="S298" s="106"/>
      <c r="T298" s="107"/>
      <c r="U298" s="106"/>
      <c r="V298" s="107"/>
      <c r="W298" s="106"/>
      <c r="X298" s="107"/>
      <c r="Y298" s="106"/>
      <c r="Z298" s="107"/>
      <c r="AA298" s="106"/>
      <c r="AB298" s="107"/>
      <c r="AC298" s="106"/>
      <c r="AD298" s="1710">
        <v>45385</v>
      </c>
      <c r="AE298" s="1710">
        <v>45445</v>
      </c>
      <c r="AF298" s="107"/>
      <c r="AG298" s="108"/>
      <c r="AH298" s="109">
        <v>3653400</v>
      </c>
      <c r="AI298" s="109" t="s">
        <v>242</v>
      </c>
      <c r="AJ298" s="1711" t="s">
        <v>3906</v>
      </c>
      <c r="AK298" s="102" t="s">
        <v>3907</v>
      </c>
      <c r="AL298" s="102" t="s">
        <v>70</v>
      </c>
      <c r="AM298" s="110">
        <v>1</v>
      </c>
      <c r="AN298" s="658"/>
    </row>
    <row r="299" spans="1:129" s="102" customFormat="1" ht="67.2" customHeight="1" x14ac:dyDescent="0.3">
      <c r="A299" s="102" t="s">
        <v>31</v>
      </c>
      <c r="B299" s="358" t="s">
        <v>223</v>
      </c>
      <c r="C299" s="167" t="s">
        <v>243</v>
      </c>
      <c r="D299" s="102" t="s">
        <v>34</v>
      </c>
      <c r="E299" s="102">
        <v>18</v>
      </c>
      <c r="F299" s="102" t="s">
        <v>35</v>
      </c>
      <c r="G299" s="102">
        <v>10</v>
      </c>
      <c r="H299" s="429">
        <v>599497.99196787144</v>
      </c>
      <c r="I299" s="682" t="s">
        <v>36</v>
      </c>
      <c r="J299" s="429">
        <v>599497.99196787144</v>
      </c>
      <c r="K299" s="1686">
        <v>0</v>
      </c>
      <c r="L299" s="1686">
        <v>0</v>
      </c>
      <c r="M299" s="107"/>
      <c r="N299" s="107"/>
      <c r="O299" s="107"/>
      <c r="P299" s="107"/>
      <c r="Q299" s="106"/>
      <c r="R299" s="107"/>
      <c r="S299" s="106"/>
      <c r="T299" s="107"/>
      <c r="U299" s="106"/>
      <c r="V299" s="107"/>
      <c r="W299" s="106"/>
      <c r="X299" s="107"/>
      <c r="Y299" s="106"/>
      <c r="Z299" s="107"/>
      <c r="AA299" s="106"/>
      <c r="AB299" s="107"/>
      <c r="AC299" s="106"/>
      <c r="AD299" s="1710">
        <v>45384</v>
      </c>
      <c r="AE299" s="1710">
        <v>45446</v>
      </c>
      <c r="AF299" s="107"/>
      <c r="AG299" s="108"/>
      <c r="AH299" s="109">
        <v>2985500</v>
      </c>
      <c r="AI299" s="109" t="s">
        <v>244</v>
      </c>
      <c r="AJ299" s="1711" t="s">
        <v>3906</v>
      </c>
      <c r="AK299" s="102" t="s">
        <v>3908</v>
      </c>
      <c r="AL299" s="102" t="s">
        <v>70</v>
      </c>
      <c r="AM299" s="110">
        <v>1</v>
      </c>
      <c r="AN299" s="658"/>
    </row>
    <row r="300" spans="1:129" s="365" customFormat="1" ht="23.4" customHeight="1" x14ac:dyDescent="0.3">
      <c r="A300" s="365" t="s">
        <v>31</v>
      </c>
      <c r="B300" s="497" t="s">
        <v>245</v>
      </c>
      <c r="C300" s="498" t="s">
        <v>246</v>
      </c>
      <c r="D300" s="365" t="s">
        <v>34</v>
      </c>
      <c r="E300" s="365">
        <v>19</v>
      </c>
      <c r="F300" s="365" t="s">
        <v>35</v>
      </c>
      <c r="H300" s="500">
        <v>30000000</v>
      </c>
      <c r="I300" s="670" t="s">
        <v>36</v>
      </c>
      <c r="J300" s="500">
        <v>30000000</v>
      </c>
      <c r="K300" s="1653">
        <v>0</v>
      </c>
      <c r="L300" s="1653">
        <v>0</v>
      </c>
      <c r="M300" s="501"/>
      <c r="N300" s="501"/>
      <c r="O300" s="501"/>
      <c r="P300" s="501" t="s">
        <v>40</v>
      </c>
      <c r="Q300" s="671" t="s">
        <v>40</v>
      </c>
      <c r="R300" s="501" t="s">
        <v>40</v>
      </c>
      <c r="S300" s="671" t="s">
        <v>40</v>
      </c>
      <c r="T300" s="501" t="s">
        <v>40</v>
      </c>
      <c r="U300" s="683" t="s">
        <v>40</v>
      </c>
      <c r="V300" s="501" t="s">
        <v>40</v>
      </c>
      <c r="W300" s="671" t="s">
        <v>40</v>
      </c>
      <c r="X300" s="501" t="s">
        <v>40</v>
      </c>
      <c r="Y300" s="671" t="s">
        <v>40</v>
      </c>
      <c r="Z300" s="501" t="s">
        <v>40</v>
      </c>
      <c r="AA300" s="671" t="s">
        <v>40</v>
      </c>
      <c r="AB300" s="501" t="s">
        <v>40</v>
      </c>
      <c r="AC300" s="671" t="s">
        <v>40</v>
      </c>
      <c r="AD300" s="671"/>
      <c r="AE300" s="671">
        <v>46022</v>
      </c>
      <c r="AF300" s="501" t="s">
        <v>247</v>
      </c>
      <c r="AG300" s="502">
        <v>2025</v>
      </c>
      <c r="AH300" s="499">
        <v>0</v>
      </c>
      <c r="AI300" s="499"/>
      <c r="AJ300" s="499"/>
      <c r="AK300" s="365" t="s">
        <v>43</v>
      </c>
      <c r="AL300" s="365" t="s">
        <v>41</v>
      </c>
      <c r="AM300" s="503">
        <v>0</v>
      </c>
      <c r="AN300" s="672"/>
      <c r="AO300" s="102"/>
      <c r="AP300" s="102"/>
      <c r="AQ300" s="102"/>
      <c r="AR300" s="102"/>
      <c r="AS300" s="102"/>
      <c r="AT300" s="102"/>
      <c r="AU300" s="102"/>
      <c r="AV300" s="102"/>
      <c r="AW300" s="102"/>
      <c r="AX300" s="102"/>
      <c r="AY300" s="102"/>
      <c r="AZ300" s="102"/>
      <c r="BA300" s="102"/>
      <c r="BB300" s="102"/>
      <c r="BC300" s="102"/>
      <c r="BD300" s="102"/>
      <c r="BE300" s="102"/>
      <c r="BF300" s="102"/>
      <c r="BG300" s="102"/>
      <c r="BH300" s="102"/>
      <c r="BI300" s="102"/>
      <c r="BJ300" s="102"/>
      <c r="BK300" s="102"/>
      <c r="BL300" s="102"/>
      <c r="BM300" s="102"/>
      <c r="BN300" s="102"/>
      <c r="BO300" s="102"/>
      <c r="BP300" s="102"/>
      <c r="BQ300" s="102"/>
      <c r="BR300" s="102"/>
      <c r="BS300" s="102"/>
      <c r="BT300" s="102"/>
      <c r="BU300" s="102"/>
      <c r="BV300" s="102"/>
      <c r="BW300" s="102"/>
      <c r="BX300" s="102"/>
      <c r="BY300" s="102"/>
      <c r="BZ300" s="102"/>
      <c r="CA300" s="102"/>
      <c r="CB300" s="102"/>
      <c r="CC300" s="102"/>
      <c r="CD300" s="102"/>
      <c r="CE300" s="102"/>
      <c r="CF300" s="102"/>
      <c r="CG300" s="102"/>
      <c r="CH300" s="102"/>
      <c r="CI300" s="102"/>
      <c r="CJ300" s="102"/>
      <c r="CK300" s="102"/>
      <c r="CL300" s="102"/>
      <c r="CM300" s="102"/>
      <c r="CN300" s="102"/>
      <c r="CO300" s="102"/>
      <c r="CP300" s="102"/>
      <c r="CQ300" s="102"/>
      <c r="CR300" s="102"/>
      <c r="CS300" s="102"/>
      <c r="CT300" s="102"/>
      <c r="CU300" s="102"/>
      <c r="CV300" s="102"/>
      <c r="CW300" s="102"/>
      <c r="CX300" s="102"/>
      <c r="CY300" s="102"/>
      <c r="CZ300" s="102"/>
      <c r="DA300" s="102"/>
      <c r="DB300" s="102"/>
      <c r="DC300" s="102"/>
      <c r="DD300" s="102"/>
      <c r="DE300" s="102"/>
      <c r="DF300" s="102"/>
      <c r="DG300" s="102"/>
      <c r="DH300" s="102"/>
      <c r="DI300" s="102"/>
      <c r="DJ300" s="102"/>
      <c r="DK300" s="102"/>
      <c r="DL300" s="102"/>
      <c r="DM300" s="102"/>
      <c r="DN300" s="102"/>
      <c r="DO300" s="102"/>
      <c r="DP300" s="102"/>
      <c r="DQ300" s="102"/>
      <c r="DR300" s="102"/>
      <c r="DS300" s="102"/>
      <c r="DT300" s="102"/>
      <c r="DU300" s="102"/>
      <c r="DV300" s="102"/>
      <c r="DW300" s="102"/>
      <c r="DX300" s="102"/>
      <c r="DY300" s="102"/>
    </row>
    <row r="301" spans="1:129" s="140" customFormat="1" ht="23.4" customHeight="1" x14ac:dyDescent="0.3">
      <c r="A301" s="140" t="s">
        <v>31</v>
      </c>
      <c r="B301" s="684" t="s">
        <v>245</v>
      </c>
      <c r="C301" s="649" t="s">
        <v>248</v>
      </c>
      <c r="D301" s="140" t="s">
        <v>34</v>
      </c>
      <c r="E301" s="140">
        <v>19</v>
      </c>
      <c r="F301" s="140" t="s">
        <v>35</v>
      </c>
      <c r="G301" s="140">
        <v>1</v>
      </c>
      <c r="H301" s="34">
        <v>30000000</v>
      </c>
      <c r="I301" s="650" t="s">
        <v>36</v>
      </c>
      <c r="J301" s="34">
        <v>30000000</v>
      </c>
      <c r="K301" s="1659">
        <v>0</v>
      </c>
      <c r="L301" s="1659">
        <v>0</v>
      </c>
      <c r="M301" s="10" t="s">
        <v>249</v>
      </c>
      <c r="N301" s="10" t="s">
        <v>249</v>
      </c>
      <c r="O301" s="10" t="s">
        <v>39</v>
      </c>
      <c r="P301" s="10"/>
      <c r="Q301" s="141"/>
      <c r="R301" s="10"/>
      <c r="S301" s="141"/>
      <c r="T301" s="10"/>
      <c r="U301" s="141"/>
      <c r="V301" s="10"/>
      <c r="W301" s="141"/>
      <c r="X301" s="10"/>
      <c r="Y301" s="141"/>
      <c r="Z301" s="10"/>
      <c r="AA301" s="141"/>
      <c r="AB301" s="10"/>
      <c r="AC301" s="141"/>
      <c r="AD301" s="141"/>
      <c r="AE301" s="141"/>
      <c r="AF301" s="10"/>
      <c r="AG301" s="41"/>
      <c r="AH301" s="35"/>
      <c r="AI301" s="35"/>
      <c r="AJ301" s="35"/>
      <c r="AM301" s="142"/>
      <c r="AN301" s="6"/>
      <c r="AO301" s="143"/>
      <c r="AP301" s="143"/>
      <c r="AQ301" s="143"/>
      <c r="AR301" s="143"/>
      <c r="AS301" s="143"/>
      <c r="AT301" s="143"/>
      <c r="AU301" s="143"/>
      <c r="AV301" s="143"/>
      <c r="AW301" s="143"/>
      <c r="AX301" s="143"/>
      <c r="AY301" s="143"/>
      <c r="AZ301" s="143"/>
      <c r="BA301" s="143"/>
      <c r="BB301" s="143"/>
      <c r="BC301" s="143"/>
      <c r="BD301" s="143"/>
      <c r="BE301" s="143"/>
    </row>
    <row r="302" spans="1:129" s="365" customFormat="1" ht="166.95" customHeight="1" x14ac:dyDescent="0.3">
      <c r="A302" s="365" t="s">
        <v>31</v>
      </c>
      <c r="B302" s="497" t="s">
        <v>250</v>
      </c>
      <c r="C302" s="498" t="s">
        <v>251</v>
      </c>
      <c r="D302" s="365" t="s">
        <v>34</v>
      </c>
      <c r="E302" s="365" t="s">
        <v>252</v>
      </c>
      <c r="F302" s="365" t="s">
        <v>35</v>
      </c>
      <c r="G302" s="365">
        <v>400</v>
      </c>
      <c r="H302" s="500">
        <v>40000000</v>
      </c>
      <c r="I302" s="670" t="s">
        <v>36</v>
      </c>
      <c r="J302" s="500">
        <v>40000000</v>
      </c>
      <c r="K302" s="1679">
        <f>K305</f>
        <v>180</v>
      </c>
      <c r="L302" s="1679">
        <f>L303</f>
        <v>180</v>
      </c>
      <c r="M302" s="1874" t="s">
        <v>253</v>
      </c>
      <c r="N302" s="1874"/>
      <c r="O302" s="501" t="s">
        <v>254</v>
      </c>
      <c r="P302" s="573" t="s">
        <v>41</v>
      </c>
      <c r="Q302" s="574">
        <v>45291</v>
      </c>
      <c r="R302" s="573" t="s">
        <v>41</v>
      </c>
      <c r="S302" s="574">
        <v>45291</v>
      </c>
      <c r="T302" s="573" t="s">
        <v>40</v>
      </c>
      <c r="U302" s="574" t="s">
        <v>40</v>
      </c>
      <c r="V302" s="573" t="s">
        <v>41</v>
      </c>
      <c r="W302" s="574">
        <v>45199</v>
      </c>
      <c r="X302" s="573" t="s">
        <v>41</v>
      </c>
      <c r="Y302" s="574">
        <v>45260</v>
      </c>
      <c r="Z302" s="573" t="s">
        <v>40</v>
      </c>
      <c r="AA302" s="574" t="s">
        <v>40</v>
      </c>
      <c r="AB302" s="573" t="s">
        <v>64</v>
      </c>
      <c r="AC302" s="574" t="s">
        <v>40</v>
      </c>
      <c r="AD302" s="574">
        <v>44888</v>
      </c>
      <c r="AE302" s="574">
        <v>46203</v>
      </c>
      <c r="AF302" s="573" t="s">
        <v>255</v>
      </c>
      <c r="AG302" s="575" t="s">
        <v>256</v>
      </c>
      <c r="AH302" s="499">
        <f>AH303</f>
        <v>895</v>
      </c>
      <c r="AI302" s="499"/>
      <c r="AJ302" s="499"/>
      <c r="AK302" s="365" t="s">
        <v>43</v>
      </c>
      <c r="AL302" s="365" t="s">
        <v>41</v>
      </c>
      <c r="AM302" s="503">
        <v>0</v>
      </c>
      <c r="AN302" s="577" t="s">
        <v>257</v>
      </c>
      <c r="AO302" s="102"/>
      <c r="AP302" s="102"/>
      <c r="AQ302" s="102"/>
      <c r="AR302" s="102"/>
      <c r="AS302" s="102"/>
      <c r="AT302" s="102"/>
      <c r="AU302" s="102"/>
      <c r="AV302" s="102"/>
      <c r="AW302" s="102"/>
      <c r="AX302" s="102"/>
      <c r="AY302" s="102"/>
      <c r="AZ302" s="102"/>
      <c r="BA302" s="102"/>
      <c r="BB302" s="102"/>
      <c r="BC302" s="102"/>
      <c r="BD302" s="102"/>
      <c r="BE302" s="102"/>
      <c r="BF302" s="102"/>
      <c r="BG302" s="102"/>
      <c r="BH302" s="102"/>
      <c r="BI302" s="102"/>
      <c r="BJ302" s="102"/>
      <c r="BK302" s="102"/>
      <c r="BL302" s="102"/>
      <c r="BM302" s="102"/>
      <c r="BN302" s="102"/>
      <c r="BO302" s="102"/>
      <c r="BP302" s="102"/>
      <c r="BQ302" s="102"/>
      <c r="BR302" s="102"/>
      <c r="BS302" s="102"/>
      <c r="BT302" s="102"/>
      <c r="BU302" s="102"/>
      <c r="BV302" s="102"/>
      <c r="BW302" s="102"/>
      <c r="BX302" s="102"/>
      <c r="BY302" s="102"/>
      <c r="BZ302" s="102"/>
      <c r="CA302" s="102"/>
      <c r="CB302" s="102"/>
      <c r="CC302" s="102"/>
      <c r="CD302" s="102"/>
      <c r="CE302" s="102"/>
      <c r="CF302" s="102"/>
      <c r="CG302" s="102"/>
      <c r="CH302" s="102"/>
      <c r="CI302" s="102"/>
      <c r="CJ302" s="102"/>
      <c r="CK302" s="102"/>
      <c r="CL302" s="102"/>
      <c r="CM302" s="102"/>
      <c r="CN302" s="102"/>
      <c r="CO302" s="102"/>
      <c r="CP302" s="102"/>
      <c r="CQ302" s="102"/>
      <c r="CR302" s="102"/>
      <c r="CS302" s="102"/>
      <c r="CT302" s="102"/>
      <c r="CU302" s="102"/>
      <c r="CV302" s="102"/>
      <c r="CW302" s="102"/>
      <c r="CX302" s="102"/>
      <c r="CY302" s="102"/>
      <c r="CZ302" s="102"/>
      <c r="DA302" s="102"/>
      <c r="DB302" s="102"/>
      <c r="DC302" s="102"/>
      <c r="DD302" s="102"/>
      <c r="DE302" s="102"/>
      <c r="DF302" s="102"/>
      <c r="DG302" s="102"/>
      <c r="DH302" s="102"/>
      <c r="DI302" s="102"/>
      <c r="DJ302" s="102"/>
      <c r="DK302" s="102"/>
      <c r="DL302" s="102"/>
      <c r="DM302" s="102"/>
      <c r="DN302" s="102"/>
      <c r="DO302" s="102"/>
      <c r="DP302" s="102"/>
      <c r="DQ302" s="102"/>
      <c r="DR302" s="102"/>
      <c r="DS302" s="102"/>
      <c r="DT302" s="102"/>
      <c r="DU302" s="102"/>
      <c r="DV302" s="102"/>
      <c r="DW302" s="102"/>
      <c r="DX302" s="102"/>
      <c r="DY302" s="102"/>
    </row>
    <row r="303" spans="1:129" s="359" customFormat="1" ht="153" customHeight="1" x14ac:dyDescent="0.3">
      <c r="A303" s="359" t="s">
        <v>31</v>
      </c>
      <c r="B303" s="545" t="s">
        <v>226</v>
      </c>
      <c r="C303" s="546" t="s">
        <v>258</v>
      </c>
      <c r="D303" s="359" t="s">
        <v>34</v>
      </c>
      <c r="E303" s="359" t="s">
        <v>252</v>
      </c>
      <c r="F303" s="359" t="s">
        <v>35</v>
      </c>
      <c r="G303" s="359">
        <v>400</v>
      </c>
      <c r="H303" s="547">
        <v>40000000</v>
      </c>
      <c r="I303" s="548" t="s">
        <v>36</v>
      </c>
      <c r="J303" s="547">
        <v>40000000</v>
      </c>
      <c r="K303" s="1649">
        <v>180</v>
      </c>
      <c r="L303" s="1649">
        <f>L304</f>
        <v>180</v>
      </c>
      <c r="M303" s="1878" t="s">
        <v>253</v>
      </c>
      <c r="N303" s="1878"/>
      <c r="O303" s="144" t="s">
        <v>254</v>
      </c>
      <c r="P303" s="144" t="s">
        <v>41</v>
      </c>
      <c r="Q303" s="484">
        <v>45291</v>
      </c>
      <c r="R303" s="144" t="s">
        <v>41</v>
      </c>
      <c r="S303" s="484">
        <v>45291</v>
      </c>
      <c r="T303" s="144" t="s">
        <v>40</v>
      </c>
      <c r="U303" s="685" t="s">
        <v>40</v>
      </c>
      <c r="V303" s="144" t="s">
        <v>41</v>
      </c>
      <c r="W303" s="484">
        <v>45139</v>
      </c>
      <c r="X303" s="144" t="s">
        <v>41</v>
      </c>
      <c r="Y303" s="484">
        <v>45503</v>
      </c>
      <c r="Z303" s="144" t="s">
        <v>40</v>
      </c>
      <c r="AA303" s="685" t="s">
        <v>40</v>
      </c>
      <c r="AB303" s="144" t="s">
        <v>40</v>
      </c>
      <c r="AC303" s="144" t="s">
        <v>40</v>
      </c>
      <c r="AD303" s="484"/>
      <c r="AE303" s="484">
        <v>46203</v>
      </c>
      <c r="AF303" s="144" t="s">
        <v>255</v>
      </c>
      <c r="AG303" s="145" t="s">
        <v>256</v>
      </c>
      <c r="AH303" s="3">
        <f>AH305</f>
        <v>895</v>
      </c>
      <c r="AI303" s="3"/>
      <c r="AJ303" s="3"/>
      <c r="AK303" s="479" t="s">
        <v>43</v>
      </c>
      <c r="AL303" s="479" t="s">
        <v>41</v>
      </c>
      <c r="AM303" s="485">
        <v>0</v>
      </c>
      <c r="AN303" s="486" t="s">
        <v>40</v>
      </c>
      <c r="AO303" s="102"/>
      <c r="AP303" s="102"/>
      <c r="AQ303" s="102"/>
      <c r="AR303" s="102"/>
      <c r="AS303" s="102"/>
      <c r="AT303" s="102"/>
      <c r="AU303" s="102"/>
      <c r="AV303" s="102"/>
      <c r="AW303" s="102"/>
      <c r="AX303" s="102"/>
      <c r="AY303" s="102"/>
      <c r="AZ303" s="102"/>
      <c r="BA303" s="102"/>
      <c r="BB303" s="102"/>
      <c r="BC303" s="102"/>
      <c r="BD303" s="102"/>
      <c r="BE303" s="102"/>
      <c r="BF303" s="102"/>
      <c r="BG303" s="102"/>
      <c r="BH303" s="102"/>
      <c r="BI303" s="102"/>
      <c r="BJ303" s="102"/>
      <c r="BK303" s="102"/>
      <c r="BL303" s="102"/>
      <c r="BM303" s="102"/>
      <c r="BN303" s="102"/>
      <c r="BO303" s="102"/>
      <c r="BP303" s="102"/>
      <c r="BQ303" s="102"/>
      <c r="BR303" s="102"/>
      <c r="BS303" s="102"/>
      <c r="BT303" s="102"/>
      <c r="BU303" s="102"/>
      <c r="BV303" s="102"/>
      <c r="BW303" s="102"/>
      <c r="BX303" s="102"/>
      <c r="BY303" s="102"/>
      <c r="BZ303" s="102"/>
      <c r="CA303" s="102"/>
      <c r="CB303" s="102"/>
      <c r="CC303" s="102"/>
      <c r="CD303" s="102"/>
      <c r="CE303" s="102"/>
      <c r="CF303" s="102"/>
      <c r="CG303" s="102"/>
      <c r="CH303" s="102"/>
      <c r="CI303" s="102"/>
      <c r="CJ303" s="102"/>
      <c r="CK303" s="102"/>
      <c r="CL303" s="102"/>
      <c r="CM303" s="102"/>
      <c r="CN303" s="102"/>
      <c r="CO303" s="102"/>
      <c r="CP303" s="102"/>
      <c r="CQ303" s="102"/>
      <c r="CR303" s="102"/>
      <c r="CS303" s="102"/>
      <c r="CT303" s="102"/>
      <c r="CU303" s="102"/>
      <c r="CV303" s="102"/>
      <c r="CW303" s="102"/>
      <c r="CX303" s="102"/>
      <c r="CY303" s="102"/>
      <c r="CZ303" s="102"/>
      <c r="DA303" s="102"/>
      <c r="DB303" s="102"/>
      <c r="DC303" s="102"/>
      <c r="DD303" s="102"/>
      <c r="DE303" s="102"/>
      <c r="DF303" s="102"/>
      <c r="DG303" s="102"/>
      <c r="DH303" s="102"/>
      <c r="DI303" s="102"/>
      <c r="DJ303" s="102"/>
      <c r="DK303" s="102"/>
      <c r="DL303" s="102"/>
      <c r="DM303" s="102"/>
      <c r="DN303" s="102"/>
      <c r="DO303" s="102"/>
      <c r="DP303" s="102"/>
      <c r="DQ303" s="102"/>
      <c r="DR303" s="102"/>
      <c r="DS303" s="102"/>
      <c r="DT303" s="102"/>
      <c r="DU303" s="102"/>
      <c r="DV303" s="102"/>
      <c r="DW303" s="102"/>
      <c r="DX303" s="102"/>
      <c r="DY303" s="102"/>
    </row>
    <row r="304" spans="1:129" s="590" customFormat="1" ht="186.6" customHeight="1" x14ac:dyDescent="0.3">
      <c r="A304" s="590" t="s">
        <v>31</v>
      </c>
      <c r="B304" s="591" t="s">
        <v>228</v>
      </c>
      <c r="C304" s="592" t="s">
        <v>259</v>
      </c>
      <c r="D304" s="590" t="s">
        <v>34</v>
      </c>
      <c r="E304" s="590" t="s">
        <v>252</v>
      </c>
      <c r="F304" s="590" t="s">
        <v>35</v>
      </c>
      <c r="G304" s="686">
        <v>400</v>
      </c>
      <c r="H304" s="596">
        <v>40000000</v>
      </c>
      <c r="I304" s="687" t="s">
        <v>36</v>
      </c>
      <c r="J304" s="596">
        <v>40000000</v>
      </c>
      <c r="K304" s="1692">
        <v>180</v>
      </c>
      <c r="L304" s="1692">
        <v>180</v>
      </c>
      <c r="M304" s="1879" t="s">
        <v>253</v>
      </c>
      <c r="N304" s="1879"/>
      <c r="O304" s="597" t="s">
        <v>254</v>
      </c>
      <c r="P304" s="146" t="s">
        <v>41</v>
      </c>
      <c r="Q304" s="688">
        <v>45291</v>
      </c>
      <c r="R304" s="146" t="s">
        <v>41</v>
      </c>
      <c r="S304" s="688">
        <v>45291</v>
      </c>
      <c r="T304" s="146" t="s">
        <v>40</v>
      </c>
      <c r="U304" s="689" t="s">
        <v>40</v>
      </c>
      <c r="V304" s="146" t="s">
        <v>41</v>
      </c>
      <c r="W304" s="688">
        <v>45139</v>
      </c>
      <c r="X304" s="146" t="s">
        <v>41</v>
      </c>
      <c r="Y304" s="688">
        <v>45503</v>
      </c>
      <c r="Z304" s="146" t="s">
        <v>40</v>
      </c>
      <c r="AA304" s="689" t="s">
        <v>40</v>
      </c>
      <c r="AB304" s="146" t="s">
        <v>40</v>
      </c>
      <c r="AC304" s="146" t="s">
        <v>40</v>
      </c>
      <c r="AD304" s="688"/>
      <c r="AE304" s="688">
        <v>46203</v>
      </c>
      <c r="AF304" s="146" t="s">
        <v>255</v>
      </c>
      <c r="AG304" s="147" t="s">
        <v>256</v>
      </c>
      <c r="AH304" s="380">
        <v>895</v>
      </c>
      <c r="AI304" s="380"/>
      <c r="AJ304" s="380"/>
      <c r="AK304" s="590" t="s">
        <v>43</v>
      </c>
      <c r="AL304" s="590" t="s">
        <v>41</v>
      </c>
      <c r="AM304" s="599">
        <v>0</v>
      </c>
      <c r="AN304" s="148" t="s">
        <v>260</v>
      </c>
      <c r="AO304" s="102"/>
      <c r="AP304" s="102"/>
      <c r="AQ304" s="102"/>
      <c r="AR304" s="102"/>
      <c r="AS304" s="102"/>
      <c r="AT304" s="102"/>
      <c r="AU304" s="102"/>
      <c r="AV304" s="102"/>
      <c r="AW304" s="102"/>
      <c r="AX304" s="102"/>
      <c r="AY304" s="102"/>
      <c r="AZ304" s="102"/>
      <c r="BA304" s="102"/>
      <c r="BB304" s="102"/>
      <c r="BC304" s="102"/>
      <c r="BD304" s="102"/>
      <c r="BE304" s="102"/>
      <c r="BF304" s="102"/>
      <c r="BG304" s="102"/>
      <c r="BH304" s="102"/>
      <c r="BI304" s="102"/>
      <c r="BJ304" s="102"/>
      <c r="BK304" s="102"/>
      <c r="BL304" s="102"/>
      <c r="BM304" s="102"/>
      <c r="BN304" s="102"/>
      <c r="BO304" s="102"/>
      <c r="BP304" s="102"/>
      <c r="BQ304" s="102"/>
      <c r="BR304" s="102"/>
      <c r="BS304" s="102"/>
      <c r="BT304" s="102"/>
      <c r="BU304" s="102"/>
      <c r="BV304" s="102"/>
      <c r="BW304" s="102"/>
      <c r="BX304" s="102"/>
      <c r="BY304" s="102"/>
      <c r="BZ304" s="102"/>
      <c r="CA304" s="102"/>
      <c r="CB304" s="102"/>
      <c r="CC304" s="102"/>
      <c r="CD304" s="102"/>
      <c r="CE304" s="102"/>
      <c r="CF304" s="102"/>
      <c r="CG304" s="102"/>
      <c r="CH304" s="102"/>
      <c r="CI304" s="102"/>
      <c r="CJ304" s="102"/>
      <c r="CK304" s="102"/>
      <c r="CL304" s="102"/>
      <c r="CM304" s="102"/>
      <c r="CN304" s="102"/>
      <c r="CO304" s="102"/>
      <c r="CP304" s="102"/>
      <c r="CQ304" s="102"/>
      <c r="CR304" s="102"/>
      <c r="CS304" s="102"/>
      <c r="CT304" s="102"/>
      <c r="CU304" s="102"/>
      <c r="CV304" s="102"/>
      <c r="CW304" s="102"/>
      <c r="CX304" s="102"/>
      <c r="CY304" s="102"/>
      <c r="CZ304" s="102"/>
      <c r="DA304" s="102"/>
      <c r="DB304" s="102"/>
      <c r="DC304" s="102"/>
      <c r="DD304" s="102"/>
      <c r="DE304" s="102"/>
      <c r="DF304" s="102"/>
      <c r="DG304" s="102"/>
      <c r="DH304" s="102"/>
      <c r="DI304" s="102"/>
      <c r="DJ304" s="102"/>
      <c r="DK304" s="102"/>
      <c r="DL304" s="102"/>
      <c r="DM304" s="102"/>
      <c r="DN304" s="102"/>
      <c r="DO304" s="102"/>
      <c r="DP304" s="102"/>
      <c r="DQ304" s="102"/>
      <c r="DR304" s="102"/>
      <c r="DS304" s="102"/>
      <c r="DT304" s="102"/>
      <c r="DU304" s="102"/>
      <c r="DV304" s="102"/>
      <c r="DW304" s="102"/>
      <c r="DX304" s="102"/>
      <c r="DY304" s="102"/>
    </row>
    <row r="305" spans="1:16375" s="487" customFormat="1" ht="182.4" customHeight="1" x14ac:dyDescent="0.3">
      <c r="A305" s="487" t="s">
        <v>31</v>
      </c>
      <c r="B305" s="315" t="s">
        <v>250</v>
      </c>
      <c r="C305" s="183" t="s">
        <v>261</v>
      </c>
      <c r="D305" s="487" t="s">
        <v>34</v>
      </c>
      <c r="E305" s="487" t="s">
        <v>252</v>
      </c>
      <c r="F305" s="487" t="s">
        <v>35</v>
      </c>
      <c r="G305" s="487">
        <v>400</v>
      </c>
      <c r="H305" s="46">
        <f>AH305/4.98</f>
        <v>179.71887550200802</v>
      </c>
      <c r="I305" s="488" t="s">
        <v>36</v>
      </c>
      <c r="J305" s="46"/>
      <c r="K305" s="1670">
        <v>180</v>
      </c>
      <c r="L305" s="1670">
        <v>180</v>
      </c>
      <c r="M305" s="1880" t="s">
        <v>253</v>
      </c>
      <c r="N305" s="1880"/>
      <c r="O305" s="47" t="s">
        <v>254</v>
      </c>
      <c r="P305" s="47" t="s">
        <v>40</v>
      </c>
      <c r="Q305" s="48" t="s">
        <v>40</v>
      </c>
      <c r="R305" s="47" t="s">
        <v>40</v>
      </c>
      <c r="S305" s="48" t="s">
        <v>40</v>
      </c>
      <c r="T305" s="47" t="s">
        <v>40</v>
      </c>
      <c r="U305" s="48"/>
      <c r="V305" s="47" t="s">
        <v>64</v>
      </c>
      <c r="W305" s="690" t="s">
        <v>40</v>
      </c>
      <c r="X305" s="47" t="s">
        <v>64</v>
      </c>
      <c r="Y305" s="48" t="s">
        <v>40</v>
      </c>
      <c r="Z305" s="47" t="s">
        <v>40</v>
      </c>
      <c r="AA305" s="690" t="s">
        <v>40</v>
      </c>
      <c r="AB305" s="47" t="s">
        <v>40</v>
      </c>
      <c r="AC305" s="47" t="s">
        <v>40</v>
      </c>
      <c r="AD305" s="50"/>
      <c r="AE305" s="50">
        <v>44942</v>
      </c>
      <c r="AF305" s="47" t="s">
        <v>255</v>
      </c>
      <c r="AG305" s="51" t="s">
        <v>256</v>
      </c>
      <c r="AH305" s="312">
        <v>895</v>
      </c>
      <c r="AI305" s="691" t="s">
        <v>262</v>
      </c>
      <c r="AJ305" s="691" t="s">
        <v>263</v>
      </c>
      <c r="AK305" s="143" t="s">
        <v>43</v>
      </c>
      <c r="AL305" s="487" t="s">
        <v>41</v>
      </c>
      <c r="AM305" s="692">
        <v>1</v>
      </c>
      <c r="AN305" s="64" t="s">
        <v>70</v>
      </c>
      <c r="AO305" s="143"/>
      <c r="AP305" s="143"/>
      <c r="AQ305" s="143"/>
      <c r="AR305" s="143"/>
      <c r="AS305" s="143"/>
      <c r="AT305" s="143"/>
      <c r="AU305" s="143"/>
      <c r="AV305" s="143"/>
      <c r="AW305" s="143"/>
      <c r="AX305" s="143"/>
      <c r="AY305" s="143"/>
      <c r="AZ305" s="143"/>
      <c r="BA305" s="143"/>
      <c r="BB305" s="143"/>
      <c r="BC305" s="143"/>
      <c r="BD305" s="143"/>
      <c r="BE305" s="143"/>
      <c r="BF305" s="143"/>
      <c r="BG305" s="143"/>
      <c r="BH305" s="143"/>
      <c r="BI305" s="143"/>
      <c r="BJ305" s="143"/>
      <c r="BK305" s="143"/>
      <c r="BL305" s="143"/>
      <c r="BM305" s="143"/>
      <c r="BN305" s="143"/>
      <c r="BO305" s="143"/>
      <c r="BP305" s="143"/>
      <c r="BQ305" s="143"/>
      <c r="BR305" s="143"/>
      <c r="BS305" s="143"/>
      <c r="BT305" s="143"/>
      <c r="BU305" s="143"/>
      <c r="BV305" s="143"/>
      <c r="BW305" s="143"/>
      <c r="BX305" s="143"/>
      <c r="BY305" s="143"/>
      <c r="BZ305" s="143"/>
      <c r="CA305" s="143"/>
      <c r="CB305" s="143"/>
      <c r="CC305" s="143"/>
      <c r="CD305" s="143"/>
      <c r="CE305" s="143"/>
      <c r="CF305" s="143"/>
      <c r="CG305" s="143"/>
      <c r="CH305" s="143"/>
      <c r="CI305" s="143"/>
      <c r="CJ305" s="143"/>
      <c r="CK305" s="143"/>
      <c r="CL305" s="143"/>
      <c r="CM305" s="143"/>
      <c r="CN305" s="143"/>
      <c r="CO305" s="143"/>
      <c r="CP305" s="143"/>
      <c r="CQ305" s="143"/>
      <c r="CR305" s="143"/>
      <c r="CS305" s="143"/>
      <c r="CT305" s="143"/>
      <c r="CU305" s="143"/>
      <c r="CV305" s="143"/>
      <c r="CW305" s="143"/>
      <c r="CX305" s="143"/>
      <c r="CY305" s="143"/>
      <c r="CZ305" s="143"/>
      <c r="DA305" s="143"/>
      <c r="DB305" s="143"/>
      <c r="DC305" s="143"/>
      <c r="DD305" s="143"/>
      <c r="DE305" s="143"/>
      <c r="DF305" s="143"/>
      <c r="DG305" s="143"/>
      <c r="DH305" s="143"/>
      <c r="DI305" s="143"/>
      <c r="DJ305" s="143"/>
      <c r="DK305" s="143"/>
      <c r="DL305" s="143"/>
      <c r="DM305" s="143"/>
      <c r="DN305" s="143"/>
      <c r="DO305" s="143"/>
      <c r="DP305" s="143"/>
      <c r="DQ305" s="143"/>
      <c r="DR305" s="143"/>
      <c r="DS305" s="143"/>
      <c r="DT305" s="143"/>
      <c r="DU305" s="143"/>
      <c r="DV305" s="143"/>
      <c r="DW305" s="143"/>
      <c r="DX305" s="143"/>
      <c r="DY305" s="143"/>
    </row>
    <row r="306" spans="1:16375" s="365" customFormat="1" ht="28.8" x14ac:dyDescent="0.3">
      <c r="A306" s="365" t="s">
        <v>264</v>
      </c>
      <c r="B306" s="693" t="s">
        <v>265</v>
      </c>
      <c r="C306" s="694" t="s">
        <v>266</v>
      </c>
      <c r="D306" s="693" t="s">
        <v>34</v>
      </c>
      <c r="E306" s="693">
        <v>24</v>
      </c>
      <c r="F306" s="693"/>
      <c r="G306" s="693"/>
      <c r="H306" s="695">
        <f>H307</f>
        <v>1000000</v>
      </c>
      <c r="I306" s="696" t="s">
        <v>267</v>
      </c>
      <c r="J306" s="695">
        <v>1000000</v>
      </c>
      <c r="K306" s="1602">
        <f>K308</f>
        <v>396987.95699999999</v>
      </c>
      <c r="L306" s="1602">
        <f>L308</f>
        <v>396987.95699999999</v>
      </c>
      <c r="M306" s="697" t="s">
        <v>40</v>
      </c>
      <c r="N306" s="697" t="s">
        <v>40</v>
      </c>
      <c r="O306" s="697" t="s">
        <v>34</v>
      </c>
      <c r="P306" s="697" t="s">
        <v>40</v>
      </c>
      <c r="Q306" s="698"/>
      <c r="R306" s="697" t="s">
        <v>40</v>
      </c>
      <c r="S306" s="698"/>
      <c r="T306" s="697" t="s">
        <v>40</v>
      </c>
      <c r="U306" s="698"/>
      <c r="V306" s="697" t="s">
        <v>40</v>
      </c>
      <c r="W306" s="698"/>
      <c r="X306" s="697" t="s">
        <v>40</v>
      </c>
      <c r="Y306" s="698"/>
      <c r="Z306" s="697" t="s">
        <v>40</v>
      </c>
      <c r="AA306" s="698"/>
      <c r="AB306" s="697" t="s">
        <v>40</v>
      </c>
      <c r="AC306" s="698"/>
      <c r="AD306" s="698"/>
      <c r="AE306" s="1518">
        <v>45199</v>
      </c>
      <c r="AF306" s="699" t="s">
        <v>42</v>
      </c>
      <c r="AG306" s="700">
        <v>2023</v>
      </c>
      <c r="AH306" s="701">
        <f>AH307</f>
        <v>4980000</v>
      </c>
      <c r="AI306" s="702"/>
      <c r="AJ306" s="703"/>
      <c r="AK306" s="704" t="s">
        <v>43</v>
      </c>
      <c r="AL306" s="693" t="s">
        <v>41</v>
      </c>
      <c r="AM306" s="705">
        <v>0</v>
      </c>
      <c r="AN306" s="706" t="s">
        <v>40</v>
      </c>
      <c r="AO306" s="104"/>
      <c r="AP306" s="104"/>
      <c r="AQ306" s="104"/>
      <c r="AR306" s="104"/>
      <c r="AS306" s="104"/>
      <c r="AT306" s="358"/>
      <c r="AU306" s="102"/>
      <c r="AV306" s="102"/>
      <c r="AW306" s="102"/>
      <c r="AX306" s="102"/>
      <c r="AY306" s="102"/>
      <c r="AZ306" s="102"/>
      <c r="BA306" s="102"/>
      <c r="BB306" s="102"/>
      <c r="BC306" s="102"/>
      <c r="BD306" s="102"/>
      <c r="BE306" s="102"/>
      <c r="BF306" s="102"/>
      <c r="BG306" s="102"/>
      <c r="BH306" s="102"/>
      <c r="BI306" s="102"/>
      <c r="BJ306" s="102"/>
      <c r="BK306" s="102"/>
      <c r="BL306" s="102"/>
      <c r="BM306" s="102"/>
      <c r="BN306" s="102"/>
      <c r="BO306" s="102"/>
      <c r="BP306" s="102"/>
      <c r="BQ306" s="102"/>
      <c r="BR306" s="102"/>
      <c r="BS306" s="102"/>
      <c r="BT306" s="102"/>
      <c r="BU306" s="102"/>
      <c r="BV306" s="102"/>
      <c r="BW306" s="102"/>
      <c r="BX306" s="102"/>
      <c r="BY306" s="102"/>
      <c r="BZ306" s="102"/>
      <c r="CA306" s="102"/>
      <c r="CB306" s="102"/>
      <c r="CC306" s="102"/>
      <c r="CD306" s="102"/>
      <c r="CE306" s="102"/>
      <c r="CF306" s="102"/>
      <c r="CG306" s="102"/>
      <c r="CH306" s="102"/>
      <c r="CI306" s="102"/>
      <c r="CJ306" s="102"/>
      <c r="CK306" s="102"/>
      <c r="CL306" s="102"/>
      <c r="CM306" s="102"/>
      <c r="CN306" s="102"/>
      <c r="CO306" s="102"/>
      <c r="CP306" s="102"/>
      <c r="CQ306" s="102"/>
      <c r="CR306" s="102"/>
      <c r="CS306" s="102"/>
      <c r="CT306" s="102"/>
      <c r="CU306" s="102"/>
      <c r="CV306" s="102"/>
      <c r="CW306" s="102"/>
      <c r="CX306" s="102"/>
      <c r="CY306" s="102"/>
      <c r="CZ306" s="102"/>
      <c r="DA306" s="102"/>
      <c r="DB306" s="102"/>
      <c r="DC306" s="102"/>
      <c r="DD306" s="102"/>
      <c r="DE306" s="102"/>
      <c r="DF306" s="102"/>
      <c r="DG306" s="102"/>
      <c r="DH306" s="102"/>
      <c r="DI306" s="102"/>
      <c r="DJ306" s="102"/>
      <c r="DK306" s="102"/>
      <c r="DL306" s="102"/>
      <c r="DM306" s="102"/>
      <c r="DN306" s="102"/>
      <c r="DO306" s="102"/>
      <c r="DP306" s="102"/>
      <c r="DQ306" s="102"/>
      <c r="DR306" s="102"/>
      <c r="DS306" s="102"/>
      <c r="DT306" s="102"/>
      <c r="DU306" s="102"/>
      <c r="DV306" s="102"/>
      <c r="DW306" s="102"/>
      <c r="DX306" s="102"/>
      <c r="DY306" s="102"/>
    </row>
    <row r="307" spans="1:16375" s="359" customFormat="1" ht="43.2" x14ac:dyDescent="0.3">
      <c r="A307" s="359" t="s">
        <v>264</v>
      </c>
      <c r="B307" s="707" t="s">
        <v>265</v>
      </c>
      <c r="C307" s="708" t="s">
        <v>268</v>
      </c>
      <c r="D307" s="709" t="s">
        <v>34</v>
      </c>
      <c r="E307" s="709">
        <v>24</v>
      </c>
      <c r="F307" s="709"/>
      <c r="G307" s="709"/>
      <c r="H307" s="710">
        <f>H308</f>
        <v>1000000</v>
      </c>
      <c r="I307" s="711" t="s">
        <v>267</v>
      </c>
      <c r="J307" s="710">
        <v>1000000</v>
      </c>
      <c r="K307" s="1603">
        <f>K308</f>
        <v>396987.95699999999</v>
      </c>
      <c r="L307" s="1603">
        <f>L308</f>
        <v>396987.95699999999</v>
      </c>
      <c r="M307" s="712" t="s">
        <v>40</v>
      </c>
      <c r="N307" s="712" t="s">
        <v>40</v>
      </c>
      <c r="O307" s="712" t="s">
        <v>34</v>
      </c>
      <c r="P307" s="712" t="s">
        <v>40</v>
      </c>
      <c r="Q307" s="713"/>
      <c r="R307" s="712" t="s">
        <v>40</v>
      </c>
      <c r="S307" s="713"/>
      <c r="T307" s="712" t="s">
        <v>40</v>
      </c>
      <c r="U307" s="713"/>
      <c r="V307" s="712" t="s">
        <v>40</v>
      </c>
      <c r="W307" s="713"/>
      <c r="X307" s="712" t="s">
        <v>40</v>
      </c>
      <c r="Y307" s="713"/>
      <c r="Z307" s="712" t="s">
        <v>40</v>
      </c>
      <c r="AA307" s="713"/>
      <c r="AB307" s="712" t="s">
        <v>40</v>
      </c>
      <c r="AC307" s="713"/>
      <c r="AD307" s="713"/>
      <c r="AE307" s="1519">
        <v>45199</v>
      </c>
      <c r="AF307" s="714" t="s">
        <v>42</v>
      </c>
      <c r="AG307" s="715">
        <v>2023</v>
      </c>
      <c r="AH307" s="716">
        <f>AH308</f>
        <v>4980000</v>
      </c>
      <c r="AI307" s="717"/>
      <c r="AJ307" s="718"/>
      <c r="AK307" s="719" t="s">
        <v>43</v>
      </c>
      <c r="AL307" s="709" t="s">
        <v>41</v>
      </c>
      <c r="AM307" s="720">
        <v>0</v>
      </c>
      <c r="AN307" s="721" t="s">
        <v>40</v>
      </c>
      <c r="AO307" s="104"/>
      <c r="AP307" s="104"/>
      <c r="AQ307" s="104"/>
      <c r="AR307" s="104"/>
      <c r="AS307" s="104"/>
      <c r="AT307" s="358"/>
      <c r="AU307" s="102"/>
      <c r="AV307" s="102"/>
      <c r="AW307" s="102"/>
      <c r="AX307" s="102"/>
      <c r="AY307" s="102"/>
      <c r="AZ307" s="102"/>
      <c r="BA307" s="102"/>
      <c r="BB307" s="102"/>
      <c r="BC307" s="102"/>
      <c r="BD307" s="102"/>
      <c r="BE307" s="102"/>
      <c r="BF307" s="102"/>
      <c r="BG307" s="102"/>
      <c r="BH307" s="102"/>
      <c r="BI307" s="102"/>
      <c r="BJ307" s="102"/>
      <c r="BK307" s="102"/>
      <c r="BL307" s="102"/>
      <c r="BM307" s="102"/>
      <c r="BN307" s="102"/>
      <c r="BO307" s="102"/>
      <c r="BP307" s="102"/>
      <c r="BQ307" s="102"/>
      <c r="BR307" s="102"/>
      <c r="BS307" s="102"/>
      <c r="BT307" s="102"/>
      <c r="BU307" s="102"/>
      <c r="BV307" s="102"/>
      <c r="BW307" s="102"/>
      <c r="BX307" s="102"/>
      <c r="BY307" s="102"/>
      <c r="BZ307" s="102"/>
      <c r="CA307" s="102"/>
      <c r="CB307" s="102"/>
      <c r="CC307" s="102"/>
      <c r="CD307" s="102"/>
      <c r="CE307" s="102"/>
      <c r="CF307" s="102"/>
      <c r="CG307" s="102"/>
      <c r="CH307" s="102"/>
      <c r="CI307" s="102"/>
      <c r="CJ307" s="102"/>
      <c r="CK307" s="102"/>
      <c r="CL307" s="102"/>
      <c r="CM307" s="102"/>
      <c r="CN307" s="102"/>
      <c r="CO307" s="102"/>
      <c r="CP307" s="102"/>
      <c r="CQ307" s="102"/>
      <c r="CR307" s="102"/>
      <c r="CS307" s="102"/>
      <c r="CT307" s="102"/>
      <c r="CU307" s="102"/>
      <c r="CV307" s="102"/>
      <c r="CW307" s="102"/>
      <c r="CX307" s="102"/>
      <c r="CY307" s="102"/>
      <c r="CZ307" s="102"/>
      <c r="DA307" s="102"/>
      <c r="DB307" s="102"/>
      <c r="DC307" s="102"/>
      <c r="DD307" s="102"/>
      <c r="DE307" s="102"/>
      <c r="DF307" s="102"/>
      <c r="DG307" s="102"/>
      <c r="DH307" s="102"/>
      <c r="DI307" s="102"/>
      <c r="DJ307" s="102"/>
      <c r="DK307" s="102"/>
      <c r="DL307" s="102"/>
      <c r="DM307" s="102"/>
      <c r="DN307" s="102"/>
      <c r="DO307" s="102"/>
      <c r="DP307" s="102"/>
      <c r="DQ307" s="102"/>
      <c r="DR307" s="102"/>
      <c r="DS307" s="102"/>
      <c r="DT307" s="102"/>
      <c r="DU307" s="102"/>
      <c r="DV307" s="102"/>
      <c r="DW307" s="102"/>
      <c r="DX307" s="102"/>
      <c r="DY307" s="102"/>
    </row>
    <row r="308" spans="1:16375" s="138" customFormat="1" ht="43.2" x14ac:dyDescent="0.3">
      <c r="A308" s="590" t="s">
        <v>264</v>
      </c>
      <c r="B308" s="722" t="s">
        <v>265</v>
      </c>
      <c r="C308" s="723" t="s">
        <v>269</v>
      </c>
      <c r="D308" s="722" t="s">
        <v>34</v>
      </c>
      <c r="E308" s="722">
        <v>24</v>
      </c>
      <c r="F308" s="722"/>
      <c r="G308" s="722"/>
      <c r="H308" s="724">
        <v>1000000</v>
      </c>
      <c r="I308" s="725" t="s">
        <v>267</v>
      </c>
      <c r="J308" s="724">
        <f>J311+J312+J313</f>
        <v>399397.58500000002</v>
      </c>
      <c r="K308" s="1604">
        <f>K311+K312+K313</f>
        <v>396987.95699999999</v>
      </c>
      <c r="L308" s="1604">
        <f>K308</f>
        <v>396987.95699999999</v>
      </c>
      <c r="M308" s="726" t="s">
        <v>40</v>
      </c>
      <c r="N308" s="727" t="s">
        <v>40</v>
      </c>
      <c r="O308" s="728" t="s">
        <v>34</v>
      </c>
      <c r="P308" s="729" t="s">
        <v>40</v>
      </c>
      <c r="Q308" s="722"/>
      <c r="R308" s="730" t="s">
        <v>40</v>
      </c>
      <c r="S308" s="731"/>
      <c r="T308" s="104" t="s">
        <v>40</v>
      </c>
      <c r="U308" s="104"/>
      <c r="V308" s="104" t="s">
        <v>40</v>
      </c>
      <c r="W308" s="104"/>
      <c r="X308" s="104" t="s">
        <v>40</v>
      </c>
      <c r="Y308" s="358"/>
      <c r="Z308" s="102" t="s">
        <v>40</v>
      </c>
      <c r="AA308" s="102"/>
      <c r="AB308" s="102" t="s">
        <v>40</v>
      </c>
      <c r="AC308" s="102"/>
      <c r="AD308" s="102"/>
      <c r="AE308" s="1520">
        <v>45199</v>
      </c>
      <c r="AF308" s="102" t="s">
        <v>42</v>
      </c>
      <c r="AG308" s="102">
        <v>2023</v>
      </c>
      <c r="AH308" s="102">
        <v>4980000</v>
      </c>
      <c r="AI308" s="102"/>
      <c r="AJ308" s="102"/>
      <c r="AK308" s="102" t="s">
        <v>43</v>
      </c>
      <c r="AL308" s="102" t="s">
        <v>41</v>
      </c>
      <c r="AM308" s="102">
        <v>0</v>
      </c>
      <c r="AN308" s="102" t="s">
        <v>40</v>
      </c>
      <c r="AO308" s="102"/>
      <c r="AP308" s="102"/>
      <c r="AQ308" s="102"/>
      <c r="AR308" s="102"/>
      <c r="AS308" s="102"/>
      <c r="AT308" s="102"/>
      <c r="AU308" s="102"/>
      <c r="AV308" s="102"/>
      <c r="AW308" s="102"/>
      <c r="AX308" s="102"/>
      <c r="AY308" s="102"/>
      <c r="AZ308" s="102"/>
      <c r="BA308" s="102"/>
      <c r="BB308" s="102"/>
      <c r="BC308" s="102"/>
      <c r="BD308" s="102"/>
      <c r="BE308" s="102"/>
      <c r="BF308" s="102"/>
      <c r="BG308" s="102"/>
      <c r="BH308" s="102"/>
      <c r="BI308" s="102"/>
      <c r="BJ308" s="102"/>
      <c r="BK308" s="102"/>
      <c r="BL308" s="102"/>
      <c r="BM308" s="102"/>
      <c r="BN308" s="102"/>
      <c r="BO308" s="102"/>
      <c r="BP308" s="102"/>
      <c r="BQ308" s="102"/>
      <c r="BR308" s="102"/>
      <c r="BS308" s="102"/>
      <c r="BT308" s="102"/>
      <c r="BU308" s="102"/>
      <c r="BV308" s="102"/>
      <c r="BW308" s="102"/>
      <c r="BX308" s="102"/>
      <c r="BY308" s="102"/>
      <c r="BZ308" s="102"/>
      <c r="CA308" s="102"/>
      <c r="CB308" s="102"/>
      <c r="CC308" s="102"/>
      <c r="CD308" s="102"/>
      <c r="CE308" s="102"/>
      <c r="CF308" s="102"/>
      <c r="CG308" s="102"/>
      <c r="CH308" s="102"/>
      <c r="CI308" s="102"/>
      <c r="CJ308" s="102"/>
      <c r="CK308" s="102"/>
      <c r="CL308" s="102"/>
      <c r="CM308" s="102"/>
      <c r="CN308" s="102"/>
      <c r="CO308" s="102"/>
      <c r="CP308" s="102"/>
      <c r="CQ308" s="102"/>
      <c r="CR308" s="102"/>
      <c r="CS308" s="102"/>
      <c r="CT308" s="102"/>
      <c r="CU308" s="102"/>
      <c r="CV308" s="102"/>
      <c r="CW308" s="102"/>
      <c r="CX308" s="102"/>
      <c r="CY308" s="102"/>
      <c r="CZ308" s="102"/>
      <c r="DA308" s="102"/>
      <c r="DB308" s="102"/>
      <c r="DC308" s="102"/>
      <c r="DD308" s="102"/>
      <c r="DE308" s="359"/>
      <c r="DF308" s="359"/>
      <c r="DG308" s="359"/>
      <c r="DH308" s="359"/>
      <c r="DI308" s="359"/>
      <c r="DJ308" s="359"/>
      <c r="DK308" s="359"/>
      <c r="DL308" s="359"/>
      <c r="DM308" s="359"/>
      <c r="DN308" s="359"/>
      <c r="DO308" s="359"/>
      <c r="DP308" s="359"/>
      <c r="DQ308" s="359"/>
      <c r="DR308" s="359"/>
      <c r="DS308" s="359"/>
      <c r="DT308" s="359"/>
      <c r="DU308" s="359"/>
      <c r="DV308" s="359"/>
      <c r="DW308" s="359"/>
      <c r="DX308" s="359"/>
      <c r="DY308" s="359"/>
      <c r="DZ308" s="359"/>
      <c r="EA308" s="359"/>
      <c r="EB308" s="359"/>
      <c r="EC308" s="359"/>
      <c r="ED308" s="359"/>
      <c r="EE308" s="359"/>
      <c r="EF308" s="359"/>
      <c r="EG308" s="359"/>
      <c r="EH308" s="359"/>
      <c r="EI308" s="359"/>
      <c r="EJ308" s="359"/>
      <c r="EK308" s="359"/>
      <c r="EL308" s="359"/>
      <c r="EM308" s="359"/>
      <c r="EN308" s="359"/>
      <c r="EO308" s="359"/>
      <c r="EP308" s="359"/>
      <c r="EQ308" s="359"/>
      <c r="ER308" s="359"/>
      <c r="ES308" s="359"/>
      <c r="ET308" s="359"/>
      <c r="EU308" s="359"/>
      <c r="EV308" s="359"/>
      <c r="EW308" s="359"/>
      <c r="EX308" s="359"/>
      <c r="EY308" s="359"/>
      <c r="EZ308" s="359"/>
      <c r="FA308" s="359"/>
      <c r="FB308" s="359"/>
      <c r="FC308" s="359"/>
      <c r="FD308" s="359"/>
      <c r="FE308" s="359"/>
      <c r="FF308" s="359"/>
      <c r="FG308" s="359"/>
      <c r="FH308" s="359"/>
      <c r="FI308" s="359"/>
      <c r="FJ308" s="359"/>
      <c r="FK308" s="359"/>
      <c r="FL308" s="359"/>
      <c r="FM308" s="359"/>
      <c r="FN308" s="359"/>
      <c r="FO308" s="359"/>
      <c r="FP308" s="359"/>
      <c r="FQ308" s="359"/>
      <c r="FR308" s="359"/>
      <c r="FS308" s="359"/>
      <c r="FT308" s="359"/>
      <c r="FU308" s="359"/>
      <c r="FV308" s="359"/>
      <c r="FW308" s="359"/>
      <c r="FX308" s="359"/>
      <c r="FY308" s="359"/>
      <c r="FZ308" s="359"/>
      <c r="GA308" s="359"/>
      <c r="GB308" s="359"/>
      <c r="GC308" s="359"/>
      <c r="GD308" s="359"/>
      <c r="GE308" s="359"/>
      <c r="GF308" s="359"/>
      <c r="GG308" s="359"/>
      <c r="GH308" s="359"/>
      <c r="GI308" s="359"/>
      <c r="GJ308" s="359"/>
      <c r="GK308" s="359"/>
      <c r="GL308" s="359"/>
      <c r="GM308" s="359"/>
      <c r="GN308" s="359"/>
      <c r="GO308" s="359"/>
      <c r="GP308" s="359"/>
      <c r="GQ308" s="359"/>
      <c r="GR308" s="359"/>
      <c r="GS308" s="359"/>
      <c r="GT308" s="359"/>
      <c r="GU308" s="359"/>
      <c r="GV308" s="359"/>
      <c r="GW308" s="359"/>
      <c r="GX308" s="359"/>
      <c r="GY308" s="359"/>
      <c r="GZ308" s="359"/>
      <c r="HA308" s="359"/>
      <c r="HB308" s="359"/>
      <c r="HC308" s="359"/>
      <c r="HD308" s="359"/>
      <c r="HE308" s="359"/>
      <c r="HF308" s="359"/>
      <c r="HG308" s="359"/>
      <c r="HH308" s="359"/>
      <c r="HI308" s="359"/>
      <c r="HJ308" s="359"/>
      <c r="HK308" s="359"/>
      <c r="HL308" s="359"/>
      <c r="HM308" s="359"/>
      <c r="HN308" s="359"/>
      <c r="HO308" s="359"/>
      <c r="HP308" s="359"/>
      <c r="HQ308" s="359"/>
      <c r="HR308" s="359"/>
      <c r="HS308" s="359"/>
      <c r="HT308" s="359"/>
      <c r="HU308" s="359"/>
      <c r="HV308" s="359"/>
      <c r="HW308" s="359"/>
      <c r="HX308" s="359"/>
      <c r="HY308" s="359"/>
      <c r="HZ308" s="359"/>
      <c r="IA308" s="359"/>
      <c r="IB308" s="359"/>
      <c r="IC308" s="359"/>
      <c r="ID308" s="359"/>
      <c r="IE308" s="359"/>
      <c r="IF308" s="359"/>
      <c r="IG308" s="359"/>
      <c r="IH308" s="359"/>
      <c r="II308" s="359"/>
      <c r="IJ308" s="359"/>
      <c r="IK308" s="359"/>
      <c r="IL308" s="359"/>
      <c r="IM308" s="359"/>
      <c r="IN308" s="359"/>
      <c r="IO308" s="359"/>
      <c r="IP308" s="359"/>
      <c r="IQ308" s="359"/>
      <c r="IR308" s="359"/>
      <c r="IS308" s="359"/>
      <c r="IT308" s="359"/>
      <c r="IU308" s="359"/>
      <c r="IV308" s="359"/>
      <c r="IW308" s="359"/>
      <c r="IX308" s="359"/>
      <c r="IY308" s="359"/>
      <c r="IZ308" s="359"/>
      <c r="JA308" s="359"/>
      <c r="JB308" s="359"/>
      <c r="JC308" s="359"/>
      <c r="JD308" s="359"/>
      <c r="JE308" s="359"/>
      <c r="JF308" s="359"/>
      <c r="JG308" s="359"/>
      <c r="JH308" s="359"/>
      <c r="JI308" s="359"/>
      <c r="JJ308" s="359"/>
      <c r="JK308" s="359"/>
      <c r="JL308" s="359"/>
      <c r="JM308" s="359"/>
      <c r="JN308" s="359"/>
      <c r="JO308" s="359"/>
      <c r="JP308" s="359"/>
      <c r="JQ308" s="359"/>
      <c r="JR308" s="359"/>
      <c r="JS308" s="359"/>
      <c r="JT308" s="359"/>
      <c r="JU308" s="359"/>
      <c r="JV308" s="359"/>
      <c r="JW308" s="359"/>
      <c r="JX308" s="359"/>
      <c r="JY308" s="359"/>
      <c r="JZ308" s="359"/>
      <c r="KA308" s="359"/>
      <c r="KB308" s="359"/>
      <c r="KC308" s="359"/>
      <c r="KD308" s="359"/>
      <c r="KE308" s="359"/>
      <c r="KF308" s="359"/>
      <c r="KG308" s="359"/>
      <c r="KH308" s="359"/>
      <c r="KI308" s="359"/>
      <c r="KJ308" s="359"/>
      <c r="KK308" s="359"/>
      <c r="KL308" s="359"/>
      <c r="KM308" s="359"/>
      <c r="KN308" s="359"/>
      <c r="KO308" s="359"/>
      <c r="KP308" s="359"/>
      <c r="KQ308" s="359"/>
      <c r="KR308" s="359"/>
      <c r="KS308" s="359"/>
      <c r="KT308" s="359"/>
      <c r="KU308" s="359"/>
      <c r="KV308" s="359"/>
      <c r="KW308" s="359"/>
      <c r="KX308" s="359"/>
      <c r="KY308" s="359"/>
      <c r="KZ308" s="359"/>
      <c r="LA308" s="359"/>
      <c r="LB308" s="359"/>
      <c r="LC308" s="359"/>
      <c r="LD308" s="359"/>
      <c r="LE308" s="359"/>
      <c r="LF308" s="359"/>
      <c r="LG308" s="359"/>
      <c r="LH308" s="359"/>
      <c r="LI308" s="359"/>
      <c r="LJ308" s="359"/>
      <c r="LK308" s="359"/>
      <c r="LL308" s="359"/>
      <c r="LM308" s="359"/>
      <c r="LN308" s="359"/>
      <c r="LO308" s="359"/>
      <c r="LP308" s="359"/>
      <c r="LQ308" s="359"/>
      <c r="LR308" s="359"/>
      <c r="LS308" s="359"/>
      <c r="LT308" s="359"/>
      <c r="LU308" s="359"/>
      <c r="LV308" s="359"/>
      <c r="LW308" s="359"/>
      <c r="LX308" s="359"/>
      <c r="LY308" s="359"/>
      <c r="LZ308" s="359"/>
      <c r="MA308" s="359"/>
      <c r="MB308" s="359"/>
      <c r="MC308" s="359"/>
      <c r="MD308" s="359"/>
      <c r="ME308" s="359"/>
      <c r="MF308" s="359"/>
      <c r="MG308" s="359"/>
      <c r="MH308" s="359"/>
      <c r="MI308" s="359"/>
      <c r="MJ308" s="359"/>
      <c r="MK308" s="359"/>
      <c r="ML308" s="359"/>
      <c r="MM308" s="359"/>
      <c r="MN308" s="359"/>
      <c r="MO308" s="359"/>
      <c r="MP308" s="359"/>
      <c r="MQ308" s="359"/>
      <c r="MR308" s="359"/>
      <c r="MS308" s="359"/>
      <c r="MT308" s="359"/>
      <c r="MU308" s="359"/>
      <c r="MV308" s="359"/>
      <c r="MW308" s="359"/>
      <c r="MX308" s="359"/>
      <c r="MY308" s="359"/>
      <c r="MZ308" s="359"/>
      <c r="NA308" s="359"/>
      <c r="NB308" s="359"/>
      <c r="NC308" s="359"/>
      <c r="ND308" s="359"/>
      <c r="NE308" s="359"/>
      <c r="NF308" s="359"/>
      <c r="NG308" s="359"/>
      <c r="NH308" s="359"/>
      <c r="NI308" s="359"/>
      <c r="NJ308" s="359"/>
      <c r="NK308" s="359"/>
      <c r="NL308" s="359"/>
      <c r="NM308" s="359"/>
      <c r="NN308" s="359"/>
      <c r="NO308" s="359"/>
      <c r="NP308" s="359"/>
      <c r="NQ308" s="359"/>
      <c r="NR308" s="359"/>
      <c r="NS308" s="359"/>
      <c r="NT308" s="359"/>
      <c r="NU308" s="359"/>
      <c r="NV308" s="359"/>
      <c r="NW308" s="359"/>
      <c r="NX308" s="359"/>
      <c r="NY308" s="359"/>
      <c r="NZ308" s="359"/>
      <c r="OA308" s="359"/>
      <c r="OB308" s="359"/>
      <c r="OC308" s="359"/>
      <c r="OD308" s="359"/>
      <c r="OE308" s="359"/>
      <c r="OF308" s="359"/>
      <c r="OG308" s="359"/>
      <c r="OH308" s="359"/>
      <c r="OI308" s="359"/>
      <c r="OJ308" s="359"/>
      <c r="OK308" s="359"/>
      <c r="OL308" s="359"/>
      <c r="OM308" s="359"/>
      <c r="ON308" s="359"/>
      <c r="OO308" s="359"/>
      <c r="OP308" s="359"/>
      <c r="OQ308" s="359"/>
      <c r="OR308" s="359"/>
      <c r="OS308" s="359"/>
      <c r="OT308" s="359"/>
      <c r="OU308" s="359"/>
      <c r="OV308" s="359"/>
      <c r="OW308" s="359"/>
      <c r="OX308" s="359"/>
      <c r="OY308" s="359"/>
      <c r="OZ308" s="359"/>
      <c r="PA308" s="359"/>
      <c r="PB308" s="359"/>
      <c r="PC308" s="359"/>
      <c r="PD308" s="359"/>
      <c r="PE308" s="359"/>
      <c r="PF308" s="359"/>
      <c r="PG308" s="359"/>
      <c r="PH308" s="359"/>
      <c r="PI308" s="359"/>
      <c r="PJ308" s="359"/>
      <c r="PK308" s="359"/>
      <c r="PL308" s="359"/>
      <c r="PM308" s="359"/>
      <c r="PN308" s="359"/>
      <c r="PO308" s="359"/>
      <c r="PP308" s="359"/>
      <c r="PQ308" s="359"/>
      <c r="PR308" s="359"/>
      <c r="PS308" s="359"/>
      <c r="PT308" s="359"/>
      <c r="PU308" s="359"/>
      <c r="PV308" s="359"/>
      <c r="PW308" s="359"/>
      <c r="PX308" s="359"/>
      <c r="PY308" s="359"/>
      <c r="PZ308" s="359"/>
      <c r="QA308" s="359"/>
      <c r="QB308" s="359"/>
      <c r="QC308" s="359"/>
      <c r="QD308" s="359"/>
      <c r="QE308" s="359"/>
      <c r="QF308" s="359"/>
      <c r="QG308" s="359"/>
      <c r="QH308" s="359"/>
      <c r="QI308" s="359"/>
      <c r="QJ308" s="359"/>
      <c r="QK308" s="359"/>
      <c r="QL308" s="359"/>
      <c r="QM308" s="359"/>
      <c r="QN308" s="359"/>
      <c r="QO308" s="359"/>
      <c r="QP308" s="359"/>
      <c r="QQ308" s="359"/>
      <c r="QR308" s="359"/>
      <c r="QS308" s="359"/>
      <c r="QT308" s="359"/>
      <c r="QU308" s="359"/>
      <c r="QV308" s="359"/>
      <c r="QW308" s="359"/>
      <c r="QX308" s="359"/>
      <c r="QY308" s="359"/>
      <c r="QZ308" s="359"/>
      <c r="RA308" s="359"/>
      <c r="RB308" s="359"/>
      <c r="RC308" s="359"/>
      <c r="RD308" s="359"/>
      <c r="RE308" s="359"/>
      <c r="RF308" s="359"/>
      <c r="RG308" s="359"/>
      <c r="RH308" s="359"/>
      <c r="RI308" s="359"/>
      <c r="RJ308" s="359"/>
      <c r="RK308" s="359"/>
      <c r="RL308" s="359"/>
      <c r="RM308" s="359"/>
      <c r="RN308" s="359"/>
      <c r="RO308" s="359"/>
      <c r="RP308" s="359"/>
      <c r="RQ308" s="359"/>
      <c r="RR308" s="359"/>
      <c r="RS308" s="359"/>
      <c r="RT308" s="359"/>
      <c r="RU308" s="359"/>
      <c r="RV308" s="359"/>
      <c r="RW308" s="359"/>
      <c r="RX308" s="359"/>
      <c r="RY308" s="359"/>
      <c r="RZ308" s="359"/>
      <c r="SA308" s="359"/>
      <c r="SB308" s="359"/>
      <c r="SC308" s="359"/>
      <c r="SD308" s="359"/>
      <c r="SE308" s="359"/>
      <c r="SF308" s="359"/>
      <c r="SG308" s="359"/>
      <c r="SH308" s="359"/>
      <c r="SI308" s="359"/>
      <c r="SJ308" s="359"/>
      <c r="SK308" s="359"/>
      <c r="SL308" s="359"/>
      <c r="SM308" s="359"/>
      <c r="SN308" s="359"/>
      <c r="SO308" s="359"/>
      <c r="SP308" s="359"/>
      <c r="SQ308" s="359"/>
      <c r="SR308" s="359"/>
      <c r="SS308" s="359"/>
      <c r="ST308" s="359"/>
      <c r="SU308" s="359"/>
      <c r="SV308" s="359"/>
      <c r="SW308" s="359"/>
      <c r="SX308" s="359"/>
      <c r="SY308" s="359"/>
      <c r="SZ308" s="359"/>
      <c r="TA308" s="359"/>
      <c r="TB308" s="359"/>
      <c r="TC308" s="359"/>
      <c r="TD308" s="359"/>
      <c r="TE308" s="359"/>
      <c r="TF308" s="359"/>
      <c r="TG308" s="359"/>
      <c r="TH308" s="359"/>
      <c r="TI308" s="359"/>
      <c r="TJ308" s="359"/>
      <c r="TK308" s="359"/>
      <c r="TL308" s="359"/>
      <c r="TM308" s="359"/>
      <c r="TN308" s="359"/>
      <c r="TO308" s="359"/>
      <c r="TP308" s="359"/>
      <c r="TQ308" s="359"/>
      <c r="TR308" s="359"/>
      <c r="TS308" s="359"/>
      <c r="TT308" s="359"/>
      <c r="TU308" s="359"/>
      <c r="TV308" s="359"/>
      <c r="TW308" s="359"/>
      <c r="TX308" s="359"/>
      <c r="TY308" s="359"/>
      <c r="TZ308" s="359"/>
      <c r="UA308" s="359"/>
      <c r="UB308" s="359"/>
      <c r="UC308" s="359"/>
      <c r="UD308" s="359"/>
      <c r="UE308" s="359"/>
      <c r="UF308" s="359"/>
      <c r="UG308" s="359"/>
      <c r="UH308" s="359"/>
      <c r="UI308" s="359"/>
      <c r="UJ308" s="359"/>
      <c r="UK308" s="359"/>
      <c r="UL308" s="359"/>
      <c r="UM308" s="359"/>
      <c r="UN308" s="359"/>
      <c r="UO308" s="359"/>
      <c r="UP308" s="359"/>
      <c r="UQ308" s="359"/>
      <c r="UR308" s="359"/>
      <c r="US308" s="359"/>
      <c r="UT308" s="359"/>
      <c r="UU308" s="359"/>
      <c r="UV308" s="359"/>
      <c r="UW308" s="359"/>
      <c r="UX308" s="359"/>
      <c r="UY308" s="359"/>
      <c r="UZ308" s="359"/>
      <c r="VA308" s="359"/>
      <c r="VB308" s="359"/>
      <c r="VC308" s="359"/>
      <c r="VD308" s="359"/>
      <c r="VE308" s="359"/>
      <c r="VF308" s="359"/>
      <c r="VG308" s="359"/>
      <c r="VH308" s="359"/>
      <c r="VI308" s="359"/>
      <c r="VJ308" s="359"/>
      <c r="VK308" s="359"/>
      <c r="VL308" s="359"/>
      <c r="VM308" s="359"/>
      <c r="VN308" s="359"/>
      <c r="VO308" s="359"/>
      <c r="VP308" s="359"/>
      <c r="VQ308" s="359"/>
      <c r="VR308" s="359"/>
      <c r="VS308" s="359"/>
      <c r="VT308" s="359"/>
      <c r="VU308" s="359"/>
      <c r="VV308" s="359"/>
      <c r="VW308" s="359"/>
      <c r="VX308" s="359"/>
      <c r="VY308" s="359"/>
      <c r="VZ308" s="359"/>
      <c r="WA308" s="359"/>
      <c r="WB308" s="359"/>
      <c r="WC308" s="359"/>
      <c r="WD308" s="359"/>
      <c r="WE308" s="359"/>
      <c r="WF308" s="359"/>
      <c r="WG308" s="359"/>
      <c r="WH308" s="359"/>
      <c r="WI308" s="359"/>
      <c r="WJ308" s="359"/>
      <c r="WK308" s="359"/>
      <c r="WL308" s="359"/>
      <c r="WM308" s="359"/>
      <c r="WN308" s="359"/>
      <c r="WO308" s="359"/>
      <c r="WP308" s="359"/>
      <c r="WQ308" s="359"/>
      <c r="WR308" s="359"/>
      <c r="WS308" s="359"/>
      <c r="WT308" s="359"/>
      <c r="WU308" s="359"/>
      <c r="WV308" s="359"/>
      <c r="WW308" s="359"/>
      <c r="WX308" s="359"/>
      <c r="WY308" s="359"/>
      <c r="WZ308" s="359"/>
      <c r="XA308" s="359"/>
      <c r="XB308" s="359"/>
      <c r="XC308" s="359"/>
      <c r="XD308" s="359"/>
      <c r="XE308" s="359"/>
      <c r="XF308" s="359"/>
      <c r="XG308" s="359"/>
      <c r="XH308" s="359"/>
      <c r="XI308" s="359"/>
      <c r="XJ308" s="359"/>
      <c r="XK308" s="359"/>
      <c r="XL308" s="359"/>
      <c r="XM308" s="359"/>
      <c r="XN308" s="359"/>
      <c r="XO308" s="359"/>
      <c r="XP308" s="359"/>
      <c r="XQ308" s="359"/>
      <c r="XR308" s="359"/>
      <c r="XS308" s="359"/>
      <c r="XT308" s="359"/>
      <c r="XU308" s="359"/>
      <c r="XV308" s="359"/>
      <c r="XW308" s="359"/>
      <c r="XX308" s="359"/>
      <c r="XY308" s="359"/>
      <c r="XZ308" s="359"/>
      <c r="YA308" s="359"/>
      <c r="YB308" s="359"/>
      <c r="YC308" s="359"/>
      <c r="YD308" s="359"/>
      <c r="YE308" s="359"/>
      <c r="YF308" s="359"/>
      <c r="YG308" s="359"/>
      <c r="YH308" s="359"/>
      <c r="YI308" s="359"/>
      <c r="YJ308" s="359"/>
      <c r="YK308" s="359"/>
      <c r="YL308" s="359"/>
      <c r="YM308" s="359"/>
      <c r="YN308" s="359"/>
      <c r="YO308" s="359"/>
      <c r="YP308" s="359"/>
      <c r="YQ308" s="359"/>
      <c r="YR308" s="359"/>
      <c r="YS308" s="359"/>
      <c r="YT308" s="359"/>
      <c r="YU308" s="359"/>
      <c r="YV308" s="359"/>
      <c r="YW308" s="359"/>
      <c r="YX308" s="359"/>
      <c r="YY308" s="359"/>
      <c r="YZ308" s="359"/>
      <c r="ZA308" s="359"/>
      <c r="ZB308" s="359"/>
      <c r="ZC308" s="359"/>
      <c r="ZD308" s="359"/>
      <c r="ZE308" s="359"/>
      <c r="ZF308" s="359"/>
      <c r="ZG308" s="359"/>
      <c r="ZH308" s="359"/>
      <c r="ZI308" s="359"/>
      <c r="ZJ308" s="359"/>
      <c r="ZK308" s="359"/>
      <c r="ZL308" s="359"/>
      <c r="ZM308" s="359"/>
      <c r="ZN308" s="359"/>
      <c r="ZO308" s="359"/>
      <c r="ZP308" s="359"/>
      <c r="ZQ308" s="359"/>
      <c r="ZR308" s="359"/>
      <c r="ZS308" s="359"/>
      <c r="ZT308" s="359"/>
      <c r="ZU308" s="359"/>
      <c r="ZV308" s="359"/>
      <c r="ZW308" s="359"/>
      <c r="ZX308" s="359"/>
      <c r="ZY308" s="359"/>
      <c r="ZZ308" s="359"/>
      <c r="AAA308" s="359"/>
      <c r="AAB308" s="359"/>
      <c r="AAC308" s="359"/>
      <c r="AAD308" s="359"/>
      <c r="AAE308" s="359"/>
      <c r="AAF308" s="359"/>
      <c r="AAG308" s="359"/>
      <c r="AAH308" s="359"/>
      <c r="AAI308" s="359"/>
      <c r="AAJ308" s="359"/>
      <c r="AAK308" s="359"/>
      <c r="AAL308" s="359"/>
      <c r="AAM308" s="359"/>
      <c r="AAN308" s="359"/>
      <c r="AAO308" s="359"/>
      <c r="AAP308" s="359"/>
      <c r="AAQ308" s="359"/>
      <c r="AAR308" s="359"/>
      <c r="AAS308" s="359"/>
      <c r="AAT308" s="359"/>
      <c r="AAU308" s="359"/>
      <c r="AAV308" s="359"/>
      <c r="AAW308" s="359"/>
      <c r="AAX308" s="359"/>
      <c r="AAY308" s="359"/>
      <c r="AAZ308" s="359"/>
      <c r="ABA308" s="359"/>
      <c r="ABB308" s="359"/>
      <c r="ABC308" s="359"/>
      <c r="ABD308" s="359"/>
      <c r="ABE308" s="359"/>
      <c r="ABF308" s="359"/>
      <c r="ABG308" s="359"/>
      <c r="ABH308" s="359"/>
      <c r="ABI308" s="359"/>
      <c r="ABJ308" s="359"/>
      <c r="ABK308" s="359"/>
      <c r="ABL308" s="359"/>
      <c r="ABM308" s="359"/>
      <c r="ABN308" s="359"/>
      <c r="ABO308" s="359"/>
      <c r="ABP308" s="359"/>
      <c r="ABQ308" s="359"/>
      <c r="ABR308" s="359"/>
      <c r="ABS308" s="359"/>
      <c r="ABT308" s="359"/>
      <c r="ABU308" s="359"/>
      <c r="ABV308" s="359"/>
      <c r="ABW308" s="359"/>
      <c r="ABX308" s="359"/>
      <c r="ABY308" s="359"/>
      <c r="ABZ308" s="359"/>
      <c r="ACA308" s="359"/>
      <c r="ACB308" s="359"/>
      <c r="ACC308" s="359"/>
      <c r="ACD308" s="359"/>
      <c r="ACE308" s="359"/>
      <c r="ACF308" s="359"/>
      <c r="ACG308" s="359"/>
      <c r="ACH308" s="359"/>
      <c r="ACI308" s="359"/>
      <c r="ACJ308" s="359"/>
      <c r="ACK308" s="359"/>
      <c r="ACL308" s="359"/>
      <c r="ACM308" s="359"/>
      <c r="ACN308" s="359"/>
      <c r="ACO308" s="359"/>
      <c r="ACP308" s="359"/>
      <c r="ACQ308" s="359"/>
      <c r="ACR308" s="359"/>
      <c r="ACS308" s="359"/>
      <c r="ACT308" s="359"/>
      <c r="ACU308" s="359"/>
      <c r="ACV308" s="359"/>
      <c r="ACW308" s="359"/>
      <c r="ACX308" s="359"/>
      <c r="ACY308" s="359"/>
      <c r="ACZ308" s="359"/>
      <c r="ADA308" s="359"/>
      <c r="ADB308" s="359"/>
      <c r="ADC308" s="359"/>
      <c r="ADD308" s="359"/>
      <c r="ADE308" s="359"/>
      <c r="ADF308" s="359"/>
      <c r="ADG308" s="359"/>
      <c r="ADH308" s="359"/>
      <c r="ADI308" s="359"/>
      <c r="ADJ308" s="359"/>
      <c r="ADK308" s="359"/>
      <c r="ADL308" s="359"/>
      <c r="ADM308" s="359"/>
      <c r="ADN308" s="359"/>
      <c r="ADO308" s="359"/>
      <c r="ADP308" s="359"/>
      <c r="ADQ308" s="359"/>
      <c r="ADR308" s="359"/>
      <c r="ADS308" s="359"/>
      <c r="ADT308" s="359"/>
      <c r="ADU308" s="359"/>
      <c r="ADV308" s="359"/>
      <c r="ADW308" s="359"/>
      <c r="ADX308" s="359"/>
      <c r="ADY308" s="359"/>
      <c r="ADZ308" s="359"/>
      <c r="AEA308" s="359"/>
      <c r="AEB308" s="359"/>
      <c r="AEC308" s="359"/>
      <c r="AED308" s="359"/>
      <c r="AEE308" s="359"/>
      <c r="AEF308" s="359"/>
      <c r="AEG308" s="359"/>
      <c r="AEH308" s="359"/>
      <c r="AEI308" s="359"/>
      <c r="AEJ308" s="359"/>
      <c r="AEK308" s="359"/>
      <c r="AEL308" s="359"/>
      <c r="AEM308" s="359"/>
      <c r="AEN308" s="359"/>
      <c r="AEO308" s="359"/>
      <c r="AEP308" s="359"/>
      <c r="AEQ308" s="359"/>
      <c r="AER308" s="359"/>
      <c r="AES308" s="359"/>
      <c r="AET308" s="359"/>
      <c r="AEU308" s="359"/>
      <c r="AEV308" s="359"/>
      <c r="AEW308" s="359"/>
      <c r="AEX308" s="359"/>
      <c r="AEY308" s="359"/>
      <c r="AEZ308" s="359"/>
      <c r="AFA308" s="359"/>
      <c r="AFB308" s="359"/>
      <c r="AFC308" s="359"/>
      <c r="AFD308" s="359"/>
      <c r="AFE308" s="359"/>
      <c r="AFF308" s="359"/>
      <c r="AFG308" s="359"/>
      <c r="AFH308" s="359"/>
      <c r="AFI308" s="359"/>
      <c r="AFJ308" s="359"/>
      <c r="AFK308" s="359"/>
      <c r="AFL308" s="359"/>
      <c r="AFM308" s="359"/>
      <c r="AFN308" s="359"/>
      <c r="AFO308" s="359"/>
      <c r="AFP308" s="359"/>
      <c r="AFQ308" s="359"/>
      <c r="AFR308" s="359"/>
      <c r="AFS308" s="359"/>
      <c r="AFT308" s="359"/>
      <c r="AFU308" s="359"/>
      <c r="AFV308" s="359"/>
      <c r="AFW308" s="359"/>
      <c r="AFX308" s="359"/>
      <c r="AFY308" s="359"/>
      <c r="AFZ308" s="359"/>
      <c r="AGA308" s="359"/>
      <c r="AGB308" s="359"/>
      <c r="AGC308" s="359"/>
      <c r="AGD308" s="359"/>
      <c r="AGE308" s="359"/>
      <c r="AGF308" s="359"/>
      <c r="AGG308" s="359"/>
      <c r="AGH308" s="359"/>
      <c r="AGI308" s="359"/>
      <c r="AGJ308" s="359"/>
      <c r="AGK308" s="359"/>
      <c r="AGL308" s="359"/>
      <c r="AGM308" s="359"/>
      <c r="AGN308" s="359"/>
      <c r="AGO308" s="359"/>
      <c r="AGP308" s="359"/>
      <c r="AGQ308" s="359"/>
      <c r="AGR308" s="359"/>
      <c r="AGS308" s="359"/>
      <c r="AGT308" s="359"/>
      <c r="AGU308" s="359"/>
      <c r="AGV308" s="359"/>
      <c r="AGW308" s="359"/>
      <c r="AGX308" s="359"/>
      <c r="AGY308" s="359"/>
      <c r="AGZ308" s="359"/>
      <c r="AHA308" s="359"/>
      <c r="AHB308" s="359"/>
      <c r="AHC308" s="359"/>
      <c r="AHD308" s="359"/>
      <c r="AHE308" s="359"/>
      <c r="AHF308" s="359"/>
      <c r="AHG308" s="359"/>
      <c r="AHH308" s="359"/>
      <c r="AHI308" s="359"/>
      <c r="AHJ308" s="359"/>
      <c r="AHK308" s="359"/>
      <c r="AHL308" s="359"/>
      <c r="AHM308" s="359"/>
      <c r="AHN308" s="359"/>
      <c r="AHO308" s="359"/>
      <c r="AHP308" s="359"/>
      <c r="AHQ308" s="359"/>
      <c r="AHR308" s="359"/>
      <c r="AHS308" s="359"/>
      <c r="AHT308" s="359"/>
      <c r="AHU308" s="359"/>
      <c r="AHV308" s="359"/>
      <c r="AHW308" s="359"/>
      <c r="AHX308" s="359"/>
      <c r="AHY308" s="359"/>
      <c r="AHZ308" s="359"/>
      <c r="AIA308" s="359"/>
      <c r="AIB308" s="359"/>
      <c r="AIC308" s="359"/>
      <c r="AID308" s="359"/>
      <c r="AIE308" s="359"/>
      <c r="AIF308" s="359"/>
      <c r="AIG308" s="359"/>
      <c r="AIH308" s="359"/>
      <c r="AII308" s="359"/>
      <c r="AIJ308" s="359"/>
      <c r="AIK308" s="359"/>
      <c r="AIL308" s="359"/>
      <c r="AIM308" s="359"/>
      <c r="AIN308" s="359"/>
      <c r="AIO308" s="359"/>
      <c r="AIP308" s="359"/>
      <c r="AIQ308" s="359"/>
      <c r="AIR308" s="359"/>
      <c r="AIS308" s="359"/>
      <c r="AIT308" s="359"/>
      <c r="AIU308" s="359"/>
      <c r="AIV308" s="359"/>
      <c r="AIW308" s="359"/>
      <c r="AIX308" s="359"/>
      <c r="AIY308" s="359"/>
      <c r="AIZ308" s="359"/>
      <c r="AJA308" s="359"/>
      <c r="AJB308" s="359"/>
      <c r="AJC308" s="359"/>
      <c r="AJD308" s="359"/>
      <c r="AJE308" s="359"/>
      <c r="AJF308" s="359"/>
      <c r="AJG308" s="359"/>
      <c r="AJH308" s="359"/>
      <c r="AJI308" s="359"/>
      <c r="AJJ308" s="359"/>
      <c r="AJK308" s="359"/>
      <c r="AJL308" s="359"/>
      <c r="AJM308" s="359"/>
      <c r="AJN308" s="359"/>
      <c r="AJO308" s="359"/>
      <c r="AJP308" s="359"/>
      <c r="AJQ308" s="359"/>
      <c r="AJR308" s="359"/>
      <c r="AJS308" s="359"/>
      <c r="AJT308" s="359"/>
      <c r="AJU308" s="359"/>
      <c r="AJV308" s="359"/>
      <c r="AJW308" s="359"/>
      <c r="AJX308" s="359"/>
      <c r="AJY308" s="359"/>
      <c r="AJZ308" s="359"/>
      <c r="AKA308" s="359"/>
      <c r="AKB308" s="359"/>
      <c r="AKC308" s="359"/>
      <c r="AKD308" s="359"/>
      <c r="AKE308" s="359"/>
      <c r="AKF308" s="359"/>
      <c r="AKG308" s="359"/>
      <c r="AKH308" s="359"/>
      <c r="AKI308" s="359"/>
      <c r="AKJ308" s="359"/>
      <c r="AKK308" s="359"/>
      <c r="AKL308" s="359"/>
      <c r="AKM308" s="359"/>
      <c r="AKN308" s="359"/>
      <c r="AKO308" s="359"/>
      <c r="AKP308" s="359"/>
      <c r="AKQ308" s="359"/>
      <c r="AKR308" s="359"/>
      <c r="AKS308" s="359"/>
      <c r="AKT308" s="359"/>
      <c r="AKU308" s="359"/>
      <c r="AKV308" s="359"/>
      <c r="AKW308" s="359"/>
      <c r="AKX308" s="359"/>
      <c r="AKY308" s="359"/>
      <c r="AKZ308" s="359"/>
      <c r="ALA308" s="359"/>
      <c r="ALB308" s="359"/>
      <c r="ALC308" s="359"/>
      <c r="ALD308" s="359"/>
      <c r="ALE308" s="359"/>
      <c r="ALF308" s="359"/>
      <c r="ALG308" s="359"/>
      <c r="ALH308" s="359"/>
      <c r="ALI308" s="359"/>
      <c r="ALJ308" s="359"/>
      <c r="ALK308" s="359"/>
      <c r="ALL308" s="359"/>
      <c r="ALM308" s="359"/>
      <c r="ALN308" s="359"/>
      <c r="ALO308" s="359"/>
      <c r="ALP308" s="359"/>
      <c r="ALQ308" s="359"/>
      <c r="ALR308" s="359"/>
      <c r="ALS308" s="359"/>
      <c r="ALT308" s="359"/>
      <c r="ALU308" s="359"/>
      <c r="ALV308" s="359"/>
      <c r="ALW308" s="359"/>
      <c r="ALX308" s="359"/>
      <c r="ALY308" s="359"/>
      <c r="ALZ308" s="359"/>
      <c r="AMA308" s="359"/>
      <c r="AMB308" s="359"/>
      <c r="AMC308" s="359"/>
      <c r="AMD308" s="359"/>
      <c r="AME308" s="359"/>
      <c r="AMF308" s="359"/>
      <c r="AMG308" s="359"/>
      <c r="AMH308" s="359"/>
      <c r="AMI308" s="359"/>
      <c r="AMJ308" s="359"/>
      <c r="AMK308" s="359"/>
      <c r="AML308" s="359"/>
      <c r="AMM308" s="359"/>
      <c r="AMN308" s="359"/>
      <c r="AMO308" s="359"/>
      <c r="AMP308" s="359"/>
      <c r="AMQ308" s="359"/>
      <c r="AMR308" s="359"/>
      <c r="AMS308" s="359"/>
      <c r="AMT308" s="359"/>
      <c r="AMU308" s="359"/>
      <c r="AMV308" s="359"/>
      <c r="AMW308" s="359"/>
      <c r="AMX308" s="359"/>
      <c r="AMY308" s="359"/>
      <c r="AMZ308" s="359"/>
      <c r="ANA308" s="359"/>
      <c r="ANB308" s="359"/>
      <c r="ANC308" s="359"/>
      <c r="AND308" s="359"/>
      <c r="ANE308" s="359"/>
      <c r="ANF308" s="359"/>
      <c r="ANG308" s="359"/>
      <c r="ANH308" s="359"/>
      <c r="ANI308" s="359"/>
      <c r="ANJ308" s="359"/>
      <c r="ANK308" s="359"/>
      <c r="ANL308" s="359"/>
      <c r="ANM308" s="359"/>
      <c r="ANN308" s="359"/>
      <c r="ANO308" s="359"/>
      <c r="ANP308" s="359"/>
      <c r="ANQ308" s="359"/>
      <c r="ANR308" s="359"/>
      <c r="ANS308" s="359"/>
      <c r="ANT308" s="359"/>
      <c r="ANU308" s="359"/>
      <c r="ANV308" s="359"/>
      <c r="ANW308" s="359"/>
      <c r="ANX308" s="359"/>
      <c r="ANY308" s="359"/>
      <c r="ANZ308" s="359"/>
      <c r="AOA308" s="359"/>
      <c r="AOB308" s="359"/>
      <c r="AOC308" s="359"/>
      <c r="AOD308" s="359"/>
      <c r="AOE308" s="359"/>
      <c r="AOF308" s="359"/>
      <c r="AOG308" s="359"/>
      <c r="AOH308" s="359"/>
      <c r="AOI308" s="359"/>
      <c r="AOJ308" s="359"/>
      <c r="AOK308" s="359"/>
      <c r="AOL308" s="359"/>
      <c r="AOM308" s="359"/>
      <c r="AON308" s="359"/>
      <c r="AOO308" s="359"/>
      <c r="AOP308" s="359"/>
      <c r="AOQ308" s="359"/>
      <c r="AOR308" s="359"/>
      <c r="AOS308" s="359"/>
      <c r="AOT308" s="359"/>
      <c r="AOU308" s="359"/>
      <c r="AOV308" s="359"/>
      <c r="AOW308" s="359"/>
      <c r="AOX308" s="359"/>
      <c r="AOY308" s="359"/>
      <c r="AOZ308" s="359"/>
      <c r="APA308" s="359"/>
      <c r="APB308" s="359"/>
      <c r="APC308" s="359"/>
      <c r="APD308" s="359"/>
      <c r="APE308" s="359"/>
      <c r="APF308" s="359"/>
      <c r="APG308" s="359"/>
      <c r="APH308" s="359"/>
      <c r="API308" s="359"/>
      <c r="APJ308" s="359"/>
      <c r="APK308" s="359"/>
      <c r="APL308" s="359"/>
      <c r="APM308" s="359"/>
      <c r="APN308" s="359"/>
      <c r="APO308" s="359"/>
      <c r="APP308" s="359"/>
      <c r="APQ308" s="359"/>
      <c r="APR308" s="359"/>
      <c r="APS308" s="359"/>
      <c r="APT308" s="359"/>
      <c r="APU308" s="359"/>
      <c r="APV308" s="359"/>
      <c r="APW308" s="359"/>
      <c r="APX308" s="359"/>
      <c r="APY308" s="359"/>
      <c r="APZ308" s="359"/>
      <c r="AQA308" s="359"/>
      <c r="AQB308" s="359"/>
      <c r="AQC308" s="359"/>
      <c r="AQD308" s="359"/>
      <c r="AQE308" s="359"/>
      <c r="AQF308" s="359"/>
      <c r="AQG308" s="359"/>
      <c r="AQH308" s="359"/>
      <c r="AQI308" s="359"/>
      <c r="AQJ308" s="359"/>
      <c r="AQK308" s="359"/>
      <c r="AQL308" s="359"/>
      <c r="AQM308" s="359"/>
      <c r="AQN308" s="359"/>
      <c r="AQO308" s="359"/>
      <c r="AQP308" s="359"/>
      <c r="AQQ308" s="359"/>
      <c r="AQR308" s="359"/>
      <c r="AQS308" s="359"/>
      <c r="AQT308" s="359"/>
      <c r="AQU308" s="359"/>
      <c r="AQV308" s="359"/>
      <c r="AQW308" s="359"/>
      <c r="AQX308" s="359"/>
      <c r="AQY308" s="359"/>
      <c r="AQZ308" s="359"/>
      <c r="ARA308" s="359"/>
      <c r="ARB308" s="359"/>
      <c r="ARC308" s="359"/>
      <c r="ARD308" s="359"/>
      <c r="ARE308" s="359"/>
      <c r="ARF308" s="359"/>
      <c r="ARG308" s="359"/>
      <c r="ARH308" s="359"/>
      <c r="ARI308" s="359"/>
      <c r="ARJ308" s="359"/>
      <c r="ARK308" s="359"/>
      <c r="ARL308" s="359"/>
      <c r="ARM308" s="359"/>
      <c r="ARN308" s="359"/>
      <c r="ARO308" s="359"/>
      <c r="ARP308" s="359"/>
      <c r="ARQ308" s="359"/>
      <c r="ARR308" s="359"/>
      <c r="ARS308" s="359"/>
      <c r="ART308" s="359"/>
      <c r="ARU308" s="359"/>
      <c r="ARV308" s="359"/>
      <c r="ARW308" s="359"/>
      <c r="ARX308" s="359"/>
      <c r="ARY308" s="359"/>
      <c r="ARZ308" s="359"/>
      <c r="ASA308" s="359"/>
      <c r="ASB308" s="359"/>
      <c r="ASC308" s="359"/>
      <c r="ASD308" s="359"/>
      <c r="ASE308" s="359"/>
      <c r="ASF308" s="359"/>
      <c r="ASG308" s="359"/>
      <c r="ASH308" s="359"/>
      <c r="ASI308" s="359"/>
      <c r="ASJ308" s="359"/>
      <c r="ASK308" s="359"/>
      <c r="ASL308" s="359"/>
      <c r="ASM308" s="359"/>
      <c r="ASN308" s="359"/>
      <c r="ASO308" s="359"/>
      <c r="ASP308" s="359"/>
      <c r="ASQ308" s="359"/>
      <c r="ASR308" s="359"/>
      <c r="ASS308" s="359"/>
      <c r="AST308" s="359"/>
      <c r="ASU308" s="359"/>
      <c r="ASV308" s="359"/>
      <c r="ASW308" s="359"/>
      <c r="ASX308" s="359"/>
      <c r="ASY308" s="359"/>
      <c r="ASZ308" s="359"/>
      <c r="ATA308" s="359"/>
      <c r="ATB308" s="359"/>
      <c r="ATC308" s="359"/>
      <c r="ATD308" s="359"/>
      <c r="ATE308" s="359"/>
      <c r="ATF308" s="359"/>
      <c r="ATG308" s="359"/>
      <c r="ATH308" s="359"/>
      <c r="ATI308" s="359"/>
      <c r="ATJ308" s="359"/>
      <c r="ATK308" s="359"/>
      <c r="ATL308" s="359"/>
      <c r="ATM308" s="359"/>
      <c r="ATN308" s="359"/>
      <c r="ATO308" s="359"/>
      <c r="ATP308" s="359"/>
      <c r="ATQ308" s="359"/>
      <c r="ATR308" s="359"/>
      <c r="ATS308" s="359"/>
      <c r="ATT308" s="359"/>
      <c r="ATU308" s="359"/>
      <c r="ATV308" s="359"/>
      <c r="ATW308" s="359"/>
      <c r="ATX308" s="359"/>
      <c r="ATY308" s="359"/>
      <c r="ATZ308" s="359"/>
      <c r="AUA308" s="359"/>
      <c r="AUB308" s="359"/>
      <c r="AUC308" s="359"/>
      <c r="AUD308" s="359"/>
      <c r="AUE308" s="359"/>
      <c r="AUF308" s="359"/>
      <c r="AUG308" s="359"/>
      <c r="AUH308" s="359"/>
      <c r="AUI308" s="359"/>
      <c r="AUJ308" s="359"/>
      <c r="AUK308" s="359"/>
      <c r="AUL308" s="359"/>
      <c r="AUM308" s="359"/>
      <c r="AUN308" s="359"/>
      <c r="AUO308" s="359"/>
      <c r="AUP308" s="359"/>
      <c r="AUQ308" s="359"/>
      <c r="AUR308" s="359"/>
      <c r="AUS308" s="359"/>
      <c r="AUT308" s="359"/>
      <c r="AUU308" s="359"/>
      <c r="AUV308" s="359"/>
      <c r="AUW308" s="359"/>
      <c r="AUX308" s="359"/>
      <c r="AUY308" s="359"/>
      <c r="AUZ308" s="359"/>
      <c r="AVA308" s="359"/>
      <c r="AVB308" s="359"/>
      <c r="AVC308" s="359"/>
      <c r="AVD308" s="359"/>
      <c r="AVE308" s="359"/>
      <c r="AVF308" s="359"/>
      <c r="AVG308" s="359"/>
      <c r="AVH308" s="359"/>
      <c r="AVI308" s="359"/>
      <c r="AVJ308" s="359"/>
      <c r="AVK308" s="359"/>
      <c r="AVL308" s="359"/>
      <c r="AVM308" s="359"/>
      <c r="AVN308" s="359"/>
      <c r="AVO308" s="359"/>
      <c r="AVP308" s="359"/>
      <c r="AVQ308" s="359"/>
      <c r="AVR308" s="359"/>
      <c r="AVS308" s="359"/>
      <c r="AVT308" s="359"/>
      <c r="AVU308" s="359"/>
      <c r="AVV308" s="359"/>
      <c r="AVW308" s="359"/>
      <c r="AVX308" s="359"/>
      <c r="AVY308" s="359"/>
      <c r="AVZ308" s="359"/>
      <c r="AWA308" s="359"/>
      <c r="AWB308" s="359"/>
      <c r="AWC308" s="359"/>
      <c r="AWD308" s="359"/>
      <c r="AWE308" s="359"/>
      <c r="AWF308" s="359"/>
      <c r="AWG308" s="359"/>
      <c r="AWH308" s="359"/>
      <c r="AWI308" s="359"/>
      <c r="AWJ308" s="359"/>
      <c r="AWK308" s="359"/>
      <c r="AWL308" s="359"/>
      <c r="AWM308" s="359"/>
      <c r="AWN308" s="359"/>
      <c r="AWO308" s="359"/>
      <c r="AWP308" s="359"/>
      <c r="AWQ308" s="359"/>
      <c r="AWR308" s="359"/>
      <c r="AWS308" s="359"/>
      <c r="AWT308" s="359"/>
      <c r="AWU308" s="359"/>
      <c r="AWV308" s="359"/>
      <c r="AWW308" s="359"/>
      <c r="AWX308" s="359"/>
      <c r="AWY308" s="359"/>
      <c r="AWZ308" s="359"/>
      <c r="AXA308" s="359"/>
      <c r="AXB308" s="359"/>
      <c r="AXC308" s="359"/>
      <c r="AXD308" s="359"/>
      <c r="AXE308" s="359"/>
      <c r="AXF308" s="359"/>
      <c r="AXG308" s="359"/>
      <c r="AXH308" s="359"/>
      <c r="AXI308" s="359"/>
      <c r="AXJ308" s="359"/>
      <c r="AXK308" s="359"/>
      <c r="AXL308" s="359"/>
      <c r="AXM308" s="359"/>
      <c r="AXN308" s="359"/>
      <c r="AXO308" s="359"/>
      <c r="AXP308" s="359"/>
      <c r="AXQ308" s="359"/>
      <c r="AXR308" s="359"/>
      <c r="AXS308" s="359"/>
      <c r="AXT308" s="359"/>
      <c r="AXU308" s="359"/>
      <c r="AXV308" s="359"/>
      <c r="AXW308" s="359"/>
      <c r="AXX308" s="359"/>
      <c r="AXY308" s="359"/>
      <c r="AXZ308" s="359"/>
      <c r="AYA308" s="359"/>
      <c r="AYB308" s="359"/>
      <c r="AYC308" s="359"/>
      <c r="AYD308" s="359"/>
      <c r="AYE308" s="359"/>
      <c r="AYF308" s="359"/>
      <c r="AYG308" s="359"/>
      <c r="AYH308" s="359"/>
      <c r="AYI308" s="359"/>
      <c r="AYJ308" s="359"/>
      <c r="AYK308" s="359"/>
      <c r="AYL308" s="359"/>
      <c r="AYM308" s="359"/>
      <c r="AYN308" s="359"/>
      <c r="AYO308" s="359"/>
      <c r="AYP308" s="359"/>
      <c r="AYQ308" s="359"/>
      <c r="AYR308" s="359"/>
      <c r="AYS308" s="359"/>
      <c r="AYT308" s="359"/>
      <c r="AYU308" s="359"/>
      <c r="AYV308" s="359"/>
      <c r="AYW308" s="359"/>
      <c r="AYX308" s="359"/>
      <c r="AYY308" s="359"/>
      <c r="AYZ308" s="359"/>
      <c r="AZA308" s="359"/>
      <c r="AZB308" s="359"/>
      <c r="AZC308" s="359"/>
      <c r="AZD308" s="359"/>
      <c r="AZE308" s="359"/>
      <c r="AZF308" s="359"/>
      <c r="AZG308" s="359"/>
      <c r="AZH308" s="359"/>
      <c r="AZI308" s="359"/>
      <c r="AZJ308" s="359"/>
      <c r="AZK308" s="359"/>
      <c r="AZL308" s="359"/>
      <c r="AZM308" s="359"/>
      <c r="AZN308" s="359"/>
      <c r="AZO308" s="359"/>
      <c r="AZP308" s="359"/>
      <c r="AZQ308" s="359"/>
      <c r="AZR308" s="359"/>
      <c r="AZS308" s="359"/>
      <c r="AZT308" s="359"/>
      <c r="AZU308" s="359"/>
      <c r="AZV308" s="359"/>
      <c r="AZW308" s="359"/>
      <c r="AZX308" s="359"/>
      <c r="AZY308" s="359"/>
      <c r="AZZ308" s="359"/>
      <c r="BAA308" s="359"/>
      <c r="BAB308" s="359"/>
      <c r="BAC308" s="359"/>
      <c r="BAD308" s="359"/>
      <c r="BAE308" s="359"/>
      <c r="BAF308" s="359"/>
      <c r="BAG308" s="359"/>
      <c r="BAH308" s="359"/>
      <c r="BAI308" s="359"/>
      <c r="BAJ308" s="359"/>
      <c r="BAK308" s="359"/>
      <c r="BAL308" s="359"/>
      <c r="BAM308" s="359"/>
      <c r="BAN308" s="359"/>
      <c r="BAO308" s="359"/>
      <c r="BAP308" s="359"/>
      <c r="BAQ308" s="359"/>
      <c r="BAR308" s="359"/>
      <c r="BAS308" s="359"/>
      <c r="BAT308" s="359"/>
      <c r="BAU308" s="359"/>
      <c r="BAV308" s="359"/>
      <c r="BAW308" s="359"/>
      <c r="BAX308" s="359"/>
      <c r="BAY308" s="359"/>
      <c r="BAZ308" s="359"/>
      <c r="BBA308" s="359"/>
      <c r="BBB308" s="359"/>
      <c r="BBC308" s="359"/>
      <c r="BBD308" s="359"/>
      <c r="BBE308" s="359"/>
      <c r="BBF308" s="359"/>
      <c r="BBG308" s="359"/>
      <c r="BBH308" s="359"/>
      <c r="BBI308" s="359"/>
      <c r="BBJ308" s="359"/>
      <c r="BBK308" s="359"/>
      <c r="BBL308" s="359"/>
      <c r="BBM308" s="359"/>
      <c r="BBN308" s="359"/>
      <c r="BBO308" s="359"/>
      <c r="BBP308" s="359"/>
      <c r="BBQ308" s="359"/>
      <c r="BBR308" s="359"/>
      <c r="BBS308" s="359"/>
      <c r="BBT308" s="359"/>
      <c r="BBU308" s="359"/>
      <c r="BBV308" s="359"/>
      <c r="BBW308" s="359"/>
      <c r="BBX308" s="359"/>
      <c r="BBY308" s="359"/>
      <c r="BBZ308" s="359"/>
      <c r="BCA308" s="359"/>
      <c r="BCB308" s="359"/>
      <c r="BCC308" s="359"/>
      <c r="BCD308" s="359"/>
      <c r="BCE308" s="359"/>
      <c r="BCF308" s="359"/>
      <c r="BCG308" s="359"/>
      <c r="BCH308" s="359"/>
      <c r="BCI308" s="359"/>
      <c r="BCJ308" s="359"/>
      <c r="BCK308" s="359"/>
      <c r="BCL308" s="359"/>
      <c r="BCM308" s="359"/>
      <c r="BCN308" s="359"/>
      <c r="BCO308" s="359"/>
      <c r="BCP308" s="359"/>
      <c r="BCQ308" s="359"/>
      <c r="BCR308" s="359"/>
      <c r="BCS308" s="359"/>
      <c r="BCT308" s="359"/>
      <c r="BCU308" s="359"/>
      <c r="BCV308" s="359"/>
      <c r="BCW308" s="359"/>
      <c r="BCX308" s="359"/>
      <c r="BCY308" s="359"/>
      <c r="BCZ308" s="359"/>
      <c r="BDA308" s="359"/>
      <c r="BDB308" s="359"/>
      <c r="BDC308" s="359"/>
      <c r="BDD308" s="359"/>
      <c r="BDE308" s="359"/>
      <c r="BDF308" s="359"/>
      <c r="BDG308" s="359"/>
      <c r="BDH308" s="359"/>
      <c r="BDI308" s="359"/>
      <c r="BDJ308" s="359"/>
      <c r="BDK308" s="359"/>
      <c r="BDL308" s="359"/>
      <c r="BDM308" s="359"/>
      <c r="BDN308" s="359"/>
      <c r="BDO308" s="359"/>
      <c r="BDP308" s="359"/>
      <c r="BDQ308" s="359"/>
      <c r="BDR308" s="359"/>
      <c r="BDS308" s="359"/>
      <c r="BDT308" s="359"/>
      <c r="BDU308" s="359"/>
      <c r="BDV308" s="359"/>
      <c r="BDW308" s="359"/>
      <c r="BDX308" s="359"/>
      <c r="BDY308" s="359"/>
      <c r="BDZ308" s="359"/>
      <c r="BEA308" s="359"/>
      <c r="BEB308" s="359"/>
      <c r="BEC308" s="359"/>
      <c r="BED308" s="359"/>
      <c r="BEE308" s="359"/>
      <c r="BEF308" s="359"/>
      <c r="BEG308" s="359"/>
      <c r="BEH308" s="359"/>
      <c r="BEI308" s="359"/>
      <c r="BEJ308" s="359"/>
      <c r="BEK308" s="359"/>
      <c r="BEL308" s="359"/>
      <c r="BEM308" s="359"/>
      <c r="BEN308" s="359"/>
      <c r="BEO308" s="359"/>
      <c r="BEP308" s="359"/>
      <c r="BEQ308" s="359"/>
      <c r="BER308" s="359"/>
      <c r="BES308" s="359"/>
      <c r="BET308" s="359"/>
      <c r="BEU308" s="359"/>
      <c r="BEV308" s="359"/>
      <c r="BEW308" s="359"/>
      <c r="BEX308" s="359"/>
      <c r="BEY308" s="359"/>
      <c r="BEZ308" s="359"/>
      <c r="BFA308" s="359"/>
      <c r="BFB308" s="359"/>
      <c r="BFC308" s="359"/>
      <c r="BFD308" s="359"/>
      <c r="BFE308" s="359"/>
      <c r="BFF308" s="359"/>
      <c r="BFG308" s="359"/>
      <c r="BFH308" s="359"/>
      <c r="BFI308" s="359"/>
      <c r="BFJ308" s="359"/>
      <c r="BFK308" s="359"/>
      <c r="BFL308" s="359"/>
      <c r="BFM308" s="359"/>
      <c r="BFN308" s="359"/>
      <c r="BFO308" s="359"/>
      <c r="BFP308" s="359"/>
      <c r="BFQ308" s="359"/>
      <c r="BFR308" s="359"/>
      <c r="BFS308" s="359"/>
      <c r="BFT308" s="359"/>
      <c r="BFU308" s="359"/>
      <c r="BFV308" s="359"/>
      <c r="BFW308" s="359"/>
      <c r="BFX308" s="359"/>
      <c r="BFY308" s="359"/>
      <c r="BFZ308" s="359"/>
      <c r="BGA308" s="359"/>
      <c r="BGB308" s="359"/>
      <c r="BGC308" s="359"/>
      <c r="BGD308" s="359"/>
      <c r="BGE308" s="359"/>
      <c r="BGF308" s="359"/>
      <c r="BGG308" s="359"/>
      <c r="BGH308" s="359"/>
      <c r="BGI308" s="359"/>
      <c r="BGJ308" s="359"/>
      <c r="BGK308" s="359"/>
      <c r="BGL308" s="359"/>
      <c r="BGM308" s="359"/>
      <c r="BGN308" s="359"/>
      <c r="BGO308" s="359"/>
      <c r="BGP308" s="359"/>
      <c r="BGQ308" s="359"/>
      <c r="BGR308" s="359"/>
      <c r="BGS308" s="359"/>
      <c r="BGT308" s="359"/>
      <c r="BGU308" s="359"/>
      <c r="BGV308" s="359"/>
      <c r="BGW308" s="359"/>
      <c r="BGX308" s="359"/>
      <c r="BGY308" s="359"/>
      <c r="BGZ308" s="359"/>
      <c r="BHA308" s="359"/>
      <c r="BHB308" s="359"/>
      <c r="BHC308" s="359"/>
      <c r="BHD308" s="359"/>
      <c r="BHE308" s="359"/>
      <c r="BHF308" s="359"/>
      <c r="BHG308" s="359"/>
      <c r="BHH308" s="359"/>
      <c r="BHI308" s="359"/>
      <c r="BHJ308" s="359"/>
      <c r="BHK308" s="359"/>
      <c r="BHL308" s="359"/>
      <c r="BHM308" s="359"/>
      <c r="BHN308" s="359"/>
      <c r="BHO308" s="359"/>
      <c r="BHP308" s="359"/>
      <c r="BHQ308" s="359"/>
      <c r="BHR308" s="359"/>
      <c r="BHS308" s="359"/>
      <c r="BHT308" s="359"/>
      <c r="BHU308" s="359"/>
      <c r="BHV308" s="359"/>
      <c r="BHW308" s="359"/>
      <c r="BHX308" s="359"/>
      <c r="BHY308" s="359"/>
      <c r="BHZ308" s="359"/>
      <c r="BIA308" s="359"/>
      <c r="BIB308" s="359"/>
      <c r="BIC308" s="359"/>
      <c r="BID308" s="359"/>
      <c r="BIE308" s="359"/>
      <c r="BIF308" s="359"/>
      <c r="BIG308" s="359"/>
      <c r="BIH308" s="359"/>
      <c r="BII308" s="359"/>
      <c r="BIJ308" s="359"/>
      <c r="BIK308" s="359"/>
      <c r="BIL308" s="359"/>
      <c r="BIM308" s="359"/>
      <c r="BIN308" s="359"/>
      <c r="BIO308" s="359"/>
      <c r="BIP308" s="359"/>
      <c r="BIQ308" s="359"/>
      <c r="BIR308" s="359"/>
      <c r="BIS308" s="359"/>
      <c r="BIT308" s="359"/>
      <c r="BIU308" s="359"/>
      <c r="BIV308" s="359"/>
      <c r="BIW308" s="359"/>
      <c r="BIX308" s="359"/>
      <c r="BIY308" s="359"/>
      <c r="BIZ308" s="359"/>
      <c r="BJA308" s="359"/>
      <c r="BJB308" s="359"/>
      <c r="BJC308" s="359"/>
      <c r="BJD308" s="359"/>
      <c r="BJE308" s="359"/>
      <c r="BJF308" s="359"/>
      <c r="BJG308" s="359"/>
      <c r="BJH308" s="359"/>
      <c r="BJI308" s="359"/>
      <c r="BJJ308" s="359"/>
      <c r="BJK308" s="359"/>
      <c r="BJL308" s="359"/>
      <c r="BJM308" s="359"/>
      <c r="BJN308" s="359"/>
      <c r="BJO308" s="359"/>
      <c r="BJP308" s="359"/>
      <c r="BJQ308" s="359"/>
      <c r="BJR308" s="359"/>
      <c r="BJS308" s="359"/>
      <c r="BJT308" s="359"/>
      <c r="BJU308" s="359"/>
      <c r="BJV308" s="359"/>
      <c r="BJW308" s="359"/>
      <c r="BJX308" s="359"/>
      <c r="BJY308" s="359"/>
      <c r="BJZ308" s="359"/>
      <c r="BKA308" s="359"/>
      <c r="BKB308" s="359"/>
      <c r="BKC308" s="359"/>
      <c r="BKD308" s="359"/>
      <c r="BKE308" s="359"/>
      <c r="BKF308" s="359"/>
      <c r="BKG308" s="359"/>
      <c r="BKH308" s="359"/>
      <c r="BKI308" s="359"/>
      <c r="BKJ308" s="359"/>
      <c r="BKK308" s="359"/>
      <c r="BKL308" s="359"/>
      <c r="BKM308" s="359"/>
      <c r="BKN308" s="359"/>
      <c r="BKO308" s="359"/>
      <c r="BKP308" s="359"/>
      <c r="BKQ308" s="359"/>
      <c r="BKR308" s="359"/>
      <c r="BKS308" s="359"/>
      <c r="BKT308" s="359"/>
      <c r="BKU308" s="359"/>
      <c r="BKV308" s="359"/>
      <c r="BKW308" s="359"/>
      <c r="BKX308" s="359"/>
      <c r="BKY308" s="359"/>
      <c r="BKZ308" s="359"/>
      <c r="BLA308" s="359"/>
      <c r="BLB308" s="359"/>
      <c r="BLC308" s="359"/>
      <c r="BLD308" s="359"/>
      <c r="BLE308" s="359"/>
      <c r="BLF308" s="359"/>
      <c r="BLG308" s="359"/>
      <c r="BLH308" s="359"/>
      <c r="BLI308" s="359"/>
      <c r="BLJ308" s="359"/>
      <c r="BLK308" s="359"/>
      <c r="BLL308" s="359"/>
      <c r="BLM308" s="359"/>
      <c r="BLN308" s="359"/>
      <c r="BLO308" s="359"/>
      <c r="BLP308" s="359"/>
      <c r="BLQ308" s="359"/>
      <c r="BLR308" s="359"/>
      <c r="BLS308" s="359"/>
      <c r="BLT308" s="359"/>
      <c r="BLU308" s="359"/>
      <c r="BLV308" s="359"/>
      <c r="BLW308" s="359"/>
      <c r="BLX308" s="359"/>
      <c r="BLY308" s="359"/>
      <c r="BLZ308" s="359"/>
      <c r="BMA308" s="359"/>
      <c r="BMB308" s="359"/>
      <c r="BMC308" s="359"/>
      <c r="BMD308" s="359"/>
      <c r="BME308" s="359"/>
      <c r="BMF308" s="359"/>
      <c r="BMG308" s="359"/>
      <c r="BMH308" s="359"/>
      <c r="BMI308" s="359"/>
      <c r="BMJ308" s="359"/>
      <c r="BMK308" s="359"/>
      <c r="BML308" s="359"/>
      <c r="BMM308" s="359"/>
      <c r="BMN308" s="359"/>
      <c r="BMO308" s="359"/>
      <c r="BMP308" s="359"/>
      <c r="BMQ308" s="359"/>
      <c r="BMR308" s="359"/>
      <c r="BMS308" s="359"/>
      <c r="BMT308" s="359"/>
      <c r="BMU308" s="359"/>
      <c r="BMV308" s="359"/>
      <c r="BMW308" s="359"/>
      <c r="BMX308" s="359"/>
      <c r="BMY308" s="359"/>
      <c r="BMZ308" s="359"/>
      <c r="BNA308" s="359"/>
      <c r="BNB308" s="359"/>
      <c r="BNC308" s="359"/>
      <c r="BND308" s="359"/>
      <c r="BNE308" s="359"/>
      <c r="BNF308" s="359"/>
      <c r="BNG308" s="359"/>
      <c r="BNH308" s="359"/>
      <c r="BNI308" s="359"/>
      <c r="BNJ308" s="359"/>
      <c r="BNK308" s="359"/>
      <c r="BNL308" s="359"/>
      <c r="BNM308" s="359"/>
      <c r="BNN308" s="359"/>
      <c r="BNO308" s="359"/>
      <c r="BNP308" s="359"/>
      <c r="BNQ308" s="359"/>
      <c r="BNR308" s="359"/>
      <c r="BNS308" s="359"/>
      <c r="BNT308" s="359"/>
      <c r="BNU308" s="359"/>
      <c r="BNV308" s="359"/>
      <c r="BNW308" s="359"/>
      <c r="BNX308" s="359"/>
      <c r="BNY308" s="359"/>
      <c r="BNZ308" s="359"/>
      <c r="BOA308" s="359"/>
      <c r="BOB308" s="359"/>
      <c r="BOC308" s="359"/>
      <c r="BOD308" s="359"/>
      <c r="BOE308" s="359"/>
      <c r="BOF308" s="359"/>
      <c r="BOG308" s="359"/>
      <c r="BOH308" s="359"/>
      <c r="BOI308" s="359"/>
      <c r="BOJ308" s="359"/>
      <c r="BOK308" s="359"/>
      <c r="BOL308" s="359"/>
      <c r="BOM308" s="359"/>
      <c r="BON308" s="359"/>
      <c r="BOO308" s="359"/>
      <c r="BOP308" s="359"/>
      <c r="BOQ308" s="359"/>
      <c r="BOR308" s="359"/>
      <c r="BOS308" s="359"/>
      <c r="BOT308" s="359"/>
      <c r="BOU308" s="359"/>
      <c r="BOV308" s="359"/>
      <c r="BOW308" s="359"/>
      <c r="BOX308" s="359"/>
      <c r="BOY308" s="359"/>
      <c r="BOZ308" s="359"/>
      <c r="BPA308" s="359"/>
      <c r="BPB308" s="359"/>
      <c r="BPC308" s="359"/>
      <c r="BPD308" s="359"/>
      <c r="BPE308" s="359"/>
      <c r="BPF308" s="359"/>
      <c r="BPG308" s="359"/>
      <c r="BPH308" s="359"/>
      <c r="BPI308" s="359"/>
      <c r="BPJ308" s="359"/>
      <c r="BPK308" s="359"/>
      <c r="BPL308" s="359"/>
      <c r="BPM308" s="359"/>
      <c r="BPN308" s="359"/>
      <c r="BPO308" s="359"/>
      <c r="BPP308" s="359"/>
      <c r="BPQ308" s="359"/>
      <c r="BPR308" s="359"/>
      <c r="BPS308" s="359"/>
      <c r="BPT308" s="359"/>
      <c r="BPU308" s="359"/>
      <c r="BPV308" s="359"/>
      <c r="BPW308" s="359"/>
      <c r="BPX308" s="359"/>
      <c r="BPY308" s="359"/>
      <c r="BPZ308" s="359"/>
      <c r="BQA308" s="359"/>
      <c r="BQB308" s="359"/>
      <c r="BQC308" s="359"/>
      <c r="BQD308" s="359"/>
      <c r="BQE308" s="359"/>
      <c r="BQF308" s="359"/>
      <c r="BQG308" s="359"/>
      <c r="BQH308" s="359"/>
      <c r="BQI308" s="359"/>
      <c r="BQJ308" s="359"/>
      <c r="BQK308" s="359"/>
      <c r="BQL308" s="359"/>
      <c r="BQM308" s="359"/>
      <c r="BQN308" s="359"/>
      <c r="BQO308" s="359"/>
      <c r="BQP308" s="359"/>
      <c r="BQQ308" s="359"/>
      <c r="BQR308" s="359"/>
      <c r="BQS308" s="359"/>
      <c r="BQT308" s="359"/>
      <c r="BQU308" s="359"/>
      <c r="BQV308" s="359"/>
      <c r="BQW308" s="359"/>
      <c r="BQX308" s="359"/>
      <c r="BQY308" s="359"/>
      <c r="BQZ308" s="359"/>
      <c r="BRA308" s="359"/>
      <c r="BRB308" s="359"/>
      <c r="BRC308" s="359"/>
      <c r="BRD308" s="359"/>
      <c r="BRE308" s="359"/>
      <c r="BRF308" s="359"/>
      <c r="BRG308" s="359"/>
      <c r="BRH308" s="359"/>
      <c r="BRI308" s="359"/>
      <c r="BRJ308" s="359"/>
      <c r="BRK308" s="359"/>
      <c r="BRL308" s="359"/>
      <c r="BRM308" s="359"/>
      <c r="BRN308" s="359"/>
      <c r="BRO308" s="359"/>
      <c r="BRP308" s="359"/>
      <c r="BRQ308" s="359"/>
      <c r="BRR308" s="359"/>
      <c r="BRS308" s="359"/>
      <c r="BRT308" s="359"/>
      <c r="BRU308" s="359"/>
      <c r="BRV308" s="359"/>
      <c r="BRW308" s="359"/>
      <c r="BRX308" s="359"/>
      <c r="BRY308" s="359"/>
      <c r="BRZ308" s="359"/>
      <c r="BSA308" s="359"/>
      <c r="BSB308" s="359"/>
      <c r="BSC308" s="359"/>
      <c r="BSD308" s="359"/>
      <c r="BSE308" s="359"/>
      <c r="BSF308" s="359"/>
      <c r="BSG308" s="359"/>
      <c r="BSH308" s="359"/>
      <c r="BSI308" s="359"/>
      <c r="BSJ308" s="359"/>
      <c r="BSK308" s="359"/>
      <c r="BSL308" s="359"/>
      <c r="BSM308" s="359"/>
      <c r="BSN308" s="359"/>
      <c r="BSO308" s="359"/>
      <c r="BSP308" s="359"/>
      <c r="BSQ308" s="359"/>
      <c r="BSR308" s="359"/>
      <c r="BSS308" s="359"/>
      <c r="BST308" s="359"/>
      <c r="BSU308" s="359"/>
      <c r="BSV308" s="359"/>
      <c r="BSW308" s="359"/>
      <c r="BSX308" s="359"/>
      <c r="BSY308" s="359"/>
      <c r="BSZ308" s="359"/>
      <c r="BTA308" s="359"/>
      <c r="BTB308" s="359"/>
      <c r="BTC308" s="359"/>
      <c r="BTD308" s="359"/>
      <c r="BTE308" s="359"/>
      <c r="BTF308" s="359"/>
      <c r="BTG308" s="359"/>
      <c r="BTH308" s="359"/>
      <c r="BTI308" s="359"/>
      <c r="BTJ308" s="359"/>
      <c r="BTK308" s="359"/>
      <c r="BTL308" s="359"/>
      <c r="BTM308" s="359"/>
      <c r="BTN308" s="359"/>
      <c r="BTO308" s="359"/>
      <c r="BTP308" s="359"/>
      <c r="BTQ308" s="359"/>
      <c r="BTR308" s="359"/>
      <c r="BTS308" s="359"/>
      <c r="BTT308" s="359"/>
      <c r="BTU308" s="359"/>
      <c r="BTV308" s="359"/>
      <c r="BTW308" s="359"/>
      <c r="BTX308" s="359"/>
      <c r="BTY308" s="359"/>
      <c r="BTZ308" s="359"/>
      <c r="BUA308" s="359"/>
      <c r="BUB308" s="359"/>
      <c r="BUC308" s="359"/>
      <c r="BUD308" s="359"/>
      <c r="BUE308" s="359"/>
      <c r="BUF308" s="359"/>
      <c r="BUG308" s="359"/>
      <c r="BUH308" s="359"/>
      <c r="BUI308" s="359"/>
      <c r="BUJ308" s="359"/>
      <c r="BUK308" s="359"/>
      <c r="BUL308" s="359"/>
      <c r="BUM308" s="359"/>
      <c r="BUN308" s="359"/>
      <c r="BUO308" s="359"/>
      <c r="BUP308" s="359"/>
      <c r="BUQ308" s="359"/>
      <c r="BUR308" s="359"/>
      <c r="BUS308" s="359"/>
      <c r="BUT308" s="359"/>
      <c r="BUU308" s="359"/>
      <c r="BUV308" s="359"/>
      <c r="BUW308" s="359"/>
      <c r="BUX308" s="359"/>
      <c r="BUY308" s="359"/>
      <c r="BUZ308" s="359"/>
      <c r="BVA308" s="359"/>
      <c r="BVB308" s="359"/>
      <c r="BVC308" s="359"/>
      <c r="BVD308" s="359"/>
      <c r="BVE308" s="359"/>
      <c r="BVF308" s="359"/>
      <c r="BVG308" s="359"/>
      <c r="BVH308" s="359"/>
      <c r="BVI308" s="359"/>
      <c r="BVJ308" s="359"/>
      <c r="BVK308" s="359"/>
      <c r="BVL308" s="359"/>
      <c r="BVM308" s="359"/>
      <c r="BVN308" s="359"/>
      <c r="BVO308" s="359"/>
      <c r="BVP308" s="359"/>
      <c r="BVQ308" s="359"/>
      <c r="BVR308" s="359"/>
      <c r="BVS308" s="359"/>
      <c r="BVT308" s="359"/>
      <c r="BVU308" s="359"/>
      <c r="BVV308" s="359"/>
      <c r="BVW308" s="359"/>
      <c r="BVX308" s="359"/>
      <c r="BVY308" s="359"/>
      <c r="BVZ308" s="359"/>
      <c r="BWA308" s="359"/>
      <c r="BWB308" s="359"/>
      <c r="BWC308" s="359"/>
      <c r="BWD308" s="359"/>
      <c r="BWE308" s="359"/>
      <c r="BWF308" s="359"/>
      <c r="BWG308" s="359"/>
      <c r="BWH308" s="359"/>
      <c r="BWI308" s="359"/>
      <c r="BWJ308" s="359"/>
      <c r="BWK308" s="359"/>
      <c r="BWL308" s="359"/>
      <c r="BWM308" s="359"/>
      <c r="BWN308" s="359"/>
      <c r="BWO308" s="359"/>
      <c r="BWP308" s="359"/>
      <c r="BWQ308" s="359"/>
      <c r="BWR308" s="359"/>
      <c r="BWS308" s="359"/>
      <c r="BWT308" s="359"/>
      <c r="BWU308" s="359"/>
      <c r="BWV308" s="359"/>
      <c r="BWW308" s="359"/>
      <c r="BWX308" s="359"/>
      <c r="BWY308" s="359"/>
      <c r="BWZ308" s="359"/>
      <c r="BXA308" s="359"/>
      <c r="BXB308" s="359"/>
      <c r="BXC308" s="359"/>
      <c r="BXD308" s="359"/>
      <c r="BXE308" s="359"/>
      <c r="BXF308" s="359"/>
      <c r="BXG308" s="359"/>
      <c r="BXH308" s="359"/>
      <c r="BXI308" s="359"/>
      <c r="BXJ308" s="359"/>
      <c r="BXK308" s="359"/>
      <c r="BXL308" s="359"/>
      <c r="BXM308" s="359"/>
      <c r="BXN308" s="359"/>
      <c r="BXO308" s="359"/>
      <c r="BXP308" s="359"/>
      <c r="BXQ308" s="359"/>
      <c r="BXR308" s="359"/>
      <c r="BXS308" s="359"/>
      <c r="BXT308" s="359"/>
      <c r="BXU308" s="359"/>
      <c r="BXV308" s="359"/>
      <c r="BXW308" s="359"/>
      <c r="BXX308" s="359"/>
      <c r="BXY308" s="359"/>
      <c r="BXZ308" s="359"/>
      <c r="BYA308" s="359"/>
      <c r="BYB308" s="359"/>
      <c r="BYC308" s="359"/>
      <c r="BYD308" s="359"/>
      <c r="BYE308" s="359"/>
      <c r="BYF308" s="359"/>
      <c r="BYG308" s="359"/>
      <c r="BYH308" s="359"/>
      <c r="BYI308" s="359"/>
      <c r="BYJ308" s="359"/>
      <c r="BYK308" s="359"/>
      <c r="BYL308" s="359"/>
      <c r="BYM308" s="359"/>
      <c r="BYN308" s="359"/>
      <c r="BYO308" s="359"/>
      <c r="BYP308" s="359"/>
      <c r="BYQ308" s="359"/>
      <c r="BYR308" s="359"/>
      <c r="BYS308" s="359"/>
      <c r="BYT308" s="359"/>
      <c r="BYU308" s="359"/>
      <c r="BYV308" s="359"/>
      <c r="BYW308" s="359"/>
      <c r="BYX308" s="359"/>
      <c r="BYY308" s="359"/>
      <c r="BYZ308" s="359"/>
      <c r="BZA308" s="359"/>
      <c r="BZB308" s="359"/>
      <c r="BZC308" s="359"/>
      <c r="BZD308" s="359"/>
      <c r="BZE308" s="359"/>
      <c r="BZF308" s="359"/>
      <c r="BZG308" s="359"/>
      <c r="BZH308" s="359"/>
      <c r="BZI308" s="359"/>
      <c r="BZJ308" s="359"/>
      <c r="BZK308" s="359"/>
      <c r="BZL308" s="359"/>
      <c r="BZM308" s="359"/>
      <c r="BZN308" s="359"/>
      <c r="BZO308" s="359"/>
      <c r="BZP308" s="359"/>
      <c r="BZQ308" s="359"/>
      <c r="BZR308" s="359"/>
      <c r="BZS308" s="359"/>
      <c r="BZT308" s="359"/>
      <c r="BZU308" s="359"/>
      <c r="BZV308" s="359"/>
      <c r="BZW308" s="359"/>
      <c r="BZX308" s="359"/>
      <c r="BZY308" s="359"/>
      <c r="BZZ308" s="359"/>
      <c r="CAA308" s="359"/>
      <c r="CAB308" s="359"/>
      <c r="CAC308" s="359"/>
      <c r="CAD308" s="359"/>
      <c r="CAE308" s="359"/>
      <c r="CAF308" s="359"/>
      <c r="CAG308" s="359"/>
      <c r="CAH308" s="359"/>
      <c r="CAI308" s="359"/>
      <c r="CAJ308" s="359"/>
      <c r="CAK308" s="359"/>
      <c r="CAL308" s="359"/>
      <c r="CAM308" s="359"/>
      <c r="CAN308" s="359"/>
      <c r="CAO308" s="359"/>
      <c r="CAP308" s="359"/>
      <c r="CAQ308" s="359"/>
      <c r="CAR308" s="359"/>
      <c r="CAS308" s="359"/>
      <c r="CAT308" s="359"/>
      <c r="CAU308" s="359"/>
      <c r="CAV308" s="359"/>
      <c r="CAW308" s="359"/>
      <c r="CAX308" s="359"/>
      <c r="CAY308" s="359"/>
      <c r="CAZ308" s="359"/>
      <c r="CBA308" s="359"/>
      <c r="CBB308" s="359"/>
      <c r="CBC308" s="359"/>
      <c r="CBD308" s="359"/>
      <c r="CBE308" s="359"/>
      <c r="CBF308" s="359"/>
      <c r="CBG308" s="359"/>
      <c r="CBH308" s="359"/>
      <c r="CBI308" s="359"/>
      <c r="CBJ308" s="359"/>
      <c r="CBK308" s="359"/>
      <c r="CBL308" s="359"/>
      <c r="CBM308" s="359"/>
      <c r="CBN308" s="359"/>
      <c r="CBO308" s="359"/>
      <c r="CBP308" s="359"/>
      <c r="CBQ308" s="359"/>
      <c r="CBR308" s="359"/>
      <c r="CBS308" s="359"/>
      <c r="CBT308" s="359"/>
      <c r="CBU308" s="359"/>
      <c r="CBV308" s="359"/>
      <c r="CBW308" s="359"/>
      <c r="CBX308" s="359"/>
      <c r="CBY308" s="359"/>
      <c r="CBZ308" s="359"/>
      <c r="CCA308" s="359"/>
      <c r="CCB308" s="359"/>
      <c r="CCC308" s="359"/>
      <c r="CCD308" s="359"/>
      <c r="CCE308" s="359"/>
      <c r="CCF308" s="359"/>
      <c r="CCG308" s="359"/>
      <c r="CCH308" s="359"/>
      <c r="CCI308" s="359"/>
      <c r="CCJ308" s="359"/>
      <c r="CCK308" s="359"/>
      <c r="CCL308" s="359"/>
      <c r="CCM308" s="359"/>
      <c r="CCN308" s="359"/>
      <c r="CCO308" s="359"/>
      <c r="CCP308" s="359"/>
      <c r="CCQ308" s="359"/>
      <c r="CCR308" s="359"/>
      <c r="CCS308" s="359"/>
      <c r="CCT308" s="359"/>
      <c r="CCU308" s="359"/>
      <c r="CCV308" s="359"/>
      <c r="CCW308" s="359"/>
      <c r="CCX308" s="359"/>
      <c r="CCY308" s="359"/>
      <c r="CCZ308" s="359"/>
      <c r="CDA308" s="359"/>
      <c r="CDB308" s="359"/>
      <c r="CDC308" s="359"/>
      <c r="CDD308" s="359"/>
      <c r="CDE308" s="359"/>
      <c r="CDF308" s="359"/>
      <c r="CDG308" s="359"/>
      <c r="CDH308" s="359"/>
      <c r="CDI308" s="359"/>
      <c r="CDJ308" s="359"/>
      <c r="CDK308" s="359"/>
      <c r="CDL308" s="359"/>
      <c r="CDM308" s="359"/>
      <c r="CDN308" s="359"/>
      <c r="CDO308" s="359"/>
      <c r="CDP308" s="359"/>
      <c r="CDQ308" s="359"/>
      <c r="CDR308" s="359"/>
      <c r="CDS308" s="359"/>
      <c r="CDT308" s="359"/>
      <c r="CDU308" s="359"/>
      <c r="CDV308" s="359"/>
      <c r="CDW308" s="359"/>
      <c r="CDX308" s="359"/>
      <c r="CDY308" s="359"/>
      <c r="CDZ308" s="359"/>
      <c r="CEA308" s="359"/>
      <c r="CEB308" s="359"/>
      <c r="CEC308" s="359"/>
      <c r="CED308" s="359"/>
      <c r="CEE308" s="359"/>
      <c r="CEF308" s="359"/>
      <c r="CEG308" s="359"/>
      <c r="CEH308" s="359"/>
      <c r="CEI308" s="359"/>
      <c r="CEJ308" s="359"/>
      <c r="CEK308" s="359"/>
      <c r="CEL308" s="359"/>
      <c r="CEM308" s="359"/>
      <c r="CEN308" s="359"/>
      <c r="CEO308" s="359"/>
      <c r="CEP308" s="359"/>
      <c r="CEQ308" s="359"/>
      <c r="CER308" s="359"/>
      <c r="CES308" s="359"/>
      <c r="CET308" s="359"/>
      <c r="CEU308" s="359"/>
      <c r="CEV308" s="359"/>
      <c r="CEW308" s="359"/>
      <c r="CEX308" s="359"/>
      <c r="CEY308" s="359"/>
      <c r="CEZ308" s="359"/>
      <c r="CFA308" s="359"/>
      <c r="CFB308" s="359"/>
      <c r="CFC308" s="359"/>
      <c r="CFD308" s="359"/>
      <c r="CFE308" s="359"/>
      <c r="CFF308" s="359"/>
      <c r="CFG308" s="359"/>
      <c r="CFH308" s="359"/>
      <c r="CFI308" s="359"/>
      <c r="CFJ308" s="359"/>
      <c r="CFK308" s="359"/>
      <c r="CFL308" s="359"/>
      <c r="CFM308" s="359"/>
      <c r="CFN308" s="359"/>
      <c r="CFO308" s="359"/>
      <c r="CFP308" s="359"/>
      <c r="CFQ308" s="359"/>
      <c r="CFR308" s="359"/>
      <c r="CFS308" s="359"/>
      <c r="CFT308" s="359"/>
      <c r="CFU308" s="359"/>
      <c r="CFV308" s="359"/>
      <c r="CFW308" s="359"/>
      <c r="CFX308" s="359"/>
      <c r="CFY308" s="359"/>
      <c r="CFZ308" s="359"/>
      <c r="CGA308" s="359"/>
      <c r="CGB308" s="359"/>
      <c r="CGC308" s="359"/>
      <c r="CGD308" s="359"/>
      <c r="CGE308" s="359"/>
      <c r="CGF308" s="359"/>
      <c r="CGG308" s="359"/>
      <c r="CGH308" s="359"/>
      <c r="CGI308" s="359"/>
      <c r="CGJ308" s="359"/>
      <c r="CGK308" s="359"/>
      <c r="CGL308" s="359"/>
      <c r="CGM308" s="359"/>
      <c r="CGN308" s="359"/>
      <c r="CGO308" s="359"/>
      <c r="CGP308" s="359"/>
      <c r="CGQ308" s="359"/>
      <c r="CGR308" s="359"/>
      <c r="CGS308" s="359"/>
      <c r="CGT308" s="359"/>
      <c r="CGU308" s="359"/>
      <c r="CGV308" s="359"/>
      <c r="CGW308" s="359"/>
      <c r="CGX308" s="359"/>
      <c r="CGY308" s="359"/>
      <c r="CGZ308" s="359"/>
      <c r="CHA308" s="359"/>
      <c r="CHB308" s="359"/>
      <c r="CHC308" s="359"/>
      <c r="CHD308" s="359"/>
      <c r="CHE308" s="359"/>
      <c r="CHF308" s="359"/>
      <c r="CHG308" s="359"/>
      <c r="CHH308" s="359"/>
      <c r="CHI308" s="359"/>
      <c r="CHJ308" s="359"/>
      <c r="CHK308" s="359"/>
      <c r="CHL308" s="359"/>
      <c r="CHM308" s="359"/>
      <c r="CHN308" s="359"/>
      <c r="CHO308" s="359"/>
      <c r="CHP308" s="359"/>
      <c r="CHQ308" s="359"/>
      <c r="CHR308" s="359"/>
      <c r="CHS308" s="359"/>
      <c r="CHT308" s="359"/>
      <c r="CHU308" s="359"/>
      <c r="CHV308" s="359"/>
      <c r="CHW308" s="359"/>
      <c r="CHX308" s="359"/>
      <c r="CHY308" s="359"/>
      <c r="CHZ308" s="359"/>
      <c r="CIA308" s="359"/>
      <c r="CIB308" s="359"/>
      <c r="CIC308" s="359"/>
      <c r="CID308" s="359"/>
      <c r="CIE308" s="359"/>
      <c r="CIF308" s="359"/>
      <c r="CIG308" s="359"/>
      <c r="CIH308" s="359"/>
      <c r="CII308" s="359"/>
      <c r="CIJ308" s="359"/>
      <c r="CIK308" s="359"/>
      <c r="CIL308" s="359"/>
      <c r="CIM308" s="359"/>
      <c r="CIN308" s="359"/>
      <c r="CIO308" s="359"/>
      <c r="CIP308" s="359"/>
      <c r="CIQ308" s="359"/>
      <c r="CIR308" s="359"/>
      <c r="CIS308" s="359"/>
      <c r="CIT308" s="359"/>
      <c r="CIU308" s="359"/>
      <c r="CIV308" s="359"/>
      <c r="CIW308" s="359"/>
      <c r="CIX308" s="359"/>
      <c r="CIY308" s="359"/>
      <c r="CIZ308" s="359"/>
      <c r="CJA308" s="359"/>
      <c r="CJB308" s="359"/>
      <c r="CJC308" s="359"/>
      <c r="CJD308" s="359"/>
      <c r="CJE308" s="359"/>
      <c r="CJF308" s="359"/>
      <c r="CJG308" s="359"/>
      <c r="CJH308" s="359"/>
      <c r="CJI308" s="359"/>
      <c r="CJJ308" s="359"/>
      <c r="CJK308" s="359"/>
      <c r="CJL308" s="359"/>
      <c r="CJM308" s="359"/>
      <c r="CJN308" s="359"/>
      <c r="CJO308" s="359"/>
      <c r="CJP308" s="359"/>
      <c r="CJQ308" s="359"/>
      <c r="CJR308" s="359"/>
      <c r="CJS308" s="359"/>
      <c r="CJT308" s="359"/>
      <c r="CJU308" s="359"/>
      <c r="CJV308" s="359"/>
      <c r="CJW308" s="359"/>
      <c r="CJX308" s="359"/>
      <c r="CJY308" s="359"/>
      <c r="CJZ308" s="359"/>
      <c r="CKA308" s="359"/>
      <c r="CKB308" s="359"/>
      <c r="CKC308" s="359"/>
      <c r="CKD308" s="359"/>
      <c r="CKE308" s="359"/>
      <c r="CKF308" s="359"/>
      <c r="CKG308" s="359"/>
      <c r="CKH308" s="359"/>
      <c r="CKI308" s="359"/>
      <c r="CKJ308" s="359"/>
      <c r="CKK308" s="359"/>
      <c r="CKL308" s="359"/>
      <c r="CKM308" s="359"/>
      <c r="CKN308" s="359"/>
      <c r="CKO308" s="359"/>
      <c r="CKP308" s="359"/>
      <c r="CKQ308" s="359"/>
      <c r="CKR308" s="359"/>
      <c r="CKS308" s="359"/>
      <c r="CKT308" s="359"/>
      <c r="CKU308" s="359"/>
      <c r="CKV308" s="359"/>
      <c r="CKW308" s="359"/>
      <c r="CKX308" s="359"/>
      <c r="CKY308" s="359"/>
      <c r="CKZ308" s="359"/>
      <c r="CLA308" s="359"/>
      <c r="CLB308" s="359"/>
      <c r="CLC308" s="359"/>
      <c r="CLD308" s="359"/>
      <c r="CLE308" s="359"/>
      <c r="CLF308" s="359"/>
      <c r="CLG308" s="359"/>
      <c r="CLH308" s="359"/>
      <c r="CLI308" s="359"/>
      <c r="CLJ308" s="359"/>
      <c r="CLK308" s="359"/>
      <c r="CLL308" s="359"/>
      <c r="CLM308" s="359"/>
      <c r="CLN308" s="359"/>
      <c r="CLO308" s="359"/>
      <c r="CLP308" s="359"/>
      <c r="CLQ308" s="359"/>
      <c r="CLR308" s="359"/>
      <c r="CLS308" s="359"/>
      <c r="CLT308" s="359"/>
      <c r="CLU308" s="359"/>
      <c r="CLV308" s="359"/>
      <c r="CLW308" s="359"/>
      <c r="CLX308" s="359"/>
      <c r="CLY308" s="359"/>
      <c r="CLZ308" s="359"/>
      <c r="CMA308" s="359"/>
      <c r="CMB308" s="359"/>
      <c r="CMC308" s="359"/>
      <c r="CMD308" s="359"/>
      <c r="CME308" s="359"/>
      <c r="CMF308" s="359"/>
      <c r="CMG308" s="359"/>
      <c r="CMH308" s="359"/>
      <c r="CMI308" s="359"/>
      <c r="CMJ308" s="359"/>
      <c r="CMK308" s="359"/>
      <c r="CML308" s="359"/>
      <c r="CMM308" s="359"/>
      <c r="CMN308" s="359"/>
      <c r="CMO308" s="359"/>
      <c r="CMP308" s="359"/>
      <c r="CMQ308" s="359"/>
      <c r="CMR308" s="359"/>
      <c r="CMS308" s="359"/>
      <c r="CMT308" s="359"/>
      <c r="CMU308" s="359"/>
      <c r="CMV308" s="359"/>
      <c r="CMW308" s="359"/>
      <c r="CMX308" s="359"/>
      <c r="CMY308" s="359"/>
      <c r="CMZ308" s="359"/>
      <c r="CNA308" s="359"/>
      <c r="CNB308" s="359"/>
      <c r="CNC308" s="359"/>
      <c r="CND308" s="359"/>
      <c r="CNE308" s="359"/>
      <c r="CNF308" s="359"/>
      <c r="CNG308" s="359"/>
      <c r="CNH308" s="359"/>
      <c r="CNI308" s="359"/>
      <c r="CNJ308" s="359"/>
      <c r="CNK308" s="359"/>
      <c r="CNL308" s="359"/>
      <c r="CNM308" s="359"/>
      <c r="CNN308" s="359"/>
      <c r="CNO308" s="359"/>
      <c r="CNP308" s="359"/>
      <c r="CNQ308" s="359"/>
      <c r="CNR308" s="359"/>
      <c r="CNS308" s="359"/>
      <c r="CNT308" s="359"/>
      <c r="CNU308" s="359"/>
      <c r="CNV308" s="359"/>
      <c r="CNW308" s="359"/>
      <c r="CNX308" s="359"/>
      <c r="CNY308" s="359"/>
      <c r="CNZ308" s="359"/>
      <c r="COA308" s="359"/>
      <c r="COB308" s="359"/>
      <c r="COC308" s="359"/>
      <c r="COD308" s="359"/>
      <c r="COE308" s="359"/>
      <c r="COF308" s="359"/>
      <c r="COG308" s="359"/>
      <c r="COH308" s="359"/>
      <c r="COI308" s="359"/>
      <c r="COJ308" s="359"/>
      <c r="COK308" s="359"/>
      <c r="COL308" s="359"/>
      <c r="COM308" s="359"/>
      <c r="CON308" s="359"/>
      <c r="COO308" s="359"/>
      <c r="COP308" s="359"/>
      <c r="COQ308" s="359"/>
      <c r="COR308" s="359"/>
      <c r="COS308" s="359"/>
      <c r="COT308" s="359"/>
      <c r="COU308" s="359"/>
      <c r="COV308" s="359"/>
      <c r="COW308" s="359"/>
      <c r="COX308" s="359"/>
      <c r="COY308" s="359"/>
      <c r="COZ308" s="359"/>
      <c r="CPA308" s="359"/>
      <c r="CPB308" s="359"/>
      <c r="CPC308" s="359"/>
      <c r="CPD308" s="359"/>
      <c r="CPE308" s="359"/>
      <c r="CPF308" s="359"/>
      <c r="CPG308" s="359"/>
      <c r="CPH308" s="359"/>
      <c r="CPI308" s="359"/>
      <c r="CPJ308" s="359"/>
      <c r="CPK308" s="359"/>
      <c r="CPL308" s="359"/>
      <c r="CPM308" s="359"/>
      <c r="CPN308" s="359"/>
      <c r="CPO308" s="359"/>
      <c r="CPP308" s="359"/>
      <c r="CPQ308" s="359"/>
      <c r="CPR308" s="359"/>
      <c r="CPS308" s="359"/>
      <c r="CPT308" s="359"/>
      <c r="CPU308" s="359"/>
      <c r="CPV308" s="359"/>
      <c r="CPW308" s="359"/>
      <c r="CPX308" s="359"/>
      <c r="CPY308" s="359"/>
      <c r="CPZ308" s="359"/>
      <c r="CQA308" s="359"/>
      <c r="CQB308" s="359"/>
      <c r="CQC308" s="359"/>
      <c r="CQD308" s="359"/>
      <c r="CQE308" s="359"/>
      <c r="CQF308" s="359"/>
      <c r="CQG308" s="359"/>
      <c r="CQH308" s="359"/>
      <c r="CQI308" s="359"/>
      <c r="CQJ308" s="359"/>
      <c r="CQK308" s="359"/>
      <c r="CQL308" s="359"/>
      <c r="CQM308" s="359"/>
      <c r="CQN308" s="359"/>
      <c r="CQO308" s="359"/>
      <c r="CQP308" s="359"/>
      <c r="CQQ308" s="359"/>
      <c r="CQR308" s="359"/>
      <c r="CQS308" s="359"/>
      <c r="CQT308" s="359"/>
      <c r="CQU308" s="359"/>
      <c r="CQV308" s="359"/>
      <c r="CQW308" s="359"/>
      <c r="CQX308" s="359"/>
      <c r="CQY308" s="359"/>
      <c r="CQZ308" s="359"/>
      <c r="CRA308" s="359"/>
      <c r="CRB308" s="359"/>
      <c r="CRC308" s="359"/>
      <c r="CRD308" s="359"/>
      <c r="CRE308" s="359"/>
      <c r="CRF308" s="359"/>
      <c r="CRG308" s="359"/>
      <c r="CRH308" s="359"/>
      <c r="CRI308" s="359"/>
      <c r="CRJ308" s="359"/>
      <c r="CRK308" s="359"/>
      <c r="CRL308" s="359"/>
      <c r="CRM308" s="359"/>
      <c r="CRN308" s="359"/>
      <c r="CRO308" s="359"/>
      <c r="CRP308" s="359"/>
      <c r="CRQ308" s="359"/>
      <c r="CRR308" s="359"/>
      <c r="CRS308" s="359"/>
      <c r="CRT308" s="359"/>
      <c r="CRU308" s="359"/>
      <c r="CRV308" s="359"/>
      <c r="CRW308" s="359"/>
      <c r="CRX308" s="359"/>
      <c r="CRY308" s="359"/>
      <c r="CRZ308" s="359"/>
      <c r="CSA308" s="359"/>
      <c r="CSB308" s="359"/>
      <c r="CSC308" s="359"/>
      <c r="CSD308" s="359"/>
      <c r="CSE308" s="359"/>
      <c r="CSF308" s="359"/>
      <c r="CSG308" s="359"/>
      <c r="CSH308" s="359"/>
      <c r="CSI308" s="359"/>
      <c r="CSJ308" s="359"/>
      <c r="CSK308" s="359"/>
      <c r="CSL308" s="359"/>
      <c r="CSM308" s="359"/>
      <c r="CSN308" s="359"/>
      <c r="CSO308" s="359"/>
      <c r="CSP308" s="359"/>
      <c r="CSQ308" s="359"/>
      <c r="CSR308" s="359"/>
      <c r="CSS308" s="359"/>
      <c r="CST308" s="359"/>
      <c r="CSU308" s="359"/>
      <c r="CSV308" s="359"/>
      <c r="CSW308" s="359"/>
      <c r="CSX308" s="359"/>
      <c r="CSY308" s="359"/>
      <c r="CSZ308" s="359"/>
      <c r="CTA308" s="359"/>
      <c r="CTB308" s="359"/>
      <c r="CTC308" s="359"/>
      <c r="CTD308" s="359"/>
      <c r="CTE308" s="359"/>
      <c r="CTF308" s="359"/>
      <c r="CTG308" s="359"/>
      <c r="CTH308" s="359"/>
      <c r="CTI308" s="359"/>
      <c r="CTJ308" s="359"/>
      <c r="CTK308" s="359"/>
      <c r="CTL308" s="359"/>
      <c r="CTM308" s="359"/>
      <c r="CTN308" s="359"/>
      <c r="CTO308" s="359"/>
      <c r="CTP308" s="359"/>
      <c r="CTQ308" s="359"/>
      <c r="CTR308" s="359"/>
      <c r="CTS308" s="359"/>
      <c r="CTT308" s="359"/>
      <c r="CTU308" s="359"/>
      <c r="CTV308" s="359"/>
      <c r="CTW308" s="359"/>
      <c r="CTX308" s="359"/>
      <c r="CTY308" s="359"/>
      <c r="CTZ308" s="359"/>
      <c r="CUA308" s="359"/>
      <c r="CUB308" s="359"/>
      <c r="CUC308" s="359"/>
      <c r="CUD308" s="359"/>
      <c r="CUE308" s="359"/>
      <c r="CUF308" s="359"/>
      <c r="CUG308" s="359"/>
      <c r="CUH308" s="359"/>
      <c r="CUI308" s="359"/>
      <c r="CUJ308" s="359"/>
      <c r="CUK308" s="359"/>
      <c r="CUL308" s="359"/>
      <c r="CUM308" s="359"/>
      <c r="CUN308" s="359"/>
      <c r="CUO308" s="359"/>
      <c r="CUP308" s="359"/>
      <c r="CUQ308" s="359"/>
      <c r="CUR308" s="359"/>
      <c r="CUS308" s="359"/>
      <c r="CUT308" s="359"/>
      <c r="CUU308" s="359"/>
      <c r="CUV308" s="359"/>
      <c r="CUW308" s="359"/>
      <c r="CUX308" s="359"/>
      <c r="CUY308" s="359"/>
      <c r="CUZ308" s="359"/>
      <c r="CVA308" s="359"/>
      <c r="CVB308" s="359"/>
      <c r="CVC308" s="359"/>
      <c r="CVD308" s="359"/>
      <c r="CVE308" s="359"/>
      <c r="CVF308" s="359"/>
      <c r="CVG308" s="359"/>
      <c r="CVH308" s="359"/>
      <c r="CVI308" s="359"/>
      <c r="CVJ308" s="359"/>
      <c r="CVK308" s="359"/>
      <c r="CVL308" s="359"/>
      <c r="CVM308" s="359"/>
      <c r="CVN308" s="359"/>
      <c r="CVO308" s="359"/>
      <c r="CVP308" s="359"/>
      <c r="CVQ308" s="359"/>
      <c r="CVR308" s="359"/>
      <c r="CVS308" s="359"/>
      <c r="CVT308" s="359"/>
      <c r="CVU308" s="359"/>
      <c r="CVV308" s="359"/>
      <c r="CVW308" s="359"/>
      <c r="CVX308" s="359"/>
      <c r="CVY308" s="359"/>
      <c r="CVZ308" s="359"/>
      <c r="CWA308" s="359"/>
      <c r="CWB308" s="359"/>
      <c r="CWC308" s="359"/>
      <c r="CWD308" s="359"/>
      <c r="CWE308" s="359"/>
      <c r="CWF308" s="359"/>
      <c r="CWG308" s="359"/>
      <c r="CWH308" s="359"/>
      <c r="CWI308" s="359"/>
      <c r="CWJ308" s="359"/>
      <c r="CWK308" s="359"/>
      <c r="CWL308" s="359"/>
      <c r="CWM308" s="359"/>
      <c r="CWN308" s="359"/>
      <c r="CWO308" s="359"/>
      <c r="CWP308" s="359"/>
      <c r="CWQ308" s="359"/>
      <c r="CWR308" s="359"/>
      <c r="CWS308" s="359"/>
      <c r="CWT308" s="359"/>
      <c r="CWU308" s="359"/>
      <c r="CWV308" s="359"/>
      <c r="CWW308" s="359"/>
      <c r="CWX308" s="359"/>
      <c r="CWY308" s="359"/>
      <c r="CWZ308" s="359"/>
      <c r="CXA308" s="359"/>
      <c r="CXB308" s="359"/>
      <c r="CXC308" s="359"/>
      <c r="CXD308" s="359"/>
      <c r="CXE308" s="359"/>
      <c r="CXF308" s="359"/>
      <c r="CXG308" s="359"/>
      <c r="CXH308" s="359"/>
      <c r="CXI308" s="359"/>
      <c r="CXJ308" s="359"/>
      <c r="CXK308" s="359"/>
      <c r="CXL308" s="359"/>
      <c r="CXM308" s="359"/>
      <c r="CXN308" s="359"/>
      <c r="CXO308" s="359"/>
      <c r="CXP308" s="359"/>
      <c r="CXQ308" s="359"/>
      <c r="CXR308" s="359"/>
      <c r="CXS308" s="359"/>
      <c r="CXT308" s="359"/>
      <c r="CXU308" s="359"/>
      <c r="CXV308" s="359"/>
      <c r="CXW308" s="359"/>
      <c r="CXX308" s="359"/>
      <c r="CXY308" s="359"/>
      <c r="CXZ308" s="359"/>
      <c r="CYA308" s="359"/>
      <c r="CYB308" s="359"/>
      <c r="CYC308" s="359"/>
      <c r="CYD308" s="359"/>
      <c r="CYE308" s="359"/>
      <c r="CYF308" s="359"/>
      <c r="CYG308" s="359"/>
      <c r="CYH308" s="359"/>
      <c r="CYI308" s="359"/>
      <c r="CYJ308" s="359"/>
      <c r="CYK308" s="359"/>
      <c r="CYL308" s="359"/>
      <c r="CYM308" s="359"/>
      <c r="CYN308" s="359"/>
      <c r="CYO308" s="359"/>
      <c r="CYP308" s="359"/>
      <c r="CYQ308" s="359"/>
      <c r="CYR308" s="359"/>
      <c r="CYS308" s="359"/>
      <c r="CYT308" s="359"/>
      <c r="CYU308" s="359"/>
      <c r="CYV308" s="359"/>
      <c r="CYW308" s="359"/>
      <c r="CYX308" s="359"/>
      <c r="CYY308" s="359"/>
      <c r="CYZ308" s="359"/>
      <c r="CZA308" s="359"/>
      <c r="CZB308" s="359"/>
      <c r="CZC308" s="359"/>
      <c r="CZD308" s="359"/>
      <c r="CZE308" s="359"/>
      <c r="CZF308" s="359"/>
      <c r="CZG308" s="359"/>
      <c r="CZH308" s="359"/>
      <c r="CZI308" s="359"/>
      <c r="CZJ308" s="359"/>
      <c r="CZK308" s="359"/>
      <c r="CZL308" s="359"/>
      <c r="CZM308" s="359"/>
      <c r="CZN308" s="359"/>
      <c r="CZO308" s="359"/>
      <c r="CZP308" s="359"/>
      <c r="CZQ308" s="359"/>
      <c r="CZR308" s="359"/>
      <c r="CZS308" s="359"/>
      <c r="CZT308" s="359"/>
      <c r="CZU308" s="359"/>
      <c r="CZV308" s="359"/>
      <c r="CZW308" s="359"/>
      <c r="CZX308" s="359"/>
      <c r="CZY308" s="359"/>
      <c r="CZZ308" s="359"/>
      <c r="DAA308" s="359"/>
      <c r="DAB308" s="359"/>
      <c r="DAC308" s="359"/>
      <c r="DAD308" s="359"/>
      <c r="DAE308" s="359"/>
      <c r="DAF308" s="359"/>
      <c r="DAG308" s="359"/>
      <c r="DAH308" s="359"/>
      <c r="DAI308" s="359"/>
      <c r="DAJ308" s="359"/>
      <c r="DAK308" s="359"/>
      <c r="DAL308" s="359"/>
      <c r="DAM308" s="359"/>
      <c r="DAN308" s="359"/>
      <c r="DAO308" s="359"/>
      <c r="DAP308" s="359"/>
      <c r="DAQ308" s="359"/>
      <c r="DAR308" s="359"/>
      <c r="DAS308" s="359"/>
      <c r="DAT308" s="359"/>
      <c r="DAU308" s="359"/>
      <c r="DAV308" s="359"/>
      <c r="DAW308" s="359"/>
      <c r="DAX308" s="359"/>
      <c r="DAY308" s="359"/>
      <c r="DAZ308" s="359"/>
      <c r="DBA308" s="359"/>
      <c r="DBB308" s="359"/>
      <c r="DBC308" s="359"/>
      <c r="DBD308" s="359"/>
      <c r="DBE308" s="359"/>
      <c r="DBF308" s="359"/>
      <c r="DBG308" s="359"/>
      <c r="DBH308" s="359"/>
      <c r="DBI308" s="359"/>
      <c r="DBJ308" s="359"/>
      <c r="DBK308" s="359"/>
      <c r="DBL308" s="359"/>
      <c r="DBM308" s="359"/>
      <c r="DBN308" s="359"/>
      <c r="DBO308" s="359"/>
      <c r="DBP308" s="359"/>
      <c r="DBQ308" s="359"/>
      <c r="DBR308" s="359"/>
      <c r="DBS308" s="359"/>
      <c r="DBT308" s="359"/>
      <c r="DBU308" s="359"/>
      <c r="DBV308" s="359"/>
      <c r="DBW308" s="359"/>
      <c r="DBX308" s="359"/>
      <c r="DBY308" s="359"/>
      <c r="DBZ308" s="359"/>
      <c r="DCA308" s="359"/>
      <c r="DCB308" s="359"/>
      <c r="DCC308" s="359"/>
      <c r="DCD308" s="359"/>
      <c r="DCE308" s="359"/>
      <c r="DCF308" s="359"/>
      <c r="DCG308" s="359"/>
      <c r="DCH308" s="359"/>
      <c r="DCI308" s="359"/>
      <c r="DCJ308" s="359"/>
      <c r="DCK308" s="359"/>
      <c r="DCL308" s="359"/>
      <c r="DCM308" s="359"/>
      <c r="DCN308" s="359"/>
      <c r="DCO308" s="359"/>
      <c r="DCP308" s="359"/>
      <c r="DCQ308" s="359"/>
      <c r="DCR308" s="359"/>
      <c r="DCS308" s="359"/>
      <c r="DCT308" s="359"/>
      <c r="DCU308" s="359"/>
      <c r="DCV308" s="359"/>
      <c r="DCW308" s="359"/>
      <c r="DCX308" s="359"/>
      <c r="DCY308" s="359"/>
      <c r="DCZ308" s="359"/>
      <c r="DDA308" s="359"/>
      <c r="DDB308" s="359"/>
      <c r="DDC308" s="359"/>
      <c r="DDD308" s="359"/>
      <c r="DDE308" s="359"/>
      <c r="DDF308" s="359"/>
      <c r="DDG308" s="359"/>
      <c r="DDH308" s="359"/>
      <c r="DDI308" s="359"/>
      <c r="DDJ308" s="359"/>
      <c r="DDK308" s="359"/>
      <c r="DDL308" s="359"/>
      <c r="DDM308" s="359"/>
      <c r="DDN308" s="359"/>
      <c r="DDO308" s="359"/>
      <c r="DDP308" s="359"/>
      <c r="DDQ308" s="359"/>
      <c r="DDR308" s="359"/>
      <c r="DDS308" s="359"/>
      <c r="DDT308" s="359"/>
      <c r="DDU308" s="359"/>
      <c r="DDV308" s="359"/>
      <c r="DDW308" s="359"/>
      <c r="DDX308" s="359"/>
      <c r="DDY308" s="359"/>
      <c r="DDZ308" s="359"/>
      <c r="DEA308" s="359"/>
      <c r="DEB308" s="359"/>
      <c r="DEC308" s="359"/>
      <c r="DED308" s="359"/>
      <c r="DEE308" s="359"/>
      <c r="DEF308" s="359"/>
      <c r="DEG308" s="359"/>
      <c r="DEH308" s="359"/>
      <c r="DEI308" s="359"/>
      <c r="DEJ308" s="359"/>
      <c r="DEK308" s="359"/>
      <c r="DEL308" s="359"/>
      <c r="DEM308" s="359"/>
      <c r="DEN308" s="359"/>
      <c r="DEO308" s="359"/>
      <c r="DEP308" s="359"/>
      <c r="DEQ308" s="359"/>
      <c r="DER308" s="359"/>
      <c r="DES308" s="359"/>
      <c r="DET308" s="359"/>
      <c r="DEU308" s="359"/>
      <c r="DEV308" s="359"/>
      <c r="DEW308" s="359"/>
      <c r="DEX308" s="359"/>
      <c r="DEY308" s="359"/>
      <c r="DEZ308" s="359"/>
      <c r="DFA308" s="359"/>
      <c r="DFB308" s="359"/>
      <c r="DFC308" s="359"/>
      <c r="DFD308" s="359"/>
      <c r="DFE308" s="359"/>
      <c r="DFF308" s="359"/>
      <c r="DFG308" s="359"/>
      <c r="DFH308" s="359"/>
      <c r="DFI308" s="359"/>
      <c r="DFJ308" s="359"/>
      <c r="DFK308" s="359"/>
      <c r="DFL308" s="359"/>
      <c r="DFM308" s="359"/>
      <c r="DFN308" s="359"/>
      <c r="DFO308" s="359"/>
      <c r="DFP308" s="359"/>
      <c r="DFQ308" s="359"/>
      <c r="DFR308" s="359"/>
      <c r="DFS308" s="359"/>
      <c r="DFT308" s="359"/>
      <c r="DFU308" s="359"/>
      <c r="DFV308" s="359"/>
      <c r="DFW308" s="359"/>
      <c r="DFX308" s="359"/>
      <c r="DFY308" s="359"/>
      <c r="DFZ308" s="359"/>
      <c r="DGA308" s="359"/>
      <c r="DGB308" s="359"/>
      <c r="DGC308" s="359"/>
      <c r="DGD308" s="359"/>
      <c r="DGE308" s="359"/>
      <c r="DGF308" s="359"/>
      <c r="DGG308" s="359"/>
      <c r="DGH308" s="359"/>
      <c r="DGI308" s="359"/>
      <c r="DGJ308" s="359"/>
      <c r="DGK308" s="359"/>
      <c r="DGL308" s="359"/>
      <c r="DGM308" s="359"/>
      <c r="DGN308" s="359"/>
      <c r="DGO308" s="359"/>
      <c r="DGP308" s="359"/>
      <c r="DGQ308" s="359"/>
      <c r="DGR308" s="359"/>
      <c r="DGS308" s="359"/>
      <c r="DGT308" s="359"/>
      <c r="DGU308" s="359"/>
      <c r="DGV308" s="359"/>
      <c r="DGW308" s="359"/>
      <c r="DGX308" s="359"/>
      <c r="DGY308" s="359"/>
      <c r="DGZ308" s="359"/>
      <c r="DHA308" s="359"/>
      <c r="DHB308" s="359"/>
      <c r="DHC308" s="359"/>
      <c r="DHD308" s="359"/>
      <c r="DHE308" s="359"/>
      <c r="DHF308" s="359"/>
      <c r="DHG308" s="359"/>
      <c r="DHH308" s="359"/>
      <c r="DHI308" s="359"/>
      <c r="DHJ308" s="359"/>
      <c r="DHK308" s="359"/>
      <c r="DHL308" s="359"/>
      <c r="DHM308" s="359"/>
      <c r="DHN308" s="359"/>
      <c r="DHO308" s="359"/>
      <c r="DHP308" s="359"/>
      <c r="DHQ308" s="359"/>
      <c r="DHR308" s="359"/>
      <c r="DHS308" s="359"/>
      <c r="DHT308" s="359"/>
      <c r="DHU308" s="359"/>
      <c r="DHV308" s="359"/>
      <c r="DHW308" s="359"/>
      <c r="DHX308" s="359"/>
      <c r="DHY308" s="359"/>
      <c r="DHZ308" s="359"/>
      <c r="DIA308" s="359"/>
      <c r="DIB308" s="359"/>
      <c r="DIC308" s="359"/>
      <c r="DID308" s="359"/>
      <c r="DIE308" s="359"/>
      <c r="DIF308" s="359"/>
      <c r="DIG308" s="359"/>
      <c r="DIH308" s="359"/>
      <c r="DII308" s="359"/>
      <c r="DIJ308" s="359"/>
      <c r="DIK308" s="359"/>
      <c r="DIL308" s="359"/>
      <c r="DIM308" s="359"/>
      <c r="DIN308" s="359"/>
      <c r="DIO308" s="359"/>
      <c r="DIP308" s="359"/>
      <c r="DIQ308" s="359"/>
      <c r="DIR308" s="359"/>
      <c r="DIS308" s="359"/>
      <c r="DIT308" s="359"/>
      <c r="DIU308" s="359"/>
      <c r="DIV308" s="359"/>
      <c r="DIW308" s="359"/>
      <c r="DIX308" s="359"/>
      <c r="DIY308" s="359"/>
      <c r="DIZ308" s="359"/>
      <c r="DJA308" s="359"/>
      <c r="DJB308" s="359"/>
      <c r="DJC308" s="359"/>
      <c r="DJD308" s="359"/>
      <c r="DJE308" s="359"/>
      <c r="DJF308" s="359"/>
      <c r="DJG308" s="359"/>
      <c r="DJH308" s="359"/>
      <c r="DJI308" s="359"/>
      <c r="DJJ308" s="359"/>
      <c r="DJK308" s="359"/>
      <c r="DJL308" s="359"/>
      <c r="DJM308" s="359"/>
      <c r="DJN308" s="359"/>
      <c r="DJO308" s="359"/>
      <c r="DJP308" s="359"/>
      <c r="DJQ308" s="359"/>
      <c r="DJR308" s="359"/>
      <c r="DJS308" s="359"/>
      <c r="DJT308" s="359"/>
      <c r="DJU308" s="359"/>
      <c r="DJV308" s="359"/>
      <c r="DJW308" s="359"/>
      <c r="DJX308" s="359"/>
      <c r="DJY308" s="359"/>
      <c r="DJZ308" s="359"/>
      <c r="DKA308" s="359"/>
      <c r="DKB308" s="359"/>
      <c r="DKC308" s="359"/>
      <c r="DKD308" s="359"/>
      <c r="DKE308" s="359"/>
      <c r="DKF308" s="359"/>
      <c r="DKG308" s="359"/>
      <c r="DKH308" s="359"/>
      <c r="DKI308" s="359"/>
      <c r="DKJ308" s="359"/>
      <c r="DKK308" s="359"/>
      <c r="DKL308" s="359"/>
      <c r="DKM308" s="359"/>
      <c r="DKN308" s="359"/>
      <c r="DKO308" s="359"/>
      <c r="DKP308" s="359"/>
      <c r="DKQ308" s="359"/>
      <c r="DKR308" s="359"/>
      <c r="DKS308" s="359"/>
      <c r="DKT308" s="359"/>
      <c r="DKU308" s="359"/>
      <c r="DKV308" s="359"/>
      <c r="DKW308" s="359"/>
      <c r="DKX308" s="359"/>
      <c r="DKY308" s="359"/>
      <c r="DKZ308" s="359"/>
      <c r="DLA308" s="359"/>
      <c r="DLB308" s="359"/>
      <c r="DLC308" s="359"/>
      <c r="DLD308" s="359"/>
      <c r="DLE308" s="359"/>
      <c r="DLF308" s="359"/>
      <c r="DLG308" s="359"/>
      <c r="DLH308" s="359"/>
      <c r="DLI308" s="359"/>
      <c r="DLJ308" s="359"/>
      <c r="DLK308" s="359"/>
      <c r="DLL308" s="359"/>
      <c r="DLM308" s="359"/>
      <c r="DLN308" s="359"/>
      <c r="DLO308" s="359"/>
      <c r="DLP308" s="359"/>
      <c r="DLQ308" s="359"/>
      <c r="DLR308" s="359"/>
      <c r="DLS308" s="359"/>
      <c r="DLT308" s="359"/>
      <c r="DLU308" s="359"/>
      <c r="DLV308" s="359"/>
      <c r="DLW308" s="359"/>
      <c r="DLX308" s="359"/>
      <c r="DLY308" s="359"/>
      <c r="DLZ308" s="359"/>
      <c r="DMA308" s="359"/>
      <c r="DMB308" s="359"/>
      <c r="DMC308" s="359"/>
      <c r="DMD308" s="359"/>
      <c r="DME308" s="359"/>
      <c r="DMF308" s="359"/>
      <c r="DMG308" s="359"/>
      <c r="DMH308" s="359"/>
      <c r="DMI308" s="359"/>
      <c r="DMJ308" s="359"/>
      <c r="DMK308" s="359"/>
      <c r="DML308" s="359"/>
      <c r="DMM308" s="359"/>
      <c r="DMN308" s="359"/>
      <c r="DMO308" s="359"/>
      <c r="DMP308" s="359"/>
      <c r="DMQ308" s="359"/>
      <c r="DMR308" s="359"/>
      <c r="DMS308" s="359"/>
      <c r="DMT308" s="359"/>
      <c r="DMU308" s="359"/>
      <c r="DMV308" s="359"/>
      <c r="DMW308" s="359"/>
      <c r="DMX308" s="359"/>
      <c r="DMY308" s="359"/>
      <c r="DMZ308" s="359"/>
      <c r="DNA308" s="359"/>
      <c r="DNB308" s="359"/>
      <c r="DNC308" s="359"/>
      <c r="DND308" s="359"/>
      <c r="DNE308" s="359"/>
      <c r="DNF308" s="359"/>
      <c r="DNG308" s="359"/>
      <c r="DNH308" s="359"/>
      <c r="DNI308" s="359"/>
      <c r="DNJ308" s="359"/>
      <c r="DNK308" s="359"/>
      <c r="DNL308" s="359"/>
      <c r="DNM308" s="359"/>
      <c r="DNN308" s="359"/>
      <c r="DNO308" s="359"/>
      <c r="DNP308" s="359"/>
      <c r="DNQ308" s="359"/>
      <c r="DNR308" s="359"/>
      <c r="DNS308" s="359"/>
      <c r="DNT308" s="359"/>
      <c r="DNU308" s="359"/>
      <c r="DNV308" s="359"/>
      <c r="DNW308" s="359"/>
      <c r="DNX308" s="359"/>
      <c r="DNY308" s="359"/>
      <c r="DNZ308" s="359"/>
      <c r="DOA308" s="359"/>
      <c r="DOB308" s="359"/>
      <c r="DOC308" s="359"/>
      <c r="DOD308" s="359"/>
      <c r="DOE308" s="359"/>
      <c r="DOF308" s="359"/>
      <c r="DOG308" s="359"/>
      <c r="DOH308" s="359"/>
      <c r="DOI308" s="359"/>
      <c r="DOJ308" s="359"/>
      <c r="DOK308" s="359"/>
      <c r="DOL308" s="359"/>
      <c r="DOM308" s="359"/>
      <c r="DON308" s="359"/>
      <c r="DOO308" s="359"/>
      <c r="DOP308" s="359"/>
      <c r="DOQ308" s="359"/>
      <c r="DOR308" s="359"/>
      <c r="DOS308" s="359"/>
      <c r="DOT308" s="359"/>
      <c r="DOU308" s="359"/>
      <c r="DOV308" s="359"/>
      <c r="DOW308" s="359"/>
      <c r="DOX308" s="359"/>
      <c r="DOY308" s="359"/>
      <c r="DOZ308" s="359"/>
      <c r="DPA308" s="359"/>
      <c r="DPB308" s="359"/>
      <c r="DPC308" s="359"/>
      <c r="DPD308" s="359"/>
      <c r="DPE308" s="359"/>
      <c r="DPF308" s="359"/>
      <c r="DPG308" s="359"/>
      <c r="DPH308" s="359"/>
      <c r="DPI308" s="359"/>
      <c r="DPJ308" s="359"/>
      <c r="DPK308" s="359"/>
      <c r="DPL308" s="359"/>
      <c r="DPM308" s="359"/>
      <c r="DPN308" s="359"/>
      <c r="DPO308" s="359"/>
      <c r="DPP308" s="359"/>
      <c r="DPQ308" s="359"/>
      <c r="DPR308" s="359"/>
      <c r="DPS308" s="359"/>
      <c r="DPT308" s="359"/>
      <c r="DPU308" s="359"/>
      <c r="DPV308" s="359"/>
      <c r="DPW308" s="359"/>
      <c r="DPX308" s="359"/>
      <c r="DPY308" s="359"/>
      <c r="DPZ308" s="359"/>
      <c r="DQA308" s="359"/>
      <c r="DQB308" s="359"/>
      <c r="DQC308" s="359"/>
      <c r="DQD308" s="359"/>
      <c r="DQE308" s="359"/>
      <c r="DQF308" s="359"/>
      <c r="DQG308" s="359"/>
      <c r="DQH308" s="359"/>
      <c r="DQI308" s="359"/>
      <c r="DQJ308" s="359"/>
      <c r="DQK308" s="359"/>
      <c r="DQL308" s="359"/>
      <c r="DQM308" s="359"/>
      <c r="DQN308" s="359"/>
      <c r="DQO308" s="359"/>
      <c r="DQP308" s="359"/>
      <c r="DQQ308" s="359"/>
      <c r="DQR308" s="359"/>
      <c r="DQS308" s="359"/>
      <c r="DQT308" s="359"/>
      <c r="DQU308" s="359"/>
      <c r="DQV308" s="359"/>
      <c r="DQW308" s="359"/>
      <c r="DQX308" s="359"/>
      <c r="DQY308" s="359"/>
      <c r="DQZ308" s="359"/>
      <c r="DRA308" s="359"/>
      <c r="DRB308" s="359"/>
      <c r="DRC308" s="359"/>
      <c r="DRD308" s="359"/>
      <c r="DRE308" s="359"/>
      <c r="DRF308" s="359"/>
      <c r="DRG308" s="359"/>
      <c r="DRH308" s="359"/>
      <c r="DRI308" s="359"/>
      <c r="DRJ308" s="359"/>
      <c r="DRK308" s="359"/>
      <c r="DRL308" s="359"/>
      <c r="DRM308" s="359"/>
      <c r="DRN308" s="359"/>
      <c r="DRO308" s="359"/>
      <c r="DRP308" s="359"/>
      <c r="DRQ308" s="359"/>
      <c r="DRR308" s="359"/>
      <c r="DRS308" s="359"/>
      <c r="DRT308" s="359"/>
      <c r="DRU308" s="359"/>
      <c r="DRV308" s="359"/>
      <c r="DRW308" s="359"/>
      <c r="DRX308" s="359"/>
      <c r="DRY308" s="359"/>
      <c r="DRZ308" s="359"/>
      <c r="DSA308" s="359"/>
      <c r="DSB308" s="359"/>
      <c r="DSC308" s="359"/>
      <c r="DSD308" s="359"/>
      <c r="DSE308" s="359"/>
      <c r="DSF308" s="359"/>
      <c r="DSG308" s="359"/>
      <c r="DSH308" s="359"/>
      <c r="DSI308" s="359"/>
      <c r="DSJ308" s="359"/>
      <c r="DSK308" s="359"/>
      <c r="DSL308" s="359"/>
      <c r="DSM308" s="359"/>
      <c r="DSN308" s="359"/>
      <c r="DSO308" s="359"/>
      <c r="DSP308" s="359"/>
      <c r="DSQ308" s="359"/>
      <c r="DSR308" s="359"/>
      <c r="DSS308" s="359"/>
      <c r="DST308" s="359"/>
      <c r="DSU308" s="359"/>
      <c r="DSV308" s="359"/>
      <c r="DSW308" s="359"/>
      <c r="DSX308" s="359"/>
      <c r="DSY308" s="359"/>
      <c r="DSZ308" s="359"/>
      <c r="DTA308" s="359"/>
      <c r="DTB308" s="359"/>
      <c r="DTC308" s="359"/>
      <c r="DTD308" s="359"/>
      <c r="DTE308" s="359"/>
      <c r="DTF308" s="359"/>
      <c r="DTG308" s="359"/>
      <c r="DTH308" s="359"/>
      <c r="DTI308" s="359"/>
      <c r="DTJ308" s="359"/>
      <c r="DTK308" s="359"/>
      <c r="DTL308" s="359"/>
      <c r="DTM308" s="359"/>
      <c r="DTN308" s="359"/>
      <c r="DTO308" s="359"/>
      <c r="DTP308" s="359"/>
      <c r="DTQ308" s="359"/>
      <c r="DTR308" s="359"/>
      <c r="DTS308" s="359"/>
      <c r="DTT308" s="359"/>
      <c r="DTU308" s="359"/>
      <c r="DTV308" s="359"/>
      <c r="DTW308" s="359"/>
      <c r="DTX308" s="359"/>
      <c r="DTY308" s="359"/>
      <c r="DTZ308" s="359"/>
      <c r="DUA308" s="359"/>
      <c r="DUB308" s="359"/>
      <c r="DUC308" s="359"/>
      <c r="DUD308" s="359"/>
      <c r="DUE308" s="359"/>
      <c r="DUF308" s="359"/>
      <c r="DUG308" s="359"/>
      <c r="DUH308" s="359"/>
      <c r="DUI308" s="359"/>
      <c r="DUJ308" s="359"/>
      <c r="DUK308" s="359"/>
      <c r="DUL308" s="359"/>
      <c r="DUM308" s="359"/>
      <c r="DUN308" s="359"/>
      <c r="DUO308" s="359"/>
      <c r="DUP308" s="359"/>
      <c r="DUQ308" s="359"/>
      <c r="DUR308" s="359"/>
      <c r="DUS308" s="359"/>
      <c r="DUT308" s="359"/>
      <c r="DUU308" s="359"/>
      <c r="DUV308" s="359"/>
      <c r="DUW308" s="359"/>
      <c r="DUX308" s="359"/>
      <c r="DUY308" s="359"/>
      <c r="DUZ308" s="359"/>
      <c r="DVA308" s="359"/>
      <c r="DVB308" s="359"/>
      <c r="DVC308" s="359"/>
      <c r="DVD308" s="359"/>
      <c r="DVE308" s="359"/>
      <c r="DVF308" s="359"/>
      <c r="DVG308" s="359"/>
      <c r="DVH308" s="359"/>
      <c r="DVI308" s="359"/>
      <c r="DVJ308" s="359"/>
      <c r="DVK308" s="359"/>
      <c r="DVL308" s="359"/>
      <c r="DVM308" s="359"/>
      <c r="DVN308" s="359"/>
      <c r="DVO308" s="359"/>
      <c r="DVP308" s="359"/>
      <c r="DVQ308" s="359"/>
      <c r="DVR308" s="359"/>
      <c r="DVS308" s="359"/>
      <c r="DVT308" s="359"/>
      <c r="DVU308" s="359"/>
      <c r="DVV308" s="359"/>
      <c r="DVW308" s="359"/>
      <c r="DVX308" s="359"/>
      <c r="DVY308" s="359"/>
      <c r="DVZ308" s="359"/>
      <c r="DWA308" s="359"/>
      <c r="DWB308" s="359"/>
      <c r="DWC308" s="359"/>
      <c r="DWD308" s="359"/>
      <c r="DWE308" s="359"/>
      <c r="DWF308" s="359"/>
      <c r="DWG308" s="359"/>
      <c r="DWH308" s="359"/>
      <c r="DWI308" s="359"/>
      <c r="DWJ308" s="359"/>
      <c r="DWK308" s="359"/>
      <c r="DWL308" s="359"/>
      <c r="DWM308" s="359"/>
      <c r="DWN308" s="359"/>
      <c r="DWO308" s="359"/>
      <c r="DWP308" s="359"/>
      <c r="DWQ308" s="359"/>
      <c r="DWR308" s="359"/>
      <c r="DWS308" s="359"/>
      <c r="DWT308" s="359"/>
      <c r="DWU308" s="359"/>
      <c r="DWV308" s="359"/>
      <c r="DWW308" s="359"/>
      <c r="DWX308" s="359"/>
      <c r="DWY308" s="359"/>
      <c r="DWZ308" s="359"/>
      <c r="DXA308" s="359"/>
      <c r="DXB308" s="359"/>
      <c r="DXC308" s="359"/>
      <c r="DXD308" s="359"/>
      <c r="DXE308" s="359"/>
      <c r="DXF308" s="359"/>
      <c r="DXG308" s="359"/>
      <c r="DXH308" s="359"/>
      <c r="DXI308" s="359"/>
      <c r="DXJ308" s="359"/>
      <c r="DXK308" s="359"/>
      <c r="DXL308" s="359"/>
      <c r="DXM308" s="359"/>
      <c r="DXN308" s="359"/>
      <c r="DXO308" s="359"/>
      <c r="DXP308" s="359"/>
      <c r="DXQ308" s="359"/>
      <c r="DXR308" s="359"/>
      <c r="DXS308" s="359"/>
      <c r="DXT308" s="359"/>
      <c r="DXU308" s="359"/>
      <c r="DXV308" s="359"/>
      <c r="DXW308" s="359"/>
      <c r="DXX308" s="359"/>
      <c r="DXY308" s="359"/>
      <c r="DXZ308" s="359"/>
      <c r="DYA308" s="359"/>
      <c r="DYB308" s="359"/>
      <c r="DYC308" s="359"/>
      <c r="DYD308" s="359"/>
      <c r="DYE308" s="359"/>
      <c r="DYF308" s="359"/>
      <c r="DYG308" s="359"/>
      <c r="DYH308" s="359"/>
      <c r="DYI308" s="359"/>
      <c r="DYJ308" s="359"/>
      <c r="DYK308" s="359"/>
      <c r="DYL308" s="359"/>
      <c r="DYM308" s="359"/>
      <c r="DYN308" s="359"/>
      <c r="DYO308" s="359"/>
      <c r="DYP308" s="359"/>
      <c r="DYQ308" s="359"/>
      <c r="DYR308" s="359"/>
      <c r="DYS308" s="359"/>
      <c r="DYT308" s="359"/>
      <c r="DYU308" s="359"/>
      <c r="DYV308" s="359"/>
      <c r="DYW308" s="359"/>
      <c r="DYX308" s="359"/>
      <c r="DYY308" s="359"/>
      <c r="DYZ308" s="359"/>
      <c r="DZA308" s="359"/>
      <c r="DZB308" s="359"/>
      <c r="DZC308" s="359"/>
      <c r="DZD308" s="359"/>
      <c r="DZE308" s="359"/>
      <c r="DZF308" s="359"/>
      <c r="DZG308" s="359"/>
      <c r="DZH308" s="359"/>
      <c r="DZI308" s="359"/>
      <c r="DZJ308" s="359"/>
      <c r="DZK308" s="359"/>
      <c r="DZL308" s="359"/>
      <c r="DZM308" s="359"/>
      <c r="DZN308" s="359"/>
      <c r="DZO308" s="359"/>
      <c r="DZP308" s="359"/>
      <c r="DZQ308" s="359"/>
      <c r="DZR308" s="359"/>
      <c r="DZS308" s="359"/>
      <c r="DZT308" s="359"/>
      <c r="DZU308" s="359"/>
      <c r="DZV308" s="359"/>
      <c r="DZW308" s="359"/>
      <c r="DZX308" s="359"/>
      <c r="DZY308" s="359"/>
      <c r="DZZ308" s="359"/>
      <c r="EAA308" s="359"/>
      <c r="EAB308" s="359"/>
      <c r="EAC308" s="359"/>
      <c r="EAD308" s="359"/>
      <c r="EAE308" s="359"/>
      <c r="EAF308" s="359"/>
      <c r="EAG308" s="359"/>
      <c r="EAH308" s="359"/>
      <c r="EAI308" s="359"/>
      <c r="EAJ308" s="359"/>
      <c r="EAK308" s="359"/>
      <c r="EAL308" s="359"/>
      <c r="EAM308" s="359"/>
      <c r="EAN308" s="359"/>
      <c r="EAO308" s="359"/>
      <c r="EAP308" s="359"/>
      <c r="EAQ308" s="359"/>
      <c r="EAR308" s="359"/>
      <c r="EAS308" s="359"/>
      <c r="EAT308" s="359"/>
      <c r="EAU308" s="359"/>
      <c r="EAV308" s="359"/>
      <c r="EAW308" s="359"/>
      <c r="EAX308" s="359"/>
      <c r="EAY308" s="359"/>
      <c r="EAZ308" s="359"/>
      <c r="EBA308" s="359"/>
      <c r="EBB308" s="359"/>
      <c r="EBC308" s="359"/>
      <c r="EBD308" s="359"/>
      <c r="EBE308" s="359"/>
      <c r="EBF308" s="359"/>
      <c r="EBG308" s="359"/>
      <c r="EBH308" s="359"/>
      <c r="EBI308" s="359"/>
      <c r="EBJ308" s="359"/>
      <c r="EBK308" s="359"/>
      <c r="EBL308" s="359"/>
      <c r="EBM308" s="359"/>
      <c r="EBN308" s="359"/>
      <c r="EBO308" s="359"/>
      <c r="EBP308" s="359"/>
      <c r="EBQ308" s="359"/>
      <c r="EBR308" s="359"/>
      <c r="EBS308" s="359"/>
      <c r="EBT308" s="359"/>
      <c r="EBU308" s="359"/>
      <c r="EBV308" s="359"/>
      <c r="EBW308" s="359"/>
      <c r="EBX308" s="359"/>
      <c r="EBY308" s="359"/>
      <c r="EBZ308" s="359"/>
      <c r="ECA308" s="359"/>
      <c r="ECB308" s="359"/>
      <c r="ECC308" s="359"/>
      <c r="ECD308" s="359"/>
      <c r="ECE308" s="359"/>
      <c r="ECF308" s="359"/>
      <c r="ECG308" s="359"/>
      <c r="ECH308" s="359"/>
      <c r="ECI308" s="359"/>
      <c r="ECJ308" s="359"/>
      <c r="ECK308" s="359"/>
      <c r="ECL308" s="359"/>
      <c r="ECM308" s="359"/>
      <c r="ECN308" s="359"/>
      <c r="ECO308" s="359"/>
      <c r="ECP308" s="359"/>
      <c r="ECQ308" s="359"/>
      <c r="ECR308" s="359"/>
      <c r="ECS308" s="359"/>
      <c r="ECT308" s="359"/>
      <c r="ECU308" s="359"/>
      <c r="ECV308" s="359"/>
      <c r="ECW308" s="359"/>
      <c r="ECX308" s="359"/>
      <c r="ECY308" s="359"/>
      <c r="ECZ308" s="359"/>
      <c r="EDA308" s="359"/>
      <c r="EDB308" s="359"/>
      <c r="EDC308" s="359"/>
      <c r="EDD308" s="359"/>
      <c r="EDE308" s="359"/>
      <c r="EDF308" s="359"/>
      <c r="EDG308" s="359"/>
      <c r="EDH308" s="359"/>
      <c r="EDI308" s="359"/>
      <c r="EDJ308" s="359"/>
      <c r="EDK308" s="359"/>
      <c r="EDL308" s="359"/>
      <c r="EDM308" s="359"/>
      <c r="EDN308" s="359"/>
      <c r="EDO308" s="359"/>
      <c r="EDP308" s="359"/>
      <c r="EDQ308" s="359"/>
      <c r="EDR308" s="359"/>
      <c r="EDS308" s="359"/>
      <c r="EDT308" s="359"/>
      <c r="EDU308" s="359"/>
      <c r="EDV308" s="359"/>
      <c r="EDW308" s="359"/>
      <c r="EDX308" s="359"/>
      <c r="EDY308" s="359"/>
      <c r="EDZ308" s="359"/>
      <c r="EEA308" s="359"/>
      <c r="EEB308" s="359"/>
      <c r="EEC308" s="359"/>
      <c r="EED308" s="359"/>
      <c r="EEE308" s="359"/>
      <c r="EEF308" s="359"/>
      <c r="EEG308" s="359"/>
      <c r="EEH308" s="359"/>
      <c r="EEI308" s="359"/>
      <c r="EEJ308" s="359"/>
      <c r="EEK308" s="359"/>
      <c r="EEL308" s="359"/>
      <c r="EEM308" s="359"/>
      <c r="EEN308" s="359"/>
      <c r="EEO308" s="359"/>
      <c r="EEP308" s="359"/>
      <c r="EEQ308" s="359"/>
      <c r="EER308" s="359"/>
      <c r="EES308" s="359"/>
      <c r="EET308" s="359"/>
      <c r="EEU308" s="359"/>
      <c r="EEV308" s="359"/>
      <c r="EEW308" s="359"/>
      <c r="EEX308" s="359"/>
      <c r="EEY308" s="359"/>
      <c r="EEZ308" s="359"/>
      <c r="EFA308" s="359"/>
      <c r="EFB308" s="359"/>
      <c r="EFC308" s="359"/>
      <c r="EFD308" s="359"/>
      <c r="EFE308" s="359"/>
      <c r="EFF308" s="359"/>
      <c r="EFG308" s="359"/>
      <c r="EFH308" s="359"/>
      <c r="EFI308" s="359"/>
      <c r="EFJ308" s="359"/>
      <c r="EFK308" s="359"/>
      <c r="EFL308" s="359"/>
      <c r="EFM308" s="359"/>
      <c r="EFN308" s="359"/>
      <c r="EFO308" s="359"/>
      <c r="EFP308" s="359"/>
      <c r="EFQ308" s="359"/>
      <c r="EFR308" s="359"/>
      <c r="EFS308" s="359"/>
      <c r="EFT308" s="359"/>
      <c r="EFU308" s="359"/>
      <c r="EFV308" s="359"/>
      <c r="EFW308" s="359"/>
      <c r="EFX308" s="359"/>
      <c r="EFY308" s="359"/>
      <c r="EFZ308" s="359"/>
      <c r="EGA308" s="359"/>
      <c r="EGB308" s="359"/>
      <c r="EGC308" s="359"/>
      <c r="EGD308" s="359"/>
      <c r="EGE308" s="359"/>
      <c r="EGF308" s="359"/>
      <c r="EGG308" s="359"/>
      <c r="EGH308" s="359"/>
      <c r="EGI308" s="359"/>
      <c r="EGJ308" s="359"/>
      <c r="EGK308" s="359"/>
      <c r="EGL308" s="359"/>
      <c r="EGM308" s="359"/>
      <c r="EGN308" s="359"/>
      <c r="EGO308" s="359"/>
      <c r="EGP308" s="359"/>
      <c r="EGQ308" s="359"/>
      <c r="EGR308" s="359"/>
      <c r="EGS308" s="359"/>
      <c r="EGT308" s="359"/>
      <c r="EGU308" s="359"/>
      <c r="EGV308" s="359"/>
      <c r="EGW308" s="359"/>
      <c r="EGX308" s="359"/>
      <c r="EGY308" s="359"/>
      <c r="EGZ308" s="359"/>
      <c r="EHA308" s="359"/>
      <c r="EHB308" s="359"/>
      <c r="EHC308" s="359"/>
      <c r="EHD308" s="359"/>
      <c r="EHE308" s="359"/>
      <c r="EHF308" s="359"/>
      <c r="EHG308" s="359"/>
      <c r="EHH308" s="359"/>
      <c r="EHI308" s="359"/>
      <c r="EHJ308" s="359"/>
      <c r="EHK308" s="359"/>
      <c r="EHL308" s="359"/>
      <c r="EHM308" s="359"/>
      <c r="EHN308" s="359"/>
      <c r="EHO308" s="359"/>
      <c r="EHP308" s="359"/>
      <c r="EHQ308" s="359"/>
      <c r="EHR308" s="359"/>
      <c r="EHS308" s="359"/>
      <c r="EHT308" s="359"/>
      <c r="EHU308" s="359"/>
      <c r="EHV308" s="359"/>
      <c r="EHW308" s="359"/>
      <c r="EHX308" s="359"/>
      <c r="EHY308" s="359"/>
      <c r="EHZ308" s="359"/>
      <c r="EIA308" s="359"/>
      <c r="EIB308" s="359"/>
      <c r="EIC308" s="359"/>
      <c r="EID308" s="359"/>
      <c r="EIE308" s="359"/>
      <c r="EIF308" s="359"/>
      <c r="EIG308" s="359"/>
      <c r="EIH308" s="359"/>
      <c r="EII308" s="359"/>
      <c r="EIJ308" s="359"/>
      <c r="EIK308" s="359"/>
      <c r="EIL308" s="359"/>
      <c r="EIM308" s="359"/>
      <c r="EIN308" s="359"/>
      <c r="EIO308" s="359"/>
      <c r="EIP308" s="359"/>
      <c r="EIQ308" s="359"/>
      <c r="EIR308" s="359"/>
      <c r="EIS308" s="359"/>
      <c r="EIT308" s="359"/>
      <c r="EIU308" s="359"/>
      <c r="EIV308" s="359"/>
      <c r="EIW308" s="359"/>
      <c r="EIX308" s="359"/>
      <c r="EIY308" s="359"/>
      <c r="EIZ308" s="359"/>
      <c r="EJA308" s="359"/>
      <c r="EJB308" s="359"/>
      <c r="EJC308" s="359"/>
      <c r="EJD308" s="359"/>
      <c r="EJE308" s="359"/>
      <c r="EJF308" s="359"/>
      <c r="EJG308" s="359"/>
      <c r="EJH308" s="359"/>
      <c r="EJI308" s="359"/>
      <c r="EJJ308" s="359"/>
      <c r="EJK308" s="359"/>
      <c r="EJL308" s="359"/>
      <c r="EJM308" s="359"/>
      <c r="EJN308" s="359"/>
      <c r="EJO308" s="359"/>
      <c r="EJP308" s="359"/>
      <c r="EJQ308" s="359"/>
      <c r="EJR308" s="359"/>
      <c r="EJS308" s="359"/>
      <c r="EJT308" s="359"/>
      <c r="EJU308" s="359"/>
      <c r="EJV308" s="359"/>
      <c r="EJW308" s="359"/>
      <c r="EJX308" s="359"/>
      <c r="EJY308" s="359"/>
      <c r="EJZ308" s="359"/>
      <c r="EKA308" s="359"/>
      <c r="EKB308" s="359"/>
      <c r="EKC308" s="359"/>
      <c r="EKD308" s="359"/>
      <c r="EKE308" s="359"/>
      <c r="EKF308" s="359"/>
      <c r="EKG308" s="359"/>
      <c r="EKH308" s="359"/>
      <c r="EKI308" s="359"/>
      <c r="EKJ308" s="359"/>
      <c r="EKK308" s="359"/>
      <c r="EKL308" s="359"/>
      <c r="EKM308" s="359"/>
      <c r="EKN308" s="359"/>
      <c r="EKO308" s="359"/>
      <c r="EKP308" s="359"/>
      <c r="EKQ308" s="359"/>
      <c r="EKR308" s="359"/>
      <c r="EKS308" s="359"/>
      <c r="EKT308" s="359"/>
      <c r="EKU308" s="359"/>
      <c r="EKV308" s="359"/>
      <c r="EKW308" s="359"/>
      <c r="EKX308" s="359"/>
      <c r="EKY308" s="359"/>
      <c r="EKZ308" s="359"/>
      <c r="ELA308" s="359"/>
      <c r="ELB308" s="359"/>
      <c r="ELC308" s="359"/>
      <c r="ELD308" s="359"/>
      <c r="ELE308" s="359"/>
      <c r="ELF308" s="359"/>
      <c r="ELG308" s="359"/>
      <c r="ELH308" s="359"/>
      <c r="ELI308" s="359"/>
      <c r="ELJ308" s="359"/>
      <c r="ELK308" s="359"/>
      <c r="ELL308" s="359"/>
      <c r="ELM308" s="359"/>
      <c r="ELN308" s="359"/>
      <c r="ELO308" s="359"/>
      <c r="ELP308" s="359"/>
      <c r="ELQ308" s="359"/>
      <c r="ELR308" s="359"/>
      <c r="ELS308" s="359"/>
      <c r="ELT308" s="359"/>
      <c r="ELU308" s="359"/>
      <c r="ELV308" s="359"/>
      <c r="ELW308" s="359"/>
      <c r="ELX308" s="359"/>
      <c r="ELY308" s="359"/>
      <c r="ELZ308" s="359"/>
      <c r="EMA308" s="359"/>
      <c r="EMB308" s="359"/>
      <c r="EMC308" s="359"/>
      <c r="EMD308" s="359"/>
      <c r="EME308" s="359"/>
      <c r="EMF308" s="359"/>
      <c r="EMG308" s="359"/>
      <c r="EMH308" s="359"/>
      <c r="EMI308" s="359"/>
      <c r="EMJ308" s="359"/>
      <c r="EMK308" s="359"/>
      <c r="EML308" s="359"/>
      <c r="EMM308" s="359"/>
      <c r="EMN308" s="359"/>
      <c r="EMO308" s="359"/>
      <c r="EMP308" s="359"/>
      <c r="EMQ308" s="359"/>
      <c r="EMR308" s="359"/>
      <c r="EMS308" s="359"/>
      <c r="EMT308" s="359"/>
      <c r="EMU308" s="359"/>
      <c r="EMV308" s="359"/>
      <c r="EMW308" s="359"/>
      <c r="EMX308" s="359"/>
      <c r="EMY308" s="359"/>
      <c r="EMZ308" s="359"/>
      <c r="ENA308" s="359"/>
      <c r="ENB308" s="359"/>
      <c r="ENC308" s="359"/>
      <c r="END308" s="359"/>
      <c r="ENE308" s="359"/>
      <c r="ENF308" s="359"/>
      <c r="ENG308" s="359"/>
      <c r="ENH308" s="359"/>
      <c r="ENI308" s="359"/>
      <c r="ENJ308" s="359"/>
      <c r="ENK308" s="359"/>
      <c r="ENL308" s="359"/>
      <c r="ENM308" s="359"/>
      <c r="ENN308" s="359"/>
      <c r="ENO308" s="359"/>
      <c r="ENP308" s="359"/>
      <c r="ENQ308" s="359"/>
      <c r="ENR308" s="359"/>
      <c r="ENS308" s="359"/>
      <c r="ENT308" s="359"/>
      <c r="ENU308" s="359"/>
      <c r="ENV308" s="359"/>
      <c r="ENW308" s="359"/>
      <c r="ENX308" s="359"/>
      <c r="ENY308" s="359"/>
      <c r="ENZ308" s="359"/>
      <c r="EOA308" s="359"/>
      <c r="EOB308" s="359"/>
      <c r="EOC308" s="359"/>
      <c r="EOD308" s="359"/>
      <c r="EOE308" s="359"/>
      <c r="EOF308" s="359"/>
      <c r="EOG308" s="359"/>
      <c r="EOH308" s="359"/>
      <c r="EOI308" s="359"/>
      <c r="EOJ308" s="359"/>
      <c r="EOK308" s="359"/>
      <c r="EOL308" s="359"/>
      <c r="EOM308" s="359"/>
      <c r="EON308" s="359"/>
      <c r="EOO308" s="359"/>
      <c r="EOP308" s="359"/>
      <c r="EOQ308" s="359"/>
      <c r="EOR308" s="359"/>
      <c r="EOS308" s="359"/>
      <c r="EOT308" s="359"/>
      <c r="EOU308" s="359"/>
      <c r="EOV308" s="359"/>
      <c r="EOW308" s="359"/>
      <c r="EOX308" s="359"/>
      <c r="EOY308" s="359"/>
      <c r="EOZ308" s="359"/>
      <c r="EPA308" s="359"/>
      <c r="EPB308" s="359"/>
      <c r="EPC308" s="359"/>
      <c r="EPD308" s="359"/>
      <c r="EPE308" s="359"/>
      <c r="EPF308" s="359"/>
      <c r="EPG308" s="359"/>
      <c r="EPH308" s="359"/>
      <c r="EPI308" s="359"/>
      <c r="EPJ308" s="359"/>
      <c r="EPK308" s="359"/>
      <c r="EPL308" s="359"/>
      <c r="EPM308" s="359"/>
      <c r="EPN308" s="359"/>
      <c r="EPO308" s="359"/>
      <c r="EPP308" s="359"/>
      <c r="EPQ308" s="359"/>
      <c r="EPR308" s="359"/>
      <c r="EPS308" s="359"/>
      <c r="EPT308" s="359"/>
      <c r="EPU308" s="359"/>
      <c r="EPV308" s="359"/>
      <c r="EPW308" s="359"/>
      <c r="EPX308" s="359"/>
      <c r="EPY308" s="359"/>
      <c r="EPZ308" s="359"/>
      <c r="EQA308" s="359"/>
      <c r="EQB308" s="359"/>
      <c r="EQC308" s="359"/>
      <c r="EQD308" s="359"/>
      <c r="EQE308" s="359"/>
      <c r="EQF308" s="359"/>
      <c r="EQG308" s="359"/>
      <c r="EQH308" s="359"/>
      <c r="EQI308" s="359"/>
      <c r="EQJ308" s="359"/>
      <c r="EQK308" s="359"/>
      <c r="EQL308" s="359"/>
      <c r="EQM308" s="359"/>
      <c r="EQN308" s="359"/>
      <c r="EQO308" s="359"/>
      <c r="EQP308" s="359"/>
      <c r="EQQ308" s="359"/>
      <c r="EQR308" s="359"/>
      <c r="EQS308" s="359"/>
      <c r="EQT308" s="359"/>
      <c r="EQU308" s="359"/>
      <c r="EQV308" s="359"/>
      <c r="EQW308" s="359"/>
      <c r="EQX308" s="359"/>
      <c r="EQY308" s="359"/>
      <c r="EQZ308" s="359"/>
      <c r="ERA308" s="359"/>
      <c r="ERB308" s="359"/>
      <c r="ERC308" s="359"/>
      <c r="ERD308" s="359"/>
      <c r="ERE308" s="359"/>
      <c r="ERF308" s="359"/>
      <c r="ERG308" s="359"/>
      <c r="ERH308" s="359"/>
      <c r="ERI308" s="359"/>
      <c r="ERJ308" s="359"/>
      <c r="ERK308" s="359"/>
      <c r="ERL308" s="359"/>
      <c r="ERM308" s="359"/>
      <c r="ERN308" s="359"/>
      <c r="ERO308" s="359"/>
      <c r="ERP308" s="359"/>
      <c r="ERQ308" s="359"/>
      <c r="ERR308" s="359"/>
      <c r="ERS308" s="359"/>
      <c r="ERT308" s="359"/>
      <c r="ERU308" s="359"/>
      <c r="ERV308" s="359"/>
      <c r="ERW308" s="359"/>
      <c r="ERX308" s="359"/>
      <c r="ERY308" s="359"/>
      <c r="ERZ308" s="359"/>
      <c r="ESA308" s="359"/>
      <c r="ESB308" s="359"/>
      <c r="ESC308" s="359"/>
      <c r="ESD308" s="359"/>
      <c r="ESE308" s="359"/>
      <c r="ESF308" s="359"/>
      <c r="ESG308" s="359"/>
      <c r="ESH308" s="359"/>
      <c r="ESI308" s="359"/>
      <c r="ESJ308" s="359"/>
      <c r="ESK308" s="359"/>
      <c r="ESL308" s="359"/>
      <c r="ESM308" s="359"/>
      <c r="ESN308" s="359"/>
      <c r="ESO308" s="359"/>
      <c r="ESP308" s="359"/>
      <c r="ESQ308" s="359"/>
      <c r="ESR308" s="359"/>
      <c r="ESS308" s="359"/>
      <c r="EST308" s="359"/>
      <c r="ESU308" s="359"/>
      <c r="ESV308" s="359"/>
      <c r="ESW308" s="359"/>
      <c r="ESX308" s="359"/>
      <c r="ESY308" s="359"/>
      <c r="ESZ308" s="359"/>
      <c r="ETA308" s="359"/>
      <c r="ETB308" s="359"/>
      <c r="ETC308" s="359"/>
      <c r="ETD308" s="359"/>
      <c r="ETE308" s="359"/>
      <c r="ETF308" s="359"/>
      <c r="ETG308" s="359"/>
      <c r="ETH308" s="359"/>
      <c r="ETI308" s="359"/>
      <c r="ETJ308" s="359"/>
      <c r="ETK308" s="359"/>
      <c r="ETL308" s="359"/>
      <c r="ETM308" s="359"/>
      <c r="ETN308" s="359"/>
      <c r="ETO308" s="359"/>
      <c r="ETP308" s="359"/>
      <c r="ETQ308" s="359"/>
      <c r="ETR308" s="359"/>
      <c r="ETS308" s="359"/>
      <c r="ETT308" s="359"/>
      <c r="ETU308" s="359"/>
      <c r="ETV308" s="359"/>
      <c r="ETW308" s="359"/>
      <c r="ETX308" s="359"/>
      <c r="ETY308" s="359"/>
      <c r="ETZ308" s="359"/>
      <c r="EUA308" s="359"/>
      <c r="EUB308" s="359"/>
      <c r="EUC308" s="359"/>
      <c r="EUD308" s="359"/>
      <c r="EUE308" s="359"/>
      <c r="EUF308" s="359"/>
      <c r="EUG308" s="359"/>
      <c r="EUH308" s="359"/>
      <c r="EUI308" s="359"/>
      <c r="EUJ308" s="359"/>
      <c r="EUK308" s="359"/>
      <c r="EUL308" s="359"/>
      <c r="EUM308" s="359"/>
      <c r="EUN308" s="359"/>
      <c r="EUO308" s="359"/>
      <c r="EUP308" s="359"/>
      <c r="EUQ308" s="359"/>
      <c r="EUR308" s="359"/>
      <c r="EUS308" s="359"/>
      <c r="EUT308" s="359"/>
      <c r="EUU308" s="359"/>
      <c r="EUV308" s="359"/>
      <c r="EUW308" s="359"/>
      <c r="EUX308" s="359"/>
      <c r="EUY308" s="359"/>
      <c r="EUZ308" s="359"/>
      <c r="EVA308" s="359"/>
      <c r="EVB308" s="359"/>
      <c r="EVC308" s="359"/>
      <c r="EVD308" s="359"/>
      <c r="EVE308" s="359"/>
      <c r="EVF308" s="359"/>
      <c r="EVG308" s="359"/>
      <c r="EVH308" s="359"/>
      <c r="EVI308" s="359"/>
      <c r="EVJ308" s="359"/>
      <c r="EVK308" s="359"/>
      <c r="EVL308" s="359"/>
      <c r="EVM308" s="359"/>
      <c r="EVN308" s="359"/>
      <c r="EVO308" s="359"/>
      <c r="EVP308" s="359"/>
      <c r="EVQ308" s="359"/>
      <c r="EVR308" s="359"/>
      <c r="EVS308" s="359"/>
      <c r="EVT308" s="359"/>
      <c r="EVU308" s="359"/>
      <c r="EVV308" s="359"/>
      <c r="EVW308" s="359"/>
      <c r="EVX308" s="359"/>
      <c r="EVY308" s="359"/>
      <c r="EVZ308" s="359"/>
      <c r="EWA308" s="359"/>
      <c r="EWB308" s="359"/>
      <c r="EWC308" s="359"/>
      <c r="EWD308" s="359"/>
      <c r="EWE308" s="359"/>
      <c r="EWF308" s="359"/>
      <c r="EWG308" s="359"/>
      <c r="EWH308" s="359"/>
      <c r="EWI308" s="359"/>
      <c r="EWJ308" s="359"/>
      <c r="EWK308" s="359"/>
      <c r="EWL308" s="359"/>
      <c r="EWM308" s="359"/>
      <c r="EWN308" s="359"/>
      <c r="EWO308" s="359"/>
      <c r="EWP308" s="359"/>
      <c r="EWQ308" s="359"/>
      <c r="EWR308" s="359"/>
      <c r="EWS308" s="359"/>
      <c r="EWT308" s="359"/>
      <c r="EWU308" s="359"/>
      <c r="EWV308" s="359"/>
      <c r="EWW308" s="359"/>
      <c r="EWX308" s="359"/>
      <c r="EWY308" s="359"/>
      <c r="EWZ308" s="359"/>
      <c r="EXA308" s="359"/>
      <c r="EXB308" s="359"/>
      <c r="EXC308" s="359"/>
      <c r="EXD308" s="359"/>
      <c r="EXE308" s="359"/>
      <c r="EXF308" s="359"/>
      <c r="EXG308" s="359"/>
      <c r="EXH308" s="359"/>
      <c r="EXI308" s="359"/>
      <c r="EXJ308" s="359"/>
      <c r="EXK308" s="359"/>
      <c r="EXL308" s="359"/>
      <c r="EXM308" s="359"/>
      <c r="EXN308" s="359"/>
      <c r="EXO308" s="359"/>
      <c r="EXP308" s="359"/>
      <c r="EXQ308" s="359"/>
      <c r="EXR308" s="359"/>
      <c r="EXS308" s="359"/>
      <c r="EXT308" s="359"/>
      <c r="EXU308" s="359"/>
      <c r="EXV308" s="359"/>
      <c r="EXW308" s="359"/>
      <c r="EXX308" s="359"/>
      <c r="EXY308" s="359"/>
      <c r="EXZ308" s="359"/>
      <c r="EYA308" s="359"/>
      <c r="EYB308" s="359"/>
      <c r="EYC308" s="359"/>
      <c r="EYD308" s="359"/>
      <c r="EYE308" s="359"/>
      <c r="EYF308" s="359"/>
      <c r="EYG308" s="359"/>
      <c r="EYH308" s="359"/>
      <c r="EYI308" s="359"/>
      <c r="EYJ308" s="359"/>
      <c r="EYK308" s="359"/>
      <c r="EYL308" s="359"/>
      <c r="EYM308" s="359"/>
      <c r="EYN308" s="359"/>
      <c r="EYO308" s="359"/>
      <c r="EYP308" s="359"/>
      <c r="EYQ308" s="359"/>
      <c r="EYR308" s="359"/>
      <c r="EYS308" s="359"/>
      <c r="EYT308" s="359"/>
      <c r="EYU308" s="359"/>
      <c r="EYV308" s="359"/>
      <c r="EYW308" s="359"/>
      <c r="EYX308" s="359"/>
      <c r="EYY308" s="359"/>
      <c r="EYZ308" s="359"/>
      <c r="EZA308" s="359"/>
      <c r="EZB308" s="359"/>
      <c r="EZC308" s="359"/>
      <c r="EZD308" s="359"/>
      <c r="EZE308" s="359"/>
      <c r="EZF308" s="359"/>
      <c r="EZG308" s="359"/>
      <c r="EZH308" s="359"/>
      <c r="EZI308" s="359"/>
      <c r="EZJ308" s="359"/>
      <c r="EZK308" s="359"/>
      <c r="EZL308" s="359"/>
      <c r="EZM308" s="359"/>
      <c r="EZN308" s="359"/>
      <c r="EZO308" s="359"/>
      <c r="EZP308" s="359"/>
      <c r="EZQ308" s="359"/>
      <c r="EZR308" s="359"/>
      <c r="EZS308" s="359"/>
      <c r="EZT308" s="359"/>
      <c r="EZU308" s="359"/>
      <c r="EZV308" s="359"/>
      <c r="EZW308" s="359"/>
      <c r="EZX308" s="359"/>
      <c r="EZY308" s="359"/>
      <c r="EZZ308" s="359"/>
      <c r="FAA308" s="359"/>
      <c r="FAB308" s="359"/>
      <c r="FAC308" s="359"/>
      <c r="FAD308" s="359"/>
      <c r="FAE308" s="359"/>
      <c r="FAF308" s="359"/>
      <c r="FAG308" s="359"/>
      <c r="FAH308" s="359"/>
      <c r="FAI308" s="359"/>
      <c r="FAJ308" s="359"/>
      <c r="FAK308" s="359"/>
      <c r="FAL308" s="359"/>
      <c r="FAM308" s="359"/>
      <c r="FAN308" s="359"/>
      <c r="FAO308" s="359"/>
      <c r="FAP308" s="359"/>
      <c r="FAQ308" s="359"/>
      <c r="FAR308" s="359"/>
      <c r="FAS308" s="359"/>
      <c r="FAT308" s="359"/>
      <c r="FAU308" s="359"/>
      <c r="FAV308" s="359"/>
      <c r="FAW308" s="359"/>
      <c r="FAX308" s="359"/>
      <c r="FAY308" s="359"/>
      <c r="FAZ308" s="359"/>
      <c r="FBA308" s="359"/>
      <c r="FBB308" s="359"/>
      <c r="FBC308" s="359"/>
      <c r="FBD308" s="359"/>
      <c r="FBE308" s="359"/>
      <c r="FBF308" s="359"/>
      <c r="FBG308" s="359"/>
      <c r="FBH308" s="359"/>
      <c r="FBI308" s="359"/>
      <c r="FBJ308" s="359"/>
      <c r="FBK308" s="359"/>
      <c r="FBL308" s="359"/>
      <c r="FBM308" s="359"/>
      <c r="FBN308" s="359"/>
      <c r="FBO308" s="359"/>
      <c r="FBP308" s="359"/>
      <c r="FBQ308" s="359"/>
      <c r="FBR308" s="359"/>
      <c r="FBS308" s="359"/>
      <c r="FBT308" s="359"/>
      <c r="FBU308" s="359"/>
      <c r="FBV308" s="359"/>
      <c r="FBW308" s="359"/>
      <c r="FBX308" s="359"/>
      <c r="FBY308" s="359"/>
      <c r="FBZ308" s="359"/>
      <c r="FCA308" s="359"/>
      <c r="FCB308" s="359"/>
      <c r="FCC308" s="359"/>
      <c r="FCD308" s="359"/>
      <c r="FCE308" s="359"/>
      <c r="FCF308" s="359"/>
      <c r="FCG308" s="359"/>
      <c r="FCH308" s="359"/>
      <c r="FCI308" s="359"/>
      <c r="FCJ308" s="359"/>
      <c r="FCK308" s="359"/>
      <c r="FCL308" s="359"/>
      <c r="FCM308" s="359"/>
      <c r="FCN308" s="359"/>
      <c r="FCO308" s="359"/>
      <c r="FCP308" s="359"/>
      <c r="FCQ308" s="359"/>
      <c r="FCR308" s="359"/>
      <c r="FCS308" s="359"/>
      <c r="FCT308" s="359"/>
      <c r="FCU308" s="359"/>
      <c r="FCV308" s="359"/>
      <c r="FCW308" s="359"/>
      <c r="FCX308" s="359"/>
      <c r="FCY308" s="359"/>
      <c r="FCZ308" s="359"/>
      <c r="FDA308" s="359"/>
      <c r="FDB308" s="359"/>
      <c r="FDC308" s="359"/>
      <c r="FDD308" s="359"/>
      <c r="FDE308" s="359"/>
      <c r="FDF308" s="359"/>
      <c r="FDG308" s="359"/>
      <c r="FDH308" s="359"/>
      <c r="FDI308" s="359"/>
      <c r="FDJ308" s="359"/>
      <c r="FDK308" s="359"/>
      <c r="FDL308" s="359"/>
      <c r="FDM308" s="359"/>
      <c r="FDN308" s="359"/>
      <c r="FDO308" s="359"/>
      <c r="FDP308" s="359"/>
      <c r="FDQ308" s="359"/>
      <c r="FDR308" s="359"/>
      <c r="FDS308" s="359"/>
      <c r="FDT308" s="359"/>
      <c r="FDU308" s="359"/>
      <c r="FDV308" s="359"/>
      <c r="FDW308" s="359"/>
      <c r="FDX308" s="359"/>
      <c r="FDY308" s="359"/>
      <c r="FDZ308" s="359"/>
      <c r="FEA308" s="359"/>
      <c r="FEB308" s="359"/>
      <c r="FEC308" s="359"/>
      <c r="FED308" s="359"/>
      <c r="FEE308" s="359"/>
      <c r="FEF308" s="359"/>
      <c r="FEG308" s="359"/>
      <c r="FEH308" s="359"/>
      <c r="FEI308" s="359"/>
      <c r="FEJ308" s="359"/>
      <c r="FEK308" s="359"/>
      <c r="FEL308" s="359"/>
      <c r="FEM308" s="359"/>
      <c r="FEN308" s="359"/>
      <c r="FEO308" s="359"/>
      <c r="FEP308" s="359"/>
      <c r="FEQ308" s="359"/>
      <c r="FER308" s="359"/>
      <c r="FES308" s="359"/>
      <c r="FET308" s="359"/>
      <c r="FEU308" s="359"/>
      <c r="FEV308" s="359"/>
      <c r="FEW308" s="359"/>
      <c r="FEX308" s="359"/>
      <c r="FEY308" s="359"/>
      <c r="FEZ308" s="359"/>
      <c r="FFA308" s="359"/>
      <c r="FFB308" s="359"/>
      <c r="FFC308" s="359"/>
      <c r="FFD308" s="359"/>
      <c r="FFE308" s="359"/>
      <c r="FFF308" s="359"/>
      <c r="FFG308" s="359"/>
      <c r="FFH308" s="359"/>
      <c r="FFI308" s="359"/>
      <c r="FFJ308" s="359"/>
      <c r="FFK308" s="359"/>
      <c r="FFL308" s="359"/>
      <c r="FFM308" s="359"/>
      <c r="FFN308" s="359"/>
      <c r="FFO308" s="359"/>
      <c r="FFP308" s="359"/>
      <c r="FFQ308" s="359"/>
      <c r="FFR308" s="359"/>
      <c r="FFS308" s="359"/>
      <c r="FFT308" s="359"/>
      <c r="FFU308" s="359"/>
      <c r="FFV308" s="359"/>
      <c r="FFW308" s="359"/>
      <c r="FFX308" s="359"/>
      <c r="FFY308" s="359"/>
      <c r="FFZ308" s="359"/>
      <c r="FGA308" s="359"/>
      <c r="FGB308" s="359"/>
      <c r="FGC308" s="359"/>
      <c r="FGD308" s="359"/>
      <c r="FGE308" s="359"/>
      <c r="FGF308" s="359"/>
      <c r="FGG308" s="359"/>
      <c r="FGH308" s="359"/>
      <c r="FGI308" s="359"/>
      <c r="FGJ308" s="359"/>
      <c r="FGK308" s="359"/>
      <c r="FGL308" s="359"/>
      <c r="FGM308" s="359"/>
      <c r="FGN308" s="359"/>
      <c r="FGO308" s="359"/>
      <c r="FGP308" s="359"/>
      <c r="FGQ308" s="359"/>
      <c r="FGR308" s="359"/>
      <c r="FGS308" s="359"/>
      <c r="FGT308" s="359"/>
      <c r="FGU308" s="359"/>
      <c r="FGV308" s="359"/>
      <c r="FGW308" s="359"/>
      <c r="FGX308" s="359"/>
      <c r="FGY308" s="359"/>
      <c r="FGZ308" s="359"/>
      <c r="FHA308" s="359"/>
      <c r="FHB308" s="359"/>
      <c r="FHC308" s="359"/>
      <c r="FHD308" s="359"/>
      <c r="FHE308" s="359"/>
      <c r="FHF308" s="359"/>
      <c r="FHG308" s="359"/>
      <c r="FHH308" s="359"/>
      <c r="FHI308" s="359"/>
      <c r="FHJ308" s="359"/>
      <c r="FHK308" s="359"/>
      <c r="FHL308" s="359"/>
      <c r="FHM308" s="359"/>
      <c r="FHN308" s="359"/>
      <c r="FHO308" s="359"/>
      <c r="FHP308" s="359"/>
      <c r="FHQ308" s="359"/>
      <c r="FHR308" s="359"/>
      <c r="FHS308" s="359"/>
      <c r="FHT308" s="359"/>
      <c r="FHU308" s="359"/>
      <c r="FHV308" s="359"/>
      <c r="FHW308" s="359"/>
      <c r="FHX308" s="359"/>
      <c r="FHY308" s="359"/>
      <c r="FHZ308" s="359"/>
      <c r="FIA308" s="359"/>
      <c r="FIB308" s="359"/>
      <c r="FIC308" s="359"/>
      <c r="FID308" s="359"/>
      <c r="FIE308" s="359"/>
      <c r="FIF308" s="359"/>
      <c r="FIG308" s="359"/>
      <c r="FIH308" s="359"/>
      <c r="FII308" s="359"/>
      <c r="FIJ308" s="359"/>
      <c r="FIK308" s="359"/>
      <c r="FIL308" s="359"/>
      <c r="FIM308" s="359"/>
      <c r="FIN308" s="359"/>
      <c r="FIO308" s="359"/>
      <c r="FIP308" s="359"/>
      <c r="FIQ308" s="359"/>
      <c r="FIR308" s="359"/>
      <c r="FIS308" s="359"/>
      <c r="FIT308" s="359"/>
      <c r="FIU308" s="359"/>
      <c r="FIV308" s="359"/>
      <c r="FIW308" s="359"/>
      <c r="FIX308" s="359"/>
      <c r="FIY308" s="359"/>
      <c r="FIZ308" s="359"/>
      <c r="FJA308" s="359"/>
      <c r="FJB308" s="359"/>
      <c r="FJC308" s="359"/>
      <c r="FJD308" s="359"/>
      <c r="FJE308" s="359"/>
      <c r="FJF308" s="359"/>
      <c r="FJG308" s="359"/>
      <c r="FJH308" s="359"/>
      <c r="FJI308" s="359"/>
      <c r="FJJ308" s="359"/>
      <c r="FJK308" s="359"/>
      <c r="FJL308" s="359"/>
      <c r="FJM308" s="359"/>
      <c r="FJN308" s="359"/>
      <c r="FJO308" s="359"/>
      <c r="FJP308" s="359"/>
      <c r="FJQ308" s="359"/>
      <c r="FJR308" s="359"/>
      <c r="FJS308" s="359"/>
      <c r="FJT308" s="359"/>
      <c r="FJU308" s="359"/>
      <c r="FJV308" s="359"/>
      <c r="FJW308" s="359"/>
      <c r="FJX308" s="359"/>
      <c r="FJY308" s="359"/>
      <c r="FJZ308" s="359"/>
      <c r="FKA308" s="359"/>
      <c r="FKB308" s="359"/>
      <c r="FKC308" s="359"/>
      <c r="FKD308" s="359"/>
      <c r="FKE308" s="359"/>
      <c r="FKF308" s="359"/>
      <c r="FKG308" s="359"/>
      <c r="FKH308" s="359"/>
      <c r="FKI308" s="359"/>
      <c r="FKJ308" s="359"/>
      <c r="FKK308" s="359"/>
      <c r="FKL308" s="359"/>
      <c r="FKM308" s="359"/>
      <c r="FKN308" s="359"/>
      <c r="FKO308" s="359"/>
      <c r="FKP308" s="359"/>
      <c r="FKQ308" s="359"/>
      <c r="FKR308" s="359"/>
      <c r="FKS308" s="359"/>
      <c r="FKT308" s="359"/>
      <c r="FKU308" s="359"/>
      <c r="FKV308" s="359"/>
      <c r="FKW308" s="359"/>
      <c r="FKX308" s="359"/>
      <c r="FKY308" s="359"/>
      <c r="FKZ308" s="359"/>
      <c r="FLA308" s="359"/>
      <c r="FLB308" s="359"/>
      <c r="FLC308" s="359"/>
      <c r="FLD308" s="359"/>
      <c r="FLE308" s="359"/>
      <c r="FLF308" s="359"/>
      <c r="FLG308" s="359"/>
      <c r="FLH308" s="359"/>
      <c r="FLI308" s="359"/>
      <c r="FLJ308" s="359"/>
      <c r="FLK308" s="359"/>
      <c r="FLL308" s="359"/>
      <c r="FLM308" s="359"/>
      <c r="FLN308" s="359"/>
      <c r="FLO308" s="359"/>
      <c r="FLP308" s="359"/>
      <c r="FLQ308" s="359"/>
      <c r="FLR308" s="359"/>
      <c r="FLS308" s="359"/>
      <c r="FLT308" s="359"/>
      <c r="FLU308" s="359"/>
      <c r="FLV308" s="359"/>
      <c r="FLW308" s="359"/>
      <c r="FLX308" s="359"/>
      <c r="FLY308" s="359"/>
      <c r="FLZ308" s="359"/>
      <c r="FMA308" s="359"/>
      <c r="FMB308" s="359"/>
      <c r="FMC308" s="359"/>
      <c r="FMD308" s="359"/>
      <c r="FME308" s="359"/>
      <c r="FMF308" s="359"/>
      <c r="FMG308" s="359"/>
      <c r="FMH308" s="359"/>
      <c r="FMI308" s="359"/>
      <c r="FMJ308" s="359"/>
      <c r="FMK308" s="359"/>
      <c r="FML308" s="359"/>
      <c r="FMM308" s="359"/>
      <c r="FMN308" s="359"/>
      <c r="FMO308" s="359"/>
      <c r="FMP308" s="359"/>
      <c r="FMQ308" s="359"/>
      <c r="FMR308" s="359"/>
      <c r="FMS308" s="359"/>
      <c r="FMT308" s="359"/>
      <c r="FMU308" s="359"/>
      <c r="FMV308" s="359"/>
      <c r="FMW308" s="359"/>
      <c r="FMX308" s="359"/>
      <c r="FMY308" s="359"/>
      <c r="FMZ308" s="359"/>
      <c r="FNA308" s="359"/>
      <c r="FNB308" s="359"/>
      <c r="FNC308" s="359"/>
      <c r="FND308" s="359"/>
      <c r="FNE308" s="359"/>
      <c r="FNF308" s="359"/>
      <c r="FNG308" s="359"/>
      <c r="FNH308" s="359"/>
      <c r="FNI308" s="359"/>
      <c r="FNJ308" s="359"/>
      <c r="FNK308" s="359"/>
      <c r="FNL308" s="359"/>
      <c r="FNM308" s="359"/>
      <c r="FNN308" s="359"/>
      <c r="FNO308" s="359"/>
      <c r="FNP308" s="359"/>
      <c r="FNQ308" s="359"/>
      <c r="FNR308" s="359"/>
      <c r="FNS308" s="359"/>
      <c r="FNT308" s="359"/>
      <c r="FNU308" s="359"/>
      <c r="FNV308" s="359"/>
      <c r="FNW308" s="359"/>
      <c r="FNX308" s="359"/>
      <c r="FNY308" s="359"/>
      <c r="FNZ308" s="359"/>
      <c r="FOA308" s="359"/>
      <c r="FOB308" s="359"/>
      <c r="FOC308" s="359"/>
      <c r="FOD308" s="359"/>
      <c r="FOE308" s="359"/>
      <c r="FOF308" s="359"/>
      <c r="FOG308" s="359"/>
      <c r="FOH308" s="359"/>
      <c r="FOI308" s="359"/>
      <c r="FOJ308" s="359"/>
      <c r="FOK308" s="359"/>
      <c r="FOL308" s="359"/>
      <c r="FOM308" s="359"/>
      <c r="FON308" s="359"/>
      <c r="FOO308" s="359"/>
      <c r="FOP308" s="359"/>
      <c r="FOQ308" s="359"/>
      <c r="FOR308" s="359"/>
      <c r="FOS308" s="359"/>
      <c r="FOT308" s="359"/>
      <c r="FOU308" s="359"/>
      <c r="FOV308" s="359"/>
      <c r="FOW308" s="359"/>
      <c r="FOX308" s="359"/>
      <c r="FOY308" s="359"/>
      <c r="FOZ308" s="359"/>
      <c r="FPA308" s="359"/>
      <c r="FPB308" s="359"/>
      <c r="FPC308" s="359"/>
      <c r="FPD308" s="359"/>
      <c r="FPE308" s="359"/>
      <c r="FPF308" s="359"/>
      <c r="FPG308" s="359"/>
      <c r="FPH308" s="359"/>
      <c r="FPI308" s="359"/>
      <c r="FPJ308" s="359"/>
      <c r="FPK308" s="359"/>
      <c r="FPL308" s="359"/>
      <c r="FPM308" s="359"/>
      <c r="FPN308" s="359"/>
      <c r="FPO308" s="359"/>
      <c r="FPP308" s="359"/>
      <c r="FPQ308" s="359"/>
      <c r="FPR308" s="359"/>
      <c r="FPS308" s="359"/>
      <c r="FPT308" s="359"/>
      <c r="FPU308" s="359"/>
      <c r="FPV308" s="359"/>
      <c r="FPW308" s="359"/>
      <c r="FPX308" s="359"/>
      <c r="FPY308" s="359"/>
      <c r="FPZ308" s="359"/>
      <c r="FQA308" s="359"/>
      <c r="FQB308" s="359"/>
      <c r="FQC308" s="359"/>
      <c r="FQD308" s="359"/>
      <c r="FQE308" s="359"/>
      <c r="FQF308" s="359"/>
      <c r="FQG308" s="359"/>
      <c r="FQH308" s="359"/>
      <c r="FQI308" s="359"/>
      <c r="FQJ308" s="359"/>
      <c r="FQK308" s="359"/>
      <c r="FQL308" s="359"/>
      <c r="FQM308" s="359"/>
      <c r="FQN308" s="359"/>
      <c r="FQO308" s="359"/>
      <c r="FQP308" s="359"/>
      <c r="FQQ308" s="359"/>
      <c r="FQR308" s="359"/>
      <c r="FQS308" s="359"/>
      <c r="FQT308" s="359"/>
      <c r="FQU308" s="359"/>
      <c r="FQV308" s="359"/>
      <c r="FQW308" s="359"/>
      <c r="FQX308" s="359"/>
      <c r="FQY308" s="359"/>
      <c r="FQZ308" s="359"/>
      <c r="FRA308" s="359"/>
      <c r="FRB308" s="359"/>
      <c r="FRC308" s="359"/>
      <c r="FRD308" s="359"/>
      <c r="FRE308" s="359"/>
      <c r="FRF308" s="359"/>
      <c r="FRG308" s="359"/>
      <c r="FRH308" s="359"/>
      <c r="FRI308" s="359"/>
      <c r="FRJ308" s="359"/>
      <c r="FRK308" s="359"/>
      <c r="FRL308" s="359"/>
      <c r="FRM308" s="359"/>
      <c r="FRN308" s="359"/>
      <c r="FRO308" s="359"/>
      <c r="FRP308" s="359"/>
      <c r="FRQ308" s="359"/>
      <c r="FRR308" s="359"/>
      <c r="FRS308" s="359"/>
      <c r="FRT308" s="359"/>
      <c r="FRU308" s="359"/>
      <c r="FRV308" s="359"/>
      <c r="FRW308" s="359"/>
      <c r="FRX308" s="359"/>
      <c r="FRY308" s="359"/>
      <c r="FRZ308" s="359"/>
      <c r="FSA308" s="359"/>
      <c r="FSB308" s="359"/>
      <c r="FSC308" s="359"/>
      <c r="FSD308" s="359"/>
      <c r="FSE308" s="359"/>
      <c r="FSF308" s="359"/>
      <c r="FSG308" s="359"/>
      <c r="FSH308" s="359"/>
      <c r="FSI308" s="359"/>
      <c r="FSJ308" s="359"/>
      <c r="FSK308" s="359"/>
      <c r="FSL308" s="359"/>
      <c r="FSM308" s="359"/>
      <c r="FSN308" s="359"/>
      <c r="FSO308" s="359"/>
      <c r="FSP308" s="359"/>
      <c r="FSQ308" s="359"/>
      <c r="FSR308" s="359"/>
      <c r="FSS308" s="359"/>
      <c r="FST308" s="359"/>
      <c r="FSU308" s="359"/>
      <c r="FSV308" s="359"/>
      <c r="FSW308" s="359"/>
      <c r="FSX308" s="359"/>
      <c r="FSY308" s="359"/>
      <c r="FSZ308" s="359"/>
      <c r="FTA308" s="359"/>
      <c r="FTB308" s="359"/>
      <c r="FTC308" s="359"/>
      <c r="FTD308" s="359"/>
      <c r="FTE308" s="359"/>
      <c r="FTF308" s="359"/>
      <c r="FTG308" s="359"/>
      <c r="FTH308" s="359"/>
      <c r="FTI308" s="359"/>
      <c r="FTJ308" s="359"/>
      <c r="FTK308" s="359"/>
      <c r="FTL308" s="359"/>
      <c r="FTM308" s="359"/>
      <c r="FTN308" s="359"/>
      <c r="FTO308" s="359"/>
      <c r="FTP308" s="359"/>
      <c r="FTQ308" s="359"/>
      <c r="FTR308" s="359"/>
      <c r="FTS308" s="359"/>
      <c r="FTT308" s="359"/>
      <c r="FTU308" s="359"/>
      <c r="FTV308" s="359"/>
      <c r="FTW308" s="359"/>
      <c r="FTX308" s="359"/>
      <c r="FTY308" s="359"/>
      <c r="FTZ308" s="359"/>
      <c r="FUA308" s="359"/>
      <c r="FUB308" s="359"/>
      <c r="FUC308" s="359"/>
      <c r="FUD308" s="359"/>
      <c r="FUE308" s="359"/>
      <c r="FUF308" s="359"/>
      <c r="FUG308" s="359"/>
      <c r="FUH308" s="359"/>
      <c r="FUI308" s="359"/>
      <c r="FUJ308" s="359"/>
      <c r="FUK308" s="359"/>
      <c r="FUL308" s="359"/>
      <c r="FUM308" s="359"/>
      <c r="FUN308" s="359"/>
      <c r="FUO308" s="359"/>
      <c r="FUP308" s="359"/>
      <c r="FUQ308" s="359"/>
      <c r="FUR308" s="359"/>
      <c r="FUS308" s="359"/>
      <c r="FUT308" s="359"/>
      <c r="FUU308" s="359"/>
      <c r="FUV308" s="359"/>
      <c r="FUW308" s="359"/>
      <c r="FUX308" s="359"/>
      <c r="FUY308" s="359"/>
      <c r="FUZ308" s="359"/>
      <c r="FVA308" s="359"/>
      <c r="FVB308" s="359"/>
      <c r="FVC308" s="359"/>
      <c r="FVD308" s="359"/>
      <c r="FVE308" s="359"/>
      <c r="FVF308" s="359"/>
      <c r="FVG308" s="359"/>
      <c r="FVH308" s="359"/>
      <c r="FVI308" s="359"/>
      <c r="FVJ308" s="359"/>
      <c r="FVK308" s="359"/>
      <c r="FVL308" s="359"/>
      <c r="FVM308" s="359"/>
      <c r="FVN308" s="359"/>
      <c r="FVO308" s="359"/>
      <c r="FVP308" s="359"/>
      <c r="FVQ308" s="359"/>
      <c r="FVR308" s="359"/>
      <c r="FVS308" s="359"/>
      <c r="FVT308" s="359"/>
      <c r="FVU308" s="359"/>
      <c r="FVV308" s="359"/>
      <c r="FVW308" s="359"/>
      <c r="FVX308" s="359"/>
      <c r="FVY308" s="359"/>
      <c r="FVZ308" s="359"/>
      <c r="FWA308" s="359"/>
      <c r="FWB308" s="359"/>
      <c r="FWC308" s="359"/>
      <c r="FWD308" s="359"/>
      <c r="FWE308" s="359"/>
      <c r="FWF308" s="359"/>
      <c r="FWG308" s="359"/>
      <c r="FWH308" s="359"/>
      <c r="FWI308" s="359"/>
      <c r="FWJ308" s="359"/>
      <c r="FWK308" s="359"/>
      <c r="FWL308" s="359"/>
      <c r="FWM308" s="359"/>
      <c r="FWN308" s="359"/>
      <c r="FWO308" s="359"/>
      <c r="FWP308" s="359"/>
      <c r="FWQ308" s="359"/>
      <c r="FWR308" s="359"/>
      <c r="FWS308" s="359"/>
      <c r="FWT308" s="359"/>
      <c r="FWU308" s="359"/>
      <c r="FWV308" s="359"/>
      <c r="FWW308" s="359"/>
      <c r="FWX308" s="359"/>
      <c r="FWY308" s="359"/>
      <c r="FWZ308" s="359"/>
      <c r="FXA308" s="359"/>
      <c r="FXB308" s="359"/>
      <c r="FXC308" s="359"/>
      <c r="FXD308" s="359"/>
      <c r="FXE308" s="359"/>
      <c r="FXF308" s="359"/>
      <c r="FXG308" s="359"/>
      <c r="FXH308" s="359"/>
      <c r="FXI308" s="359"/>
      <c r="FXJ308" s="359"/>
      <c r="FXK308" s="359"/>
      <c r="FXL308" s="359"/>
      <c r="FXM308" s="359"/>
      <c r="FXN308" s="359"/>
      <c r="FXO308" s="359"/>
      <c r="FXP308" s="359"/>
      <c r="FXQ308" s="359"/>
      <c r="FXR308" s="359"/>
      <c r="FXS308" s="359"/>
      <c r="FXT308" s="359"/>
      <c r="FXU308" s="359"/>
      <c r="FXV308" s="359"/>
      <c r="FXW308" s="359"/>
      <c r="FXX308" s="359"/>
      <c r="FXY308" s="359"/>
      <c r="FXZ308" s="359"/>
      <c r="FYA308" s="359"/>
      <c r="FYB308" s="359"/>
      <c r="FYC308" s="359"/>
      <c r="FYD308" s="359"/>
      <c r="FYE308" s="359"/>
      <c r="FYF308" s="359"/>
      <c r="FYG308" s="359"/>
      <c r="FYH308" s="359"/>
      <c r="FYI308" s="359"/>
      <c r="FYJ308" s="359"/>
      <c r="FYK308" s="359"/>
      <c r="FYL308" s="359"/>
      <c r="FYM308" s="359"/>
      <c r="FYN308" s="359"/>
      <c r="FYO308" s="359"/>
      <c r="FYP308" s="359"/>
      <c r="FYQ308" s="359"/>
      <c r="FYR308" s="359"/>
      <c r="FYS308" s="359"/>
      <c r="FYT308" s="359"/>
      <c r="FYU308" s="359"/>
      <c r="FYV308" s="359"/>
      <c r="FYW308" s="359"/>
      <c r="FYX308" s="359"/>
      <c r="FYY308" s="359"/>
      <c r="FYZ308" s="359"/>
      <c r="FZA308" s="359"/>
      <c r="FZB308" s="359"/>
      <c r="FZC308" s="359"/>
      <c r="FZD308" s="359"/>
      <c r="FZE308" s="359"/>
      <c r="FZF308" s="359"/>
      <c r="FZG308" s="359"/>
      <c r="FZH308" s="359"/>
      <c r="FZI308" s="359"/>
      <c r="FZJ308" s="359"/>
      <c r="FZK308" s="359"/>
      <c r="FZL308" s="359"/>
      <c r="FZM308" s="359"/>
      <c r="FZN308" s="359"/>
      <c r="FZO308" s="359"/>
      <c r="FZP308" s="359"/>
      <c r="FZQ308" s="359"/>
      <c r="FZR308" s="359"/>
      <c r="FZS308" s="359"/>
      <c r="FZT308" s="359"/>
      <c r="FZU308" s="359"/>
      <c r="FZV308" s="359"/>
      <c r="FZW308" s="359"/>
      <c r="FZX308" s="359"/>
      <c r="FZY308" s="359"/>
      <c r="FZZ308" s="359"/>
      <c r="GAA308" s="359"/>
      <c r="GAB308" s="359"/>
      <c r="GAC308" s="359"/>
      <c r="GAD308" s="359"/>
      <c r="GAE308" s="359"/>
      <c r="GAF308" s="359"/>
      <c r="GAG308" s="359"/>
      <c r="GAH308" s="359"/>
      <c r="GAI308" s="359"/>
      <c r="GAJ308" s="359"/>
      <c r="GAK308" s="359"/>
      <c r="GAL308" s="359"/>
      <c r="GAM308" s="359"/>
      <c r="GAN308" s="359"/>
      <c r="GAO308" s="359"/>
      <c r="GAP308" s="359"/>
      <c r="GAQ308" s="359"/>
      <c r="GAR308" s="359"/>
      <c r="GAS308" s="359"/>
      <c r="GAT308" s="359"/>
      <c r="GAU308" s="359"/>
      <c r="GAV308" s="359"/>
      <c r="GAW308" s="359"/>
      <c r="GAX308" s="359"/>
      <c r="GAY308" s="359"/>
      <c r="GAZ308" s="359"/>
      <c r="GBA308" s="359"/>
      <c r="GBB308" s="359"/>
      <c r="GBC308" s="359"/>
      <c r="GBD308" s="359"/>
      <c r="GBE308" s="359"/>
      <c r="GBF308" s="359"/>
      <c r="GBG308" s="359"/>
      <c r="GBH308" s="359"/>
      <c r="GBI308" s="359"/>
      <c r="GBJ308" s="359"/>
      <c r="GBK308" s="359"/>
      <c r="GBL308" s="359"/>
      <c r="GBM308" s="359"/>
      <c r="GBN308" s="359"/>
      <c r="GBO308" s="359"/>
      <c r="GBP308" s="359"/>
      <c r="GBQ308" s="359"/>
      <c r="GBR308" s="359"/>
      <c r="GBS308" s="359"/>
      <c r="GBT308" s="359"/>
      <c r="GBU308" s="359"/>
      <c r="GBV308" s="359"/>
      <c r="GBW308" s="359"/>
      <c r="GBX308" s="359"/>
      <c r="GBY308" s="359"/>
      <c r="GBZ308" s="359"/>
      <c r="GCA308" s="359"/>
      <c r="GCB308" s="359"/>
      <c r="GCC308" s="359"/>
      <c r="GCD308" s="359"/>
      <c r="GCE308" s="359"/>
      <c r="GCF308" s="359"/>
      <c r="GCG308" s="359"/>
      <c r="GCH308" s="359"/>
      <c r="GCI308" s="359"/>
      <c r="GCJ308" s="359"/>
      <c r="GCK308" s="359"/>
      <c r="GCL308" s="359"/>
      <c r="GCM308" s="359"/>
      <c r="GCN308" s="359"/>
      <c r="GCO308" s="359"/>
      <c r="GCP308" s="359"/>
      <c r="GCQ308" s="359"/>
      <c r="GCR308" s="359"/>
      <c r="GCS308" s="359"/>
      <c r="GCT308" s="359"/>
      <c r="GCU308" s="359"/>
      <c r="GCV308" s="359"/>
      <c r="GCW308" s="359"/>
      <c r="GCX308" s="359"/>
      <c r="GCY308" s="359"/>
      <c r="GCZ308" s="359"/>
      <c r="GDA308" s="359"/>
      <c r="GDB308" s="359"/>
      <c r="GDC308" s="359"/>
      <c r="GDD308" s="359"/>
      <c r="GDE308" s="359"/>
      <c r="GDF308" s="359"/>
      <c r="GDG308" s="359"/>
      <c r="GDH308" s="359"/>
      <c r="GDI308" s="359"/>
      <c r="GDJ308" s="359"/>
      <c r="GDK308" s="359"/>
      <c r="GDL308" s="359"/>
      <c r="GDM308" s="359"/>
      <c r="GDN308" s="359"/>
      <c r="GDO308" s="359"/>
      <c r="GDP308" s="359"/>
      <c r="GDQ308" s="359"/>
      <c r="GDR308" s="359"/>
      <c r="GDS308" s="359"/>
      <c r="GDT308" s="359"/>
      <c r="GDU308" s="359"/>
      <c r="GDV308" s="359"/>
      <c r="GDW308" s="359"/>
      <c r="GDX308" s="359"/>
      <c r="GDY308" s="359"/>
      <c r="GDZ308" s="359"/>
      <c r="GEA308" s="359"/>
      <c r="GEB308" s="359"/>
      <c r="GEC308" s="359"/>
      <c r="GED308" s="359"/>
      <c r="GEE308" s="359"/>
      <c r="GEF308" s="359"/>
      <c r="GEG308" s="359"/>
      <c r="GEH308" s="359"/>
      <c r="GEI308" s="359"/>
      <c r="GEJ308" s="359"/>
      <c r="GEK308" s="359"/>
      <c r="GEL308" s="359"/>
      <c r="GEM308" s="359"/>
      <c r="GEN308" s="359"/>
      <c r="GEO308" s="359"/>
      <c r="GEP308" s="359"/>
      <c r="GEQ308" s="359"/>
      <c r="GER308" s="359"/>
      <c r="GES308" s="359"/>
      <c r="GET308" s="359"/>
      <c r="GEU308" s="359"/>
      <c r="GEV308" s="359"/>
      <c r="GEW308" s="359"/>
      <c r="GEX308" s="359"/>
      <c r="GEY308" s="359"/>
      <c r="GEZ308" s="359"/>
      <c r="GFA308" s="359"/>
      <c r="GFB308" s="359"/>
      <c r="GFC308" s="359"/>
      <c r="GFD308" s="359"/>
      <c r="GFE308" s="359"/>
      <c r="GFF308" s="359"/>
      <c r="GFG308" s="359"/>
      <c r="GFH308" s="359"/>
      <c r="GFI308" s="359"/>
      <c r="GFJ308" s="359"/>
      <c r="GFK308" s="359"/>
      <c r="GFL308" s="359"/>
      <c r="GFM308" s="359"/>
      <c r="GFN308" s="359"/>
      <c r="GFO308" s="359"/>
      <c r="GFP308" s="359"/>
      <c r="GFQ308" s="359"/>
      <c r="GFR308" s="359"/>
      <c r="GFS308" s="359"/>
      <c r="GFT308" s="359"/>
      <c r="GFU308" s="359"/>
      <c r="GFV308" s="359"/>
      <c r="GFW308" s="359"/>
      <c r="GFX308" s="359"/>
      <c r="GFY308" s="359"/>
      <c r="GFZ308" s="359"/>
      <c r="GGA308" s="359"/>
      <c r="GGB308" s="359"/>
      <c r="GGC308" s="359"/>
      <c r="GGD308" s="359"/>
      <c r="GGE308" s="359"/>
      <c r="GGF308" s="359"/>
      <c r="GGG308" s="359"/>
      <c r="GGH308" s="359"/>
      <c r="GGI308" s="359"/>
      <c r="GGJ308" s="359"/>
      <c r="GGK308" s="359"/>
      <c r="GGL308" s="359"/>
      <c r="GGM308" s="359"/>
      <c r="GGN308" s="359"/>
      <c r="GGO308" s="359"/>
      <c r="GGP308" s="359"/>
      <c r="GGQ308" s="359"/>
      <c r="GGR308" s="359"/>
      <c r="GGS308" s="359"/>
      <c r="GGT308" s="359"/>
      <c r="GGU308" s="359"/>
      <c r="GGV308" s="359"/>
      <c r="GGW308" s="359"/>
      <c r="GGX308" s="359"/>
      <c r="GGY308" s="359"/>
      <c r="GGZ308" s="359"/>
      <c r="GHA308" s="359"/>
      <c r="GHB308" s="359"/>
      <c r="GHC308" s="359"/>
      <c r="GHD308" s="359"/>
      <c r="GHE308" s="359"/>
      <c r="GHF308" s="359"/>
      <c r="GHG308" s="359"/>
      <c r="GHH308" s="359"/>
      <c r="GHI308" s="359"/>
      <c r="GHJ308" s="359"/>
      <c r="GHK308" s="359"/>
      <c r="GHL308" s="359"/>
      <c r="GHM308" s="359"/>
      <c r="GHN308" s="359"/>
      <c r="GHO308" s="359"/>
      <c r="GHP308" s="359"/>
      <c r="GHQ308" s="359"/>
      <c r="GHR308" s="359"/>
      <c r="GHS308" s="359"/>
      <c r="GHT308" s="359"/>
      <c r="GHU308" s="359"/>
      <c r="GHV308" s="359"/>
      <c r="GHW308" s="359"/>
      <c r="GHX308" s="359"/>
      <c r="GHY308" s="359"/>
      <c r="GHZ308" s="359"/>
      <c r="GIA308" s="359"/>
      <c r="GIB308" s="359"/>
      <c r="GIC308" s="359"/>
      <c r="GID308" s="359"/>
      <c r="GIE308" s="359"/>
      <c r="GIF308" s="359"/>
      <c r="GIG308" s="359"/>
      <c r="GIH308" s="359"/>
      <c r="GII308" s="359"/>
      <c r="GIJ308" s="359"/>
      <c r="GIK308" s="359"/>
      <c r="GIL308" s="359"/>
      <c r="GIM308" s="359"/>
      <c r="GIN308" s="359"/>
      <c r="GIO308" s="359"/>
      <c r="GIP308" s="359"/>
      <c r="GIQ308" s="359"/>
      <c r="GIR308" s="359"/>
      <c r="GIS308" s="359"/>
      <c r="GIT308" s="359"/>
      <c r="GIU308" s="359"/>
      <c r="GIV308" s="359"/>
      <c r="GIW308" s="359"/>
      <c r="GIX308" s="359"/>
      <c r="GIY308" s="359"/>
      <c r="GIZ308" s="359"/>
      <c r="GJA308" s="359"/>
      <c r="GJB308" s="359"/>
      <c r="GJC308" s="359"/>
      <c r="GJD308" s="359"/>
      <c r="GJE308" s="359"/>
      <c r="GJF308" s="359"/>
      <c r="GJG308" s="359"/>
      <c r="GJH308" s="359"/>
      <c r="GJI308" s="359"/>
      <c r="GJJ308" s="359"/>
      <c r="GJK308" s="359"/>
      <c r="GJL308" s="359"/>
      <c r="GJM308" s="359"/>
      <c r="GJN308" s="359"/>
      <c r="GJO308" s="359"/>
      <c r="GJP308" s="359"/>
      <c r="GJQ308" s="359"/>
      <c r="GJR308" s="359"/>
      <c r="GJS308" s="359"/>
      <c r="GJT308" s="359"/>
      <c r="GJU308" s="359"/>
      <c r="GJV308" s="359"/>
      <c r="GJW308" s="359"/>
      <c r="GJX308" s="359"/>
      <c r="GJY308" s="359"/>
      <c r="GJZ308" s="359"/>
      <c r="GKA308" s="359"/>
      <c r="GKB308" s="359"/>
      <c r="GKC308" s="359"/>
      <c r="GKD308" s="359"/>
      <c r="GKE308" s="359"/>
      <c r="GKF308" s="359"/>
      <c r="GKG308" s="359"/>
      <c r="GKH308" s="359"/>
      <c r="GKI308" s="359"/>
      <c r="GKJ308" s="359"/>
      <c r="GKK308" s="359"/>
      <c r="GKL308" s="359"/>
      <c r="GKM308" s="359"/>
      <c r="GKN308" s="359"/>
      <c r="GKO308" s="359"/>
      <c r="GKP308" s="359"/>
      <c r="GKQ308" s="359"/>
      <c r="GKR308" s="359"/>
      <c r="GKS308" s="359"/>
      <c r="GKT308" s="359"/>
      <c r="GKU308" s="359"/>
      <c r="GKV308" s="359"/>
      <c r="GKW308" s="359"/>
      <c r="GKX308" s="359"/>
      <c r="GKY308" s="359"/>
      <c r="GKZ308" s="359"/>
      <c r="GLA308" s="359"/>
      <c r="GLB308" s="359"/>
      <c r="GLC308" s="359"/>
      <c r="GLD308" s="359"/>
      <c r="GLE308" s="359"/>
      <c r="GLF308" s="359"/>
      <c r="GLG308" s="359"/>
      <c r="GLH308" s="359"/>
      <c r="GLI308" s="359"/>
      <c r="GLJ308" s="359"/>
      <c r="GLK308" s="359"/>
      <c r="GLL308" s="359"/>
      <c r="GLM308" s="359"/>
      <c r="GLN308" s="359"/>
      <c r="GLO308" s="359"/>
      <c r="GLP308" s="359"/>
      <c r="GLQ308" s="359"/>
      <c r="GLR308" s="359"/>
      <c r="GLS308" s="359"/>
      <c r="GLT308" s="359"/>
      <c r="GLU308" s="359"/>
      <c r="GLV308" s="359"/>
      <c r="GLW308" s="359"/>
      <c r="GLX308" s="359"/>
      <c r="GLY308" s="359"/>
      <c r="GLZ308" s="359"/>
      <c r="GMA308" s="359"/>
      <c r="GMB308" s="359"/>
      <c r="GMC308" s="359"/>
      <c r="GMD308" s="359"/>
      <c r="GME308" s="359"/>
      <c r="GMF308" s="359"/>
      <c r="GMG308" s="359"/>
      <c r="GMH308" s="359"/>
      <c r="GMI308" s="359"/>
      <c r="GMJ308" s="359"/>
      <c r="GMK308" s="359"/>
      <c r="GML308" s="359"/>
      <c r="GMM308" s="359"/>
      <c r="GMN308" s="359"/>
      <c r="GMO308" s="359"/>
      <c r="GMP308" s="359"/>
      <c r="GMQ308" s="359"/>
      <c r="GMR308" s="359"/>
      <c r="GMS308" s="359"/>
      <c r="GMT308" s="359"/>
      <c r="GMU308" s="359"/>
      <c r="GMV308" s="359"/>
      <c r="GMW308" s="359"/>
      <c r="GMX308" s="359"/>
      <c r="GMY308" s="359"/>
      <c r="GMZ308" s="359"/>
      <c r="GNA308" s="359"/>
      <c r="GNB308" s="359"/>
      <c r="GNC308" s="359"/>
      <c r="GND308" s="359"/>
      <c r="GNE308" s="359"/>
      <c r="GNF308" s="359"/>
      <c r="GNG308" s="359"/>
      <c r="GNH308" s="359"/>
      <c r="GNI308" s="359"/>
      <c r="GNJ308" s="359"/>
      <c r="GNK308" s="359"/>
      <c r="GNL308" s="359"/>
      <c r="GNM308" s="359"/>
      <c r="GNN308" s="359"/>
      <c r="GNO308" s="359"/>
      <c r="GNP308" s="359"/>
      <c r="GNQ308" s="359"/>
      <c r="GNR308" s="359"/>
      <c r="GNS308" s="359"/>
      <c r="GNT308" s="359"/>
      <c r="GNU308" s="359"/>
      <c r="GNV308" s="359"/>
      <c r="GNW308" s="359"/>
      <c r="GNX308" s="359"/>
      <c r="GNY308" s="359"/>
      <c r="GNZ308" s="359"/>
      <c r="GOA308" s="359"/>
      <c r="GOB308" s="359"/>
      <c r="GOC308" s="359"/>
      <c r="GOD308" s="359"/>
      <c r="GOE308" s="359"/>
      <c r="GOF308" s="359"/>
      <c r="GOG308" s="359"/>
      <c r="GOH308" s="359"/>
      <c r="GOI308" s="359"/>
      <c r="GOJ308" s="359"/>
      <c r="GOK308" s="359"/>
      <c r="GOL308" s="359"/>
      <c r="GOM308" s="359"/>
      <c r="GON308" s="359"/>
      <c r="GOO308" s="359"/>
      <c r="GOP308" s="359"/>
      <c r="GOQ308" s="359"/>
      <c r="GOR308" s="359"/>
      <c r="GOS308" s="359"/>
      <c r="GOT308" s="359"/>
      <c r="GOU308" s="359"/>
      <c r="GOV308" s="359"/>
      <c r="GOW308" s="359"/>
      <c r="GOX308" s="359"/>
      <c r="GOY308" s="359"/>
      <c r="GOZ308" s="359"/>
      <c r="GPA308" s="359"/>
      <c r="GPB308" s="359"/>
      <c r="GPC308" s="359"/>
      <c r="GPD308" s="359"/>
      <c r="GPE308" s="359"/>
      <c r="GPF308" s="359"/>
      <c r="GPG308" s="359"/>
      <c r="GPH308" s="359"/>
      <c r="GPI308" s="359"/>
      <c r="GPJ308" s="359"/>
      <c r="GPK308" s="359"/>
      <c r="GPL308" s="359"/>
      <c r="GPM308" s="359"/>
      <c r="GPN308" s="359"/>
      <c r="GPO308" s="359"/>
      <c r="GPP308" s="359"/>
      <c r="GPQ308" s="359"/>
      <c r="GPR308" s="359"/>
      <c r="GPS308" s="359"/>
      <c r="GPT308" s="359"/>
      <c r="GPU308" s="359"/>
      <c r="GPV308" s="359"/>
      <c r="GPW308" s="359"/>
      <c r="GPX308" s="359"/>
      <c r="GPY308" s="359"/>
      <c r="GPZ308" s="359"/>
      <c r="GQA308" s="359"/>
      <c r="GQB308" s="359"/>
      <c r="GQC308" s="359"/>
      <c r="GQD308" s="359"/>
      <c r="GQE308" s="359"/>
      <c r="GQF308" s="359"/>
      <c r="GQG308" s="359"/>
      <c r="GQH308" s="359"/>
      <c r="GQI308" s="359"/>
      <c r="GQJ308" s="359"/>
      <c r="GQK308" s="359"/>
      <c r="GQL308" s="359"/>
      <c r="GQM308" s="359"/>
      <c r="GQN308" s="359"/>
      <c r="GQO308" s="359"/>
      <c r="GQP308" s="359"/>
      <c r="GQQ308" s="359"/>
      <c r="GQR308" s="359"/>
      <c r="GQS308" s="359"/>
      <c r="GQT308" s="359"/>
      <c r="GQU308" s="359"/>
      <c r="GQV308" s="359"/>
      <c r="GQW308" s="359"/>
      <c r="GQX308" s="359"/>
      <c r="GQY308" s="359"/>
      <c r="GQZ308" s="359"/>
      <c r="GRA308" s="359"/>
      <c r="GRB308" s="359"/>
      <c r="GRC308" s="359"/>
      <c r="GRD308" s="359"/>
      <c r="GRE308" s="359"/>
      <c r="GRF308" s="359"/>
      <c r="GRG308" s="359"/>
      <c r="GRH308" s="359"/>
      <c r="GRI308" s="359"/>
      <c r="GRJ308" s="359"/>
      <c r="GRK308" s="359"/>
      <c r="GRL308" s="359"/>
      <c r="GRM308" s="359"/>
      <c r="GRN308" s="359"/>
      <c r="GRO308" s="359"/>
      <c r="GRP308" s="359"/>
      <c r="GRQ308" s="359"/>
      <c r="GRR308" s="359"/>
      <c r="GRS308" s="359"/>
      <c r="GRT308" s="359"/>
      <c r="GRU308" s="359"/>
      <c r="GRV308" s="359"/>
      <c r="GRW308" s="359"/>
      <c r="GRX308" s="359"/>
      <c r="GRY308" s="359"/>
      <c r="GRZ308" s="359"/>
      <c r="GSA308" s="359"/>
      <c r="GSB308" s="359"/>
      <c r="GSC308" s="359"/>
      <c r="GSD308" s="359"/>
      <c r="GSE308" s="359"/>
      <c r="GSF308" s="359"/>
      <c r="GSG308" s="359"/>
      <c r="GSH308" s="359"/>
      <c r="GSI308" s="359"/>
      <c r="GSJ308" s="359"/>
      <c r="GSK308" s="359"/>
      <c r="GSL308" s="359"/>
      <c r="GSM308" s="359"/>
      <c r="GSN308" s="359"/>
      <c r="GSO308" s="359"/>
      <c r="GSP308" s="359"/>
      <c r="GSQ308" s="359"/>
      <c r="GSR308" s="359"/>
      <c r="GSS308" s="359"/>
      <c r="GST308" s="359"/>
      <c r="GSU308" s="359"/>
      <c r="GSV308" s="359"/>
      <c r="GSW308" s="359"/>
      <c r="GSX308" s="359"/>
      <c r="GSY308" s="359"/>
      <c r="GSZ308" s="359"/>
      <c r="GTA308" s="359"/>
      <c r="GTB308" s="359"/>
      <c r="GTC308" s="359"/>
      <c r="GTD308" s="359"/>
      <c r="GTE308" s="359"/>
      <c r="GTF308" s="359"/>
      <c r="GTG308" s="359"/>
      <c r="GTH308" s="359"/>
      <c r="GTI308" s="359"/>
      <c r="GTJ308" s="359"/>
      <c r="GTK308" s="359"/>
      <c r="GTL308" s="359"/>
      <c r="GTM308" s="359"/>
      <c r="GTN308" s="359"/>
      <c r="GTO308" s="359"/>
      <c r="GTP308" s="359"/>
      <c r="GTQ308" s="359"/>
      <c r="GTR308" s="359"/>
      <c r="GTS308" s="359"/>
      <c r="GTT308" s="359"/>
      <c r="GTU308" s="359"/>
      <c r="GTV308" s="359"/>
      <c r="GTW308" s="359"/>
      <c r="GTX308" s="359"/>
      <c r="GTY308" s="359"/>
      <c r="GTZ308" s="359"/>
      <c r="GUA308" s="359"/>
      <c r="GUB308" s="359"/>
      <c r="GUC308" s="359"/>
      <c r="GUD308" s="359"/>
      <c r="GUE308" s="359"/>
      <c r="GUF308" s="359"/>
      <c r="GUG308" s="359"/>
      <c r="GUH308" s="359"/>
      <c r="GUI308" s="359"/>
      <c r="GUJ308" s="359"/>
      <c r="GUK308" s="359"/>
      <c r="GUL308" s="359"/>
      <c r="GUM308" s="359"/>
      <c r="GUN308" s="359"/>
      <c r="GUO308" s="359"/>
      <c r="GUP308" s="359"/>
      <c r="GUQ308" s="359"/>
      <c r="GUR308" s="359"/>
      <c r="GUS308" s="359"/>
      <c r="GUT308" s="359"/>
      <c r="GUU308" s="359"/>
      <c r="GUV308" s="359"/>
      <c r="GUW308" s="359"/>
      <c r="GUX308" s="359"/>
      <c r="GUY308" s="359"/>
      <c r="GUZ308" s="359"/>
      <c r="GVA308" s="359"/>
      <c r="GVB308" s="359"/>
      <c r="GVC308" s="359"/>
      <c r="GVD308" s="359"/>
      <c r="GVE308" s="359"/>
      <c r="GVF308" s="359"/>
      <c r="GVG308" s="359"/>
      <c r="GVH308" s="359"/>
      <c r="GVI308" s="359"/>
      <c r="GVJ308" s="359"/>
      <c r="GVK308" s="359"/>
      <c r="GVL308" s="359"/>
      <c r="GVM308" s="359"/>
      <c r="GVN308" s="359"/>
      <c r="GVO308" s="359"/>
      <c r="GVP308" s="359"/>
      <c r="GVQ308" s="359"/>
      <c r="GVR308" s="359"/>
      <c r="GVS308" s="359"/>
      <c r="GVT308" s="359"/>
      <c r="GVU308" s="359"/>
      <c r="GVV308" s="359"/>
      <c r="GVW308" s="359"/>
      <c r="GVX308" s="359"/>
      <c r="GVY308" s="359"/>
      <c r="GVZ308" s="359"/>
      <c r="GWA308" s="359"/>
      <c r="GWB308" s="359"/>
      <c r="GWC308" s="359"/>
      <c r="GWD308" s="359"/>
      <c r="GWE308" s="359"/>
      <c r="GWF308" s="359"/>
      <c r="GWG308" s="359"/>
      <c r="GWH308" s="359"/>
      <c r="GWI308" s="359"/>
      <c r="GWJ308" s="359"/>
      <c r="GWK308" s="359"/>
      <c r="GWL308" s="359"/>
      <c r="GWM308" s="359"/>
      <c r="GWN308" s="359"/>
      <c r="GWO308" s="359"/>
      <c r="GWP308" s="359"/>
      <c r="GWQ308" s="359"/>
      <c r="GWR308" s="359"/>
      <c r="GWS308" s="359"/>
      <c r="GWT308" s="359"/>
      <c r="GWU308" s="359"/>
      <c r="GWV308" s="359"/>
      <c r="GWW308" s="359"/>
      <c r="GWX308" s="359"/>
      <c r="GWY308" s="359"/>
      <c r="GWZ308" s="359"/>
      <c r="GXA308" s="359"/>
      <c r="GXB308" s="359"/>
      <c r="GXC308" s="359"/>
      <c r="GXD308" s="359"/>
      <c r="GXE308" s="359"/>
      <c r="GXF308" s="359"/>
      <c r="GXG308" s="359"/>
      <c r="GXH308" s="359"/>
      <c r="GXI308" s="359"/>
      <c r="GXJ308" s="359"/>
      <c r="GXK308" s="359"/>
      <c r="GXL308" s="359"/>
      <c r="GXM308" s="359"/>
      <c r="GXN308" s="359"/>
      <c r="GXO308" s="359"/>
      <c r="GXP308" s="359"/>
      <c r="GXQ308" s="359"/>
      <c r="GXR308" s="359"/>
      <c r="GXS308" s="359"/>
      <c r="GXT308" s="359"/>
      <c r="GXU308" s="359"/>
      <c r="GXV308" s="359"/>
      <c r="GXW308" s="359"/>
      <c r="GXX308" s="359"/>
      <c r="GXY308" s="359"/>
      <c r="GXZ308" s="359"/>
      <c r="GYA308" s="359"/>
      <c r="GYB308" s="359"/>
      <c r="GYC308" s="359"/>
      <c r="GYD308" s="359"/>
      <c r="GYE308" s="359"/>
      <c r="GYF308" s="359"/>
      <c r="GYG308" s="359"/>
      <c r="GYH308" s="359"/>
      <c r="GYI308" s="359"/>
      <c r="GYJ308" s="359"/>
      <c r="GYK308" s="359"/>
      <c r="GYL308" s="359"/>
      <c r="GYM308" s="359"/>
      <c r="GYN308" s="359"/>
      <c r="GYO308" s="359"/>
      <c r="GYP308" s="359"/>
      <c r="GYQ308" s="359"/>
      <c r="GYR308" s="359"/>
      <c r="GYS308" s="359"/>
      <c r="GYT308" s="359"/>
      <c r="GYU308" s="359"/>
      <c r="GYV308" s="359"/>
      <c r="GYW308" s="359"/>
      <c r="GYX308" s="359"/>
      <c r="GYY308" s="359"/>
      <c r="GYZ308" s="359"/>
      <c r="GZA308" s="359"/>
      <c r="GZB308" s="359"/>
      <c r="GZC308" s="359"/>
      <c r="GZD308" s="359"/>
      <c r="GZE308" s="359"/>
      <c r="GZF308" s="359"/>
      <c r="GZG308" s="359"/>
      <c r="GZH308" s="359"/>
      <c r="GZI308" s="359"/>
      <c r="GZJ308" s="359"/>
      <c r="GZK308" s="359"/>
      <c r="GZL308" s="359"/>
      <c r="GZM308" s="359"/>
      <c r="GZN308" s="359"/>
      <c r="GZO308" s="359"/>
      <c r="GZP308" s="359"/>
      <c r="GZQ308" s="359"/>
      <c r="GZR308" s="359"/>
      <c r="GZS308" s="359"/>
      <c r="GZT308" s="359"/>
      <c r="GZU308" s="359"/>
      <c r="GZV308" s="359"/>
      <c r="GZW308" s="359"/>
      <c r="GZX308" s="359"/>
      <c r="GZY308" s="359"/>
      <c r="GZZ308" s="359"/>
      <c r="HAA308" s="359"/>
      <c r="HAB308" s="359"/>
      <c r="HAC308" s="359"/>
      <c r="HAD308" s="359"/>
      <c r="HAE308" s="359"/>
      <c r="HAF308" s="359"/>
      <c r="HAG308" s="359"/>
      <c r="HAH308" s="359"/>
      <c r="HAI308" s="359"/>
      <c r="HAJ308" s="359"/>
      <c r="HAK308" s="359"/>
      <c r="HAL308" s="359"/>
      <c r="HAM308" s="359"/>
      <c r="HAN308" s="359"/>
      <c r="HAO308" s="359"/>
      <c r="HAP308" s="359"/>
      <c r="HAQ308" s="359"/>
      <c r="HAR308" s="359"/>
      <c r="HAS308" s="359"/>
      <c r="HAT308" s="359"/>
      <c r="HAU308" s="359"/>
      <c r="HAV308" s="359"/>
      <c r="HAW308" s="359"/>
      <c r="HAX308" s="359"/>
      <c r="HAY308" s="359"/>
      <c r="HAZ308" s="359"/>
      <c r="HBA308" s="359"/>
      <c r="HBB308" s="359"/>
      <c r="HBC308" s="359"/>
      <c r="HBD308" s="359"/>
      <c r="HBE308" s="359"/>
      <c r="HBF308" s="359"/>
      <c r="HBG308" s="359"/>
      <c r="HBH308" s="359"/>
      <c r="HBI308" s="359"/>
      <c r="HBJ308" s="359"/>
      <c r="HBK308" s="359"/>
      <c r="HBL308" s="359"/>
      <c r="HBM308" s="359"/>
      <c r="HBN308" s="359"/>
      <c r="HBO308" s="359"/>
      <c r="HBP308" s="359"/>
      <c r="HBQ308" s="359"/>
      <c r="HBR308" s="359"/>
      <c r="HBS308" s="359"/>
      <c r="HBT308" s="359"/>
      <c r="HBU308" s="359"/>
      <c r="HBV308" s="359"/>
      <c r="HBW308" s="359"/>
      <c r="HBX308" s="359"/>
      <c r="HBY308" s="359"/>
      <c r="HBZ308" s="359"/>
      <c r="HCA308" s="359"/>
      <c r="HCB308" s="359"/>
      <c r="HCC308" s="359"/>
      <c r="HCD308" s="359"/>
      <c r="HCE308" s="359"/>
      <c r="HCF308" s="359"/>
      <c r="HCG308" s="359"/>
      <c r="HCH308" s="359"/>
      <c r="HCI308" s="359"/>
      <c r="HCJ308" s="359"/>
      <c r="HCK308" s="359"/>
      <c r="HCL308" s="359"/>
      <c r="HCM308" s="359"/>
      <c r="HCN308" s="359"/>
      <c r="HCO308" s="359"/>
      <c r="HCP308" s="359"/>
      <c r="HCQ308" s="359"/>
      <c r="HCR308" s="359"/>
      <c r="HCS308" s="359"/>
      <c r="HCT308" s="359"/>
      <c r="HCU308" s="359"/>
      <c r="HCV308" s="359"/>
      <c r="HCW308" s="359"/>
      <c r="HCX308" s="359"/>
      <c r="HCY308" s="359"/>
      <c r="HCZ308" s="359"/>
      <c r="HDA308" s="359"/>
      <c r="HDB308" s="359"/>
      <c r="HDC308" s="359"/>
      <c r="HDD308" s="359"/>
      <c r="HDE308" s="359"/>
      <c r="HDF308" s="359"/>
      <c r="HDG308" s="359"/>
      <c r="HDH308" s="359"/>
      <c r="HDI308" s="359"/>
      <c r="HDJ308" s="359"/>
      <c r="HDK308" s="359"/>
      <c r="HDL308" s="359"/>
      <c r="HDM308" s="359"/>
      <c r="HDN308" s="359"/>
      <c r="HDO308" s="359"/>
      <c r="HDP308" s="359"/>
      <c r="HDQ308" s="359"/>
      <c r="HDR308" s="359"/>
      <c r="HDS308" s="359"/>
      <c r="HDT308" s="359"/>
      <c r="HDU308" s="359"/>
      <c r="HDV308" s="359"/>
      <c r="HDW308" s="359"/>
      <c r="HDX308" s="359"/>
      <c r="HDY308" s="359"/>
      <c r="HDZ308" s="359"/>
      <c r="HEA308" s="359"/>
      <c r="HEB308" s="359"/>
      <c r="HEC308" s="359"/>
      <c r="HED308" s="359"/>
      <c r="HEE308" s="359"/>
      <c r="HEF308" s="359"/>
      <c r="HEG308" s="359"/>
      <c r="HEH308" s="359"/>
      <c r="HEI308" s="359"/>
      <c r="HEJ308" s="359"/>
      <c r="HEK308" s="359"/>
      <c r="HEL308" s="359"/>
      <c r="HEM308" s="359"/>
      <c r="HEN308" s="359"/>
      <c r="HEO308" s="359"/>
      <c r="HEP308" s="359"/>
      <c r="HEQ308" s="359"/>
      <c r="HER308" s="359"/>
      <c r="HES308" s="359"/>
      <c r="HET308" s="359"/>
      <c r="HEU308" s="359"/>
      <c r="HEV308" s="359"/>
      <c r="HEW308" s="359"/>
      <c r="HEX308" s="359"/>
      <c r="HEY308" s="359"/>
      <c r="HEZ308" s="359"/>
      <c r="HFA308" s="359"/>
      <c r="HFB308" s="359"/>
      <c r="HFC308" s="359"/>
      <c r="HFD308" s="359"/>
      <c r="HFE308" s="359"/>
      <c r="HFF308" s="359"/>
      <c r="HFG308" s="359"/>
      <c r="HFH308" s="359"/>
      <c r="HFI308" s="359"/>
      <c r="HFJ308" s="359"/>
      <c r="HFK308" s="359"/>
      <c r="HFL308" s="359"/>
      <c r="HFM308" s="359"/>
      <c r="HFN308" s="359"/>
      <c r="HFO308" s="359"/>
      <c r="HFP308" s="359"/>
      <c r="HFQ308" s="359"/>
      <c r="HFR308" s="359"/>
      <c r="HFS308" s="359"/>
      <c r="HFT308" s="359"/>
      <c r="HFU308" s="359"/>
      <c r="HFV308" s="359"/>
      <c r="HFW308" s="359"/>
      <c r="HFX308" s="359"/>
      <c r="HFY308" s="359"/>
      <c r="HFZ308" s="359"/>
      <c r="HGA308" s="359"/>
      <c r="HGB308" s="359"/>
      <c r="HGC308" s="359"/>
      <c r="HGD308" s="359"/>
      <c r="HGE308" s="359"/>
      <c r="HGF308" s="359"/>
      <c r="HGG308" s="359"/>
      <c r="HGH308" s="359"/>
      <c r="HGI308" s="359"/>
      <c r="HGJ308" s="359"/>
      <c r="HGK308" s="359"/>
      <c r="HGL308" s="359"/>
      <c r="HGM308" s="359"/>
      <c r="HGN308" s="359"/>
      <c r="HGO308" s="359"/>
      <c r="HGP308" s="359"/>
      <c r="HGQ308" s="359"/>
      <c r="HGR308" s="359"/>
      <c r="HGS308" s="359"/>
      <c r="HGT308" s="359"/>
      <c r="HGU308" s="359"/>
      <c r="HGV308" s="359"/>
      <c r="HGW308" s="359"/>
      <c r="HGX308" s="359"/>
      <c r="HGY308" s="359"/>
      <c r="HGZ308" s="359"/>
      <c r="HHA308" s="359"/>
      <c r="HHB308" s="359"/>
      <c r="HHC308" s="359"/>
      <c r="HHD308" s="359"/>
      <c r="HHE308" s="359"/>
      <c r="HHF308" s="359"/>
      <c r="HHG308" s="359"/>
      <c r="HHH308" s="359"/>
      <c r="HHI308" s="359"/>
      <c r="HHJ308" s="359"/>
      <c r="HHK308" s="359"/>
      <c r="HHL308" s="359"/>
      <c r="HHM308" s="359"/>
      <c r="HHN308" s="359"/>
      <c r="HHO308" s="359"/>
      <c r="HHP308" s="359"/>
      <c r="HHQ308" s="359"/>
      <c r="HHR308" s="359"/>
      <c r="HHS308" s="359"/>
      <c r="HHT308" s="359"/>
      <c r="HHU308" s="359"/>
      <c r="HHV308" s="359"/>
      <c r="HHW308" s="359"/>
      <c r="HHX308" s="359"/>
      <c r="HHY308" s="359"/>
      <c r="HHZ308" s="359"/>
      <c r="HIA308" s="359"/>
      <c r="HIB308" s="359"/>
      <c r="HIC308" s="359"/>
      <c r="HID308" s="359"/>
      <c r="HIE308" s="359"/>
      <c r="HIF308" s="359"/>
      <c r="HIG308" s="359"/>
      <c r="HIH308" s="359"/>
      <c r="HII308" s="359"/>
      <c r="HIJ308" s="359"/>
      <c r="HIK308" s="359"/>
      <c r="HIL308" s="359"/>
      <c r="HIM308" s="359"/>
      <c r="HIN308" s="359"/>
      <c r="HIO308" s="359"/>
      <c r="HIP308" s="359"/>
      <c r="HIQ308" s="359"/>
      <c r="HIR308" s="359"/>
      <c r="HIS308" s="359"/>
      <c r="HIT308" s="359"/>
      <c r="HIU308" s="359"/>
      <c r="HIV308" s="359"/>
      <c r="HIW308" s="359"/>
      <c r="HIX308" s="359"/>
      <c r="HIY308" s="359"/>
      <c r="HIZ308" s="359"/>
      <c r="HJA308" s="359"/>
      <c r="HJB308" s="359"/>
      <c r="HJC308" s="359"/>
      <c r="HJD308" s="359"/>
      <c r="HJE308" s="359"/>
      <c r="HJF308" s="359"/>
      <c r="HJG308" s="359"/>
      <c r="HJH308" s="359"/>
      <c r="HJI308" s="359"/>
      <c r="HJJ308" s="359"/>
      <c r="HJK308" s="359"/>
      <c r="HJL308" s="359"/>
      <c r="HJM308" s="359"/>
      <c r="HJN308" s="359"/>
      <c r="HJO308" s="359"/>
      <c r="HJP308" s="359"/>
      <c r="HJQ308" s="359"/>
      <c r="HJR308" s="359"/>
      <c r="HJS308" s="359"/>
      <c r="HJT308" s="359"/>
      <c r="HJU308" s="359"/>
      <c r="HJV308" s="359"/>
      <c r="HJW308" s="359"/>
      <c r="HJX308" s="359"/>
      <c r="HJY308" s="359"/>
      <c r="HJZ308" s="359"/>
      <c r="HKA308" s="359"/>
      <c r="HKB308" s="359"/>
      <c r="HKC308" s="359"/>
      <c r="HKD308" s="359"/>
      <c r="HKE308" s="359"/>
      <c r="HKF308" s="359"/>
      <c r="HKG308" s="359"/>
      <c r="HKH308" s="359"/>
      <c r="HKI308" s="359"/>
      <c r="HKJ308" s="359"/>
      <c r="HKK308" s="359"/>
      <c r="HKL308" s="359"/>
      <c r="HKM308" s="359"/>
      <c r="HKN308" s="359"/>
      <c r="HKO308" s="359"/>
      <c r="HKP308" s="359"/>
      <c r="HKQ308" s="359"/>
      <c r="HKR308" s="359"/>
      <c r="HKS308" s="359"/>
      <c r="HKT308" s="359"/>
      <c r="HKU308" s="359"/>
      <c r="HKV308" s="359"/>
      <c r="HKW308" s="359"/>
      <c r="HKX308" s="359"/>
      <c r="HKY308" s="359"/>
      <c r="HKZ308" s="359"/>
      <c r="HLA308" s="359"/>
      <c r="HLB308" s="359"/>
      <c r="HLC308" s="359"/>
      <c r="HLD308" s="359"/>
      <c r="HLE308" s="359"/>
      <c r="HLF308" s="359"/>
      <c r="HLG308" s="359"/>
      <c r="HLH308" s="359"/>
      <c r="HLI308" s="359"/>
      <c r="HLJ308" s="359"/>
      <c r="HLK308" s="359"/>
      <c r="HLL308" s="359"/>
      <c r="HLM308" s="359"/>
      <c r="HLN308" s="359"/>
      <c r="HLO308" s="359"/>
      <c r="HLP308" s="359"/>
      <c r="HLQ308" s="359"/>
      <c r="HLR308" s="359"/>
      <c r="HLS308" s="359"/>
      <c r="HLT308" s="359"/>
      <c r="HLU308" s="359"/>
      <c r="HLV308" s="359"/>
      <c r="HLW308" s="359"/>
      <c r="HLX308" s="359"/>
      <c r="HLY308" s="359"/>
      <c r="HLZ308" s="359"/>
      <c r="HMA308" s="359"/>
      <c r="HMB308" s="359"/>
      <c r="HMC308" s="359"/>
      <c r="HMD308" s="359"/>
      <c r="HME308" s="359"/>
      <c r="HMF308" s="359"/>
      <c r="HMG308" s="359"/>
      <c r="HMH308" s="359"/>
      <c r="HMI308" s="359"/>
      <c r="HMJ308" s="359"/>
      <c r="HMK308" s="359"/>
      <c r="HML308" s="359"/>
      <c r="HMM308" s="359"/>
      <c r="HMN308" s="359"/>
      <c r="HMO308" s="359"/>
      <c r="HMP308" s="359"/>
      <c r="HMQ308" s="359"/>
      <c r="HMR308" s="359"/>
      <c r="HMS308" s="359"/>
      <c r="HMT308" s="359"/>
      <c r="HMU308" s="359"/>
      <c r="HMV308" s="359"/>
      <c r="HMW308" s="359"/>
      <c r="HMX308" s="359"/>
      <c r="HMY308" s="359"/>
      <c r="HMZ308" s="359"/>
      <c r="HNA308" s="359"/>
      <c r="HNB308" s="359"/>
      <c r="HNC308" s="359"/>
      <c r="HND308" s="359"/>
      <c r="HNE308" s="359"/>
      <c r="HNF308" s="359"/>
      <c r="HNG308" s="359"/>
      <c r="HNH308" s="359"/>
      <c r="HNI308" s="359"/>
      <c r="HNJ308" s="359"/>
      <c r="HNK308" s="359"/>
      <c r="HNL308" s="359"/>
      <c r="HNM308" s="359"/>
      <c r="HNN308" s="359"/>
      <c r="HNO308" s="359"/>
      <c r="HNP308" s="359"/>
      <c r="HNQ308" s="359"/>
      <c r="HNR308" s="359"/>
      <c r="HNS308" s="359"/>
      <c r="HNT308" s="359"/>
      <c r="HNU308" s="359"/>
      <c r="HNV308" s="359"/>
      <c r="HNW308" s="359"/>
      <c r="HNX308" s="359"/>
      <c r="HNY308" s="359"/>
      <c r="HNZ308" s="359"/>
      <c r="HOA308" s="359"/>
      <c r="HOB308" s="359"/>
      <c r="HOC308" s="359"/>
      <c r="HOD308" s="359"/>
      <c r="HOE308" s="359"/>
      <c r="HOF308" s="359"/>
      <c r="HOG308" s="359"/>
      <c r="HOH308" s="359"/>
      <c r="HOI308" s="359"/>
      <c r="HOJ308" s="359"/>
      <c r="HOK308" s="359"/>
      <c r="HOL308" s="359"/>
      <c r="HOM308" s="359"/>
      <c r="HON308" s="359"/>
      <c r="HOO308" s="359"/>
      <c r="HOP308" s="359"/>
      <c r="HOQ308" s="359"/>
      <c r="HOR308" s="359"/>
      <c r="HOS308" s="359"/>
      <c r="HOT308" s="359"/>
      <c r="HOU308" s="359"/>
      <c r="HOV308" s="359"/>
      <c r="HOW308" s="359"/>
      <c r="HOX308" s="359"/>
      <c r="HOY308" s="359"/>
      <c r="HOZ308" s="359"/>
      <c r="HPA308" s="359"/>
      <c r="HPB308" s="359"/>
      <c r="HPC308" s="359"/>
      <c r="HPD308" s="359"/>
      <c r="HPE308" s="359"/>
      <c r="HPF308" s="359"/>
      <c r="HPG308" s="359"/>
      <c r="HPH308" s="359"/>
      <c r="HPI308" s="359"/>
      <c r="HPJ308" s="359"/>
      <c r="HPK308" s="359"/>
      <c r="HPL308" s="359"/>
      <c r="HPM308" s="359"/>
      <c r="HPN308" s="359"/>
      <c r="HPO308" s="359"/>
      <c r="HPP308" s="359"/>
      <c r="HPQ308" s="359"/>
      <c r="HPR308" s="359"/>
      <c r="HPS308" s="359"/>
      <c r="HPT308" s="359"/>
      <c r="HPU308" s="359"/>
      <c r="HPV308" s="359"/>
      <c r="HPW308" s="359"/>
      <c r="HPX308" s="359"/>
      <c r="HPY308" s="359"/>
      <c r="HPZ308" s="359"/>
      <c r="HQA308" s="359"/>
      <c r="HQB308" s="359"/>
      <c r="HQC308" s="359"/>
      <c r="HQD308" s="359"/>
      <c r="HQE308" s="359"/>
      <c r="HQF308" s="359"/>
      <c r="HQG308" s="359"/>
      <c r="HQH308" s="359"/>
      <c r="HQI308" s="359"/>
      <c r="HQJ308" s="359"/>
      <c r="HQK308" s="359"/>
      <c r="HQL308" s="359"/>
      <c r="HQM308" s="359"/>
      <c r="HQN308" s="359"/>
      <c r="HQO308" s="359"/>
      <c r="HQP308" s="359"/>
      <c r="HQQ308" s="359"/>
      <c r="HQR308" s="359"/>
      <c r="HQS308" s="359"/>
      <c r="HQT308" s="359"/>
      <c r="HQU308" s="359"/>
      <c r="HQV308" s="359"/>
      <c r="HQW308" s="359"/>
      <c r="HQX308" s="359"/>
      <c r="HQY308" s="359"/>
      <c r="HQZ308" s="359"/>
      <c r="HRA308" s="359"/>
      <c r="HRB308" s="359"/>
      <c r="HRC308" s="359"/>
      <c r="HRD308" s="359"/>
      <c r="HRE308" s="359"/>
      <c r="HRF308" s="359"/>
      <c r="HRG308" s="359"/>
      <c r="HRH308" s="359"/>
      <c r="HRI308" s="359"/>
      <c r="HRJ308" s="359"/>
      <c r="HRK308" s="359"/>
      <c r="HRL308" s="359"/>
      <c r="HRM308" s="359"/>
      <c r="HRN308" s="359"/>
      <c r="HRO308" s="359"/>
      <c r="HRP308" s="359"/>
      <c r="HRQ308" s="359"/>
      <c r="HRR308" s="359"/>
      <c r="HRS308" s="359"/>
      <c r="HRT308" s="359"/>
      <c r="HRU308" s="359"/>
      <c r="HRV308" s="359"/>
      <c r="HRW308" s="359"/>
      <c r="HRX308" s="359"/>
      <c r="HRY308" s="359"/>
      <c r="HRZ308" s="359"/>
      <c r="HSA308" s="359"/>
      <c r="HSB308" s="359"/>
      <c r="HSC308" s="359"/>
      <c r="HSD308" s="359"/>
      <c r="HSE308" s="359"/>
      <c r="HSF308" s="359"/>
      <c r="HSG308" s="359"/>
      <c r="HSH308" s="359"/>
      <c r="HSI308" s="359"/>
      <c r="HSJ308" s="359"/>
      <c r="HSK308" s="359"/>
      <c r="HSL308" s="359"/>
      <c r="HSM308" s="359"/>
      <c r="HSN308" s="359"/>
      <c r="HSO308" s="359"/>
      <c r="HSP308" s="359"/>
      <c r="HSQ308" s="359"/>
      <c r="HSR308" s="359"/>
      <c r="HSS308" s="359"/>
      <c r="HST308" s="359"/>
      <c r="HSU308" s="359"/>
      <c r="HSV308" s="359"/>
      <c r="HSW308" s="359"/>
      <c r="HSX308" s="359"/>
      <c r="HSY308" s="359"/>
      <c r="HSZ308" s="359"/>
      <c r="HTA308" s="359"/>
      <c r="HTB308" s="359"/>
      <c r="HTC308" s="359"/>
      <c r="HTD308" s="359"/>
      <c r="HTE308" s="359"/>
      <c r="HTF308" s="359"/>
      <c r="HTG308" s="359"/>
      <c r="HTH308" s="359"/>
      <c r="HTI308" s="359"/>
      <c r="HTJ308" s="359"/>
      <c r="HTK308" s="359"/>
      <c r="HTL308" s="359"/>
      <c r="HTM308" s="359"/>
      <c r="HTN308" s="359"/>
      <c r="HTO308" s="359"/>
      <c r="HTP308" s="359"/>
      <c r="HTQ308" s="359"/>
      <c r="HTR308" s="359"/>
      <c r="HTS308" s="359"/>
      <c r="HTT308" s="359"/>
      <c r="HTU308" s="359"/>
      <c r="HTV308" s="359"/>
      <c r="HTW308" s="359"/>
      <c r="HTX308" s="359"/>
      <c r="HTY308" s="359"/>
      <c r="HTZ308" s="359"/>
      <c r="HUA308" s="359"/>
      <c r="HUB308" s="359"/>
      <c r="HUC308" s="359"/>
      <c r="HUD308" s="359"/>
      <c r="HUE308" s="359"/>
      <c r="HUF308" s="359"/>
      <c r="HUG308" s="359"/>
      <c r="HUH308" s="359"/>
      <c r="HUI308" s="359"/>
      <c r="HUJ308" s="359"/>
      <c r="HUK308" s="359"/>
      <c r="HUL308" s="359"/>
      <c r="HUM308" s="359"/>
      <c r="HUN308" s="359"/>
      <c r="HUO308" s="359"/>
      <c r="HUP308" s="359"/>
      <c r="HUQ308" s="359"/>
      <c r="HUR308" s="359"/>
      <c r="HUS308" s="359"/>
      <c r="HUT308" s="359"/>
      <c r="HUU308" s="359"/>
      <c r="HUV308" s="359"/>
      <c r="HUW308" s="359"/>
      <c r="HUX308" s="359"/>
      <c r="HUY308" s="359"/>
      <c r="HUZ308" s="359"/>
      <c r="HVA308" s="359"/>
      <c r="HVB308" s="359"/>
      <c r="HVC308" s="359"/>
      <c r="HVD308" s="359"/>
      <c r="HVE308" s="359"/>
      <c r="HVF308" s="359"/>
      <c r="HVG308" s="359"/>
      <c r="HVH308" s="359"/>
      <c r="HVI308" s="359"/>
      <c r="HVJ308" s="359"/>
      <c r="HVK308" s="359"/>
      <c r="HVL308" s="359"/>
      <c r="HVM308" s="359"/>
      <c r="HVN308" s="359"/>
      <c r="HVO308" s="359"/>
      <c r="HVP308" s="359"/>
      <c r="HVQ308" s="359"/>
      <c r="HVR308" s="359"/>
      <c r="HVS308" s="359"/>
      <c r="HVT308" s="359"/>
      <c r="HVU308" s="359"/>
      <c r="HVV308" s="359"/>
      <c r="HVW308" s="359"/>
      <c r="HVX308" s="359"/>
      <c r="HVY308" s="359"/>
      <c r="HVZ308" s="359"/>
      <c r="HWA308" s="359"/>
      <c r="HWB308" s="359"/>
      <c r="HWC308" s="359"/>
      <c r="HWD308" s="359"/>
      <c r="HWE308" s="359"/>
      <c r="HWF308" s="359"/>
      <c r="HWG308" s="359"/>
      <c r="HWH308" s="359"/>
      <c r="HWI308" s="359"/>
      <c r="HWJ308" s="359"/>
      <c r="HWK308" s="359"/>
      <c r="HWL308" s="359"/>
      <c r="HWM308" s="359"/>
      <c r="HWN308" s="359"/>
      <c r="HWO308" s="359"/>
      <c r="HWP308" s="359"/>
      <c r="HWQ308" s="359"/>
      <c r="HWR308" s="359"/>
      <c r="HWS308" s="359"/>
      <c r="HWT308" s="359"/>
      <c r="HWU308" s="359"/>
      <c r="HWV308" s="359"/>
      <c r="HWW308" s="359"/>
      <c r="HWX308" s="359"/>
      <c r="HWY308" s="359"/>
      <c r="HWZ308" s="359"/>
      <c r="HXA308" s="359"/>
      <c r="HXB308" s="359"/>
      <c r="HXC308" s="359"/>
      <c r="HXD308" s="359"/>
      <c r="HXE308" s="359"/>
      <c r="HXF308" s="359"/>
      <c r="HXG308" s="359"/>
      <c r="HXH308" s="359"/>
      <c r="HXI308" s="359"/>
      <c r="HXJ308" s="359"/>
      <c r="HXK308" s="359"/>
      <c r="HXL308" s="359"/>
      <c r="HXM308" s="359"/>
      <c r="HXN308" s="359"/>
      <c r="HXO308" s="359"/>
      <c r="HXP308" s="359"/>
      <c r="HXQ308" s="359"/>
      <c r="HXR308" s="359"/>
      <c r="HXS308" s="359"/>
      <c r="HXT308" s="359"/>
      <c r="HXU308" s="359"/>
      <c r="HXV308" s="359"/>
      <c r="HXW308" s="359"/>
      <c r="HXX308" s="359"/>
      <c r="HXY308" s="359"/>
      <c r="HXZ308" s="359"/>
      <c r="HYA308" s="359"/>
      <c r="HYB308" s="359"/>
      <c r="HYC308" s="359"/>
      <c r="HYD308" s="359"/>
      <c r="HYE308" s="359"/>
      <c r="HYF308" s="359"/>
      <c r="HYG308" s="359"/>
      <c r="HYH308" s="359"/>
      <c r="HYI308" s="359"/>
      <c r="HYJ308" s="359"/>
      <c r="HYK308" s="359"/>
      <c r="HYL308" s="359"/>
      <c r="HYM308" s="359"/>
      <c r="HYN308" s="359"/>
      <c r="HYO308" s="359"/>
      <c r="HYP308" s="359"/>
      <c r="HYQ308" s="359"/>
      <c r="HYR308" s="359"/>
      <c r="HYS308" s="359"/>
      <c r="HYT308" s="359"/>
      <c r="HYU308" s="359"/>
      <c r="HYV308" s="359"/>
      <c r="HYW308" s="359"/>
      <c r="HYX308" s="359"/>
      <c r="HYY308" s="359"/>
      <c r="HYZ308" s="359"/>
      <c r="HZA308" s="359"/>
      <c r="HZB308" s="359"/>
      <c r="HZC308" s="359"/>
      <c r="HZD308" s="359"/>
      <c r="HZE308" s="359"/>
      <c r="HZF308" s="359"/>
      <c r="HZG308" s="359"/>
      <c r="HZH308" s="359"/>
      <c r="HZI308" s="359"/>
      <c r="HZJ308" s="359"/>
      <c r="HZK308" s="359"/>
      <c r="HZL308" s="359"/>
      <c r="HZM308" s="359"/>
      <c r="HZN308" s="359"/>
      <c r="HZO308" s="359"/>
      <c r="HZP308" s="359"/>
      <c r="HZQ308" s="359"/>
      <c r="HZR308" s="359"/>
      <c r="HZS308" s="359"/>
      <c r="HZT308" s="359"/>
      <c r="HZU308" s="359"/>
      <c r="HZV308" s="359"/>
      <c r="HZW308" s="359"/>
      <c r="HZX308" s="359"/>
      <c r="HZY308" s="359"/>
      <c r="HZZ308" s="359"/>
      <c r="IAA308" s="359"/>
      <c r="IAB308" s="359"/>
      <c r="IAC308" s="359"/>
      <c r="IAD308" s="359"/>
      <c r="IAE308" s="359"/>
      <c r="IAF308" s="359"/>
      <c r="IAG308" s="359"/>
      <c r="IAH308" s="359"/>
      <c r="IAI308" s="359"/>
      <c r="IAJ308" s="359"/>
      <c r="IAK308" s="359"/>
      <c r="IAL308" s="359"/>
      <c r="IAM308" s="359"/>
      <c r="IAN308" s="359"/>
      <c r="IAO308" s="359"/>
      <c r="IAP308" s="359"/>
      <c r="IAQ308" s="359"/>
      <c r="IAR308" s="359"/>
      <c r="IAS308" s="359"/>
      <c r="IAT308" s="359"/>
      <c r="IAU308" s="359"/>
      <c r="IAV308" s="359"/>
      <c r="IAW308" s="359"/>
      <c r="IAX308" s="359"/>
      <c r="IAY308" s="359"/>
      <c r="IAZ308" s="359"/>
      <c r="IBA308" s="359"/>
      <c r="IBB308" s="359"/>
      <c r="IBC308" s="359"/>
      <c r="IBD308" s="359"/>
      <c r="IBE308" s="359"/>
      <c r="IBF308" s="359"/>
      <c r="IBG308" s="359"/>
      <c r="IBH308" s="359"/>
      <c r="IBI308" s="359"/>
      <c r="IBJ308" s="359"/>
      <c r="IBK308" s="359"/>
      <c r="IBL308" s="359"/>
      <c r="IBM308" s="359"/>
      <c r="IBN308" s="359"/>
      <c r="IBO308" s="359"/>
      <c r="IBP308" s="359"/>
      <c r="IBQ308" s="359"/>
      <c r="IBR308" s="359"/>
      <c r="IBS308" s="359"/>
      <c r="IBT308" s="359"/>
      <c r="IBU308" s="359"/>
      <c r="IBV308" s="359"/>
      <c r="IBW308" s="359"/>
      <c r="IBX308" s="359"/>
      <c r="IBY308" s="359"/>
      <c r="IBZ308" s="359"/>
      <c r="ICA308" s="359"/>
      <c r="ICB308" s="359"/>
      <c r="ICC308" s="359"/>
      <c r="ICD308" s="359"/>
      <c r="ICE308" s="359"/>
      <c r="ICF308" s="359"/>
      <c r="ICG308" s="359"/>
      <c r="ICH308" s="359"/>
      <c r="ICI308" s="359"/>
      <c r="ICJ308" s="359"/>
      <c r="ICK308" s="359"/>
      <c r="ICL308" s="359"/>
      <c r="ICM308" s="359"/>
      <c r="ICN308" s="359"/>
      <c r="ICO308" s="359"/>
      <c r="ICP308" s="359"/>
      <c r="ICQ308" s="359"/>
      <c r="ICR308" s="359"/>
      <c r="ICS308" s="359"/>
      <c r="ICT308" s="359"/>
      <c r="ICU308" s="359"/>
      <c r="ICV308" s="359"/>
      <c r="ICW308" s="359"/>
      <c r="ICX308" s="359"/>
      <c r="ICY308" s="359"/>
      <c r="ICZ308" s="359"/>
      <c r="IDA308" s="359"/>
      <c r="IDB308" s="359"/>
      <c r="IDC308" s="359"/>
      <c r="IDD308" s="359"/>
      <c r="IDE308" s="359"/>
      <c r="IDF308" s="359"/>
      <c r="IDG308" s="359"/>
      <c r="IDH308" s="359"/>
      <c r="IDI308" s="359"/>
      <c r="IDJ308" s="359"/>
      <c r="IDK308" s="359"/>
      <c r="IDL308" s="359"/>
      <c r="IDM308" s="359"/>
      <c r="IDN308" s="359"/>
      <c r="IDO308" s="359"/>
      <c r="IDP308" s="359"/>
      <c r="IDQ308" s="359"/>
      <c r="IDR308" s="359"/>
      <c r="IDS308" s="359"/>
      <c r="IDT308" s="359"/>
      <c r="IDU308" s="359"/>
      <c r="IDV308" s="359"/>
      <c r="IDW308" s="359"/>
      <c r="IDX308" s="359"/>
      <c r="IDY308" s="359"/>
      <c r="IDZ308" s="359"/>
      <c r="IEA308" s="359"/>
      <c r="IEB308" s="359"/>
      <c r="IEC308" s="359"/>
      <c r="IED308" s="359"/>
      <c r="IEE308" s="359"/>
      <c r="IEF308" s="359"/>
      <c r="IEG308" s="359"/>
      <c r="IEH308" s="359"/>
      <c r="IEI308" s="359"/>
      <c r="IEJ308" s="359"/>
      <c r="IEK308" s="359"/>
      <c r="IEL308" s="359"/>
      <c r="IEM308" s="359"/>
      <c r="IEN308" s="359"/>
      <c r="IEO308" s="359"/>
      <c r="IEP308" s="359"/>
      <c r="IEQ308" s="359"/>
      <c r="IER308" s="359"/>
      <c r="IES308" s="359"/>
      <c r="IET308" s="359"/>
      <c r="IEU308" s="359"/>
      <c r="IEV308" s="359"/>
      <c r="IEW308" s="359"/>
      <c r="IEX308" s="359"/>
      <c r="IEY308" s="359"/>
      <c r="IEZ308" s="359"/>
      <c r="IFA308" s="359"/>
      <c r="IFB308" s="359"/>
      <c r="IFC308" s="359"/>
      <c r="IFD308" s="359"/>
      <c r="IFE308" s="359"/>
      <c r="IFF308" s="359"/>
      <c r="IFG308" s="359"/>
      <c r="IFH308" s="359"/>
      <c r="IFI308" s="359"/>
      <c r="IFJ308" s="359"/>
      <c r="IFK308" s="359"/>
      <c r="IFL308" s="359"/>
      <c r="IFM308" s="359"/>
      <c r="IFN308" s="359"/>
      <c r="IFO308" s="359"/>
      <c r="IFP308" s="359"/>
      <c r="IFQ308" s="359"/>
      <c r="IFR308" s="359"/>
      <c r="IFS308" s="359"/>
      <c r="IFT308" s="359"/>
      <c r="IFU308" s="359"/>
      <c r="IFV308" s="359"/>
      <c r="IFW308" s="359"/>
      <c r="IFX308" s="359"/>
      <c r="IFY308" s="359"/>
      <c r="IFZ308" s="359"/>
      <c r="IGA308" s="359"/>
      <c r="IGB308" s="359"/>
      <c r="IGC308" s="359"/>
      <c r="IGD308" s="359"/>
      <c r="IGE308" s="359"/>
      <c r="IGF308" s="359"/>
      <c r="IGG308" s="359"/>
      <c r="IGH308" s="359"/>
      <c r="IGI308" s="359"/>
      <c r="IGJ308" s="359"/>
      <c r="IGK308" s="359"/>
      <c r="IGL308" s="359"/>
      <c r="IGM308" s="359"/>
      <c r="IGN308" s="359"/>
      <c r="IGO308" s="359"/>
      <c r="IGP308" s="359"/>
      <c r="IGQ308" s="359"/>
      <c r="IGR308" s="359"/>
      <c r="IGS308" s="359"/>
      <c r="IGT308" s="359"/>
      <c r="IGU308" s="359"/>
      <c r="IGV308" s="359"/>
      <c r="IGW308" s="359"/>
      <c r="IGX308" s="359"/>
      <c r="IGY308" s="359"/>
      <c r="IGZ308" s="359"/>
      <c r="IHA308" s="359"/>
      <c r="IHB308" s="359"/>
      <c r="IHC308" s="359"/>
      <c r="IHD308" s="359"/>
      <c r="IHE308" s="359"/>
      <c r="IHF308" s="359"/>
      <c r="IHG308" s="359"/>
      <c r="IHH308" s="359"/>
      <c r="IHI308" s="359"/>
      <c r="IHJ308" s="359"/>
      <c r="IHK308" s="359"/>
      <c r="IHL308" s="359"/>
      <c r="IHM308" s="359"/>
      <c r="IHN308" s="359"/>
      <c r="IHO308" s="359"/>
      <c r="IHP308" s="359"/>
      <c r="IHQ308" s="359"/>
      <c r="IHR308" s="359"/>
      <c r="IHS308" s="359"/>
      <c r="IHT308" s="359"/>
      <c r="IHU308" s="359"/>
      <c r="IHV308" s="359"/>
      <c r="IHW308" s="359"/>
      <c r="IHX308" s="359"/>
      <c r="IHY308" s="359"/>
      <c r="IHZ308" s="359"/>
      <c r="IIA308" s="359"/>
      <c r="IIB308" s="359"/>
      <c r="IIC308" s="359"/>
      <c r="IID308" s="359"/>
      <c r="IIE308" s="359"/>
      <c r="IIF308" s="359"/>
      <c r="IIG308" s="359"/>
      <c r="IIH308" s="359"/>
      <c r="III308" s="359"/>
      <c r="IIJ308" s="359"/>
      <c r="IIK308" s="359"/>
      <c r="IIL308" s="359"/>
      <c r="IIM308" s="359"/>
      <c r="IIN308" s="359"/>
      <c r="IIO308" s="359"/>
      <c r="IIP308" s="359"/>
      <c r="IIQ308" s="359"/>
      <c r="IIR308" s="359"/>
      <c r="IIS308" s="359"/>
      <c r="IIT308" s="359"/>
      <c r="IIU308" s="359"/>
      <c r="IIV308" s="359"/>
      <c r="IIW308" s="359"/>
      <c r="IIX308" s="359"/>
      <c r="IIY308" s="359"/>
      <c r="IIZ308" s="359"/>
      <c r="IJA308" s="359"/>
      <c r="IJB308" s="359"/>
      <c r="IJC308" s="359"/>
      <c r="IJD308" s="359"/>
      <c r="IJE308" s="359"/>
      <c r="IJF308" s="359"/>
      <c r="IJG308" s="359"/>
      <c r="IJH308" s="359"/>
      <c r="IJI308" s="359"/>
      <c r="IJJ308" s="359"/>
      <c r="IJK308" s="359"/>
      <c r="IJL308" s="359"/>
      <c r="IJM308" s="359"/>
      <c r="IJN308" s="359"/>
      <c r="IJO308" s="359"/>
      <c r="IJP308" s="359"/>
      <c r="IJQ308" s="359"/>
      <c r="IJR308" s="359"/>
      <c r="IJS308" s="359"/>
      <c r="IJT308" s="359"/>
      <c r="IJU308" s="359"/>
      <c r="IJV308" s="359"/>
      <c r="IJW308" s="359"/>
      <c r="IJX308" s="359"/>
      <c r="IJY308" s="359"/>
      <c r="IJZ308" s="359"/>
      <c r="IKA308" s="359"/>
      <c r="IKB308" s="359"/>
      <c r="IKC308" s="359"/>
      <c r="IKD308" s="359"/>
      <c r="IKE308" s="359"/>
      <c r="IKF308" s="359"/>
      <c r="IKG308" s="359"/>
      <c r="IKH308" s="359"/>
      <c r="IKI308" s="359"/>
      <c r="IKJ308" s="359"/>
      <c r="IKK308" s="359"/>
      <c r="IKL308" s="359"/>
      <c r="IKM308" s="359"/>
      <c r="IKN308" s="359"/>
      <c r="IKO308" s="359"/>
      <c r="IKP308" s="359"/>
      <c r="IKQ308" s="359"/>
      <c r="IKR308" s="359"/>
      <c r="IKS308" s="359"/>
      <c r="IKT308" s="359"/>
      <c r="IKU308" s="359"/>
      <c r="IKV308" s="359"/>
      <c r="IKW308" s="359"/>
      <c r="IKX308" s="359"/>
      <c r="IKY308" s="359"/>
      <c r="IKZ308" s="359"/>
      <c r="ILA308" s="359"/>
      <c r="ILB308" s="359"/>
      <c r="ILC308" s="359"/>
      <c r="ILD308" s="359"/>
      <c r="ILE308" s="359"/>
      <c r="ILF308" s="359"/>
      <c r="ILG308" s="359"/>
      <c r="ILH308" s="359"/>
      <c r="ILI308" s="359"/>
      <c r="ILJ308" s="359"/>
      <c r="ILK308" s="359"/>
      <c r="ILL308" s="359"/>
      <c r="ILM308" s="359"/>
      <c r="ILN308" s="359"/>
      <c r="ILO308" s="359"/>
      <c r="ILP308" s="359"/>
      <c r="ILQ308" s="359"/>
      <c r="ILR308" s="359"/>
      <c r="ILS308" s="359"/>
      <c r="ILT308" s="359"/>
      <c r="ILU308" s="359"/>
      <c r="ILV308" s="359"/>
      <c r="ILW308" s="359"/>
      <c r="ILX308" s="359"/>
      <c r="ILY308" s="359"/>
      <c r="ILZ308" s="359"/>
      <c r="IMA308" s="359"/>
      <c r="IMB308" s="359"/>
      <c r="IMC308" s="359"/>
      <c r="IMD308" s="359"/>
      <c r="IME308" s="359"/>
      <c r="IMF308" s="359"/>
      <c r="IMG308" s="359"/>
      <c r="IMH308" s="359"/>
      <c r="IMI308" s="359"/>
      <c r="IMJ308" s="359"/>
      <c r="IMK308" s="359"/>
      <c r="IML308" s="359"/>
      <c r="IMM308" s="359"/>
      <c r="IMN308" s="359"/>
      <c r="IMO308" s="359"/>
      <c r="IMP308" s="359"/>
      <c r="IMQ308" s="359"/>
      <c r="IMR308" s="359"/>
      <c r="IMS308" s="359"/>
      <c r="IMT308" s="359"/>
      <c r="IMU308" s="359"/>
      <c r="IMV308" s="359"/>
      <c r="IMW308" s="359"/>
      <c r="IMX308" s="359"/>
      <c r="IMY308" s="359"/>
      <c r="IMZ308" s="359"/>
      <c r="INA308" s="359"/>
      <c r="INB308" s="359"/>
      <c r="INC308" s="359"/>
      <c r="IND308" s="359"/>
      <c r="INE308" s="359"/>
      <c r="INF308" s="359"/>
      <c r="ING308" s="359"/>
      <c r="INH308" s="359"/>
      <c r="INI308" s="359"/>
      <c r="INJ308" s="359"/>
      <c r="INK308" s="359"/>
      <c r="INL308" s="359"/>
      <c r="INM308" s="359"/>
      <c r="INN308" s="359"/>
      <c r="INO308" s="359"/>
      <c r="INP308" s="359"/>
      <c r="INQ308" s="359"/>
      <c r="INR308" s="359"/>
      <c r="INS308" s="359"/>
      <c r="INT308" s="359"/>
      <c r="INU308" s="359"/>
      <c r="INV308" s="359"/>
      <c r="INW308" s="359"/>
      <c r="INX308" s="359"/>
      <c r="INY308" s="359"/>
      <c r="INZ308" s="359"/>
      <c r="IOA308" s="359"/>
      <c r="IOB308" s="359"/>
      <c r="IOC308" s="359"/>
      <c r="IOD308" s="359"/>
      <c r="IOE308" s="359"/>
      <c r="IOF308" s="359"/>
      <c r="IOG308" s="359"/>
      <c r="IOH308" s="359"/>
      <c r="IOI308" s="359"/>
      <c r="IOJ308" s="359"/>
      <c r="IOK308" s="359"/>
      <c r="IOL308" s="359"/>
      <c r="IOM308" s="359"/>
      <c r="ION308" s="359"/>
      <c r="IOO308" s="359"/>
      <c r="IOP308" s="359"/>
      <c r="IOQ308" s="359"/>
      <c r="IOR308" s="359"/>
      <c r="IOS308" s="359"/>
      <c r="IOT308" s="359"/>
      <c r="IOU308" s="359"/>
      <c r="IOV308" s="359"/>
      <c r="IOW308" s="359"/>
      <c r="IOX308" s="359"/>
      <c r="IOY308" s="359"/>
      <c r="IOZ308" s="359"/>
      <c r="IPA308" s="359"/>
      <c r="IPB308" s="359"/>
      <c r="IPC308" s="359"/>
      <c r="IPD308" s="359"/>
      <c r="IPE308" s="359"/>
      <c r="IPF308" s="359"/>
      <c r="IPG308" s="359"/>
      <c r="IPH308" s="359"/>
      <c r="IPI308" s="359"/>
      <c r="IPJ308" s="359"/>
      <c r="IPK308" s="359"/>
      <c r="IPL308" s="359"/>
      <c r="IPM308" s="359"/>
      <c r="IPN308" s="359"/>
      <c r="IPO308" s="359"/>
      <c r="IPP308" s="359"/>
      <c r="IPQ308" s="359"/>
      <c r="IPR308" s="359"/>
      <c r="IPS308" s="359"/>
      <c r="IPT308" s="359"/>
      <c r="IPU308" s="359"/>
      <c r="IPV308" s="359"/>
      <c r="IPW308" s="359"/>
      <c r="IPX308" s="359"/>
      <c r="IPY308" s="359"/>
      <c r="IPZ308" s="359"/>
      <c r="IQA308" s="359"/>
      <c r="IQB308" s="359"/>
      <c r="IQC308" s="359"/>
      <c r="IQD308" s="359"/>
      <c r="IQE308" s="359"/>
      <c r="IQF308" s="359"/>
      <c r="IQG308" s="359"/>
      <c r="IQH308" s="359"/>
      <c r="IQI308" s="359"/>
      <c r="IQJ308" s="359"/>
      <c r="IQK308" s="359"/>
      <c r="IQL308" s="359"/>
      <c r="IQM308" s="359"/>
      <c r="IQN308" s="359"/>
      <c r="IQO308" s="359"/>
      <c r="IQP308" s="359"/>
      <c r="IQQ308" s="359"/>
      <c r="IQR308" s="359"/>
      <c r="IQS308" s="359"/>
      <c r="IQT308" s="359"/>
      <c r="IQU308" s="359"/>
      <c r="IQV308" s="359"/>
      <c r="IQW308" s="359"/>
      <c r="IQX308" s="359"/>
      <c r="IQY308" s="359"/>
      <c r="IQZ308" s="359"/>
      <c r="IRA308" s="359"/>
      <c r="IRB308" s="359"/>
      <c r="IRC308" s="359"/>
      <c r="IRD308" s="359"/>
      <c r="IRE308" s="359"/>
      <c r="IRF308" s="359"/>
      <c r="IRG308" s="359"/>
      <c r="IRH308" s="359"/>
      <c r="IRI308" s="359"/>
      <c r="IRJ308" s="359"/>
      <c r="IRK308" s="359"/>
      <c r="IRL308" s="359"/>
      <c r="IRM308" s="359"/>
      <c r="IRN308" s="359"/>
      <c r="IRO308" s="359"/>
      <c r="IRP308" s="359"/>
      <c r="IRQ308" s="359"/>
      <c r="IRR308" s="359"/>
      <c r="IRS308" s="359"/>
      <c r="IRT308" s="359"/>
      <c r="IRU308" s="359"/>
      <c r="IRV308" s="359"/>
      <c r="IRW308" s="359"/>
      <c r="IRX308" s="359"/>
      <c r="IRY308" s="359"/>
      <c r="IRZ308" s="359"/>
      <c r="ISA308" s="359"/>
      <c r="ISB308" s="359"/>
      <c r="ISC308" s="359"/>
      <c r="ISD308" s="359"/>
      <c r="ISE308" s="359"/>
      <c r="ISF308" s="359"/>
      <c r="ISG308" s="359"/>
      <c r="ISH308" s="359"/>
      <c r="ISI308" s="359"/>
      <c r="ISJ308" s="359"/>
      <c r="ISK308" s="359"/>
      <c r="ISL308" s="359"/>
      <c r="ISM308" s="359"/>
      <c r="ISN308" s="359"/>
      <c r="ISO308" s="359"/>
      <c r="ISP308" s="359"/>
      <c r="ISQ308" s="359"/>
      <c r="ISR308" s="359"/>
      <c r="ISS308" s="359"/>
      <c r="IST308" s="359"/>
      <c r="ISU308" s="359"/>
      <c r="ISV308" s="359"/>
      <c r="ISW308" s="359"/>
      <c r="ISX308" s="359"/>
      <c r="ISY308" s="359"/>
      <c r="ISZ308" s="359"/>
      <c r="ITA308" s="359"/>
      <c r="ITB308" s="359"/>
      <c r="ITC308" s="359"/>
      <c r="ITD308" s="359"/>
      <c r="ITE308" s="359"/>
      <c r="ITF308" s="359"/>
      <c r="ITG308" s="359"/>
      <c r="ITH308" s="359"/>
      <c r="ITI308" s="359"/>
      <c r="ITJ308" s="359"/>
      <c r="ITK308" s="359"/>
      <c r="ITL308" s="359"/>
      <c r="ITM308" s="359"/>
      <c r="ITN308" s="359"/>
      <c r="ITO308" s="359"/>
      <c r="ITP308" s="359"/>
      <c r="ITQ308" s="359"/>
      <c r="ITR308" s="359"/>
      <c r="ITS308" s="359"/>
      <c r="ITT308" s="359"/>
      <c r="ITU308" s="359"/>
      <c r="ITV308" s="359"/>
      <c r="ITW308" s="359"/>
      <c r="ITX308" s="359"/>
      <c r="ITY308" s="359"/>
      <c r="ITZ308" s="359"/>
      <c r="IUA308" s="359"/>
      <c r="IUB308" s="359"/>
      <c r="IUC308" s="359"/>
      <c r="IUD308" s="359"/>
      <c r="IUE308" s="359"/>
      <c r="IUF308" s="359"/>
      <c r="IUG308" s="359"/>
      <c r="IUH308" s="359"/>
      <c r="IUI308" s="359"/>
      <c r="IUJ308" s="359"/>
      <c r="IUK308" s="359"/>
      <c r="IUL308" s="359"/>
      <c r="IUM308" s="359"/>
      <c r="IUN308" s="359"/>
      <c r="IUO308" s="359"/>
      <c r="IUP308" s="359"/>
      <c r="IUQ308" s="359"/>
      <c r="IUR308" s="359"/>
      <c r="IUS308" s="359"/>
      <c r="IUT308" s="359"/>
      <c r="IUU308" s="359"/>
      <c r="IUV308" s="359"/>
      <c r="IUW308" s="359"/>
      <c r="IUX308" s="359"/>
      <c r="IUY308" s="359"/>
      <c r="IUZ308" s="359"/>
      <c r="IVA308" s="359"/>
      <c r="IVB308" s="359"/>
      <c r="IVC308" s="359"/>
      <c r="IVD308" s="359"/>
      <c r="IVE308" s="359"/>
      <c r="IVF308" s="359"/>
      <c r="IVG308" s="359"/>
      <c r="IVH308" s="359"/>
      <c r="IVI308" s="359"/>
      <c r="IVJ308" s="359"/>
      <c r="IVK308" s="359"/>
      <c r="IVL308" s="359"/>
      <c r="IVM308" s="359"/>
      <c r="IVN308" s="359"/>
      <c r="IVO308" s="359"/>
      <c r="IVP308" s="359"/>
      <c r="IVQ308" s="359"/>
      <c r="IVR308" s="359"/>
      <c r="IVS308" s="359"/>
      <c r="IVT308" s="359"/>
      <c r="IVU308" s="359"/>
      <c r="IVV308" s="359"/>
      <c r="IVW308" s="359"/>
      <c r="IVX308" s="359"/>
      <c r="IVY308" s="359"/>
      <c r="IVZ308" s="359"/>
      <c r="IWA308" s="359"/>
      <c r="IWB308" s="359"/>
      <c r="IWC308" s="359"/>
      <c r="IWD308" s="359"/>
      <c r="IWE308" s="359"/>
      <c r="IWF308" s="359"/>
      <c r="IWG308" s="359"/>
      <c r="IWH308" s="359"/>
      <c r="IWI308" s="359"/>
      <c r="IWJ308" s="359"/>
      <c r="IWK308" s="359"/>
      <c r="IWL308" s="359"/>
      <c r="IWM308" s="359"/>
      <c r="IWN308" s="359"/>
      <c r="IWO308" s="359"/>
      <c r="IWP308" s="359"/>
      <c r="IWQ308" s="359"/>
      <c r="IWR308" s="359"/>
      <c r="IWS308" s="359"/>
      <c r="IWT308" s="359"/>
      <c r="IWU308" s="359"/>
      <c r="IWV308" s="359"/>
      <c r="IWW308" s="359"/>
      <c r="IWX308" s="359"/>
      <c r="IWY308" s="359"/>
      <c r="IWZ308" s="359"/>
      <c r="IXA308" s="359"/>
      <c r="IXB308" s="359"/>
      <c r="IXC308" s="359"/>
      <c r="IXD308" s="359"/>
      <c r="IXE308" s="359"/>
      <c r="IXF308" s="359"/>
      <c r="IXG308" s="359"/>
      <c r="IXH308" s="359"/>
      <c r="IXI308" s="359"/>
      <c r="IXJ308" s="359"/>
      <c r="IXK308" s="359"/>
      <c r="IXL308" s="359"/>
      <c r="IXM308" s="359"/>
      <c r="IXN308" s="359"/>
      <c r="IXO308" s="359"/>
      <c r="IXP308" s="359"/>
      <c r="IXQ308" s="359"/>
      <c r="IXR308" s="359"/>
      <c r="IXS308" s="359"/>
      <c r="IXT308" s="359"/>
      <c r="IXU308" s="359"/>
      <c r="IXV308" s="359"/>
      <c r="IXW308" s="359"/>
      <c r="IXX308" s="359"/>
      <c r="IXY308" s="359"/>
      <c r="IXZ308" s="359"/>
      <c r="IYA308" s="359"/>
      <c r="IYB308" s="359"/>
      <c r="IYC308" s="359"/>
      <c r="IYD308" s="359"/>
      <c r="IYE308" s="359"/>
      <c r="IYF308" s="359"/>
      <c r="IYG308" s="359"/>
      <c r="IYH308" s="359"/>
      <c r="IYI308" s="359"/>
      <c r="IYJ308" s="359"/>
      <c r="IYK308" s="359"/>
      <c r="IYL308" s="359"/>
      <c r="IYM308" s="359"/>
      <c r="IYN308" s="359"/>
      <c r="IYO308" s="359"/>
      <c r="IYP308" s="359"/>
      <c r="IYQ308" s="359"/>
      <c r="IYR308" s="359"/>
      <c r="IYS308" s="359"/>
      <c r="IYT308" s="359"/>
      <c r="IYU308" s="359"/>
      <c r="IYV308" s="359"/>
      <c r="IYW308" s="359"/>
      <c r="IYX308" s="359"/>
      <c r="IYY308" s="359"/>
      <c r="IYZ308" s="359"/>
      <c r="IZA308" s="359"/>
      <c r="IZB308" s="359"/>
      <c r="IZC308" s="359"/>
      <c r="IZD308" s="359"/>
      <c r="IZE308" s="359"/>
      <c r="IZF308" s="359"/>
      <c r="IZG308" s="359"/>
      <c r="IZH308" s="359"/>
      <c r="IZI308" s="359"/>
      <c r="IZJ308" s="359"/>
      <c r="IZK308" s="359"/>
      <c r="IZL308" s="359"/>
      <c r="IZM308" s="359"/>
      <c r="IZN308" s="359"/>
      <c r="IZO308" s="359"/>
      <c r="IZP308" s="359"/>
      <c r="IZQ308" s="359"/>
      <c r="IZR308" s="359"/>
      <c r="IZS308" s="359"/>
      <c r="IZT308" s="359"/>
      <c r="IZU308" s="359"/>
      <c r="IZV308" s="359"/>
      <c r="IZW308" s="359"/>
      <c r="IZX308" s="359"/>
      <c r="IZY308" s="359"/>
      <c r="IZZ308" s="359"/>
      <c r="JAA308" s="359"/>
      <c r="JAB308" s="359"/>
      <c r="JAC308" s="359"/>
      <c r="JAD308" s="359"/>
      <c r="JAE308" s="359"/>
      <c r="JAF308" s="359"/>
      <c r="JAG308" s="359"/>
      <c r="JAH308" s="359"/>
      <c r="JAI308" s="359"/>
      <c r="JAJ308" s="359"/>
      <c r="JAK308" s="359"/>
      <c r="JAL308" s="359"/>
      <c r="JAM308" s="359"/>
      <c r="JAN308" s="359"/>
      <c r="JAO308" s="359"/>
      <c r="JAP308" s="359"/>
      <c r="JAQ308" s="359"/>
      <c r="JAR308" s="359"/>
      <c r="JAS308" s="359"/>
      <c r="JAT308" s="359"/>
      <c r="JAU308" s="359"/>
      <c r="JAV308" s="359"/>
      <c r="JAW308" s="359"/>
      <c r="JAX308" s="359"/>
      <c r="JAY308" s="359"/>
      <c r="JAZ308" s="359"/>
      <c r="JBA308" s="359"/>
      <c r="JBB308" s="359"/>
      <c r="JBC308" s="359"/>
      <c r="JBD308" s="359"/>
      <c r="JBE308" s="359"/>
      <c r="JBF308" s="359"/>
      <c r="JBG308" s="359"/>
      <c r="JBH308" s="359"/>
      <c r="JBI308" s="359"/>
      <c r="JBJ308" s="359"/>
      <c r="JBK308" s="359"/>
      <c r="JBL308" s="359"/>
      <c r="JBM308" s="359"/>
      <c r="JBN308" s="359"/>
      <c r="JBO308" s="359"/>
      <c r="JBP308" s="359"/>
      <c r="JBQ308" s="359"/>
      <c r="JBR308" s="359"/>
      <c r="JBS308" s="359"/>
      <c r="JBT308" s="359"/>
      <c r="JBU308" s="359"/>
      <c r="JBV308" s="359"/>
      <c r="JBW308" s="359"/>
      <c r="JBX308" s="359"/>
      <c r="JBY308" s="359"/>
      <c r="JBZ308" s="359"/>
      <c r="JCA308" s="359"/>
      <c r="JCB308" s="359"/>
      <c r="JCC308" s="359"/>
      <c r="JCD308" s="359"/>
      <c r="JCE308" s="359"/>
      <c r="JCF308" s="359"/>
      <c r="JCG308" s="359"/>
      <c r="JCH308" s="359"/>
      <c r="JCI308" s="359"/>
      <c r="JCJ308" s="359"/>
      <c r="JCK308" s="359"/>
      <c r="JCL308" s="359"/>
      <c r="JCM308" s="359"/>
      <c r="JCN308" s="359"/>
      <c r="JCO308" s="359"/>
      <c r="JCP308" s="359"/>
      <c r="JCQ308" s="359"/>
      <c r="JCR308" s="359"/>
      <c r="JCS308" s="359"/>
      <c r="JCT308" s="359"/>
      <c r="JCU308" s="359"/>
      <c r="JCV308" s="359"/>
      <c r="JCW308" s="359"/>
      <c r="JCX308" s="359"/>
      <c r="JCY308" s="359"/>
      <c r="JCZ308" s="359"/>
      <c r="JDA308" s="359"/>
      <c r="JDB308" s="359"/>
      <c r="JDC308" s="359"/>
      <c r="JDD308" s="359"/>
      <c r="JDE308" s="359"/>
      <c r="JDF308" s="359"/>
      <c r="JDG308" s="359"/>
      <c r="JDH308" s="359"/>
      <c r="JDI308" s="359"/>
      <c r="JDJ308" s="359"/>
      <c r="JDK308" s="359"/>
      <c r="JDL308" s="359"/>
      <c r="JDM308" s="359"/>
      <c r="JDN308" s="359"/>
      <c r="JDO308" s="359"/>
      <c r="JDP308" s="359"/>
      <c r="JDQ308" s="359"/>
      <c r="JDR308" s="359"/>
      <c r="JDS308" s="359"/>
      <c r="JDT308" s="359"/>
      <c r="JDU308" s="359"/>
      <c r="JDV308" s="359"/>
      <c r="JDW308" s="359"/>
      <c r="JDX308" s="359"/>
      <c r="JDY308" s="359"/>
      <c r="JDZ308" s="359"/>
      <c r="JEA308" s="359"/>
      <c r="JEB308" s="359"/>
      <c r="JEC308" s="359"/>
      <c r="JED308" s="359"/>
      <c r="JEE308" s="359"/>
      <c r="JEF308" s="359"/>
      <c r="JEG308" s="359"/>
      <c r="JEH308" s="359"/>
      <c r="JEI308" s="359"/>
      <c r="JEJ308" s="359"/>
      <c r="JEK308" s="359"/>
      <c r="JEL308" s="359"/>
      <c r="JEM308" s="359"/>
      <c r="JEN308" s="359"/>
      <c r="JEO308" s="359"/>
      <c r="JEP308" s="359"/>
      <c r="JEQ308" s="359"/>
      <c r="JER308" s="359"/>
      <c r="JES308" s="359"/>
      <c r="JET308" s="359"/>
      <c r="JEU308" s="359"/>
      <c r="JEV308" s="359"/>
      <c r="JEW308" s="359"/>
      <c r="JEX308" s="359"/>
      <c r="JEY308" s="359"/>
      <c r="JEZ308" s="359"/>
      <c r="JFA308" s="359"/>
      <c r="JFB308" s="359"/>
      <c r="JFC308" s="359"/>
      <c r="JFD308" s="359"/>
      <c r="JFE308" s="359"/>
      <c r="JFF308" s="359"/>
      <c r="JFG308" s="359"/>
      <c r="JFH308" s="359"/>
      <c r="JFI308" s="359"/>
      <c r="JFJ308" s="359"/>
      <c r="JFK308" s="359"/>
      <c r="JFL308" s="359"/>
      <c r="JFM308" s="359"/>
      <c r="JFN308" s="359"/>
      <c r="JFO308" s="359"/>
      <c r="JFP308" s="359"/>
      <c r="JFQ308" s="359"/>
      <c r="JFR308" s="359"/>
      <c r="JFS308" s="359"/>
      <c r="JFT308" s="359"/>
      <c r="JFU308" s="359"/>
      <c r="JFV308" s="359"/>
      <c r="JFW308" s="359"/>
      <c r="JFX308" s="359"/>
      <c r="JFY308" s="359"/>
      <c r="JFZ308" s="359"/>
      <c r="JGA308" s="359"/>
      <c r="JGB308" s="359"/>
      <c r="JGC308" s="359"/>
      <c r="JGD308" s="359"/>
      <c r="JGE308" s="359"/>
      <c r="JGF308" s="359"/>
      <c r="JGG308" s="359"/>
      <c r="JGH308" s="359"/>
      <c r="JGI308" s="359"/>
      <c r="JGJ308" s="359"/>
      <c r="JGK308" s="359"/>
      <c r="JGL308" s="359"/>
      <c r="JGM308" s="359"/>
      <c r="JGN308" s="359"/>
      <c r="JGO308" s="359"/>
      <c r="JGP308" s="359"/>
      <c r="JGQ308" s="359"/>
      <c r="JGR308" s="359"/>
      <c r="JGS308" s="359"/>
      <c r="JGT308" s="359"/>
      <c r="JGU308" s="359"/>
      <c r="JGV308" s="359"/>
      <c r="JGW308" s="359"/>
      <c r="JGX308" s="359"/>
      <c r="JGY308" s="359"/>
      <c r="JGZ308" s="359"/>
      <c r="JHA308" s="359"/>
      <c r="JHB308" s="359"/>
      <c r="JHC308" s="359"/>
      <c r="JHD308" s="359"/>
      <c r="JHE308" s="359"/>
      <c r="JHF308" s="359"/>
      <c r="JHG308" s="359"/>
      <c r="JHH308" s="359"/>
      <c r="JHI308" s="359"/>
      <c r="JHJ308" s="359"/>
      <c r="JHK308" s="359"/>
      <c r="JHL308" s="359"/>
      <c r="JHM308" s="359"/>
      <c r="JHN308" s="359"/>
      <c r="JHO308" s="359"/>
      <c r="JHP308" s="359"/>
      <c r="JHQ308" s="359"/>
      <c r="JHR308" s="359"/>
      <c r="JHS308" s="359"/>
      <c r="JHT308" s="359"/>
      <c r="JHU308" s="359"/>
      <c r="JHV308" s="359"/>
      <c r="JHW308" s="359"/>
      <c r="JHX308" s="359"/>
      <c r="JHY308" s="359"/>
      <c r="JHZ308" s="359"/>
      <c r="JIA308" s="359"/>
      <c r="JIB308" s="359"/>
      <c r="JIC308" s="359"/>
      <c r="JID308" s="359"/>
      <c r="JIE308" s="359"/>
      <c r="JIF308" s="359"/>
      <c r="JIG308" s="359"/>
      <c r="JIH308" s="359"/>
      <c r="JII308" s="359"/>
      <c r="JIJ308" s="359"/>
      <c r="JIK308" s="359"/>
      <c r="JIL308" s="359"/>
      <c r="JIM308" s="359"/>
      <c r="JIN308" s="359"/>
      <c r="JIO308" s="359"/>
      <c r="JIP308" s="359"/>
      <c r="JIQ308" s="359"/>
      <c r="JIR308" s="359"/>
      <c r="JIS308" s="359"/>
      <c r="JIT308" s="359"/>
      <c r="JIU308" s="359"/>
      <c r="JIV308" s="359"/>
      <c r="JIW308" s="359"/>
      <c r="JIX308" s="359"/>
      <c r="JIY308" s="359"/>
      <c r="JIZ308" s="359"/>
      <c r="JJA308" s="359"/>
      <c r="JJB308" s="359"/>
      <c r="JJC308" s="359"/>
      <c r="JJD308" s="359"/>
      <c r="JJE308" s="359"/>
      <c r="JJF308" s="359"/>
      <c r="JJG308" s="359"/>
      <c r="JJH308" s="359"/>
      <c r="JJI308" s="359"/>
      <c r="JJJ308" s="359"/>
      <c r="JJK308" s="359"/>
      <c r="JJL308" s="359"/>
      <c r="JJM308" s="359"/>
      <c r="JJN308" s="359"/>
      <c r="JJO308" s="359"/>
      <c r="JJP308" s="359"/>
      <c r="JJQ308" s="359"/>
      <c r="JJR308" s="359"/>
      <c r="JJS308" s="359"/>
      <c r="JJT308" s="359"/>
      <c r="JJU308" s="359"/>
      <c r="JJV308" s="359"/>
      <c r="JJW308" s="359"/>
      <c r="JJX308" s="359"/>
      <c r="JJY308" s="359"/>
      <c r="JJZ308" s="359"/>
      <c r="JKA308" s="359"/>
      <c r="JKB308" s="359"/>
      <c r="JKC308" s="359"/>
      <c r="JKD308" s="359"/>
      <c r="JKE308" s="359"/>
      <c r="JKF308" s="359"/>
      <c r="JKG308" s="359"/>
      <c r="JKH308" s="359"/>
      <c r="JKI308" s="359"/>
      <c r="JKJ308" s="359"/>
      <c r="JKK308" s="359"/>
      <c r="JKL308" s="359"/>
      <c r="JKM308" s="359"/>
      <c r="JKN308" s="359"/>
      <c r="JKO308" s="359"/>
      <c r="JKP308" s="359"/>
      <c r="JKQ308" s="359"/>
      <c r="JKR308" s="359"/>
      <c r="JKS308" s="359"/>
      <c r="JKT308" s="359"/>
      <c r="JKU308" s="359"/>
      <c r="JKV308" s="359"/>
      <c r="JKW308" s="359"/>
      <c r="JKX308" s="359"/>
      <c r="JKY308" s="359"/>
      <c r="JKZ308" s="359"/>
      <c r="JLA308" s="359"/>
      <c r="JLB308" s="359"/>
      <c r="JLC308" s="359"/>
      <c r="JLD308" s="359"/>
      <c r="JLE308" s="359"/>
      <c r="JLF308" s="359"/>
      <c r="JLG308" s="359"/>
      <c r="JLH308" s="359"/>
      <c r="JLI308" s="359"/>
      <c r="JLJ308" s="359"/>
      <c r="JLK308" s="359"/>
      <c r="JLL308" s="359"/>
      <c r="JLM308" s="359"/>
      <c r="JLN308" s="359"/>
      <c r="JLO308" s="359"/>
      <c r="JLP308" s="359"/>
      <c r="JLQ308" s="359"/>
      <c r="JLR308" s="359"/>
      <c r="JLS308" s="359"/>
      <c r="JLT308" s="359"/>
      <c r="JLU308" s="359"/>
      <c r="JLV308" s="359"/>
      <c r="JLW308" s="359"/>
      <c r="JLX308" s="359"/>
      <c r="JLY308" s="359"/>
      <c r="JLZ308" s="359"/>
      <c r="JMA308" s="359"/>
      <c r="JMB308" s="359"/>
      <c r="JMC308" s="359"/>
      <c r="JMD308" s="359"/>
      <c r="JME308" s="359"/>
      <c r="JMF308" s="359"/>
      <c r="JMG308" s="359"/>
      <c r="JMH308" s="359"/>
      <c r="JMI308" s="359"/>
      <c r="JMJ308" s="359"/>
      <c r="JMK308" s="359"/>
      <c r="JML308" s="359"/>
      <c r="JMM308" s="359"/>
      <c r="JMN308" s="359"/>
      <c r="JMO308" s="359"/>
      <c r="JMP308" s="359"/>
      <c r="JMQ308" s="359"/>
      <c r="JMR308" s="359"/>
      <c r="JMS308" s="359"/>
      <c r="JMT308" s="359"/>
      <c r="JMU308" s="359"/>
      <c r="JMV308" s="359"/>
      <c r="JMW308" s="359"/>
      <c r="JMX308" s="359"/>
      <c r="JMY308" s="359"/>
      <c r="JMZ308" s="359"/>
      <c r="JNA308" s="359"/>
      <c r="JNB308" s="359"/>
      <c r="JNC308" s="359"/>
      <c r="JND308" s="359"/>
      <c r="JNE308" s="359"/>
      <c r="JNF308" s="359"/>
      <c r="JNG308" s="359"/>
      <c r="JNH308" s="359"/>
      <c r="JNI308" s="359"/>
      <c r="JNJ308" s="359"/>
      <c r="JNK308" s="359"/>
      <c r="JNL308" s="359"/>
      <c r="JNM308" s="359"/>
      <c r="JNN308" s="359"/>
      <c r="JNO308" s="359"/>
      <c r="JNP308" s="359"/>
      <c r="JNQ308" s="359"/>
      <c r="JNR308" s="359"/>
      <c r="JNS308" s="359"/>
      <c r="JNT308" s="359"/>
      <c r="JNU308" s="359"/>
      <c r="JNV308" s="359"/>
      <c r="JNW308" s="359"/>
      <c r="JNX308" s="359"/>
      <c r="JNY308" s="359"/>
      <c r="JNZ308" s="359"/>
      <c r="JOA308" s="359"/>
      <c r="JOB308" s="359"/>
      <c r="JOC308" s="359"/>
      <c r="JOD308" s="359"/>
      <c r="JOE308" s="359"/>
      <c r="JOF308" s="359"/>
      <c r="JOG308" s="359"/>
      <c r="JOH308" s="359"/>
      <c r="JOI308" s="359"/>
      <c r="JOJ308" s="359"/>
      <c r="JOK308" s="359"/>
      <c r="JOL308" s="359"/>
      <c r="JOM308" s="359"/>
      <c r="JON308" s="359"/>
      <c r="JOO308" s="359"/>
      <c r="JOP308" s="359"/>
      <c r="JOQ308" s="359"/>
      <c r="JOR308" s="359"/>
      <c r="JOS308" s="359"/>
      <c r="JOT308" s="359"/>
      <c r="JOU308" s="359"/>
      <c r="JOV308" s="359"/>
      <c r="JOW308" s="359"/>
      <c r="JOX308" s="359"/>
      <c r="JOY308" s="359"/>
      <c r="JOZ308" s="359"/>
      <c r="JPA308" s="359"/>
      <c r="JPB308" s="359"/>
      <c r="JPC308" s="359"/>
      <c r="JPD308" s="359"/>
      <c r="JPE308" s="359"/>
      <c r="JPF308" s="359"/>
      <c r="JPG308" s="359"/>
      <c r="JPH308" s="359"/>
      <c r="JPI308" s="359"/>
      <c r="JPJ308" s="359"/>
      <c r="JPK308" s="359"/>
      <c r="JPL308" s="359"/>
      <c r="JPM308" s="359"/>
      <c r="JPN308" s="359"/>
      <c r="JPO308" s="359"/>
      <c r="JPP308" s="359"/>
      <c r="JPQ308" s="359"/>
      <c r="JPR308" s="359"/>
      <c r="JPS308" s="359"/>
      <c r="JPT308" s="359"/>
      <c r="JPU308" s="359"/>
      <c r="JPV308" s="359"/>
      <c r="JPW308" s="359"/>
      <c r="JPX308" s="359"/>
      <c r="JPY308" s="359"/>
      <c r="JPZ308" s="359"/>
      <c r="JQA308" s="359"/>
      <c r="JQB308" s="359"/>
      <c r="JQC308" s="359"/>
      <c r="JQD308" s="359"/>
      <c r="JQE308" s="359"/>
      <c r="JQF308" s="359"/>
      <c r="JQG308" s="359"/>
      <c r="JQH308" s="359"/>
      <c r="JQI308" s="359"/>
      <c r="JQJ308" s="359"/>
      <c r="JQK308" s="359"/>
      <c r="JQL308" s="359"/>
      <c r="JQM308" s="359"/>
      <c r="JQN308" s="359"/>
      <c r="JQO308" s="359"/>
      <c r="JQP308" s="359"/>
      <c r="JQQ308" s="359"/>
      <c r="JQR308" s="359"/>
      <c r="JQS308" s="359"/>
      <c r="JQT308" s="359"/>
      <c r="JQU308" s="359"/>
      <c r="JQV308" s="359"/>
      <c r="JQW308" s="359"/>
      <c r="JQX308" s="359"/>
      <c r="JQY308" s="359"/>
      <c r="JQZ308" s="359"/>
      <c r="JRA308" s="359"/>
      <c r="JRB308" s="359"/>
      <c r="JRC308" s="359"/>
      <c r="JRD308" s="359"/>
      <c r="JRE308" s="359"/>
      <c r="JRF308" s="359"/>
      <c r="JRG308" s="359"/>
      <c r="JRH308" s="359"/>
      <c r="JRI308" s="359"/>
      <c r="JRJ308" s="359"/>
      <c r="JRK308" s="359"/>
      <c r="JRL308" s="359"/>
      <c r="JRM308" s="359"/>
      <c r="JRN308" s="359"/>
      <c r="JRO308" s="359"/>
      <c r="JRP308" s="359"/>
      <c r="JRQ308" s="359"/>
      <c r="JRR308" s="359"/>
      <c r="JRS308" s="359"/>
      <c r="JRT308" s="359"/>
      <c r="JRU308" s="359"/>
      <c r="JRV308" s="359"/>
      <c r="JRW308" s="359"/>
      <c r="JRX308" s="359"/>
      <c r="JRY308" s="359"/>
      <c r="JRZ308" s="359"/>
      <c r="JSA308" s="359"/>
      <c r="JSB308" s="359"/>
      <c r="JSC308" s="359"/>
      <c r="JSD308" s="359"/>
      <c r="JSE308" s="359"/>
      <c r="JSF308" s="359"/>
      <c r="JSG308" s="359"/>
      <c r="JSH308" s="359"/>
      <c r="JSI308" s="359"/>
      <c r="JSJ308" s="359"/>
      <c r="JSK308" s="359"/>
      <c r="JSL308" s="359"/>
      <c r="JSM308" s="359"/>
      <c r="JSN308" s="359"/>
      <c r="JSO308" s="359"/>
      <c r="JSP308" s="359"/>
      <c r="JSQ308" s="359"/>
      <c r="JSR308" s="359"/>
      <c r="JSS308" s="359"/>
      <c r="JST308" s="359"/>
      <c r="JSU308" s="359"/>
      <c r="JSV308" s="359"/>
      <c r="JSW308" s="359"/>
      <c r="JSX308" s="359"/>
      <c r="JSY308" s="359"/>
      <c r="JSZ308" s="359"/>
      <c r="JTA308" s="359"/>
      <c r="JTB308" s="359"/>
      <c r="JTC308" s="359"/>
      <c r="JTD308" s="359"/>
      <c r="JTE308" s="359"/>
      <c r="JTF308" s="359"/>
      <c r="JTG308" s="359"/>
      <c r="JTH308" s="359"/>
      <c r="JTI308" s="359"/>
      <c r="JTJ308" s="359"/>
      <c r="JTK308" s="359"/>
      <c r="JTL308" s="359"/>
      <c r="JTM308" s="359"/>
      <c r="JTN308" s="359"/>
      <c r="JTO308" s="359"/>
      <c r="JTP308" s="359"/>
      <c r="JTQ308" s="359"/>
      <c r="JTR308" s="359"/>
      <c r="JTS308" s="359"/>
      <c r="JTT308" s="359"/>
      <c r="JTU308" s="359"/>
      <c r="JTV308" s="359"/>
      <c r="JTW308" s="359"/>
      <c r="JTX308" s="359"/>
      <c r="JTY308" s="359"/>
      <c r="JTZ308" s="359"/>
      <c r="JUA308" s="359"/>
      <c r="JUB308" s="359"/>
      <c r="JUC308" s="359"/>
      <c r="JUD308" s="359"/>
      <c r="JUE308" s="359"/>
      <c r="JUF308" s="359"/>
      <c r="JUG308" s="359"/>
      <c r="JUH308" s="359"/>
      <c r="JUI308" s="359"/>
      <c r="JUJ308" s="359"/>
      <c r="JUK308" s="359"/>
      <c r="JUL308" s="359"/>
      <c r="JUM308" s="359"/>
      <c r="JUN308" s="359"/>
      <c r="JUO308" s="359"/>
      <c r="JUP308" s="359"/>
      <c r="JUQ308" s="359"/>
      <c r="JUR308" s="359"/>
      <c r="JUS308" s="359"/>
      <c r="JUT308" s="359"/>
      <c r="JUU308" s="359"/>
      <c r="JUV308" s="359"/>
      <c r="JUW308" s="359"/>
      <c r="JUX308" s="359"/>
      <c r="JUY308" s="359"/>
      <c r="JUZ308" s="359"/>
      <c r="JVA308" s="359"/>
      <c r="JVB308" s="359"/>
      <c r="JVC308" s="359"/>
      <c r="JVD308" s="359"/>
      <c r="JVE308" s="359"/>
      <c r="JVF308" s="359"/>
      <c r="JVG308" s="359"/>
      <c r="JVH308" s="359"/>
      <c r="JVI308" s="359"/>
      <c r="JVJ308" s="359"/>
      <c r="JVK308" s="359"/>
      <c r="JVL308" s="359"/>
      <c r="JVM308" s="359"/>
      <c r="JVN308" s="359"/>
      <c r="JVO308" s="359"/>
      <c r="JVP308" s="359"/>
      <c r="JVQ308" s="359"/>
      <c r="JVR308" s="359"/>
      <c r="JVS308" s="359"/>
      <c r="JVT308" s="359"/>
      <c r="JVU308" s="359"/>
      <c r="JVV308" s="359"/>
      <c r="JVW308" s="359"/>
      <c r="JVX308" s="359"/>
      <c r="JVY308" s="359"/>
      <c r="JVZ308" s="359"/>
      <c r="JWA308" s="359"/>
      <c r="JWB308" s="359"/>
      <c r="JWC308" s="359"/>
      <c r="JWD308" s="359"/>
      <c r="JWE308" s="359"/>
      <c r="JWF308" s="359"/>
      <c r="JWG308" s="359"/>
      <c r="JWH308" s="359"/>
      <c r="JWI308" s="359"/>
      <c r="JWJ308" s="359"/>
      <c r="JWK308" s="359"/>
      <c r="JWL308" s="359"/>
      <c r="JWM308" s="359"/>
      <c r="JWN308" s="359"/>
      <c r="JWO308" s="359"/>
      <c r="JWP308" s="359"/>
      <c r="JWQ308" s="359"/>
      <c r="JWR308" s="359"/>
      <c r="JWS308" s="359"/>
      <c r="JWT308" s="359"/>
      <c r="JWU308" s="359"/>
      <c r="JWV308" s="359"/>
      <c r="JWW308" s="359"/>
      <c r="JWX308" s="359"/>
      <c r="JWY308" s="359"/>
      <c r="JWZ308" s="359"/>
      <c r="JXA308" s="359"/>
      <c r="JXB308" s="359"/>
      <c r="JXC308" s="359"/>
      <c r="JXD308" s="359"/>
      <c r="JXE308" s="359"/>
      <c r="JXF308" s="359"/>
      <c r="JXG308" s="359"/>
      <c r="JXH308" s="359"/>
      <c r="JXI308" s="359"/>
      <c r="JXJ308" s="359"/>
      <c r="JXK308" s="359"/>
      <c r="JXL308" s="359"/>
      <c r="JXM308" s="359"/>
      <c r="JXN308" s="359"/>
      <c r="JXO308" s="359"/>
      <c r="JXP308" s="359"/>
      <c r="JXQ308" s="359"/>
      <c r="JXR308" s="359"/>
      <c r="JXS308" s="359"/>
      <c r="JXT308" s="359"/>
      <c r="JXU308" s="359"/>
      <c r="JXV308" s="359"/>
      <c r="JXW308" s="359"/>
      <c r="JXX308" s="359"/>
      <c r="JXY308" s="359"/>
      <c r="JXZ308" s="359"/>
      <c r="JYA308" s="359"/>
      <c r="JYB308" s="359"/>
      <c r="JYC308" s="359"/>
      <c r="JYD308" s="359"/>
      <c r="JYE308" s="359"/>
      <c r="JYF308" s="359"/>
      <c r="JYG308" s="359"/>
      <c r="JYH308" s="359"/>
      <c r="JYI308" s="359"/>
      <c r="JYJ308" s="359"/>
      <c r="JYK308" s="359"/>
      <c r="JYL308" s="359"/>
      <c r="JYM308" s="359"/>
      <c r="JYN308" s="359"/>
      <c r="JYO308" s="359"/>
      <c r="JYP308" s="359"/>
      <c r="JYQ308" s="359"/>
      <c r="JYR308" s="359"/>
      <c r="JYS308" s="359"/>
      <c r="JYT308" s="359"/>
      <c r="JYU308" s="359"/>
      <c r="JYV308" s="359"/>
      <c r="JYW308" s="359"/>
      <c r="JYX308" s="359"/>
      <c r="JYY308" s="359"/>
      <c r="JYZ308" s="359"/>
      <c r="JZA308" s="359"/>
      <c r="JZB308" s="359"/>
      <c r="JZC308" s="359"/>
      <c r="JZD308" s="359"/>
      <c r="JZE308" s="359"/>
      <c r="JZF308" s="359"/>
      <c r="JZG308" s="359"/>
      <c r="JZH308" s="359"/>
      <c r="JZI308" s="359"/>
      <c r="JZJ308" s="359"/>
      <c r="JZK308" s="359"/>
      <c r="JZL308" s="359"/>
      <c r="JZM308" s="359"/>
      <c r="JZN308" s="359"/>
      <c r="JZO308" s="359"/>
      <c r="JZP308" s="359"/>
      <c r="JZQ308" s="359"/>
      <c r="JZR308" s="359"/>
      <c r="JZS308" s="359"/>
      <c r="JZT308" s="359"/>
      <c r="JZU308" s="359"/>
      <c r="JZV308" s="359"/>
      <c r="JZW308" s="359"/>
      <c r="JZX308" s="359"/>
      <c r="JZY308" s="359"/>
      <c r="JZZ308" s="359"/>
      <c r="KAA308" s="359"/>
      <c r="KAB308" s="359"/>
      <c r="KAC308" s="359"/>
      <c r="KAD308" s="359"/>
      <c r="KAE308" s="359"/>
      <c r="KAF308" s="359"/>
      <c r="KAG308" s="359"/>
      <c r="KAH308" s="359"/>
      <c r="KAI308" s="359"/>
      <c r="KAJ308" s="359"/>
      <c r="KAK308" s="359"/>
      <c r="KAL308" s="359"/>
      <c r="KAM308" s="359"/>
      <c r="KAN308" s="359"/>
      <c r="KAO308" s="359"/>
      <c r="KAP308" s="359"/>
      <c r="KAQ308" s="359"/>
      <c r="KAR308" s="359"/>
      <c r="KAS308" s="359"/>
      <c r="KAT308" s="359"/>
      <c r="KAU308" s="359"/>
      <c r="KAV308" s="359"/>
      <c r="KAW308" s="359"/>
      <c r="KAX308" s="359"/>
      <c r="KAY308" s="359"/>
      <c r="KAZ308" s="359"/>
      <c r="KBA308" s="359"/>
      <c r="KBB308" s="359"/>
      <c r="KBC308" s="359"/>
      <c r="KBD308" s="359"/>
      <c r="KBE308" s="359"/>
      <c r="KBF308" s="359"/>
      <c r="KBG308" s="359"/>
      <c r="KBH308" s="359"/>
      <c r="KBI308" s="359"/>
      <c r="KBJ308" s="359"/>
      <c r="KBK308" s="359"/>
      <c r="KBL308" s="359"/>
      <c r="KBM308" s="359"/>
      <c r="KBN308" s="359"/>
      <c r="KBO308" s="359"/>
      <c r="KBP308" s="359"/>
      <c r="KBQ308" s="359"/>
      <c r="KBR308" s="359"/>
      <c r="KBS308" s="359"/>
      <c r="KBT308" s="359"/>
      <c r="KBU308" s="359"/>
      <c r="KBV308" s="359"/>
      <c r="KBW308" s="359"/>
      <c r="KBX308" s="359"/>
      <c r="KBY308" s="359"/>
      <c r="KBZ308" s="359"/>
      <c r="KCA308" s="359"/>
      <c r="KCB308" s="359"/>
      <c r="KCC308" s="359"/>
      <c r="KCD308" s="359"/>
      <c r="KCE308" s="359"/>
      <c r="KCF308" s="359"/>
      <c r="KCG308" s="359"/>
      <c r="KCH308" s="359"/>
      <c r="KCI308" s="359"/>
      <c r="KCJ308" s="359"/>
      <c r="KCK308" s="359"/>
      <c r="KCL308" s="359"/>
      <c r="KCM308" s="359"/>
      <c r="KCN308" s="359"/>
      <c r="KCO308" s="359"/>
      <c r="KCP308" s="359"/>
      <c r="KCQ308" s="359"/>
      <c r="KCR308" s="359"/>
      <c r="KCS308" s="359"/>
      <c r="KCT308" s="359"/>
      <c r="KCU308" s="359"/>
      <c r="KCV308" s="359"/>
      <c r="KCW308" s="359"/>
      <c r="KCX308" s="359"/>
      <c r="KCY308" s="359"/>
      <c r="KCZ308" s="359"/>
      <c r="KDA308" s="359"/>
      <c r="KDB308" s="359"/>
      <c r="KDC308" s="359"/>
      <c r="KDD308" s="359"/>
      <c r="KDE308" s="359"/>
      <c r="KDF308" s="359"/>
      <c r="KDG308" s="359"/>
      <c r="KDH308" s="359"/>
      <c r="KDI308" s="359"/>
      <c r="KDJ308" s="359"/>
      <c r="KDK308" s="359"/>
      <c r="KDL308" s="359"/>
      <c r="KDM308" s="359"/>
      <c r="KDN308" s="359"/>
      <c r="KDO308" s="359"/>
      <c r="KDP308" s="359"/>
      <c r="KDQ308" s="359"/>
      <c r="KDR308" s="359"/>
      <c r="KDS308" s="359"/>
      <c r="KDT308" s="359"/>
      <c r="KDU308" s="359"/>
      <c r="KDV308" s="359"/>
      <c r="KDW308" s="359"/>
      <c r="KDX308" s="359"/>
      <c r="KDY308" s="359"/>
      <c r="KDZ308" s="359"/>
      <c r="KEA308" s="359"/>
      <c r="KEB308" s="359"/>
      <c r="KEC308" s="359"/>
      <c r="KED308" s="359"/>
      <c r="KEE308" s="359"/>
      <c r="KEF308" s="359"/>
      <c r="KEG308" s="359"/>
      <c r="KEH308" s="359"/>
      <c r="KEI308" s="359"/>
      <c r="KEJ308" s="359"/>
      <c r="KEK308" s="359"/>
      <c r="KEL308" s="359"/>
      <c r="KEM308" s="359"/>
      <c r="KEN308" s="359"/>
      <c r="KEO308" s="359"/>
      <c r="KEP308" s="359"/>
      <c r="KEQ308" s="359"/>
      <c r="KER308" s="359"/>
      <c r="KES308" s="359"/>
      <c r="KET308" s="359"/>
      <c r="KEU308" s="359"/>
      <c r="KEV308" s="359"/>
      <c r="KEW308" s="359"/>
      <c r="KEX308" s="359"/>
      <c r="KEY308" s="359"/>
      <c r="KEZ308" s="359"/>
      <c r="KFA308" s="359"/>
      <c r="KFB308" s="359"/>
      <c r="KFC308" s="359"/>
      <c r="KFD308" s="359"/>
      <c r="KFE308" s="359"/>
      <c r="KFF308" s="359"/>
      <c r="KFG308" s="359"/>
      <c r="KFH308" s="359"/>
      <c r="KFI308" s="359"/>
      <c r="KFJ308" s="359"/>
      <c r="KFK308" s="359"/>
      <c r="KFL308" s="359"/>
      <c r="KFM308" s="359"/>
      <c r="KFN308" s="359"/>
      <c r="KFO308" s="359"/>
      <c r="KFP308" s="359"/>
      <c r="KFQ308" s="359"/>
      <c r="KFR308" s="359"/>
      <c r="KFS308" s="359"/>
      <c r="KFT308" s="359"/>
      <c r="KFU308" s="359"/>
      <c r="KFV308" s="359"/>
      <c r="KFW308" s="359"/>
      <c r="KFX308" s="359"/>
      <c r="KFY308" s="359"/>
      <c r="KFZ308" s="359"/>
      <c r="KGA308" s="359"/>
      <c r="KGB308" s="359"/>
      <c r="KGC308" s="359"/>
      <c r="KGD308" s="359"/>
      <c r="KGE308" s="359"/>
      <c r="KGF308" s="359"/>
      <c r="KGG308" s="359"/>
      <c r="KGH308" s="359"/>
      <c r="KGI308" s="359"/>
      <c r="KGJ308" s="359"/>
      <c r="KGK308" s="359"/>
      <c r="KGL308" s="359"/>
      <c r="KGM308" s="359"/>
      <c r="KGN308" s="359"/>
      <c r="KGO308" s="359"/>
      <c r="KGP308" s="359"/>
      <c r="KGQ308" s="359"/>
      <c r="KGR308" s="359"/>
      <c r="KGS308" s="359"/>
      <c r="KGT308" s="359"/>
      <c r="KGU308" s="359"/>
      <c r="KGV308" s="359"/>
      <c r="KGW308" s="359"/>
      <c r="KGX308" s="359"/>
      <c r="KGY308" s="359"/>
      <c r="KGZ308" s="359"/>
      <c r="KHA308" s="359"/>
      <c r="KHB308" s="359"/>
      <c r="KHC308" s="359"/>
      <c r="KHD308" s="359"/>
      <c r="KHE308" s="359"/>
      <c r="KHF308" s="359"/>
      <c r="KHG308" s="359"/>
      <c r="KHH308" s="359"/>
      <c r="KHI308" s="359"/>
      <c r="KHJ308" s="359"/>
      <c r="KHK308" s="359"/>
      <c r="KHL308" s="359"/>
      <c r="KHM308" s="359"/>
      <c r="KHN308" s="359"/>
      <c r="KHO308" s="359"/>
      <c r="KHP308" s="359"/>
      <c r="KHQ308" s="359"/>
      <c r="KHR308" s="359"/>
      <c r="KHS308" s="359"/>
      <c r="KHT308" s="359"/>
      <c r="KHU308" s="359"/>
      <c r="KHV308" s="359"/>
      <c r="KHW308" s="359"/>
      <c r="KHX308" s="359"/>
      <c r="KHY308" s="359"/>
      <c r="KHZ308" s="359"/>
      <c r="KIA308" s="359"/>
      <c r="KIB308" s="359"/>
      <c r="KIC308" s="359"/>
      <c r="KID308" s="359"/>
      <c r="KIE308" s="359"/>
      <c r="KIF308" s="359"/>
      <c r="KIG308" s="359"/>
      <c r="KIH308" s="359"/>
      <c r="KII308" s="359"/>
      <c r="KIJ308" s="359"/>
      <c r="KIK308" s="359"/>
      <c r="KIL308" s="359"/>
      <c r="KIM308" s="359"/>
      <c r="KIN308" s="359"/>
      <c r="KIO308" s="359"/>
      <c r="KIP308" s="359"/>
      <c r="KIQ308" s="359"/>
      <c r="KIR308" s="359"/>
      <c r="KIS308" s="359"/>
      <c r="KIT308" s="359"/>
      <c r="KIU308" s="359"/>
      <c r="KIV308" s="359"/>
      <c r="KIW308" s="359"/>
      <c r="KIX308" s="359"/>
      <c r="KIY308" s="359"/>
      <c r="KIZ308" s="359"/>
      <c r="KJA308" s="359"/>
      <c r="KJB308" s="359"/>
      <c r="KJC308" s="359"/>
      <c r="KJD308" s="359"/>
      <c r="KJE308" s="359"/>
      <c r="KJF308" s="359"/>
      <c r="KJG308" s="359"/>
      <c r="KJH308" s="359"/>
      <c r="KJI308" s="359"/>
      <c r="KJJ308" s="359"/>
      <c r="KJK308" s="359"/>
      <c r="KJL308" s="359"/>
      <c r="KJM308" s="359"/>
      <c r="KJN308" s="359"/>
      <c r="KJO308" s="359"/>
      <c r="KJP308" s="359"/>
      <c r="KJQ308" s="359"/>
      <c r="KJR308" s="359"/>
      <c r="KJS308" s="359"/>
      <c r="KJT308" s="359"/>
      <c r="KJU308" s="359"/>
      <c r="KJV308" s="359"/>
      <c r="KJW308" s="359"/>
      <c r="KJX308" s="359"/>
      <c r="KJY308" s="359"/>
      <c r="KJZ308" s="359"/>
      <c r="KKA308" s="359"/>
      <c r="KKB308" s="359"/>
      <c r="KKC308" s="359"/>
      <c r="KKD308" s="359"/>
      <c r="KKE308" s="359"/>
      <c r="KKF308" s="359"/>
      <c r="KKG308" s="359"/>
      <c r="KKH308" s="359"/>
      <c r="KKI308" s="359"/>
      <c r="KKJ308" s="359"/>
      <c r="KKK308" s="359"/>
      <c r="KKL308" s="359"/>
      <c r="KKM308" s="359"/>
      <c r="KKN308" s="359"/>
      <c r="KKO308" s="359"/>
      <c r="KKP308" s="359"/>
      <c r="KKQ308" s="359"/>
      <c r="KKR308" s="359"/>
      <c r="KKS308" s="359"/>
      <c r="KKT308" s="359"/>
      <c r="KKU308" s="359"/>
      <c r="KKV308" s="359"/>
      <c r="KKW308" s="359"/>
      <c r="KKX308" s="359"/>
      <c r="KKY308" s="359"/>
      <c r="KKZ308" s="359"/>
      <c r="KLA308" s="359"/>
      <c r="KLB308" s="359"/>
      <c r="KLC308" s="359"/>
      <c r="KLD308" s="359"/>
      <c r="KLE308" s="359"/>
      <c r="KLF308" s="359"/>
      <c r="KLG308" s="359"/>
      <c r="KLH308" s="359"/>
      <c r="KLI308" s="359"/>
      <c r="KLJ308" s="359"/>
      <c r="KLK308" s="359"/>
      <c r="KLL308" s="359"/>
      <c r="KLM308" s="359"/>
      <c r="KLN308" s="359"/>
      <c r="KLO308" s="359"/>
      <c r="KLP308" s="359"/>
      <c r="KLQ308" s="359"/>
      <c r="KLR308" s="359"/>
      <c r="KLS308" s="359"/>
      <c r="KLT308" s="359"/>
      <c r="KLU308" s="359"/>
      <c r="KLV308" s="359"/>
      <c r="KLW308" s="359"/>
      <c r="KLX308" s="359"/>
      <c r="KLY308" s="359"/>
      <c r="KLZ308" s="359"/>
      <c r="KMA308" s="359"/>
      <c r="KMB308" s="359"/>
      <c r="KMC308" s="359"/>
      <c r="KMD308" s="359"/>
      <c r="KME308" s="359"/>
      <c r="KMF308" s="359"/>
      <c r="KMG308" s="359"/>
      <c r="KMH308" s="359"/>
      <c r="KMI308" s="359"/>
      <c r="KMJ308" s="359"/>
      <c r="KMK308" s="359"/>
      <c r="KML308" s="359"/>
      <c r="KMM308" s="359"/>
      <c r="KMN308" s="359"/>
      <c r="KMO308" s="359"/>
      <c r="KMP308" s="359"/>
      <c r="KMQ308" s="359"/>
      <c r="KMR308" s="359"/>
      <c r="KMS308" s="359"/>
      <c r="KMT308" s="359"/>
      <c r="KMU308" s="359"/>
      <c r="KMV308" s="359"/>
      <c r="KMW308" s="359"/>
      <c r="KMX308" s="359"/>
      <c r="KMY308" s="359"/>
      <c r="KMZ308" s="359"/>
      <c r="KNA308" s="359"/>
      <c r="KNB308" s="359"/>
      <c r="KNC308" s="359"/>
      <c r="KND308" s="359"/>
      <c r="KNE308" s="359"/>
      <c r="KNF308" s="359"/>
      <c r="KNG308" s="359"/>
      <c r="KNH308" s="359"/>
      <c r="KNI308" s="359"/>
      <c r="KNJ308" s="359"/>
      <c r="KNK308" s="359"/>
      <c r="KNL308" s="359"/>
      <c r="KNM308" s="359"/>
      <c r="KNN308" s="359"/>
      <c r="KNO308" s="359"/>
      <c r="KNP308" s="359"/>
      <c r="KNQ308" s="359"/>
      <c r="KNR308" s="359"/>
      <c r="KNS308" s="359"/>
      <c r="KNT308" s="359"/>
      <c r="KNU308" s="359"/>
      <c r="KNV308" s="359"/>
      <c r="KNW308" s="359"/>
      <c r="KNX308" s="359"/>
      <c r="KNY308" s="359"/>
      <c r="KNZ308" s="359"/>
      <c r="KOA308" s="359"/>
      <c r="KOB308" s="359"/>
      <c r="KOC308" s="359"/>
      <c r="KOD308" s="359"/>
      <c r="KOE308" s="359"/>
      <c r="KOF308" s="359"/>
      <c r="KOG308" s="359"/>
      <c r="KOH308" s="359"/>
      <c r="KOI308" s="359"/>
      <c r="KOJ308" s="359"/>
      <c r="KOK308" s="359"/>
      <c r="KOL308" s="359"/>
      <c r="KOM308" s="359"/>
      <c r="KON308" s="359"/>
      <c r="KOO308" s="359"/>
      <c r="KOP308" s="359"/>
      <c r="KOQ308" s="359"/>
      <c r="KOR308" s="359"/>
      <c r="KOS308" s="359"/>
      <c r="KOT308" s="359"/>
      <c r="KOU308" s="359"/>
      <c r="KOV308" s="359"/>
      <c r="KOW308" s="359"/>
      <c r="KOX308" s="359"/>
      <c r="KOY308" s="359"/>
      <c r="KOZ308" s="359"/>
      <c r="KPA308" s="359"/>
      <c r="KPB308" s="359"/>
      <c r="KPC308" s="359"/>
      <c r="KPD308" s="359"/>
      <c r="KPE308" s="359"/>
      <c r="KPF308" s="359"/>
      <c r="KPG308" s="359"/>
      <c r="KPH308" s="359"/>
      <c r="KPI308" s="359"/>
      <c r="KPJ308" s="359"/>
      <c r="KPK308" s="359"/>
      <c r="KPL308" s="359"/>
      <c r="KPM308" s="359"/>
      <c r="KPN308" s="359"/>
      <c r="KPO308" s="359"/>
      <c r="KPP308" s="359"/>
      <c r="KPQ308" s="359"/>
      <c r="KPR308" s="359"/>
      <c r="KPS308" s="359"/>
      <c r="KPT308" s="359"/>
      <c r="KPU308" s="359"/>
      <c r="KPV308" s="359"/>
      <c r="KPW308" s="359"/>
      <c r="KPX308" s="359"/>
      <c r="KPY308" s="359"/>
      <c r="KPZ308" s="359"/>
      <c r="KQA308" s="359"/>
      <c r="KQB308" s="359"/>
      <c r="KQC308" s="359"/>
      <c r="KQD308" s="359"/>
      <c r="KQE308" s="359"/>
      <c r="KQF308" s="359"/>
      <c r="KQG308" s="359"/>
      <c r="KQH308" s="359"/>
      <c r="KQI308" s="359"/>
      <c r="KQJ308" s="359"/>
      <c r="KQK308" s="359"/>
      <c r="KQL308" s="359"/>
      <c r="KQM308" s="359"/>
      <c r="KQN308" s="359"/>
      <c r="KQO308" s="359"/>
      <c r="KQP308" s="359"/>
      <c r="KQQ308" s="359"/>
      <c r="KQR308" s="359"/>
      <c r="KQS308" s="359"/>
      <c r="KQT308" s="359"/>
      <c r="KQU308" s="359"/>
      <c r="KQV308" s="359"/>
      <c r="KQW308" s="359"/>
      <c r="KQX308" s="359"/>
      <c r="KQY308" s="359"/>
      <c r="KQZ308" s="359"/>
      <c r="KRA308" s="359"/>
      <c r="KRB308" s="359"/>
      <c r="KRC308" s="359"/>
      <c r="KRD308" s="359"/>
      <c r="KRE308" s="359"/>
      <c r="KRF308" s="359"/>
      <c r="KRG308" s="359"/>
      <c r="KRH308" s="359"/>
      <c r="KRI308" s="359"/>
      <c r="KRJ308" s="359"/>
      <c r="KRK308" s="359"/>
      <c r="KRL308" s="359"/>
      <c r="KRM308" s="359"/>
      <c r="KRN308" s="359"/>
      <c r="KRO308" s="359"/>
      <c r="KRP308" s="359"/>
      <c r="KRQ308" s="359"/>
      <c r="KRR308" s="359"/>
      <c r="KRS308" s="359"/>
      <c r="KRT308" s="359"/>
      <c r="KRU308" s="359"/>
      <c r="KRV308" s="359"/>
      <c r="KRW308" s="359"/>
      <c r="KRX308" s="359"/>
      <c r="KRY308" s="359"/>
      <c r="KRZ308" s="359"/>
      <c r="KSA308" s="359"/>
      <c r="KSB308" s="359"/>
      <c r="KSC308" s="359"/>
      <c r="KSD308" s="359"/>
      <c r="KSE308" s="359"/>
      <c r="KSF308" s="359"/>
      <c r="KSG308" s="359"/>
      <c r="KSH308" s="359"/>
      <c r="KSI308" s="359"/>
      <c r="KSJ308" s="359"/>
      <c r="KSK308" s="359"/>
      <c r="KSL308" s="359"/>
      <c r="KSM308" s="359"/>
      <c r="KSN308" s="359"/>
      <c r="KSO308" s="359"/>
      <c r="KSP308" s="359"/>
      <c r="KSQ308" s="359"/>
      <c r="KSR308" s="359"/>
      <c r="KSS308" s="359"/>
      <c r="KST308" s="359"/>
      <c r="KSU308" s="359"/>
      <c r="KSV308" s="359"/>
      <c r="KSW308" s="359"/>
      <c r="KSX308" s="359"/>
      <c r="KSY308" s="359"/>
      <c r="KSZ308" s="359"/>
      <c r="KTA308" s="359"/>
      <c r="KTB308" s="359"/>
      <c r="KTC308" s="359"/>
      <c r="KTD308" s="359"/>
      <c r="KTE308" s="359"/>
      <c r="KTF308" s="359"/>
      <c r="KTG308" s="359"/>
      <c r="KTH308" s="359"/>
      <c r="KTI308" s="359"/>
      <c r="KTJ308" s="359"/>
      <c r="KTK308" s="359"/>
      <c r="KTL308" s="359"/>
      <c r="KTM308" s="359"/>
      <c r="KTN308" s="359"/>
      <c r="KTO308" s="359"/>
      <c r="KTP308" s="359"/>
      <c r="KTQ308" s="359"/>
      <c r="KTR308" s="359"/>
      <c r="KTS308" s="359"/>
      <c r="KTT308" s="359"/>
      <c r="KTU308" s="359"/>
      <c r="KTV308" s="359"/>
      <c r="KTW308" s="359"/>
      <c r="KTX308" s="359"/>
      <c r="KTY308" s="359"/>
      <c r="KTZ308" s="359"/>
      <c r="KUA308" s="359"/>
      <c r="KUB308" s="359"/>
      <c r="KUC308" s="359"/>
      <c r="KUD308" s="359"/>
      <c r="KUE308" s="359"/>
      <c r="KUF308" s="359"/>
      <c r="KUG308" s="359"/>
      <c r="KUH308" s="359"/>
      <c r="KUI308" s="359"/>
      <c r="KUJ308" s="359"/>
      <c r="KUK308" s="359"/>
      <c r="KUL308" s="359"/>
      <c r="KUM308" s="359"/>
      <c r="KUN308" s="359"/>
      <c r="KUO308" s="359"/>
      <c r="KUP308" s="359"/>
      <c r="KUQ308" s="359"/>
      <c r="KUR308" s="359"/>
      <c r="KUS308" s="359"/>
      <c r="KUT308" s="359"/>
      <c r="KUU308" s="359"/>
      <c r="KUV308" s="359"/>
      <c r="KUW308" s="359"/>
      <c r="KUX308" s="359"/>
      <c r="KUY308" s="359"/>
      <c r="KUZ308" s="359"/>
      <c r="KVA308" s="359"/>
      <c r="KVB308" s="359"/>
      <c r="KVC308" s="359"/>
      <c r="KVD308" s="359"/>
      <c r="KVE308" s="359"/>
      <c r="KVF308" s="359"/>
      <c r="KVG308" s="359"/>
      <c r="KVH308" s="359"/>
      <c r="KVI308" s="359"/>
      <c r="KVJ308" s="359"/>
      <c r="KVK308" s="359"/>
      <c r="KVL308" s="359"/>
      <c r="KVM308" s="359"/>
      <c r="KVN308" s="359"/>
      <c r="KVO308" s="359"/>
      <c r="KVP308" s="359"/>
      <c r="KVQ308" s="359"/>
      <c r="KVR308" s="359"/>
      <c r="KVS308" s="359"/>
      <c r="KVT308" s="359"/>
      <c r="KVU308" s="359"/>
      <c r="KVV308" s="359"/>
      <c r="KVW308" s="359"/>
      <c r="KVX308" s="359"/>
      <c r="KVY308" s="359"/>
      <c r="KVZ308" s="359"/>
      <c r="KWA308" s="359"/>
      <c r="KWB308" s="359"/>
      <c r="KWC308" s="359"/>
      <c r="KWD308" s="359"/>
      <c r="KWE308" s="359"/>
      <c r="KWF308" s="359"/>
      <c r="KWG308" s="359"/>
      <c r="KWH308" s="359"/>
      <c r="KWI308" s="359"/>
      <c r="KWJ308" s="359"/>
      <c r="KWK308" s="359"/>
      <c r="KWL308" s="359"/>
      <c r="KWM308" s="359"/>
      <c r="KWN308" s="359"/>
      <c r="KWO308" s="359"/>
      <c r="KWP308" s="359"/>
      <c r="KWQ308" s="359"/>
      <c r="KWR308" s="359"/>
      <c r="KWS308" s="359"/>
      <c r="KWT308" s="359"/>
      <c r="KWU308" s="359"/>
      <c r="KWV308" s="359"/>
      <c r="KWW308" s="359"/>
      <c r="KWX308" s="359"/>
      <c r="KWY308" s="359"/>
      <c r="KWZ308" s="359"/>
      <c r="KXA308" s="359"/>
      <c r="KXB308" s="359"/>
      <c r="KXC308" s="359"/>
      <c r="KXD308" s="359"/>
      <c r="KXE308" s="359"/>
      <c r="KXF308" s="359"/>
      <c r="KXG308" s="359"/>
      <c r="KXH308" s="359"/>
      <c r="KXI308" s="359"/>
      <c r="KXJ308" s="359"/>
      <c r="KXK308" s="359"/>
      <c r="KXL308" s="359"/>
      <c r="KXM308" s="359"/>
      <c r="KXN308" s="359"/>
      <c r="KXO308" s="359"/>
      <c r="KXP308" s="359"/>
      <c r="KXQ308" s="359"/>
      <c r="KXR308" s="359"/>
      <c r="KXS308" s="359"/>
      <c r="KXT308" s="359"/>
      <c r="KXU308" s="359"/>
      <c r="KXV308" s="359"/>
      <c r="KXW308" s="359"/>
      <c r="KXX308" s="359"/>
      <c r="KXY308" s="359"/>
      <c r="KXZ308" s="359"/>
      <c r="KYA308" s="359"/>
      <c r="KYB308" s="359"/>
      <c r="KYC308" s="359"/>
      <c r="KYD308" s="359"/>
      <c r="KYE308" s="359"/>
      <c r="KYF308" s="359"/>
      <c r="KYG308" s="359"/>
      <c r="KYH308" s="359"/>
      <c r="KYI308" s="359"/>
      <c r="KYJ308" s="359"/>
      <c r="KYK308" s="359"/>
      <c r="KYL308" s="359"/>
      <c r="KYM308" s="359"/>
      <c r="KYN308" s="359"/>
      <c r="KYO308" s="359"/>
      <c r="KYP308" s="359"/>
      <c r="KYQ308" s="359"/>
      <c r="KYR308" s="359"/>
      <c r="KYS308" s="359"/>
      <c r="KYT308" s="359"/>
      <c r="KYU308" s="359"/>
      <c r="KYV308" s="359"/>
      <c r="KYW308" s="359"/>
      <c r="KYX308" s="359"/>
      <c r="KYY308" s="359"/>
      <c r="KYZ308" s="359"/>
      <c r="KZA308" s="359"/>
      <c r="KZB308" s="359"/>
      <c r="KZC308" s="359"/>
      <c r="KZD308" s="359"/>
      <c r="KZE308" s="359"/>
      <c r="KZF308" s="359"/>
      <c r="KZG308" s="359"/>
      <c r="KZH308" s="359"/>
      <c r="KZI308" s="359"/>
      <c r="KZJ308" s="359"/>
      <c r="KZK308" s="359"/>
      <c r="KZL308" s="359"/>
      <c r="KZM308" s="359"/>
      <c r="KZN308" s="359"/>
      <c r="KZO308" s="359"/>
      <c r="KZP308" s="359"/>
      <c r="KZQ308" s="359"/>
      <c r="KZR308" s="359"/>
      <c r="KZS308" s="359"/>
      <c r="KZT308" s="359"/>
      <c r="KZU308" s="359"/>
      <c r="KZV308" s="359"/>
      <c r="KZW308" s="359"/>
      <c r="KZX308" s="359"/>
      <c r="KZY308" s="359"/>
      <c r="KZZ308" s="359"/>
      <c r="LAA308" s="359"/>
      <c r="LAB308" s="359"/>
      <c r="LAC308" s="359"/>
      <c r="LAD308" s="359"/>
      <c r="LAE308" s="359"/>
      <c r="LAF308" s="359"/>
      <c r="LAG308" s="359"/>
      <c r="LAH308" s="359"/>
      <c r="LAI308" s="359"/>
      <c r="LAJ308" s="359"/>
      <c r="LAK308" s="359"/>
      <c r="LAL308" s="359"/>
      <c r="LAM308" s="359"/>
      <c r="LAN308" s="359"/>
      <c r="LAO308" s="359"/>
      <c r="LAP308" s="359"/>
      <c r="LAQ308" s="359"/>
      <c r="LAR308" s="359"/>
      <c r="LAS308" s="359"/>
      <c r="LAT308" s="359"/>
      <c r="LAU308" s="359"/>
      <c r="LAV308" s="359"/>
      <c r="LAW308" s="359"/>
      <c r="LAX308" s="359"/>
      <c r="LAY308" s="359"/>
      <c r="LAZ308" s="359"/>
      <c r="LBA308" s="359"/>
      <c r="LBB308" s="359"/>
      <c r="LBC308" s="359"/>
      <c r="LBD308" s="359"/>
      <c r="LBE308" s="359"/>
      <c r="LBF308" s="359"/>
      <c r="LBG308" s="359"/>
      <c r="LBH308" s="359"/>
      <c r="LBI308" s="359"/>
      <c r="LBJ308" s="359"/>
      <c r="LBK308" s="359"/>
      <c r="LBL308" s="359"/>
      <c r="LBM308" s="359"/>
      <c r="LBN308" s="359"/>
      <c r="LBO308" s="359"/>
      <c r="LBP308" s="359"/>
      <c r="LBQ308" s="359"/>
      <c r="LBR308" s="359"/>
      <c r="LBS308" s="359"/>
      <c r="LBT308" s="359"/>
      <c r="LBU308" s="359"/>
      <c r="LBV308" s="359"/>
      <c r="LBW308" s="359"/>
      <c r="LBX308" s="359"/>
      <c r="LBY308" s="359"/>
      <c r="LBZ308" s="359"/>
      <c r="LCA308" s="359"/>
      <c r="LCB308" s="359"/>
      <c r="LCC308" s="359"/>
      <c r="LCD308" s="359"/>
      <c r="LCE308" s="359"/>
      <c r="LCF308" s="359"/>
      <c r="LCG308" s="359"/>
      <c r="LCH308" s="359"/>
      <c r="LCI308" s="359"/>
      <c r="LCJ308" s="359"/>
      <c r="LCK308" s="359"/>
      <c r="LCL308" s="359"/>
      <c r="LCM308" s="359"/>
      <c r="LCN308" s="359"/>
      <c r="LCO308" s="359"/>
      <c r="LCP308" s="359"/>
      <c r="LCQ308" s="359"/>
      <c r="LCR308" s="359"/>
      <c r="LCS308" s="359"/>
      <c r="LCT308" s="359"/>
      <c r="LCU308" s="359"/>
      <c r="LCV308" s="359"/>
      <c r="LCW308" s="359"/>
      <c r="LCX308" s="359"/>
      <c r="LCY308" s="359"/>
      <c r="LCZ308" s="359"/>
      <c r="LDA308" s="359"/>
      <c r="LDB308" s="359"/>
      <c r="LDC308" s="359"/>
      <c r="LDD308" s="359"/>
      <c r="LDE308" s="359"/>
      <c r="LDF308" s="359"/>
      <c r="LDG308" s="359"/>
      <c r="LDH308" s="359"/>
      <c r="LDI308" s="359"/>
      <c r="LDJ308" s="359"/>
      <c r="LDK308" s="359"/>
      <c r="LDL308" s="359"/>
      <c r="LDM308" s="359"/>
      <c r="LDN308" s="359"/>
      <c r="LDO308" s="359"/>
      <c r="LDP308" s="359"/>
      <c r="LDQ308" s="359"/>
      <c r="LDR308" s="359"/>
      <c r="LDS308" s="359"/>
      <c r="LDT308" s="359"/>
      <c r="LDU308" s="359"/>
      <c r="LDV308" s="359"/>
      <c r="LDW308" s="359"/>
      <c r="LDX308" s="359"/>
      <c r="LDY308" s="359"/>
      <c r="LDZ308" s="359"/>
      <c r="LEA308" s="359"/>
      <c r="LEB308" s="359"/>
      <c r="LEC308" s="359"/>
      <c r="LED308" s="359"/>
      <c r="LEE308" s="359"/>
      <c r="LEF308" s="359"/>
      <c r="LEG308" s="359"/>
      <c r="LEH308" s="359"/>
      <c r="LEI308" s="359"/>
      <c r="LEJ308" s="359"/>
      <c r="LEK308" s="359"/>
      <c r="LEL308" s="359"/>
      <c r="LEM308" s="359"/>
      <c r="LEN308" s="359"/>
      <c r="LEO308" s="359"/>
      <c r="LEP308" s="359"/>
      <c r="LEQ308" s="359"/>
      <c r="LER308" s="359"/>
      <c r="LES308" s="359"/>
      <c r="LET308" s="359"/>
      <c r="LEU308" s="359"/>
      <c r="LEV308" s="359"/>
      <c r="LEW308" s="359"/>
      <c r="LEX308" s="359"/>
      <c r="LEY308" s="359"/>
      <c r="LEZ308" s="359"/>
      <c r="LFA308" s="359"/>
      <c r="LFB308" s="359"/>
      <c r="LFC308" s="359"/>
      <c r="LFD308" s="359"/>
      <c r="LFE308" s="359"/>
      <c r="LFF308" s="359"/>
      <c r="LFG308" s="359"/>
      <c r="LFH308" s="359"/>
      <c r="LFI308" s="359"/>
      <c r="LFJ308" s="359"/>
      <c r="LFK308" s="359"/>
      <c r="LFL308" s="359"/>
      <c r="LFM308" s="359"/>
      <c r="LFN308" s="359"/>
      <c r="LFO308" s="359"/>
      <c r="LFP308" s="359"/>
      <c r="LFQ308" s="359"/>
      <c r="LFR308" s="359"/>
      <c r="LFS308" s="359"/>
      <c r="LFT308" s="359"/>
      <c r="LFU308" s="359"/>
      <c r="LFV308" s="359"/>
      <c r="LFW308" s="359"/>
      <c r="LFX308" s="359"/>
      <c r="LFY308" s="359"/>
      <c r="LFZ308" s="359"/>
      <c r="LGA308" s="359"/>
      <c r="LGB308" s="359"/>
      <c r="LGC308" s="359"/>
      <c r="LGD308" s="359"/>
      <c r="LGE308" s="359"/>
      <c r="LGF308" s="359"/>
      <c r="LGG308" s="359"/>
      <c r="LGH308" s="359"/>
      <c r="LGI308" s="359"/>
      <c r="LGJ308" s="359"/>
      <c r="LGK308" s="359"/>
      <c r="LGL308" s="359"/>
      <c r="LGM308" s="359"/>
      <c r="LGN308" s="359"/>
      <c r="LGO308" s="359"/>
      <c r="LGP308" s="359"/>
      <c r="LGQ308" s="359"/>
      <c r="LGR308" s="359"/>
      <c r="LGS308" s="359"/>
      <c r="LGT308" s="359"/>
      <c r="LGU308" s="359"/>
      <c r="LGV308" s="359"/>
      <c r="LGW308" s="359"/>
      <c r="LGX308" s="359"/>
      <c r="LGY308" s="359"/>
      <c r="LGZ308" s="359"/>
      <c r="LHA308" s="359"/>
      <c r="LHB308" s="359"/>
      <c r="LHC308" s="359"/>
      <c r="LHD308" s="359"/>
      <c r="LHE308" s="359"/>
      <c r="LHF308" s="359"/>
      <c r="LHG308" s="359"/>
      <c r="LHH308" s="359"/>
      <c r="LHI308" s="359"/>
      <c r="LHJ308" s="359"/>
      <c r="LHK308" s="359"/>
      <c r="LHL308" s="359"/>
      <c r="LHM308" s="359"/>
      <c r="LHN308" s="359"/>
      <c r="LHO308" s="359"/>
      <c r="LHP308" s="359"/>
      <c r="LHQ308" s="359"/>
      <c r="LHR308" s="359"/>
      <c r="LHS308" s="359"/>
      <c r="LHT308" s="359"/>
      <c r="LHU308" s="359"/>
      <c r="LHV308" s="359"/>
      <c r="LHW308" s="359"/>
      <c r="LHX308" s="359"/>
      <c r="LHY308" s="359"/>
      <c r="LHZ308" s="359"/>
      <c r="LIA308" s="359"/>
      <c r="LIB308" s="359"/>
      <c r="LIC308" s="359"/>
      <c r="LID308" s="359"/>
      <c r="LIE308" s="359"/>
      <c r="LIF308" s="359"/>
      <c r="LIG308" s="359"/>
      <c r="LIH308" s="359"/>
      <c r="LII308" s="359"/>
      <c r="LIJ308" s="359"/>
      <c r="LIK308" s="359"/>
      <c r="LIL308" s="359"/>
      <c r="LIM308" s="359"/>
      <c r="LIN308" s="359"/>
      <c r="LIO308" s="359"/>
      <c r="LIP308" s="359"/>
      <c r="LIQ308" s="359"/>
      <c r="LIR308" s="359"/>
      <c r="LIS308" s="359"/>
      <c r="LIT308" s="359"/>
      <c r="LIU308" s="359"/>
      <c r="LIV308" s="359"/>
      <c r="LIW308" s="359"/>
      <c r="LIX308" s="359"/>
      <c r="LIY308" s="359"/>
      <c r="LIZ308" s="359"/>
      <c r="LJA308" s="359"/>
      <c r="LJB308" s="359"/>
      <c r="LJC308" s="359"/>
      <c r="LJD308" s="359"/>
      <c r="LJE308" s="359"/>
      <c r="LJF308" s="359"/>
      <c r="LJG308" s="359"/>
      <c r="LJH308" s="359"/>
      <c r="LJI308" s="359"/>
      <c r="LJJ308" s="359"/>
      <c r="LJK308" s="359"/>
      <c r="LJL308" s="359"/>
      <c r="LJM308" s="359"/>
      <c r="LJN308" s="359"/>
      <c r="LJO308" s="359"/>
      <c r="LJP308" s="359"/>
      <c r="LJQ308" s="359"/>
      <c r="LJR308" s="359"/>
      <c r="LJS308" s="359"/>
      <c r="LJT308" s="359"/>
      <c r="LJU308" s="359"/>
      <c r="LJV308" s="359"/>
      <c r="LJW308" s="359"/>
      <c r="LJX308" s="359"/>
      <c r="LJY308" s="359"/>
      <c r="LJZ308" s="359"/>
      <c r="LKA308" s="359"/>
      <c r="LKB308" s="359"/>
      <c r="LKC308" s="359"/>
      <c r="LKD308" s="359"/>
      <c r="LKE308" s="359"/>
      <c r="LKF308" s="359"/>
      <c r="LKG308" s="359"/>
      <c r="LKH308" s="359"/>
      <c r="LKI308" s="359"/>
      <c r="LKJ308" s="359"/>
      <c r="LKK308" s="359"/>
      <c r="LKL308" s="359"/>
      <c r="LKM308" s="359"/>
      <c r="LKN308" s="359"/>
      <c r="LKO308" s="359"/>
      <c r="LKP308" s="359"/>
      <c r="LKQ308" s="359"/>
      <c r="LKR308" s="359"/>
      <c r="LKS308" s="359"/>
      <c r="LKT308" s="359"/>
      <c r="LKU308" s="359"/>
      <c r="LKV308" s="359"/>
      <c r="LKW308" s="359"/>
      <c r="LKX308" s="359"/>
      <c r="LKY308" s="359"/>
      <c r="LKZ308" s="359"/>
      <c r="LLA308" s="359"/>
      <c r="LLB308" s="359"/>
      <c r="LLC308" s="359"/>
      <c r="LLD308" s="359"/>
      <c r="LLE308" s="359"/>
      <c r="LLF308" s="359"/>
      <c r="LLG308" s="359"/>
      <c r="LLH308" s="359"/>
      <c r="LLI308" s="359"/>
      <c r="LLJ308" s="359"/>
      <c r="LLK308" s="359"/>
      <c r="LLL308" s="359"/>
      <c r="LLM308" s="359"/>
      <c r="LLN308" s="359"/>
      <c r="LLO308" s="359"/>
      <c r="LLP308" s="359"/>
      <c r="LLQ308" s="359"/>
      <c r="LLR308" s="359"/>
      <c r="LLS308" s="359"/>
      <c r="LLT308" s="359"/>
      <c r="LLU308" s="359"/>
      <c r="LLV308" s="359"/>
      <c r="LLW308" s="359"/>
      <c r="LLX308" s="359"/>
      <c r="LLY308" s="359"/>
      <c r="LLZ308" s="359"/>
      <c r="LMA308" s="359"/>
      <c r="LMB308" s="359"/>
      <c r="LMC308" s="359"/>
      <c r="LMD308" s="359"/>
      <c r="LME308" s="359"/>
      <c r="LMF308" s="359"/>
      <c r="LMG308" s="359"/>
      <c r="LMH308" s="359"/>
      <c r="LMI308" s="359"/>
      <c r="LMJ308" s="359"/>
      <c r="LMK308" s="359"/>
      <c r="LML308" s="359"/>
      <c r="LMM308" s="359"/>
      <c r="LMN308" s="359"/>
      <c r="LMO308" s="359"/>
      <c r="LMP308" s="359"/>
      <c r="LMQ308" s="359"/>
      <c r="LMR308" s="359"/>
      <c r="LMS308" s="359"/>
      <c r="LMT308" s="359"/>
      <c r="LMU308" s="359"/>
      <c r="LMV308" s="359"/>
      <c r="LMW308" s="359"/>
      <c r="LMX308" s="359"/>
      <c r="LMY308" s="359"/>
      <c r="LMZ308" s="359"/>
      <c r="LNA308" s="359"/>
      <c r="LNB308" s="359"/>
      <c r="LNC308" s="359"/>
      <c r="LND308" s="359"/>
      <c r="LNE308" s="359"/>
      <c r="LNF308" s="359"/>
      <c r="LNG308" s="359"/>
      <c r="LNH308" s="359"/>
      <c r="LNI308" s="359"/>
      <c r="LNJ308" s="359"/>
      <c r="LNK308" s="359"/>
      <c r="LNL308" s="359"/>
      <c r="LNM308" s="359"/>
      <c r="LNN308" s="359"/>
      <c r="LNO308" s="359"/>
      <c r="LNP308" s="359"/>
      <c r="LNQ308" s="359"/>
      <c r="LNR308" s="359"/>
      <c r="LNS308" s="359"/>
      <c r="LNT308" s="359"/>
      <c r="LNU308" s="359"/>
      <c r="LNV308" s="359"/>
      <c r="LNW308" s="359"/>
      <c r="LNX308" s="359"/>
      <c r="LNY308" s="359"/>
      <c r="LNZ308" s="359"/>
      <c r="LOA308" s="359"/>
      <c r="LOB308" s="359"/>
      <c r="LOC308" s="359"/>
      <c r="LOD308" s="359"/>
      <c r="LOE308" s="359"/>
      <c r="LOF308" s="359"/>
      <c r="LOG308" s="359"/>
      <c r="LOH308" s="359"/>
      <c r="LOI308" s="359"/>
      <c r="LOJ308" s="359"/>
      <c r="LOK308" s="359"/>
      <c r="LOL308" s="359"/>
      <c r="LOM308" s="359"/>
      <c r="LON308" s="359"/>
      <c r="LOO308" s="359"/>
      <c r="LOP308" s="359"/>
      <c r="LOQ308" s="359"/>
      <c r="LOR308" s="359"/>
      <c r="LOS308" s="359"/>
      <c r="LOT308" s="359"/>
      <c r="LOU308" s="359"/>
      <c r="LOV308" s="359"/>
      <c r="LOW308" s="359"/>
      <c r="LOX308" s="359"/>
      <c r="LOY308" s="359"/>
      <c r="LOZ308" s="359"/>
      <c r="LPA308" s="359"/>
      <c r="LPB308" s="359"/>
      <c r="LPC308" s="359"/>
      <c r="LPD308" s="359"/>
      <c r="LPE308" s="359"/>
      <c r="LPF308" s="359"/>
      <c r="LPG308" s="359"/>
      <c r="LPH308" s="359"/>
      <c r="LPI308" s="359"/>
      <c r="LPJ308" s="359"/>
      <c r="LPK308" s="359"/>
      <c r="LPL308" s="359"/>
      <c r="LPM308" s="359"/>
      <c r="LPN308" s="359"/>
      <c r="LPO308" s="359"/>
      <c r="LPP308" s="359"/>
      <c r="LPQ308" s="359"/>
      <c r="LPR308" s="359"/>
      <c r="LPS308" s="359"/>
      <c r="LPT308" s="359"/>
      <c r="LPU308" s="359"/>
      <c r="LPV308" s="359"/>
      <c r="LPW308" s="359"/>
      <c r="LPX308" s="359"/>
      <c r="LPY308" s="359"/>
      <c r="LPZ308" s="359"/>
      <c r="LQA308" s="359"/>
      <c r="LQB308" s="359"/>
      <c r="LQC308" s="359"/>
      <c r="LQD308" s="359"/>
      <c r="LQE308" s="359"/>
      <c r="LQF308" s="359"/>
      <c r="LQG308" s="359"/>
      <c r="LQH308" s="359"/>
      <c r="LQI308" s="359"/>
      <c r="LQJ308" s="359"/>
      <c r="LQK308" s="359"/>
      <c r="LQL308" s="359"/>
      <c r="LQM308" s="359"/>
      <c r="LQN308" s="359"/>
      <c r="LQO308" s="359"/>
      <c r="LQP308" s="359"/>
      <c r="LQQ308" s="359"/>
      <c r="LQR308" s="359"/>
      <c r="LQS308" s="359"/>
      <c r="LQT308" s="359"/>
      <c r="LQU308" s="359"/>
      <c r="LQV308" s="359"/>
      <c r="LQW308" s="359"/>
      <c r="LQX308" s="359"/>
      <c r="LQY308" s="359"/>
      <c r="LQZ308" s="359"/>
      <c r="LRA308" s="359"/>
      <c r="LRB308" s="359"/>
      <c r="LRC308" s="359"/>
      <c r="LRD308" s="359"/>
      <c r="LRE308" s="359"/>
      <c r="LRF308" s="359"/>
      <c r="LRG308" s="359"/>
      <c r="LRH308" s="359"/>
      <c r="LRI308" s="359"/>
      <c r="LRJ308" s="359"/>
      <c r="LRK308" s="359"/>
      <c r="LRL308" s="359"/>
      <c r="LRM308" s="359"/>
      <c r="LRN308" s="359"/>
      <c r="LRO308" s="359"/>
      <c r="LRP308" s="359"/>
      <c r="LRQ308" s="359"/>
      <c r="LRR308" s="359"/>
      <c r="LRS308" s="359"/>
      <c r="LRT308" s="359"/>
      <c r="LRU308" s="359"/>
      <c r="LRV308" s="359"/>
      <c r="LRW308" s="359"/>
      <c r="LRX308" s="359"/>
      <c r="LRY308" s="359"/>
      <c r="LRZ308" s="359"/>
      <c r="LSA308" s="359"/>
      <c r="LSB308" s="359"/>
      <c r="LSC308" s="359"/>
      <c r="LSD308" s="359"/>
      <c r="LSE308" s="359"/>
      <c r="LSF308" s="359"/>
      <c r="LSG308" s="359"/>
      <c r="LSH308" s="359"/>
      <c r="LSI308" s="359"/>
      <c r="LSJ308" s="359"/>
      <c r="LSK308" s="359"/>
      <c r="LSL308" s="359"/>
      <c r="LSM308" s="359"/>
      <c r="LSN308" s="359"/>
      <c r="LSO308" s="359"/>
      <c r="LSP308" s="359"/>
      <c r="LSQ308" s="359"/>
      <c r="LSR308" s="359"/>
      <c r="LSS308" s="359"/>
      <c r="LST308" s="359"/>
      <c r="LSU308" s="359"/>
      <c r="LSV308" s="359"/>
      <c r="LSW308" s="359"/>
      <c r="LSX308" s="359"/>
      <c r="LSY308" s="359"/>
      <c r="LSZ308" s="359"/>
      <c r="LTA308" s="359"/>
      <c r="LTB308" s="359"/>
      <c r="LTC308" s="359"/>
      <c r="LTD308" s="359"/>
      <c r="LTE308" s="359"/>
      <c r="LTF308" s="359"/>
      <c r="LTG308" s="359"/>
      <c r="LTH308" s="359"/>
      <c r="LTI308" s="359"/>
      <c r="LTJ308" s="359"/>
      <c r="LTK308" s="359"/>
      <c r="LTL308" s="359"/>
      <c r="LTM308" s="359"/>
      <c r="LTN308" s="359"/>
      <c r="LTO308" s="359"/>
      <c r="LTP308" s="359"/>
      <c r="LTQ308" s="359"/>
      <c r="LTR308" s="359"/>
      <c r="LTS308" s="359"/>
      <c r="LTT308" s="359"/>
      <c r="LTU308" s="359"/>
      <c r="LTV308" s="359"/>
      <c r="LTW308" s="359"/>
      <c r="LTX308" s="359"/>
      <c r="LTY308" s="359"/>
      <c r="LTZ308" s="359"/>
      <c r="LUA308" s="359"/>
      <c r="LUB308" s="359"/>
      <c r="LUC308" s="359"/>
      <c r="LUD308" s="359"/>
      <c r="LUE308" s="359"/>
      <c r="LUF308" s="359"/>
      <c r="LUG308" s="359"/>
      <c r="LUH308" s="359"/>
      <c r="LUI308" s="359"/>
      <c r="LUJ308" s="359"/>
      <c r="LUK308" s="359"/>
      <c r="LUL308" s="359"/>
      <c r="LUM308" s="359"/>
      <c r="LUN308" s="359"/>
      <c r="LUO308" s="359"/>
      <c r="LUP308" s="359"/>
      <c r="LUQ308" s="359"/>
      <c r="LUR308" s="359"/>
      <c r="LUS308" s="359"/>
      <c r="LUT308" s="359"/>
      <c r="LUU308" s="359"/>
      <c r="LUV308" s="359"/>
      <c r="LUW308" s="359"/>
      <c r="LUX308" s="359"/>
      <c r="LUY308" s="359"/>
      <c r="LUZ308" s="359"/>
      <c r="LVA308" s="359"/>
      <c r="LVB308" s="359"/>
      <c r="LVC308" s="359"/>
      <c r="LVD308" s="359"/>
      <c r="LVE308" s="359"/>
      <c r="LVF308" s="359"/>
      <c r="LVG308" s="359"/>
      <c r="LVH308" s="359"/>
      <c r="LVI308" s="359"/>
      <c r="LVJ308" s="359"/>
      <c r="LVK308" s="359"/>
      <c r="LVL308" s="359"/>
      <c r="LVM308" s="359"/>
      <c r="LVN308" s="359"/>
      <c r="LVO308" s="359"/>
      <c r="LVP308" s="359"/>
      <c r="LVQ308" s="359"/>
      <c r="LVR308" s="359"/>
      <c r="LVS308" s="359"/>
      <c r="LVT308" s="359"/>
      <c r="LVU308" s="359"/>
      <c r="LVV308" s="359"/>
      <c r="LVW308" s="359"/>
      <c r="LVX308" s="359"/>
      <c r="LVY308" s="359"/>
      <c r="LVZ308" s="359"/>
      <c r="LWA308" s="359"/>
      <c r="LWB308" s="359"/>
      <c r="LWC308" s="359"/>
      <c r="LWD308" s="359"/>
      <c r="LWE308" s="359"/>
      <c r="LWF308" s="359"/>
      <c r="LWG308" s="359"/>
      <c r="LWH308" s="359"/>
      <c r="LWI308" s="359"/>
      <c r="LWJ308" s="359"/>
      <c r="LWK308" s="359"/>
      <c r="LWL308" s="359"/>
      <c r="LWM308" s="359"/>
      <c r="LWN308" s="359"/>
      <c r="LWO308" s="359"/>
      <c r="LWP308" s="359"/>
      <c r="LWQ308" s="359"/>
      <c r="LWR308" s="359"/>
      <c r="LWS308" s="359"/>
      <c r="LWT308" s="359"/>
      <c r="LWU308" s="359"/>
      <c r="LWV308" s="359"/>
      <c r="LWW308" s="359"/>
      <c r="LWX308" s="359"/>
      <c r="LWY308" s="359"/>
      <c r="LWZ308" s="359"/>
      <c r="LXA308" s="359"/>
      <c r="LXB308" s="359"/>
      <c r="LXC308" s="359"/>
      <c r="LXD308" s="359"/>
      <c r="LXE308" s="359"/>
      <c r="LXF308" s="359"/>
      <c r="LXG308" s="359"/>
      <c r="LXH308" s="359"/>
      <c r="LXI308" s="359"/>
      <c r="LXJ308" s="359"/>
      <c r="LXK308" s="359"/>
      <c r="LXL308" s="359"/>
      <c r="LXM308" s="359"/>
      <c r="LXN308" s="359"/>
      <c r="LXO308" s="359"/>
      <c r="LXP308" s="359"/>
      <c r="LXQ308" s="359"/>
      <c r="LXR308" s="359"/>
      <c r="LXS308" s="359"/>
      <c r="LXT308" s="359"/>
      <c r="LXU308" s="359"/>
      <c r="LXV308" s="359"/>
      <c r="LXW308" s="359"/>
      <c r="LXX308" s="359"/>
      <c r="LXY308" s="359"/>
      <c r="LXZ308" s="359"/>
      <c r="LYA308" s="359"/>
      <c r="LYB308" s="359"/>
      <c r="LYC308" s="359"/>
      <c r="LYD308" s="359"/>
      <c r="LYE308" s="359"/>
      <c r="LYF308" s="359"/>
      <c r="LYG308" s="359"/>
      <c r="LYH308" s="359"/>
      <c r="LYI308" s="359"/>
      <c r="LYJ308" s="359"/>
      <c r="LYK308" s="359"/>
      <c r="LYL308" s="359"/>
      <c r="LYM308" s="359"/>
      <c r="LYN308" s="359"/>
      <c r="LYO308" s="359"/>
      <c r="LYP308" s="359"/>
      <c r="LYQ308" s="359"/>
      <c r="LYR308" s="359"/>
      <c r="LYS308" s="359"/>
      <c r="LYT308" s="359"/>
      <c r="LYU308" s="359"/>
      <c r="LYV308" s="359"/>
      <c r="LYW308" s="359"/>
      <c r="LYX308" s="359"/>
      <c r="LYY308" s="359"/>
      <c r="LYZ308" s="359"/>
      <c r="LZA308" s="359"/>
      <c r="LZB308" s="359"/>
      <c r="LZC308" s="359"/>
      <c r="LZD308" s="359"/>
      <c r="LZE308" s="359"/>
      <c r="LZF308" s="359"/>
      <c r="LZG308" s="359"/>
      <c r="LZH308" s="359"/>
      <c r="LZI308" s="359"/>
      <c r="LZJ308" s="359"/>
      <c r="LZK308" s="359"/>
      <c r="LZL308" s="359"/>
      <c r="LZM308" s="359"/>
      <c r="LZN308" s="359"/>
      <c r="LZO308" s="359"/>
      <c r="LZP308" s="359"/>
      <c r="LZQ308" s="359"/>
      <c r="LZR308" s="359"/>
      <c r="LZS308" s="359"/>
      <c r="LZT308" s="359"/>
      <c r="LZU308" s="359"/>
      <c r="LZV308" s="359"/>
      <c r="LZW308" s="359"/>
      <c r="LZX308" s="359"/>
      <c r="LZY308" s="359"/>
      <c r="LZZ308" s="359"/>
      <c r="MAA308" s="359"/>
      <c r="MAB308" s="359"/>
      <c r="MAC308" s="359"/>
      <c r="MAD308" s="359"/>
      <c r="MAE308" s="359"/>
      <c r="MAF308" s="359"/>
      <c r="MAG308" s="359"/>
      <c r="MAH308" s="359"/>
      <c r="MAI308" s="359"/>
      <c r="MAJ308" s="359"/>
      <c r="MAK308" s="359"/>
      <c r="MAL308" s="359"/>
      <c r="MAM308" s="359"/>
      <c r="MAN308" s="359"/>
      <c r="MAO308" s="359"/>
      <c r="MAP308" s="359"/>
      <c r="MAQ308" s="359"/>
      <c r="MAR308" s="359"/>
      <c r="MAS308" s="359"/>
      <c r="MAT308" s="359"/>
      <c r="MAU308" s="359"/>
      <c r="MAV308" s="359"/>
      <c r="MAW308" s="359"/>
      <c r="MAX308" s="359"/>
      <c r="MAY308" s="359"/>
      <c r="MAZ308" s="359"/>
      <c r="MBA308" s="359"/>
      <c r="MBB308" s="359"/>
      <c r="MBC308" s="359"/>
      <c r="MBD308" s="359"/>
      <c r="MBE308" s="359"/>
      <c r="MBF308" s="359"/>
      <c r="MBG308" s="359"/>
      <c r="MBH308" s="359"/>
      <c r="MBI308" s="359"/>
      <c r="MBJ308" s="359"/>
      <c r="MBK308" s="359"/>
      <c r="MBL308" s="359"/>
      <c r="MBM308" s="359"/>
      <c r="MBN308" s="359"/>
      <c r="MBO308" s="359"/>
      <c r="MBP308" s="359"/>
      <c r="MBQ308" s="359"/>
      <c r="MBR308" s="359"/>
      <c r="MBS308" s="359"/>
      <c r="MBT308" s="359"/>
      <c r="MBU308" s="359"/>
      <c r="MBV308" s="359"/>
      <c r="MBW308" s="359"/>
      <c r="MBX308" s="359"/>
      <c r="MBY308" s="359"/>
      <c r="MBZ308" s="359"/>
      <c r="MCA308" s="359"/>
      <c r="MCB308" s="359"/>
      <c r="MCC308" s="359"/>
      <c r="MCD308" s="359"/>
      <c r="MCE308" s="359"/>
      <c r="MCF308" s="359"/>
      <c r="MCG308" s="359"/>
      <c r="MCH308" s="359"/>
      <c r="MCI308" s="359"/>
      <c r="MCJ308" s="359"/>
      <c r="MCK308" s="359"/>
      <c r="MCL308" s="359"/>
      <c r="MCM308" s="359"/>
      <c r="MCN308" s="359"/>
      <c r="MCO308" s="359"/>
      <c r="MCP308" s="359"/>
      <c r="MCQ308" s="359"/>
      <c r="MCR308" s="359"/>
      <c r="MCS308" s="359"/>
      <c r="MCT308" s="359"/>
      <c r="MCU308" s="359"/>
      <c r="MCV308" s="359"/>
      <c r="MCW308" s="359"/>
      <c r="MCX308" s="359"/>
      <c r="MCY308" s="359"/>
      <c r="MCZ308" s="359"/>
      <c r="MDA308" s="359"/>
      <c r="MDB308" s="359"/>
      <c r="MDC308" s="359"/>
      <c r="MDD308" s="359"/>
      <c r="MDE308" s="359"/>
      <c r="MDF308" s="359"/>
      <c r="MDG308" s="359"/>
      <c r="MDH308" s="359"/>
      <c r="MDI308" s="359"/>
      <c r="MDJ308" s="359"/>
      <c r="MDK308" s="359"/>
      <c r="MDL308" s="359"/>
      <c r="MDM308" s="359"/>
      <c r="MDN308" s="359"/>
      <c r="MDO308" s="359"/>
      <c r="MDP308" s="359"/>
      <c r="MDQ308" s="359"/>
      <c r="MDR308" s="359"/>
      <c r="MDS308" s="359"/>
      <c r="MDT308" s="359"/>
      <c r="MDU308" s="359"/>
      <c r="MDV308" s="359"/>
      <c r="MDW308" s="359"/>
      <c r="MDX308" s="359"/>
      <c r="MDY308" s="359"/>
      <c r="MDZ308" s="359"/>
      <c r="MEA308" s="359"/>
      <c r="MEB308" s="359"/>
      <c r="MEC308" s="359"/>
      <c r="MED308" s="359"/>
      <c r="MEE308" s="359"/>
      <c r="MEF308" s="359"/>
      <c r="MEG308" s="359"/>
      <c r="MEH308" s="359"/>
      <c r="MEI308" s="359"/>
      <c r="MEJ308" s="359"/>
      <c r="MEK308" s="359"/>
      <c r="MEL308" s="359"/>
      <c r="MEM308" s="359"/>
      <c r="MEN308" s="359"/>
      <c r="MEO308" s="359"/>
      <c r="MEP308" s="359"/>
      <c r="MEQ308" s="359"/>
      <c r="MER308" s="359"/>
      <c r="MES308" s="359"/>
      <c r="MET308" s="359"/>
      <c r="MEU308" s="359"/>
      <c r="MEV308" s="359"/>
      <c r="MEW308" s="359"/>
      <c r="MEX308" s="359"/>
      <c r="MEY308" s="359"/>
      <c r="MEZ308" s="359"/>
      <c r="MFA308" s="359"/>
      <c r="MFB308" s="359"/>
      <c r="MFC308" s="359"/>
      <c r="MFD308" s="359"/>
      <c r="MFE308" s="359"/>
      <c r="MFF308" s="359"/>
      <c r="MFG308" s="359"/>
      <c r="MFH308" s="359"/>
      <c r="MFI308" s="359"/>
      <c r="MFJ308" s="359"/>
      <c r="MFK308" s="359"/>
      <c r="MFL308" s="359"/>
      <c r="MFM308" s="359"/>
      <c r="MFN308" s="359"/>
      <c r="MFO308" s="359"/>
      <c r="MFP308" s="359"/>
      <c r="MFQ308" s="359"/>
      <c r="MFR308" s="359"/>
      <c r="MFS308" s="359"/>
      <c r="MFT308" s="359"/>
      <c r="MFU308" s="359"/>
      <c r="MFV308" s="359"/>
      <c r="MFW308" s="359"/>
      <c r="MFX308" s="359"/>
      <c r="MFY308" s="359"/>
      <c r="MFZ308" s="359"/>
      <c r="MGA308" s="359"/>
      <c r="MGB308" s="359"/>
      <c r="MGC308" s="359"/>
      <c r="MGD308" s="359"/>
      <c r="MGE308" s="359"/>
      <c r="MGF308" s="359"/>
      <c r="MGG308" s="359"/>
      <c r="MGH308" s="359"/>
      <c r="MGI308" s="359"/>
      <c r="MGJ308" s="359"/>
      <c r="MGK308" s="359"/>
      <c r="MGL308" s="359"/>
      <c r="MGM308" s="359"/>
      <c r="MGN308" s="359"/>
      <c r="MGO308" s="359"/>
      <c r="MGP308" s="359"/>
      <c r="MGQ308" s="359"/>
      <c r="MGR308" s="359"/>
      <c r="MGS308" s="359"/>
      <c r="MGT308" s="359"/>
      <c r="MGU308" s="359"/>
      <c r="MGV308" s="359"/>
      <c r="MGW308" s="359"/>
      <c r="MGX308" s="359"/>
      <c r="MGY308" s="359"/>
      <c r="MGZ308" s="359"/>
      <c r="MHA308" s="359"/>
      <c r="MHB308" s="359"/>
      <c r="MHC308" s="359"/>
      <c r="MHD308" s="359"/>
      <c r="MHE308" s="359"/>
      <c r="MHF308" s="359"/>
      <c r="MHG308" s="359"/>
      <c r="MHH308" s="359"/>
      <c r="MHI308" s="359"/>
      <c r="MHJ308" s="359"/>
      <c r="MHK308" s="359"/>
      <c r="MHL308" s="359"/>
      <c r="MHM308" s="359"/>
      <c r="MHN308" s="359"/>
      <c r="MHO308" s="359"/>
      <c r="MHP308" s="359"/>
      <c r="MHQ308" s="359"/>
      <c r="MHR308" s="359"/>
      <c r="MHS308" s="359"/>
      <c r="MHT308" s="359"/>
      <c r="MHU308" s="359"/>
      <c r="MHV308" s="359"/>
      <c r="MHW308" s="359"/>
      <c r="MHX308" s="359"/>
      <c r="MHY308" s="359"/>
      <c r="MHZ308" s="359"/>
      <c r="MIA308" s="359"/>
      <c r="MIB308" s="359"/>
      <c r="MIC308" s="359"/>
      <c r="MID308" s="359"/>
      <c r="MIE308" s="359"/>
      <c r="MIF308" s="359"/>
      <c r="MIG308" s="359"/>
      <c r="MIH308" s="359"/>
      <c r="MII308" s="359"/>
      <c r="MIJ308" s="359"/>
      <c r="MIK308" s="359"/>
      <c r="MIL308" s="359"/>
      <c r="MIM308" s="359"/>
      <c r="MIN308" s="359"/>
      <c r="MIO308" s="359"/>
      <c r="MIP308" s="359"/>
      <c r="MIQ308" s="359"/>
      <c r="MIR308" s="359"/>
      <c r="MIS308" s="359"/>
      <c r="MIT308" s="359"/>
      <c r="MIU308" s="359"/>
      <c r="MIV308" s="359"/>
      <c r="MIW308" s="359"/>
      <c r="MIX308" s="359"/>
      <c r="MIY308" s="359"/>
      <c r="MIZ308" s="359"/>
      <c r="MJA308" s="359"/>
      <c r="MJB308" s="359"/>
      <c r="MJC308" s="359"/>
      <c r="MJD308" s="359"/>
      <c r="MJE308" s="359"/>
      <c r="MJF308" s="359"/>
      <c r="MJG308" s="359"/>
      <c r="MJH308" s="359"/>
      <c r="MJI308" s="359"/>
      <c r="MJJ308" s="359"/>
      <c r="MJK308" s="359"/>
      <c r="MJL308" s="359"/>
      <c r="MJM308" s="359"/>
      <c r="MJN308" s="359"/>
      <c r="MJO308" s="359"/>
      <c r="MJP308" s="359"/>
      <c r="MJQ308" s="359"/>
      <c r="MJR308" s="359"/>
      <c r="MJS308" s="359"/>
      <c r="MJT308" s="359"/>
      <c r="MJU308" s="359"/>
      <c r="MJV308" s="359"/>
      <c r="MJW308" s="359"/>
      <c r="MJX308" s="359"/>
      <c r="MJY308" s="359"/>
      <c r="MJZ308" s="359"/>
      <c r="MKA308" s="359"/>
      <c r="MKB308" s="359"/>
      <c r="MKC308" s="359"/>
      <c r="MKD308" s="359"/>
      <c r="MKE308" s="359"/>
      <c r="MKF308" s="359"/>
      <c r="MKG308" s="359"/>
      <c r="MKH308" s="359"/>
      <c r="MKI308" s="359"/>
      <c r="MKJ308" s="359"/>
      <c r="MKK308" s="359"/>
      <c r="MKL308" s="359"/>
      <c r="MKM308" s="359"/>
      <c r="MKN308" s="359"/>
      <c r="MKO308" s="359"/>
      <c r="MKP308" s="359"/>
      <c r="MKQ308" s="359"/>
      <c r="MKR308" s="359"/>
      <c r="MKS308" s="359"/>
      <c r="MKT308" s="359"/>
      <c r="MKU308" s="359"/>
      <c r="MKV308" s="359"/>
      <c r="MKW308" s="359"/>
      <c r="MKX308" s="359"/>
      <c r="MKY308" s="359"/>
      <c r="MKZ308" s="359"/>
      <c r="MLA308" s="359"/>
      <c r="MLB308" s="359"/>
      <c r="MLC308" s="359"/>
      <c r="MLD308" s="359"/>
      <c r="MLE308" s="359"/>
      <c r="MLF308" s="359"/>
      <c r="MLG308" s="359"/>
      <c r="MLH308" s="359"/>
      <c r="MLI308" s="359"/>
      <c r="MLJ308" s="359"/>
      <c r="MLK308" s="359"/>
      <c r="MLL308" s="359"/>
      <c r="MLM308" s="359"/>
      <c r="MLN308" s="359"/>
      <c r="MLO308" s="359"/>
      <c r="MLP308" s="359"/>
      <c r="MLQ308" s="359"/>
      <c r="MLR308" s="359"/>
      <c r="MLS308" s="359"/>
      <c r="MLT308" s="359"/>
      <c r="MLU308" s="359"/>
      <c r="MLV308" s="359"/>
      <c r="MLW308" s="359"/>
      <c r="MLX308" s="359"/>
      <c r="MLY308" s="359"/>
      <c r="MLZ308" s="359"/>
      <c r="MMA308" s="359"/>
      <c r="MMB308" s="359"/>
      <c r="MMC308" s="359"/>
      <c r="MMD308" s="359"/>
      <c r="MME308" s="359"/>
      <c r="MMF308" s="359"/>
      <c r="MMG308" s="359"/>
      <c r="MMH308" s="359"/>
      <c r="MMI308" s="359"/>
      <c r="MMJ308" s="359"/>
      <c r="MMK308" s="359"/>
      <c r="MML308" s="359"/>
      <c r="MMM308" s="359"/>
      <c r="MMN308" s="359"/>
      <c r="MMO308" s="359"/>
      <c r="MMP308" s="359"/>
      <c r="MMQ308" s="359"/>
      <c r="MMR308" s="359"/>
      <c r="MMS308" s="359"/>
      <c r="MMT308" s="359"/>
      <c r="MMU308" s="359"/>
      <c r="MMV308" s="359"/>
      <c r="MMW308" s="359"/>
      <c r="MMX308" s="359"/>
      <c r="MMY308" s="359"/>
      <c r="MMZ308" s="359"/>
      <c r="MNA308" s="359"/>
      <c r="MNB308" s="359"/>
      <c r="MNC308" s="359"/>
      <c r="MND308" s="359"/>
      <c r="MNE308" s="359"/>
      <c r="MNF308" s="359"/>
      <c r="MNG308" s="359"/>
      <c r="MNH308" s="359"/>
      <c r="MNI308" s="359"/>
      <c r="MNJ308" s="359"/>
      <c r="MNK308" s="359"/>
      <c r="MNL308" s="359"/>
      <c r="MNM308" s="359"/>
      <c r="MNN308" s="359"/>
      <c r="MNO308" s="359"/>
      <c r="MNP308" s="359"/>
      <c r="MNQ308" s="359"/>
      <c r="MNR308" s="359"/>
      <c r="MNS308" s="359"/>
      <c r="MNT308" s="359"/>
      <c r="MNU308" s="359"/>
      <c r="MNV308" s="359"/>
      <c r="MNW308" s="359"/>
      <c r="MNX308" s="359"/>
      <c r="MNY308" s="359"/>
      <c r="MNZ308" s="359"/>
      <c r="MOA308" s="359"/>
      <c r="MOB308" s="359"/>
      <c r="MOC308" s="359"/>
      <c r="MOD308" s="359"/>
      <c r="MOE308" s="359"/>
      <c r="MOF308" s="359"/>
      <c r="MOG308" s="359"/>
      <c r="MOH308" s="359"/>
      <c r="MOI308" s="359"/>
      <c r="MOJ308" s="359"/>
      <c r="MOK308" s="359"/>
      <c r="MOL308" s="359"/>
      <c r="MOM308" s="359"/>
      <c r="MON308" s="359"/>
      <c r="MOO308" s="359"/>
      <c r="MOP308" s="359"/>
      <c r="MOQ308" s="359"/>
      <c r="MOR308" s="359"/>
      <c r="MOS308" s="359"/>
      <c r="MOT308" s="359"/>
      <c r="MOU308" s="359"/>
      <c r="MOV308" s="359"/>
      <c r="MOW308" s="359"/>
      <c r="MOX308" s="359"/>
      <c r="MOY308" s="359"/>
      <c r="MOZ308" s="359"/>
      <c r="MPA308" s="359"/>
      <c r="MPB308" s="359"/>
      <c r="MPC308" s="359"/>
      <c r="MPD308" s="359"/>
      <c r="MPE308" s="359"/>
      <c r="MPF308" s="359"/>
      <c r="MPG308" s="359"/>
      <c r="MPH308" s="359"/>
      <c r="MPI308" s="359"/>
      <c r="MPJ308" s="359"/>
      <c r="MPK308" s="359"/>
      <c r="MPL308" s="359"/>
      <c r="MPM308" s="359"/>
      <c r="MPN308" s="359"/>
      <c r="MPO308" s="359"/>
      <c r="MPP308" s="359"/>
      <c r="MPQ308" s="359"/>
      <c r="MPR308" s="359"/>
      <c r="MPS308" s="359"/>
      <c r="MPT308" s="359"/>
      <c r="MPU308" s="359"/>
      <c r="MPV308" s="359"/>
      <c r="MPW308" s="359"/>
      <c r="MPX308" s="359"/>
      <c r="MPY308" s="359"/>
      <c r="MPZ308" s="359"/>
      <c r="MQA308" s="359"/>
      <c r="MQB308" s="359"/>
      <c r="MQC308" s="359"/>
      <c r="MQD308" s="359"/>
      <c r="MQE308" s="359"/>
      <c r="MQF308" s="359"/>
      <c r="MQG308" s="359"/>
      <c r="MQH308" s="359"/>
      <c r="MQI308" s="359"/>
      <c r="MQJ308" s="359"/>
      <c r="MQK308" s="359"/>
      <c r="MQL308" s="359"/>
      <c r="MQM308" s="359"/>
      <c r="MQN308" s="359"/>
      <c r="MQO308" s="359"/>
      <c r="MQP308" s="359"/>
      <c r="MQQ308" s="359"/>
      <c r="MQR308" s="359"/>
      <c r="MQS308" s="359"/>
      <c r="MQT308" s="359"/>
      <c r="MQU308" s="359"/>
      <c r="MQV308" s="359"/>
      <c r="MQW308" s="359"/>
      <c r="MQX308" s="359"/>
      <c r="MQY308" s="359"/>
      <c r="MQZ308" s="359"/>
      <c r="MRA308" s="359"/>
      <c r="MRB308" s="359"/>
      <c r="MRC308" s="359"/>
      <c r="MRD308" s="359"/>
      <c r="MRE308" s="359"/>
      <c r="MRF308" s="359"/>
      <c r="MRG308" s="359"/>
      <c r="MRH308" s="359"/>
      <c r="MRI308" s="359"/>
      <c r="MRJ308" s="359"/>
      <c r="MRK308" s="359"/>
      <c r="MRL308" s="359"/>
      <c r="MRM308" s="359"/>
      <c r="MRN308" s="359"/>
      <c r="MRO308" s="359"/>
      <c r="MRP308" s="359"/>
      <c r="MRQ308" s="359"/>
      <c r="MRR308" s="359"/>
      <c r="MRS308" s="359"/>
      <c r="MRT308" s="359"/>
      <c r="MRU308" s="359"/>
      <c r="MRV308" s="359"/>
      <c r="MRW308" s="359"/>
      <c r="MRX308" s="359"/>
      <c r="MRY308" s="359"/>
      <c r="MRZ308" s="359"/>
      <c r="MSA308" s="359"/>
      <c r="MSB308" s="359"/>
      <c r="MSC308" s="359"/>
      <c r="MSD308" s="359"/>
      <c r="MSE308" s="359"/>
      <c r="MSF308" s="359"/>
      <c r="MSG308" s="359"/>
      <c r="MSH308" s="359"/>
      <c r="MSI308" s="359"/>
      <c r="MSJ308" s="359"/>
      <c r="MSK308" s="359"/>
      <c r="MSL308" s="359"/>
      <c r="MSM308" s="359"/>
      <c r="MSN308" s="359"/>
      <c r="MSO308" s="359"/>
      <c r="MSP308" s="359"/>
      <c r="MSQ308" s="359"/>
      <c r="MSR308" s="359"/>
      <c r="MSS308" s="359"/>
      <c r="MST308" s="359"/>
      <c r="MSU308" s="359"/>
      <c r="MSV308" s="359"/>
      <c r="MSW308" s="359"/>
      <c r="MSX308" s="359"/>
      <c r="MSY308" s="359"/>
      <c r="MSZ308" s="359"/>
      <c r="MTA308" s="359"/>
      <c r="MTB308" s="359"/>
      <c r="MTC308" s="359"/>
      <c r="MTD308" s="359"/>
      <c r="MTE308" s="359"/>
      <c r="MTF308" s="359"/>
      <c r="MTG308" s="359"/>
      <c r="MTH308" s="359"/>
      <c r="MTI308" s="359"/>
      <c r="MTJ308" s="359"/>
      <c r="MTK308" s="359"/>
      <c r="MTL308" s="359"/>
      <c r="MTM308" s="359"/>
      <c r="MTN308" s="359"/>
      <c r="MTO308" s="359"/>
      <c r="MTP308" s="359"/>
      <c r="MTQ308" s="359"/>
      <c r="MTR308" s="359"/>
      <c r="MTS308" s="359"/>
      <c r="MTT308" s="359"/>
      <c r="MTU308" s="359"/>
      <c r="MTV308" s="359"/>
      <c r="MTW308" s="359"/>
      <c r="MTX308" s="359"/>
      <c r="MTY308" s="359"/>
      <c r="MTZ308" s="359"/>
      <c r="MUA308" s="359"/>
      <c r="MUB308" s="359"/>
      <c r="MUC308" s="359"/>
      <c r="MUD308" s="359"/>
      <c r="MUE308" s="359"/>
      <c r="MUF308" s="359"/>
      <c r="MUG308" s="359"/>
      <c r="MUH308" s="359"/>
      <c r="MUI308" s="359"/>
      <c r="MUJ308" s="359"/>
      <c r="MUK308" s="359"/>
      <c r="MUL308" s="359"/>
      <c r="MUM308" s="359"/>
      <c r="MUN308" s="359"/>
      <c r="MUO308" s="359"/>
      <c r="MUP308" s="359"/>
      <c r="MUQ308" s="359"/>
      <c r="MUR308" s="359"/>
      <c r="MUS308" s="359"/>
      <c r="MUT308" s="359"/>
      <c r="MUU308" s="359"/>
      <c r="MUV308" s="359"/>
      <c r="MUW308" s="359"/>
      <c r="MUX308" s="359"/>
      <c r="MUY308" s="359"/>
      <c r="MUZ308" s="359"/>
      <c r="MVA308" s="359"/>
      <c r="MVB308" s="359"/>
      <c r="MVC308" s="359"/>
      <c r="MVD308" s="359"/>
      <c r="MVE308" s="359"/>
      <c r="MVF308" s="359"/>
      <c r="MVG308" s="359"/>
      <c r="MVH308" s="359"/>
      <c r="MVI308" s="359"/>
      <c r="MVJ308" s="359"/>
      <c r="MVK308" s="359"/>
      <c r="MVL308" s="359"/>
      <c r="MVM308" s="359"/>
      <c r="MVN308" s="359"/>
      <c r="MVO308" s="359"/>
      <c r="MVP308" s="359"/>
      <c r="MVQ308" s="359"/>
      <c r="MVR308" s="359"/>
      <c r="MVS308" s="359"/>
      <c r="MVT308" s="359"/>
      <c r="MVU308" s="359"/>
      <c r="MVV308" s="359"/>
      <c r="MVW308" s="359"/>
      <c r="MVX308" s="359"/>
      <c r="MVY308" s="359"/>
      <c r="MVZ308" s="359"/>
      <c r="MWA308" s="359"/>
      <c r="MWB308" s="359"/>
      <c r="MWC308" s="359"/>
      <c r="MWD308" s="359"/>
      <c r="MWE308" s="359"/>
      <c r="MWF308" s="359"/>
      <c r="MWG308" s="359"/>
      <c r="MWH308" s="359"/>
      <c r="MWI308" s="359"/>
      <c r="MWJ308" s="359"/>
      <c r="MWK308" s="359"/>
      <c r="MWL308" s="359"/>
      <c r="MWM308" s="359"/>
      <c r="MWN308" s="359"/>
      <c r="MWO308" s="359"/>
      <c r="MWP308" s="359"/>
      <c r="MWQ308" s="359"/>
      <c r="MWR308" s="359"/>
      <c r="MWS308" s="359"/>
      <c r="MWT308" s="359"/>
      <c r="MWU308" s="359"/>
      <c r="MWV308" s="359"/>
      <c r="MWW308" s="359"/>
      <c r="MWX308" s="359"/>
      <c r="MWY308" s="359"/>
      <c r="MWZ308" s="359"/>
      <c r="MXA308" s="359"/>
      <c r="MXB308" s="359"/>
      <c r="MXC308" s="359"/>
      <c r="MXD308" s="359"/>
      <c r="MXE308" s="359"/>
      <c r="MXF308" s="359"/>
      <c r="MXG308" s="359"/>
      <c r="MXH308" s="359"/>
      <c r="MXI308" s="359"/>
      <c r="MXJ308" s="359"/>
      <c r="MXK308" s="359"/>
      <c r="MXL308" s="359"/>
      <c r="MXM308" s="359"/>
      <c r="MXN308" s="359"/>
      <c r="MXO308" s="359"/>
      <c r="MXP308" s="359"/>
      <c r="MXQ308" s="359"/>
      <c r="MXR308" s="359"/>
      <c r="MXS308" s="359"/>
      <c r="MXT308" s="359"/>
      <c r="MXU308" s="359"/>
      <c r="MXV308" s="359"/>
      <c r="MXW308" s="359"/>
      <c r="MXX308" s="359"/>
      <c r="MXY308" s="359"/>
      <c r="MXZ308" s="359"/>
      <c r="MYA308" s="359"/>
      <c r="MYB308" s="359"/>
      <c r="MYC308" s="359"/>
      <c r="MYD308" s="359"/>
      <c r="MYE308" s="359"/>
      <c r="MYF308" s="359"/>
      <c r="MYG308" s="359"/>
      <c r="MYH308" s="359"/>
      <c r="MYI308" s="359"/>
      <c r="MYJ308" s="359"/>
      <c r="MYK308" s="359"/>
      <c r="MYL308" s="359"/>
      <c r="MYM308" s="359"/>
      <c r="MYN308" s="359"/>
      <c r="MYO308" s="359"/>
      <c r="MYP308" s="359"/>
      <c r="MYQ308" s="359"/>
      <c r="MYR308" s="359"/>
      <c r="MYS308" s="359"/>
      <c r="MYT308" s="359"/>
      <c r="MYU308" s="359"/>
      <c r="MYV308" s="359"/>
      <c r="MYW308" s="359"/>
      <c r="MYX308" s="359"/>
      <c r="MYY308" s="359"/>
      <c r="MYZ308" s="359"/>
      <c r="MZA308" s="359"/>
      <c r="MZB308" s="359"/>
      <c r="MZC308" s="359"/>
      <c r="MZD308" s="359"/>
      <c r="MZE308" s="359"/>
      <c r="MZF308" s="359"/>
      <c r="MZG308" s="359"/>
      <c r="MZH308" s="359"/>
      <c r="MZI308" s="359"/>
      <c r="MZJ308" s="359"/>
      <c r="MZK308" s="359"/>
      <c r="MZL308" s="359"/>
      <c r="MZM308" s="359"/>
      <c r="MZN308" s="359"/>
      <c r="MZO308" s="359"/>
      <c r="MZP308" s="359"/>
      <c r="MZQ308" s="359"/>
      <c r="MZR308" s="359"/>
      <c r="MZS308" s="359"/>
      <c r="MZT308" s="359"/>
      <c r="MZU308" s="359"/>
      <c r="MZV308" s="359"/>
      <c r="MZW308" s="359"/>
      <c r="MZX308" s="359"/>
      <c r="MZY308" s="359"/>
      <c r="MZZ308" s="359"/>
      <c r="NAA308" s="359"/>
      <c r="NAB308" s="359"/>
      <c r="NAC308" s="359"/>
      <c r="NAD308" s="359"/>
      <c r="NAE308" s="359"/>
      <c r="NAF308" s="359"/>
      <c r="NAG308" s="359"/>
      <c r="NAH308" s="359"/>
      <c r="NAI308" s="359"/>
      <c r="NAJ308" s="359"/>
      <c r="NAK308" s="359"/>
      <c r="NAL308" s="359"/>
      <c r="NAM308" s="359"/>
      <c r="NAN308" s="359"/>
      <c r="NAO308" s="359"/>
      <c r="NAP308" s="359"/>
      <c r="NAQ308" s="359"/>
      <c r="NAR308" s="359"/>
      <c r="NAS308" s="359"/>
      <c r="NAT308" s="359"/>
      <c r="NAU308" s="359"/>
      <c r="NAV308" s="359"/>
      <c r="NAW308" s="359"/>
      <c r="NAX308" s="359"/>
      <c r="NAY308" s="359"/>
      <c r="NAZ308" s="359"/>
      <c r="NBA308" s="359"/>
      <c r="NBB308" s="359"/>
      <c r="NBC308" s="359"/>
      <c r="NBD308" s="359"/>
      <c r="NBE308" s="359"/>
      <c r="NBF308" s="359"/>
      <c r="NBG308" s="359"/>
      <c r="NBH308" s="359"/>
      <c r="NBI308" s="359"/>
      <c r="NBJ308" s="359"/>
      <c r="NBK308" s="359"/>
      <c r="NBL308" s="359"/>
      <c r="NBM308" s="359"/>
      <c r="NBN308" s="359"/>
      <c r="NBO308" s="359"/>
      <c r="NBP308" s="359"/>
      <c r="NBQ308" s="359"/>
      <c r="NBR308" s="359"/>
      <c r="NBS308" s="359"/>
      <c r="NBT308" s="359"/>
      <c r="NBU308" s="359"/>
      <c r="NBV308" s="359"/>
      <c r="NBW308" s="359"/>
      <c r="NBX308" s="359"/>
      <c r="NBY308" s="359"/>
      <c r="NBZ308" s="359"/>
      <c r="NCA308" s="359"/>
      <c r="NCB308" s="359"/>
      <c r="NCC308" s="359"/>
      <c r="NCD308" s="359"/>
      <c r="NCE308" s="359"/>
      <c r="NCF308" s="359"/>
      <c r="NCG308" s="359"/>
      <c r="NCH308" s="359"/>
      <c r="NCI308" s="359"/>
      <c r="NCJ308" s="359"/>
      <c r="NCK308" s="359"/>
      <c r="NCL308" s="359"/>
      <c r="NCM308" s="359"/>
      <c r="NCN308" s="359"/>
      <c r="NCO308" s="359"/>
      <c r="NCP308" s="359"/>
      <c r="NCQ308" s="359"/>
      <c r="NCR308" s="359"/>
      <c r="NCS308" s="359"/>
      <c r="NCT308" s="359"/>
      <c r="NCU308" s="359"/>
      <c r="NCV308" s="359"/>
      <c r="NCW308" s="359"/>
      <c r="NCX308" s="359"/>
      <c r="NCY308" s="359"/>
      <c r="NCZ308" s="359"/>
      <c r="NDA308" s="359"/>
      <c r="NDB308" s="359"/>
      <c r="NDC308" s="359"/>
      <c r="NDD308" s="359"/>
      <c r="NDE308" s="359"/>
      <c r="NDF308" s="359"/>
      <c r="NDG308" s="359"/>
      <c r="NDH308" s="359"/>
      <c r="NDI308" s="359"/>
      <c r="NDJ308" s="359"/>
      <c r="NDK308" s="359"/>
      <c r="NDL308" s="359"/>
      <c r="NDM308" s="359"/>
      <c r="NDN308" s="359"/>
      <c r="NDO308" s="359"/>
      <c r="NDP308" s="359"/>
      <c r="NDQ308" s="359"/>
      <c r="NDR308" s="359"/>
      <c r="NDS308" s="359"/>
      <c r="NDT308" s="359"/>
      <c r="NDU308" s="359"/>
      <c r="NDV308" s="359"/>
      <c r="NDW308" s="359"/>
      <c r="NDX308" s="359"/>
      <c r="NDY308" s="359"/>
      <c r="NDZ308" s="359"/>
      <c r="NEA308" s="359"/>
      <c r="NEB308" s="359"/>
      <c r="NEC308" s="359"/>
      <c r="NED308" s="359"/>
      <c r="NEE308" s="359"/>
      <c r="NEF308" s="359"/>
      <c r="NEG308" s="359"/>
      <c r="NEH308" s="359"/>
      <c r="NEI308" s="359"/>
      <c r="NEJ308" s="359"/>
      <c r="NEK308" s="359"/>
      <c r="NEL308" s="359"/>
      <c r="NEM308" s="359"/>
      <c r="NEN308" s="359"/>
      <c r="NEO308" s="359"/>
      <c r="NEP308" s="359"/>
      <c r="NEQ308" s="359"/>
      <c r="NER308" s="359"/>
      <c r="NES308" s="359"/>
      <c r="NET308" s="359"/>
      <c r="NEU308" s="359"/>
      <c r="NEV308" s="359"/>
      <c r="NEW308" s="359"/>
      <c r="NEX308" s="359"/>
      <c r="NEY308" s="359"/>
      <c r="NEZ308" s="359"/>
      <c r="NFA308" s="359"/>
      <c r="NFB308" s="359"/>
      <c r="NFC308" s="359"/>
      <c r="NFD308" s="359"/>
      <c r="NFE308" s="359"/>
      <c r="NFF308" s="359"/>
      <c r="NFG308" s="359"/>
      <c r="NFH308" s="359"/>
      <c r="NFI308" s="359"/>
      <c r="NFJ308" s="359"/>
      <c r="NFK308" s="359"/>
      <c r="NFL308" s="359"/>
      <c r="NFM308" s="359"/>
      <c r="NFN308" s="359"/>
      <c r="NFO308" s="359"/>
      <c r="NFP308" s="359"/>
      <c r="NFQ308" s="359"/>
      <c r="NFR308" s="359"/>
      <c r="NFS308" s="359"/>
      <c r="NFT308" s="359"/>
      <c r="NFU308" s="359"/>
      <c r="NFV308" s="359"/>
      <c r="NFW308" s="359"/>
      <c r="NFX308" s="359"/>
      <c r="NFY308" s="359"/>
      <c r="NFZ308" s="359"/>
      <c r="NGA308" s="359"/>
      <c r="NGB308" s="359"/>
      <c r="NGC308" s="359"/>
      <c r="NGD308" s="359"/>
      <c r="NGE308" s="359"/>
      <c r="NGF308" s="359"/>
      <c r="NGG308" s="359"/>
      <c r="NGH308" s="359"/>
      <c r="NGI308" s="359"/>
      <c r="NGJ308" s="359"/>
      <c r="NGK308" s="359"/>
      <c r="NGL308" s="359"/>
      <c r="NGM308" s="359"/>
      <c r="NGN308" s="359"/>
      <c r="NGO308" s="359"/>
      <c r="NGP308" s="359"/>
      <c r="NGQ308" s="359"/>
      <c r="NGR308" s="359"/>
      <c r="NGS308" s="359"/>
      <c r="NGT308" s="359"/>
      <c r="NGU308" s="359"/>
      <c r="NGV308" s="359"/>
      <c r="NGW308" s="359"/>
      <c r="NGX308" s="359"/>
      <c r="NGY308" s="359"/>
      <c r="NGZ308" s="359"/>
      <c r="NHA308" s="359"/>
      <c r="NHB308" s="359"/>
      <c r="NHC308" s="359"/>
      <c r="NHD308" s="359"/>
      <c r="NHE308" s="359"/>
      <c r="NHF308" s="359"/>
      <c r="NHG308" s="359"/>
      <c r="NHH308" s="359"/>
      <c r="NHI308" s="359"/>
      <c r="NHJ308" s="359"/>
      <c r="NHK308" s="359"/>
      <c r="NHL308" s="359"/>
      <c r="NHM308" s="359"/>
      <c r="NHN308" s="359"/>
      <c r="NHO308" s="359"/>
      <c r="NHP308" s="359"/>
      <c r="NHQ308" s="359"/>
      <c r="NHR308" s="359"/>
      <c r="NHS308" s="359"/>
      <c r="NHT308" s="359"/>
      <c r="NHU308" s="359"/>
      <c r="NHV308" s="359"/>
      <c r="NHW308" s="359"/>
      <c r="NHX308" s="359"/>
      <c r="NHY308" s="359"/>
      <c r="NHZ308" s="359"/>
      <c r="NIA308" s="359"/>
      <c r="NIB308" s="359"/>
      <c r="NIC308" s="359"/>
      <c r="NID308" s="359"/>
      <c r="NIE308" s="359"/>
      <c r="NIF308" s="359"/>
      <c r="NIG308" s="359"/>
      <c r="NIH308" s="359"/>
      <c r="NII308" s="359"/>
      <c r="NIJ308" s="359"/>
      <c r="NIK308" s="359"/>
      <c r="NIL308" s="359"/>
      <c r="NIM308" s="359"/>
      <c r="NIN308" s="359"/>
      <c r="NIO308" s="359"/>
      <c r="NIP308" s="359"/>
      <c r="NIQ308" s="359"/>
      <c r="NIR308" s="359"/>
      <c r="NIS308" s="359"/>
      <c r="NIT308" s="359"/>
      <c r="NIU308" s="359"/>
      <c r="NIV308" s="359"/>
      <c r="NIW308" s="359"/>
      <c r="NIX308" s="359"/>
      <c r="NIY308" s="359"/>
      <c r="NIZ308" s="359"/>
      <c r="NJA308" s="359"/>
      <c r="NJB308" s="359"/>
      <c r="NJC308" s="359"/>
      <c r="NJD308" s="359"/>
      <c r="NJE308" s="359"/>
      <c r="NJF308" s="359"/>
      <c r="NJG308" s="359"/>
      <c r="NJH308" s="359"/>
      <c r="NJI308" s="359"/>
      <c r="NJJ308" s="359"/>
      <c r="NJK308" s="359"/>
      <c r="NJL308" s="359"/>
      <c r="NJM308" s="359"/>
      <c r="NJN308" s="359"/>
      <c r="NJO308" s="359"/>
      <c r="NJP308" s="359"/>
      <c r="NJQ308" s="359"/>
      <c r="NJR308" s="359"/>
      <c r="NJS308" s="359"/>
      <c r="NJT308" s="359"/>
      <c r="NJU308" s="359"/>
      <c r="NJV308" s="359"/>
      <c r="NJW308" s="359"/>
      <c r="NJX308" s="359"/>
      <c r="NJY308" s="359"/>
      <c r="NJZ308" s="359"/>
      <c r="NKA308" s="359"/>
      <c r="NKB308" s="359"/>
      <c r="NKC308" s="359"/>
      <c r="NKD308" s="359"/>
      <c r="NKE308" s="359"/>
      <c r="NKF308" s="359"/>
      <c r="NKG308" s="359"/>
      <c r="NKH308" s="359"/>
      <c r="NKI308" s="359"/>
      <c r="NKJ308" s="359"/>
      <c r="NKK308" s="359"/>
      <c r="NKL308" s="359"/>
      <c r="NKM308" s="359"/>
      <c r="NKN308" s="359"/>
      <c r="NKO308" s="359"/>
      <c r="NKP308" s="359"/>
      <c r="NKQ308" s="359"/>
      <c r="NKR308" s="359"/>
      <c r="NKS308" s="359"/>
      <c r="NKT308" s="359"/>
      <c r="NKU308" s="359"/>
      <c r="NKV308" s="359"/>
      <c r="NKW308" s="359"/>
      <c r="NKX308" s="359"/>
      <c r="NKY308" s="359"/>
      <c r="NKZ308" s="359"/>
      <c r="NLA308" s="359"/>
      <c r="NLB308" s="359"/>
      <c r="NLC308" s="359"/>
      <c r="NLD308" s="359"/>
      <c r="NLE308" s="359"/>
      <c r="NLF308" s="359"/>
      <c r="NLG308" s="359"/>
      <c r="NLH308" s="359"/>
      <c r="NLI308" s="359"/>
      <c r="NLJ308" s="359"/>
      <c r="NLK308" s="359"/>
      <c r="NLL308" s="359"/>
      <c r="NLM308" s="359"/>
      <c r="NLN308" s="359"/>
      <c r="NLO308" s="359"/>
      <c r="NLP308" s="359"/>
      <c r="NLQ308" s="359"/>
      <c r="NLR308" s="359"/>
      <c r="NLS308" s="359"/>
      <c r="NLT308" s="359"/>
      <c r="NLU308" s="359"/>
      <c r="NLV308" s="359"/>
      <c r="NLW308" s="359"/>
      <c r="NLX308" s="359"/>
      <c r="NLY308" s="359"/>
      <c r="NLZ308" s="359"/>
      <c r="NMA308" s="359"/>
      <c r="NMB308" s="359"/>
      <c r="NMC308" s="359"/>
      <c r="NMD308" s="359"/>
      <c r="NME308" s="359"/>
      <c r="NMF308" s="359"/>
      <c r="NMG308" s="359"/>
      <c r="NMH308" s="359"/>
      <c r="NMI308" s="359"/>
      <c r="NMJ308" s="359"/>
      <c r="NMK308" s="359"/>
      <c r="NML308" s="359"/>
      <c r="NMM308" s="359"/>
      <c r="NMN308" s="359"/>
      <c r="NMO308" s="359"/>
      <c r="NMP308" s="359"/>
      <c r="NMQ308" s="359"/>
      <c r="NMR308" s="359"/>
      <c r="NMS308" s="359"/>
      <c r="NMT308" s="359"/>
      <c r="NMU308" s="359"/>
      <c r="NMV308" s="359"/>
      <c r="NMW308" s="359"/>
      <c r="NMX308" s="359"/>
      <c r="NMY308" s="359"/>
      <c r="NMZ308" s="359"/>
      <c r="NNA308" s="359"/>
      <c r="NNB308" s="359"/>
      <c r="NNC308" s="359"/>
      <c r="NND308" s="359"/>
      <c r="NNE308" s="359"/>
      <c r="NNF308" s="359"/>
      <c r="NNG308" s="359"/>
      <c r="NNH308" s="359"/>
      <c r="NNI308" s="359"/>
      <c r="NNJ308" s="359"/>
      <c r="NNK308" s="359"/>
      <c r="NNL308" s="359"/>
      <c r="NNM308" s="359"/>
      <c r="NNN308" s="359"/>
      <c r="NNO308" s="359"/>
      <c r="NNP308" s="359"/>
      <c r="NNQ308" s="359"/>
      <c r="NNR308" s="359"/>
      <c r="NNS308" s="359"/>
      <c r="NNT308" s="359"/>
      <c r="NNU308" s="359"/>
      <c r="NNV308" s="359"/>
      <c r="NNW308" s="359"/>
      <c r="NNX308" s="359"/>
      <c r="NNY308" s="359"/>
      <c r="NNZ308" s="359"/>
      <c r="NOA308" s="359"/>
      <c r="NOB308" s="359"/>
      <c r="NOC308" s="359"/>
      <c r="NOD308" s="359"/>
      <c r="NOE308" s="359"/>
      <c r="NOF308" s="359"/>
      <c r="NOG308" s="359"/>
      <c r="NOH308" s="359"/>
      <c r="NOI308" s="359"/>
      <c r="NOJ308" s="359"/>
      <c r="NOK308" s="359"/>
      <c r="NOL308" s="359"/>
      <c r="NOM308" s="359"/>
      <c r="NON308" s="359"/>
      <c r="NOO308" s="359"/>
      <c r="NOP308" s="359"/>
      <c r="NOQ308" s="359"/>
      <c r="NOR308" s="359"/>
      <c r="NOS308" s="359"/>
      <c r="NOT308" s="359"/>
      <c r="NOU308" s="359"/>
      <c r="NOV308" s="359"/>
      <c r="NOW308" s="359"/>
      <c r="NOX308" s="359"/>
      <c r="NOY308" s="359"/>
      <c r="NOZ308" s="359"/>
      <c r="NPA308" s="359"/>
      <c r="NPB308" s="359"/>
      <c r="NPC308" s="359"/>
      <c r="NPD308" s="359"/>
      <c r="NPE308" s="359"/>
      <c r="NPF308" s="359"/>
      <c r="NPG308" s="359"/>
      <c r="NPH308" s="359"/>
      <c r="NPI308" s="359"/>
      <c r="NPJ308" s="359"/>
      <c r="NPK308" s="359"/>
      <c r="NPL308" s="359"/>
      <c r="NPM308" s="359"/>
      <c r="NPN308" s="359"/>
      <c r="NPO308" s="359"/>
      <c r="NPP308" s="359"/>
      <c r="NPQ308" s="359"/>
      <c r="NPR308" s="359"/>
      <c r="NPS308" s="359"/>
      <c r="NPT308" s="359"/>
      <c r="NPU308" s="359"/>
      <c r="NPV308" s="359"/>
      <c r="NPW308" s="359"/>
      <c r="NPX308" s="359"/>
      <c r="NPY308" s="359"/>
      <c r="NPZ308" s="359"/>
      <c r="NQA308" s="359"/>
      <c r="NQB308" s="359"/>
      <c r="NQC308" s="359"/>
      <c r="NQD308" s="359"/>
      <c r="NQE308" s="359"/>
      <c r="NQF308" s="359"/>
      <c r="NQG308" s="359"/>
      <c r="NQH308" s="359"/>
      <c r="NQI308" s="359"/>
      <c r="NQJ308" s="359"/>
      <c r="NQK308" s="359"/>
      <c r="NQL308" s="359"/>
      <c r="NQM308" s="359"/>
      <c r="NQN308" s="359"/>
      <c r="NQO308" s="359"/>
      <c r="NQP308" s="359"/>
      <c r="NQQ308" s="359"/>
      <c r="NQR308" s="359"/>
      <c r="NQS308" s="359"/>
      <c r="NQT308" s="359"/>
      <c r="NQU308" s="359"/>
      <c r="NQV308" s="359"/>
      <c r="NQW308" s="359"/>
      <c r="NQX308" s="359"/>
      <c r="NQY308" s="359"/>
      <c r="NQZ308" s="359"/>
      <c r="NRA308" s="359"/>
      <c r="NRB308" s="359"/>
      <c r="NRC308" s="359"/>
      <c r="NRD308" s="359"/>
      <c r="NRE308" s="359"/>
      <c r="NRF308" s="359"/>
      <c r="NRG308" s="359"/>
      <c r="NRH308" s="359"/>
      <c r="NRI308" s="359"/>
      <c r="NRJ308" s="359"/>
      <c r="NRK308" s="359"/>
      <c r="NRL308" s="359"/>
      <c r="NRM308" s="359"/>
      <c r="NRN308" s="359"/>
      <c r="NRO308" s="359"/>
      <c r="NRP308" s="359"/>
      <c r="NRQ308" s="359"/>
      <c r="NRR308" s="359"/>
      <c r="NRS308" s="359"/>
      <c r="NRT308" s="359"/>
      <c r="NRU308" s="359"/>
      <c r="NRV308" s="359"/>
      <c r="NRW308" s="359"/>
      <c r="NRX308" s="359"/>
      <c r="NRY308" s="359"/>
      <c r="NRZ308" s="359"/>
      <c r="NSA308" s="359"/>
      <c r="NSB308" s="359"/>
      <c r="NSC308" s="359"/>
      <c r="NSD308" s="359"/>
      <c r="NSE308" s="359"/>
      <c r="NSF308" s="359"/>
      <c r="NSG308" s="359"/>
      <c r="NSH308" s="359"/>
      <c r="NSI308" s="359"/>
      <c r="NSJ308" s="359"/>
      <c r="NSK308" s="359"/>
      <c r="NSL308" s="359"/>
      <c r="NSM308" s="359"/>
      <c r="NSN308" s="359"/>
      <c r="NSO308" s="359"/>
      <c r="NSP308" s="359"/>
      <c r="NSQ308" s="359"/>
      <c r="NSR308" s="359"/>
      <c r="NSS308" s="359"/>
      <c r="NST308" s="359"/>
      <c r="NSU308" s="359"/>
      <c r="NSV308" s="359"/>
      <c r="NSW308" s="359"/>
      <c r="NSX308" s="359"/>
      <c r="NSY308" s="359"/>
      <c r="NSZ308" s="359"/>
      <c r="NTA308" s="359"/>
      <c r="NTB308" s="359"/>
      <c r="NTC308" s="359"/>
      <c r="NTD308" s="359"/>
      <c r="NTE308" s="359"/>
      <c r="NTF308" s="359"/>
      <c r="NTG308" s="359"/>
      <c r="NTH308" s="359"/>
      <c r="NTI308" s="359"/>
      <c r="NTJ308" s="359"/>
      <c r="NTK308" s="359"/>
      <c r="NTL308" s="359"/>
      <c r="NTM308" s="359"/>
      <c r="NTN308" s="359"/>
      <c r="NTO308" s="359"/>
      <c r="NTP308" s="359"/>
      <c r="NTQ308" s="359"/>
      <c r="NTR308" s="359"/>
      <c r="NTS308" s="359"/>
      <c r="NTT308" s="359"/>
      <c r="NTU308" s="359"/>
      <c r="NTV308" s="359"/>
      <c r="NTW308" s="359"/>
      <c r="NTX308" s="359"/>
      <c r="NTY308" s="359"/>
      <c r="NTZ308" s="359"/>
      <c r="NUA308" s="359"/>
      <c r="NUB308" s="359"/>
      <c r="NUC308" s="359"/>
      <c r="NUD308" s="359"/>
      <c r="NUE308" s="359"/>
      <c r="NUF308" s="359"/>
      <c r="NUG308" s="359"/>
      <c r="NUH308" s="359"/>
      <c r="NUI308" s="359"/>
      <c r="NUJ308" s="359"/>
      <c r="NUK308" s="359"/>
      <c r="NUL308" s="359"/>
      <c r="NUM308" s="359"/>
      <c r="NUN308" s="359"/>
      <c r="NUO308" s="359"/>
      <c r="NUP308" s="359"/>
      <c r="NUQ308" s="359"/>
      <c r="NUR308" s="359"/>
      <c r="NUS308" s="359"/>
      <c r="NUT308" s="359"/>
      <c r="NUU308" s="359"/>
      <c r="NUV308" s="359"/>
      <c r="NUW308" s="359"/>
      <c r="NUX308" s="359"/>
      <c r="NUY308" s="359"/>
      <c r="NUZ308" s="359"/>
      <c r="NVA308" s="359"/>
      <c r="NVB308" s="359"/>
      <c r="NVC308" s="359"/>
      <c r="NVD308" s="359"/>
      <c r="NVE308" s="359"/>
      <c r="NVF308" s="359"/>
      <c r="NVG308" s="359"/>
      <c r="NVH308" s="359"/>
      <c r="NVI308" s="359"/>
      <c r="NVJ308" s="359"/>
      <c r="NVK308" s="359"/>
      <c r="NVL308" s="359"/>
      <c r="NVM308" s="359"/>
      <c r="NVN308" s="359"/>
      <c r="NVO308" s="359"/>
      <c r="NVP308" s="359"/>
      <c r="NVQ308" s="359"/>
      <c r="NVR308" s="359"/>
      <c r="NVS308" s="359"/>
      <c r="NVT308" s="359"/>
      <c r="NVU308" s="359"/>
      <c r="NVV308" s="359"/>
      <c r="NVW308" s="359"/>
      <c r="NVX308" s="359"/>
      <c r="NVY308" s="359"/>
      <c r="NVZ308" s="359"/>
      <c r="NWA308" s="359"/>
      <c r="NWB308" s="359"/>
      <c r="NWC308" s="359"/>
      <c r="NWD308" s="359"/>
      <c r="NWE308" s="359"/>
      <c r="NWF308" s="359"/>
      <c r="NWG308" s="359"/>
      <c r="NWH308" s="359"/>
      <c r="NWI308" s="359"/>
      <c r="NWJ308" s="359"/>
      <c r="NWK308" s="359"/>
      <c r="NWL308" s="359"/>
      <c r="NWM308" s="359"/>
      <c r="NWN308" s="359"/>
      <c r="NWO308" s="359"/>
      <c r="NWP308" s="359"/>
      <c r="NWQ308" s="359"/>
      <c r="NWR308" s="359"/>
      <c r="NWS308" s="359"/>
      <c r="NWT308" s="359"/>
      <c r="NWU308" s="359"/>
      <c r="NWV308" s="359"/>
      <c r="NWW308" s="359"/>
      <c r="NWX308" s="359"/>
      <c r="NWY308" s="359"/>
      <c r="NWZ308" s="359"/>
      <c r="NXA308" s="359"/>
      <c r="NXB308" s="359"/>
      <c r="NXC308" s="359"/>
      <c r="NXD308" s="359"/>
      <c r="NXE308" s="359"/>
      <c r="NXF308" s="359"/>
      <c r="NXG308" s="359"/>
      <c r="NXH308" s="359"/>
      <c r="NXI308" s="359"/>
      <c r="NXJ308" s="359"/>
      <c r="NXK308" s="359"/>
      <c r="NXL308" s="359"/>
      <c r="NXM308" s="359"/>
      <c r="NXN308" s="359"/>
      <c r="NXO308" s="359"/>
      <c r="NXP308" s="359"/>
      <c r="NXQ308" s="359"/>
      <c r="NXR308" s="359"/>
      <c r="NXS308" s="359"/>
      <c r="NXT308" s="359"/>
      <c r="NXU308" s="359"/>
      <c r="NXV308" s="359"/>
      <c r="NXW308" s="359"/>
      <c r="NXX308" s="359"/>
      <c r="NXY308" s="359"/>
      <c r="NXZ308" s="359"/>
      <c r="NYA308" s="359"/>
      <c r="NYB308" s="359"/>
      <c r="NYC308" s="359"/>
      <c r="NYD308" s="359"/>
      <c r="NYE308" s="359"/>
      <c r="NYF308" s="359"/>
      <c r="NYG308" s="359"/>
      <c r="NYH308" s="359"/>
      <c r="NYI308" s="359"/>
      <c r="NYJ308" s="359"/>
      <c r="NYK308" s="359"/>
      <c r="NYL308" s="359"/>
      <c r="NYM308" s="359"/>
      <c r="NYN308" s="359"/>
      <c r="NYO308" s="359"/>
      <c r="NYP308" s="359"/>
      <c r="NYQ308" s="359"/>
      <c r="NYR308" s="359"/>
      <c r="NYS308" s="359"/>
      <c r="NYT308" s="359"/>
      <c r="NYU308" s="359"/>
      <c r="NYV308" s="359"/>
      <c r="NYW308" s="359"/>
      <c r="NYX308" s="359"/>
      <c r="NYY308" s="359"/>
      <c r="NYZ308" s="359"/>
      <c r="NZA308" s="359"/>
      <c r="NZB308" s="359"/>
      <c r="NZC308" s="359"/>
      <c r="NZD308" s="359"/>
      <c r="NZE308" s="359"/>
      <c r="NZF308" s="359"/>
      <c r="NZG308" s="359"/>
      <c r="NZH308" s="359"/>
      <c r="NZI308" s="359"/>
      <c r="NZJ308" s="359"/>
      <c r="NZK308" s="359"/>
      <c r="NZL308" s="359"/>
      <c r="NZM308" s="359"/>
      <c r="NZN308" s="359"/>
      <c r="NZO308" s="359"/>
      <c r="NZP308" s="359"/>
      <c r="NZQ308" s="359"/>
      <c r="NZR308" s="359"/>
      <c r="NZS308" s="359"/>
      <c r="NZT308" s="359"/>
      <c r="NZU308" s="359"/>
      <c r="NZV308" s="359"/>
      <c r="NZW308" s="359"/>
      <c r="NZX308" s="359"/>
      <c r="NZY308" s="359"/>
      <c r="NZZ308" s="359"/>
      <c r="OAA308" s="359"/>
      <c r="OAB308" s="359"/>
      <c r="OAC308" s="359"/>
      <c r="OAD308" s="359"/>
      <c r="OAE308" s="359"/>
      <c r="OAF308" s="359"/>
      <c r="OAG308" s="359"/>
      <c r="OAH308" s="359"/>
      <c r="OAI308" s="359"/>
      <c r="OAJ308" s="359"/>
      <c r="OAK308" s="359"/>
      <c r="OAL308" s="359"/>
      <c r="OAM308" s="359"/>
      <c r="OAN308" s="359"/>
      <c r="OAO308" s="359"/>
      <c r="OAP308" s="359"/>
      <c r="OAQ308" s="359"/>
      <c r="OAR308" s="359"/>
      <c r="OAS308" s="359"/>
      <c r="OAT308" s="359"/>
      <c r="OAU308" s="359"/>
      <c r="OAV308" s="359"/>
      <c r="OAW308" s="359"/>
      <c r="OAX308" s="359"/>
      <c r="OAY308" s="359"/>
      <c r="OAZ308" s="359"/>
      <c r="OBA308" s="359"/>
      <c r="OBB308" s="359"/>
      <c r="OBC308" s="359"/>
      <c r="OBD308" s="359"/>
      <c r="OBE308" s="359"/>
      <c r="OBF308" s="359"/>
      <c r="OBG308" s="359"/>
      <c r="OBH308" s="359"/>
      <c r="OBI308" s="359"/>
      <c r="OBJ308" s="359"/>
      <c r="OBK308" s="359"/>
      <c r="OBL308" s="359"/>
      <c r="OBM308" s="359"/>
      <c r="OBN308" s="359"/>
      <c r="OBO308" s="359"/>
      <c r="OBP308" s="359"/>
      <c r="OBQ308" s="359"/>
      <c r="OBR308" s="359"/>
      <c r="OBS308" s="359"/>
      <c r="OBT308" s="359"/>
      <c r="OBU308" s="359"/>
      <c r="OBV308" s="359"/>
      <c r="OBW308" s="359"/>
      <c r="OBX308" s="359"/>
      <c r="OBY308" s="359"/>
      <c r="OBZ308" s="359"/>
      <c r="OCA308" s="359"/>
      <c r="OCB308" s="359"/>
      <c r="OCC308" s="359"/>
      <c r="OCD308" s="359"/>
      <c r="OCE308" s="359"/>
      <c r="OCF308" s="359"/>
      <c r="OCG308" s="359"/>
      <c r="OCH308" s="359"/>
      <c r="OCI308" s="359"/>
      <c r="OCJ308" s="359"/>
      <c r="OCK308" s="359"/>
      <c r="OCL308" s="359"/>
      <c r="OCM308" s="359"/>
      <c r="OCN308" s="359"/>
      <c r="OCO308" s="359"/>
      <c r="OCP308" s="359"/>
      <c r="OCQ308" s="359"/>
      <c r="OCR308" s="359"/>
      <c r="OCS308" s="359"/>
      <c r="OCT308" s="359"/>
      <c r="OCU308" s="359"/>
      <c r="OCV308" s="359"/>
      <c r="OCW308" s="359"/>
      <c r="OCX308" s="359"/>
      <c r="OCY308" s="359"/>
      <c r="OCZ308" s="359"/>
      <c r="ODA308" s="359"/>
      <c r="ODB308" s="359"/>
      <c r="ODC308" s="359"/>
      <c r="ODD308" s="359"/>
      <c r="ODE308" s="359"/>
      <c r="ODF308" s="359"/>
      <c r="ODG308" s="359"/>
      <c r="ODH308" s="359"/>
      <c r="ODI308" s="359"/>
      <c r="ODJ308" s="359"/>
      <c r="ODK308" s="359"/>
      <c r="ODL308" s="359"/>
      <c r="ODM308" s="359"/>
      <c r="ODN308" s="359"/>
      <c r="ODO308" s="359"/>
      <c r="ODP308" s="359"/>
      <c r="ODQ308" s="359"/>
      <c r="ODR308" s="359"/>
      <c r="ODS308" s="359"/>
      <c r="ODT308" s="359"/>
      <c r="ODU308" s="359"/>
      <c r="ODV308" s="359"/>
      <c r="ODW308" s="359"/>
      <c r="ODX308" s="359"/>
      <c r="ODY308" s="359"/>
      <c r="ODZ308" s="359"/>
      <c r="OEA308" s="359"/>
      <c r="OEB308" s="359"/>
      <c r="OEC308" s="359"/>
      <c r="OED308" s="359"/>
      <c r="OEE308" s="359"/>
      <c r="OEF308" s="359"/>
      <c r="OEG308" s="359"/>
      <c r="OEH308" s="359"/>
      <c r="OEI308" s="359"/>
      <c r="OEJ308" s="359"/>
      <c r="OEK308" s="359"/>
      <c r="OEL308" s="359"/>
      <c r="OEM308" s="359"/>
      <c r="OEN308" s="359"/>
      <c r="OEO308" s="359"/>
      <c r="OEP308" s="359"/>
      <c r="OEQ308" s="359"/>
      <c r="OER308" s="359"/>
      <c r="OES308" s="359"/>
      <c r="OET308" s="359"/>
      <c r="OEU308" s="359"/>
      <c r="OEV308" s="359"/>
      <c r="OEW308" s="359"/>
      <c r="OEX308" s="359"/>
      <c r="OEY308" s="359"/>
      <c r="OEZ308" s="359"/>
      <c r="OFA308" s="359"/>
      <c r="OFB308" s="359"/>
      <c r="OFC308" s="359"/>
      <c r="OFD308" s="359"/>
      <c r="OFE308" s="359"/>
      <c r="OFF308" s="359"/>
      <c r="OFG308" s="359"/>
      <c r="OFH308" s="359"/>
      <c r="OFI308" s="359"/>
      <c r="OFJ308" s="359"/>
      <c r="OFK308" s="359"/>
      <c r="OFL308" s="359"/>
      <c r="OFM308" s="359"/>
      <c r="OFN308" s="359"/>
      <c r="OFO308" s="359"/>
      <c r="OFP308" s="359"/>
      <c r="OFQ308" s="359"/>
      <c r="OFR308" s="359"/>
      <c r="OFS308" s="359"/>
      <c r="OFT308" s="359"/>
      <c r="OFU308" s="359"/>
      <c r="OFV308" s="359"/>
      <c r="OFW308" s="359"/>
      <c r="OFX308" s="359"/>
      <c r="OFY308" s="359"/>
      <c r="OFZ308" s="359"/>
      <c r="OGA308" s="359"/>
      <c r="OGB308" s="359"/>
      <c r="OGC308" s="359"/>
      <c r="OGD308" s="359"/>
      <c r="OGE308" s="359"/>
      <c r="OGF308" s="359"/>
      <c r="OGG308" s="359"/>
      <c r="OGH308" s="359"/>
      <c r="OGI308" s="359"/>
      <c r="OGJ308" s="359"/>
      <c r="OGK308" s="359"/>
      <c r="OGL308" s="359"/>
      <c r="OGM308" s="359"/>
      <c r="OGN308" s="359"/>
      <c r="OGO308" s="359"/>
      <c r="OGP308" s="359"/>
      <c r="OGQ308" s="359"/>
      <c r="OGR308" s="359"/>
      <c r="OGS308" s="359"/>
      <c r="OGT308" s="359"/>
      <c r="OGU308" s="359"/>
      <c r="OGV308" s="359"/>
      <c r="OGW308" s="359"/>
      <c r="OGX308" s="359"/>
      <c r="OGY308" s="359"/>
      <c r="OGZ308" s="359"/>
      <c r="OHA308" s="359"/>
      <c r="OHB308" s="359"/>
      <c r="OHC308" s="359"/>
      <c r="OHD308" s="359"/>
      <c r="OHE308" s="359"/>
      <c r="OHF308" s="359"/>
      <c r="OHG308" s="359"/>
      <c r="OHH308" s="359"/>
      <c r="OHI308" s="359"/>
      <c r="OHJ308" s="359"/>
      <c r="OHK308" s="359"/>
      <c r="OHL308" s="359"/>
      <c r="OHM308" s="359"/>
      <c r="OHN308" s="359"/>
      <c r="OHO308" s="359"/>
      <c r="OHP308" s="359"/>
      <c r="OHQ308" s="359"/>
      <c r="OHR308" s="359"/>
      <c r="OHS308" s="359"/>
      <c r="OHT308" s="359"/>
      <c r="OHU308" s="359"/>
      <c r="OHV308" s="359"/>
      <c r="OHW308" s="359"/>
      <c r="OHX308" s="359"/>
      <c r="OHY308" s="359"/>
      <c r="OHZ308" s="359"/>
      <c r="OIA308" s="359"/>
      <c r="OIB308" s="359"/>
      <c r="OIC308" s="359"/>
      <c r="OID308" s="359"/>
      <c r="OIE308" s="359"/>
      <c r="OIF308" s="359"/>
      <c r="OIG308" s="359"/>
      <c r="OIH308" s="359"/>
      <c r="OII308" s="359"/>
      <c r="OIJ308" s="359"/>
      <c r="OIK308" s="359"/>
      <c r="OIL308" s="359"/>
      <c r="OIM308" s="359"/>
      <c r="OIN308" s="359"/>
      <c r="OIO308" s="359"/>
      <c r="OIP308" s="359"/>
      <c r="OIQ308" s="359"/>
      <c r="OIR308" s="359"/>
      <c r="OIS308" s="359"/>
      <c r="OIT308" s="359"/>
      <c r="OIU308" s="359"/>
      <c r="OIV308" s="359"/>
      <c r="OIW308" s="359"/>
      <c r="OIX308" s="359"/>
      <c r="OIY308" s="359"/>
      <c r="OIZ308" s="359"/>
      <c r="OJA308" s="359"/>
      <c r="OJB308" s="359"/>
      <c r="OJC308" s="359"/>
      <c r="OJD308" s="359"/>
      <c r="OJE308" s="359"/>
      <c r="OJF308" s="359"/>
      <c r="OJG308" s="359"/>
      <c r="OJH308" s="359"/>
      <c r="OJI308" s="359"/>
      <c r="OJJ308" s="359"/>
      <c r="OJK308" s="359"/>
      <c r="OJL308" s="359"/>
      <c r="OJM308" s="359"/>
      <c r="OJN308" s="359"/>
      <c r="OJO308" s="359"/>
      <c r="OJP308" s="359"/>
      <c r="OJQ308" s="359"/>
      <c r="OJR308" s="359"/>
      <c r="OJS308" s="359"/>
      <c r="OJT308" s="359"/>
      <c r="OJU308" s="359"/>
      <c r="OJV308" s="359"/>
      <c r="OJW308" s="359"/>
      <c r="OJX308" s="359"/>
      <c r="OJY308" s="359"/>
      <c r="OJZ308" s="359"/>
      <c r="OKA308" s="359"/>
      <c r="OKB308" s="359"/>
      <c r="OKC308" s="359"/>
      <c r="OKD308" s="359"/>
      <c r="OKE308" s="359"/>
      <c r="OKF308" s="359"/>
      <c r="OKG308" s="359"/>
      <c r="OKH308" s="359"/>
      <c r="OKI308" s="359"/>
      <c r="OKJ308" s="359"/>
      <c r="OKK308" s="359"/>
      <c r="OKL308" s="359"/>
      <c r="OKM308" s="359"/>
      <c r="OKN308" s="359"/>
      <c r="OKO308" s="359"/>
      <c r="OKP308" s="359"/>
      <c r="OKQ308" s="359"/>
      <c r="OKR308" s="359"/>
      <c r="OKS308" s="359"/>
      <c r="OKT308" s="359"/>
      <c r="OKU308" s="359"/>
      <c r="OKV308" s="359"/>
      <c r="OKW308" s="359"/>
      <c r="OKX308" s="359"/>
      <c r="OKY308" s="359"/>
      <c r="OKZ308" s="359"/>
      <c r="OLA308" s="359"/>
      <c r="OLB308" s="359"/>
      <c r="OLC308" s="359"/>
      <c r="OLD308" s="359"/>
      <c r="OLE308" s="359"/>
      <c r="OLF308" s="359"/>
      <c r="OLG308" s="359"/>
      <c r="OLH308" s="359"/>
      <c r="OLI308" s="359"/>
      <c r="OLJ308" s="359"/>
      <c r="OLK308" s="359"/>
      <c r="OLL308" s="359"/>
      <c r="OLM308" s="359"/>
      <c r="OLN308" s="359"/>
      <c r="OLO308" s="359"/>
      <c r="OLP308" s="359"/>
      <c r="OLQ308" s="359"/>
      <c r="OLR308" s="359"/>
      <c r="OLS308" s="359"/>
      <c r="OLT308" s="359"/>
      <c r="OLU308" s="359"/>
      <c r="OLV308" s="359"/>
      <c r="OLW308" s="359"/>
      <c r="OLX308" s="359"/>
      <c r="OLY308" s="359"/>
      <c r="OLZ308" s="359"/>
      <c r="OMA308" s="359"/>
      <c r="OMB308" s="359"/>
      <c r="OMC308" s="359"/>
      <c r="OMD308" s="359"/>
      <c r="OME308" s="359"/>
      <c r="OMF308" s="359"/>
      <c r="OMG308" s="359"/>
      <c r="OMH308" s="359"/>
      <c r="OMI308" s="359"/>
      <c r="OMJ308" s="359"/>
      <c r="OMK308" s="359"/>
      <c r="OML308" s="359"/>
      <c r="OMM308" s="359"/>
      <c r="OMN308" s="359"/>
      <c r="OMO308" s="359"/>
      <c r="OMP308" s="359"/>
      <c r="OMQ308" s="359"/>
      <c r="OMR308" s="359"/>
      <c r="OMS308" s="359"/>
      <c r="OMT308" s="359"/>
      <c r="OMU308" s="359"/>
      <c r="OMV308" s="359"/>
      <c r="OMW308" s="359"/>
      <c r="OMX308" s="359"/>
      <c r="OMY308" s="359"/>
      <c r="OMZ308" s="359"/>
      <c r="ONA308" s="359"/>
      <c r="ONB308" s="359"/>
      <c r="ONC308" s="359"/>
      <c r="OND308" s="359"/>
      <c r="ONE308" s="359"/>
      <c r="ONF308" s="359"/>
      <c r="ONG308" s="359"/>
      <c r="ONH308" s="359"/>
      <c r="ONI308" s="359"/>
      <c r="ONJ308" s="359"/>
      <c r="ONK308" s="359"/>
      <c r="ONL308" s="359"/>
      <c r="ONM308" s="359"/>
      <c r="ONN308" s="359"/>
      <c r="ONO308" s="359"/>
      <c r="ONP308" s="359"/>
      <c r="ONQ308" s="359"/>
      <c r="ONR308" s="359"/>
      <c r="ONS308" s="359"/>
      <c r="ONT308" s="359"/>
      <c r="ONU308" s="359"/>
      <c r="ONV308" s="359"/>
      <c r="ONW308" s="359"/>
      <c r="ONX308" s="359"/>
      <c r="ONY308" s="359"/>
      <c r="ONZ308" s="359"/>
      <c r="OOA308" s="359"/>
      <c r="OOB308" s="359"/>
      <c r="OOC308" s="359"/>
      <c r="OOD308" s="359"/>
      <c r="OOE308" s="359"/>
      <c r="OOF308" s="359"/>
      <c r="OOG308" s="359"/>
      <c r="OOH308" s="359"/>
      <c r="OOI308" s="359"/>
      <c r="OOJ308" s="359"/>
      <c r="OOK308" s="359"/>
      <c r="OOL308" s="359"/>
      <c r="OOM308" s="359"/>
      <c r="OON308" s="359"/>
      <c r="OOO308" s="359"/>
      <c r="OOP308" s="359"/>
      <c r="OOQ308" s="359"/>
      <c r="OOR308" s="359"/>
      <c r="OOS308" s="359"/>
      <c r="OOT308" s="359"/>
      <c r="OOU308" s="359"/>
      <c r="OOV308" s="359"/>
      <c r="OOW308" s="359"/>
      <c r="OOX308" s="359"/>
      <c r="OOY308" s="359"/>
      <c r="OOZ308" s="359"/>
      <c r="OPA308" s="359"/>
      <c r="OPB308" s="359"/>
      <c r="OPC308" s="359"/>
      <c r="OPD308" s="359"/>
      <c r="OPE308" s="359"/>
      <c r="OPF308" s="359"/>
      <c r="OPG308" s="359"/>
      <c r="OPH308" s="359"/>
      <c r="OPI308" s="359"/>
      <c r="OPJ308" s="359"/>
      <c r="OPK308" s="359"/>
      <c r="OPL308" s="359"/>
      <c r="OPM308" s="359"/>
      <c r="OPN308" s="359"/>
      <c r="OPO308" s="359"/>
      <c r="OPP308" s="359"/>
      <c r="OPQ308" s="359"/>
      <c r="OPR308" s="359"/>
      <c r="OPS308" s="359"/>
      <c r="OPT308" s="359"/>
      <c r="OPU308" s="359"/>
      <c r="OPV308" s="359"/>
      <c r="OPW308" s="359"/>
      <c r="OPX308" s="359"/>
      <c r="OPY308" s="359"/>
      <c r="OPZ308" s="359"/>
      <c r="OQA308" s="359"/>
      <c r="OQB308" s="359"/>
      <c r="OQC308" s="359"/>
      <c r="OQD308" s="359"/>
      <c r="OQE308" s="359"/>
      <c r="OQF308" s="359"/>
      <c r="OQG308" s="359"/>
      <c r="OQH308" s="359"/>
      <c r="OQI308" s="359"/>
      <c r="OQJ308" s="359"/>
      <c r="OQK308" s="359"/>
      <c r="OQL308" s="359"/>
      <c r="OQM308" s="359"/>
      <c r="OQN308" s="359"/>
      <c r="OQO308" s="359"/>
      <c r="OQP308" s="359"/>
      <c r="OQQ308" s="359"/>
      <c r="OQR308" s="359"/>
      <c r="OQS308" s="359"/>
      <c r="OQT308" s="359"/>
      <c r="OQU308" s="359"/>
      <c r="OQV308" s="359"/>
      <c r="OQW308" s="359"/>
      <c r="OQX308" s="359"/>
      <c r="OQY308" s="359"/>
      <c r="OQZ308" s="359"/>
      <c r="ORA308" s="359"/>
      <c r="ORB308" s="359"/>
      <c r="ORC308" s="359"/>
      <c r="ORD308" s="359"/>
      <c r="ORE308" s="359"/>
      <c r="ORF308" s="359"/>
      <c r="ORG308" s="359"/>
      <c r="ORH308" s="359"/>
      <c r="ORI308" s="359"/>
      <c r="ORJ308" s="359"/>
      <c r="ORK308" s="359"/>
      <c r="ORL308" s="359"/>
      <c r="ORM308" s="359"/>
      <c r="ORN308" s="359"/>
      <c r="ORO308" s="359"/>
      <c r="ORP308" s="359"/>
      <c r="ORQ308" s="359"/>
      <c r="ORR308" s="359"/>
      <c r="ORS308" s="359"/>
      <c r="ORT308" s="359"/>
      <c r="ORU308" s="359"/>
      <c r="ORV308" s="359"/>
      <c r="ORW308" s="359"/>
      <c r="ORX308" s="359"/>
      <c r="ORY308" s="359"/>
      <c r="ORZ308" s="359"/>
      <c r="OSA308" s="359"/>
      <c r="OSB308" s="359"/>
      <c r="OSC308" s="359"/>
      <c r="OSD308" s="359"/>
      <c r="OSE308" s="359"/>
      <c r="OSF308" s="359"/>
      <c r="OSG308" s="359"/>
      <c r="OSH308" s="359"/>
      <c r="OSI308" s="359"/>
      <c r="OSJ308" s="359"/>
      <c r="OSK308" s="359"/>
      <c r="OSL308" s="359"/>
      <c r="OSM308" s="359"/>
      <c r="OSN308" s="359"/>
      <c r="OSO308" s="359"/>
      <c r="OSP308" s="359"/>
      <c r="OSQ308" s="359"/>
      <c r="OSR308" s="359"/>
      <c r="OSS308" s="359"/>
      <c r="OST308" s="359"/>
      <c r="OSU308" s="359"/>
      <c r="OSV308" s="359"/>
      <c r="OSW308" s="359"/>
      <c r="OSX308" s="359"/>
      <c r="OSY308" s="359"/>
      <c r="OSZ308" s="359"/>
      <c r="OTA308" s="359"/>
      <c r="OTB308" s="359"/>
      <c r="OTC308" s="359"/>
      <c r="OTD308" s="359"/>
      <c r="OTE308" s="359"/>
      <c r="OTF308" s="359"/>
      <c r="OTG308" s="359"/>
      <c r="OTH308" s="359"/>
      <c r="OTI308" s="359"/>
      <c r="OTJ308" s="359"/>
      <c r="OTK308" s="359"/>
      <c r="OTL308" s="359"/>
      <c r="OTM308" s="359"/>
      <c r="OTN308" s="359"/>
      <c r="OTO308" s="359"/>
      <c r="OTP308" s="359"/>
      <c r="OTQ308" s="359"/>
      <c r="OTR308" s="359"/>
      <c r="OTS308" s="359"/>
      <c r="OTT308" s="359"/>
      <c r="OTU308" s="359"/>
      <c r="OTV308" s="359"/>
      <c r="OTW308" s="359"/>
      <c r="OTX308" s="359"/>
      <c r="OTY308" s="359"/>
      <c r="OTZ308" s="359"/>
      <c r="OUA308" s="359"/>
      <c r="OUB308" s="359"/>
      <c r="OUC308" s="359"/>
      <c r="OUD308" s="359"/>
      <c r="OUE308" s="359"/>
      <c r="OUF308" s="359"/>
      <c r="OUG308" s="359"/>
      <c r="OUH308" s="359"/>
      <c r="OUI308" s="359"/>
      <c r="OUJ308" s="359"/>
      <c r="OUK308" s="359"/>
      <c r="OUL308" s="359"/>
      <c r="OUM308" s="359"/>
      <c r="OUN308" s="359"/>
      <c r="OUO308" s="359"/>
      <c r="OUP308" s="359"/>
      <c r="OUQ308" s="359"/>
      <c r="OUR308" s="359"/>
      <c r="OUS308" s="359"/>
      <c r="OUT308" s="359"/>
      <c r="OUU308" s="359"/>
      <c r="OUV308" s="359"/>
      <c r="OUW308" s="359"/>
      <c r="OUX308" s="359"/>
      <c r="OUY308" s="359"/>
      <c r="OUZ308" s="359"/>
      <c r="OVA308" s="359"/>
      <c r="OVB308" s="359"/>
      <c r="OVC308" s="359"/>
      <c r="OVD308" s="359"/>
      <c r="OVE308" s="359"/>
      <c r="OVF308" s="359"/>
      <c r="OVG308" s="359"/>
      <c r="OVH308" s="359"/>
      <c r="OVI308" s="359"/>
      <c r="OVJ308" s="359"/>
      <c r="OVK308" s="359"/>
      <c r="OVL308" s="359"/>
      <c r="OVM308" s="359"/>
      <c r="OVN308" s="359"/>
      <c r="OVO308" s="359"/>
      <c r="OVP308" s="359"/>
      <c r="OVQ308" s="359"/>
      <c r="OVR308" s="359"/>
      <c r="OVS308" s="359"/>
      <c r="OVT308" s="359"/>
      <c r="OVU308" s="359"/>
      <c r="OVV308" s="359"/>
      <c r="OVW308" s="359"/>
      <c r="OVX308" s="359"/>
      <c r="OVY308" s="359"/>
      <c r="OVZ308" s="359"/>
      <c r="OWA308" s="359"/>
      <c r="OWB308" s="359"/>
      <c r="OWC308" s="359"/>
      <c r="OWD308" s="359"/>
      <c r="OWE308" s="359"/>
      <c r="OWF308" s="359"/>
      <c r="OWG308" s="359"/>
      <c r="OWH308" s="359"/>
      <c r="OWI308" s="359"/>
      <c r="OWJ308" s="359"/>
      <c r="OWK308" s="359"/>
      <c r="OWL308" s="359"/>
      <c r="OWM308" s="359"/>
      <c r="OWN308" s="359"/>
      <c r="OWO308" s="359"/>
      <c r="OWP308" s="359"/>
      <c r="OWQ308" s="359"/>
      <c r="OWR308" s="359"/>
      <c r="OWS308" s="359"/>
      <c r="OWT308" s="359"/>
      <c r="OWU308" s="359"/>
      <c r="OWV308" s="359"/>
      <c r="OWW308" s="359"/>
      <c r="OWX308" s="359"/>
      <c r="OWY308" s="359"/>
      <c r="OWZ308" s="359"/>
      <c r="OXA308" s="359"/>
      <c r="OXB308" s="359"/>
      <c r="OXC308" s="359"/>
      <c r="OXD308" s="359"/>
      <c r="OXE308" s="359"/>
      <c r="OXF308" s="359"/>
      <c r="OXG308" s="359"/>
      <c r="OXH308" s="359"/>
      <c r="OXI308" s="359"/>
      <c r="OXJ308" s="359"/>
      <c r="OXK308" s="359"/>
      <c r="OXL308" s="359"/>
      <c r="OXM308" s="359"/>
      <c r="OXN308" s="359"/>
      <c r="OXO308" s="359"/>
      <c r="OXP308" s="359"/>
      <c r="OXQ308" s="359"/>
      <c r="OXR308" s="359"/>
      <c r="OXS308" s="359"/>
      <c r="OXT308" s="359"/>
      <c r="OXU308" s="359"/>
      <c r="OXV308" s="359"/>
      <c r="OXW308" s="359"/>
      <c r="OXX308" s="359"/>
      <c r="OXY308" s="359"/>
      <c r="OXZ308" s="359"/>
      <c r="OYA308" s="359"/>
      <c r="OYB308" s="359"/>
      <c r="OYC308" s="359"/>
      <c r="OYD308" s="359"/>
      <c r="OYE308" s="359"/>
      <c r="OYF308" s="359"/>
      <c r="OYG308" s="359"/>
      <c r="OYH308" s="359"/>
      <c r="OYI308" s="359"/>
      <c r="OYJ308" s="359"/>
      <c r="OYK308" s="359"/>
      <c r="OYL308" s="359"/>
      <c r="OYM308" s="359"/>
      <c r="OYN308" s="359"/>
      <c r="OYO308" s="359"/>
      <c r="OYP308" s="359"/>
      <c r="OYQ308" s="359"/>
      <c r="OYR308" s="359"/>
      <c r="OYS308" s="359"/>
      <c r="OYT308" s="359"/>
      <c r="OYU308" s="359"/>
      <c r="OYV308" s="359"/>
      <c r="OYW308" s="359"/>
      <c r="OYX308" s="359"/>
      <c r="OYY308" s="359"/>
      <c r="OYZ308" s="359"/>
      <c r="OZA308" s="359"/>
      <c r="OZB308" s="359"/>
      <c r="OZC308" s="359"/>
      <c r="OZD308" s="359"/>
      <c r="OZE308" s="359"/>
      <c r="OZF308" s="359"/>
      <c r="OZG308" s="359"/>
      <c r="OZH308" s="359"/>
      <c r="OZI308" s="359"/>
      <c r="OZJ308" s="359"/>
      <c r="OZK308" s="359"/>
      <c r="OZL308" s="359"/>
      <c r="OZM308" s="359"/>
      <c r="OZN308" s="359"/>
      <c r="OZO308" s="359"/>
      <c r="OZP308" s="359"/>
      <c r="OZQ308" s="359"/>
      <c r="OZR308" s="359"/>
      <c r="OZS308" s="359"/>
      <c r="OZT308" s="359"/>
      <c r="OZU308" s="359"/>
      <c r="OZV308" s="359"/>
      <c r="OZW308" s="359"/>
      <c r="OZX308" s="359"/>
      <c r="OZY308" s="359"/>
      <c r="OZZ308" s="359"/>
      <c r="PAA308" s="359"/>
      <c r="PAB308" s="359"/>
      <c r="PAC308" s="359"/>
      <c r="PAD308" s="359"/>
      <c r="PAE308" s="359"/>
      <c r="PAF308" s="359"/>
      <c r="PAG308" s="359"/>
      <c r="PAH308" s="359"/>
      <c r="PAI308" s="359"/>
      <c r="PAJ308" s="359"/>
      <c r="PAK308" s="359"/>
      <c r="PAL308" s="359"/>
      <c r="PAM308" s="359"/>
      <c r="PAN308" s="359"/>
      <c r="PAO308" s="359"/>
      <c r="PAP308" s="359"/>
      <c r="PAQ308" s="359"/>
      <c r="PAR308" s="359"/>
      <c r="PAS308" s="359"/>
      <c r="PAT308" s="359"/>
      <c r="PAU308" s="359"/>
      <c r="PAV308" s="359"/>
      <c r="PAW308" s="359"/>
      <c r="PAX308" s="359"/>
      <c r="PAY308" s="359"/>
      <c r="PAZ308" s="359"/>
      <c r="PBA308" s="359"/>
      <c r="PBB308" s="359"/>
      <c r="PBC308" s="359"/>
      <c r="PBD308" s="359"/>
      <c r="PBE308" s="359"/>
      <c r="PBF308" s="359"/>
      <c r="PBG308" s="359"/>
      <c r="PBH308" s="359"/>
      <c r="PBI308" s="359"/>
      <c r="PBJ308" s="359"/>
      <c r="PBK308" s="359"/>
      <c r="PBL308" s="359"/>
      <c r="PBM308" s="359"/>
      <c r="PBN308" s="359"/>
      <c r="PBO308" s="359"/>
      <c r="PBP308" s="359"/>
      <c r="PBQ308" s="359"/>
      <c r="PBR308" s="359"/>
      <c r="PBS308" s="359"/>
      <c r="PBT308" s="359"/>
      <c r="PBU308" s="359"/>
      <c r="PBV308" s="359"/>
      <c r="PBW308" s="359"/>
      <c r="PBX308" s="359"/>
      <c r="PBY308" s="359"/>
      <c r="PBZ308" s="359"/>
      <c r="PCA308" s="359"/>
      <c r="PCB308" s="359"/>
      <c r="PCC308" s="359"/>
      <c r="PCD308" s="359"/>
      <c r="PCE308" s="359"/>
      <c r="PCF308" s="359"/>
      <c r="PCG308" s="359"/>
      <c r="PCH308" s="359"/>
      <c r="PCI308" s="359"/>
      <c r="PCJ308" s="359"/>
      <c r="PCK308" s="359"/>
      <c r="PCL308" s="359"/>
      <c r="PCM308" s="359"/>
      <c r="PCN308" s="359"/>
      <c r="PCO308" s="359"/>
      <c r="PCP308" s="359"/>
      <c r="PCQ308" s="359"/>
      <c r="PCR308" s="359"/>
      <c r="PCS308" s="359"/>
      <c r="PCT308" s="359"/>
      <c r="PCU308" s="359"/>
      <c r="PCV308" s="359"/>
      <c r="PCW308" s="359"/>
      <c r="PCX308" s="359"/>
      <c r="PCY308" s="359"/>
      <c r="PCZ308" s="359"/>
      <c r="PDA308" s="359"/>
      <c r="PDB308" s="359"/>
      <c r="PDC308" s="359"/>
      <c r="PDD308" s="359"/>
      <c r="PDE308" s="359"/>
      <c r="PDF308" s="359"/>
      <c r="PDG308" s="359"/>
      <c r="PDH308" s="359"/>
      <c r="PDI308" s="359"/>
      <c r="PDJ308" s="359"/>
      <c r="PDK308" s="359"/>
      <c r="PDL308" s="359"/>
      <c r="PDM308" s="359"/>
      <c r="PDN308" s="359"/>
      <c r="PDO308" s="359"/>
      <c r="PDP308" s="359"/>
      <c r="PDQ308" s="359"/>
      <c r="PDR308" s="359"/>
      <c r="PDS308" s="359"/>
      <c r="PDT308" s="359"/>
      <c r="PDU308" s="359"/>
      <c r="PDV308" s="359"/>
      <c r="PDW308" s="359"/>
      <c r="PDX308" s="359"/>
      <c r="PDY308" s="359"/>
      <c r="PDZ308" s="359"/>
      <c r="PEA308" s="359"/>
      <c r="PEB308" s="359"/>
      <c r="PEC308" s="359"/>
      <c r="PED308" s="359"/>
      <c r="PEE308" s="359"/>
      <c r="PEF308" s="359"/>
      <c r="PEG308" s="359"/>
      <c r="PEH308" s="359"/>
      <c r="PEI308" s="359"/>
      <c r="PEJ308" s="359"/>
      <c r="PEK308" s="359"/>
      <c r="PEL308" s="359"/>
      <c r="PEM308" s="359"/>
      <c r="PEN308" s="359"/>
      <c r="PEO308" s="359"/>
      <c r="PEP308" s="359"/>
      <c r="PEQ308" s="359"/>
      <c r="PER308" s="359"/>
      <c r="PES308" s="359"/>
      <c r="PET308" s="359"/>
      <c r="PEU308" s="359"/>
      <c r="PEV308" s="359"/>
      <c r="PEW308" s="359"/>
      <c r="PEX308" s="359"/>
      <c r="PEY308" s="359"/>
      <c r="PEZ308" s="359"/>
      <c r="PFA308" s="359"/>
      <c r="PFB308" s="359"/>
      <c r="PFC308" s="359"/>
      <c r="PFD308" s="359"/>
      <c r="PFE308" s="359"/>
      <c r="PFF308" s="359"/>
      <c r="PFG308" s="359"/>
      <c r="PFH308" s="359"/>
      <c r="PFI308" s="359"/>
      <c r="PFJ308" s="359"/>
      <c r="PFK308" s="359"/>
      <c r="PFL308" s="359"/>
      <c r="PFM308" s="359"/>
      <c r="PFN308" s="359"/>
      <c r="PFO308" s="359"/>
      <c r="PFP308" s="359"/>
      <c r="PFQ308" s="359"/>
      <c r="PFR308" s="359"/>
      <c r="PFS308" s="359"/>
      <c r="PFT308" s="359"/>
      <c r="PFU308" s="359"/>
      <c r="PFV308" s="359"/>
      <c r="PFW308" s="359"/>
      <c r="PFX308" s="359"/>
      <c r="PFY308" s="359"/>
      <c r="PFZ308" s="359"/>
      <c r="PGA308" s="359"/>
      <c r="PGB308" s="359"/>
      <c r="PGC308" s="359"/>
      <c r="PGD308" s="359"/>
      <c r="PGE308" s="359"/>
      <c r="PGF308" s="359"/>
      <c r="PGG308" s="359"/>
      <c r="PGH308" s="359"/>
      <c r="PGI308" s="359"/>
      <c r="PGJ308" s="359"/>
      <c r="PGK308" s="359"/>
      <c r="PGL308" s="359"/>
      <c r="PGM308" s="359"/>
      <c r="PGN308" s="359"/>
      <c r="PGO308" s="359"/>
      <c r="PGP308" s="359"/>
      <c r="PGQ308" s="359"/>
      <c r="PGR308" s="359"/>
      <c r="PGS308" s="359"/>
      <c r="PGT308" s="359"/>
      <c r="PGU308" s="359"/>
      <c r="PGV308" s="359"/>
      <c r="PGW308" s="359"/>
      <c r="PGX308" s="359"/>
      <c r="PGY308" s="359"/>
      <c r="PGZ308" s="359"/>
      <c r="PHA308" s="359"/>
      <c r="PHB308" s="359"/>
      <c r="PHC308" s="359"/>
      <c r="PHD308" s="359"/>
      <c r="PHE308" s="359"/>
      <c r="PHF308" s="359"/>
      <c r="PHG308" s="359"/>
      <c r="PHH308" s="359"/>
      <c r="PHI308" s="359"/>
      <c r="PHJ308" s="359"/>
      <c r="PHK308" s="359"/>
      <c r="PHL308" s="359"/>
      <c r="PHM308" s="359"/>
      <c r="PHN308" s="359"/>
      <c r="PHO308" s="359"/>
      <c r="PHP308" s="359"/>
      <c r="PHQ308" s="359"/>
      <c r="PHR308" s="359"/>
      <c r="PHS308" s="359"/>
      <c r="PHT308" s="359"/>
      <c r="PHU308" s="359"/>
      <c r="PHV308" s="359"/>
      <c r="PHW308" s="359"/>
      <c r="PHX308" s="359"/>
      <c r="PHY308" s="359"/>
      <c r="PHZ308" s="359"/>
      <c r="PIA308" s="359"/>
      <c r="PIB308" s="359"/>
      <c r="PIC308" s="359"/>
      <c r="PID308" s="359"/>
      <c r="PIE308" s="359"/>
      <c r="PIF308" s="359"/>
      <c r="PIG308" s="359"/>
      <c r="PIH308" s="359"/>
      <c r="PII308" s="359"/>
      <c r="PIJ308" s="359"/>
      <c r="PIK308" s="359"/>
      <c r="PIL308" s="359"/>
      <c r="PIM308" s="359"/>
      <c r="PIN308" s="359"/>
      <c r="PIO308" s="359"/>
      <c r="PIP308" s="359"/>
      <c r="PIQ308" s="359"/>
      <c r="PIR308" s="359"/>
      <c r="PIS308" s="359"/>
      <c r="PIT308" s="359"/>
      <c r="PIU308" s="359"/>
      <c r="PIV308" s="359"/>
      <c r="PIW308" s="359"/>
      <c r="PIX308" s="359"/>
      <c r="PIY308" s="359"/>
      <c r="PIZ308" s="359"/>
      <c r="PJA308" s="359"/>
      <c r="PJB308" s="359"/>
      <c r="PJC308" s="359"/>
      <c r="PJD308" s="359"/>
      <c r="PJE308" s="359"/>
      <c r="PJF308" s="359"/>
      <c r="PJG308" s="359"/>
      <c r="PJH308" s="359"/>
      <c r="PJI308" s="359"/>
      <c r="PJJ308" s="359"/>
      <c r="PJK308" s="359"/>
      <c r="PJL308" s="359"/>
      <c r="PJM308" s="359"/>
      <c r="PJN308" s="359"/>
      <c r="PJO308" s="359"/>
      <c r="PJP308" s="359"/>
      <c r="PJQ308" s="359"/>
      <c r="PJR308" s="359"/>
      <c r="PJS308" s="359"/>
      <c r="PJT308" s="359"/>
      <c r="PJU308" s="359"/>
      <c r="PJV308" s="359"/>
      <c r="PJW308" s="359"/>
      <c r="PJX308" s="359"/>
      <c r="PJY308" s="359"/>
      <c r="PJZ308" s="359"/>
      <c r="PKA308" s="359"/>
      <c r="PKB308" s="359"/>
      <c r="PKC308" s="359"/>
      <c r="PKD308" s="359"/>
      <c r="PKE308" s="359"/>
      <c r="PKF308" s="359"/>
      <c r="PKG308" s="359"/>
      <c r="PKH308" s="359"/>
      <c r="PKI308" s="359"/>
      <c r="PKJ308" s="359"/>
      <c r="PKK308" s="359"/>
      <c r="PKL308" s="359"/>
      <c r="PKM308" s="359"/>
      <c r="PKN308" s="359"/>
      <c r="PKO308" s="359"/>
      <c r="PKP308" s="359"/>
      <c r="PKQ308" s="359"/>
      <c r="PKR308" s="359"/>
      <c r="PKS308" s="359"/>
      <c r="PKT308" s="359"/>
      <c r="PKU308" s="359"/>
      <c r="PKV308" s="359"/>
      <c r="PKW308" s="359"/>
      <c r="PKX308" s="359"/>
      <c r="PKY308" s="359"/>
      <c r="PKZ308" s="359"/>
      <c r="PLA308" s="359"/>
      <c r="PLB308" s="359"/>
      <c r="PLC308" s="359"/>
      <c r="PLD308" s="359"/>
      <c r="PLE308" s="359"/>
      <c r="PLF308" s="359"/>
      <c r="PLG308" s="359"/>
      <c r="PLH308" s="359"/>
      <c r="PLI308" s="359"/>
      <c r="PLJ308" s="359"/>
      <c r="PLK308" s="359"/>
      <c r="PLL308" s="359"/>
      <c r="PLM308" s="359"/>
      <c r="PLN308" s="359"/>
      <c r="PLO308" s="359"/>
      <c r="PLP308" s="359"/>
      <c r="PLQ308" s="359"/>
      <c r="PLR308" s="359"/>
      <c r="PLS308" s="359"/>
      <c r="PLT308" s="359"/>
      <c r="PLU308" s="359"/>
      <c r="PLV308" s="359"/>
      <c r="PLW308" s="359"/>
      <c r="PLX308" s="359"/>
      <c r="PLY308" s="359"/>
      <c r="PLZ308" s="359"/>
      <c r="PMA308" s="359"/>
      <c r="PMB308" s="359"/>
      <c r="PMC308" s="359"/>
      <c r="PMD308" s="359"/>
      <c r="PME308" s="359"/>
      <c r="PMF308" s="359"/>
      <c r="PMG308" s="359"/>
      <c r="PMH308" s="359"/>
      <c r="PMI308" s="359"/>
      <c r="PMJ308" s="359"/>
      <c r="PMK308" s="359"/>
      <c r="PML308" s="359"/>
      <c r="PMM308" s="359"/>
      <c r="PMN308" s="359"/>
      <c r="PMO308" s="359"/>
      <c r="PMP308" s="359"/>
      <c r="PMQ308" s="359"/>
      <c r="PMR308" s="359"/>
      <c r="PMS308" s="359"/>
      <c r="PMT308" s="359"/>
      <c r="PMU308" s="359"/>
      <c r="PMV308" s="359"/>
      <c r="PMW308" s="359"/>
      <c r="PMX308" s="359"/>
      <c r="PMY308" s="359"/>
      <c r="PMZ308" s="359"/>
      <c r="PNA308" s="359"/>
      <c r="PNB308" s="359"/>
      <c r="PNC308" s="359"/>
      <c r="PND308" s="359"/>
      <c r="PNE308" s="359"/>
      <c r="PNF308" s="359"/>
      <c r="PNG308" s="359"/>
      <c r="PNH308" s="359"/>
      <c r="PNI308" s="359"/>
      <c r="PNJ308" s="359"/>
      <c r="PNK308" s="359"/>
      <c r="PNL308" s="359"/>
      <c r="PNM308" s="359"/>
      <c r="PNN308" s="359"/>
      <c r="PNO308" s="359"/>
      <c r="PNP308" s="359"/>
      <c r="PNQ308" s="359"/>
      <c r="PNR308" s="359"/>
      <c r="PNS308" s="359"/>
      <c r="PNT308" s="359"/>
      <c r="PNU308" s="359"/>
      <c r="PNV308" s="359"/>
      <c r="PNW308" s="359"/>
      <c r="PNX308" s="359"/>
      <c r="PNY308" s="359"/>
      <c r="PNZ308" s="359"/>
      <c r="POA308" s="359"/>
      <c r="POB308" s="359"/>
      <c r="POC308" s="359"/>
      <c r="POD308" s="359"/>
      <c r="POE308" s="359"/>
      <c r="POF308" s="359"/>
      <c r="POG308" s="359"/>
      <c r="POH308" s="359"/>
      <c r="POI308" s="359"/>
      <c r="POJ308" s="359"/>
      <c r="POK308" s="359"/>
      <c r="POL308" s="359"/>
      <c r="POM308" s="359"/>
      <c r="PON308" s="359"/>
      <c r="POO308" s="359"/>
      <c r="POP308" s="359"/>
      <c r="POQ308" s="359"/>
      <c r="POR308" s="359"/>
      <c r="POS308" s="359"/>
      <c r="POT308" s="359"/>
      <c r="POU308" s="359"/>
      <c r="POV308" s="359"/>
      <c r="POW308" s="359"/>
      <c r="POX308" s="359"/>
      <c r="POY308" s="359"/>
      <c r="POZ308" s="359"/>
      <c r="PPA308" s="359"/>
      <c r="PPB308" s="359"/>
      <c r="PPC308" s="359"/>
      <c r="PPD308" s="359"/>
      <c r="PPE308" s="359"/>
      <c r="PPF308" s="359"/>
      <c r="PPG308" s="359"/>
      <c r="PPH308" s="359"/>
      <c r="PPI308" s="359"/>
      <c r="PPJ308" s="359"/>
      <c r="PPK308" s="359"/>
      <c r="PPL308" s="359"/>
      <c r="PPM308" s="359"/>
      <c r="PPN308" s="359"/>
      <c r="PPO308" s="359"/>
      <c r="PPP308" s="359"/>
      <c r="PPQ308" s="359"/>
      <c r="PPR308" s="359"/>
      <c r="PPS308" s="359"/>
      <c r="PPT308" s="359"/>
      <c r="PPU308" s="359"/>
      <c r="PPV308" s="359"/>
      <c r="PPW308" s="359"/>
      <c r="PPX308" s="359"/>
      <c r="PPY308" s="359"/>
      <c r="PPZ308" s="359"/>
      <c r="PQA308" s="359"/>
      <c r="PQB308" s="359"/>
      <c r="PQC308" s="359"/>
      <c r="PQD308" s="359"/>
      <c r="PQE308" s="359"/>
      <c r="PQF308" s="359"/>
      <c r="PQG308" s="359"/>
      <c r="PQH308" s="359"/>
      <c r="PQI308" s="359"/>
      <c r="PQJ308" s="359"/>
      <c r="PQK308" s="359"/>
      <c r="PQL308" s="359"/>
      <c r="PQM308" s="359"/>
      <c r="PQN308" s="359"/>
      <c r="PQO308" s="359"/>
      <c r="PQP308" s="359"/>
      <c r="PQQ308" s="359"/>
      <c r="PQR308" s="359"/>
      <c r="PQS308" s="359"/>
      <c r="PQT308" s="359"/>
      <c r="PQU308" s="359"/>
      <c r="PQV308" s="359"/>
      <c r="PQW308" s="359"/>
      <c r="PQX308" s="359"/>
      <c r="PQY308" s="359"/>
      <c r="PQZ308" s="359"/>
      <c r="PRA308" s="359"/>
      <c r="PRB308" s="359"/>
      <c r="PRC308" s="359"/>
      <c r="PRD308" s="359"/>
      <c r="PRE308" s="359"/>
      <c r="PRF308" s="359"/>
      <c r="PRG308" s="359"/>
      <c r="PRH308" s="359"/>
      <c r="PRI308" s="359"/>
      <c r="PRJ308" s="359"/>
      <c r="PRK308" s="359"/>
      <c r="PRL308" s="359"/>
      <c r="PRM308" s="359"/>
      <c r="PRN308" s="359"/>
      <c r="PRO308" s="359"/>
      <c r="PRP308" s="359"/>
      <c r="PRQ308" s="359"/>
      <c r="PRR308" s="359"/>
      <c r="PRS308" s="359"/>
      <c r="PRT308" s="359"/>
      <c r="PRU308" s="359"/>
      <c r="PRV308" s="359"/>
      <c r="PRW308" s="359"/>
      <c r="PRX308" s="359"/>
      <c r="PRY308" s="359"/>
      <c r="PRZ308" s="359"/>
      <c r="PSA308" s="359"/>
      <c r="PSB308" s="359"/>
      <c r="PSC308" s="359"/>
      <c r="PSD308" s="359"/>
      <c r="PSE308" s="359"/>
      <c r="PSF308" s="359"/>
      <c r="PSG308" s="359"/>
      <c r="PSH308" s="359"/>
      <c r="PSI308" s="359"/>
      <c r="PSJ308" s="359"/>
      <c r="PSK308" s="359"/>
      <c r="PSL308" s="359"/>
      <c r="PSM308" s="359"/>
      <c r="PSN308" s="359"/>
      <c r="PSO308" s="359"/>
      <c r="PSP308" s="359"/>
      <c r="PSQ308" s="359"/>
      <c r="PSR308" s="359"/>
      <c r="PSS308" s="359"/>
      <c r="PST308" s="359"/>
      <c r="PSU308" s="359"/>
      <c r="PSV308" s="359"/>
      <c r="PSW308" s="359"/>
      <c r="PSX308" s="359"/>
      <c r="PSY308" s="359"/>
      <c r="PSZ308" s="359"/>
      <c r="PTA308" s="359"/>
      <c r="PTB308" s="359"/>
      <c r="PTC308" s="359"/>
      <c r="PTD308" s="359"/>
      <c r="PTE308" s="359"/>
      <c r="PTF308" s="359"/>
      <c r="PTG308" s="359"/>
      <c r="PTH308" s="359"/>
      <c r="PTI308" s="359"/>
      <c r="PTJ308" s="359"/>
      <c r="PTK308" s="359"/>
      <c r="PTL308" s="359"/>
      <c r="PTM308" s="359"/>
      <c r="PTN308" s="359"/>
      <c r="PTO308" s="359"/>
      <c r="PTP308" s="359"/>
      <c r="PTQ308" s="359"/>
      <c r="PTR308" s="359"/>
      <c r="PTS308" s="359"/>
      <c r="PTT308" s="359"/>
      <c r="PTU308" s="359"/>
      <c r="PTV308" s="359"/>
      <c r="PTW308" s="359"/>
      <c r="PTX308" s="359"/>
      <c r="PTY308" s="359"/>
      <c r="PTZ308" s="359"/>
      <c r="PUA308" s="359"/>
      <c r="PUB308" s="359"/>
      <c r="PUC308" s="359"/>
      <c r="PUD308" s="359"/>
      <c r="PUE308" s="359"/>
      <c r="PUF308" s="359"/>
      <c r="PUG308" s="359"/>
      <c r="PUH308" s="359"/>
      <c r="PUI308" s="359"/>
      <c r="PUJ308" s="359"/>
      <c r="PUK308" s="359"/>
      <c r="PUL308" s="359"/>
      <c r="PUM308" s="359"/>
      <c r="PUN308" s="359"/>
      <c r="PUO308" s="359"/>
      <c r="PUP308" s="359"/>
      <c r="PUQ308" s="359"/>
      <c r="PUR308" s="359"/>
      <c r="PUS308" s="359"/>
      <c r="PUT308" s="359"/>
      <c r="PUU308" s="359"/>
      <c r="PUV308" s="359"/>
      <c r="PUW308" s="359"/>
      <c r="PUX308" s="359"/>
      <c r="PUY308" s="359"/>
      <c r="PUZ308" s="359"/>
      <c r="PVA308" s="359"/>
      <c r="PVB308" s="359"/>
      <c r="PVC308" s="359"/>
      <c r="PVD308" s="359"/>
      <c r="PVE308" s="359"/>
      <c r="PVF308" s="359"/>
      <c r="PVG308" s="359"/>
      <c r="PVH308" s="359"/>
      <c r="PVI308" s="359"/>
      <c r="PVJ308" s="359"/>
      <c r="PVK308" s="359"/>
      <c r="PVL308" s="359"/>
      <c r="PVM308" s="359"/>
      <c r="PVN308" s="359"/>
      <c r="PVO308" s="359"/>
      <c r="PVP308" s="359"/>
      <c r="PVQ308" s="359"/>
      <c r="PVR308" s="359"/>
      <c r="PVS308" s="359"/>
      <c r="PVT308" s="359"/>
      <c r="PVU308" s="359"/>
      <c r="PVV308" s="359"/>
      <c r="PVW308" s="359"/>
      <c r="PVX308" s="359"/>
      <c r="PVY308" s="359"/>
      <c r="PVZ308" s="359"/>
      <c r="PWA308" s="359"/>
      <c r="PWB308" s="359"/>
      <c r="PWC308" s="359"/>
      <c r="PWD308" s="359"/>
      <c r="PWE308" s="359"/>
      <c r="PWF308" s="359"/>
      <c r="PWG308" s="359"/>
      <c r="PWH308" s="359"/>
      <c r="PWI308" s="359"/>
      <c r="PWJ308" s="359"/>
      <c r="PWK308" s="359"/>
      <c r="PWL308" s="359"/>
      <c r="PWM308" s="359"/>
      <c r="PWN308" s="359"/>
      <c r="PWO308" s="359"/>
      <c r="PWP308" s="359"/>
      <c r="PWQ308" s="359"/>
      <c r="PWR308" s="359"/>
      <c r="PWS308" s="359"/>
      <c r="PWT308" s="359"/>
      <c r="PWU308" s="359"/>
      <c r="PWV308" s="359"/>
      <c r="PWW308" s="359"/>
      <c r="PWX308" s="359"/>
      <c r="PWY308" s="359"/>
      <c r="PWZ308" s="359"/>
      <c r="PXA308" s="359"/>
      <c r="PXB308" s="359"/>
      <c r="PXC308" s="359"/>
      <c r="PXD308" s="359"/>
      <c r="PXE308" s="359"/>
      <c r="PXF308" s="359"/>
      <c r="PXG308" s="359"/>
      <c r="PXH308" s="359"/>
      <c r="PXI308" s="359"/>
      <c r="PXJ308" s="359"/>
      <c r="PXK308" s="359"/>
      <c r="PXL308" s="359"/>
      <c r="PXM308" s="359"/>
      <c r="PXN308" s="359"/>
      <c r="PXO308" s="359"/>
      <c r="PXP308" s="359"/>
      <c r="PXQ308" s="359"/>
      <c r="PXR308" s="359"/>
      <c r="PXS308" s="359"/>
      <c r="PXT308" s="359"/>
      <c r="PXU308" s="359"/>
      <c r="PXV308" s="359"/>
      <c r="PXW308" s="359"/>
      <c r="PXX308" s="359"/>
      <c r="PXY308" s="359"/>
      <c r="PXZ308" s="359"/>
      <c r="PYA308" s="359"/>
      <c r="PYB308" s="359"/>
      <c r="PYC308" s="359"/>
      <c r="PYD308" s="359"/>
      <c r="PYE308" s="359"/>
      <c r="PYF308" s="359"/>
      <c r="PYG308" s="359"/>
      <c r="PYH308" s="359"/>
      <c r="PYI308" s="359"/>
      <c r="PYJ308" s="359"/>
      <c r="PYK308" s="359"/>
      <c r="PYL308" s="359"/>
      <c r="PYM308" s="359"/>
      <c r="PYN308" s="359"/>
      <c r="PYO308" s="359"/>
      <c r="PYP308" s="359"/>
      <c r="PYQ308" s="359"/>
      <c r="PYR308" s="359"/>
      <c r="PYS308" s="359"/>
      <c r="PYT308" s="359"/>
      <c r="PYU308" s="359"/>
      <c r="PYV308" s="359"/>
      <c r="PYW308" s="359"/>
      <c r="PYX308" s="359"/>
      <c r="PYY308" s="359"/>
      <c r="PYZ308" s="359"/>
      <c r="PZA308" s="359"/>
      <c r="PZB308" s="359"/>
      <c r="PZC308" s="359"/>
      <c r="PZD308" s="359"/>
      <c r="PZE308" s="359"/>
      <c r="PZF308" s="359"/>
      <c r="PZG308" s="359"/>
      <c r="PZH308" s="359"/>
      <c r="PZI308" s="359"/>
      <c r="PZJ308" s="359"/>
      <c r="PZK308" s="359"/>
      <c r="PZL308" s="359"/>
      <c r="PZM308" s="359"/>
      <c r="PZN308" s="359"/>
      <c r="PZO308" s="359"/>
      <c r="PZP308" s="359"/>
      <c r="PZQ308" s="359"/>
      <c r="PZR308" s="359"/>
      <c r="PZS308" s="359"/>
      <c r="PZT308" s="359"/>
      <c r="PZU308" s="359"/>
      <c r="PZV308" s="359"/>
      <c r="PZW308" s="359"/>
      <c r="PZX308" s="359"/>
      <c r="PZY308" s="359"/>
      <c r="PZZ308" s="359"/>
      <c r="QAA308" s="359"/>
      <c r="QAB308" s="359"/>
      <c r="QAC308" s="359"/>
      <c r="QAD308" s="359"/>
      <c r="QAE308" s="359"/>
      <c r="QAF308" s="359"/>
      <c r="QAG308" s="359"/>
      <c r="QAH308" s="359"/>
      <c r="QAI308" s="359"/>
      <c r="QAJ308" s="359"/>
      <c r="QAK308" s="359"/>
      <c r="QAL308" s="359"/>
      <c r="QAM308" s="359"/>
      <c r="QAN308" s="359"/>
      <c r="QAO308" s="359"/>
      <c r="QAP308" s="359"/>
      <c r="QAQ308" s="359"/>
      <c r="QAR308" s="359"/>
      <c r="QAS308" s="359"/>
      <c r="QAT308" s="359"/>
      <c r="QAU308" s="359"/>
      <c r="QAV308" s="359"/>
      <c r="QAW308" s="359"/>
      <c r="QAX308" s="359"/>
      <c r="QAY308" s="359"/>
      <c r="QAZ308" s="359"/>
      <c r="QBA308" s="359"/>
      <c r="QBB308" s="359"/>
      <c r="QBC308" s="359"/>
      <c r="QBD308" s="359"/>
      <c r="QBE308" s="359"/>
      <c r="QBF308" s="359"/>
      <c r="QBG308" s="359"/>
      <c r="QBH308" s="359"/>
      <c r="QBI308" s="359"/>
      <c r="QBJ308" s="359"/>
      <c r="QBK308" s="359"/>
      <c r="QBL308" s="359"/>
      <c r="QBM308" s="359"/>
      <c r="QBN308" s="359"/>
      <c r="QBO308" s="359"/>
      <c r="QBP308" s="359"/>
      <c r="QBQ308" s="359"/>
      <c r="QBR308" s="359"/>
      <c r="QBS308" s="359"/>
      <c r="QBT308" s="359"/>
      <c r="QBU308" s="359"/>
      <c r="QBV308" s="359"/>
      <c r="QBW308" s="359"/>
      <c r="QBX308" s="359"/>
      <c r="QBY308" s="359"/>
      <c r="QBZ308" s="359"/>
      <c r="QCA308" s="359"/>
      <c r="QCB308" s="359"/>
      <c r="QCC308" s="359"/>
      <c r="QCD308" s="359"/>
      <c r="QCE308" s="359"/>
      <c r="QCF308" s="359"/>
      <c r="QCG308" s="359"/>
      <c r="QCH308" s="359"/>
      <c r="QCI308" s="359"/>
      <c r="QCJ308" s="359"/>
      <c r="QCK308" s="359"/>
      <c r="QCL308" s="359"/>
      <c r="QCM308" s="359"/>
      <c r="QCN308" s="359"/>
      <c r="QCO308" s="359"/>
      <c r="QCP308" s="359"/>
      <c r="QCQ308" s="359"/>
      <c r="QCR308" s="359"/>
      <c r="QCS308" s="359"/>
      <c r="QCT308" s="359"/>
      <c r="QCU308" s="359"/>
      <c r="QCV308" s="359"/>
      <c r="QCW308" s="359"/>
      <c r="QCX308" s="359"/>
      <c r="QCY308" s="359"/>
      <c r="QCZ308" s="359"/>
      <c r="QDA308" s="359"/>
      <c r="QDB308" s="359"/>
      <c r="QDC308" s="359"/>
      <c r="QDD308" s="359"/>
      <c r="QDE308" s="359"/>
      <c r="QDF308" s="359"/>
      <c r="QDG308" s="359"/>
      <c r="QDH308" s="359"/>
      <c r="QDI308" s="359"/>
      <c r="QDJ308" s="359"/>
      <c r="QDK308" s="359"/>
      <c r="QDL308" s="359"/>
      <c r="QDM308" s="359"/>
      <c r="QDN308" s="359"/>
      <c r="QDO308" s="359"/>
      <c r="QDP308" s="359"/>
      <c r="QDQ308" s="359"/>
      <c r="QDR308" s="359"/>
      <c r="QDS308" s="359"/>
      <c r="QDT308" s="359"/>
      <c r="QDU308" s="359"/>
      <c r="QDV308" s="359"/>
      <c r="QDW308" s="359"/>
      <c r="QDX308" s="359"/>
      <c r="QDY308" s="359"/>
      <c r="QDZ308" s="359"/>
      <c r="QEA308" s="359"/>
      <c r="QEB308" s="359"/>
      <c r="QEC308" s="359"/>
      <c r="QED308" s="359"/>
      <c r="QEE308" s="359"/>
      <c r="QEF308" s="359"/>
      <c r="QEG308" s="359"/>
      <c r="QEH308" s="359"/>
      <c r="QEI308" s="359"/>
      <c r="QEJ308" s="359"/>
      <c r="QEK308" s="359"/>
      <c r="QEL308" s="359"/>
      <c r="QEM308" s="359"/>
      <c r="QEN308" s="359"/>
      <c r="QEO308" s="359"/>
      <c r="QEP308" s="359"/>
      <c r="QEQ308" s="359"/>
      <c r="QER308" s="359"/>
      <c r="QES308" s="359"/>
      <c r="QET308" s="359"/>
      <c r="QEU308" s="359"/>
      <c r="QEV308" s="359"/>
      <c r="QEW308" s="359"/>
      <c r="QEX308" s="359"/>
      <c r="QEY308" s="359"/>
      <c r="QEZ308" s="359"/>
      <c r="QFA308" s="359"/>
      <c r="QFB308" s="359"/>
      <c r="QFC308" s="359"/>
      <c r="QFD308" s="359"/>
      <c r="QFE308" s="359"/>
      <c r="QFF308" s="359"/>
      <c r="QFG308" s="359"/>
      <c r="QFH308" s="359"/>
      <c r="QFI308" s="359"/>
      <c r="QFJ308" s="359"/>
      <c r="QFK308" s="359"/>
      <c r="QFL308" s="359"/>
      <c r="QFM308" s="359"/>
      <c r="QFN308" s="359"/>
      <c r="QFO308" s="359"/>
      <c r="QFP308" s="359"/>
      <c r="QFQ308" s="359"/>
      <c r="QFR308" s="359"/>
      <c r="QFS308" s="359"/>
      <c r="QFT308" s="359"/>
      <c r="QFU308" s="359"/>
      <c r="QFV308" s="359"/>
      <c r="QFW308" s="359"/>
      <c r="QFX308" s="359"/>
      <c r="QFY308" s="359"/>
      <c r="QFZ308" s="359"/>
      <c r="QGA308" s="359"/>
      <c r="QGB308" s="359"/>
      <c r="QGC308" s="359"/>
      <c r="QGD308" s="359"/>
      <c r="QGE308" s="359"/>
      <c r="QGF308" s="359"/>
      <c r="QGG308" s="359"/>
      <c r="QGH308" s="359"/>
      <c r="QGI308" s="359"/>
      <c r="QGJ308" s="359"/>
      <c r="QGK308" s="359"/>
      <c r="QGL308" s="359"/>
      <c r="QGM308" s="359"/>
      <c r="QGN308" s="359"/>
      <c r="QGO308" s="359"/>
      <c r="QGP308" s="359"/>
      <c r="QGQ308" s="359"/>
      <c r="QGR308" s="359"/>
      <c r="QGS308" s="359"/>
      <c r="QGT308" s="359"/>
      <c r="QGU308" s="359"/>
      <c r="QGV308" s="359"/>
      <c r="QGW308" s="359"/>
      <c r="QGX308" s="359"/>
      <c r="QGY308" s="359"/>
      <c r="QGZ308" s="359"/>
      <c r="QHA308" s="359"/>
      <c r="QHB308" s="359"/>
      <c r="QHC308" s="359"/>
      <c r="QHD308" s="359"/>
      <c r="QHE308" s="359"/>
      <c r="QHF308" s="359"/>
      <c r="QHG308" s="359"/>
      <c r="QHH308" s="359"/>
      <c r="QHI308" s="359"/>
      <c r="QHJ308" s="359"/>
      <c r="QHK308" s="359"/>
      <c r="QHL308" s="359"/>
      <c r="QHM308" s="359"/>
      <c r="QHN308" s="359"/>
      <c r="QHO308" s="359"/>
      <c r="QHP308" s="359"/>
      <c r="QHQ308" s="359"/>
      <c r="QHR308" s="359"/>
      <c r="QHS308" s="359"/>
      <c r="QHT308" s="359"/>
      <c r="QHU308" s="359"/>
      <c r="QHV308" s="359"/>
      <c r="QHW308" s="359"/>
      <c r="QHX308" s="359"/>
      <c r="QHY308" s="359"/>
      <c r="QHZ308" s="359"/>
      <c r="QIA308" s="359"/>
      <c r="QIB308" s="359"/>
      <c r="QIC308" s="359"/>
      <c r="QID308" s="359"/>
      <c r="QIE308" s="359"/>
      <c r="QIF308" s="359"/>
      <c r="QIG308" s="359"/>
      <c r="QIH308" s="359"/>
      <c r="QII308" s="359"/>
      <c r="QIJ308" s="359"/>
      <c r="QIK308" s="359"/>
      <c r="QIL308" s="359"/>
      <c r="QIM308" s="359"/>
      <c r="QIN308" s="359"/>
      <c r="QIO308" s="359"/>
      <c r="QIP308" s="359"/>
      <c r="QIQ308" s="359"/>
      <c r="QIR308" s="359"/>
      <c r="QIS308" s="359"/>
      <c r="QIT308" s="359"/>
      <c r="QIU308" s="359"/>
      <c r="QIV308" s="359"/>
      <c r="QIW308" s="359"/>
      <c r="QIX308" s="359"/>
      <c r="QIY308" s="359"/>
      <c r="QIZ308" s="359"/>
      <c r="QJA308" s="359"/>
      <c r="QJB308" s="359"/>
      <c r="QJC308" s="359"/>
      <c r="QJD308" s="359"/>
      <c r="QJE308" s="359"/>
      <c r="QJF308" s="359"/>
      <c r="QJG308" s="359"/>
      <c r="QJH308" s="359"/>
      <c r="QJI308" s="359"/>
      <c r="QJJ308" s="359"/>
      <c r="QJK308" s="359"/>
      <c r="QJL308" s="359"/>
      <c r="QJM308" s="359"/>
      <c r="QJN308" s="359"/>
      <c r="QJO308" s="359"/>
      <c r="QJP308" s="359"/>
      <c r="QJQ308" s="359"/>
      <c r="QJR308" s="359"/>
      <c r="QJS308" s="359"/>
      <c r="QJT308" s="359"/>
      <c r="QJU308" s="359"/>
      <c r="QJV308" s="359"/>
      <c r="QJW308" s="359"/>
      <c r="QJX308" s="359"/>
      <c r="QJY308" s="359"/>
      <c r="QJZ308" s="359"/>
      <c r="QKA308" s="359"/>
      <c r="QKB308" s="359"/>
      <c r="QKC308" s="359"/>
      <c r="QKD308" s="359"/>
      <c r="QKE308" s="359"/>
      <c r="QKF308" s="359"/>
      <c r="QKG308" s="359"/>
      <c r="QKH308" s="359"/>
      <c r="QKI308" s="359"/>
      <c r="QKJ308" s="359"/>
      <c r="QKK308" s="359"/>
      <c r="QKL308" s="359"/>
      <c r="QKM308" s="359"/>
      <c r="QKN308" s="359"/>
      <c r="QKO308" s="359"/>
      <c r="QKP308" s="359"/>
      <c r="QKQ308" s="359"/>
      <c r="QKR308" s="359"/>
      <c r="QKS308" s="359"/>
      <c r="QKT308" s="359"/>
      <c r="QKU308" s="359"/>
      <c r="QKV308" s="359"/>
      <c r="QKW308" s="359"/>
      <c r="QKX308" s="359"/>
      <c r="QKY308" s="359"/>
      <c r="QKZ308" s="359"/>
      <c r="QLA308" s="359"/>
      <c r="QLB308" s="359"/>
      <c r="QLC308" s="359"/>
      <c r="QLD308" s="359"/>
      <c r="QLE308" s="359"/>
      <c r="QLF308" s="359"/>
      <c r="QLG308" s="359"/>
      <c r="QLH308" s="359"/>
      <c r="QLI308" s="359"/>
      <c r="QLJ308" s="359"/>
      <c r="QLK308" s="359"/>
      <c r="QLL308" s="359"/>
      <c r="QLM308" s="359"/>
      <c r="QLN308" s="359"/>
      <c r="QLO308" s="359"/>
      <c r="QLP308" s="359"/>
      <c r="QLQ308" s="359"/>
      <c r="QLR308" s="359"/>
      <c r="QLS308" s="359"/>
      <c r="QLT308" s="359"/>
      <c r="QLU308" s="359"/>
      <c r="QLV308" s="359"/>
      <c r="QLW308" s="359"/>
      <c r="QLX308" s="359"/>
      <c r="QLY308" s="359"/>
      <c r="QLZ308" s="359"/>
      <c r="QMA308" s="359"/>
      <c r="QMB308" s="359"/>
      <c r="QMC308" s="359"/>
      <c r="QMD308" s="359"/>
      <c r="QME308" s="359"/>
      <c r="QMF308" s="359"/>
      <c r="QMG308" s="359"/>
      <c r="QMH308" s="359"/>
      <c r="QMI308" s="359"/>
      <c r="QMJ308" s="359"/>
      <c r="QMK308" s="359"/>
      <c r="QML308" s="359"/>
      <c r="QMM308" s="359"/>
      <c r="QMN308" s="359"/>
      <c r="QMO308" s="359"/>
      <c r="QMP308" s="359"/>
      <c r="QMQ308" s="359"/>
      <c r="QMR308" s="359"/>
      <c r="QMS308" s="359"/>
      <c r="QMT308" s="359"/>
      <c r="QMU308" s="359"/>
      <c r="QMV308" s="359"/>
      <c r="QMW308" s="359"/>
      <c r="QMX308" s="359"/>
      <c r="QMY308" s="359"/>
      <c r="QMZ308" s="359"/>
      <c r="QNA308" s="359"/>
      <c r="QNB308" s="359"/>
      <c r="QNC308" s="359"/>
      <c r="QND308" s="359"/>
      <c r="QNE308" s="359"/>
      <c r="QNF308" s="359"/>
      <c r="QNG308" s="359"/>
      <c r="QNH308" s="359"/>
      <c r="QNI308" s="359"/>
      <c r="QNJ308" s="359"/>
      <c r="QNK308" s="359"/>
      <c r="QNL308" s="359"/>
      <c r="QNM308" s="359"/>
      <c r="QNN308" s="359"/>
      <c r="QNO308" s="359"/>
      <c r="QNP308" s="359"/>
      <c r="QNQ308" s="359"/>
      <c r="QNR308" s="359"/>
      <c r="QNS308" s="359"/>
      <c r="QNT308" s="359"/>
      <c r="QNU308" s="359"/>
      <c r="QNV308" s="359"/>
      <c r="QNW308" s="359"/>
      <c r="QNX308" s="359"/>
      <c r="QNY308" s="359"/>
      <c r="QNZ308" s="359"/>
      <c r="QOA308" s="359"/>
      <c r="QOB308" s="359"/>
      <c r="QOC308" s="359"/>
      <c r="QOD308" s="359"/>
      <c r="QOE308" s="359"/>
      <c r="QOF308" s="359"/>
      <c r="QOG308" s="359"/>
      <c r="QOH308" s="359"/>
      <c r="QOI308" s="359"/>
      <c r="QOJ308" s="359"/>
      <c r="QOK308" s="359"/>
      <c r="QOL308" s="359"/>
      <c r="QOM308" s="359"/>
      <c r="QON308" s="359"/>
      <c r="QOO308" s="359"/>
      <c r="QOP308" s="359"/>
      <c r="QOQ308" s="359"/>
      <c r="QOR308" s="359"/>
      <c r="QOS308" s="359"/>
      <c r="QOT308" s="359"/>
      <c r="QOU308" s="359"/>
      <c r="QOV308" s="359"/>
      <c r="QOW308" s="359"/>
      <c r="QOX308" s="359"/>
      <c r="QOY308" s="359"/>
      <c r="QOZ308" s="359"/>
      <c r="QPA308" s="359"/>
      <c r="QPB308" s="359"/>
      <c r="QPC308" s="359"/>
      <c r="QPD308" s="359"/>
      <c r="QPE308" s="359"/>
      <c r="QPF308" s="359"/>
      <c r="QPG308" s="359"/>
      <c r="QPH308" s="359"/>
      <c r="QPI308" s="359"/>
      <c r="QPJ308" s="359"/>
      <c r="QPK308" s="359"/>
      <c r="QPL308" s="359"/>
      <c r="QPM308" s="359"/>
      <c r="QPN308" s="359"/>
      <c r="QPO308" s="359"/>
      <c r="QPP308" s="359"/>
      <c r="QPQ308" s="359"/>
      <c r="QPR308" s="359"/>
      <c r="QPS308" s="359"/>
      <c r="QPT308" s="359"/>
      <c r="QPU308" s="359"/>
      <c r="QPV308" s="359"/>
      <c r="QPW308" s="359"/>
      <c r="QPX308" s="359"/>
      <c r="QPY308" s="359"/>
      <c r="QPZ308" s="359"/>
      <c r="QQA308" s="359"/>
      <c r="QQB308" s="359"/>
      <c r="QQC308" s="359"/>
      <c r="QQD308" s="359"/>
      <c r="QQE308" s="359"/>
      <c r="QQF308" s="359"/>
      <c r="QQG308" s="359"/>
      <c r="QQH308" s="359"/>
      <c r="QQI308" s="359"/>
      <c r="QQJ308" s="359"/>
      <c r="QQK308" s="359"/>
      <c r="QQL308" s="359"/>
      <c r="QQM308" s="359"/>
      <c r="QQN308" s="359"/>
      <c r="QQO308" s="359"/>
      <c r="QQP308" s="359"/>
      <c r="QQQ308" s="359"/>
      <c r="QQR308" s="359"/>
      <c r="QQS308" s="359"/>
      <c r="QQT308" s="359"/>
      <c r="QQU308" s="359"/>
      <c r="QQV308" s="359"/>
      <c r="QQW308" s="359"/>
      <c r="QQX308" s="359"/>
      <c r="QQY308" s="359"/>
      <c r="QQZ308" s="359"/>
      <c r="QRA308" s="359"/>
      <c r="QRB308" s="359"/>
      <c r="QRC308" s="359"/>
      <c r="QRD308" s="359"/>
      <c r="QRE308" s="359"/>
      <c r="QRF308" s="359"/>
      <c r="QRG308" s="359"/>
      <c r="QRH308" s="359"/>
      <c r="QRI308" s="359"/>
      <c r="QRJ308" s="359"/>
      <c r="QRK308" s="359"/>
      <c r="QRL308" s="359"/>
      <c r="QRM308" s="359"/>
      <c r="QRN308" s="359"/>
      <c r="QRO308" s="359"/>
      <c r="QRP308" s="359"/>
      <c r="QRQ308" s="359"/>
      <c r="QRR308" s="359"/>
      <c r="QRS308" s="359"/>
      <c r="QRT308" s="359"/>
      <c r="QRU308" s="359"/>
      <c r="QRV308" s="359"/>
      <c r="QRW308" s="359"/>
      <c r="QRX308" s="359"/>
      <c r="QRY308" s="359"/>
      <c r="QRZ308" s="359"/>
      <c r="QSA308" s="359"/>
      <c r="QSB308" s="359"/>
      <c r="QSC308" s="359"/>
      <c r="QSD308" s="359"/>
      <c r="QSE308" s="359"/>
      <c r="QSF308" s="359"/>
      <c r="QSG308" s="359"/>
      <c r="QSH308" s="359"/>
      <c r="QSI308" s="359"/>
      <c r="QSJ308" s="359"/>
      <c r="QSK308" s="359"/>
      <c r="QSL308" s="359"/>
      <c r="QSM308" s="359"/>
      <c r="QSN308" s="359"/>
      <c r="QSO308" s="359"/>
      <c r="QSP308" s="359"/>
      <c r="QSQ308" s="359"/>
      <c r="QSR308" s="359"/>
      <c r="QSS308" s="359"/>
      <c r="QST308" s="359"/>
      <c r="QSU308" s="359"/>
      <c r="QSV308" s="359"/>
      <c r="QSW308" s="359"/>
      <c r="QSX308" s="359"/>
      <c r="QSY308" s="359"/>
      <c r="QSZ308" s="359"/>
      <c r="QTA308" s="359"/>
      <c r="QTB308" s="359"/>
      <c r="QTC308" s="359"/>
      <c r="QTD308" s="359"/>
      <c r="QTE308" s="359"/>
      <c r="QTF308" s="359"/>
      <c r="QTG308" s="359"/>
      <c r="QTH308" s="359"/>
      <c r="QTI308" s="359"/>
      <c r="QTJ308" s="359"/>
      <c r="QTK308" s="359"/>
      <c r="QTL308" s="359"/>
      <c r="QTM308" s="359"/>
      <c r="QTN308" s="359"/>
      <c r="QTO308" s="359"/>
      <c r="QTP308" s="359"/>
      <c r="QTQ308" s="359"/>
      <c r="QTR308" s="359"/>
      <c r="QTS308" s="359"/>
      <c r="QTT308" s="359"/>
      <c r="QTU308" s="359"/>
      <c r="QTV308" s="359"/>
      <c r="QTW308" s="359"/>
      <c r="QTX308" s="359"/>
      <c r="QTY308" s="359"/>
      <c r="QTZ308" s="359"/>
      <c r="QUA308" s="359"/>
      <c r="QUB308" s="359"/>
      <c r="QUC308" s="359"/>
      <c r="QUD308" s="359"/>
      <c r="QUE308" s="359"/>
      <c r="QUF308" s="359"/>
      <c r="QUG308" s="359"/>
      <c r="QUH308" s="359"/>
      <c r="QUI308" s="359"/>
      <c r="QUJ308" s="359"/>
      <c r="QUK308" s="359"/>
      <c r="QUL308" s="359"/>
      <c r="QUM308" s="359"/>
      <c r="QUN308" s="359"/>
      <c r="QUO308" s="359"/>
      <c r="QUP308" s="359"/>
      <c r="QUQ308" s="359"/>
      <c r="QUR308" s="359"/>
      <c r="QUS308" s="359"/>
      <c r="QUT308" s="359"/>
      <c r="QUU308" s="359"/>
      <c r="QUV308" s="359"/>
      <c r="QUW308" s="359"/>
      <c r="QUX308" s="359"/>
      <c r="QUY308" s="359"/>
      <c r="QUZ308" s="359"/>
      <c r="QVA308" s="359"/>
      <c r="QVB308" s="359"/>
      <c r="QVC308" s="359"/>
      <c r="QVD308" s="359"/>
      <c r="QVE308" s="359"/>
      <c r="QVF308" s="359"/>
      <c r="QVG308" s="359"/>
      <c r="QVH308" s="359"/>
      <c r="QVI308" s="359"/>
      <c r="QVJ308" s="359"/>
      <c r="QVK308" s="359"/>
      <c r="QVL308" s="359"/>
      <c r="QVM308" s="359"/>
      <c r="QVN308" s="359"/>
      <c r="QVO308" s="359"/>
      <c r="QVP308" s="359"/>
      <c r="QVQ308" s="359"/>
      <c r="QVR308" s="359"/>
      <c r="QVS308" s="359"/>
      <c r="QVT308" s="359"/>
      <c r="QVU308" s="359"/>
      <c r="QVV308" s="359"/>
      <c r="QVW308" s="359"/>
      <c r="QVX308" s="359"/>
      <c r="QVY308" s="359"/>
      <c r="QVZ308" s="359"/>
      <c r="QWA308" s="359"/>
      <c r="QWB308" s="359"/>
      <c r="QWC308" s="359"/>
      <c r="QWD308" s="359"/>
      <c r="QWE308" s="359"/>
      <c r="QWF308" s="359"/>
      <c r="QWG308" s="359"/>
      <c r="QWH308" s="359"/>
      <c r="QWI308" s="359"/>
      <c r="QWJ308" s="359"/>
      <c r="QWK308" s="359"/>
      <c r="QWL308" s="359"/>
      <c r="QWM308" s="359"/>
      <c r="QWN308" s="359"/>
      <c r="QWO308" s="359"/>
      <c r="QWP308" s="359"/>
      <c r="QWQ308" s="359"/>
      <c r="QWR308" s="359"/>
      <c r="QWS308" s="359"/>
      <c r="QWT308" s="359"/>
      <c r="QWU308" s="359"/>
      <c r="QWV308" s="359"/>
      <c r="QWW308" s="359"/>
      <c r="QWX308" s="359"/>
      <c r="QWY308" s="359"/>
      <c r="QWZ308" s="359"/>
      <c r="QXA308" s="359"/>
      <c r="QXB308" s="359"/>
      <c r="QXC308" s="359"/>
      <c r="QXD308" s="359"/>
      <c r="QXE308" s="359"/>
      <c r="QXF308" s="359"/>
      <c r="QXG308" s="359"/>
      <c r="QXH308" s="359"/>
      <c r="QXI308" s="359"/>
      <c r="QXJ308" s="359"/>
      <c r="QXK308" s="359"/>
      <c r="QXL308" s="359"/>
      <c r="QXM308" s="359"/>
      <c r="QXN308" s="359"/>
      <c r="QXO308" s="359"/>
      <c r="QXP308" s="359"/>
      <c r="QXQ308" s="359"/>
      <c r="QXR308" s="359"/>
      <c r="QXS308" s="359"/>
      <c r="QXT308" s="359"/>
      <c r="QXU308" s="359"/>
      <c r="QXV308" s="359"/>
      <c r="QXW308" s="359"/>
      <c r="QXX308" s="359"/>
      <c r="QXY308" s="359"/>
      <c r="QXZ308" s="359"/>
      <c r="QYA308" s="359"/>
      <c r="QYB308" s="359"/>
      <c r="QYC308" s="359"/>
      <c r="QYD308" s="359"/>
      <c r="QYE308" s="359"/>
      <c r="QYF308" s="359"/>
      <c r="QYG308" s="359"/>
      <c r="QYH308" s="359"/>
      <c r="QYI308" s="359"/>
      <c r="QYJ308" s="359"/>
      <c r="QYK308" s="359"/>
      <c r="QYL308" s="359"/>
      <c r="QYM308" s="359"/>
      <c r="QYN308" s="359"/>
      <c r="QYO308" s="359"/>
      <c r="QYP308" s="359"/>
      <c r="QYQ308" s="359"/>
      <c r="QYR308" s="359"/>
      <c r="QYS308" s="359"/>
      <c r="QYT308" s="359"/>
      <c r="QYU308" s="359"/>
      <c r="QYV308" s="359"/>
      <c r="QYW308" s="359"/>
      <c r="QYX308" s="359"/>
      <c r="QYY308" s="359"/>
      <c r="QYZ308" s="359"/>
      <c r="QZA308" s="359"/>
      <c r="QZB308" s="359"/>
      <c r="QZC308" s="359"/>
      <c r="QZD308" s="359"/>
      <c r="QZE308" s="359"/>
      <c r="QZF308" s="359"/>
      <c r="QZG308" s="359"/>
      <c r="QZH308" s="359"/>
      <c r="QZI308" s="359"/>
      <c r="QZJ308" s="359"/>
      <c r="QZK308" s="359"/>
      <c r="QZL308" s="359"/>
      <c r="QZM308" s="359"/>
      <c r="QZN308" s="359"/>
      <c r="QZO308" s="359"/>
      <c r="QZP308" s="359"/>
      <c r="QZQ308" s="359"/>
      <c r="QZR308" s="359"/>
      <c r="QZS308" s="359"/>
      <c r="QZT308" s="359"/>
      <c r="QZU308" s="359"/>
      <c r="QZV308" s="359"/>
      <c r="QZW308" s="359"/>
      <c r="QZX308" s="359"/>
      <c r="QZY308" s="359"/>
      <c r="QZZ308" s="359"/>
      <c r="RAA308" s="359"/>
      <c r="RAB308" s="359"/>
      <c r="RAC308" s="359"/>
      <c r="RAD308" s="359"/>
      <c r="RAE308" s="359"/>
      <c r="RAF308" s="359"/>
      <c r="RAG308" s="359"/>
      <c r="RAH308" s="359"/>
      <c r="RAI308" s="359"/>
      <c r="RAJ308" s="359"/>
      <c r="RAK308" s="359"/>
      <c r="RAL308" s="359"/>
      <c r="RAM308" s="359"/>
      <c r="RAN308" s="359"/>
      <c r="RAO308" s="359"/>
      <c r="RAP308" s="359"/>
      <c r="RAQ308" s="359"/>
      <c r="RAR308" s="359"/>
      <c r="RAS308" s="359"/>
      <c r="RAT308" s="359"/>
      <c r="RAU308" s="359"/>
      <c r="RAV308" s="359"/>
      <c r="RAW308" s="359"/>
      <c r="RAX308" s="359"/>
      <c r="RAY308" s="359"/>
      <c r="RAZ308" s="359"/>
      <c r="RBA308" s="359"/>
      <c r="RBB308" s="359"/>
      <c r="RBC308" s="359"/>
      <c r="RBD308" s="359"/>
      <c r="RBE308" s="359"/>
      <c r="RBF308" s="359"/>
      <c r="RBG308" s="359"/>
      <c r="RBH308" s="359"/>
      <c r="RBI308" s="359"/>
      <c r="RBJ308" s="359"/>
      <c r="RBK308" s="359"/>
      <c r="RBL308" s="359"/>
      <c r="RBM308" s="359"/>
      <c r="RBN308" s="359"/>
      <c r="RBO308" s="359"/>
      <c r="RBP308" s="359"/>
      <c r="RBQ308" s="359"/>
      <c r="RBR308" s="359"/>
      <c r="RBS308" s="359"/>
      <c r="RBT308" s="359"/>
      <c r="RBU308" s="359"/>
      <c r="RBV308" s="359"/>
      <c r="RBW308" s="359"/>
      <c r="RBX308" s="359"/>
      <c r="RBY308" s="359"/>
      <c r="RBZ308" s="359"/>
      <c r="RCA308" s="359"/>
      <c r="RCB308" s="359"/>
      <c r="RCC308" s="359"/>
      <c r="RCD308" s="359"/>
      <c r="RCE308" s="359"/>
      <c r="RCF308" s="359"/>
      <c r="RCG308" s="359"/>
      <c r="RCH308" s="359"/>
      <c r="RCI308" s="359"/>
      <c r="RCJ308" s="359"/>
      <c r="RCK308" s="359"/>
      <c r="RCL308" s="359"/>
      <c r="RCM308" s="359"/>
      <c r="RCN308" s="359"/>
      <c r="RCO308" s="359"/>
      <c r="RCP308" s="359"/>
      <c r="RCQ308" s="359"/>
      <c r="RCR308" s="359"/>
      <c r="RCS308" s="359"/>
      <c r="RCT308" s="359"/>
      <c r="RCU308" s="359"/>
      <c r="RCV308" s="359"/>
      <c r="RCW308" s="359"/>
      <c r="RCX308" s="359"/>
      <c r="RCY308" s="359"/>
      <c r="RCZ308" s="359"/>
      <c r="RDA308" s="359"/>
      <c r="RDB308" s="359"/>
      <c r="RDC308" s="359"/>
      <c r="RDD308" s="359"/>
      <c r="RDE308" s="359"/>
      <c r="RDF308" s="359"/>
      <c r="RDG308" s="359"/>
      <c r="RDH308" s="359"/>
      <c r="RDI308" s="359"/>
      <c r="RDJ308" s="359"/>
      <c r="RDK308" s="359"/>
      <c r="RDL308" s="359"/>
      <c r="RDM308" s="359"/>
      <c r="RDN308" s="359"/>
      <c r="RDO308" s="359"/>
      <c r="RDP308" s="359"/>
      <c r="RDQ308" s="359"/>
      <c r="RDR308" s="359"/>
      <c r="RDS308" s="359"/>
      <c r="RDT308" s="359"/>
      <c r="RDU308" s="359"/>
      <c r="RDV308" s="359"/>
      <c r="RDW308" s="359"/>
      <c r="RDX308" s="359"/>
      <c r="RDY308" s="359"/>
      <c r="RDZ308" s="359"/>
      <c r="REA308" s="359"/>
      <c r="REB308" s="359"/>
      <c r="REC308" s="359"/>
      <c r="RED308" s="359"/>
      <c r="REE308" s="359"/>
      <c r="REF308" s="359"/>
      <c r="REG308" s="359"/>
      <c r="REH308" s="359"/>
      <c r="REI308" s="359"/>
      <c r="REJ308" s="359"/>
      <c r="REK308" s="359"/>
      <c r="REL308" s="359"/>
      <c r="REM308" s="359"/>
      <c r="REN308" s="359"/>
      <c r="REO308" s="359"/>
      <c r="REP308" s="359"/>
      <c r="REQ308" s="359"/>
      <c r="RER308" s="359"/>
      <c r="RES308" s="359"/>
      <c r="RET308" s="359"/>
      <c r="REU308" s="359"/>
      <c r="REV308" s="359"/>
      <c r="REW308" s="359"/>
      <c r="REX308" s="359"/>
      <c r="REY308" s="359"/>
      <c r="REZ308" s="359"/>
      <c r="RFA308" s="359"/>
      <c r="RFB308" s="359"/>
      <c r="RFC308" s="359"/>
      <c r="RFD308" s="359"/>
      <c r="RFE308" s="359"/>
      <c r="RFF308" s="359"/>
      <c r="RFG308" s="359"/>
      <c r="RFH308" s="359"/>
      <c r="RFI308" s="359"/>
      <c r="RFJ308" s="359"/>
      <c r="RFK308" s="359"/>
      <c r="RFL308" s="359"/>
      <c r="RFM308" s="359"/>
      <c r="RFN308" s="359"/>
      <c r="RFO308" s="359"/>
      <c r="RFP308" s="359"/>
      <c r="RFQ308" s="359"/>
      <c r="RFR308" s="359"/>
      <c r="RFS308" s="359"/>
      <c r="RFT308" s="359"/>
      <c r="RFU308" s="359"/>
      <c r="RFV308" s="359"/>
      <c r="RFW308" s="359"/>
      <c r="RFX308" s="359"/>
      <c r="RFY308" s="359"/>
      <c r="RFZ308" s="359"/>
      <c r="RGA308" s="359"/>
      <c r="RGB308" s="359"/>
      <c r="RGC308" s="359"/>
      <c r="RGD308" s="359"/>
      <c r="RGE308" s="359"/>
      <c r="RGF308" s="359"/>
      <c r="RGG308" s="359"/>
      <c r="RGH308" s="359"/>
      <c r="RGI308" s="359"/>
      <c r="RGJ308" s="359"/>
      <c r="RGK308" s="359"/>
      <c r="RGL308" s="359"/>
      <c r="RGM308" s="359"/>
      <c r="RGN308" s="359"/>
      <c r="RGO308" s="359"/>
      <c r="RGP308" s="359"/>
      <c r="RGQ308" s="359"/>
      <c r="RGR308" s="359"/>
      <c r="RGS308" s="359"/>
      <c r="RGT308" s="359"/>
      <c r="RGU308" s="359"/>
      <c r="RGV308" s="359"/>
      <c r="RGW308" s="359"/>
      <c r="RGX308" s="359"/>
      <c r="RGY308" s="359"/>
      <c r="RGZ308" s="359"/>
      <c r="RHA308" s="359"/>
      <c r="RHB308" s="359"/>
      <c r="RHC308" s="359"/>
      <c r="RHD308" s="359"/>
      <c r="RHE308" s="359"/>
      <c r="RHF308" s="359"/>
      <c r="RHG308" s="359"/>
      <c r="RHH308" s="359"/>
      <c r="RHI308" s="359"/>
      <c r="RHJ308" s="359"/>
      <c r="RHK308" s="359"/>
      <c r="RHL308" s="359"/>
      <c r="RHM308" s="359"/>
      <c r="RHN308" s="359"/>
      <c r="RHO308" s="359"/>
      <c r="RHP308" s="359"/>
      <c r="RHQ308" s="359"/>
      <c r="RHR308" s="359"/>
      <c r="RHS308" s="359"/>
      <c r="RHT308" s="359"/>
      <c r="RHU308" s="359"/>
      <c r="RHV308" s="359"/>
      <c r="RHW308" s="359"/>
      <c r="RHX308" s="359"/>
      <c r="RHY308" s="359"/>
      <c r="RHZ308" s="359"/>
      <c r="RIA308" s="359"/>
      <c r="RIB308" s="359"/>
      <c r="RIC308" s="359"/>
      <c r="RID308" s="359"/>
      <c r="RIE308" s="359"/>
      <c r="RIF308" s="359"/>
      <c r="RIG308" s="359"/>
      <c r="RIH308" s="359"/>
      <c r="RII308" s="359"/>
      <c r="RIJ308" s="359"/>
      <c r="RIK308" s="359"/>
      <c r="RIL308" s="359"/>
      <c r="RIM308" s="359"/>
      <c r="RIN308" s="359"/>
      <c r="RIO308" s="359"/>
      <c r="RIP308" s="359"/>
      <c r="RIQ308" s="359"/>
      <c r="RIR308" s="359"/>
      <c r="RIS308" s="359"/>
      <c r="RIT308" s="359"/>
      <c r="RIU308" s="359"/>
      <c r="RIV308" s="359"/>
      <c r="RIW308" s="359"/>
      <c r="RIX308" s="359"/>
      <c r="RIY308" s="359"/>
      <c r="RIZ308" s="359"/>
      <c r="RJA308" s="359"/>
      <c r="RJB308" s="359"/>
      <c r="RJC308" s="359"/>
      <c r="RJD308" s="359"/>
      <c r="RJE308" s="359"/>
      <c r="RJF308" s="359"/>
      <c r="RJG308" s="359"/>
      <c r="RJH308" s="359"/>
      <c r="RJI308" s="359"/>
      <c r="RJJ308" s="359"/>
      <c r="RJK308" s="359"/>
      <c r="RJL308" s="359"/>
      <c r="RJM308" s="359"/>
      <c r="RJN308" s="359"/>
      <c r="RJO308" s="359"/>
      <c r="RJP308" s="359"/>
      <c r="RJQ308" s="359"/>
      <c r="RJR308" s="359"/>
      <c r="RJS308" s="359"/>
      <c r="RJT308" s="359"/>
      <c r="RJU308" s="359"/>
      <c r="RJV308" s="359"/>
      <c r="RJW308" s="359"/>
      <c r="RJX308" s="359"/>
      <c r="RJY308" s="359"/>
      <c r="RJZ308" s="359"/>
      <c r="RKA308" s="359"/>
      <c r="RKB308" s="359"/>
      <c r="RKC308" s="359"/>
      <c r="RKD308" s="359"/>
      <c r="RKE308" s="359"/>
      <c r="RKF308" s="359"/>
      <c r="RKG308" s="359"/>
      <c r="RKH308" s="359"/>
      <c r="RKI308" s="359"/>
      <c r="RKJ308" s="359"/>
      <c r="RKK308" s="359"/>
      <c r="RKL308" s="359"/>
      <c r="RKM308" s="359"/>
      <c r="RKN308" s="359"/>
      <c r="RKO308" s="359"/>
      <c r="RKP308" s="359"/>
      <c r="RKQ308" s="359"/>
      <c r="RKR308" s="359"/>
      <c r="RKS308" s="359"/>
      <c r="RKT308" s="359"/>
      <c r="RKU308" s="359"/>
      <c r="RKV308" s="359"/>
      <c r="RKW308" s="359"/>
      <c r="RKX308" s="359"/>
      <c r="RKY308" s="359"/>
      <c r="RKZ308" s="359"/>
      <c r="RLA308" s="359"/>
      <c r="RLB308" s="359"/>
      <c r="RLC308" s="359"/>
      <c r="RLD308" s="359"/>
      <c r="RLE308" s="359"/>
      <c r="RLF308" s="359"/>
      <c r="RLG308" s="359"/>
      <c r="RLH308" s="359"/>
      <c r="RLI308" s="359"/>
      <c r="RLJ308" s="359"/>
      <c r="RLK308" s="359"/>
      <c r="RLL308" s="359"/>
      <c r="RLM308" s="359"/>
      <c r="RLN308" s="359"/>
      <c r="RLO308" s="359"/>
      <c r="RLP308" s="359"/>
      <c r="RLQ308" s="359"/>
      <c r="RLR308" s="359"/>
      <c r="RLS308" s="359"/>
      <c r="RLT308" s="359"/>
      <c r="RLU308" s="359"/>
      <c r="RLV308" s="359"/>
      <c r="RLW308" s="359"/>
      <c r="RLX308" s="359"/>
      <c r="RLY308" s="359"/>
      <c r="RLZ308" s="359"/>
      <c r="RMA308" s="359"/>
      <c r="RMB308" s="359"/>
      <c r="RMC308" s="359"/>
      <c r="RMD308" s="359"/>
      <c r="RME308" s="359"/>
      <c r="RMF308" s="359"/>
      <c r="RMG308" s="359"/>
      <c r="RMH308" s="359"/>
      <c r="RMI308" s="359"/>
      <c r="RMJ308" s="359"/>
      <c r="RMK308" s="359"/>
      <c r="RML308" s="359"/>
      <c r="RMM308" s="359"/>
      <c r="RMN308" s="359"/>
      <c r="RMO308" s="359"/>
      <c r="RMP308" s="359"/>
      <c r="RMQ308" s="359"/>
      <c r="RMR308" s="359"/>
      <c r="RMS308" s="359"/>
      <c r="RMT308" s="359"/>
      <c r="RMU308" s="359"/>
      <c r="RMV308" s="359"/>
      <c r="RMW308" s="359"/>
      <c r="RMX308" s="359"/>
      <c r="RMY308" s="359"/>
      <c r="RMZ308" s="359"/>
      <c r="RNA308" s="359"/>
      <c r="RNB308" s="359"/>
      <c r="RNC308" s="359"/>
      <c r="RND308" s="359"/>
      <c r="RNE308" s="359"/>
      <c r="RNF308" s="359"/>
      <c r="RNG308" s="359"/>
      <c r="RNH308" s="359"/>
      <c r="RNI308" s="359"/>
      <c r="RNJ308" s="359"/>
      <c r="RNK308" s="359"/>
      <c r="RNL308" s="359"/>
      <c r="RNM308" s="359"/>
      <c r="RNN308" s="359"/>
      <c r="RNO308" s="359"/>
      <c r="RNP308" s="359"/>
      <c r="RNQ308" s="359"/>
      <c r="RNR308" s="359"/>
      <c r="RNS308" s="359"/>
      <c r="RNT308" s="359"/>
      <c r="RNU308" s="359"/>
      <c r="RNV308" s="359"/>
      <c r="RNW308" s="359"/>
      <c r="RNX308" s="359"/>
      <c r="RNY308" s="359"/>
      <c r="RNZ308" s="359"/>
      <c r="ROA308" s="359"/>
      <c r="ROB308" s="359"/>
      <c r="ROC308" s="359"/>
      <c r="ROD308" s="359"/>
      <c r="ROE308" s="359"/>
      <c r="ROF308" s="359"/>
      <c r="ROG308" s="359"/>
      <c r="ROH308" s="359"/>
      <c r="ROI308" s="359"/>
      <c r="ROJ308" s="359"/>
      <c r="ROK308" s="359"/>
      <c r="ROL308" s="359"/>
      <c r="ROM308" s="359"/>
      <c r="RON308" s="359"/>
      <c r="ROO308" s="359"/>
      <c r="ROP308" s="359"/>
      <c r="ROQ308" s="359"/>
      <c r="ROR308" s="359"/>
      <c r="ROS308" s="359"/>
      <c r="ROT308" s="359"/>
      <c r="ROU308" s="359"/>
      <c r="ROV308" s="359"/>
      <c r="ROW308" s="359"/>
      <c r="ROX308" s="359"/>
      <c r="ROY308" s="359"/>
      <c r="ROZ308" s="359"/>
      <c r="RPA308" s="359"/>
      <c r="RPB308" s="359"/>
      <c r="RPC308" s="359"/>
      <c r="RPD308" s="359"/>
      <c r="RPE308" s="359"/>
      <c r="RPF308" s="359"/>
      <c r="RPG308" s="359"/>
      <c r="RPH308" s="359"/>
      <c r="RPI308" s="359"/>
      <c r="RPJ308" s="359"/>
      <c r="RPK308" s="359"/>
      <c r="RPL308" s="359"/>
      <c r="RPM308" s="359"/>
      <c r="RPN308" s="359"/>
      <c r="RPO308" s="359"/>
      <c r="RPP308" s="359"/>
      <c r="RPQ308" s="359"/>
      <c r="RPR308" s="359"/>
      <c r="RPS308" s="359"/>
      <c r="RPT308" s="359"/>
      <c r="RPU308" s="359"/>
      <c r="RPV308" s="359"/>
      <c r="RPW308" s="359"/>
      <c r="RPX308" s="359"/>
      <c r="RPY308" s="359"/>
      <c r="RPZ308" s="359"/>
      <c r="RQA308" s="359"/>
      <c r="RQB308" s="359"/>
      <c r="RQC308" s="359"/>
      <c r="RQD308" s="359"/>
      <c r="RQE308" s="359"/>
      <c r="RQF308" s="359"/>
      <c r="RQG308" s="359"/>
      <c r="RQH308" s="359"/>
      <c r="RQI308" s="359"/>
      <c r="RQJ308" s="359"/>
      <c r="RQK308" s="359"/>
      <c r="RQL308" s="359"/>
      <c r="RQM308" s="359"/>
      <c r="RQN308" s="359"/>
      <c r="RQO308" s="359"/>
      <c r="RQP308" s="359"/>
      <c r="RQQ308" s="359"/>
      <c r="RQR308" s="359"/>
      <c r="RQS308" s="359"/>
      <c r="RQT308" s="359"/>
      <c r="RQU308" s="359"/>
      <c r="RQV308" s="359"/>
      <c r="RQW308" s="359"/>
      <c r="RQX308" s="359"/>
      <c r="RQY308" s="359"/>
      <c r="RQZ308" s="359"/>
      <c r="RRA308" s="359"/>
      <c r="RRB308" s="359"/>
      <c r="RRC308" s="359"/>
      <c r="RRD308" s="359"/>
      <c r="RRE308" s="359"/>
      <c r="RRF308" s="359"/>
      <c r="RRG308" s="359"/>
      <c r="RRH308" s="359"/>
      <c r="RRI308" s="359"/>
      <c r="RRJ308" s="359"/>
      <c r="RRK308" s="359"/>
      <c r="RRL308" s="359"/>
      <c r="RRM308" s="359"/>
      <c r="RRN308" s="359"/>
      <c r="RRO308" s="359"/>
      <c r="RRP308" s="359"/>
      <c r="RRQ308" s="359"/>
      <c r="RRR308" s="359"/>
      <c r="RRS308" s="359"/>
      <c r="RRT308" s="359"/>
      <c r="RRU308" s="359"/>
      <c r="RRV308" s="359"/>
      <c r="RRW308" s="359"/>
      <c r="RRX308" s="359"/>
      <c r="RRY308" s="359"/>
      <c r="RRZ308" s="359"/>
      <c r="RSA308" s="359"/>
      <c r="RSB308" s="359"/>
      <c r="RSC308" s="359"/>
      <c r="RSD308" s="359"/>
      <c r="RSE308" s="359"/>
      <c r="RSF308" s="359"/>
      <c r="RSG308" s="359"/>
      <c r="RSH308" s="359"/>
      <c r="RSI308" s="359"/>
      <c r="RSJ308" s="359"/>
      <c r="RSK308" s="359"/>
      <c r="RSL308" s="359"/>
      <c r="RSM308" s="359"/>
      <c r="RSN308" s="359"/>
      <c r="RSO308" s="359"/>
      <c r="RSP308" s="359"/>
      <c r="RSQ308" s="359"/>
      <c r="RSR308" s="359"/>
      <c r="RSS308" s="359"/>
      <c r="RST308" s="359"/>
      <c r="RSU308" s="359"/>
      <c r="RSV308" s="359"/>
      <c r="RSW308" s="359"/>
      <c r="RSX308" s="359"/>
      <c r="RSY308" s="359"/>
      <c r="RSZ308" s="359"/>
      <c r="RTA308" s="359"/>
      <c r="RTB308" s="359"/>
      <c r="RTC308" s="359"/>
      <c r="RTD308" s="359"/>
      <c r="RTE308" s="359"/>
      <c r="RTF308" s="359"/>
      <c r="RTG308" s="359"/>
      <c r="RTH308" s="359"/>
      <c r="RTI308" s="359"/>
      <c r="RTJ308" s="359"/>
      <c r="RTK308" s="359"/>
      <c r="RTL308" s="359"/>
      <c r="RTM308" s="359"/>
      <c r="RTN308" s="359"/>
      <c r="RTO308" s="359"/>
      <c r="RTP308" s="359"/>
      <c r="RTQ308" s="359"/>
      <c r="RTR308" s="359"/>
      <c r="RTS308" s="359"/>
      <c r="RTT308" s="359"/>
      <c r="RTU308" s="359"/>
      <c r="RTV308" s="359"/>
      <c r="RTW308" s="359"/>
      <c r="RTX308" s="359"/>
      <c r="RTY308" s="359"/>
      <c r="RTZ308" s="359"/>
      <c r="RUA308" s="359"/>
      <c r="RUB308" s="359"/>
      <c r="RUC308" s="359"/>
      <c r="RUD308" s="359"/>
      <c r="RUE308" s="359"/>
      <c r="RUF308" s="359"/>
      <c r="RUG308" s="359"/>
      <c r="RUH308" s="359"/>
      <c r="RUI308" s="359"/>
      <c r="RUJ308" s="359"/>
      <c r="RUK308" s="359"/>
      <c r="RUL308" s="359"/>
      <c r="RUM308" s="359"/>
      <c r="RUN308" s="359"/>
      <c r="RUO308" s="359"/>
      <c r="RUP308" s="359"/>
      <c r="RUQ308" s="359"/>
      <c r="RUR308" s="359"/>
      <c r="RUS308" s="359"/>
      <c r="RUT308" s="359"/>
      <c r="RUU308" s="359"/>
      <c r="RUV308" s="359"/>
      <c r="RUW308" s="359"/>
      <c r="RUX308" s="359"/>
      <c r="RUY308" s="359"/>
      <c r="RUZ308" s="359"/>
      <c r="RVA308" s="359"/>
      <c r="RVB308" s="359"/>
      <c r="RVC308" s="359"/>
      <c r="RVD308" s="359"/>
      <c r="RVE308" s="359"/>
      <c r="RVF308" s="359"/>
      <c r="RVG308" s="359"/>
      <c r="RVH308" s="359"/>
      <c r="RVI308" s="359"/>
      <c r="RVJ308" s="359"/>
      <c r="RVK308" s="359"/>
      <c r="RVL308" s="359"/>
      <c r="RVM308" s="359"/>
      <c r="RVN308" s="359"/>
      <c r="RVO308" s="359"/>
      <c r="RVP308" s="359"/>
      <c r="RVQ308" s="359"/>
      <c r="RVR308" s="359"/>
      <c r="RVS308" s="359"/>
      <c r="RVT308" s="359"/>
      <c r="RVU308" s="359"/>
      <c r="RVV308" s="359"/>
      <c r="RVW308" s="359"/>
      <c r="RVX308" s="359"/>
      <c r="RVY308" s="359"/>
      <c r="RVZ308" s="359"/>
      <c r="RWA308" s="359"/>
      <c r="RWB308" s="359"/>
      <c r="RWC308" s="359"/>
      <c r="RWD308" s="359"/>
      <c r="RWE308" s="359"/>
      <c r="RWF308" s="359"/>
      <c r="RWG308" s="359"/>
      <c r="RWH308" s="359"/>
      <c r="RWI308" s="359"/>
      <c r="RWJ308" s="359"/>
      <c r="RWK308" s="359"/>
      <c r="RWL308" s="359"/>
      <c r="RWM308" s="359"/>
      <c r="RWN308" s="359"/>
      <c r="RWO308" s="359"/>
      <c r="RWP308" s="359"/>
      <c r="RWQ308" s="359"/>
      <c r="RWR308" s="359"/>
      <c r="RWS308" s="359"/>
      <c r="RWT308" s="359"/>
      <c r="RWU308" s="359"/>
      <c r="RWV308" s="359"/>
      <c r="RWW308" s="359"/>
      <c r="RWX308" s="359"/>
      <c r="RWY308" s="359"/>
      <c r="RWZ308" s="359"/>
      <c r="RXA308" s="359"/>
      <c r="RXB308" s="359"/>
      <c r="RXC308" s="359"/>
      <c r="RXD308" s="359"/>
      <c r="RXE308" s="359"/>
      <c r="RXF308" s="359"/>
      <c r="RXG308" s="359"/>
      <c r="RXH308" s="359"/>
      <c r="RXI308" s="359"/>
      <c r="RXJ308" s="359"/>
      <c r="RXK308" s="359"/>
      <c r="RXL308" s="359"/>
      <c r="RXM308" s="359"/>
      <c r="RXN308" s="359"/>
      <c r="RXO308" s="359"/>
      <c r="RXP308" s="359"/>
      <c r="RXQ308" s="359"/>
      <c r="RXR308" s="359"/>
      <c r="RXS308" s="359"/>
      <c r="RXT308" s="359"/>
      <c r="RXU308" s="359"/>
      <c r="RXV308" s="359"/>
      <c r="RXW308" s="359"/>
      <c r="RXX308" s="359"/>
      <c r="RXY308" s="359"/>
      <c r="RXZ308" s="359"/>
      <c r="RYA308" s="359"/>
      <c r="RYB308" s="359"/>
      <c r="RYC308" s="359"/>
      <c r="RYD308" s="359"/>
      <c r="RYE308" s="359"/>
      <c r="RYF308" s="359"/>
      <c r="RYG308" s="359"/>
      <c r="RYH308" s="359"/>
      <c r="RYI308" s="359"/>
      <c r="RYJ308" s="359"/>
      <c r="RYK308" s="359"/>
      <c r="RYL308" s="359"/>
      <c r="RYM308" s="359"/>
      <c r="RYN308" s="359"/>
      <c r="RYO308" s="359"/>
      <c r="RYP308" s="359"/>
      <c r="RYQ308" s="359"/>
      <c r="RYR308" s="359"/>
      <c r="RYS308" s="359"/>
      <c r="RYT308" s="359"/>
      <c r="RYU308" s="359"/>
      <c r="RYV308" s="359"/>
      <c r="RYW308" s="359"/>
      <c r="RYX308" s="359"/>
      <c r="RYY308" s="359"/>
      <c r="RYZ308" s="359"/>
      <c r="RZA308" s="359"/>
      <c r="RZB308" s="359"/>
      <c r="RZC308" s="359"/>
      <c r="RZD308" s="359"/>
      <c r="RZE308" s="359"/>
      <c r="RZF308" s="359"/>
      <c r="RZG308" s="359"/>
      <c r="RZH308" s="359"/>
      <c r="RZI308" s="359"/>
      <c r="RZJ308" s="359"/>
      <c r="RZK308" s="359"/>
      <c r="RZL308" s="359"/>
      <c r="RZM308" s="359"/>
      <c r="RZN308" s="359"/>
      <c r="RZO308" s="359"/>
      <c r="RZP308" s="359"/>
      <c r="RZQ308" s="359"/>
      <c r="RZR308" s="359"/>
      <c r="RZS308" s="359"/>
      <c r="RZT308" s="359"/>
      <c r="RZU308" s="359"/>
      <c r="RZV308" s="359"/>
      <c r="RZW308" s="359"/>
      <c r="RZX308" s="359"/>
      <c r="RZY308" s="359"/>
      <c r="RZZ308" s="359"/>
      <c r="SAA308" s="359"/>
      <c r="SAB308" s="359"/>
      <c r="SAC308" s="359"/>
      <c r="SAD308" s="359"/>
      <c r="SAE308" s="359"/>
      <c r="SAF308" s="359"/>
      <c r="SAG308" s="359"/>
      <c r="SAH308" s="359"/>
      <c r="SAI308" s="359"/>
      <c r="SAJ308" s="359"/>
      <c r="SAK308" s="359"/>
      <c r="SAL308" s="359"/>
      <c r="SAM308" s="359"/>
      <c r="SAN308" s="359"/>
      <c r="SAO308" s="359"/>
      <c r="SAP308" s="359"/>
      <c r="SAQ308" s="359"/>
      <c r="SAR308" s="359"/>
      <c r="SAS308" s="359"/>
      <c r="SAT308" s="359"/>
      <c r="SAU308" s="359"/>
      <c r="SAV308" s="359"/>
      <c r="SAW308" s="359"/>
      <c r="SAX308" s="359"/>
      <c r="SAY308" s="359"/>
      <c r="SAZ308" s="359"/>
      <c r="SBA308" s="359"/>
      <c r="SBB308" s="359"/>
      <c r="SBC308" s="359"/>
      <c r="SBD308" s="359"/>
      <c r="SBE308" s="359"/>
      <c r="SBF308" s="359"/>
      <c r="SBG308" s="359"/>
      <c r="SBH308" s="359"/>
      <c r="SBI308" s="359"/>
      <c r="SBJ308" s="359"/>
      <c r="SBK308" s="359"/>
      <c r="SBL308" s="359"/>
      <c r="SBM308" s="359"/>
      <c r="SBN308" s="359"/>
      <c r="SBO308" s="359"/>
      <c r="SBP308" s="359"/>
      <c r="SBQ308" s="359"/>
      <c r="SBR308" s="359"/>
      <c r="SBS308" s="359"/>
      <c r="SBT308" s="359"/>
      <c r="SBU308" s="359"/>
      <c r="SBV308" s="359"/>
      <c r="SBW308" s="359"/>
      <c r="SBX308" s="359"/>
      <c r="SBY308" s="359"/>
      <c r="SBZ308" s="359"/>
      <c r="SCA308" s="359"/>
      <c r="SCB308" s="359"/>
      <c r="SCC308" s="359"/>
      <c r="SCD308" s="359"/>
      <c r="SCE308" s="359"/>
      <c r="SCF308" s="359"/>
      <c r="SCG308" s="359"/>
      <c r="SCH308" s="359"/>
      <c r="SCI308" s="359"/>
      <c r="SCJ308" s="359"/>
      <c r="SCK308" s="359"/>
      <c r="SCL308" s="359"/>
      <c r="SCM308" s="359"/>
      <c r="SCN308" s="359"/>
      <c r="SCO308" s="359"/>
      <c r="SCP308" s="359"/>
      <c r="SCQ308" s="359"/>
      <c r="SCR308" s="359"/>
      <c r="SCS308" s="359"/>
      <c r="SCT308" s="359"/>
      <c r="SCU308" s="359"/>
      <c r="SCV308" s="359"/>
      <c r="SCW308" s="359"/>
      <c r="SCX308" s="359"/>
      <c r="SCY308" s="359"/>
      <c r="SCZ308" s="359"/>
      <c r="SDA308" s="359"/>
      <c r="SDB308" s="359"/>
      <c r="SDC308" s="359"/>
      <c r="SDD308" s="359"/>
      <c r="SDE308" s="359"/>
      <c r="SDF308" s="359"/>
      <c r="SDG308" s="359"/>
      <c r="SDH308" s="359"/>
      <c r="SDI308" s="359"/>
      <c r="SDJ308" s="359"/>
      <c r="SDK308" s="359"/>
      <c r="SDL308" s="359"/>
      <c r="SDM308" s="359"/>
      <c r="SDN308" s="359"/>
      <c r="SDO308" s="359"/>
      <c r="SDP308" s="359"/>
      <c r="SDQ308" s="359"/>
      <c r="SDR308" s="359"/>
      <c r="SDS308" s="359"/>
      <c r="SDT308" s="359"/>
      <c r="SDU308" s="359"/>
      <c r="SDV308" s="359"/>
      <c r="SDW308" s="359"/>
      <c r="SDX308" s="359"/>
      <c r="SDY308" s="359"/>
      <c r="SDZ308" s="359"/>
      <c r="SEA308" s="359"/>
      <c r="SEB308" s="359"/>
      <c r="SEC308" s="359"/>
      <c r="SED308" s="359"/>
      <c r="SEE308" s="359"/>
      <c r="SEF308" s="359"/>
      <c r="SEG308" s="359"/>
      <c r="SEH308" s="359"/>
      <c r="SEI308" s="359"/>
      <c r="SEJ308" s="359"/>
      <c r="SEK308" s="359"/>
      <c r="SEL308" s="359"/>
      <c r="SEM308" s="359"/>
      <c r="SEN308" s="359"/>
      <c r="SEO308" s="359"/>
      <c r="SEP308" s="359"/>
      <c r="SEQ308" s="359"/>
      <c r="SER308" s="359"/>
      <c r="SES308" s="359"/>
      <c r="SET308" s="359"/>
      <c r="SEU308" s="359"/>
      <c r="SEV308" s="359"/>
      <c r="SEW308" s="359"/>
      <c r="SEX308" s="359"/>
      <c r="SEY308" s="359"/>
      <c r="SEZ308" s="359"/>
      <c r="SFA308" s="359"/>
      <c r="SFB308" s="359"/>
      <c r="SFC308" s="359"/>
      <c r="SFD308" s="359"/>
      <c r="SFE308" s="359"/>
      <c r="SFF308" s="359"/>
      <c r="SFG308" s="359"/>
      <c r="SFH308" s="359"/>
      <c r="SFI308" s="359"/>
      <c r="SFJ308" s="359"/>
      <c r="SFK308" s="359"/>
      <c r="SFL308" s="359"/>
      <c r="SFM308" s="359"/>
      <c r="SFN308" s="359"/>
      <c r="SFO308" s="359"/>
      <c r="SFP308" s="359"/>
      <c r="SFQ308" s="359"/>
      <c r="SFR308" s="359"/>
      <c r="SFS308" s="359"/>
      <c r="SFT308" s="359"/>
      <c r="SFU308" s="359"/>
      <c r="SFV308" s="359"/>
      <c r="SFW308" s="359"/>
      <c r="SFX308" s="359"/>
      <c r="SFY308" s="359"/>
      <c r="SFZ308" s="359"/>
      <c r="SGA308" s="359"/>
      <c r="SGB308" s="359"/>
      <c r="SGC308" s="359"/>
      <c r="SGD308" s="359"/>
      <c r="SGE308" s="359"/>
      <c r="SGF308" s="359"/>
      <c r="SGG308" s="359"/>
      <c r="SGH308" s="359"/>
      <c r="SGI308" s="359"/>
      <c r="SGJ308" s="359"/>
      <c r="SGK308" s="359"/>
      <c r="SGL308" s="359"/>
      <c r="SGM308" s="359"/>
      <c r="SGN308" s="359"/>
      <c r="SGO308" s="359"/>
      <c r="SGP308" s="359"/>
      <c r="SGQ308" s="359"/>
      <c r="SGR308" s="359"/>
      <c r="SGS308" s="359"/>
      <c r="SGT308" s="359"/>
      <c r="SGU308" s="359"/>
      <c r="SGV308" s="359"/>
      <c r="SGW308" s="359"/>
      <c r="SGX308" s="359"/>
      <c r="SGY308" s="359"/>
      <c r="SGZ308" s="359"/>
      <c r="SHA308" s="359"/>
      <c r="SHB308" s="359"/>
      <c r="SHC308" s="359"/>
      <c r="SHD308" s="359"/>
      <c r="SHE308" s="359"/>
      <c r="SHF308" s="359"/>
      <c r="SHG308" s="359"/>
      <c r="SHH308" s="359"/>
      <c r="SHI308" s="359"/>
      <c r="SHJ308" s="359"/>
      <c r="SHK308" s="359"/>
      <c r="SHL308" s="359"/>
      <c r="SHM308" s="359"/>
      <c r="SHN308" s="359"/>
      <c r="SHO308" s="359"/>
      <c r="SHP308" s="359"/>
      <c r="SHQ308" s="359"/>
      <c r="SHR308" s="359"/>
      <c r="SHS308" s="359"/>
      <c r="SHT308" s="359"/>
      <c r="SHU308" s="359"/>
      <c r="SHV308" s="359"/>
      <c r="SHW308" s="359"/>
      <c r="SHX308" s="359"/>
      <c r="SHY308" s="359"/>
      <c r="SHZ308" s="359"/>
      <c r="SIA308" s="359"/>
      <c r="SIB308" s="359"/>
      <c r="SIC308" s="359"/>
      <c r="SID308" s="359"/>
      <c r="SIE308" s="359"/>
      <c r="SIF308" s="359"/>
      <c r="SIG308" s="359"/>
      <c r="SIH308" s="359"/>
      <c r="SII308" s="359"/>
      <c r="SIJ308" s="359"/>
      <c r="SIK308" s="359"/>
      <c r="SIL308" s="359"/>
      <c r="SIM308" s="359"/>
      <c r="SIN308" s="359"/>
      <c r="SIO308" s="359"/>
      <c r="SIP308" s="359"/>
      <c r="SIQ308" s="359"/>
      <c r="SIR308" s="359"/>
      <c r="SIS308" s="359"/>
      <c r="SIT308" s="359"/>
      <c r="SIU308" s="359"/>
      <c r="SIV308" s="359"/>
      <c r="SIW308" s="359"/>
      <c r="SIX308" s="359"/>
      <c r="SIY308" s="359"/>
      <c r="SIZ308" s="359"/>
      <c r="SJA308" s="359"/>
      <c r="SJB308" s="359"/>
      <c r="SJC308" s="359"/>
      <c r="SJD308" s="359"/>
      <c r="SJE308" s="359"/>
      <c r="SJF308" s="359"/>
      <c r="SJG308" s="359"/>
      <c r="SJH308" s="359"/>
      <c r="SJI308" s="359"/>
      <c r="SJJ308" s="359"/>
      <c r="SJK308" s="359"/>
      <c r="SJL308" s="359"/>
      <c r="SJM308" s="359"/>
      <c r="SJN308" s="359"/>
      <c r="SJO308" s="359"/>
      <c r="SJP308" s="359"/>
      <c r="SJQ308" s="359"/>
      <c r="SJR308" s="359"/>
      <c r="SJS308" s="359"/>
      <c r="SJT308" s="359"/>
      <c r="SJU308" s="359"/>
      <c r="SJV308" s="359"/>
      <c r="SJW308" s="359"/>
      <c r="SJX308" s="359"/>
      <c r="SJY308" s="359"/>
      <c r="SJZ308" s="359"/>
      <c r="SKA308" s="359"/>
      <c r="SKB308" s="359"/>
      <c r="SKC308" s="359"/>
      <c r="SKD308" s="359"/>
      <c r="SKE308" s="359"/>
      <c r="SKF308" s="359"/>
      <c r="SKG308" s="359"/>
      <c r="SKH308" s="359"/>
      <c r="SKI308" s="359"/>
      <c r="SKJ308" s="359"/>
      <c r="SKK308" s="359"/>
      <c r="SKL308" s="359"/>
      <c r="SKM308" s="359"/>
      <c r="SKN308" s="359"/>
      <c r="SKO308" s="359"/>
      <c r="SKP308" s="359"/>
      <c r="SKQ308" s="359"/>
      <c r="SKR308" s="359"/>
      <c r="SKS308" s="359"/>
      <c r="SKT308" s="359"/>
      <c r="SKU308" s="359"/>
      <c r="SKV308" s="359"/>
      <c r="SKW308" s="359"/>
      <c r="SKX308" s="359"/>
      <c r="SKY308" s="359"/>
      <c r="SKZ308" s="359"/>
      <c r="SLA308" s="359"/>
      <c r="SLB308" s="359"/>
      <c r="SLC308" s="359"/>
      <c r="SLD308" s="359"/>
      <c r="SLE308" s="359"/>
      <c r="SLF308" s="359"/>
      <c r="SLG308" s="359"/>
      <c r="SLH308" s="359"/>
      <c r="SLI308" s="359"/>
      <c r="SLJ308" s="359"/>
      <c r="SLK308" s="359"/>
      <c r="SLL308" s="359"/>
      <c r="SLM308" s="359"/>
      <c r="SLN308" s="359"/>
      <c r="SLO308" s="359"/>
      <c r="SLP308" s="359"/>
      <c r="SLQ308" s="359"/>
      <c r="SLR308" s="359"/>
      <c r="SLS308" s="359"/>
      <c r="SLT308" s="359"/>
      <c r="SLU308" s="359"/>
      <c r="SLV308" s="359"/>
      <c r="SLW308" s="359"/>
      <c r="SLX308" s="359"/>
      <c r="SLY308" s="359"/>
      <c r="SLZ308" s="359"/>
      <c r="SMA308" s="359"/>
      <c r="SMB308" s="359"/>
      <c r="SMC308" s="359"/>
      <c r="SMD308" s="359"/>
      <c r="SME308" s="359"/>
      <c r="SMF308" s="359"/>
      <c r="SMG308" s="359"/>
      <c r="SMH308" s="359"/>
      <c r="SMI308" s="359"/>
      <c r="SMJ308" s="359"/>
      <c r="SMK308" s="359"/>
      <c r="SML308" s="359"/>
      <c r="SMM308" s="359"/>
      <c r="SMN308" s="359"/>
      <c r="SMO308" s="359"/>
      <c r="SMP308" s="359"/>
      <c r="SMQ308" s="359"/>
      <c r="SMR308" s="359"/>
      <c r="SMS308" s="359"/>
      <c r="SMT308" s="359"/>
      <c r="SMU308" s="359"/>
      <c r="SMV308" s="359"/>
      <c r="SMW308" s="359"/>
      <c r="SMX308" s="359"/>
      <c r="SMY308" s="359"/>
      <c r="SMZ308" s="359"/>
      <c r="SNA308" s="359"/>
      <c r="SNB308" s="359"/>
      <c r="SNC308" s="359"/>
      <c r="SND308" s="359"/>
      <c r="SNE308" s="359"/>
      <c r="SNF308" s="359"/>
      <c r="SNG308" s="359"/>
      <c r="SNH308" s="359"/>
      <c r="SNI308" s="359"/>
      <c r="SNJ308" s="359"/>
      <c r="SNK308" s="359"/>
      <c r="SNL308" s="359"/>
      <c r="SNM308" s="359"/>
      <c r="SNN308" s="359"/>
      <c r="SNO308" s="359"/>
      <c r="SNP308" s="359"/>
      <c r="SNQ308" s="359"/>
      <c r="SNR308" s="359"/>
      <c r="SNS308" s="359"/>
      <c r="SNT308" s="359"/>
      <c r="SNU308" s="359"/>
      <c r="SNV308" s="359"/>
      <c r="SNW308" s="359"/>
      <c r="SNX308" s="359"/>
      <c r="SNY308" s="359"/>
      <c r="SNZ308" s="359"/>
      <c r="SOA308" s="359"/>
      <c r="SOB308" s="359"/>
      <c r="SOC308" s="359"/>
      <c r="SOD308" s="359"/>
      <c r="SOE308" s="359"/>
      <c r="SOF308" s="359"/>
      <c r="SOG308" s="359"/>
      <c r="SOH308" s="359"/>
      <c r="SOI308" s="359"/>
      <c r="SOJ308" s="359"/>
      <c r="SOK308" s="359"/>
      <c r="SOL308" s="359"/>
      <c r="SOM308" s="359"/>
      <c r="SON308" s="359"/>
      <c r="SOO308" s="359"/>
      <c r="SOP308" s="359"/>
      <c r="SOQ308" s="359"/>
      <c r="SOR308" s="359"/>
      <c r="SOS308" s="359"/>
      <c r="SOT308" s="359"/>
      <c r="SOU308" s="359"/>
      <c r="SOV308" s="359"/>
      <c r="SOW308" s="359"/>
      <c r="SOX308" s="359"/>
      <c r="SOY308" s="359"/>
      <c r="SOZ308" s="359"/>
      <c r="SPA308" s="359"/>
      <c r="SPB308" s="359"/>
      <c r="SPC308" s="359"/>
      <c r="SPD308" s="359"/>
      <c r="SPE308" s="359"/>
      <c r="SPF308" s="359"/>
      <c r="SPG308" s="359"/>
      <c r="SPH308" s="359"/>
      <c r="SPI308" s="359"/>
      <c r="SPJ308" s="359"/>
      <c r="SPK308" s="359"/>
      <c r="SPL308" s="359"/>
      <c r="SPM308" s="359"/>
      <c r="SPN308" s="359"/>
      <c r="SPO308" s="359"/>
      <c r="SPP308" s="359"/>
      <c r="SPQ308" s="359"/>
      <c r="SPR308" s="359"/>
      <c r="SPS308" s="359"/>
      <c r="SPT308" s="359"/>
      <c r="SPU308" s="359"/>
      <c r="SPV308" s="359"/>
      <c r="SPW308" s="359"/>
      <c r="SPX308" s="359"/>
      <c r="SPY308" s="359"/>
      <c r="SPZ308" s="359"/>
      <c r="SQA308" s="359"/>
      <c r="SQB308" s="359"/>
      <c r="SQC308" s="359"/>
      <c r="SQD308" s="359"/>
      <c r="SQE308" s="359"/>
      <c r="SQF308" s="359"/>
      <c r="SQG308" s="359"/>
      <c r="SQH308" s="359"/>
      <c r="SQI308" s="359"/>
      <c r="SQJ308" s="359"/>
      <c r="SQK308" s="359"/>
      <c r="SQL308" s="359"/>
      <c r="SQM308" s="359"/>
      <c r="SQN308" s="359"/>
      <c r="SQO308" s="359"/>
      <c r="SQP308" s="359"/>
      <c r="SQQ308" s="359"/>
      <c r="SQR308" s="359"/>
      <c r="SQS308" s="359"/>
      <c r="SQT308" s="359"/>
      <c r="SQU308" s="359"/>
      <c r="SQV308" s="359"/>
      <c r="SQW308" s="359"/>
      <c r="SQX308" s="359"/>
      <c r="SQY308" s="359"/>
      <c r="SQZ308" s="359"/>
      <c r="SRA308" s="359"/>
      <c r="SRB308" s="359"/>
      <c r="SRC308" s="359"/>
      <c r="SRD308" s="359"/>
      <c r="SRE308" s="359"/>
      <c r="SRF308" s="359"/>
      <c r="SRG308" s="359"/>
      <c r="SRH308" s="359"/>
      <c r="SRI308" s="359"/>
      <c r="SRJ308" s="359"/>
      <c r="SRK308" s="359"/>
      <c r="SRL308" s="359"/>
      <c r="SRM308" s="359"/>
      <c r="SRN308" s="359"/>
      <c r="SRO308" s="359"/>
      <c r="SRP308" s="359"/>
      <c r="SRQ308" s="359"/>
      <c r="SRR308" s="359"/>
      <c r="SRS308" s="359"/>
      <c r="SRT308" s="359"/>
      <c r="SRU308" s="359"/>
      <c r="SRV308" s="359"/>
      <c r="SRW308" s="359"/>
      <c r="SRX308" s="359"/>
      <c r="SRY308" s="359"/>
      <c r="SRZ308" s="359"/>
      <c r="SSA308" s="359"/>
      <c r="SSB308" s="359"/>
      <c r="SSC308" s="359"/>
      <c r="SSD308" s="359"/>
      <c r="SSE308" s="359"/>
      <c r="SSF308" s="359"/>
      <c r="SSG308" s="359"/>
      <c r="SSH308" s="359"/>
      <c r="SSI308" s="359"/>
      <c r="SSJ308" s="359"/>
      <c r="SSK308" s="359"/>
      <c r="SSL308" s="359"/>
      <c r="SSM308" s="359"/>
      <c r="SSN308" s="359"/>
      <c r="SSO308" s="359"/>
      <c r="SSP308" s="359"/>
      <c r="SSQ308" s="359"/>
      <c r="SSR308" s="359"/>
      <c r="SSS308" s="359"/>
      <c r="SST308" s="359"/>
      <c r="SSU308" s="359"/>
      <c r="SSV308" s="359"/>
      <c r="SSW308" s="359"/>
      <c r="SSX308" s="359"/>
      <c r="SSY308" s="359"/>
      <c r="SSZ308" s="359"/>
      <c r="STA308" s="359"/>
      <c r="STB308" s="359"/>
      <c r="STC308" s="359"/>
      <c r="STD308" s="359"/>
      <c r="STE308" s="359"/>
      <c r="STF308" s="359"/>
      <c r="STG308" s="359"/>
      <c r="STH308" s="359"/>
      <c r="STI308" s="359"/>
      <c r="STJ308" s="359"/>
      <c r="STK308" s="359"/>
      <c r="STL308" s="359"/>
      <c r="STM308" s="359"/>
      <c r="STN308" s="359"/>
      <c r="STO308" s="359"/>
      <c r="STP308" s="359"/>
      <c r="STQ308" s="359"/>
      <c r="STR308" s="359"/>
      <c r="STS308" s="359"/>
      <c r="STT308" s="359"/>
      <c r="STU308" s="359"/>
      <c r="STV308" s="359"/>
      <c r="STW308" s="359"/>
      <c r="STX308" s="359"/>
      <c r="STY308" s="359"/>
      <c r="STZ308" s="359"/>
      <c r="SUA308" s="359"/>
      <c r="SUB308" s="359"/>
      <c r="SUC308" s="359"/>
      <c r="SUD308" s="359"/>
      <c r="SUE308" s="359"/>
      <c r="SUF308" s="359"/>
      <c r="SUG308" s="359"/>
      <c r="SUH308" s="359"/>
      <c r="SUI308" s="359"/>
      <c r="SUJ308" s="359"/>
      <c r="SUK308" s="359"/>
      <c r="SUL308" s="359"/>
      <c r="SUM308" s="359"/>
      <c r="SUN308" s="359"/>
      <c r="SUO308" s="359"/>
      <c r="SUP308" s="359"/>
      <c r="SUQ308" s="359"/>
      <c r="SUR308" s="359"/>
      <c r="SUS308" s="359"/>
      <c r="SUT308" s="359"/>
      <c r="SUU308" s="359"/>
      <c r="SUV308" s="359"/>
      <c r="SUW308" s="359"/>
      <c r="SUX308" s="359"/>
      <c r="SUY308" s="359"/>
      <c r="SUZ308" s="359"/>
      <c r="SVA308" s="359"/>
      <c r="SVB308" s="359"/>
      <c r="SVC308" s="359"/>
      <c r="SVD308" s="359"/>
      <c r="SVE308" s="359"/>
      <c r="SVF308" s="359"/>
      <c r="SVG308" s="359"/>
      <c r="SVH308" s="359"/>
      <c r="SVI308" s="359"/>
      <c r="SVJ308" s="359"/>
      <c r="SVK308" s="359"/>
      <c r="SVL308" s="359"/>
      <c r="SVM308" s="359"/>
      <c r="SVN308" s="359"/>
      <c r="SVO308" s="359"/>
      <c r="SVP308" s="359"/>
      <c r="SVQ308" s="359"/>
      <c r="SVR308" s="359"/>
      <c r="SVS308" s="359"/>
      <c r="SVT308" s="359"/>
      <c r="SVU308" s="359"/>
      <c r="SVV308" s="359"/>
      <c r="SVW308" s="359"/>
      <c r="SVX308" s="359"/>
      <c r="SVY308" s="359"/>
      <c r="SVZ308" s="359"/>
      <c r="SWA308" s="359"/>
      <c r="SWB308" s="359"/>
      <c r="SWC308" s="359"/>
      <c r="SWD308" s="359"/>
      <c r="SWE308" s="359"/>
      <c r="SWF308" s="359"/>
      <c r="SWG308" s="359"/>
      <c r="SWH308" s="359"/>
      <c r="SWI308" s="359"/>
      <c r="SWJ308" s="359"/>
      <c r="SWK308" s="359"/>
      <c r="SWL308" s="359"/>
      <c r="SWM308" s="359"/>
      <c r="SWN308" s="359"/>
      <c r="SWO308" s="359"/>
      <c r="SWP308" s="359"/>
      <c r="SWQ308" s="359"/>
      <c r="SWR308" s="359"/>
      <c r="SWS308" s="359"/>
      <c r="SWT308" s="359"/>
      <c r="SWU308" s="359"/>
      <c r="SWV308" s="359"/>
      <c r="SWW308" s="359"/>
      <c r="SWX308" s="359"/>
      <c r="SWY308" s="359"/>
      <c r="SWZ308" s="359"/>
      <c r="SXA308" s="359"/>
      <c r="SXB308" s="359"/>
      <c r="SXC308" s="359"/>
      <c r="SXD308" s="359"/>
      <c r="SXE308" s="359"/>
      <c r="SXF308" s="359"/>
      <c r="SXG308" s="359"/>
      <c r="SXH308" s="359"/>
      <c r="SXI308" s="359"/>
      <c r="SXJ308" s="359"/>
      <c r="SXK308" s="359"/>
      <c r="SXL308" s="359"/>
      <c r="SXM308" s="359"/>
      <c r="SXN308" s="359"/>
      <c r="SXO308" s="359"/>
      <c r="SXP308" s="359"/>
      <c r="SXQ308" s="359"/>
      <c r="SXR308" s="359"/>
      <c r="SXS308" s="359"/>
      <c r="SXT308" s="359"/>
      <c r="SXU308" s="359"/>
      <c r="SXV308" s="359"/>
      <c r="SXW308" s="359"/>
      <c r="SXX308" s="359"/>
      <c r="SXY308" s="359"/>
      <c r="SXZ308" s="359"/>
      <c r="SYA308" s="359"/>
      <c r="SYB308" s="359"/>
      <c r="SYC308" s="359"/>
      <c r="SYD308" s="359"/>
      <c r="SYE308" s="359"/>
      <c r="SYF308" s="359"/>
      <c r="SYG308" s="359"/>
      <c r="SYH308" s="359"/>
      <c r="SYI308" s="359"/>
      <c r="SYJ308" s="359"/>
      <c r="SYK308" s="359"/>
      <c r="SYL308" s="359"/>
      <c r="SYM308" s="359"/>
      <c r="SYN308" s="359"/>
      <c r="SYO308" s="359"/>
      <c r="SYP308" s="359"/>
      <c r="SYQ308" s="359"/>
      <c r="SYR308" s="359"/>
      <c r="SYS308" s="359"/>
      <c r="SYT308" s="359"/>
      <c r="SYU308" s="359"/>
      <c r="SYV308" s="359"/>
      <c r="SYW308" s="359"/>
      <c r="SYX308" s="359"/>
      <c r="SYY308" s="359"/>
      <c r="SYZ308" s="359"/>
      <c r="SZA308" s="359"/>
      <c r="SZB308" s="359"/>
      <c r="SZC308" s="359"/>
      <c r="SZD308" s="359"/>
      <c r="SZE308" s="359"/>
      <c r="SZF308" s="359"/>
      <c r="SZG308" s="359"/>
      <c r="SZH308" s="359"/>
      <c r="SZI308" s="359"/>
      <c r="SZJ308" s="359"/>
      <c r="SZK308" s="359"/>
      <c r="SZL308" s="359"/>
      <c r="SZM308" s="359"/>
      <c r="SZN308" s="359"/>
      <c r="SZO308" s="359"/>
      <c r="SZP308" s="359"/>
      <c r="SZQ308" s="359"/>
      <c r="SZR308" s="359"/>
      <c r="SZS308" s="359"/>
      <c r="SZT308" s="359"/>
      <c r="SZU308" s="359"/>
      <c r="SZV308" s="359"/>
      <c r="SZW308" s="359"/>
      <c r="SZX308" s="359"/>
      <c r="SZY308" s="359"/>
      <c r="SZZ308" s="359"/>
      <c r="TAA308" s="359"/>
      <c r="TAB308" s="359"/>
      <c r="TAC308" s="359"/>
      <c r="TAD308" s="359"/>
      <c r="TAE308" s="359"/>
      <c r="TAF308" s="359"/>
      <c r="TAG308" s="359"/>
      <c r="TAH308" s="359"/>
      <c r="TAI308" s="359"/>
      <c r="TAJ308" s="359"/>
      <c r="TAK308" s="359"/>
      <c r="TAL308" s="359"/>
      <c r="TAM308" s="359"/>
      <c r="TAN308" s="359"/>
      <c r="TAO308" s="359"/>
      <c r="TAP308" s="359"/>
      <c r="TAQ308" s="359"/>
      <c r="TAR308" s="359"/>
      <c r="TAS308" s="359"/>
      <c r="TAT308" s="359"/>
      <c r="TAU308" s="359"/>
      <c r="TAV308" s="359"/>
      <c r="TAW308" s="359"/>
      <c r="TAX308" s="359"/>
      <c r="TAY308" s="359"/>
      <c r="TAZ308" s="359"/>
      <c r="TBA308" s="359"/>
      <c r="TBB308" s="359"/>
      <c r="TBC308" s="359"/>
      <c r="TBD308" s="359"/>
      <c r="TBE308" s="359"/>
      <c r="TBF308" s="359"/>
      <c r="TBG308" s="359"/>
      <c r="TBH308" s="359"/>
      <c r="TBI308" s="359"/>
      <c r="TBJ308" s="359"/>
      <c r="TBK308" s="359"/>
      <c r="TBL308" s="359"/>
      <c r="TBM308" s="359"/>
      <c r="TBN308" s="359"/>
      <c r="TBO308" s="359"/>
      <c r="TBP308" s="359"/>
      <c r="TBQ308" s="359"/>
      <c r="TBR308" s="359"/>
      <c r="TBS308" s="359"/>
      <c r="TBT308" s="359"/>
      <c r="TBU308" s="359"/>
      <c r="TBV308" s="359"/>
      <c r="TBW308" s="359"/>
      <c r="TBX308" s="359"/>
      <c r="TBY308" s="359"/>
      <c r="TBZ308" s="359"/>
      <c r="TCA308" s="359"/>
      <c r="TCB308" s="359"/>
      <c r="TCC308" s="359"/>
      <c r="TCD308" s="359"/>
      <c r="TCE308" s="359"/>
      <c r="TCF308" s="359"/>
      <c r="TCG308" s="359"/>
      <c r="TCH308" s="359"/>
      <c r="TCI308" s="359"/>
      <c r="TCJ308" s="359"/>
      <c r="TCK308" s="359"/>
      <c r="TCL308" s="359"/>
      <c r="TCM308" s="359"/>
      <c r="TCN308" s="359"/>
      <c r="TCO308" s="359"/>
      <c r="TCP308" s="359"/>
      <c r="TCQ308" s="359"/>
      <c r="TCR308" s="359"/>
      <c r="TCS308" s="359"/>
      <c r="TCT308" s="359"/>
      <c r="TCU308" s="359"/>
      <c r="TCV308" s="359"/>
      <c r="TCW308" s="359"/>
      <c r="TCX308" s="359"/>
      <c r="TCY308" s="359"/>
      <c r="TCZ308" s="359"/>
      <c r="TDA308" s="359"/>
      <c r="TDB308" s="359"/>
      <c r="TDC308" s="359"/>
      <c r="TDD308" s="359"/>
      <c r="TDE308" s="359"/>
      <c r="TDF308" s="359"/>
      <c r="TDG308" s="359"/>
      <c r="TDH308" s="359"/>
      <c r="TDI308" s="359"/>
      <c r="TDJ308" s="359"/>
      <c r="TDK308" s="359"/>
      <c r="TDL308" s="359"/>
      <c r="TDM308" s="359"/>
      <c r="TDN308" s="359"/>
      <c r="TDO308" s="359"/>
      <c r="TDP308" s="359"/>
      <c r="TDQ308" s="359"/>
      <c r="TDR308" s="359"/>
      <c r="TDS308" s="359"/>
      <c r="TDT308" s="359"/>
      <c r="TDU308" s="359"/>
      <c r="TDV308" s="359"/>
      <c r="TDW308" s="359"/>
      <c r="TDX308" s="359"/>
      <c r="TDY308" s="359"/>
      <c r="TDZ308" s="359"/>
      <c r="TEA308" s="359"/>
      <c r="TEB308" s="359"/>
      <c r="TEC308" s="359"/>
      <c r="TED308" s="359"/>
      <c r="TEE308" s="359"/>
      <c r="TEF308" s="359"/>
      <c r="TEG308" s="359"/>
      <c r="TEH308" s="359"/>
      <c r="TEI308" s="359"/>
      <c r="TEJ308" s="359"/>
      <c r="TEK308" s="359"/>
      <c r="TEL308" s="359"/>
      <c r="TEM308" s="359"/>
      <c r="TEN308" s="359"/>
      <c r="TEO308" s="359"/>
      <c r="TEP308" s="359"/>
      <c r="TEQ308" s="359"/>
      <c r="TER308" s="359"/>
      <c r="TES308" s="359"/>
      <c r="TET308" s="359"/>
      <c r="TEU308" s="359"/>
      <c r="TEV308" s="359"/>
      <c r="TEW308" s="359"/>
      <c r="TEX308" s="359"/>
      <c r="TEY308" s="359"/>
      <c r="TEZ308" s="359"/>
      <c r="TFA308" s="359"/>
      <c r="TFB308" s="359"/>
      <c r="TFC308" s="359"/>
      <c r="TFD308" s="359"/>
      <c r="TFE308" s="359"/>
      <c r="TFF308" s="359"/>
      <c r="TFG308" s="359"/>
      <c r="TFH308" s="359"/>
      <c r="TFI308" s="359"/>
      <c r="TFJ308" s="359"/>
      <c r="TFK308" s="359"/>
      <c r="TFL308" s="359"/>
      <c r="TFM308" s="359"/>
      <c r="TFN308" s="359"/>
      <c r="TFO308" s="359"/>
      <c r="TFP308" s="359"/>
      <c r="TFQ308" s="359"/>
      <c r="TFR308" s="359"/>
      <c r="TFS308" s="359"/>
      <c r="TFT308" s="359"/>
      <c r="TFU308" s="359"/>
      <c r="TFV308" s="359"/>
      <c r="TFW308" s="359"/>
      <c r="TFX308" s="359"/>
      <c r="TFY308" s="359"/>
      <c r="TFZ308" s="359"/>
      <c r="TGA308" s="359"/>
      <c r="TGB308" s="359"/>
      <c r="TGC308" s="359"/>
      <c r="TGD308" s="359"/>
      <c r="TGE308" s="359"/>
      <c r="TGF308" s="359"/>
      <c r="TGG308" s="359"/>
      <c r="TGH308" s="359"/>
      <c r="TGI308" s="359"/>
      <c r="TGJ308" s="359"/>
      <c r="TGK308" s="359"/>
      <c r="TGL308" s="359"/>
      <c r="TGM308" s="359"/>
      <c r="TGN308" s="359"/>
      <c r="TGO308" s="359"/>
      <c r="TGP308" s="359"/>
      <c r="TGQ308" s="359"/>
      <c r="TGR308" s="359"/>
      <c r="TGS308" s="359"/>
      <c r="TGT308" s="359"/>
      <c r="TGU308" s="359"/>
      <c r="TGV308" s="359"/>
      <c r="TGW308" s="359"/>
      <c r="TGX308" s="359"/>
      <c r="TGY308" s="359"/>
      <c r="TGZ308" s="359"/>
      <c r="THA308" s="359"/>
      <c r="THB308" s="359"/>
      <c r="THC308" s="359"/>
      <c r="THD308" s="359"/>
      <c r="THE308" s="359"/>
      <c r="THF308" s="359"/>
      <c r="THG308" s="359"/>
      <c r="THH308" s="359"/>
      <c r="THI308" s="359"/>
      <c r="THJ308" s="359"/>
      <c r="THK308" s="359"/>
      <c r="THL308" s="359"/>
      <c r="THM308" s="359"/>
      <c r="THN308" s="359"/>
      <c r="THO308" s="359"/>
      <c r="THP308" s="359"/>
      <c r="THQ308" s="359"/>
      <c r="THR308" s="359"/>
      <c r="THS308" s="359"/>
      <c r="THT308" s="359"/>
      <c r="THU308" s="359"/>
      <c r="THV308" s="359"/>
      <c r="THW308" s="359"/>
      <c r="THX308" s="359"/>
      <c r="THY308" s="359"/>
      <c r="THZ308" s="359"/>
      <c r="TIA308" s="359"/>
      <c r="TIB308" s="359"/>
      <c r="TIC308" s="359"/>
      <c r="TID308" s="359"/>
      <c r="TIE308" s="359"/>
      <c r="TIF308" s="359"/>
      <c r="TIG308" s="359"/>
      <c r="TIH308" s="359"/>
      <c r="TII308" s="359"/>
      <c r="TIJ308" s="359"/>
      <c r="TIK308" s="359"/>
      <c r="TIL308" s="359"/>
      <c r="TIM308" s="359"/>
      <c r="TIN308" s="359"/>
      <c r="TIO308" s="359"/>
      <c r="TIP308" s="359"/>
      <c r="TIQ308" s="359"/>
      <c r="TIR308" s="359"/>
      <c r="TIS308" s="359"/>
      <c r="TIT308" s="359"/>
      <c r="TIU308" s="359"/>
      <c r="TIV308" s="359"/>
      <c r="TIW308" s="359"/>
      <c r="TIX308" s="359"/>
      <c r="TIY308" s="359"/>
      <c r="TIZ308" s="359"/>
      <c r="TJA308" s="359"/>
      <c r="TJB308" s="359"/>
      <c r="TJC308" s="359"/>
      <c r="TJD308" s="359"/>
      <c r="TJE308" s="359"/>
      <c r="TJF308" s="359"/>
      <c r="TJG308" s="359"/>
      <c r="TJH308" s="359"/>
      <c r="TJI308" s="359"/>
      <c r="TJJ308" s="359"/>
      <c r="TJK308" s="359"/>
      <c r="TJL308" s="359"/>
      <c r="TJM308" s="359"/>
      <c r="TJN308" s="359"/>
      <c r="TJO308" s="359"/>
      <c r="TJP308" s="359"/>
      <c r="TJQ308" s="359"/>
      <c r="TJR308" s="359"/>
      <c r="TJS308" s="359"/>
      <c r="TJT308" s="359"/>
      <c r="TJU308" s="359"/>
      <c r="TJV308" s="359"/>
      <c r="TJW308" s="359"/>
      <c r="TJX308" s="359"/>
      <c r="TJY308" s="359"/>
      <c r="TJZ308" s="359"/>
      <c r="TKA308" s="359"/>
      <c r="TKB308" s="359"/>
      <c r="TKC308" s="359"/>
      <c r="TKD308" s="359"/>
      <c r="TKE308" s="359"/>
      <c r="TKF308" s="359"/>
      <c r="TKG308" s="359"/>
      <c r="TKH308" s="359"/>
      <c r="TKI308" s="359"/>
      <c r="TKJ308" s="359"/>
      <c r="TKK308" s="359"/>
      <c r="TKL308" s="359"/>
      <c r="TKM308" s="359"/>
      <c r="TKN308" s="359"/>
      <c r="TKO308" s="359"/>
      <c r="TKP308" s="359"/>
      <c r="TKQ308" s="359"/>
      <c r="TKR308" s="359"/>
      <c r="TKS308" s="359"/>
      <c r="TKT308" s="359"/>
      <c r="TKU308" s="359"/>
      <c r="TKV308" s="359"/>
      <c r="TKW308" s="359"/>
      <c r="TKX308" s="359"/>
      <c r="TKY308" s="359"/>
      <c r="TKZ308" s="359"/>
      <c r="TLA308" s="359"/>
      <c r="TLB308" s="359"/>
      <c r="TLC308" s="359"/>
      <c r="TLD308" s="359"/>
      <c r="TLE308" s="359"/>
      <c r="TLF308" s="359"/>
      <c r="TLG308" s="359"/>
      <c r="TLH308" s="359"/>
      <c r="TLI308" s="359"/>
      <c r="TLJ308" s="359"/>
      <c r="TLK308" s="359"/>
      <c r="TLL308" s="359"/>
      <c r="TLM308" s="359"/>
      <c r="TLN308" s="359"/>
      <c r="TLO308" s="359"/>
      <c r="TLP308" s="359"/>
      <c r="TLQ308" s="359"/>
      <c r="TLR308" s="359"/>
      <c r="TLS308" s="359"/>
      <c r="TLT308" s="359"/>
      <c r="TLU308" s="359"/>
      <c r="TLV308" s="359"/>
      <c r="TLW308" s="359"/>
      <c r="TLX308" s="359"/>
      <c r="TLY308" s="359"/>
      <c r="TLZ308" s="359"/>
      <c r="TMA308" s="359"/>
      <c r="TMB308" s="359"/>
      <c r="TMC308" s="359"/>
      <c r="TMD308" s="359"/>
      <c r="TME308" s="359"/>
      <c r="TMF308" s="359"/>
      <c r="TMG308" s="359"/>
      <c r="TMH308" s="359"/>
      <c r="TMI308" s="359"/>
      <c r="TMJ308" s="359"/>
      <c r="TMK308" s="359"/>
      <c r="TML308" s="359"/>
      <c r="TMM308" s="359"/>
      <c r="TMN308" s="359"/>
      <c r="TMO308" s="359"/>
      <c r="TMP308" s="359"/>
      <c r="TMQ308" s="359"/>
      <c r="TMR308" s="359"/>
      <c r="TMS308" s="359"/>
      <c r="TMT308" s="359"/>
      <c r="TMU308" s="359"/>
      <c r="TMV308" s="359"/>
      <c r="TMW308" s="359"/>
      <c r="TMX308" s="359"/>
      <c r="TMY308" s="359"/>
      <c r="TMZ308" s="359"/>
      <c r="TNA308" s="359"/>
      <c r="TNB308" s="359"/>
      <c r="TNC308" s="359"/>
      <c r="TND308" s="359"/>
      <c r="TNE308" s="359"/>
      <c r="TNF308" s="359"/>
      <c r="TNG308" s="359"/>
      <c r="TNH308" s="359"/>
      <c r="TNI308" s="359"/>
      <c r="TNJ308" s="359"/>
      <c r="TNK308" s="359"/>
      <c r="TNL308" s="359"/>
      <c r="TNM308" s="359"/>
      <c r="TNN308" s="359"/>
      <c r="TNO308" s="359"/>
      <c r="TNP308" s="359"/>
      <c r="TNQ308" s="359"/>
      <c r="TNR308" s="359"/>
      <c r="TNS308" s="359"/>
      <c r="TNT308" s="359"/>
      <c r="TNU308" s="359"/>
      <c r="TNV308" s="359"/>
      <c r="TNW308" s="359"/>
      <c r="TNX308" s="359"/>
      <c r="TNY308" s="359"/>
      <c r="TNZ308" s="359"/>
      <c r="TOA308" s="359"/>
      <c r="TOB308" s="359"/>
      <c r="TOC308" s="359"/>
      <c r="TOD308" s="359"/>
      <c r="TOE308" s="359"/>
      <c r="TOF308" s="359"/>
      <c r="TOG308" s="359"/>
      <c r="TOH308" s="359"/>
      <c r="TOI308" s="359"/>
      <c r="TOJ308" s="359"/>
      <c r="TOK308" s="359"/>
      <c r="TOL308" s="359"/>
      <c r="TOM308" s="359"/>
      <c r="TON308" s="359"/>
      <c r="TOO308" s="359"/>
      <c r="TOP308" s="359"/>
      <c r="TOQ308" s="359"/>
      <c r="TOR308" s="359"/>
      <c r="TOS308" s="359"/>
      <c r="TOT308" s="359"/>
      <c r="TOU308" s="359"/>
      <c r="TOV308" s="359"/>
      <c r="TOW308" s="359"/>
      <c r="TOX308" s="359"/>
      <c r="TOY308" s="359"/>
      <c r="TOZ308" s="359"/>
      <c r="TPA308" s="359"/>
      <c r="TPB308" s="359"/>
      <c r="TPC308" s="359"/>
      <c r="TPD308" s="359"/>
      <c r="TPE308" s="359"/>
      <c r="TPF308" s="359"/>
      <c r="TPG308" s="359"/>
      <c r="TPH308" s="359"/>
      <c r="TPI308" s="359"/>
      <c r="TPJ308" s="359"/>
      <c r="TPK308" s="359"/>
      <c r="TPL308" s="359"/>
      <c r="TPM308" s="359"/>
      <c r="TPN308" s="359"/>
      <c r="TPO308" s="359"/>
      <c r="TPP308" s="359"/>
      <c r="TPQ308" s="359"/>
      <c r="TPR308" s="359"/>
      <c r="TPS308" s="359"/>
      <c r="TPT308" s="359"/>
      <c r="TPU308" s="359"/>
      <c r="TPV308" s="359"/>
      <c r="TPW308" s="359"/>
      <c r="TPX308" s="359"/>
      <c r="TPY308" s="359"/>
      <c r="TPZ308" s="359"/>
      <c r="TQA308" s="359"/>
      <c r="TQB308" s="359"/>
      <c r="TQC308" s="359"/>
      <c r="TQD308" s="359"/>
      <c r="TQE308" s="359"/>
      <c r="TQF308" s="359"/>
      <c r="TQG308" s="359"/>
      <c r="TQH308" s="359"/>
      <c r="TQI308" s="359"/>
      <c r="TQJ308" s="359"/>
      <c r="TQK308" s="359"/>
      <c r="TQL308" s="359"/>
      <c r="TQM308" s="359"/>
      <c r="TQN308" s="359"/>
      <c r="TQO308" s="359"/>
      <c r="TQP308" s="359"/>
      <c r="TQQ308" s="359"/>
      <c r="TQR308" s="359"/>
      <c r="TQS308" s="359"/>
      <c r="TQT308" s="359"/>
      <c r="TQU308" s="359"/>
      <c r="TQV308" s="359"/>
      <c r="TQW308" s="359"/>
      <c r="TQX308" s="359"/>
      <c r="TQY308" s="359"/>
      <c r="TQZ308" s="359"/>
      <c r="TRA308" s="359"/>
      <c r="TRB308" s="359"/>
      <c r="TRC308" s="359"/>
      <c r="TRD308" s="359"/>
      <c r="TRE308" s="359"/>
      <c r="TRF308" s="359"/>
      <c r="TRG308" s="359"/>
      <c r="TRH308" s="359"/>
      <c r="TRI308" s="359"/>
      <c r="TRJ308" s="359"/>
      <c r="TRK308" s="359"/>
      <c r="TRL308" s="359"/>
      <c r="TRM308" s="359"/>
      <c r="TRN308" s="359"/>
      <c r="TRO308" s="359"/>
      <c r="TRP308" s="359"/>
      <c r="TRQ308" s="359"/>
      <c r="TRR308" s="359"/>
      <c r="TRS308" s="359"/>
      <c r="TRT308" s="359"/>
      <c r="TRU308" s="359"/>
      <c r="TRV308" s="359"/>
      <c r="TRW308" s="359"/>
      <c r="TRX308" s="359"/>
      <c r="TRY308" s="359"/>
      <c r="TRZ308" s="359"/>
      <c r="TSA308" s="359"/>
      <c r="TSB308" s="359"/>
      <c r="TSC308" s="359"/>
      <c r="TSD308" s="359"/>
      <c r="TSE308" s="359"/>
      <c r="TSF308" s="359"/>
      <c r="TSG308" s="359"/>
      <c r="TSH308" s="359"/>
      <c r="TSI308" s="359"/>
      <c r="TSJ308" s="359"/>
      <c r="TSK308" s="359"/>
      <c r="TSL308" s="359"/>
      <c r="TSM308" s="359"/>
      <c r="TSN308" s="359"/>
      <c r="TSO308" s="359"/>
      <c r="TSP308" s="359"/>
      <c r="TSQ308" s="359"/>
      <c r="TSR308" s="359"/>
      <c r="TSS308" s="359"/>
      <c r="TST308" s="359"/>
      <c r="TSU308" s="359"/>
      <c r="TSV308" s="359"/>
      <c r="TSW308" s="359"/>
      <c r="TSX308" s="359"/>
      <c r="TSY308" s="359"/>
      <c r="TSZ308" s="359"/>
      <c r="TTA308" s="359"/>
      <c r="TTB308" s="359"/>
      <c r="TTC308" s="359"/>
      <c r="TTD308" s="359"/>
      <c r="TTE308" s="359"/>
      <c r="TTF308" s="359"/>
      <c r="TTG308" s="359"/>
      <c r="TTH308" s="359"/>
      <c r="TTI308" s="359"/>
      <c r="TTJ308" s="359"/>
      <c r="TTK308" s="359"/>
      <c r="TTL308" s="359"/>
      <c r="TTM308" s="359"/>
      <c r="TTN308" s="359"/>
      <c r="TTO308" s="359"/>
      <c r="TTP308" s="359"/>
      <c r="TTQ308" s="359"/>
      <c r="TTR308" s="359"/>
      <c r="TTS308" s="359"/>
      <c r="TTT308" s="359"/>
      <c r="TTU308" s="359"/>
      <c r="TTV308" s="359"/>
      <c r="TTW308" s="359"/>
      <c r="TTX308" s="359"/>
      <c r="TTY308" s="359"/>
      <c r="TTZ308" s="359"/>
      <c r="TUA308" s="359"/>
      <c r="TUB308" s="359"/>
      <c r="TUC308" s="359"/>
      <c r="TUD308" s="359"/>
      <c r="TUE308" s="359"/>
      <c r="TUF308" s="359"/>
      <c r="TUG308" s="359"/>
      <c r="TUH308" s="359"/>
      <c r="TUI308" s="359"/>
      <c r="TUJ308" s="359"/>
      <c r="TUK308" s="359"/>
      <c r="TUL308" s="359"/>
      <c r="TUM308" s="359"/>
      <c r="TUN308" s="359"/>
      <c r="TUO308" s="359"/>
      <c r="TUP308" s="359"/>
      <c r="TUQ308" s="359"/>
      <c r="TUR308" s="359"/>
      <c r="TUS308" s="359"/>
      <c r="TUT308" s="359"/>
      <c r="TUU308" s="359"/>
      <c r="TUV308" s="359"/>
      <c r="TUW308" s="359"/>
      <c r="TUX308" s="359"/>
      <c r="TUY308" s="359"/>
      <c r="TUZ308" s="359"/>
      <c r="TVA308" s="359"/>
      <c r="TVB308" s="359"/>
      <c r="TVC308" s="359"/>
      <c r="TVD308" s="359"/>
      <c r="TVE308" s="359"/>
      <c r="TVF308" s="359"/>
      <c r="TVG308" s="359"/>
      <c r="TVH308" s="359"/>
      <c r="TVI308" s="359"/>
      <c r="TVJ308" s="359"/>
      <c r="TVK308" s="359"/>
      <c r="TVL308" s="359"/>
      <c r="TVM308" s="359"/>
      <c r="TVN308" s="359"/>
      <c r="TVO308" s="359"/>
      <c r="TVP308" s="359"/>
      <c r="TVQ308" s="359"/>
      <c r="TVR308" s="359"/>
      <c r="TVS308" s="359"/>
      <c r="TVT308" s="359"/>
      <c r="TVU308" s="359"/>
      <c r="TVV308" s="359"/>
      <c r="TVW308" s="359"/>
      <c r="TVX308" s="359"/>
      <c r="TVY308" s="359"/>
      <c r="TVZ308" s="359"/>
      <c r="TWA308" s="359"/>
      <c r="TWB308" s="359"/>
      <c r="TWC308" s="359"/>
      <c r="TWD308" s="359"/>
      <c r="TWE308" s="359"/>
      <c r="TWF308" s="359"/>
      <c r="TWG308" s="359"/>
      <c r="TWH308" s="359"/>
      <c r="TWI308" s="359"/>
      <c r="TWJ308" s="359"/>
      <c r="TWK308" s="359"/>
      <c r="TWL308" s="359"/>
      <c r="TWM308" s="359"/>
      <c r="TWN308" s="359"/>
      <c r="TWO308" s="359"/>
      <c r="TWP308" s="359"/>
      <c r="TWQ308" s="359"/>
      <c r="TWR308" s="359"/>
      <c r="TWS308" s="359"/>
      <c r="TWT308" s="359"/>
      <c r="TWU308" s="359"/>
      <c r="TWV308" s="359"/>
      <c r="TWW308" s="359"/>
      <c r="TWX308" s="359"/>
      <c r="TWY308" s="359"/>
      <c r="TWZ308" s="359"/>
      <c r="TXA308" s="359"/>
      <c r="TXB308" s="359"/>
      <c r="TXC308" s="359"/>
      <c r="TXD308" s="359"/>
      <c r="TXE308" s="359"/>
      <c r="TXF308" s="359"/>
      <c r="TXG308" s="359"/>
      <c r="TXH308" s="359"/>
      <c r="TXI308" s="359"/>
      <c r="TXJ308" s="359"/>
      <c r="TXK308" s="359"/>
      <c r="TXL308" s="359"/>
      <c r="TXM308" s="359"/>
      <c r="TXN308" s="359"/>
      <c r="TXO308" s="359"/>
      <c r="TXP308" s="359"/>
      <c r="TXQ308" s="359"/>
      <c r="TXR308" s="359"/>
      <c r="TXS308" s="359"/>
      <c r="TXT308" s="359"/>
      <c r="TXU308" s="359"/>
      <c r="TXV308" s="359"/>
      <c r="TXW308" s="359"/>
      <c r="TXX308" s="359"/>
      <c r="TXY308" s="359"/>
      <c r="TXZ308" s="359"/>
      <c r="TYA308" s="359"/>
      <c r="TYB308" s="359"/>
      <c r="TYC308" s="359"/>
      <c r="TYD308" s="359"/>
      <c r="TYE308" s="359"/>
      <c r="TYF308" s="359"/>
      <c r="TYG308" s="359"/>
      <c r="TYH308" s="359"/>
      <c r="TYI308" s="359"/>
      <c r="TYJ308" s="359"/>
      <c r="TYK308" s="359"/>
      <c r="TYL308" s="359"/>
      <c r="TYM308" s="359"/>
      <c r="TYN308" s="359"/>
      <c r="TYO308" s="359"/>
      <c r="TYP308" s="359"/>
      <c r="TYQ308" s="359"/>
      <c r="TYR308" s="359"/>
      <c r="TYS308" s="359"/>
      <c r="TYT308" s="359"/>
      <c r="TYU308" s="359"/>
      <c r="TYV308" s="359"/>
      <c r="TYW308" s="359"/>
      <c r="TYX308" s="359"/>
      <c r="TYY308" s="359"/>
      <c r="TYZ308" s="359"/>
      <c r="TZA308" s="359"/>
      <c r="TZB308" s="359"/>
      <c r="TZC308" s="359"/>
      <c r="TZD308" s="359"/>
      <c r="TZE308" s="359"/>
      <c r="TZF308" s="359"/>
      <c r="TZG308" s="359"/>
      <c r="TZH308" s="359"/>
      <c r="TZI308" s="359"/>
      <c r="TZJ308" s="359"/>
      <c r="TZK308" s="359"/>
      <c r="TZL308" s="359"/>
      <c r="TZM308" s="359"/>
      <c r="TZN308" s="359"/>
      <c r="TZO308" s="359"/>
      <c r="TZP308" s="359"/>
      <c r="TZQ308" s="359"/>
      <c r="TZR308" s="359"/>
      <c r="TZS308" s="359"/>
      <c r="TZT308" s="359"/>
      <c r="TZU308" s="359"/>
      <c r="TZV308" s="359"/>
      <c r="TZW308" s="359"/>
      <c r="TZX308" s="359"/>
      <c r="TZY308" s="359"/>
      <c r="TZZ308" s="359"/>
      <c r="UAA308" s="359"/>
      <c r="UAB308" s="359"/>
      <c r="UAC308" s="359"/>
      <c r="UAD308" s="359"/>
      <c r="UAE308" s="359"/>
      <c r="UAF308" s="359"/>
      <c r="UAG308" s="359"/>
      <c r="UAH308" s="359"/>
      <c r="UAI308" s="359"/>
      <c r="UAJ308" s="359"/>
      <c r="UAK308" s="359"/>
      <c r="UAL308" s="359"/>
      <c r="UAM308" s="359"/>
      <c r="UAN308" s="359"/>
      <c r="UAO308" s="359"/>
      <c r="UAP308" s="359"/>
      <c r="UAQ308" s="359"/>
      <c r="UAR308" s="359"/>
      <c r="UAS308" s="359"/>
      <c r="UAT308" s="359"/>
      <c r="UAU308" s="359"/>
      <c r="UAV308" s="359"/>
      <c r="UAW308" s="359"/>
      <c r="UAX308" s="359"/>
      <c r="UAY308" s="359"/>
      <c r="UAZ308" s="359"/>
      <c r="UBA308" s="359"/>
      <c r="UBB308" s="359"/>
      <c r="UBC308" s="359"/>
      <c r="UBD308" s="359"/>
      <c r="UBE308" s="359"/>
      <c r="UBF308" s="359"/>
      <c r="UBG308" s="359"/>
      <c r="UBH308" s="359"/>
      <c r="UBI308" s="359"/>
      <c r="UBJ308" s="359"/>
      <c r="UBK308" s="359"/>
      <c r="UBL308" s="359"/>
      <c r="UBM308" s="359"/>
      <c r="UBN308" s="359"/>
      <c r="UBO308" s="359"/>
      <c r="UBP308" s="359"/>
      <c r="UBQ308" s="359"/>
      <c r="UBR308" s="359"/>
      <c r="UBS308" s="359"/>
      <c r="UBT308" s="359"/>
      <c r="UBU308" s="359"/>
      <c r="UBV308" s="359"/>
      <c r="UBW308" s="359"/>
      <c r="UBX308" s="359"/>
      <c r="UBY308" s="359"/>
      <c r="UBZ308" s="359"/>
      <c r="UCA308" s="359"/>
      <c r="UCB308" s="359"/>
      <c r="UCC308" s="359"/>
      <c r="UCD308" s="359"/>
      <c r="UCE308" s="359"/>
      <c r="UCF308" s="359"/>
      <c r="UCG308" s="359"/>
      <c r="UCH308" s="359"/>
      <c r="UCI308" s="359"/>
      <c r="UCJ308" s="359"/>
      <c r="UCK308" s="359"/>
      <c r="UCL308" s="359"/>
      <c r="UCM308" s="359"/>
      <c r="UCN308" s="359"/>
      <c r="UCO308" s="359"/>
      <c r="UCP308" s="359"/>
      <c r="UCQ308" s="359"/>
      <c r="UCR308" s="359"/>
      <c r="UCS308" s="359"/>
      <c r="UCT308" s="359"/>
      <c r="UCU308" s="359"/>
      <c r="UCV308" s="359"/>
      <c r="UCW308" s="359"/>
      <c r="UCX308" s="359"/>
      <c r="UCY308" s="359"/>
      <c r="UCZ308" s="359"/>
      <c r="UDA308" s="359"/>
      <c r="UDB308" s="359"/>
      <c r="UDC308" s="359"/>
      <c r="UDD308" s="359"/>
      <c r="UDE308" s="359"/>
      <c r="UDF308" s="359"/>
      <c r="UDG308" s="359"/>
      <c r="UDH308" s="359"/>
      <c r="UDI308" s="359"/>
      <c r="UDJ308" s="359"/>
      <c r="UDK308" s="359"/>
      <c r="UDL308" s="359"/>
      <c r="UDM308" s="359"/>
      <c r="UDN308" s="359"/>
      <c r="UDO308" s="359"/>
      <c r="UDP308" s="359"/>
      <c r="UDQ308" s="359"/>
      <c r="UDR308" s="359"/>
      <c r="UDS308" s="359"/>
      <c r="UDT308" s="359"/>
      <c r="UDU308" s="359"/>
      <c r="UDV308" s="359"/>
      <c r="UDW308" s="359"/>
      <c r="UDX308" s="359"/>
      <c r="UDY308" s="359"/>
      <c r="UDZ308" s="359"/>
      <c r="UEA308" s="359"/>
      <c r="UEB308" s="359"/>
      <c r="UEC308" s="359"/>
      <c r="UED308" s="359"/>
      <c r="UEE308" s="359"/>
      <c r="UEF308" s="359"/>
      <c r="UEG308" s="359"/>
      <c r="UEH308" s="359"/>
      <c r="UEI308" s="359"/>
      <c r="UEJ308" s="359"/>
      <c r="UEK308" s="359"/>
      <c r="UEL308" s="359"/>
      <c r="UEM308" s="359"/>
      <c r="UEN308" s="359"/>
      <c r="UEO308" s="359"/>
      <c r="UEP308" s="359"/>
      <c r="UEQ308" s="359"/>
      <c r="UER308" s="359"/>
      <c r="UES308" s="359"/>
      <c r="UET308" s="359"/>
      <c r="UEU308" s="359"/>
      <c r="UEV308" s="359"/>
      <c r="UEW308" s="359"/>
      <c r="UEX308" s="359"/>
      <c r="UEY308" s="359"/>
      <c r="UEZ308" s="359"/>
      <c r="UFA308" s="359"/>
      <c r="UFB308" s="359"/>
      <c r="UFC308" s="359"/>
      <c r="UFD308" s="359"/>
      <c r="UFE308" s="359"/>
      <c r="UFF308" s="359"/>
      <c r="UFG308" s="359"/>
      <c r="UFH308" s="359"/>
      <c r="UFI308" s="359"/>
      <c r="UFJ308" s="359"/>
      <c r="UFK308" s="359"/>
      <c r="UFL308" s="359"/>
      <c r="UFM308" s="359"/>
      <c r="UFN308" s="359"/>
      <c r="UFO308" s="359"/>
      <c r="UFP308" s="359"/>
      <c r="UFQ308" s="359"/>
      <c r="UFR308" s="359"/>
      <c r="UFS308" s="359"/>
      <c r="UFT308" s="359"/>
      <c r="UFU308" s="359"/>
      <c r="UFV308" s="359"/>
      <c r="UFW308" s="359"/>
      <c r="UFX308" s="359"/>
      <c r="UFY308" s="359"/>
      <c r="UFZ308" s="359"/>
      <c r="UGA308" s="359"/>
      <c r="UGB308" s="359"/>
      <c r="UGC308" s="359"/>
      <c r="UGD308" s="359"/>
      <c r="UGE308" s="359"/>
      <c r="UGF308" s="359"/>
      <c r="UGG308" s="359"/>
      <c r="UGH308" s="359"/>
      <c r="UGI308" s="359"/>
      <c r="UGJ308" s="359"/>
      <c r="UGK308" s="359"/>
      <c r="UGL308" s="359"/>
      <c r="UGM308" s="359"/>
      <c r="UGN308" s="359"/>
      <c r="UGO308" s="359"/>
      <c r="UGP308" s="359"/>
      <c r="UGQ308" s="359"/>
      <c r="UGR308" s="359"/>
      <c r="UGS308" s="359"/>
      <c r="UGT308" s="359"/>
      <c r="UGU308" s="359"/>
      <c r="UGV308" s="359"/>
      <c r="UGW308" s="359"/>
      <c r="UGX308" s="359"/>
      <c r="UGY308" s="359"/>
      <c r="UGZ308" s="359"/>
      <c r="UHA308" s="359"/>
      <c r="UHB308" s="359"/>
      <c r="UHC308" s="359"/>
      <c r="UHD308" s="359"/>
      <c r="UHE308" s="359"/>
      <c r="UHF308" s="359"/>
      <c r="UHG308" s="359"/>
      <c r="UHH308" s="359"/>
      <c r="UHI308" s="359"/>
      <c r="UHJ308" s="359"/>
      <c r="UHK308" s="359"/>
      <c r="UHL308" s="359"/>
      <c r="UHM308" s="359"/>
      <c r="UHN308" s="359"/>
      <c r="UHO308" s="359"/>
      <c r="UHP308" s="359"/>
      <c r="UHQ308" s="359"/>
      <c r="UHR308" s="359"/>
      <c r="UHS308" s="359"/>
      <c r="UHT308" s="359"/>
      <c r="UHU308" s="359"/>
      <c r="UHV308" s="359"/>
      <c r="UHW308" s="359"/>
      <c r="UHX308" s="359"/>
      <c r="UHY308" s="359"/>
      <c r="UHZ308" s="359"/>
      <c r="UIA308" s="359"/>
      <c r="UIB308" s="359"/>
      <c r="UIC308" s="359"/>
      <c r="UID308" s="359"/>
      <c r="UIE308" s="359"/>
      <c r="UIF308" s="359"/>
      <c r="UIG308" s="359"/>
      <c r="UIH308" s="359"/>
      <c r="UII308" s="359"/>
      <c r="UIJ308" s="359"/>
      <c r="UIK308" s="359"/>
      <c r="UIL308" s="359"/>
      <c r="UIM308" s="359"/>
      <c r="UIN308" s="359"/>
      <c r="UIO308" s="359"/>
      <c r="UIP308" s="359"/>
      <c r="UIQ308" s="359"/>
      <c r="UIR308" s="359"/>
      <c r="UIS308" s="359"/>
      <c r="UIT308" s="359"/>
      <c r="UIU308" s="359"/>
      <c r="UIV308" s="359"/>
      <c r="UIW308" s="359"/>
      <c r="UIX308" s="359"/>
      <c r="UIY308" s="359"/>
      <c r="UIZ308" s="359"/>
      <c r="UJA308" s="359"/>
      <c r="UJB308" s="359"/>
      <c r="UJC308" s="359"/>
      <c r="UJD308" s="359"/>
      <c r="UJE308" s="359"/>
      <c r="UJF308" s="359"/>
      <c r="UJG308" s="359"/>
      <c r="UJH308" s="359"/>
      <c r="UJI308" s="359"/>
      <c r="UJJ308" s="359"/>
      <c r="UJK308" s="359"/>
      <c r="UJL308" s="359"/>
      <c r="UJM308" s="359"/>
      <c r="UJN308" s="359"/>
      <c r="UJO308" s="359"/>
      <c r="UJP308" s="359"/>
      <c r="UJQ308" s="359"/>
      <c r="UJR308" s="359"/>
      <c r="UJS308" s="359"/>
      <c r="UJT308" s="359"/>
      <c r="UJU308" s="359"/>
      <c r="UJV308" s="359"/>
      <c r="UJW308" s="359"/>
      <c r="UJX308" s="359"/>
      <c r="UJY308" s="359"/>
      <c r="UJZ308" s="359"/>
      <c r="UKA308" s="359"/>
      <c r="UKB308" s="359"/>
      <c r="UKC308" s="359"/>
      <c r="UKD308" s="359"/>
      <c r="UKE308" s="359"/>
      <c r="UKF308" s="359"/>
      <c r="UKG308" s="359"/>
      <c r="UKH308" s="359"/>
      <c r="UKI308" s="359"/>
      <c r="UKJ308" s="359"/>
      <c r="UKK308" s="359"/>
      <c r="UKL308" s="359"/>
      <c r="UKM308" s="359"/>
      <c r="UKN308" s="359"/>
      <c r="UKO308" s="359"/>
      <c r="UKP308" s="359"/>
      <c r="UKQ308" s="359"/>
      <c r="UKR308" s="359"/>
      <c r="UKS308" s="359"/>
      <c r="UKT308" s="359"/>
      <c r="UKU308" s="359"/>
      <c r="UKV308" s="359"/>
      <c r="UKW308" s="359"/>
      <c r="UKX308" s="359"/>
      <c r="UKY308" s="359"/>
      <c r="UKZ308" s="359"/>
      <c r="ULA308" s="359"/>
      <c r="ULB308" s="359"/>
      <c r="ULC308" s="359"/>
      <c r="ULD308" s="359"/>
      <c r="ULE308" s="359"/>
      <c r="ULF308" s="359"/>
      <c r="ULG308" s="359"/>
      <c r="ULH308" s="359"/>
      <c r="ULI308" s="359"/>
      <c r="ULJ308" s="359"/>
      <c r="ULK308" s="359"/>
      <c r="ULL308" s="359"/>
      <c r="ULM308" s="359"/>
      <c r="ULN308" s="359"/>
      <c r="ULO308" s="359"/>
      <c r="ULP308" s="359"/>
      <c r="ULQ308" s="359"/>
      <c r="ULR308" s="359"/>
      <c r="ULS308" s="359"/>
      <c r="ULT308" s="359"/>
      <c r="ULU308" s="359"/>
      <c r="ULV308" s="359"/>
      <c r="ULW308" s="359"/>
      <c r="ULX308" s="359"/>
      <c r="ULY308" s="359"/>
      <c r="ULZ308" s="359"/>
      <c r="UMA308" s="359"/>
      <c r="UMB308" s="359"/>
      <c r="UMC308" s="359"/>
      <c r="UMD308" s="359"/>
      <c r="UME308" s="359"/>
      <c r="UMF308" s="359"/>
      <c r="UMG308" s="359"/>
      <c r="UMH308" s="359"/>
      <c r="UMI308" s="359"/>
      <c r="UMJ308" s="359"/>
      <c r="UMK308" s="359"/>
      <c r="UML308" s="359"/>
      <c r="UMM308" s="359"/>
      <c r="UMN308" s="359"/>
      <c r="UMO308" s="359"/>
      <c r="UMP308" s="359"/>
      <c r="UMQ308" s="359"/>
      <c r="UMR308" s="359"/>
      <c r="UMS308" s="359"/>
      <c r="UMT308" s="359"/>
      <c r="UMU308" s="359"/>
      <c r="UMV308" s="359"/>
      <c r="UMW308" s="359"/>
      <c r="UMX308" s="359"/>
      <c r="UMY308" s="359"/>
      <c r="UMZ308" s="359"/>
      <c r="UNA308" s="359"/>
      <c r="UNB308" s="359"/>
      <c r="UNC308" s="359"/>
      <c r="UND308" s="359"/>
      <c r="UNE308" s="359"/>
      <c r="UNF308" s="359"/>
      <c r="UNG308" s="359"/>
      <c r="UNH308" s="359"/>
      <c r="UNI308" s="359"/>
      <c r="UNJ308" s="359"/>
      <c r="UNK308" s="359"/>
      <c r="UNL308" s="359"/>
      <c r="UNM308" s="359"/>
      <c r="UNN308" s="359"/>
      <c r="UNO308" s="359"/>
      <c r="UNP308" s="359"/>
      <c r="UNQ308" s="359"/>
      <c r="UNR308" s="359"/>
      <c r="UNS308" s="359"/>
      <c r="UNT308" s="359"/>
      <c r="UNU308" s="359"/>
      <c r="UNV308" s="359"/>
      <c r="UNW308" s="359"/>
      <c r="UNX308" s="359"/>
      <c r="UNY308" s="359"/>
      <c r="UNZ308" s="359"/>
      <c r="UOA308" s="359"/>
      <c r="UOB308" s="359"/>
      <c r="UOC308" s="359"/>
      <c r="UOD308" s="359"/>
      <c r="UOE308" s="359"/>
      <c r="UOF308" s="359"/>
      <c r="UOG308" s="359"/>
      <c r="UOH308" s="359"/>
      <c r="UOI308" s="359"/>
      <c r="UOJ308" s="359"/>
      <c r="UOK308" s="359"/>
      <c r="UOL308" s="359"/>
      <c r="UOM308" s="359"/>
      <c r="UON308" s="359"/>
      <c r="UOO308" s="359"/>
      <c r="UOP308" s="359"/>
      <c r="UOQ308" s="359"/>
      <c r="UOR308" s="359"/>
      <c r="UOS308" s="359"/>
      <c r="UOT308" s="359"/>
      <c r="UOU308" s="359"/>
      <c r="UOV308" s="359"/>
      <c r="UOW308" s="359"/>
      <c r="UOX308" s="359"/>
      <c r="UOY308" s="359"/>
      <c r="UOZ308" s="359"/>
      <c r="UPA308" s="359"/>
      <c r="UPB308" s="359"/>
      <c r="UPC308" s="359"/>
      <c r="UPD308" s="359"/>
      <c r="UPE308" s="359"/>
      <c r="UPF308" s="359"/>
      <c r="UPG308" s="359"/>
      <c r="UPH308" s="359"/>
      <c r="UPI308" s="359"/>
      <c r="UPJ308" s="359"/>
      <c r="UPK308" s="359"/>
      <c r="UPL308" s="359"/>
      <c r="UPM308" s="359"/>
      <c r="UPN308" s="359"/>
      <c r="UPO308" s="359"/>
      <c r="UPP308" s="359"/>
      <c r="UPQ308" s="359"/>
      <c r="UPR308" s="359"/>
      <c r="UPS308" s="359"/>
      <c r="UPT308" s="359"/>
      <c r="UPU308" s="359"/>
      <c r="UPV308" s="359"/>
      <c r="UPW308" s="359"/>
      <c r="UPX308" s="359"/>
      <c r="UPY308" s="359"/>
      <c r="UPZ308" s="359"/>
      <c r="UQA308" s="359"/>
      <c r="UQB308" s="359"/>
      <c r="UQC308" s="359"/>
      <c r="UQD308" s="359"/>
      <c r="UQE308" s="359"/>
      <c r="UQF308" s="359"/>
      <c r="UQG308" s="359"/>
      <c r="UQH308" s="359"/>
      <c r="UQI308" s="359"/>
      <c r="UQJ308" s="359"/>
      <c r="UQK308" s="359"/>
      <c r="UQL308" s="359"/>
      <c r="UQM308" s="359"/>
      <c r="UQN308" s="359"/>
      <c r="UQO308" s="359"/>
      <c r="UQP308" s="359"/>
      <c r="UQQ308" s="359"/>
      <c r="UQR308" s="359"/>
      <c r="UQS308" s="359"/>
      <c r="UQT308" s="359"/>
      <c r="UQU308" s="359"/>
      <c r="UQV308" s="359"/>
      <c r="UQW308" s="359"/>
      <c r="UQX308" s="359"/>
      <c r="UQY308" s="359"/>
      <c r="UQZ308" s="359"/>
      <c r="URA308" s="359"/>
      <c r="URB308" s="359"/>
      <c r="URC308" s="359"/>
      <c r="URD308" s="359"/>
      <c r="URE308" s="359"/>
      <c r="URF308" s="359"/>
      <c r="URG308" s="359"/>
      <c r="URH308" s="359"/>
      <c r="URI308" s="359"/>
      <c r="URJ308" s="359"/>
      <c r="URK308" s="359"/>
      <c r="URL308" s="359"/>
      <c r="URM308" s="359"/>
      <c r="URN308" s="359"/>
      <c r="URO308" s="359"/>
      <c r="URP308" s="359"/>
      <c r="URQ308" s="359"/>
      <c r="URR308" s="359"/>
      <c r="URS308" s="359"/>
      <c r="URT308" s="359"/>
      <c r="URU308" s="359"/>
      <c r="URV308" s="359"/>
      <c r="URW308" s="359"/>
      <c r="URX308" s="359"/>
      <c r="URY308" s="359"/>
      <c r="URZ308" s="359"/>
      <c r="USA308" s="359"/>
      <c r="USB308" s="359"/>
      <c r="USC308" s="359"/>
      <c r="USD308" s="359"/>
      <c r="USE308" s="359"/>
      <c r="USF308" s="359"/>
      <c r="USG308" s="359"/>
      <c r="USH308" s="359"/>
      <c r="USI308" s="359"/>
      <c r="USJ308" s="359"/>
      <c r="USK308" s="359"/>
      <c r="USL308" s="359"/>
      <c r="USM308" s="359"/>
      <c r="USN308" s="359"/>
      <c r="USO308" s="359"/>
      <c r="USP308" s="359"/>
      <c r="USQ308" s="359"/>
      <c r="USR308" s="359"/>
      <c r="USS308" s="359"/>
      <c r="UST308" s="359"/>
      <c r="USU308" s="359"/>
      <c r="USV308" s="359"/>
      <c r="USW308" s="359"/>
      <c r="USX308" s="359"/>
      <c r="USY308" s="359"/>
      <c r="USZ308" s="359"/>
      <c r="UTA308" s="359"/>
      <c r="UTB308" s="359"/>
      <c r="UTC308" s="359"/>
      <c r="UTD308" s="359"/>
      <c r="UTE308" s="359"/>
      <c r="UTF308" s="359"/>
      <c r="UTG308" s="359"/>
      <c r="UTH308" s="359"/>
      <c r="UTI308" s="359"/>
      <c r="UTJ308" s="359"/>
      <c r="UTK308" s="359"/>
      <c r="UTL308" s="359"/>
      <c r="UTM308" s="359"/>
      <c r="UTN308" s="359"/>
      <c r="UTO308" s="359"/>
      <c r="UTP308" s="359"/>
      <c r="UTQ308" s="359"/>
      <c r="UTR308" s="359"/>
      <c r="UTS308" s="359"/>
      <c r="UTT308" s="359"/>
      <c r="UTU308" s="359"/>
      <c r="UTV308" s="359"/>
      <c r="UTW308" s="359"/>
      <c r="UTX308" s="359"/>
      <c r="UTY308" s="359"/>
      <c r="UTZ308" s="359"/>
      <c r="UUA308" s="359"/>
      <c r="UUB308" s="359"/>
      <c r="UUC308" s="359"/>
      <c r="UUD308" s="359"/>
      <c r="UUE308" s="359"/>
      <c r="UUF308" s="359"/>
      <c r="UUG308" s="359"/>
      <c r="UUH308" s="359"/>
      <c r="UUI308" s="359"/>
      <c r="UUJ308" s="359"/>
      <c r="UUK308" s="359"/>
      <c r="UUL308" s="359"/>
      <c r="UUM308" s="359"/>
      <c r="UUN308" s="359"/>
      <c r="UUO308" s="359"/>
      <c r="UUP308" s="359"/>
      <c r="UUQ308" s="359"/>
      <c r="UUR308" s="359"/>
      <c r="UUS308" s="359"/>
      <c r="UUT308" s="359"/>
      <c r="UUU308" s="359"/>
      <c r="UUV308" s="359"/>
      <c r="UUW308" s="359"/>
      <c r="UUX308" s="359"/>
      <c r="UUY308" s="359"/>
      <c r="UUZ308" s="359"/>
      <c r="UVA308" s="359"/>
      <c r="UVB308" s="359"/>
      <c r="UVC308" s="359"/>
      <c r="UVD308" s="359"/>
      <c r="UVE308" s="359"/>
      <c r="UVF308" s="359"/>
      <c r="UVG308" s="359"/>
      <c r="UVH308" s="359"/>
      <c r="UVI308" s="359"/>
      <c r="UVJ308" s="359"/>
      <c r="UVK308" s="359"/>
      <c r="UVL308" s="359"/>
      <c r="UVM308" s="359"/>
      <c r="UVN308" s="359"/>
      <c r="UVO308" s="359"/>
      <c r="UVP308" s="359"/>
      <c r="UVQ308" s="359"/>
      <c r="UVR308" s="359"/>
      <c r="UVS308" s="359"/>
      <c r="UVT308" s="359"/>
      <c r="UVU308" s="359"/>
      <c r="UVV308" s="359"/>
      <c r="UVW308" s="359"/>
      <c r="UVX308" s="359"/>
      <c r="UVY308" s="359"/>
      <c r="UVZ308" s="359"/>
      <c r="UWA308" s="359"/>
      <c r="UWB308" s="359"/>
      <c r="UWC308" s="359"/>
      <c r="UWD308" s="359"/>
      <c r="UWE308" s="359"/>
      <c r="UWF308" s="359"/>
      <c r="UWG308" s="359"/>
      <c r="UWH308" s="359"/>
      <c r="UWI308" s="359"/>
      <c r="UWJ308" s="359"/>
      <c r="UWK308" s="359"/>
      <c r="UWL308" s="359"/>
      <c r="UWM308" s="359"/>
      <c r="UWN308" s="359"/>
      <c r="UWO308" s="359"/>
      <c r="UWP308" s="359"/>
      <c r="UWQ308" s="359"/>
      <c r="UWR308" s="359"/>
      <c r="UWS308" s="359"/>
      <c r="UWT308" s="359"/>
      <c r="UWU308" s="359"/>
      <c r="UWV308" s="359"/>
      <c r="UWW308" s="359"/>
      <c r="UWX308" s="359"/>
      <c r="UWY308" s="359"/>
      <c r="UWZ308" s="359"/>
      <c r="UXA308" s="359"/>
      <c r="UXB308" s="359"/>
      <c r="UXC308" s="359"/>
      <c r="UXD308" s="359"/>
      <c r="UXE308" s="359"/>
      <c r="UXF308" s="359"/>
      <c r="UXG308" s="359"/>
      <c r="UXH308" s="359"/>
      <c r="UXI308" s="359"/>
      <c r="UXJ308" s="359"/>
      <c r="UXK308" s="359"/>
      <c r="UXL308" s="359"/>
      <c r="UXM308" s="359"/>
      <c r="UXN308" s="359"/>
      <c r="UXO308" s="359"/>
      <c r="UXP308" s="359"/>
      <c r="UXQ308" s="359"/>
      <c r="UXR308" s="359"/>
      <c r="UXS308" s="359"/>
      <c r="UXT308" s="359"/>
      <c r="UXU308" s="359"/>
      <c r="UXV308" s="359"/>
      <c r="UXW308" s="359"/>
      <c r="UXX308" s="359"/>
      <c r="UXY308" s="359"/>
      <c r="UXZ308" s="359"/>
      <c r="UYA308" s="359"/>
      <c r="UYB308" s="359"/>
      <c r="UYC308" s="359"/>
      <c r="UYD308" s="359"/>
      <c r="UYE308" s="359"/>
      <c r="UYF308" s="359"/>
      <c r="UYG308" s="359"/>
      <c r="UYH308" s="359"/>
      <c r="UYI308" s="359"/>
      <c r="UYJ308" s="359"/>
      <c r="UYK308" s="359"/>
      <c r="UYL308" s="359"/>
      <c r="UYM308" s="359"/>
      <c r="UYN308" s="359"/>
      <c r="UYO308" s="359"/>
      <c r="UYP308" s="359"/>
      <c r="UYQ308" s="359"/>
      <c r="UYR308" s="359"/>
      <c r="UYS308" s="359"/>
      <c r="UYT308" s="359"/>
      <c r="UYU308" s="359"/>
      <c r="UYV308" s="359"/>
      <c r="UYW308" s="359"/>
      <c r="UYX308" s="359"/>
      <c r="UYY308" s="359"/>
      <c r="UYZ308" s="359"/>
      <c r="UZA308" s="359"/>
      <c r="UZB308" s="359"/>
      <c r="UZC308" s="359"/>
      <c r="UZD308" s="359"/>
      <c r="UZE308" s="359"/>
      <c r="UZF308" s="359"/>
      <c r="UZG308" s="359"/>
      <c r="UZH308" s="359"/>
      <c r="UZI308" s="359"/>
      <c r="UZJ308" s="359"/>
      <c r="UZK308" s="359"/>
      <c r="UZL308" s="359"/>
      <c r="UZM308" s="359"/>
      <c r="UZN308" s="359"/>
      <c r="UZO308" s="359"/>
      <c r="UZP308" s="359"/>
      <c r="UZQ308" s="359"/>
      <c r="UZR308" s="359"/>
      <c r="UZS308" s="359"/>
      <c r="UZT308" s="359"/>
      <c r="UZU308" s="359"/>
      <c r="UZV308" s="359"/>
      <c r="UZW308" s="359"/>
      <c r="UZX308" s="359"/>
      <c r="UZY308" s="359"/>
      <c r="UZZ308" s="359"/>
      <c r="VAA308" s="359"/>
      <c r="VAB308" s="359"/>
      <c r="VAC308" s="359"/>
      <c r="VAD308" s="359"/>
      <c r="VAE308" s="359"/>
      <c r="VAF308" s="359"/>
      <c r="VAG308" s="359"/>
      <c r="VAH308" s="359"/>
      <c r="VAI308" s="359"/>
      <c r="VAJ308" s="359"/>
      <c r="VAK308" s="359"/>
      <c r="VAL308" s="359"/>
      <c r="VAM308" s="359"/>
      <c r="VAN308" s="359"/>
      <c r="VAO308" s="359"/>
      <c r="VAP308" s="359"/>
      <c r="VAQ308" s="359"/>
      <c r="VAR308" s="359"/>
      <c r="VAS308" s="359"/>
      <c r="VAT308" s="359"/>
      <c r="VAU308" s="359"/>
      <c r="VAV308" s="359"/>
      <c r="VAW308" s="359"/>
      <c r="VAX308" s="359"/>
      <c r="VAY308" s="359"/>
      <c r="VAZ308" s="359"/>
      <c r="VBA308" s="359"/>
      <c r="VBB308" s="359"/>
      <c r="VBC308" s="359"/>
      <c r="VBD308" s="359"/>
      <c r="VBE308" s="359"/>
      <c r="VBF308" s="359"/>
      <c r="VBG308" s="359"/>
      <c r="VBH308" s="359"/>
      <c r="VBI308" s="359"/>
      <c r="VBJ308" s="359"/>
      <c r="VBK308" s="359"/>
      <c r="VBL308" s="359"/>
      <c r="VBM308" s="359"/>
      <c r="VBN308" s="359"/>
      <c r="VBO308" s="359"/>
      <c r="VBP308" s="359"/>
      <c r="VBQ308" s="359"/>
      <c r="VBR308" s="359"/>
      <c r="VBS308" s="359"/>
      <c r="VBT308" s="359"/>
      <c r="VBU308" s="359"/>
      <c r="VBV308" s="359"/>
      <c r="VBW308" s="359"/>
      <c r="VBX308" s="359"/>
      <c r="VBY308" s="359"/>
      <c r="VBZ308" s="359"/>
      <c r="VCA308" s="359"/>
      <c r="VCB308" s="359"/>
      <c r="VCC308" s="359"/>
      <c r="VCD308" s="359"/>
      <c r="VCE308" s="359"/>
      <c r="VCF308" s="359"/>
      <c r="VCG308" s="359"/>
      <c r="VCH308" s="359"/>
      <c r="VCI308" s="359"/>
      <c r="VCJ308" s="359"/>
      <c r="VCK308" s="359"/>
      <c r="VCL308" s="359"/>
      <c r="VCM308" s="359"/>
      <c r="VCN308" s="359"/>
      <c r="VCO308" s="359"/>
      <c r="VCP308" s="359"/>
      <c r="VCQ308" s="359"/>
      <c r="VCR308" s="359"/>
      <c r="VCS308" s="359"/>
      <c r="VCT308" s="359"/>
      <c r="VCU308" s="359"/>
      <c r="VCV308" s="359"/>
      <c r="VCW308" s="359"/>
      <c r="VCX308" s="359"/>
      <c r="VCY308" s="359"/>
      <c r="VCZ308" s="359"/>
      <c r="VDA308" s="359"/>
      <c r="VDB308" s="359"/>
      <c r="VDC308" s="359"/>
      <c r="VDD308" s="359"/>
      <c r="VDE308" s="359"/>
      <c r="VDF308" s="359"/>
      <c r="VDG308" s="359"/>
      <c r="VDH308" s="359"/>
      <c r="VDI308" s="359"/>
      <c r="VDJ308" s="359"/>
      <c r="VDK308" s="359"/>
      <c r="VDL308" s="359"/>
      <c r="VDM308" s="359"/>
      <c r="VDN308" s="359"/>
      <c r="VDO308" s="359"/>
      <c r="VDP308" s="359"/>
      <c r="VDQ308" s="359"/>
      <c r="VDR308" s="359"/>
      <c r="VDS308" s="359"/>
      <c r="VDT308" s="359"/>
      <c r="VDU308" s="359"/>
      <c r="VDV308" s="359"/>
      <c r="VDW308" s="359"/>
      <c r="VDX308" s="359"/>
      <c r="VDY308" s="359"/>
      <c r="VDZ308" s="359"/>
      <c r="VEA308" s="359"/>
      <c r="VEB308" s="359"/>
      <c r="VEC308" s="359"/>
      <c r="VED308" s="359"/>
      <c r="VEE308" s="359"/>
      <c r="VEF308" s="359"/>
      <c r="VEG308" s="359"/>
      <c r="VEH308" s="359"/>
      <c r="VEI308" s="359"/>
      <c r="VEJ308" s="359"/>
      <c r="VEK308" s="359"/>
      <c r="VEL308" s="359"/>
      <c r="VEM308" s="359"/>
      <c r="VEN308" s="359"/>
      <c r="VEO308" s="359"/>
      <c r="VEP308" s="359"/>
      <c r="VEQ308" s="359"/>
      <c r="VER308" s="359"/>
      <c r="VES308" s="359"/>
      <c r="VET308" s="359"/>
      <c r="VEU308" s="359"/>
      <c r="VEV308" s="359"/>
      <c r="VEW308" s="359"/>
      <c r="VEX308" s="359"/>
      <c r="VEY308" s="359"/>
      <c r="VEZ308" s="359"/>
      <c r="VFA308" s="359"/>
      <c r="VFB308" s="359"/>
      <c r="VFC308" s="359"/>
      <c r="VFD308" s="359"/>
      <c r="VFE308" s="359"/>
      <c r="VFF308" s="359"/>
      <c r="VFG308" s="359"/>
      <c r="VFH308" s="359"/>
      <c r="VFI308" s="359"/>
      <c r="VFJ308" s="359"/>
      <c r="VFK308" s="359"/>
      <c r="VFL308" s="359"/>
      <c r="VFM308" s="359"/>
      <c r="VFN308" s="359"/>
      <c r="VFO308" s="359"/>
      <c r="VFP308" s="359"/>
      <c r="VFQ308" s="359"/>
      <c r="VFR308" s="359"/>
      <c r="VFS308" s="359"/>
      <c r="VFT308" s="359"/>
      <c r="VFU308" s="359"/>
      <c r="VFV308" s="359"/>
      <c r="VFW308" s="359"/>
      <c r="VFX308" s="359"/>
      <c r="VFY308" s="359"/>
      <c r="VFZ308" s="359"/>
      <c r="VGA308" s="359"/>
      <c r="VGB308" s="359"/>
      <c r="VGC308" s="359"/>
      <c r="VGD308" s="359"/>
      <c r="VGE308" s="359"/>
      <c r="VGF308" s="359"/>
      <c r="VGG308" s="359"/>
      <c r="VGH308" s="359"/>
      <c r="VGI308" s="359"/>
      <c r="VGJ308" s="359"/>
      <c r="VGK308" s="359"/>
      <c r="VGL308" s="359"/>
      <c r="VGM308" s="359"/>
      <c r="VGN308" s="359"/>
      <c r="VGO308" s="359"/>
      <c r="VGP308" s="359"/>
      <c r="VGQ308" s="359"/>
      <c r="VGR308" s="359"/>
      <c r="VGS308" s="359"/>
      <c r="VGT308" s="359"/>
      <c r="VGU308" s="359"/>
      <c r="VGV308" s="359"/>
      <c r="VGW308" s="359"/>
      <c r="VGX308" s="359"/>
      <c r="VGY308" s="359"/>
      <c r="VGZ308" s="359"/>
      <c r="VHA308" s="359"/>
      <c r="VHB308" s="359"/>
      <c r="VHC308" s="359"/>
      <c r="VHD308" s="359"/>
      <c r="VHE308" s="359"/>
      <c r="VHF308" s="359"/>
      <c r="VHG308" s="359"/>
      <c r="VHH308" s="359"/>
      <c r="VHI308" s="359"/>
      <c r="VHJ308" s="359"/>
      <c r="VHK308" s="359"/>
      <c r="VHL308" s="359"/>
      <c r="VHM308" s="359"/>
      <c r="VHN308" s="359"/>
      <c r="VHO308" s="359"/>
      <c r="VHP308" s="359"/>
      <c r="VHQ308" s="359"/>
      <c r="VHR308" s="359"/>
      <c r="VHS308" s="359"/>
      <c r="VHT308" s="359"/>
      <c r="VHU308" s="359"/>
      <c r="VHV308" s="359"/>
      <c r="VHW308" s="359"/>
      <c r="VHX308" s="359"/>
      <c r="VHY308" s="359"/>
      <c r="VHZ308" s="359"/>
      <c r="VIA308" s="359"/>
      <c r="VIB308" s="359"/>
      <c r="VIC308" s="359"/>
      <c r="VID308" s="359"/>
      <c r="VIE308" s="359"/>
      <c r="VIF308" s="359"/>
      <c r="VIG308" s="359"/>
      <c r="VIH308" s="359"/>
      <c r="VII308" s="359"/>
      <c r="VIJ308" s="359"/>
      <c r="VIK308" s="359"/>
      <c r="VIL308" s="359"/>
      <c r="VIM308" s="359"/>
      <c r="VIN308" s="359"/>
      <c r="VIO308" s="359"/>
      <c r="VIP308" s="359"/>
      <c r="VIQ308" s="359"/>
      <c r="VIR308" s="359"/>
      <c r="VIS308" s="359"/>
      <c r="VIT308" s="359"/>
      <c r="VIU308" s="359"/>
      <c r="VIV308" s="359"/>
      <c r="VIW308" s="359"/>
      <c r="VIX308" s="359"/>
      <c r="VIY308" s="359"/>
      <c r="VIZ308" s="359"/>
      <c r="VJA308" s="359"/>
      <c r="VJB308" s="359"/>
      <c r="VJC308" s="359"/>
      <c r="VJD308" s="359"/>
      <c r="VJE308" s="359"/>
      <c r="VJF308" s="359"/>
      <c r="VJG308" s="359"/>
      <c r="VJH308" s="359"/>
      <c r="VJI308" s="359"/>
      <c r="VJJ308" s="359"/>
      <c r="VJK308" s="359"/>
      <c r="VJL308" s="359"/>
      <c r="VJM308" s="359"/>
      <c r="VJN308" s="359"/>
      <c r="VJO308" s="359"/>
      <c r="VJP308" s="359"/>
      <c r="VJQ308" s="359"/>
      <c r="VJR308" s="359"/>
      <c r="VJS308" s="359"/>
      <c r="VJT308" s="359"/>
      <c r="VJU308" s="359"/>
      <c r="VJV308" s="359"/>
      <c r="VJW308" s="359"/>
      <c r="VJX308" s="359"/>
      <c r="VJY308" s="359"/>
      <c r="VJZ308" s="359"/>
      <c r="VKA308" s="359"/>
      <c r="VKB308" s="359"/>
      <c r="VKC308" s="359"/>
      <c r="VKD308" s="359"/>
      <c r="VKE308" s="359"/>
      <c r="VKF308" s="359"/>
      <c r="VKG308" s="359"/>
      <c r="VKH308" s="359"/>
      <c r="VKI308" s="359"/>
      <c r="VKJ308" s="359"/>
      <c r="VKK308" s="359"/>
      <c r="VKL308" s="359"/>
      <c r="VKM308" s="359"/>
      <c r="VKN308" s="359"/>
      <c r="VKO308" s="359"/>
      <c r="VKP308" s="359"/>
      <c r="VKQ308" s="359"/>
      <c r="VKR308" s="359"/>
      <c r="VKS308" s="359"/>
      <c r="VKT308" s="359"/>
      <c r="VKU308" s="359"/>
      <c r="VKV308" s="359"/>
      <c r="VKW308" s="359"/>
      <c r="VKX308" s="359"/>
      <c r="VKY308" s="359"/>
      <c r="VKZ308" s="359"/>
      <c r="VLA308" s="359"/>
      <c r="VLB308" s="359"/>
      <c r="VLC308" s="359"/>
      <c r="VLD308" s="359"/>
      <c r="VLE308" s="359"/>
      <c r="VLF308" s="359"/>
      <c r="VLG308" s="359"/>
      <c r="VLH308" s="359"/>
      <c r="VLI308" s="359"/>
      <c r="VLJ308" s="359"/>
      <c r="VLK308" s="359"/>
      <c r="VLL308" s="359"/>
      <c r="VLM308" s="359"/>
      <c r="VLN308" s="359"/>
      <c r="VLO308" s="359"/>
      <c r="VLP308" s="359"/>
      <c r="VLQ308" s="359"/>
      <c r="VLR308" s="359"/>
      <c r="VLS308" s="359"/>
      <c r="VLT308" s="359"/>
      <c r="VLU308" s="359"/>
      <c r="VLV308" s="359"/>
      <c r="VLW308" s="359"/>
      <c r="VLX308" s="359"/>
      <c r="VLY308" s="359"/>
      <c r="VLZ308" s="359"/>
      <c r="VMA308" s="359"/>
      <c r="VMB308" s="359"/>
      <c r="VMC308" s="359"/>
      <c r="VMD308" s="359"/>
      <c r="VME308" s="359"/>
      <c r="VMF308" s="359"/>
      <c r="VMG308" s="359"/>
      <c r="VMH308" s="359"/>
      <c r="VMI308" s="359"/>
      <c r="VMJ308" s="359"/>
      <c r="VMK308" s="359"/>
      <c r="VML308" s="359"/>
      <c r="VMM308" s="359"/>
      <c r="VMN308" s="359"/>
      <c r="VMO308" s="359"/>
      <c r="VMP308" s="359"/>
      <c r="VMQ308" s="359"/>
      <c r="VMR308" s="359"/>
      <c r="VMS308" s="359"/>
      <c r="VMT308" s="359"/>
      <c r="VMU308" s="359"/>
      <c r="VMV308" s="359"/>
      <c r="VMW308" s="359"/>
      <c r="VMX308" s="359"/>
      <c r="VMY308" s="359"/>
      <c r="VMZ308" s="359"/>
      <c r="VNA308" s="359"/>
      <c r="VNB308" s="359"/>
      <c r="VNC308" s="359"/>
      <c r="VND308" s="359"/>
      <c r="VNE308" s="359"/>
      <c r="VNF308" s="359"/>
      <c r="VNG308" s="359"/>
      <c r="VNH308" s="359"/>
      <c r="VNI308" s="359"/>
      <c r="VNJ308" s="359"/>
      <c r="VNK308" s="359"/>
      <c r="VNL308" s="359"/>
      <c r="VNM308" s="359"/>
      <c r="VNN308" s="359"/>
      <c r="VNO308" s="359"/>
      <c r="VNP308" s="359"/>
      <c r="VNQ308" s="359"/>
      <c r="VNR308" s="359"/>
      <c r="VNS308" s="359"/>
      <c r="VNT308" s="359"/>
      <c r="VNU308" s="359"/>
      <c r="VNV308" s="359"/>
      <c r="VNW308" s="359"/>
      <c r="VNX308" s="359"/>
      <c r="VNY308" s="359"/>
      <c r="VNZ308" s="359"/>
      <c r="VOA308" s="359"/>
      <c r="VOB308" s="359"/>
      <c r="VOC308" s="359"/>
      <c r="VOD308" s="359"/>
      <c r="VOE308" s="359"/>
      <c r="VOF308" s="359"/>
      <c r="VOG308" s="359"/>
      <c r="VOH308" s="359"/>
      <c r="VOI308" s="359"/>
      <c r="VOJ308" s="359"/>
      <c r="VOK308" s="359"/>
      <c r="VOL308" s="359"/>
      <c r="VOM308" s="359"/>
      <c r="VON308" s="359"/>
      <c r="VOO308" s="359"/>
      <c r="VOP308" s="359"/>
      <c r="VOQ308" s="359"/>
      <c r="VOR308" s="359"/>
      <c r="VOS308" s="359"/>
      <c r="VOT308" s="359"/>
      <c r="VOU308" s="359"/>
      <c r="VOV308" s="359"/>
      <c r="VOW308" s="359"/>
      <c r="VOX308" s="359"/>
      <c r="VOY308" s="359"/>
      <c r="VOZ308" s="359"/>
      <c r="VPA308" s="359"/>
      <c r="VPB308" s="359"/>
      <c r="VPC308" s="359"/>
      <c r="VPD308" s="359"/>
      <c r="VPE308" s="359"/>
      <c r="VPF308" s="359"/>
      <c r="VPG308" s="359"/>
      <c r="VPH308" s="359"/>
      <c r="VPI308" s="359"/>
      <c r="VPJ308" s="359"/>
      <c r="VPK308" s="359"/>
      <c r="VPL308" s="359"/>
      <c r="VPM308" s="359"/>
      <c r="VPN308" s="359"/>
      <c r="VPO308" s="359"/>
      <c r="VPP308" s="359"/>
      <c r="VPQ308" s="359"/>
      <c r="VPR308" s="359"/>
      <c r="VPS308" s="359"/>
      <c r="VPT308" s="359"/>
      <c r="VPU308" s="359"/>
      <c r="VPV308" s="359"/>
      <c r="VPW308" s="359"/>
      <c r="VPX308" s="359"/>
      <c r="VPY308" s="359"/>
      <c r="VPZ308" s="359"/>
      <c r="VQA308" s="359"/>
      <c r="VQB308" s="359"/>
      <c r="VQC308" s="359"/>
      <c r="VQD308" s="359"/>
      <c r="VQE308" s="359"/>
      <c r="VQF308" s="359"/>
      <c r="VQG308" s="359"/>
      <c r="VQH308" s="359"/>
      <c r="VQI308" s="359"/>
      <c r="VQJ308" s="359"/>
      <c r="VQK308" s="359"/>
      <c r="VQL308" s="359"/>
      <c r="VQM308" s="359"/>
      <c r="VQN308" s="359"/>
      <c r="VQO308" s="359"/>
      <c r="VQP308" s="359"/>
      <c r="VQQ308" s="359"/>
      <c r="VQR308" s="359"/>
      <c r="VQS308" s="359"/>
      <c r="VQT308" s="359"/>
      <c r="VQU308" s="359"/>
      <c r="VQV308" s="359"/>
      <c r="VQW308" s="359"/>
      <c r="VQX308" s="359"/>
      <c r="VQY308" s="359"/>
      <c r="VQZ308" s="359"/>
      <c r="VRA308" s="359"/>
      <c r="VRB308" s="359"/>
      <c r="VRC308" s="359"/>
      <c r="VRD308" s="359"/>
      <c r="VRE308" s="359"/>
      <c r="VRF308" s="359"/>
      <c r="VRG308" s="359"/>
      <c r="VRH308" s="359"/>
      <c r="VRI308" s="359"/>
      <c r="VRJ308" s="359"/>
      <c r="VRK308" s="359"/>
      <c r="VRL308" s="359"/>
      <c r="VRM308" s="359"/>
      <c r="VRN308" s="359"/>
      <c r="VRO308" s="359"/>
      <c r="VRP308" s="359"/>
      <c r="VRQ308" s="359"/>
      <c r="VRR308" s="359"/>
      <c r="VRS308" s="359"/>
      <c r="VRT308" s="359"/>
      <c r="VRU308" s="359"/>
      <c r="VRV308" s="359"/>
      <c r="VRW308" s="359"/>
      <c r="VRX308" s="359"/>
      <c r="VRY308" s="359"/>
      <c r="VRZ308" s="359"/>
      <c r="VSA308" s="359"/>
      <c r="VSB308" s="359"/>
      <c r="VSC308" s="359"/>
      <c r="VSD308" s="359"/>
      <c r="VSE308" s="359"/>
      <c r="VSF308" s="359"/>
      <c r="VSG308" s="359"/>
      <c r="VSH308" s="359"/>
      <c r="VSI308" s="359"/>
      <c r="VSJ308" s="359"/>
      <c r="VSK308" s="359"/>
      <c r="VSL308" s="359"/>
      <c r="VSM308" s="359"/>
      <c r="VSN308" s="359"/>
      <c r="VSO308" s="359"/>
      <c r="VSP308" s="359"/>
      <c r="VSQ308" s="359"/>
      <c r="VSR308" s="359"/>
      <c r="VSS308" s="359"/>
      <c r="VST308" s="359"/>
      <c r="VSU308" s="359"/>
      <c r="VSV308" s="359"/>
      <c r="VSW308" s="359"/>
      <c r="VSX308" s="359"/>
      <c r="VSY308" s="359"/>
      <c r="VSZ308" s="359"/>
      <c r="VTA308" s="359"/>
      <c r="VTB308" s="359"/>
      <c r="VTC308" s="359"/>
      <c r="VTD308" s="359"/>
      <c r="VTE308" s="359"/>
      <c r="VTF308" s="359"/>
      <c r="VTG308" s="359"/>
      <c r="VTH308" s="359"/>
      <c r="VTI308" s="359"/>
      <c r="VTJ308" s="359"/>
      <c r="VTK308" s="359"/>
      <c r="VTL308" s="359"/>
      <c r="VTM308" s="359"/>
      <c r="VTN308" s="359"/>
      <c r="VTO308" s="359"/>
      <c r="VTP308" s="359"/>
      <c r="VTQ308" s="359"/>
      <c r="VTR308" s="359"/>
      <c r="VTS308" s="359"/>
      <c r="VTT308" s="359"/>
      <c r="VTU308" s="359"/>
      <c r="VTV308" s="359"/>
      <c r="VTW308" s="359"/>
      <c r="VTX308" s="359"/>
      <c r="VTY308" s="359"/>
      <c r="VTZ308" s="359"/>
      <c r="VUA308" s="359"/>
      <c r="VUB308" s="359"/>
      <c r="VUC308" s="359"/>
      <c r="VUD308" s="359"/>
      <c r="VUE308" s="359"/>
      <c r="VUF308" s="359"/>
      <c r="VUG308" s="359"/>
      <c r="VUH308" s="359"/>
      <c r="VUI308" s="359"/>
      <c r="VUJ308" s="359"/>
      <c r="VUK308" s="359"/>
      <c r="VUL308" s="359"/>
      <c r="VUM308" s="359"/>
      <c r="VUN308" s="359"/>
      <c r="VUO308" s="359"/>
      <c r="VUP308" s="359"/>
      <c r="VUQ308" s="359"/>
      <c r="VUR308" s="359"/>
      <c r="VUS308" s="359"/>
      <c r="VUT308" s="359"/>
      <c r="VUU308" s="359"/>
      <c r="VUV308" s="359"/>
      <c r="VUW308" s="359"/>
      <c r="VUX308" s="359"/>
      <c r="VUY308" s="359"/>
      <c r="VUZ308" s="359"/>
      <c r="VVA308" s="359"/>
      <c r="VVB308" s="359"/>
      <c r="VVC308" s="359"/>
      <c r="VVD308" s="359"/>
      <c r="VVE308" s="359"/>
      <c r="VVF308" s="359"/>
      <c r="VVG308" s="359"/>
      <c r="VVH308" s="359"/>
      <c r="VVI308" s="359"/>
      <c r="VVJ308" s="359"/>
      <c r="VVK308" s="359"/>
      <c r="VVL308" s="359"/>
      <c r="VVM308" s="359"/>
      <c r="VVN308" s="359"/>
      <c r="VVO308" s="359"/>
      <c r="VVP308" s="359"/>
      <c r="VVQ308" s="359"/>
      <c r="VVR308" s="359"/>
      <c r="VVS308" s="359"/>
      <c r="VVT308" s="359"/>
      <c r="VVU308" s="359"/>
      <c r="VVV308" s="359"/>
      <c r="VVW308" s="359"/>
      <c r="VVX308" s="359"/>
      <c r="VVY308" s="359"/>
      <c r="VVZ308" s="359"/>
      <c r="VWA308" s="359"/>
      <c r="VWB308" s="359"/>
      <c r="VWC308" s="359"/>
      <c r="VWD308" s="359"/>
      <c r="VWE308" s="359"/>
      <c r="VWF308" s="359"/>
      <c r="VWG308" s="359"/>
      <c r="VWH308" s="359"/>
      <c r="VWI308" s="359"/>
      <c r="VWJ308" s="359"/>
      <c r="VWK308" s="359"/>
      <c r="VWL308" s="359"/>
      <c r="VWM308" s="359"/>
      <c r="VWN308" s="359"/>
      <c r="VWO308" s="359"/>
      <c r="VWP308" s="359"/>
      <c r="VWQ308" s="359"/>
      <c r="VWR308" s="359"/>
      <c r="VWS308" s="359"/>
      <c r="VWT308" s="359"/>
      <c r="VWU308" s="359"/>
      <c r="VWV308" s="359"/>
      <c r="VWW308" s="359"/>
      <c r="VWX308" s="359"/>
      <c r="VWY308" s="359"/>
      <c r="VWZ308" s="359"/>
      <c r="VXA308" s="359"/>
      <c r="VXB308" s="359"/>
      <c r="VXC308" s="359"/>
      <c r="VXD308" s="359"/>
      <c r="VXE308" s="359"/>
      <c r="VXF308" s="359"/>
      <c r="VXG308" s="359"/>
      <c r="VXH308" s="359"/>
      <c r="VXI308" s="359"/>
      <c r="VXJ308" s="359"/>
      <c r="VXK308" s="359"/>
      <c r="VXL308" s="359"/>
      <c r="VXM308" s="359"/>
      <c r="VXN308" s="359"/>
      <c r="VXO308" s="359"/>
      <c r="VXP308" s="359"/>
      <c r="VXQ308" s="359"/>
      <c r="VXR308" s="359"/>
      <c r="VXS308" s="359"/>
      <c r="VXT308" s="359"/>
      <c r="VXU308" s="359"/>
      <c r="VXV308" s="359"/>
      <c r="VXW308" s="359"/>
      <c r="VXX308" s="359"/>
      <c r="VXY308" s="359"/>
      <c r="VXZ308" s="359"/>
      <c r="VYA308" s="359"/>
      <c r="VYB308" s="359"/>
      <c r="VYC308" s="359"/>
      <c r="VYD308" s="359"/>
      <c r="VYE308" s="359"/>
      <c r="VYF308" s="359"/>
      <c r="VYG308" s="359"/>
      <c r="VYH308" s="359"/>
      <c r="VYI308" s="359"/>
      <c r="VYJ308" s="359"/>
      <c r="VYK308" s="359"/>
      <c r="VYL308" s="359"/>
      <c r="VYM308" s="359"/>
      <c r="VYN308" s="359"/>
      <c r="VYO308" s="359"/>
      <c r="VYP308" s="359"/>
      <c r="VYQ308" s="359"/>
      <c r="VYR308" s="359"/>
      <c r="VYS308" s="359"/>
      <c r="VYT308" s="359"/>
      <c r="VYU308" s="359"/>
      <c r="VYV308" s="359"/>
      <c r="VYW308" s="359"/>
      <c r="VYX308" s="359"/>
      <c r="VYY308" s="359"/>
      <c r="VYZ308" s="359"/>
      <c r="VZA308" s="359"/>
      <c r="VZB308" s="359"/>
      <c r="VZC308" s="359"/>
      <c r="VZD308" s="359"/>
      <c r="VZE308" s="359"/>
      <c r="VZF308" s="359"/>
      <c r="VZG308" s="359"/>
      <c r="VZH308" s="359"/>
      <c r="VZI308" s="359"/>
      <c r="VZJ308" s="359"/>
      <c r="VZK308" s="359"/>
      <c r="VZL308" s="359"/>
      <c r="VZM308" s="359"/>
      <c r="VZN308" s="359"/>
      <c r="VZO308" s="359"/>
      <c r="VZP308" s="359"/>
      <c r="VZQ308" s="359"/>
      <c r="VZR308" s="359"/>
      <c r="VZS308" s="359"/>
      <c r="VZT308" s="359"/>
      <c r="VZU308" s="359"/>
      <c r="VZV308" s="359"/>
      <c r="VZW308" s="359"/>
      <c r="VZX308" s="359"/>
      <c r="VZY308" s="359"/>
      <c r="VZZ308" s="359"/>
      <c r="WAA308" s="359"/>
      <c r="WAB308" s="359"/>
      <c r="WAC308" s="359"/>
      <c r="WAD308" s="359"/>
      <c r="WAE308" s="359"/>
      <c r="WAF308" s="359"/>
      <c r="WAG308" s="359"/>
      <c r="WAH308" s="359"/>
      <c r="WAI308" s="359"/>
      <c r="WAJ308" s="359"/>
      <c r="WAK308" s="359"/>
      <c r="WAL308" s="359"/>
      <c r="WAM308" s="359"/>
      <c r="WAN308" s="359"/>
      <c r="WAO308" s="359"/>
      <c r="WAP308" s="359"/>
      <c r="WAQ308" s="359"/>
      <c r="WAR308" s="359"/>
      <c r="WAS308" s="359"/>
      <c r="WAT308" s="359"/>
      <c r="WAU308" s="359"/>
      <c r="WAV308" s="359"/>
      <c r="WAW308" s="359"/>
      <c r="WAX308" s="359"/>
      <c r="WAY308" s="359"/>
      <c r="WAZ308" s="359"/>
      <c r="WBA308" s="359"/>
      <c r="WBB308" s="359"/>
      <c r="WBC308" s="359"/>
      <c r="WBD308" s="359"/>
      <c r="WBE308" s="359"/>
      <c r="WBF308" s="359"/>
      <c r="WBG308" s="359"/>
      <c r="WBH308" s="359"/>
      <c r="WBI308" s="359"/>
      <c r="WBJ308" s="359"/>
      <c r="WBK308" s="359"/>
      <c r="WBL308" s="359"/>
      <c r="WBM308" s="359"/>
      <c r="WBN308" s="359"/>
      <c r="WBO308" s="359"/>
      <c r="WBP308" s="359"/>
      <c r="WBQ308" s="359"/>
      <c r="WBR308" s="359"/>
      <c r="WBS308" s="359"/>
      <c r="WBT308" s="359"/>
      <c r="WBU308" s="359"/>
      <c r="WBV308" s="359"/>
      <c r="WBW308" s="359"/>
      <c r="WBX308" s="359"/>
      <c r="WBY308" s="359"/>
      <c r="WBZ308" s="359"/>
      <c r="WCA308" s="359"/>
      <c r="WCB308" s="359"/>
      <c r="WCC308" s="359"/>
      <c r="WCD308" s="359"/>
      <c r="WCE308" s="359"/>
      <c r="WCF308" s="359"/>
      <c r="WCG308" s="359"/>
      <c r="WCH308" s="359"/>
      <c r="WCI308" s="359"/>
      <c r="WCJ308" s="359"/>
      <c r="WCK308" s="359"/>
      <c r="WCL308" s="359"/>
      <c r="WCM308" s="359"/>
      <c r="WCN308" s="359"/>
      <c r="WCO308" s="359"/>
      <c r="WCP308" s="359"/>
      <c r="WCQ308" s="359"/>
      <c r="WCR308" s="359"/>
      <c r="WCS308" s="359"/>
      <c r="WCT308" s="359"/>
      <c r="WCU308" s="359"/>
      <c r="WCV308" s="359"/>
      <c r="WCW308" s="359"/>
      <c r="WCX308" s="359"/>
      <c r="WCY308" s="359"/>
      <c r="WCZ308" s="359"/>
      <c r="WDA308" s="359"/>
      <c r="WDB308" s="359"/>
      <c r="WDC308" s="359"/>
      <c r="WDD308" s="359"/>
      <c r="WDE308" s="359"/>
      <c r="WDF308" s="359"/>
      <c r="WDG308" s="359"/>
      <c r="WDH308" s="359"/>
      <c r="WDI308" s="359"/>
      <c r="WDJ308" s="359"/>
      <c r="WDK308" s="359"/>
      <c r="WDL308" s="359"/>
      <c r="WDM308" s="359"/>
      <c r="WDN308" s="359"/>
      <c r="WDO308" s="359"/>
      <c r="WDP308" s="359"/>
      <c r="WDQ308" s="359"/>
      <c r="WDR308" s="359"/>
      <c r="WDS308" s="359"/>
      <c r="WDT308" s="359"/>
      <c r="WDU308" s="359"/>
      <c r="WDV308" s="359"/>
      <c r="WDW308" s="359"/>
      <c r="WDX308" s="359"/>
      <c r="WDY308" s="359"/>
      <c r="WDZ308" s="359"/>
      <c r="WEA308" s="359"/>
      <c r="WEB308" s="359"/>
      <c r="WEC308" s="359"/>
      <c r="WED308" s="359"/>
      <c r="WEE308" s="359"/>
      <c r="WEF308" s="359"/>
      <c r="WEG308" s="359"/>
      <c r="WEH308" s="359"/>
      <c r="WEI308" s="359"/>
      <c r="WEJ308" s="359"/>
      <c r="WEK308" s="359"/>
      <c r="WEL308" s="359"/>
      <c r="WEM308" s="359"/>
      <c r="WEN308" s="359"/>
      <c r="WEO308" s="359"/>
      <c r="WEP308" s="359"/>
      <c r="WEQ308" s="359"/>
      <c r="WER308" s="359"/>
      <c r="WES308" s="359"/>
      <c r="WET308" s="359"/>
      <c r="WEU308" s="359"/>
      <c r="WEV308" s="359"/>
      <c r="WEW308" s="359"/>
      <c r="WEX308" s="359"/>
      <c r="WEY308" s="359"/>
      <c r="WEZ308" s="359"/>
      <c r="WFA308" s="359"/>
      <c r="WFB308" s="359"/>
      <c r="WFC308" s="359"/>
      <c r="WFD308" s="359"/>
      <c r="WFE308" s="359"/>
      <c r="WFF308" s="359"/>
      <c r="WFG308" s="359"/>
      <c r="WFH308" s="359"/>
      <c r="WFI308" s="359"/>
      <c r="WFJ308" s="359"/>
      <c r="WFK308" s="359"/>
      <c r="WFL308" s="359"/>
      <c r="WFM308" s="359"/>
      <c r="WFN308" s="359"/>
      <c r="WFO308" s="359"/>
      <c r="WFP308" s="359"/>
      <c r="WFQ308" s="359"/>
      <c r="WFR308" s="359"/>
      <c r="WFS308" s="359"/>
      <c r="WFT308" s="359"/>
      <c r="WFU308" s="359"/>
      <c r="WFV308" s="359"/>
      <c r="WFW308" s="359"/>
      <c r="WFX308" s="359"/>
      <c r="WFY308" s="359"/>
      <c r="WFZ308" s="359"/>
      <c r="WGA308" s="359"/>
      <c r="WGB308" s="359"/>
      <c r="WGC308" s="359"/>
      <c r="WGD308" s="359"/>
      <c r="WGE308" s="359"/>
      <c r="WGF308" s="359"/>
      <c r="WGG308" s="359"/>
      <c r="WGH308" s="359"/>
      <c r="WGI308" s="359"/>
      <c r="WGJ308" s="359"/>
      <c r="WGK308" s="359"/>
      <c r="WGL308" s="359"/>
      <c r="WGM308" s="359"/>
      <c r="WGN308" s="359"/>
      <c r="WGO308" s="359"/>
      <c r="WGP308" s="359"/>
      <c r="WGQ308" s="359"/>
      <c r="WGR308" s="359"/>
      <c r="WGS308" s="359"/>
      <c r="WGT308" s="359"/>
      <c r="WGU308" s="359"/>
      <c r="WGV308" s="359"/>
      <c r="WGW308" s="359"/>
      <c r="WGX308" s="359"/>
      <c r="WGY308" s="359"/>
      <c r="WGZ308" s="359"/>
      <c r="WHA308" s="359"/>
      <c r="WHB308" s="359"/>
      <c r="WHC308" s="359"/>
      <c r="WHD308" s="359"/>
      <c r="WHE308" s="359"/>
      <c r="WHF308" s="359"/>
      <c r="WHG308" s="359"/>
      <c r="WHH308" s="359"/>
      <c r="WHI308" s="359"/>
      <c r="WHJ308" s="359"/>
      <c r="WHK308" s="359"/>
      <c r="WHL308" s="359"/>
      <c r="WHM308" s="359"/>
      <c r="WHN308" s="359"/>
      <c r="WHO308" s="359"/>
      <c r="WHP308" s="359"/>
      <c r="WHQ308" s="359"/>
      <c r="WHR308" s="359"/>
      <c r="WHS308" s="359"/>
      <c r="WHT308" s="359"/>
      <c r="WHU308" s="359"/>
      <c r="WHV308" s="359"/>
      <c r="WHW308" s="359"/>
      <c r="WHX308" s="359"/>
      <c r="WHY308" s="359"/>
      <c r="WHZ308" s="359"/>
      <c r="WIA308" s="359"/>
      <c r="WIB308" s="359"/>
      <c r="WIC308" s="359"/>
      <c r="WID308" s="359"/>
      <c r="WIE308" s="359"/>
      <c r="WIF308" s="359"/>
      <c r="WIG308" s="359"/>
      <c r="WIH308" s="359"/>
      <c r="WII308" s="359"/>
      <c r="WIJ308" s="359"/>
      <c r="WIK308" s="359"/>
      <c r="WIL308" s="359"/>
      <c r="WIM308" s="359"/>
      <c r="WIN308" s="359"/>
      <c r="WIO308" s="359"/>
      <c r="WIP308" s="359"/>
      <c r="WIQ308" s="359"/>
      <c r="WIR308" s="359"/>
      <c r="WIS308" s="359"/>
      <c r="WIT308" s="359"/>
      <c r="WIU308" s="359"/>
      <c r="WIV308" s="359"/>
      <c r="WIW308" s="359"/>
      <c r="WIX308" s="359"/>
      <c r="WIY308" s="359"/>
      <c r="WIZ308" s="359"/>
      <c r="WJA308" s="359"/>
      <c r="WJB308" s="359"/>
      <c r="WJC308" s="359"/>
      <c r="WJD308" s="359"/>
      <c r="WJE308" s="359"/>
      <c r="WJF308" s="359"/>
      <c r="WJG308" s="359"/>
      <c r="WJH308" s="359"/>
      <c r="WJI308" s="359"/>
      <c r="WJJ308" s="359"/>
      <c r="WJK308" s="359"/>
      <c r="WJL308" s="359"/>
      <c r="WJM308" s="359"/>
      <c r="WJN308" s="359"/>
      <c r="WJO308" s="359"/>
      <c r="WJP308" s="359"/>
      <c r="WJQ308" s="359"/>
      <c r="WJR308" s="359"/>
      <c r="WJS308" s="359"/>
      <c r="WJT308" s="359"/>
      <c r="WJU308" s="359"/>
      <c r="WJV308" s="359"/>
      <c r="WJW308" s="359"/>
      <c r="WJX308" s="359"/>
      <c r="WJY308" s="359"/>
      <c r="WJZ308" s="359"/>
      <c r="WKA308" s="359"/>
      <c r="WKB308" s="359"/>
      <c r="WKC308" s="359"/>
      <c r="WKD308" s="359"/>
      <c r="WKE308" s="359"/>
      <c r="WKF308" s="359"/>
      <c r="WKG308" s="359"/>
      <c r="WKH308" s="359"/>
      <c r="WKI308" s="359"/>
      <c r="WKJ308" s="359"/>
      <c r="WKK308" s="359"/>
      <c r="WKL308" s="359"/>
      <c r="WKM308" s="359"/>
      <c r="WKN308" s="359"/>
      <c r="WKO308" s="359"/>
      <c r="WKP308" s="359"/>
      <c r="WKQ308" s="359"/>
      <c r="WKR308" s="359"/>
      <c r="WKS308" s="359"/>
      <c r="WKT308" s="359"/>
      <c r="WKU308" s="359"/>
      <c r="WKV308" s="359"/>
      <c r="WKW308" s="359"/>
      <c r="WKX308" s="359"/>
      <c r="WKY308" s="359"/>
      <c r="WKZ308" s="359"/>
      <c r="WLA308" s="359"/>
      <c r="WLB308" s="359"/>
      <c r="WLC308" s="359"/>
      <c r="WLD308" s="359"/>
      <c r="WLE308" s="359"/>
      <c r="WLF308" s="359"/>
      <c r="WLG308" s="359"/>
      <c r="WLH308" s="359"/>
      <c r="WLI308" s="359"/>
      <c r="WLJ308" s="359"/>
      <c r="WLK308" s="359"/>
      <c r="WLL308" s="359"/>
      <c r="WLM308" s="359"/>
      <c r="WLN308" s="359"/>
      <c r="WLO308" s="359"/>
      <c r="WLP308" s="359"/>
      <c r="WLQ308" s="359"/>
      <c r="WLR308" s="359"/>
      <c r="WLS308" s="359"/>
      <c r="WLT308" s="359"/>
      <c r="WLU308" s="359"/>
      <c r="WLV308" s="359"/>
      <c r="WLW308" s="359"/>
      <c r="WLX308" s="359"/>
      <c r="WLY308" s="359"/>
      <c r="WLZ308" s="359"/>
      <c r="WMA308" s="359"/>
      <c r="WMB308" s="359"/>
      <c r="WMC308" s="359"/>
      <c r="WMD308" s="359"/>
      <c r="WME308" s="359"/>
      <c r="WMF308" s="359"/>
      <c r="WMG308" s="359"/>
      <c r="WMH308" s="359"/>
      <c r="WMI308" s="359"/>
      <c r="WMJ308" s="359"/>
      <c r="WMK308" s="359"/>
      <c r="WML308" s="359"/>
      <c r="WMM308" s="359"/>
      <c r="WMN308" s="359"/>
      <c r="WMO308" s="359"/>
      <c r="WMP308" s="359"/>
      <c r="WMQ308" s="359"/>
      <c r="WMR308" s="359"/>
      <c r="WMS308" s="359"/>
      <c r="WMT308" s="359"/>
      <c r="WMU308" s="359"/>
      <c r="WMV308" s="359"/>
      <c r="WMW308" s="359"/>
      <c r="WMX308" s="359"/>
      <c r="WMY308" s="359"/>
      <c r="WMZ308" s="359"/>
      <c r="WNA308" s="359"/>
      <c r="WNB308" s="359"/>
      <c r="WNC308" s="359"/>
      <c r="WND308" s="359"/>
      <c r="WNE308" s="359"/>
      <c r="WNF308" s="359"/>
      <c r="WNG308" s="359"/>
      <c r="WNH308" s="359"/>
      <c r="WNI308" s="359"/>
      <c r="WNJ308" s="359"/>
      <c r="WNK308" s="359"/>
      <c r="WNL308" s="359"/>
      <c r="WNM308" s="359"/>
      <c r="WNN308" s="359"/>
      <c r="WNO308" s="359"/>
      <c r="WNP308" s="359"/>
      <c r="WNQ308" s="359"/>
      <c r="WNR308" s="359"/>
      <c r="WNS308" s="359"/>
      <c r="WNT308" s="359"/>
      <c r="WNU308" s="359"/>
      <c r="WNV308" s="359"/>
      <c r="WNW308" s="359"/>
      <c r="WNX308" s="359"/>
      <c r="WNY308" s="359"/>
      <c r="WNZ308" s="359"/>
      <c r="WOA308" s="359"/>
      <c r="WOB308" s="359"/>
      <c r="WOC308" s="359"/>
      <c r="WOD308" s="359"/>
      <c r="WOE308" s="359"/>
      <c r="WOF308" s="359"/>
      <c r="WOG308" s="359"/>
      <c r="WOH308" s="359"/>
      <c r="WOI308" s="359"/>
      <c r="WOJ308" s="359"/>
      <c r="WOK308" s="359"/>
      <c r="WOL308" s="359"/>
      <c r="WOM308" s="359"/>
      <c r="WON308" s="359"/>
      <c r="WOO308" s="359"/>
      <c r="WOP308" s="359"/>
      <c r="WOQ308" s="359"/>
      <c r="WOR308" s="359"/>
      <c r="WOS308" s="359"/>
      <c r="WOT308" s="359"/>
      <c r="WOU308" s="359"/>
      <c r="WOV308" s="359"/>
      <c r="WOW308" s="359"/>
      <c r="WOX308" s="359"/>
      <c r="WOY308" s="359"/>
      <c r="WOZ308" s="359"/>
      <c r="WPA308" s="359"/>
      <c r="WPB308" s="359"/>
      <c r="WPC308" s="359"/>
      <c r="WPD308" s="359"/>
      <c r="WPE308" s="359"/>
      <c r="WPF308" s="359"/>
      <c r="WPG308" s="359"/>
      <c r="WPH308" s="359"/>
      <c r="WPI308" s="359"/>
      <c r="WPJ308" s="359"/>
      <c r="WPK308" s="359"/>
      <c r="WPL308" s="359"/>
      <c r="WPM308" s="359"/>
      <c r="WPN308" s="359"/>
      <c r="WPO308" s="359"/>
      <c r="WPP308" s="359"/>
      <c r="WPQ308" s="359"/>
      <c r="WPR308" s="359"/>
      <c r="WPS308" s="359"/>
      <c r="WPT308" s="359"/>
      <c r="WPU308" s="359"/>
      <c r="WPV308" s="359"/>
      <c r="WPW308" s="359"/>
      <c r="WPX308" s="359"/>
      <c r="WPY308" s="359"/>
      <c r="WPZ308" s="359"/>
      <c r="WQA308" s="359"/>
      <c r="WQB308" s="359"/>
      <c r="WQC308" s="359"/>
      <c r="WQD308" s="359"/>
      <c r="WQE308" s="359"/>
      <c r="WQF308" s="359"/>
      <c r="WQG308" s="359"/>
      <c r="WQH308" s="359"/>
      <c r="WQI308" s="359"/>
      <c r="WQJ308" s="359"/>
      <c r="WQK308" s="359"/>
      <c r="WQL308" s="359"/>
      <c r="WQM308" s="359"/>
      <c r="WQN308" s="359"/>
      <c r="WQO308" s="359"/>
      <c r="WQP308" s="359"/>
      <c r="WQQ308" s="359"/>
      <c r="WQR308" s="359"/>
      <c r="WQS308" s="359"/>
      <c r="WQT308" s="359"/>
      <c r="WQU308" s="359"/>
      <c r="WQV308" s="359"/>
      <c r="WQW308" s="359"/>
      <c r="WQX308" s="359"/>
      <c r="WQY308" s="359"/>
      <c r="WQZ308" s="359"/>
      <c r="WRA308" s="359"/>
      <c r="WRB308" s="359"/>
      <c r="WRC308" s="359"/>
      <c r="WRD308" s="359"/>
      <c r="WRE308" s="359"/>
      <c r="WRF308" s="359"/>
      <c r="WRG308" s="359"/>
      <c r="WRH308" s="359"/>
      <c r="WRI308" s="359"/>
      <c r="WRJ308" s="359"/>
      <c r="WRK308" s="359"/>
      <c r="WRL308" s="359"/>
      <c r="WRM308" s="359"/>
      <c r="WRN308" s="359"/>
      <c r="WRO308" s="359"/>
      <c r="WRP308" s="359"/>
      <c r="WRQ308" s="359"/>
      <c r="WRR308" s="359"/>
      <c r="WRS308" s="359"/>
      <c r="WRT308" s="359"/>
      <c r="WRU308" s="359"/>
      <c r="WRV308" s="359"/>
      <c r="WRW308" s="359"/>
      <c r="WRX308" s="359"/>
      <c r="WRY308" s="359"/>
      <c r="WRZ308" s="359"/>
      <c r="WSA308" s="359"/>
      <c r="WSB308" s="359"/>
      <c r="WSC308" s="359"/>
      <c r="WSD308" s="359"/>
      <c r="WSE308" s="359"/>
      <c r="WSF308" s="359"/>
      <c r="WSG308" s="359"/>
      <c r="WSH308" s="359"/>
      <c r="WSI308" s="359"/>
      <c r="WSJ308" s="359"/>
      <c r="WSK308" s="359"/>
      <c r="WSL308" s="359"/>
      <c r="WSM308" s="359"/>
      <c r="WSN308" s="359"/>
      <c r="WSO308" s="359"/>
      <c r="WSP308" s="359"/>
      <c r="WSQ308" s="359"/>
      <c r="WSR308" s="359"/>
      <c r="WSS308" s="359"/>
      <c r="WST308" s="359"/>
      <c r="WSU308" s="359"/>
      <c r="WSV308" s="359"/>
      <c r="WSW308" s="359"/>
      <c r="WSX308" s="359"/>
      <c r="WSY308" s="359"/>
      <c r="WSZ308" s="359"/>
      <c r="WTA308" s="359"/>
      <c r="WTB308" s="359"/>
      <c r="WTC308" s="359"/>
      <c r="WTD308" s="359"/>
      <c r="WTE308" s="359"/>
      <c r="WTF308" s="359"/>
      <c r="WTG308" s="359"/>
      <c r="WTH308" s="359"/>
      <c r="WTI308" s="359"/>
      <c r="WTJ308" s="359"/>
      <c r="WTK308" s="359"/>
      <c r="WTL308" s="359"/>
      <c r="WTM308" s="359"/>
      <c r="WTN308" s="359"/>
      <c r="WTO308" s="359"/>
      <c r="WTP308" s="359"/>
      <c r="WTQ308" s="359"/>
      <c r="WTR308" s="359"/>
      <c r="WTS308" s="359"/>
      <c r="WTT308" s="359"/>
      <c r="WTU308" s="359"/>
      <c r="WTV308" s="359"/>
      <c r="WTW308" s="359"/>
      <c r="WTX308" s="359"/>
      <c r="WTY308" s="359"/>
      <c r="WTZ308" s="359"/>
      <c r="WUA308" s="359"/>
      <c r="WUB308" s="359"/>
      <c r="WUC308" s="359"/>
      <c r="WUD308" s="359"/>
      <c r="WUE308" s="359"/>
      <c r="WUF308" s="359"/>
      <c r="WUG308" s="359"/>
      <c r="WUH308" s="359"/>
      <c r="WUI308" s="359"/>
      <c r="WUJ308" s="359"/>
      <c r="WUK308" s="359"/>
      <c r="WUL308" s="359"/>
      <c r="WUM308" s="359"/>
      <c r="WUN308" s="359"/>
      <c r="WUO308" s="359"/>
      <c r="WUP308" s="359"/>
      <c r="WUQ308" s="359"/>
      <c r="WUR308" s="359"/>
      <c r="WUS308" s="359"/>
      <c r="WUT308" s="359"/>
      <c r="WUU308" s="359"/>
      <c r="WUV308" s="359"/>
      <c r="WUW308" s="359"/>
      <c r="WUX308" s="359"/>
      <c r="WUY308" s="359"/>
      <c r="WUZ308" s="359"/>
      <c r="WVA308" s="359"/>
      <c r="WVB308" s="359"/>
      <c r="WVC308" s="359"/>
      <c r="WVD308" s="359"/>
      <c r="WVE308" s="359"/>
      <c r="WVF308" s="359"/>
      <c r="WVG308" s="359"/>
      <c r="WVH308" s="359"/>
      <c r="WVI308" s="359"/>
      <c r="WVJ308" s="359"/>
      <c r="WVK308" s="359"/>
      <c r="WVL308" s="359"/>
      <c r="WVM308" s="359"/>
      <c r="WVN308" s="359"/>
      <c r="WVO308" s="359"/>
      <c r="WVP308" s="359"/>
      <c r="WVQ308" s="359"/>
      <c r="WVR308" s="359"/>
      <c r="WVS308" s="359"/>
      <c r="WVT308" s="359"/>
      <c r="WVU308" s="359"/>
      <c r="WVV308" s="359"/>
      <c r="WVW308" s="359"/>
      <c r="WVX308" s="359"/>
      <c r="WVY308" s="359"/>
      <c r="WVZ308" s="359"/>
      <c r="WWA308" s="359"/>
      <c r="WWB308" s="359"/>
      <c r="WWC308" s="359"/>
      <c r="WWD308" s="359"/>
      <c r="WWE308" s="359"/>
      <c r="WWF308" s="359"/>
      <c r="WWG308" s="359"/>
      <c r="WWH308" s="359"/>
      <c r="WWI308" s="359"/>
      <c r="WWJ308" s="359"/>
      <c r="WWK308" s="359"/>
      <c r="WWL308" s="359"/>
      <c r="WWM308" s="359"/>
      <c r="WWN308" s="359"/>
      <c r="WWO308" s="359"/>
      <c r="WWP308" s="359"/>
      <c r="WWQ308" s="359"/>
      <c r="WWR308" s="359"/>
      <c r="WWS308" s="359"/>
      <c r="WWT308" s="359"/>
      <c r="WWU308" s="359"/>
      <c r="WWV308" s="359"/>
      <c r="WWW308" s="359"/>
      <c r="WWX308" s="359"/>
      <c r="WWY308" s="359"/>
      <c r="WWZ308" s="359"/>
      <c r="WXA308" s="359"/>
      <c r="WXB308" s="359"/>
      <c r="WXC308" s="359"/>
      <c r="WXD308" s="359"/>
      <c r="WXE308" s="359"/>
      <c r="WXF308" s="359"/>
      <c r="WXG308" s="359"/>
      <c r="WXH308" s="359"/>
      <c r="WXI308" s="359"/>
      <c r="WXJ308" s="359"/>
      <c r="WXK308" s="359"/>
      <c r="WXL308" s="359"/>
      <c r="WXM308" s="359"/>
      <c r="WXN308" s="359"/>
      <c r="WXO308" s="359"/>
      <c r="WXP308" s="359"/>
      <c r="WXQ308" s="359"/>
      <c r="WXR308" s="359"/>
      <c r="WXS308" s="359"/>
      <c r="WXT308" s="359"/>
      <c r="WXU308" s="359"/>
      <c r="WXV308" s="359"/>
      <c r="WXW308" s="359"/>
      <c r="WXX308" s="359"/>
      <c r="WXY308" s="359"/>
      <c r="WXZ308" s="359"/>
      <c r="WYA308" s="359"/>
      <c r="WYB308" s="359"/>
      <c r="WYC308" s="359"/>
      <c r="WYD308" s="359"/>
      <c r="WYE308" s="359"/>
      <c r="WYF308" s="359"/>
      <c r="WYG308" s="359"/>
      <c r="WYH308" s="359"/>
      <c r="WYI308" s="359"/>
      <c r="WYJ308" s="359"/>
      <c r="WYK308" s="359"/>
      <c r="WYL308" s="359"/>
      <c r="WYM308" s="359"/>
      <c r="WYN308" s="359"/>
      <c r="WYO308" s="359"/>
      <c r="WYP308" s="359"/>
      <c r="WYQ308" s="359"/>
      <c r="WYR308" s="359"/>
      <c r="WYS308" s="359"/>
      <c r="WYT308" s="359"/>
      <c r="WYU308" s="359"/>
      <c r="WYV308" s="359"/>
      <c r="WYW308" s="359"/>
      <c r="WYX308" s="359"/>
      <c r="WYY308" s="359"/>
      <c r="WYZ308" s="359"/>
      <c r="WZA308" s="359"/>
      <c r="WZB308" s="359"/>
      <c r="WZC308" s="359"/>
      <c r="WZD308" s="359"/>
      <c r="WZE308" s="359"/>
      <c r="WZF308" s="359"/>
      <c r="WZG308" s="359"/>
      <c r="WZH308" s="359"/>
      <c r="WZI308" s="359"/>
      <c r="WZJ308" s="359"/>
      <c r="WZK308" s="359"/>
      <c r="WZL308" s="359"/>
      <c r="WZM308" s="359"/>
      <c r="WZN308" s="359"/>
      <c r="WZO308" s="359"/>
      <c r="WZP308" s="359"/>
      <c r="WZQ308" s="359"/>
      <c r="WZR308" s="359"/>
      <c r="WZS308" s="359"/>
      <c r="WZT308" s="359"/>
      <c r="WZU308" s="359"/>
      <c r="WZV308" s="359"/>
      <c r="WZW308" s="359"/>
      <c r="WZX308" s="359"/>
      <c r="WZY308" s="359"/>
      <c r="WZZ308" s="359"/>
      <c r="XAA308" s="359"/>
      <c r="XAB308" s="359"/>
      <c r="XAC308" s="359"/>
      <c r="XAD308" s="359"/>
      <c r="XAE308" s="359"/>
      <c r="XAF308" s="359"/>
      <c r="XAG308" s="359"/>
      <c r="XAH308" s="359"/>
      <c r="XAI308" s="359"/>
      <c r="XAJ308" s="359"/>
      <c r="XAK308" s="359"/>
      <c r="XAL308" s="359"/>
      <c r="XAM308" s="359"/>
      <c r="XAN308" s="359"/>
      <c r="XAO308" s="359"/>
      <c r="XAP308" s="359"/>
      <c r="XAQ308" s="359"/>
      <c r="XAR308" s="359"/>
      <c r="XAS308" s="359"/>
      <c r="XAT308" s="359"/>
      <c r="XAU308" s="359"/>
      <c r="XAV308" s="359"/>
      <c r="XAW308" s="359"/>
      <c r="XAX308" s="359"/>
      <c r="XAY308" s="359"/>
      <c r="XAZ308" s="359"/>
      <c r="XBA308" s="359"/>
      <c r="XBB308" s="359"/>
      <c r="XBC308" s="359"/>
      <c r="XBD308" s="359"/>
      <c r="XBE308" s="359"/>
      <c r="XBF308" s="359"/>
      <c r="XBG308" s="359"/>
      <c r="XBH308" s="359"/>
      <c r="XBI308" s="359"/>
      <c r="XBJ308" s="359"/>
      <c r="XBK308" s="359"/>
      <c r="XBL308" s="359"/>
      <c r="XBM308" s="359"/>
      <c r="XBN308" s="359"/>
      <c r="XBO308" s="359"/>
      <c r="XBP308" s="359"/>
      <c r="XBQ308" s="359"/>
      <c r="XBR308" s="359"/>
      <c r="XBS308" s="359"/>
      <c r="XBT308" s="359"/>
      <c r="XBU308" s="359"/>
      <c r="XBV308" s="359"/>
      <c r="XBW308" s="359"/>
      <c r="XBX308" s="359"/>
      <c r="XBY308" s="359"/>
      <c r="XBZ308" s="359"/>
      <c r="XCA308" s="359"/>
      <c r="XCB308" s="359"/>
      <c r="XCC308" s="359"/>
      <c r="XCD308" s="359"/>
      <c r="XCE308" s="359"/>
      <c r="XCF308" s="359"/>
      <c r="XCG308" s="359"/>
      <c r="XCH308" s="359"/>
      <c r="XCI308" s="359"/>
      <c r="XCJ308" s="359"/>
      <c r="XCK308" s="359"/>
      <c r="XCL308" s="359"/>
      <c r="XCM308" s="359"/>
      <c r="XCN308" s="359"/>
      <c r="XCO308" s="359"/>
      <c r="XCP308" s="359"/>
      <c r="XCQ308" s="359"/>
      <c r="XCR308" s="359"/>
      <c r="XCS308" s="359"/>
      <c r="XCT308" s="359"/>
      <c r="XCU308" s="359"/>
      <c r="XCV308" s="359"/>
      <c r="XCW308" s="359"/>
      <c r="XCX308" s="359"/>
      <c r="XCY308" s="359"/>
      <c r="XCZ308" s="359"/>
      <c r="XDA308" s="359"/>
      <c r="XDB308" s="359"/>
      <c r="XDC308" s="359"/>
      <c r="XDD308" s="359"/>
      <c r="XDE308" s="359"/>
      <c r="XDF308" s="359"/>
      <c r="XDG308" s="359"/>
      <c r="XDH308" s="359"/>
      <c r="XDI308" s="359"/>
      <c r="XDJ308" s="359"/>
      <c r="XDK308" s="359"/>
      <c r="XDL308" s="359"/>
      <c r="XDM308" s="359"/>
      <c r="XDN308" s="359"/>
      <c r="XDO308" s="359"/>
      <c r="XDP308" s="359"/>
      <c r="XDQ308" s="359"/>
      <c r="XDR308" s="359"/>
      <c r="XDS308" s="359"/>
      <c r="XDT308" s="359"/>
      <c r="XDU308" s="359"/>
      <c r="XDV308" s="359"/>
      <c r="XDW308" s="359"/>
      <c r="XDX308" s="359"/>
      <c r="XDY308" s="359"/>
      <c r="XDZ308" s="359"/>
      <c r="XEA308" s="359"/>
      <c r="XEB308" s="359"/>
      <c r="XEC308" s="359"/>
      <c r="XED308" s="359"/>
      <c r="XEE308" s="359"/>
      <c r="XEF308" s="359"/>
      <c r="XEG308" s="359"/>
      <c r="XEH308" s="359"/>
      <c r="XEI308" s="359"/>
      <c r="XEJ308" s="590"/>
      <c r="XEK308" s="722"/>
      <c r="XEL308" s="723"/>
      <c r="XEM308" s="722"/>
      <c r="XEN308" s="722"/>
      <c r="XEO308" s="722"/>
      <c r="XEP308" s="722"/>
      <c r="XEQ308" s="724"/>
      <c r="XER308" s="725"/>
      <c r="XES308" s="724"/>
      <c r="XET308" s="724"/>
      <c r="XEU308" s="724"/>
    </row>
    <row r="309" spans="1:16375" s="1381" customFormat="1" ht="43.2" x14ac:dyDescent="0.3">
      <c r="A309" s="1381" t="s">
        <v>264</v>
      </c>
      <c r="B309" s="1370" t="s">
        <v>265</v>
      </c>
      <c r="C309" s="1713" t="s">
        <v>3918</v>
      </c>
      <c r="D309" s="1370" t="s">
        <v>34</v>
      </c>
      <c r="E309" s="1370">
        <v>24</v>
      </c>
      <c r="F309" s="1370"/>
      <c r="G309" s="1370"/>
      <c r="H309" s="1401">
        <v>26104.42</v>
      </c>
      <c r="I309" s="1723" t="s">
        <v>267</v>
      </c>
      <c r="J309" s="1401">
        <v>26104.42</v>
      </c>
      <c r="K309" s="1401">
        <v>26104.42</v>
      </c>
      <c r="L309" s="1401">
        <v>26104.42</v>
      </c>
      <c r="M309" s="1715" t="s">
        <v>40</v>
      </c>
      <c r="N309" s="1724" t="s">
        <v>40</v>
      </c>
      <c r="O309" s="1725" t="s">
        <v>34</v>
      </c>
      <c r="P309" s="1718" t="s">
        <v>40</v>
      </c>
      <c r="Q309" s="1370"/>
      <c r="R309" s="1719" t="s">
        <v>40</v>
      </c>
      <c r="S309" s="1726"/>
      <c r="T309" s="1414" t="s">
        <v>40</v>
      </c>
      <c r="U309" s="1414"/>
      <c r="V309" s="1414" t="s">
        <v>64</v>
      </c>
      <c r="W309" s="1414"/>
      <c r="X309" s="1414" t="s">
        <v>64</v>
      </c>
      <c r="Y309" s="1592"/>
      <c r="Z309" s="1381" t="s">
        <v>40</v>
      </c>
      <c r="AB309" s="1381" t="s">
        <v>64</v>
      </c>
      <c r="AD309" s="1381" t="s">
        <v>3919</v>
      </c>
      <c r="AE309" s="1727" t="s">
        <v>3920</v>
      </c>
      <c r="AH309" s="1728">
        <v>130000</v>
      </c>
      <c r="AI309" s="1414" t="s">
        <v>3921</v>
      </c>
      <c r="AJ309" s="1414" t="s">
        <v>3922</v>
      </c>
      <c r="AK309" s="1592" t="s">
        <v>43</v>
      </c>
      <c r="AN309" s="1728"/>
      <c r="AO309" s="1414"/>
      <c r="AP309" s="1414"/>
      <c r="AQ309" s="1414"/>
      <c r="AR309" s="1414"/>
      <c r="AS309" s="1414"/>
      <c r="AT309" s="1592"/>
      <c r="XEK309" s="1370"/>
      <c r="XEL309" s="1713"/>
      <c r="XEM309" s="1370"/>
      <c r="XEN309" s="1370"/>
      <c r="XEO309" s="1370"/>
      <c r="XEP309" s="1370"/>
      <c r="XEQ309" s="1401"/>
      <c r="XER309" s="1723"/>
      <c r="XES309" s="1401"/>
      <c r="XET309" s="1401"/>
      <c r="XEU309" s="1401"/>
    </row>
    <row r="310" spans="1:16375" s="1381" customFormat="1" ht="43.2" x14ac:dyDescent="0.3">
      <c r="A310" s="1381" t="s">
        <v>264</v>
      </c>
      <c r="B310" s="1370" t="s">
        <v>265</v>
      </c>
      <c r="C310" s="1713" t="s">
        <v>3923</v>
      </c>
      <c r="D310" s="1370" t="s">
        <v>34</v>
      </c>
      <c r="E310" s="1370">
        <v>24</v>
      </c>
      <c r="F310" s="1370"/>
      <c r="G310" s="1370"/>
      <c r="H310" s="1401">
        <v>240963.86</v>
      </c>
      <c r="I310" s="1723" t="s">
        <v>267</v>
      </c>
      <c r="J310" s="1401">
        <v>240963.86</v>
      </c>
      <c r="K310" s="1401">
        <v>240963.86</v>
      </c>
      <c r="L310" s="1401">
        <v>240963.86</v>
      </c>
      <c r="M310" s="1715" t="s">
        <v>40</v>
      </c>
      <c r="N310" s="1724" t="s">
        <v>40</v>
      </c>
      <c r="O310" s="1725" t="s">
        <v>34</v>
      </c>
      <c r="P310" s="1718" t="s">
        <v>40</v>
      </c>
      <c r="Q310" s="1370"/>
      <c r="R310" s="1719" t="s">
        <v>40</v>
      </c>
      <c r="S310" s="1726"/>
      <c r="T310" s="1414" t="s">
        <v>40</v>
      </c>
      <c r="U310" s="1414"/>
      <c r="V310" s="1414" t="s">
        <v>3924</v>
      </c>
      <c r="W310" s="1414"/>
      <c r="X310" s="1414" t="s">
        <v>64</v>
      </c>
      <c r="Y310" s="1592"/>
      <c r="Z310" s="1381" t="s">
        <v>40</v>
      </c>
      <c r="AB310" s="1381" t="s">
        <v>64</v>
      </c>
      <c r="AD310" s="1381" t="s">
        <v>3925</v>
      </c>
      <c r="AE310" s="1727" t="s">
        <v>3926</v>
      </c>
      <c r="AH310" s="1728">
        <v>1200000</v>
      </c>
      <c r="AI310" s="1414" t="s">
        <v>3927</v>
      </c>
      <c r="AJ310" s="1414" t="s">
        <v>3928</v>
      </c>
      <c r="AK310" s="1592"/>
      <c r="AN310" s="1728"/>
      <c r="AO310" s="1414"/>
      <c r="AP310" s="1414"/>
      <c r="AQ310" s="1414"/>
      <c r="AR310" s="1414"/>
      <c r="AS310" s="1414"/>
      <c r="AT310" s="1592"/>
      <c r="XEK310" s="1370"/>
      <c r="XEL310" s="1713"/>
      <c r="XEM310" s="1370"/>
      <c r="XEN310" s="1370"/>
      <c r="XEO310" s="1370"/>
      <c r="XEP310" s="1370"/>
      <c r="XEQ310" s="1401"/>
      <c r="XER310" s="1723"/>
      <c r="XES310" s="1401"/>
      <c r="XET310" s="1401"/>
      <c r="XEU310" s="1401"/>
    </row>
    <row r="311" spans="1:16375" s="138" customFormat="1" ht="28.8" x14ac:dyDescent="0.3">
      <c r="A311" s="102" t="s">
        <v>264</v>
      </c>
      <c r="B311" s="223" t="s">
        <v>265</v>
      </c>
      <c r="C311" s="732" t="s">
        <v>270</v>
      </c>
      <c r="D311" s="166" t="s">
        <v>34</v>
      </c>
      <c r="E311" s="166">
        <v>24</v>
      </c>
      <c r="F311" s="166"/>
      <c r="G311" s="166"/>
      <c r="H311" s="425">
        <v>336345.38</v>
      </c>
      <c r="I311" s="170" t="s">
        <v>267</v>
      </c>
      <c r="J311" s="425">
        <v>336345.38</v>
      </c>
      <c r="K311" s="1605">
        <v>336345.38699999999</v>
      </c>
      <c r="L311" s="1605">
        <v>336345.39</v>
      </c>
      <c r="M311" s="175" t="s">
        <v>40</v>
      </c>
      <c r="N311" s="175" t="s">
        <v>40</v>
      </c>
      <c r="O311" s="175" t="s">
        <v>34</v>
      </c>
      <c r="P311" s="175" t="s">
        <v>40</v>
      </c>
      <c r="Q311" s="174"/>
      <c r="R311" s="175" t="s">
        <v>40</v>
      </c>
      <c r="S311" s="174"/>
      <c r="T311" s="175" t="s">
        <v>40</v>
      </c>
      <c r="U311" s="174"/>
      <c r="V311" s="175" t="s">
        <v>3929</v>
      </c>
      <c r="W311" s="174"/>
      <c r="X311" s="175" t="s">
        <v>64</v>
      </c>
      <c r="Y311" s="174"/>
      <c r="Z311" s="175" t="s">
        <v>40</v>
      </c>
      <c r="AA311" s="174"/>
      <c r="AB311" s="175" t="s">
        <v>64</v>
      </c>
      <c r="AC311" s="174"/>
      <c r="AD311" s="1729" t="s">
        <v>3930</v>
      </c>
      <c r="AE311" s="1730" t="s">
        <v>206</v>
      </c>
      <c r="AF311" s="1731" t="s">
        <v>42</v>
      </c>
      <c r="AG311" s="1732">
        <v>2023</v>
      </c>
      <c r="AH311" s="1715">
        <v>1675000</v>
      </c>
      <c r="AI311" s="1733">
        <v>14151658</v>
      </c>
      <c r="AJ311" s="1717" t="s">
        <v>3931</v>
      </c>
      <c r="AK311" s="1734" t="s">
        <v>43</v>
      </c>
      <c r="AL311" s="1735" t="s">
        <v>41</v>
      </c>
      <c r="AM311" s="1719">
        <v>0</v>
      </c>
      <c r="AN311" s="182" t="s">
        <v>40</v>
      </c>
      <c r="AO311" s="104"/>
      <c r="AP311" s="104"/>
      <c r="AQ311" s="104"/>
      <c r="AR311" s="104"/>
      <c r="AS311" s="104"/>
      <c r="AT311" s="358"/>
      <c r="AU311" s="102"/>
      <c r="AV311" s="102"/>
      <c r="AW311" s="102"/>
      <c r="AX311" s="102"/>
      <c r="AY311" s="102"/>
      <c r="AZ311" s="102"/>
      <c r="BA311" s="102"/>
      <c r="BB311" s="102"/>
      <c r="BC311" s="102"/>
      <c r="BD311" s="102"/>
      <c r="BE311" s="102"/>
      <c r="BF311" s="102"/>
      <c r="BG311" s="102"/>
      <c r="BH311" s="102"/>
      <c r="BI311" s="102"/>
      <c r="BJ311" s="102"/>
      <c r="BK311" s="102"/>
      <c r="BL311" s="102"/>
      <c r="BM311" s="102"/>
      <c r="BN311" s="102"/>
      <c r="BO311" s="102"/>
      <c r="BP311" s="102"/>
      <c r="BQ311" s="102"/>
      <c r="BR311" s="102"/>
      <c r="BS311" s="102"/>
      <c r="BT311" s="102"/>
      <c r="BU311" s="102"/>
      <c r="BV311" s="102"/>
      <c r="BW311" s="102"/>
      <c r="BX311" s="102"/>
      <c r="BY311" s="102"/>
      <c r="BZ311" s="102"/>
      <c r="CA311" s="102"/>
      <c r="CB311" s="102"/>
      <c r="CC311" s="102"/>
      <c r="CD311" s="102"/>
      <c r="CE311" s="102"/>
      <c r="CF311" s="102"/>
      <c r="CG311" s="102"/>
      <c r="CH311" s="102"/>
      <c r="CI311" s="102"/>
      <c r="CJ311" s="102"/>
      <c r="CK311" s="102"/>
      <c r="CL311" s="102"/>
      <c r="CM311" s="102"/>
      <c r="CN311" s="102"/>
      <c r="CO311" s="102"/>
      <c r="CP311" s="102"/>
      <c r="CQ311" s="102"/>
      <c r="CR311" s="102"/>
      <c r="CS311" s="102"/>
      <c r="CT311" s="102"/>
      <c r="CU311" s="102"/>
      <c r="CV311" s="102"/>
      <c r="CW311" s="102"/>
      <c r="CX311" s="102"/>
      <c r="CY311" s="102"/>
      <c r="CZ311" s="102"/>
      <c r="DA311" s="102"/>
      <c r="DB311" s="102"/>
      <c r="DC311" s="102"/>
      <c r="DD311" s="102"/>
      <c r="DE311" s="102"/>
      <c r="DF311" s="102"/>
      <c r="DG311" s="102"/>
      <c r="DH311" s="102"/>
      <c r="DI311" s="102"/>
      <c r="DJ311" s="102"/>
      <c r="DK311" s="102"/>
      <c r="DL311" s="102"/>
      <c r="DM311" s="102"/>
      <c r="DN311" s="102"/>
      <c r="DO311" s="102"/>
      <c r="DP311" s="102"/>
      <c r="DQ311" s="102"/>
      <c r="DR311" s="102"/>
      <c r="DS311" s="102"/>
      <c r="DT311" s="102"/>
      <c r="DU311" s="102"/>
      <c r="DV311" s="102"/>
      <c r="DW311" s="102"/>
      <c r="DX311" s="102"/>
      <c r="DY311" s="102"/>
    </row>
    <row r="312" spans="1:16375" s="138" customFormat="1" ht="43.2" x14ac:dyDescent="0.3">
      <c r="A312" s="102" t="s">
        <v>264</v>
      </c>
      <c r="B312" s="223" t="s">
        <v>265</v>
      </c>
      <c r="C312" s="732" t="s">
        <v>271</v>
      </c>
      <c r="D312" s="166" t="s">
        <v>3932</v>
      </c>
      <c r="E312" s="166">
        <v>24</v>
      </c>
      <c r="F312" s="166"/>
      <c r="G312" s="166"/>
      <c r="H312" s="425">
        <v>28313.25</v>
      </c>
      <c r="I312" s="170" t="s">
        <v>267</v>
      </c>
      <c r="J312" s="425">
        <v>28313.25</v>
      </c>
      <c r="K312" s="1605">
        <v>25903.61</v>
      </c>
      <c r="L312" s="1605">
        <v>25903.61</v>
      </c>
      <c r="M312" s="175" t="s">
        <v>40</v>
      </c>
      <c r="N312" s="175" t="s">
        <v>40</v>
      </c>
      <c r="O312" s="175" t="s">
        <v>34</v>
      </c>
      <c r="P312" s="175" t="s">
        <v>40</v>
      </c>
      <c r="Q312" s="174"/>
      <c r="R312" s="175" t="s">
        <v>40</v>
      </c>
      <c r="S312" s="174"/>
      <c r="T312" s="175" t="s">
        <v>40</v>
      </c>
      <c r="U312" s="174"/>
      <c r="V312" s="175" t="s">
        <v>64</v>
      </c>
      <c r="W312" s="174"/>
      <c r="X312" s="175" t="s">
        <v>64</v>
      </c>
      <c r="Y312" s="174"/>
      <c r="Z312" s="175" t="s">
        <v>40</v>
      </c>
      <c r="AA312" s="174"/>
      <c r="AB312" s="175" t="s">
        <v>64</v>
      </c>
      <c r="AC312" s="174"/>
      <c r="AD312" s="1729" t="s">
        <v>3933</v>
      </c>
      <c r="AE312" s="1730" t="s">
        <v>3934</v>
      </c>
      <c r="AF312" s="1731" t="s">
        <v>42</v>
      </c>
      <c r="AG312" s="1732">
        <v>2023</v>
      </c>
      <c r="AH312" s="1715">
        <v>141000</v>
      </c>
      <c r="AI312" s="1733" t="s">
        <v>272</v>
      </c>
      <c r="AJ312" s="1717" t="s">
        <v>3922</v>
      </c>
      <c r="AK312" s="1734" t="s">
        <v>43</v>
      </c>
      <c r="AL312" s="1735" t="s">
        <v>41</v>
      </c>
      <c r="AM312" s="1719">
        <v>0</v>
      </c>
      <c r="AN312" s="182" t="s">
        <v>40</v>
      </c>
      <c r="AO312" s="104"/>
      <c r="AP312" s="104"/>
      <c r="AQ312" s="104"/>
      <c r="AR312" s="104"/>
      <c r="AS312" s="104"/>
      <c r="AT312" s="358"/>
      <c r="AU312" s="102"/>
      <c r="AV312" s="102"/>
      <c r="AW312" s="102"/>
      <c r="AX312" s="102"/>
      <c r="AY312" s="102"/>
      <c r="AZ312" s="102"/>
      <c r="BA312" s="102"/>
      <c r="BB312" s="102"/>
      <c r="BC312" s="102"/>
      <c r="BD312" s="102"/>
      <c r="BE312" s="102"/>
      <c r="BF312" s="102"/>
      <c r="BG312" s="102"/>
      <c r="BH312" s="102"/>
      <c r="BI312" s="102"/>
      <c r="BJ312" s="102"/>
      <c r="BK312" s="102"/>
      <c r="BL312" s="102"/>
      <c r="BM312" s="102"/>
      <c r="BN312" s="102"/>
      <c r="BO312" s="102"/>
      <c r="BP312" s="102"/>
      <c r="BQ312" s="102"/>
      <c r="BR312" s="102"/>
      <c r="BS312" s="102"/>
      <c r="BT312" s="102"/>
      <c r="BU312" s="102"/>
      <c r="BV312" s="102"/>
      <c r="BW312" s="102"/>
      <c r="BX312" s="102"/>
      <c r="BY312" s="102"/>
      <c r="BZ312" s="102"/>
      <c r="CA312" s="102"/>
      <c r="CB312" s="102"/>
      <c r="CC312" s="102"/>
      <c r="CD312" s="102"/>
      <c r="CE312" s="102"/>
      <c r="CF312" s="102"/>
      <c r="CG312" s="102"/>
      <c r="CH312" s="102"/>
      <c r="CI312" s="102"/>
      <c r="CJ312" s="102"/>
      <c r="CK312" s="102"/>
      <c r="CL312" s="102"/>
      <c r="CM312" s="102"/>
      <c r="CN312" s="102"/>
      <c r="CO312" s="102"/>
      <c r="CP312" s="102"/>
      <c r="CQ312" s="102"/>
      <c r="CR312" s="102"/>
      <c r="CS312" s="102"/>
      <c r="CT312" s="102"/>
      <c r="CU312" s="102"/>
      <c r="CV312" s="102"/>
      <c r="CW312" s="102"/>
      <c r="CX312" s="102"/>
      <c r="CY312" s="102"/>
      <c r="CZ312" s="102"/>
      <c r="DA312" s="102"/>
      <c r="DB312" s="102"/>
      <c r="DC312" s="102"/>
      <c r="DD312" s="102"/>
      <c r="DE312" s="102"/>
      <c r="DF312" s="102"/>
      <c r="DG312" s="102"/>
      <c r="DH312" s="102"/>
      <c r="DI312" s="102"/>
      <c r="DJ312" s="102"/>
      <c r="DK312" s="102"/>
      <c r="DL312" s="102"/>
      <c r="DM312" s="102"/>
      <c r="DN312" s="102"/>
      <c r="DO312" s="102"/>
      <c r="DP312" s="102"/>
      <c r="DQ312" s="102"/>
      <c r="DR312" s="102"/>
      <c r="DS312" s="102"/>
      <c r="DT312" s="102"/>
      <c r="DU312" s="102"/>
      <c r="DV312" s="102"/>
      <c r="DW312" s="102"/>
      <c r="DX312" s="102"/>
      <c r="DY312" s="102"/>
    </row>
    <row r="313" spans="1:16375" s="138" customFormat="1" ht="43.2" x14ac:dyDescent="0.3">
      <c r="A313" s="102" t="s">
        <v>264</v>
      </c>
      <c r="B313" s="223" t="s">
        <v>265</v>
      </c>
      <c r="C313" s="732" t="s">
        <v>273</v>
      </c>
      <c r="D313" s="166" t="s">
        <v>34</v>
      </c>
      <c r="E313" s="166">
        <v>24</v>
      </c>
      <c r="F313" s="166"/>
      <c r="G313" s="166"/>
      <c r="H313" s="425">
        <v>34738.955000000002</v>
      </c>
      <c r="I313" s="170" t="s">
        <v>267</v>
      </c>
      <c r="J313" s="425">
        <v>34738.955000000002</v>
      </c>
      <c r="K313" s="1605">
        <v>34738.959999999999</v>
      </c>
      <c r="L313" s="1605">
        <v>34738.959999999999</v>
      </c>
      <c r="M313" s="175" t="s">
        <v>40</v>
      </c>
      <c r="N313" s="175" t="s">
        <v>40</v>
      </c>
      <c r="O313" s="175" t="s">
        <v>34</v>
      </c>
      <c r="P313" s="175" t="s">
        <v>40</v>
      </c>
      <c r="Q313" s="174"/>
      <c r="R313" s="175" t="s">
        <v>40</v>
      </c>
      <c r="S313" s="174"/>
      <c r="T313" s="175" t="s">
        <v>40</v>
      </c>
      <c r="U313" s="174"/>
      <c r="V313" s="175" t="s">
        <v>64</v>
      </c>
      <c r="W313" s="174"/>
      <c r="X313" s="175" t="s">
        <v>64</v>
      </c>
      <c r="Y313" s="174"/>
      <c r="Z313" s="175" t="s">
        <v>40</v>
      </c>
      <c r="AA313" s="174"/>
      <c r="AB313" s="175" t="s">
        <v>64</v>
      </c>
      <c r="AC313" s="174"/>
      <c r="AD313" s="1729" t="s">
        <v>3935</v>
      </c>
      <c r="AE313" s="1730" t="s">
        <v>3936</v>
      </c>
      <c r="AF313" s="1731" t="s">
        <v>42</v>
      </c>
      <c r="AG313" s="1732">
        <v>2023</v>
      </c>
      <c r="AH313" s="1715">
        <v>173000</v>
      </c>
      <c r="AI313" s="1733" t="s">
        <v>272</v>
      </c>
      <c r="AJ313" s="1717" t="s">
        <v>3922</v>
      </c>
      <c r="AK313" s="1734" t="s">
        <v>43</v>
      </c>
      <c r="AL313" s="1735" t="s">
        <v>41</v>
      </c>
      <c r="AM313" s="1719">
        <v>0</v>
      </c>
      <c r="AN313" s="182" t="s">
        <v>40</v>
      </c>
      <c r="AO313" s="104"/>
      <c r="AP313" s="104"/>
      <c r="AQ313" s="104"/>
      <c r="AR313" s="104"/>
      <c r="AS313" s="104"/>
      <c r="AT313" s="358"/>
      <c r="AU313" s="102"/>
      <c r="AV313" s="102"/>
      <c r="AW313" s="102"/>
      <c r="AX313" s="102"/>
      <c r="AY313" s="102"/>
      <c r="AZ313" s="102"/>
      <c r="BA313" s="102"/>
      <c r="BB313" s="102"/>
      <c r="BC313" s="102"/>
      <c r="BD313" s="102"/>
      <c r="BE313" s="102"/>
      <c r="BF313" s="102"/>
      <c r="BG313" s="102"/>
      <c r="BH313" s="102"/>
      <c r="BI313" s="102"/>
      <c r="BJ313" s="102"/>
      <c r="BK313" s="102"/>
      <c r="BL313" s="102"/>
      <c r="BM313" s="102"/>
      <c r="BN313" s="102"/>
      <c r="BO313" s="102"/>
      <c r="BP313" s="102"/>
      <c r="BQ313" s="102"/>
      <c r="BR313" s="102"/>
      <c r="BS313" s="102"/>
      <c r="BT313" s="102"/>
      <c r="BU313" s="102"/>
      <c r="BV313" s="102"/>
      <c r="BW313" s="102"/>
      <c r="BX313" s="102"/>
      <c r="BY313" s="102"/>
      <c r="BZ313" s="102"/>
      <c r="CA313" s="102"/>
      <c r="CB313" s="102"/>
      <c r="CC313" s="102"/>
      <c r="CD313" s="102"/>
      <c r="CE313" s="102"/>
      <c r="CF313" s="102"/>
      <c r="CG313" s="102"/>
      <c r="CH313" s="102"/>
      <c r="CI313" s="102"/>
      <c r="CJ313" s="102"/>
      <c r="CK313" s="102"/>
      <c r="CL313" s="102"/>
      <c r="CM313" s="102"/>
      <c r="CN313" s="102"/>
      <c r="CO313" s="102"/>
      <c r="CP313" s="102"/>
      <c r="CQ313" s="102"/>
      <c r="CR313" s="102"/>
      <c r="CS313" s="102"/>
      <c r="CT313" s="102"/>
      <c r="CU313" s="102"/>
      <c r="CV313" s="102"/>
      <c r="CW313" s="102"/>
      <c r="CX313" s="102"/>
      <c r="CY313" s="102"/>
      <c r="CZ313" s="102"/>
      <c r="DA313" s="102"/>
      <c r="DB313" s="102"/>
      <c r="DC313" s="102"/>
      <c r="DD313" s="102"/>
      <c r="DE313" s="102"/>
      <c r="DF313" s="102"/>
      <c r="DG313" s="102"/>
      <c r="DH313" s="102"/>
      <c r="DI313" s="102"/>
      <c r="DJ313" s="102"/>
      <c r="DK313" s="102"/>
      <c r="DL313" s="102"/>
      <c r="DM313" s="102"/>
      <c r="DN313" s="102"/>
      <c r="DO313" s="102"/>
      <c r="DP313" s="102"/>
      <c r="DQ313" s="102"/>
      <c r="DR313" s="102"/>
      <c r="DS313" s="102"/>
      <c r="DT313" s="102"/>
      <c r="DU313" s="102"/>
      <c r="DV313" s="102"/>
      <c r="DW313" s="102"/>
      <c r="DX313" s="102"/>
      <c r="DY313" s="102"/>
    </row>
    <row r="314" spans="1:16375" s="365" customFormat="1" ht="28.8" x14ac:dyDescent="0.3">
      <c r="A314" s="365" t="s">
        <v>264</v>
      </c>
      <c r="B314" s="693" t="s">
        <v>45</v>
      </c>
      <c r="C314" s="694" t="s">
        <v>274</v>
      </c>
      <c r="D314" s="693" t="s">
        <v>34</v>
      </c>
      <c r="E314" s="693" t="s">
        <v>275</v>
      </c>
      <c r="F314" s="693" t="s">
        <v>276</v>
      </c>
      <c r="G314" s="693" t="s">
        <v>277</v>
      </c>
      <c r="H314" s="695">
        <v>460880000</v>
      </c>
      <c r="I314" s="696" t="s">
        <v>267</v>
      </c>
      <c r="J314" s="695">
        <f>J315+J529+J605+J607</f>
        <v>79361463.147699505</v>
      </c>
      <c r="K314" s="1602">
        <f>K315+K529+K605+K607</f>
        <v>16009512.606334537</v>
      </c>
      <c r="L314" s="1602">
        <f>L315+L529+L605+L607</f>
        <v>16009512.606334537</v>
      </c>
      <c r="M314" s="697" t="s">
        <v>40</v>
      </c>
      <c r="N314" s="697" t="s">
        <v>40</v>
      </c>
      <c r="O314" s="697" t="s">
        <v>40</v>
      </c>
      <c r="P314" s="697" t="s">
        <v>40</v>
      </c>
      <c r="Q314" s="698"/>
      <c r="R314" s="697" t="s">
        <v>40</v>
      </c>
      <c r="S314" s="698"/>
      <c r="T314" s="697" t="s">
        <v>64</v>
      </c>
      <c r="U314" s="698"/>
      <c r="V314" s="697" t="s">
        <v>40</v>
      </c>
      <c r="W314" s="698"/>
      <c r="X314" s="697" t="s">
        <v>40</v>
      </c>
      <c r="Y314" s="698"/>
      <c r="Z314" s="697"/>
      <c r="AA314" s="698"/>
      <c r="AB314" s="697"/>
      <c r="AC314" s="698"/>
      <c r="AD314" s="698"/>
      <c r="AE314" s="1518">
        <v>46203</v>
      </c>
      <c r="AF314" s="697" t="s">
        <v>278</v>
      </c>
      <c r="AG314" s="733" t="s">
        <v>279</v>
      </c>
      <c r="AH314" s="701">
        <f>AH315+AH530</f>
        <v>148569341.90850702</v>
      </c>
      <c r="AI314" s="702"/>
      <c r="AJ314" s="703"/>
      <c r="AK314" s="704"/>
      <c r="AL314" s="693" t="s">
        <v>41</v>
      </c>
      <c r="AM314" s="705">
        <v>0</v>
      </c>
      <c r="AN314" s="706"/>
      <c r="AO314" s="104"/>
      <c r="AP314" s="104"/>
      <c r="AQ314" s="104"/>
      <c r="AR314" s="104"/>
      <c r="AS314" s="104"/>
      <c r="AT314" s="358"/>
      <c r="AU314" s="102"/>
      <c r="AV314" s="102"/>
      <c r="AW314" s="102"/>
      <c r="AX314" s="102"/>
      <c r="AY314" s="102"/>
      <c r="AZ314" s="102"/>
      <c r="BA314" s="102"/>
      <c r="BB314" s="102"/>
      <c r="BC314" s="102"/>
      <c r="BD314" s="102"/>
      <c r="BE314" s="102"/>
      <c r="BF314" s="102"/>
      <c r="BG314" s="102"/>
      <c r="BH314" s="102"/>
      <c r="BI314" s="102"/>
      <c r="BJ314" s="102"/>
      <c r="BK314" s="102"/>
      <c r="BL314" s="102"/>
      <c r="BM314" s="102"/>
      <c r="BN314" s="102"/>
      <c r="BO314" s="102"/>
      <c r="BP314" s="102"/>
      <c r="BQ314" s="102"/>
      <c r="BR314" s="102"/>
      <c r="BS314" s="102"/>
      <c r="BT314" s="102"/>
      <c r="BU314" s="102"/>
      <c r="BV314" s="102"/>
      <c r="BW314" s="102"/>
      <c r="BX314" s="102"/>
      <c r="BY314" s="102"/>
      <c r="BZ314" s="102"/>
      <c r="CA314" s="102"/>
      <c r="CB314" s="102"/>
      <c r="CC314" s="102"/>
      <c r="CD314" s="102"/>
      <c r="CE314" s="102"/>
      <c r="CF314" s="102"/>
      <c r="CG314" s="102"/>
      <c r="CH314" s="102"/>
      <c r="CI314" s="102"/>
      <c r="CJ314" s="102"/>
      <c r="CK314" s="102"/>
      <c r="CL314" s="102"/>
      <c r="CM314" s="102"/>
      <c r="CN314" s="102"/>
      <c r="CO314" s="102"/>
      <c r="CP314" s="102"/>
      <c r="CQ314" s="102"/>
      <c r="CR314" s="102"/>
      <c r="CS314" s="102"/>
      <c r="CT314" s="102"/>
      <c r="CU314" s="102"/>
      <c r="CV314" s="102"/>
      <c r="CW314" s="102"/>
      <c r="CX314" s="102"/>
      <c r="CY314" s="102"/>
      <c r="CZ314" s="102"/>
      <c r="DA314" s="102"/>
      <c r="DB314" s="102"/>
      <c r="DC314" s="102"/>
      <c r="DD314" s="102"/>
      <c r="DE314" s="102"/>
      <c r="DF314" s="102"/>
      <c r="DG314" s="102"/>
      <c r="DH314" s="102"/>
      <c r="DI314" s="102"/>
      <c r="DJ314" s="102"/>
      <c r="DK314" s="102"/>
      <c r="DL314" s="102"/>
      <c r="DM314" s="102"/>
      <c r="DN314" s="102"/>
      <c r="DO314" s="102"/>
      <c r="DP314" s="102"/>
      <c r="DQ314" s="102"/>
      <c r="DR314" s="102"/>
      <c r="DS314" s="102"/>
      <c r="DT314" s="102"/>
      <c r="DU314" s="102"/>
      <c r="DV314" s="102"/>
      <c r="DW314" s="102"/>
      <c r="DX314" s="102"/>
      <c r="DY314" s="102"/>
    </row>
    <row r="315" spans="1:16375" s="359" customFormat="1" ht="28.8" x14ac:dyDescent="0.3">
      <c r="A315" s="359" t="s">
        <v>264</v>
      </c>
      <c r="B315" s="709" t="s">
        <v>280</v>
      </c>
      <c r="C315" s="708" t="s">
        <v>281</v>
      </c>
      <c r="D315" s="709" t="s">
        <v>34</v>
      </c>
      <c r="E315" s="709" t="s">
        <v>282</v>
      </c>
      <c r="F315" s="709" t="s">
        <v>276</v>
      </c>
      <c r="G315" s="734">
        <f>G316</f>
        <v>2749.4878999999996</v>
      </c>
      <c r="H315" s="710">
        <v>325880000</v>
      </c>
      <c r="I315" s="711" t="s">
        <v>267</v>
      </c>
      <c r="J315" s="710">
        <f>J316</f>
        <v>47017200.68</v>
      </c>
      <c r="K315" s="1603">
        <f>K316</f>
        <v>9600524.9373211935</v>
      </c>
      <c r="L315" s="1603">
        <f>L316</f>
        <v>9600524.9373211935</v>
      </c>
      <c r="M315" s="712" t="s">
        <v>40</v>
      </c>
      <c r="N315" s="712" t="s">
        <v>40</v>
      </c>
      <c r="O315" s="712" t="s">
        <v>40</v>
      </c>
      <c r="P315" s="712" t="s">
        <v>40</v>
      </c>
      <c r="Q315" s="713"/>
      <c r="R315" s="712" t="s">
        <v>64</v>
      </c>
      <c r="S315" s="713"/>
      <c r="T315" s="712" t="s">
        <v>64</v>
      </c>
      <c r="U315" s="713"/>
      <c r="V315" s="712" t="s">
        <v>40</v>
      </c>
      <c r="W315" s="713"/>
      <c r="X315" s="712" t="s">
        <v>40</v>
      </c>
      <c r="Y315" s="713"/>
      <c r="Z315" s="712" t="s">
        <v>64</v>
      </c>
      <c r="AA315" s="713"/>
      <c r="AB315" s="712"/>
      <c r="AC315" s="713"/>
      <c r="AD315" s="713"/>
      <c r="AE315" s="1519">
        <v>46203</v>
      </c>
      <c r="AF315" s="714" t="s">
        <v>278</v>
      </c>
      <c r="AG315" s="715" t="s">
        <v>279</v>
      </c>
      <c r="AH315" s="716">
        <f>AH316</f>
        <v>69719339.498507008</v>
      </c>
      <c r="AI315" s="717"/>
      <c r="AJ315" s="718"/>
      <c r="AK315" s="719"/>
      <c r="AL315" s="709" t="s">
        <v>41</v>
      </c>
      <c r="AM315" s="720">
        <v>0</v>
      </c>
      <c r="AN315" s="721"/>
      <c r="AO315" s="104"/>
      <c r="AP315" s="104"/>
      <c r="AQ315" s="104"/>
      <c r="AR315" s="104"/>
      <c r="AS315" s="104"/>
      <c r="AT315" s="358"/>
      <c r="AU315" s="102"/>
      <c r="AV315" s="102"/>
      <c r="AW315" s="102"/>
      <c r="AX315" s="102"/>
      <c r="AY315" s="102"/>
      <c r="AZ315" s="102"/>
      <c r="BA315" s="102"/>
      <c r="BB315" s="102"/>
      <c r="BC315" s="102"/>
      <c r="BD315" s="102"/>
      <c r="BE315" s="102"/>
      <c r="BF315" s="102"/>
      <c r="BG315" s="102"/>
      <c r="BH315" s="102"/>
      <c r="BI315" s="102"/>
      <c r="BJ315" s="102"/>
      <c r="BK315" s="102"/>
      <c r="BL315" s="102"/>
      <c r="BM315" s="102"/>
      <c r="BN315" s="102"/>
      <c r="BO315" s="102"/>
      <c r="BP315" s="102"/>
      <c r="BQ315" s="102"/>
      <c r="BR315" s="102"/>
      <c r="BS315" s="102"/>
      <c r="BT315" s="102"/>
      <c r="BU315" s="102"/>
      <c r="BV315" s="102"/>
      <c r="BW315" s="102"/>
      <c r="BX315" s="102"/>
      <c r="BY315" s="102"/>
      <c r="BZ315" s="102"/>
      <c r="CA315" s="102"/>
      <c r="CB315" s="102"/>
      <c r="CC315" s="102"/>
      <c r="CD315" s="102"/>
      <c r="CE315" s="102"/>
      <c r="CF315" s="102"/>
      <c r="CG315" s="102"/>
      <c r="CH315" s="102"/>
      <c r="CI315" s="102"/>
      <c r="CJ315" s="102"/>
      <c r="CK315" s="102"/>
      <c r="CL315" s="102"/>
      <c r="CM315" s="102"/>
      <c r="CN315" s="102"/>
      <c r="CO315" s="102"/>
      <c r="CP315" s="102"/>
      <c r="CQ315" s="102"/>
      <c r="CR315" s="102"/>
      <c r="CS315" s="102"/>
      <c r="CT315" s="102"/>
      <c r="CU315" s="102"/>
      <c r="CV315" s="102"/>
      <c r="CW315" s="102"/>
      <c r="CX315" s="102"/>
      <c r="CY315" s="102"/>
      <c r="CZ315" s="102"/>
      <c r="DA315" s="102"/>
      <c r="DB315" s="102"/>
      <c r="DC315" s="102"/>
      <c r="DD315" s="102"/>
      <c r="DE315" s="102"/>
      <c r="DF315" s="102"/>
      <c r="DG315" s="102"/>
      <c r="DH315" s="102"/>
      <c r="DI315" s="102"/>
      <c r="DJ315" s="102"/>
      <c r="DK315" s="102"/>
      <c r="DL315" s="102"/>
      <c r="DM315" s="102"/>
      <c r="DN315" s="102"/>
      <c r="DO315" s="102"/>
      <c r="DP315" s="102"/>
      <c r="DQ315" s="102"/>
      <c r="DR315" s="102"/>
      <c r="DS315" s="102"/>
      <c r="DT315" s="102"/>
      <c r="DU315" s="102"/>
      <c r="DV315" s="102"/>
      <c r="DW315" s="102"/>
      <c r="DX315" s="102"/>
      <c r="DY315" s="102"/>
    </row>
    <row r="316" spans="1:16375" s="359" customFormat="1" ht="25.2" customHeight="1" x14ac:dyDescent="0.3">
      <c r="A316" s="590" t="s">
        <v>264</v>
      </c>
      <c r="B316" s="722" t="s">
        <v>280</v>
      </c>
      <c r="C316" s="723" t="s">
        <v>281</v>
      </c>
      <c r="D316" s="722" t="s">
        <v>34</v>
      </c>
      <c r="E316" s="722"/>
      <c r="F316" s="722"/>
      <c r="G316" s="722">
        <f>SUM(G317:G527)</f>
        <v>2749.4878999999996</v>
      </c>
      <c r="H316" s="724">
        <f>SUM(H317:H527)</f>
        <v>47017200.68</v>
      </c>
      <c r="I316" s="725" t="s">
        <v>267</v>
      </c>
      <c r="J316" s="724">
        <f>SUM(J317:J527)</f>
        <v>47017200.68</v>
      </c>
      <c r="K316" s="1604">
        <f>SUM(K317:K527)</f>
        <v>9600524.9373211935</v>
      </c>
      <c r="L316" s="1604">
        <f>SUM(L317:L528)</f>
        <v>9600524.9373211935</v>
      </c>
      <c r="M316" s="735"/>
      <c r="N316" s="735"/>
      <c r="O316" s="735"/>
      <c r="P316" s="735"/>
      <c r="Q316" s="736"/>
      <c r="R316" s="735"/>
      <c r="S316" s="736"/>
      <c r="T316" s="735"/>
      <c r="U316" s="736"/>
      <c r="V316" s="735"/>
      <c r="W316" s="736"/>
      <c r="X316" s="735"/>
      <c r="Y316" s="736"/>
      <c r="Z316" s="735"/>
      <c r="AA316" s="736"/>
      <c r="AB316" s="735"/>
      <c r="AC316" s="736"/>
      <c r="AD316" s="736"/>
      <c r="AE316" s="1522"/>
      <c r="AF316" s="737"/>
      <c r="AG316" s="738"/>
      <c r="AH316" s="726">
        <f>SUM(AH317:AH415)</f>
        <v>69719339.498507008</v>
      </c>
      <c r="AI316" s="727"/>
      <c r="AJ316" s="728"/>
      <c r="AK316" s="729" t="s">
        <v>43</v>
      </c>
      <c r="AL316" s="722" t="s">
        <v>283</v>
      </c>
      <c r="AM316" s="730"/>
      <c r="AN316" s="731"/>
      <c r="AO316" s="104"/>
      <c r="AP316" s="104"/>
      <c r="AQ316" s="104"/>
      <c r="AR316" s="104"/>
      <c r="AS316" s="104"/>
      <c r="AT316" s="358"/>
      <c r="AU316" s="102"/>
      <c r="AV316" s="102"/>
      <c r="AW316" s="102"/>
      <c r="AX316" s="102"/>
      <c r="AY316" s="102"/>
      <c r="AZ316" s="102"/>
      <c r="BA316" s="102"/>
      <c r="BB316" s="102"/>
      <c r="BC316" s="102"/>
      <c r="BD316" s="102"/>
      <c r="BE316" s="102"/>
      <c r="BF316" s="102"/>
      <c r="BG316" s="102"/>
      <c r="BH316" s="102"/>
      <c r="BI316" s="102"/>
      <c r="BJ316" s="102"/>
      <c r="BK316" s="102"/>
      <c r="BL316" s="102"/>
      <c r="BM316" s="102"/>
      <c r="BN316" s="102"/>
      <c r="BO316" s="102"/>
      <c r="BP316" s="102"/>
      <c r="BQ316" s="102"/>
      <c r="BR316" s="102"/>
      <c r="BS316" s="102"/>
      <c r="BT316" s="102"/>
      <c r="BU316" s="102"/>
      <c r="BV316" s="102"/>
      <c r="BW316" s="102"/>
      <c r="BX316" s="102"/>
      <c r="BY316" s="102"/>
      <c r="BZ316" s="102"/>
      <c r="CA316" s="102"/>
      <c r="CB316" s="102"/>
      <c r="CC316" s="102"/>
      <c r="CD316" s="102"/>
      <c r="CE316" s="102"/>
      <c r="CF316" s="102"/>
      <c r="CG316" s="102"/>
      <c r="CH316" s="102"/>
      <c r="CI316" s="102"/>
      <c r="CJ316" s="102"/>
      <c r="CK316" s="102"/>
      <c r="CL316" s="102"/>
      <c r="CM316" s="102"/>
      <c r="CN316" s="102"/>
      <c r="CO316" s="102"/>
      <c r="CP316" s="102"/>
      <c r="CQ316" s="102"/>
      <c r="CR316" s="102"/>
      <c r="CS316" s="102"/>
      <c r="CT316" s="102"/>
      <c r="CU316" s="102"/>
      <c r="CV316" s="102"/>
      <c r="CW316" s="102"/>
      <c r="CX316" s="102"/>
      <c r="CY316" s="102"/>
      <c r="CZ316" s="102"/>
      <c r="DA316" s="102"/>
      <c r="DB316" s="102"/>
      <c r="DC316" s="102"/>
      <c r="DD316" s="102"/>
      <c r="DE316" s="102"/>
      <c r="DF316" s="102"/>
      <c r="DG316" s="102"/>
      <c r="DH316" s="102"/>
      <c r="DI316" s="102"/>
      <c r="DJ316" s="102"/>
      <c r="DK316" s="102"/>
      <c r="DL316" s="102"/>
      <c r="DM316" s="102"/>
      <c r="DN316" s="102"/>
      <c r="DO316" s="102"/>
      <c r="DP316" s="102"/>
      <c r="DQ316" s="102"/>
      <c r="DR316" s="102"/>
      <c r="DS316" s="102"/>
      <c r="DT316" s="102"/>
      <c r="DU316" s="102"/>
      <c r="DV316" s="102"/>
      <c r="DW316" s="102"/>
      <c r="DX316" s="102"/>
      <c r="DY316" s="102"/>
    </row>
    <row r="317" spans="1:16375" s="487" customFormat="1" ht="28.8" x14ac:dyDescent="0.3">
      <c r="A317" s="143" t="s">
        <v>264</v>
      </c>
      <c r="B317" s="149" t="s">
        <v>280</v>
      </c>
      <c r="C317" s="150" t="s">
        <v>284</v>
      </c>
      <c r="D317" s="149" t="s">
        <v>34</v>
      </c>
      <c r="E317" s="149">
        <v>25</v>
      </c>
      <c r="F317" s="1347" t="s">
        <v>285</v>
      </c>
      <c r="G317" s="149">
        <v>82.357699999999994</v>
      </c>
      <c r="H317" s="151">
        <v>1217119.7</v>
      </c>
      <c r="I317" s="152" t="s">
        <v>267</v>
      </c>
      <c r="J317" s="151">
        <v>1217119.7</v>
      </c>
      <c r="K317" s="1606">
        <f>673114.818+147617.91+59281.485</f>
        <v>880014.21299999999</v>
      </c>
      <c r="L317" s="1606">
        <f>673114.818+147617.91+59281.485</f>
        <v>880014.21299999999</v>
      </c>
      <c r="M317" s="153" t="s">
        <v>49</v>
      </c>
      <c r="N317" s="154" t="s">
        <v>286</v>
      </c>
      <c r="O317" s="153" t="s">
        <v>287</v>
      </c>
      <c r="P317" s="155" t="s">
        <v>40</v>
      </c>
      <c r="Q317" s="156"/>
      <c r="R317" s="155" t="s">
        <v>64</v>
      </c>
      <c r="S317" s="157"/>
      <c r="T317" s="153" t="s">
        <v>64</v>
      </c>
      <c r="U317" s="157"/>
      <c r="V317" s="153" t="s">
        <v>40</v>
      </c>
      <c r="W317" s="157"/>
      <c r="X317" s="153" t="s">
        <v>40</v>
      </c>
      <c r="Y317" s="157"/>
      <c r="Z317" s="153" t="s">
        <v>64</v>
      </c>
      <c r="AA317" s="157"/>
      <c r="AB317" s="153" t="s">
        <v>40</v>
      </c>
      <c r="AC317" s="157"/>
      <c r="AD317" s="157"/>
      <c r="AE317" s="1523">
        <v>45291</v>
      </c>
      <c r="AF317" s="158" t="s">
        <v>247</v>
      </c>
      <c r="AG317" s="159">
        <v>2023</v>
      </c>
      <c r="AH317" s="160">
        <v>6022429.9800000004</v>
      </c>
      <c r="AI317" s="739" t="s">
        <v>288</v>
      </c>
      <c r="AJ317" s="161"/>
      <c r="AK317" s="162" t="s">
        <v>43</v>
      </c>
      <c r="AL317" s="149" t="s">
        <v>41</v>
      </c>
      <c r="AM317" s="163">
        <v>0</v>
      </c>
      <c r="AN317" s="164" t="s">
        <v>40</v>
      </c>
      <c r="AO317" s="165"/>
      <c r="AP317" s="165"/>
      <c r="AQ317" s="165"/>
      <c r="AR317" s="165"/>
      <c r="AS317" s="165"/>
      <c r="AT317" s="315"/>
      <c r="AU317" s="143"/>
      <c r="AV317" s="143"/>
      <c r="AW317" s="143"/>
      <c r="AX317" s="143"/>
      <c r="AY317" s="143"/>
      <c r="AZ317" s="143"/>
      <c r="BA317" s="143"/>
      <c r="BB317" s="143"/>
      <c r="BC317" s="143"/>
      <c r="BD317" s="143"/>
      <c r="BE317" s="143"/>
      <c r="BF317" s="143"/>
      <c r="BG317" s="143"/>
      <c r="BH317" s="143"/>
      <c r="BI317" s="143"/>
      <c r="BJ317" s="143"/>
      <c r="BK317" s="143"/>
      <c r="BL317" s="143"/>
      <c r="BM317" s="143"/>
      <c r="BN317" s="143"/>
      <c r="BO317" s="143"/>
      <c r="BP317" s="143"/>
      <c r="BQ317" s="143"/>
      <c r="BR317" s="143"/>
      <c r="BS317" s="143"/>
      <c r="BT317" s="143"/>
      <c r="BU317" s="143"/>
      <c r="BV317" s="143"/>
      <c r="BW317" s="143"/>
      <c r="BX317" s="143"/>
      <c r="BY317" s="143"/>
      <c r="BZ317" s="143"/>
      <c r="CA317" s="143"/>
      <c r="CB317" s="143"/>
      <c r="CC317" s="143"/>
      <c r="CD317" s="143"/>
      <c r="CE317" s="143"/>
      <c r="CF317" s="143"/>
      <c r="CG317" s="143"/>
      <c r="CH317" s="143"/>
      <c r="CI317" s="143"/>
      <c r="CJ317" s="143"/>
      <c r="CK317" s="143"/>
      <c r="CL317" s="143"/>
      <c r="CM317" s="143"/>
      <c r="CN317" s="143"/>
      <c r="CO317" s="143"/>
      <c r="CP317" s="143"/>
      <c r="CQ317" s="143"/>
      <c r="CR317" s="143"/>
      <c r="CS317" s="143"/>
      <c r="CT317" s="143"/>
      <c r="CU317" s="143"/>
      <c r="CV317" s="143"/>
      <c r="CW317" s="143"/>
      <c r="CX317" s="143"/>
      <c r="CY317" s="143"/>
      <c r="CZ317" s="143"/>
      <c r="DA317" s="143"/>
      <c r="DB317" s="143"/>
      <c r="DC317" s="143"/>
      <c r="DD317" s="143"/>
      <c r="DE317" s="143"/>
      <c r="DF317" s="143"/>
      <c r="DG317" s="143"/>
      <c r="DH317" s="143"/>
      <c r="DI317" s="143"/>
      <c r="DJ317" s="143"/>
      <c r="DK317" s="143"/>
      <c r="DL317" s="143"/>
      <c r="DM317" s="143"/>
      <c r="DN317" s="143"/>
      <c r="DO317" s="143"/>
      <c r="DP317" s="143"/>
      <c r="DQ317" s="143"/>
      <c r="DR317" s="143"/>
      <c r="DS317" s="143"/>
      <c r="DT317" s="143"/>
      <c r="DU317" s="143"/>
      <c r="DV317" s="143"/>
      <c r="DW317" s="143"/>
      <c r="DX317" s="143"/>
      <c r="DY317" s="143"/>
    </row>
    <row r="318" spans="1:16375" s="138" customFormat="1" ht="28.8" x14ac:dyDescent="0.3">
      <c r="A318" s="102" t="s">
        <v>264</v>
      </c>
      <c r="B318" s="166" t="s">
        <v>280</v>
      </c>
      <c r="C318" s="167" t="s">
        <v>289</v>
      </c>
      <c r="D318" s="166" t="s">
        <v>34</v>
      </c>
      <c r="E318" s="166" t="s">
        <v>282</v>
      </c>
      <c r="F318" s="1346" t="s">
        <v>285</v>
      </c>
      <c r="G318" s="168">
        <v>2.8386999999999998</v>
      </c>
      <c r="H318" s="169">
        <v>57449.75</v>
      </c>
      <c r="I318" s="170" t="s">
        <v>267</v>
      </c>
      <c r="J318" s="169">
        <v>57449.75</v>
      </c>
      <c r="K318" s="1605">
        <f>30260.679</f>
        <v>30260.679</v>
      </c>
      <c r="L318" s="1605">
        <f>30260.679</f>
        <v>30260.679</v>
      </c>
      <c r="M318" s="109" t="s">
        <v>290</v>
      </c>
      <c r="N318" s="171" t="s">
        <v>291</v>
      </c>
      <c r="O318" s="109" t="s">
        <v>292</v>
      </c>
      <c r="P318" s="172" t="s">
        <v>40</v>
      </c>
      <c r="Q318" s="173"/>
      <c r="R318" s="172" t="s">
        <v>64</v>
      </c>
      <c r="S318" s="174"/>
      <c r="T318" s="175"/>
      <c r="U318" s="174"/>
      <c r="V318" s="175" t="s">
        <v>40</v>
      </c>
      <c r="W318" s="174"/>
      <c r="X318" s="175" t="s">
        <v>40</v>
      </c>
      <c r="Y318" s="174"/>
      <c r="Z318" s="175" t="s">
        <v>64</v>
      </c>
      <c r="AA318" s="174"/>
      <c r="AB318" s="175" t="s">
        <v>40</v>
      </c>
      <c r="AC318" s="174"/>
      <c r="AD318" s="174"/>
      <c r="AE318" s="1521">
        <v>46203</v>
      </c>
      <c r="AF318" s="176" t="s">
        <v>247</v>
      </c>
      <c r="AG318" s="177">
        <v>2023</v>
      </c>
      <c r="AH318" s="178">
        <v>284267.11</v>
      </c>
      <c r="AI318" s="739">
        <v>46202288</v>
      </c>
      <c r="AJ318" s="179"/>
      <c r="AK318" s="180" t="s">
        <v>43</v>
      </c>
      <c r="AL318" s="166" t="s">
        <v>41</v>
      </c>
      <c r="AM318" s="181">
        <v>0</v>
      </c>
      <c r="AN318" s="182" t="s">
        <v>40</v>
      </c>
      <c r="AO318" s="104"/>
      <c r="AP318" s="104"/>
      <c r="AQ318" s="104"/>
      <c r="AR318" s="104"/>
      <c r="AS318" s="104"/>
      <c r="AT318" s="358"/>
      <c r="AU318" s="102"/>
      <c r="AV318" s="102"/>
      <c r="AW318" s="102"/>
      <c r="AX318" s="102"/>
      <c r="AY318" s="102"/>
      <c r="AZ318" s="102"/>
      <c r="BA318" s="102"/>
      <c r="BB318" s="102"/>
      <c r="BC318" s="102"/>
      <c r="BD318" s="102"/>
      <c r="BE318" s="102"/>
      <c r="BF318" s="102"/>
      <c r="BG318" s="102"/>
      <c r="BH318" s="102"/>
      <c r="BI318" s="102"/>
      <c r="BJ318" s="102"/>
      <c r="BK318" s="102"/>
      <c r="BL318" s="102"/>
      <c r="BM318" s="102"/>
      <c r="BN318" s="102"/>
      <c r="BO318" s="102"/>
      <c r="BP318" s="102"/>
      <c r="BQ318" s="102"/>
      <c r="BR318" s="102"/>
      <c r="BS318" s="102"/>
      <c r="BT318" s="102"/>
      <c r="BU318" s="102"/>
      <c r="BV318" s="102"/>
      <c r="BW318" s="102"/>
      <c r="BX318" s="102"/>
      <c r="BY318" s="102"/>
      <c r="BZ318" s="102"/>
      <c r="CA318" s="102"/>
      <c r="CB318" s="102"/>
      <c r="CC318" s="102"/>
      <c r="CD318" s="102"/>
      <c r="CE318" s="102"/>
      <c r="CF318" s="102"/>
      <c r="CG318" s="102"/>
      <c r="CH318" s="102"/>
      <c r="CI318" s="102"/>
      <c r="CJ318" s="102"/>
      <c r="CK318" s="102"/>
      <c r="CL318" s="102"/>
      <c r="CM318" s="102"/>
      <c r="CN318" s="102"/>
      <c r="CO318" s="102"/>
      <c r="CP318" s="102"/>
      <c r="CQ318" s="102"/>
      <c r="CR318" s="102"/>
      <c r="CS318" s="102"/>
      <c r="CT318" s="102"/>
      <c r="CU318" s="102"/>
      <c r="CV318" s="102"/>
      <c r="CW318" s="102"/>
      <c r="CX318" s="102"/>
      <c r="CY318" s="102"/>
      <c r="CZ318" s="102"/>
      <c r="DA318" s="102"/>
      <c r="DB318" s="102"/>
      <c r="DC318" s="102"/>
      <c r="DD318" s="102"/>
      <c r="DE318" s="102"/>
      <c r="DF318" s="102"/>
      <c r="DG318" s="102"/>
      <c r="DH318" s="102"/>
      <c r="DI318" s="102"/>
      <c r="DJ318" s="102"/>
      <c r="DK318" s="102"/>
      <c r="DL318" s="102"/>
      <c r="DM318" s="102"/>
      <c r="DN318" s="102"/>
      <c r="DO318" s="102"/>
      <c r="DP318" s="102"/>
      <c r="DQ318" s="102"/>
      <c r="DR318" s="102"/>
      <c r="DS318" s="102"/>
      <c r="DT318" s="102"/>
      <c r="DU318" s="102"/>
      <c r="DV318" s="102"/>
      <c r="DW318" s="102"/>
      <c r="DX318" s="102"/>
      <c r="DY318" s="102"/>
    </row>
    <row r="319" spans="1:16375" s="487" customFormat="1" ht="28.8" x14ac:dyDescent="0.3">
      <c r="A319" s="143" t="s">
        <v>264</v>
      </c>
      <c r="B319" s="149" t="s">
        <v>280</v>
      </c>
      <c r="C319" s="183" t="s">
        <v>293</v>
      </c>
      <c r="D319" s="149" t="s">
        <v>34</v>
      </c>
      <c r="E319" s="149" t="s">
        <v>282</v>
      </c>
      <c r="F319" s="1347" t="s">
        <v>285</v>
      </c>
      <c r="G319" s="184">
        <v>6.1666999999999996</v>
      </c>
      <c r="H319" s="185">
        <v>105469.43</v>
      </c>
      <c r="I319" s="152" t="s">
        <v>267</v>
      </c>
      <c r="J319" s="185">
        <v>105469.43</v>
      </c>
      <c r="K319" s="1606">
        <f>64664.3803+14855.5809</f>
        <v>79519.961199999991</v>
      </c>
      <c r="L319" s="1606">
        <f>64664.3803+14855.5809</f>
        <v>79519.961199999991</v>
      </c>
      <c r="M319" s="186" t="s">
        <v>49</v>
      </c>
      <c r="N319" s="187" t="s">
        <v>294</v>
      </c>
      <c r="O319" s="186" t="s">
        <v>295</v>
      </c>
      <c r="P319" s="155" t="s">
        <v>40</v>
      </c>
      <c r="Q319" s="156"/>
      <c r="R319" s="155" t="s">
        <v>64</v>
      </c>
      <c r="S319" s="157"/>
      <c r="T319" s="153"/>
      <c r="U319" s="157"/>
      <c r="V319" s="153" t="s">
        <v>40</v>
      </c>
      <c r="W319" s="157"/>
      <c r="X319" s="153" t="s">
        <v>40</v>
      </c>
      <c r="Y319" s="157"/>
      <c r="Z319" s="153" t="s">
        <v>64</v>
      </c>
      <c r="AA319" s="157"/>
      <c r="AB319" s="153" t="s">
        <v>40</v>
      </c>
      <c r="AC319" s="157"/>
      <c r="AD319" s="157"/>
      <c r="AE319" s="1523">
        <v>46203</v>
      </c>
      <c r="AF319" s="158" t="s">
        <v>247</v>
      </c>
      <c r="AG319" s="159">
        <v>2023</v>
      </c>
      <c r="AH319" s="188">
        <v>521873.29</v>
      </c>
      <c r="AI319" s="740">
        <v>1760922284376</v>
      </c>
      <c r="AJ319" s="189"/>
      <c r="AK319" s="162" t="s">
        <v>43</v>
      </c>
      <c r="AL319" s="149" t="s">
        <v>41</v>
      </c>
      <c r="AM319" s="163">
        <v>0</v>
      </c>
      <c r="AN319" s="164" t="s">
        <v>40</v>
      </c>
      <c r="AO319" s="165"/>
      <c r="AP319" s="165"/>
      <c r="AQ319" s="165"/>
      <c r="AR319" s="165"/>
      <c r="AS319" s="165"/>
      <c r="AT319" s="315"/>
      <c r="AU319" s="143"/>
      <c r="AV319" s="143"/>
      <c r="AW319" s="143"/>
      <c r="AX319" s="143"/>
      <c r="AY319" s="143"/>
      <c r="AZ319" s="143"/>
      <c r="BA319" s="143"/>
      <c r="BB319" s="143"/>
      <c r="BC319" s="143"/>
      <c r="BD319" s="143"/>
      <c r="BE319" s="143"/>
      <c r="BF319" s="143"/>
      <c r="BG319" s="143"/>
      <c r="BH319" s="143"/>
      <c r="BI319" s="143"/>
      <c r="BJ319" s="143"/>
      <c r="BK319" s="143"/>
      <c r="BL319" s="143"/>
      <c r="BM319" s="143"/>
      <c r="BN319" s="143"/>
      <c r="BO319" s="143"/>
      <c r="BP319" s="143"/>
      <c r="BQ319" s="143"/>
      <c r="BR319" s="143"/>
      <c r="BS319" s="143"/>
      <c r="BT319" s="143"/>
      <c r="BU319" s="143"/>
      <c r="BV319" s="143"/>
      <c r="BW319" s="143"/>
      <c r="BX319" s="143"/>
      <c r="BY319" s="143"/>
      <c r="BZ319" s="143"/>
      <c r="CA319" s="143"/>
      <c r="CB319" s="143"/>
      <c r="CC319" s="143"/>
      <c r="CD319" s="143"/>
      <c r="CE319" s="143"/>
      <c r="CF319" s="143"/>
      <c r="CG319" s="143"/>
      <c r="CH319" s="143"/>
      <c r="CI319" s="143"/>
      <c r="CJ319" s="143"/>
      <c r="CK319" s="143"/>
      <c r="CL319" s="143"/>
      <c r="CM319" s="143"/>
      <c r="CN319" s="143"/>
      <c r="CO319" s="143"/>
      <c r="CP319" s="143"/>
      <c r="CQ319" s="143"/>
      <c r="CR319" s="143"/>
      <c r="CS319" s="143"/>
      <c r="CT319" s="143"/>
      <c r="CU319" s="143"/>
      <c r="CV319" s="143"/>
      <c r="CW319" s="143"/>
      <c r="CX319" s="143"/>
      <c r="CY319" s="143"/>
      <c r="CZ319" s="143"/>
      <c r="DA319" s="143"/>
      <c r="DB319" s="143"/>
      <c r="DC319" s="143"/>
      <c r="DD319" s="143"/>
      <c r="DE319" s="143"/>
      <c r="DF319" s="143"/>
      <c r="DG319" s="143"/>
      <c r="DH319" s="143"/>
      <c r="DI319" s="143"/>
      <c r="DJ319" s="143"/>
      <c r="DK319" s="143"/>
      <c r="DL319" s="143"/>
      <c r="DM319" s="143"/>
      <c r="DN319" s="143"/>
      <c r="DO319" s="143"/>
      <c r="DP319" s="143"/>
      <c r="DQ319" s="143"/>
      <c r="DR319" s="143"/>
      <c r="DS319" s="143"/>
      <c r="DT319" s="143"/>
      <c r="DU319" s="143"/>
      <c r="DV319" s="143"/>
      <c r="DW319" s="143"/>
      <c r="DX319" s="143"/>
      <c r="DY319" s="143"/>
    </row>
    <row r="320" spans="1:16375" s="487" customFormat="1" ht="28.8" x14ac:dyDescent="0.3">
      <c r="A320" s="143" t="s">
        <v>264</v>
      </c>
      <c r="B320" s="149" t="s">
        <v>280</v>
      </c>
      <c r="C320" s="183" t="s">
        <v>296</v>
      </c>
      <c r="D320" s="149" t="s">
        <v>34</v>
      </c>
      <c r="E320" s="149" t="s">
        <v>282</v>
      </c>
      <c r="F320" s="1347" t="s">
        <v>285</v>
      </c>
      <c r="G320" s="184">
        <v>35.409999999999997</v>
      </c>
      <c r="H320" s="185">
        <v>688075.42</v>
      </c>
      <c r="I320" s="152" t="s">
        <v>267</v>
      </c>
      <c r="J320" s="185">
        <v>688075.42</v>
      </c>
      <c r="K320" s="1607">
        <v>0</v>
      </c>
      <c r="L320" s="1607">
        <v>0</v>
      </c>
      <c r="M320" s="186" t="s">
        <v>200</v>
      </c>
      <c r="N320" s="187" t="s">
        <v>297</v>
      </c>
      <c r="O320" s="186" t="s">
        <v>298</v>
      </c>
      <c r="P320" s="155" t="s">
        <v>40</v>
      </c>
      <c r="Q320" s="156"/>
      <c r="R320" s="155" t="s">
        <v>64</v>
      </c>
      <c r="S320" s="157"/>
      <c r="T320" s="153"/>
      <c r="U320" s="157"/>
      <c r="V320" s="153" t="s">
        <v>40</v>
      </c>
      <c r="W320" s="157"/>
      <c r="X320" s="153" t="s">
        <v>40</v>
      </c>
      <c r="Y320" s="157"/>
      <c r="Z320" s="153" t="s">
        <v>64</v>
      </c>
      <c r="AA320" s="157"/>
      <c r="AB320" s="153" t="s">
        <v>40</v>
      </c>
      <c r="AC320" s="157"/>
      <c r="AD320" s="157"/>
      <c r="AE320" s="1523">
        <v>46203</v>
      </c>
      <c r="AF320" s="158" t="s">
        <v>247</v>
      </c>
      <c r="AG320" s="159">
        <v>2023</v>
      </c>
      <c r="AH320" s="188">
        <v>3404665.99</v>
      </c>
      <c r="AI320" s="739">
        <v>2720925173206</v>
      </c>
      <c r="AJ320" s="189"/>
      <c r="AK320" s="162" t="s">
        <v>43</v>
      </c>
      <c r="AL320" s="149" t="s">
        <v>41</v>
      </c>
      <c r="AM320" s="163">
        <v>0</v>
      </c>
      <c r="AN320" s="164" t="s">
        <v>40</v>
      </c>
      <c r="AO320" s="165"/>
      <c r="AP320" s="165"/>
      <c r="AQ320" s="165"/>
      <c r="AR320" s="165"/>
      <c r="AS320" s="165"/>
      <c r="AT320" s="315"/>
      <c r="AU320" s="143"/>
      <c r="AV320" s="143"/>
      <c r="AW320" s="143"/>
      <c r="AX320" s="143"/>
      <c r="AY320" s="143"/>
      <c r="AZ320" s="143"/>
      <c r="BA320" s="143"/>
      <c r="BB320" s="143"/>
      <c r="BC320" s="143"/>
      <c r="BD320" s="143"/>
      <c r="BE320" s="143"/>
      <c r="BF320" s="143"/>
      <c r="BG320" s="143"/>
      <c r="BH320" s="143"/>
      <c r="BI320" s="143"/>
      <c r="BJ320" s="143"/>
      <c r="BK320" s="143"/>
      <c r="BL320" s="143"/>
      <c r="BM320" s="143"/>
      <c r="BN320" s="143"/>
      <c r="BO320" s="143"/>
      <c r="BP320" s="143"/>
      <c r="BQ320" s="143"/>
      <c r="BR320" s="143"/>
      <c r="BS320" s="143"/>
      <c r="BT320" s="143"/>
      <c r="BU320" s="143"/>
      <c r="BV320" s="143"/>
      <c r="BW320" s="143"/>
      <c r="BX320" s="143"/>
      <c r="BY320" s="143"/>
      <c r="BZ320" s="143"/>
      <c r="CA320" s="143"/>
      <c r="CB320" s="143"/>
      <c r="CC320" s="143"/>
      <c r="CD320" s="143"/>
      <c r="CE320" s="143"/>
      <c r="CF320" s="143"/>
      <c r="CG320" s="143"/>
      <c r="CH320" s="143"/>
      <c r="CI320" s="143"/>
      <c r="CJ320" s="143"/>
      <c r="CK320" s="143"/>
      <c r="CL320" s="143"/>
      <c r="CM320" s="143"/>
      <c r="CN320" s="143"/>
      <c r="CO320" s="143"/>
      <c r="CP320" s="143"/>
      <c r="CQ320" s="143"/>
      <c r="CR320" s="143"/>
      <c r="CS320" s="143"/>
      <c r="CT320" s="143"/>
      <c r="CU320" s="143"/>
      <c r="CV320" s="143"/>
      <c r="CW320" s="143"/>
      <c r="CX320" s="143"/>
      <c r="CY320" s="143"/>
      <c r="CZ320" s="143"/>
      <c r="DA320" s="143"/>
      <c r="DB320" s="143"/>
      <c r="DC320" s="143"/>
      <c r="DD320" s="143"/>
      <c r="DE320" s="143"/>
      <c r="DF320" s="143"/>
      <c r="DG320" s="143"/>
      <c r="DH320" s="143"/>
      <c r="DI320" s="143"/>
      <c r="DJ320" s="143"/>
      <c r="DK320" s="143"/>
      <c r="DL320" s="143"/>
      <c r="DM320" s="143"/>
      <c r="DN320" s="143"/>
      <c r="DO320" s="143"/>
      <c r="DP320" s="143"/>
      <c r="DQ320" s="143"/>
      <c r="DR320" s="143"/>
      <c r="DS320" s="143"/>
      <c r="DT320" s="143"/>
      <c r="DU320" s="143"/>
      <c r="DV320" s="143"/>
      <c r="DW320" s="143"/>
      <c r="DX320" s="143"/>
      <c r="DY320" s="143"/>
    </row>
    <row r="321" spans="1:129" s="487" customFormat="1" ht="28.8" x14ac:dyDescent="0.3">
      <c r="A321" s="143" t="s">
        <v>264</v>
      </c>
      <c r="B321" s="149" t="s">
        <v>280</v>
      </c>
      <c r="C321" s="183" t="s">
        <v>299</v>
      </c>
      <c r="D321" s="149" t="s">
        <v>34</v>
      </c>
      <c r="E321" s="149" t="s">
        <v>282</v>
      </c>
      <c r="F321" s="1347" t="s">
        <v>285</v>
      </c>
      <c r="G321" s="184">
        <v>9.27</v>
      </c>
      <c r="H321" s="185">
        <v>149327.26999999999</v>
      </c>
      <c r="I321" s="152" t="s">
        <v>267</v>
      </c>
      <c r="J321" s="185">
        <v>149327.26999999999</v>
      </c>
      <c r="K321" s="1607">
        <v>0</v>
      </c>
      <c r="L321" s="1607">
        <v>0</v>
      </c>
      <c r="M321" s="186" t="s">
        <v>200</v>
      </c>
      <c r="N321" s="187" t="s">
        <v>300</v>
      </c>
      <c r="O321" s="186" t="s">
        <v>301</v>
      </c>
      <c r="P321" s="155" t="s">
        <v>40</v>
      </c>
      <c r="Q321" s="156"/>
      <c r="R321" s="155" t="s">
        <v>64</v>
      </c>
      <c r="S321" s="157"/>
      <c r="T321" s="153"/>
      <c r="U321" s="157"/>
      <c r="V321" s="153" t="s">
        <v>40</v>
      </c>
      <c r="W321" s="157"/>
      <c r="X321" s="153" t="s">
        <v>40</v>
      </c>
      <c r="Y321" s="157"/>
      <c r="Z321" s="153" t="s">
        <v>64</v>
      </c>
      <c r="AA321" s="157"/>
      <c r="AB321" s="153" t="s">
        <v>40</v>
      </c>
      <c r="AC321" s="157"/>
      <c r="AD321" s="157"/>
      <c r="AE321" s="1523">
        <v>46203</v>
      </c>
      <c r="AF321" s="158" t="s">
        <v>247</v>
      </c>
      <c r="AG321" s="159">
        <v>2023</v>
      </c>
      <c r="AH321" s="188">
        <v>738886.26</v>
      </c>
      <c r="AI321" s="739">
        <v>37551661</v>
      </c>
      <c r="AJ321" s="189"/>
      <c r="AK321" s="162" t="s">
        <v>43</v>
      </c>
      <c r="AL321" s="149" t="s">
        <v>41</v>
      </c>
      <c r="AM321" s="163">
        <v>0</v>
      </c>
      <c r="AN321" s="164" t="s">
        <v>40</v>
      </c>
      <c r="AO321" s="165"/>
      <c r="AP321" s="165"/>
      <c r="AQ321" s="165"/>
      <c r="AR321" s="165"/>
      <c r="AS321" s="165"/>
      <c r="AT321" s="315"/>
      <c r="AU321" s="143"/>
      <c r="AV321" s="143"/>
      <c r="AW321" s="143"/>
      <c r="AX321" s="143"/>
      <c r="AY321" s="143"/>
      <c r="AZ321" s="143"/>
      <c r="BA321" s="143"/>
      <c r="BB321" s="143"/>
      <c r="BC321" s="143"/>
      <c r="BD321" s="143"/>
      <c r="BE321" s="143"/>
      <c r="BF321" s="143"/>
      <c r="BG321" s="143"/>
      <c r="BH321" s="143"/>
      <c r="BI321" s="143"/>
      <c r="BJ321" s="143"/>
      <c r="BK321" s="143"/>
      <c r="BL321" s="143"/>
      <c r="BM321" s="143"/>
      <c r="BN321" s="143"/>
      <c r="BO321" s="143"/>
      <c r="BP321" s="143"/>
      <c r="BQ321" s="143"/>
      <c r="BR321" s="143"/>
      <c r="BS321" s="143"/>
      <c r="BT321" s="143"/>
      <c r="BU321" s="143"/>
      <c r="BV321" s="143"/>
      <c r="BW321" s="143"/>
      <c r="BX321" s="143"/>
      <c r="BY321" s="143"/>
      <c r="BZ321" s="143"/>
      <c r="CA321" s="143"/>
      <c r="CB321" s="143"/>
      <c r="CC321" s="143"/>
      <c r="CD321" s="143"/>
      <c r="CE321" s="143"/>
      <c r="CF321" s="143"/>
      <c r="CG321" s="143"/>
      <c r="CH321" s="143"/>
      <c r="CI321" s="143"/>
      <c r="CJ321" s="143"/>
      <c r="CK321" s="143"/>
      <c r="CL321" s="143"/>
      <c r="CM321" s="143"/>
      <c r="CN321" s="143"/>
      <c r="CO321" s="143"/>
      <c r="CP321" s="143"/>
      <c r="CQ321" s="143"/>
      <c r="CR321" s="143"/>
      <c r="CS321" s="143"/>
      <c r="CT321" s="143"/>
      <c r="CU321" s="143"/>
      <c r="CV321" s="143"/>
      <c r="CW321" s="143"/>
      <c r="CX321" s="143"/>
      <c r="CY321" s="143"/>
      <c r="CZ321" s="143"/>
      <c r="DA321" s="143"/>
      <c r="DB321" s="143"/>
      <c r="DC321" s="143"/>
      <c r="DD321" s="143"/>
      <c r="DE321" s="143"/>
      <c r="DF321" s="143"/>
      <c r="DG321" s="143"/>
      <c r="DH321" s="143"/>
      <c r="DI321" s="143"/>
      <c r="DJ321" s="143"/>
      <c r="DK321" s="143"/>
      <c r="DL321" s="143"/>
      <c r="DM321" s="143"/>
      <c r="DN321" s="143"/>
      <c r="DO321" s="143"/>
      <c r="DP321" s="143"/>
      <c r="DQ321" s="143"/>
      <c r="DR321" s="143"/>
      <c r="DS321" s="143"/>
      <c r="DT321" s="143"/>
      <c r="DU321" s="143"/>
      <c r="DV321" s="143"/>
      <c r="DW321" s="143"/>
      <c r="DX321" s="143"/>
      <c r="DY321" s="143"/>
    </row>
    <row r="322" spans="1:129" s="487" customFormat="1" ht="28.8" x14ac:dyDescent="0.3">
      <c r="A322" s="143" t="s">
        <v>264</v>
      </c>
      <c r="B322" s="149" t="s">
        <v>280</v>
      </c>
      <c r="C322" s="183" t="s">
        <v>302</v>
      </c>
      <c r="D322" s="149" t="s">
        <v>34</v>
      </c>
      <c r="E322" s="149" t="s">
        <v>282</v>
      </c>
      <c r="F322" s="1347" t="s">
        <v>285</v>
      </c>
      <c r="G322" s="184">
        <v>3.41</v>
      </c>
      <c r="H322" s="185">
        <v>95119.43</v>
      </c>
      <c r="I322" s="152" t="s">
        <v>267</v>
      </c>
      <c r="J322" s="185">
        <v>95119.43</v>
      </c>
      <c r="K322" s="1607">
        <f>54721.15+10649.4291</f>
        <v>65370.579100000003</v>
      </c>
      <c r="L322" s="1607">
        <f>54721.15+10649.4291</f>
        <v>65370.579100000003</v>
      </c>
      <c r="M322" s="186" t="s">
        <v>303</v>
      </c>
      <c r="N322" s="187" t="s">
        <v>304</v>
      </c>
      <c r="O322" s="186" t="s">
        <v>305</v>
      </c>
      <c r="P322" s="155" t="s">
        <v>40</v>
      </c>
      <c r="Q322" s="156"/>
      <c r="R322" s="155" t="s">
        <v>64</v>
      </c>
      <c r="S322" s="157"/>
      <c r="T322" s="153"/>
      <c r="U322" s="157"/>
      <c r="V322" s="153" t="s">
        <v>40</v>
      </c>
      <c r="W322" s="157"/>
      <c r="X322" s="153" t="s">
        <v>40</v>
      </c>
      <c r="Y322" s="157"/>
      <c r="Z322" s="153" t="s">
        <v>64</v>
      </c>
      <c r="AA322" s="157"/>
      <c r="AB322" s="153" t="s">
        <v>40</v>
      </c>
      <c r="AC322" s="157"/>
      <c r="AD322" s="157"/>
      <c r="AE322" s="1523">
        <v>46203</v>
      </c>
      <c r="AF322" s="158" t="s">
        <v>247</v>
      </c>
      <c r="AG322" s="159">
        <v>2023</v>
      </c>
      <c r="AH322" s="188">
        <v>470660.45</v>
      </c>
      <c r="AI322" s="739">
        <v>1870824336382</v>
      </c>
      <c r="AJ322" s="189"/>
      <c r="AK322" s="162" t="s">
        <v>43</v>
      </c>
      <c r="AL322" s="149" t="s">
        <v>41</v>
      </c>
      <c r="AM322" s="163">
        <v>0</v>
      </c>
      <c r="AN322" s="164" t="s">
        <v>40</v>
      </c>
      <c r="AO322" s="165"/>
      <c r="AP322" s="165"/>
      <c r="AQ322" s="165"/>
      <c r="AR322" s="165"/>
      <c r="AS322" s="165"/>
      <c r="AT322" s="315"/>
      <c r="AU322" s="143"/>
      <c r="AV322" s="143"/>
      <c r="AW322" s="143"/>
      <c r="AX322" s="143"/>
      <c r="AY322" s="143"/>
      <c r="AZ322" s="143"/>
      <c r="BA322" s="143"/>
      <c r="BB322" s="143"/>
      <c r="BC322" s="143"/>
      <c r="BD322" s="143"/>
      <c r="BE322" s="143"/>
      <c r="BF322" s="143"/>
      <c r="BG322" s="143"/>
      <c r="BH322" s="143"/>
      <c r="BI322" s="143"/>
      <c r="BJ322" s="143"/>
      <c r="BK322" s="143"/>
      <c r="BL322" s="143"/>
      <c r="BM322" s="143"/>
      <c r="BN322" s="143"/>
      <c r="BO322" s="143"/>
      <c r="BP322" s="143"/>
      <c r="BQ322" s="143"/>
      <c r="BR322" s="143"/>
      <c r="BS322" s="143"/>
      <c r="BT322" s="143"/>
      <c r="BU322" s="143"/>
      <c r="BV322" s="143"/>
      <c r="BW322" s="143"/>
      <c r="BX322" s="143"/>
      <c r="BY322" s="143"/>
      <c r="BZ322" s="143"/>
      <c r="CA322" s="143"/>
      <c r="CB322" s="143"/>
      <c r="CC322" s="143"/>
      <c r="CD322" s="143"/>
      <c r="CE322" s="143"/>
      <c r="CF322" s="143"/>
      <c r="CG322" s="143"/>
      <c r="CH322" s="143"/>
      <c r="CI322" s="143"/>
      <c r="CJ322" s="143"/>
      <c r="CK322" s="143"/>
      <c r="CL322" s="143"/>
      <c r="CM322" s="143"/>
      <c r="CN322" s="143"/>
      <c r="CO322" s="143"/>
      <c r="CP322" s="143"/>
      <c r="CQ322" s="143"/>
      <c r="CR322" s="143"/>
      <c r="CS322" s="143"/>
      <c r="CT322" s="143"/>
      <c r="CU322" s="143"/>
      <c r="CV322" s="143"/>
      <c r="CW322" s="143"/>
      <c r="CX322" s="143"/>
      <c r="CY322" s="143"/>
      <c r="CZ322" s="143"/>
      <c r="DA322" s="143"/>
      <c r="DB322" s="143"/>
      <c r="DC322" s="143"/>
      <c r="DD322" s="143"/>
      <c r="DE322" s="143"/>
      <c r="DF322" s="143"/>
      <c r="DG322" s="143"/>
      <c r="DH322" s="143"/>
      <c r="DI322" s="143"/>
      <c r="DJ322" s="143"/>
      <c r="DK322" s="143"/>
      <c r="DL322" s="143"/>
      <c r="DM322" s="143"/>
      <c r="DN322" s="143"/>
      <c r="DO322" s="143"/>
      <c r="DP322" s="143"/>
      <c r="DQ322" s="143"/>
      <c r="DR322" s="143"/>
      <c r="DS322" s="143"/>
      <c r="DT322" s="143"/>
      <c r="DU322" s="143"/>
      <c r="DV322" s="143"/>
      <c r="DW322" s="143"/>
      <c r="DX322" s="143"/>
      <c r="DY322" s="143"/>
    </row>
    <row r="323" spans="1:129" s="138" customFormat="1" ht="28.8" x14ac:dyDescent="0.3">
      <c r="A323" s="102" t="s">
        <v>264</v>
      </c>
      <c r="B323" s="166" t="s">
        <v>280</v>
      </c>
      <c r="C323" s="167" t="s">
        <v>306</v>
      </c>
      <c r="D323" s="166" t="s">
        <v>34</v>
      </c>
      <c r="E323" s="166" t="s">
        <v>282</v>
      </c>
      <c r="F323" s="1346" t="s">
        <v>285</v>
      </c>
      <c r="G323" s="168">
        <v>2.75</v>
      </c>
      <c r="H323" s="169">
        <v>53206.67</v>
      </c>
      <c r="I323" s="170" t="s">
        <v>267</v>
      </c>
      <c r="J323" s="169">
        <v>53206.67</v>
      </c>
      <c r="K323" s="1605">
        <f>33442.4203229522</f>
        <v>33442.420322952203</v>
      </c>
      <c r="L323" s="1605">
        <f>33442.4203229522</f>
        <v>33442.420322952203</v>
      </c>
      <c r="M323" s="190" t="s">
        <v>303</v>
      </c>
      <c r="N323" s="171" t="s">
        <v>307</v>
      </c>
      <c r="O323" s="190" t="s">
        <v>308</v>
      </c>
      <c r="P323" s="172" t="s">
        <v>40</v>
      </c>
      <c r="Q323" s="173"/>
      <c r="R323" s="172" t="s">
        <v>64</v>
      </c>
      <c r="S323" s="174"/>
      <c r="T323" s="175"/>
      <c r="U323" s="174"/>
      <c r="V323" s="175" t="s">
        <v>40</v>
      </c>
      <c r="W323" s="174"/>
      <c r="X323" s="175" t="s">
        <v>40</v>
      </c>
      <c r="Y323" s="174"/>
      <c r="Z323" s="175" t="s">
        <v>64</v>
      </c>
      <c r="AA323" s="174"/>
      <c r="AB323" s="175" t="s">
        <v>40</v>
      </c>
      <c r="AC323" s="174"/>
      <c r="AD323" s="174"/>
      <c r="AE323" s="1521">
        <v>46203</v>
      </c>
      <c r="AF323" s="176" t="s">
        <v>247</v>
      </c>
      <c r="AG323" s="177">
        <v>2023</v>
      </c>
      <c r="AH323" s="178">
        <v>263271.92</v>
      </c>
      <c r="AI323" s="739">
        <v>1430909335004</v>
      </c>
      <c r="AJ323" s="179"/>
      <c r="AK323" s="180" t="s">
        <v>43</v>
      </c>
      <c r="AL323" s="166" t="s">
        <v>41</v>
      </c>
      <c r="AM323" s="181">
        <v>0</v>
      </c>
      <c r="AN323" s="182" t="s">
        <v>40</v>
      </c>
      <c r="AO323" s="104"/>
      <c r="AP323" s="104"/>
      <c r="AQ323" s="104"/>
      <c r="AR323" s="104"/>
      <c r="AS323" s="104"/>
      <c r="AT323" s="358"/>
      <c r="AU323" s="102"/>
      <c r="AV323" s="102"/>
      <c r="AW323" s="102"/>
      <c r="AX323" s="102"/>
      <c r="AY323" s="102"/>
      <c r="AZ323" s="102"/>
      <c r="BA323" s="102"/>
      <c r="BB323" s="102"/>
      <c r="BC323" s="102"/>
      <c r="BD323" s="102"/>
      <c r="BE323" s="102"/>
      <c r="BF323" s="102"/>
      <c r="BG323" s="102"/>
      <c r="BH323" s="102"/>
      <c r="BI323" s="102"/>
      <c r="BJ323" s="102"/>
      <c r="BK323" s="102"/>
      <c r="BL323" s="102"/>
      <c r="BM323" s="102"/>
      <c r="BN323" s="102"/>
      <c r="BO323" s="102"/>
      <c r="BP323" s="102"/>
      <c r="BQ323" s="102"/>
      <c r="BR323" s="102"/>
      <c r="BS323" s="102"/>
      <c r="BT323" s="102"/>
      <c r="BU323" s="102"/>
      <c r="BV323" s="102"/>
      <c r="BW323" s="102"/>
      <c r="BX323" s="102"/>
      <c r="BY323" s="102"/>
      <c r="BZ323" s="102"/>
      <c r="CA323" s="102"/>
      <c r="CB323" s="102"/>
      <c r="CC323" s="102"/>
      <c r="CD323" s="102"/>
      <c r="CE323" s="102"/>
      <c r="CF323" s="102"/>
      <c r="CG323" s="102"/>
      <c r="CH323" s="102"/>
      <c r="CI323" s="102"/>
      <c r="CJ323" s="102"/>
      <c r="CK323" s="102"/>
      <c r="CL323" s="102"/>
      <c r="CM323" s="102"/>
      <c r="CN323" s="102"/>
      <c r="CO323" s="102"/>
      <c r="CP323" s="102"/>
      <c r="CQ323" s="102"/>
      <c r="CR323" s="102"/>
      <c r="CS323" s="102"/>
      <c r="CT323" s="102"/>
      <c r="CU323" s="102"/>
      <c r="CV323" s="102"/>
      <c r="CW323" s="102"/>
      <c r="CX323" s="102"/>
      <c r="CY323" s="102"/>
      <c r="CZ323" s="102"/>
      <c r="DA323" s="102"/>
      <c r="DB323" s="102"/>
      <c r="DC323" s="102"/>
      <c r="DD323" s="102"/>
      <c r="DE323" s="102"/>
      <c r="DF323" s="102"/>
      <c r="DG323" s="102"/>
      <c r="DH323" s="102"/>
      <c r="DI323" s="102"/>
      <c r="DJ323" s="102"/>
      <c r="DK323" s="102"/>
      <c r="DL323" s="102"/>
      <c r="DM323" s="102"/>
      <c r="DN323" s="102"/>
      <c r="DO323" s="102"/>
      <c r="DP323" s="102"/>
      <c r="DQ323" s="102"/>
      <c r="DR323" s="102"/>
      <c r="DS323" s="102"/>
      <c r="DT323" s="102"/>
      <c r="DU323" s="102"/>
      <c r="DV323" s="102"/>
      <c r="DW323" s="102"/>
      <c r="DX323" s="102"/>
      <c r="DY323" s="102"/>
    </row>
    <row r="324" spans="1:129" s="138" customFormat="1" ht="28.8" x14ac:dyDescent="0.3">
      <c r="A324" s="102" t="s">
        <v>264</v>
      </c>
      <c r="B324" s="166" t="s">
        <v>280</v>
      </c>
      <c r="C324" s="167" t="s">
        <v>309</v>
      </c>
      <c r="D324" s="166" t="s">
        <v>34</v>
      </c>
      <c r="E324" s="166" t="s">
        <v>282</v>
      </c>
      <c r="F324" s="1346" t="s">
        <v>285</v>
      </c>
      <c r="G324" s="168">
        <v>27.36</v>
      </c>
      <c r="H324" s="169">
        <v>389265.87</v>
      </c>
      <c r="I324" s="170" t="s">
        <v>267</v>
      </c>
      <c r="J324" s="169">
        <v>389265.87</v>
      </c>
      <c r="K324" s="1605">
        <v>0</v>
      </c>
      <c r="L324" s="1605">
        <v>0</v>
      </c>
      <c r="M324" s="190" t="s">
        <v>80</v>
      </c>
      <c r="N324" s="171" t="s">
        <v>310</v>
      </c>
      <c r="O324" s="190" t="s">
        <v>311</v>
      </c>
      <c r="P324" s="172" t="s">
        <v>40</v>
      </c>
      <c r="Q324" s="173"/>
      <c r="R324" s="172" t="s">
        <v>64</v>
      </c>
      <c r="S324" s="174"/>
      <c r="T324" s="175"/>
      <c r="U324" s="174"/>
      <c r="V324" s="175" t="s">
        <v>40</v>
      </c>
      <c r="W324" s="174"/>
      <c r="X324" s="175" t="s">
        <v>40</v>
      </c>
      <c r="Y324" s="174"/>
      <c r="Z324" s="175" t="s">
        <v>64</v>
      </c>
      <c r="AA324" s="174"/>
      <c r="AB324" s="175" t="s">
        <v>40</v>
      </c>
      <c r="AC324" s="174"/>
      <c r="AD324" s="174"/>
      <c r="AE324" s="1521">
        <v>46203</v>
      </c>
      <c r="AF324" s="176" t="s">
        <v>247</v>
      </c>
      <c r="AG324" s="177">
        <v>2023</v>
      </c>
      <c r="AH324" s="178">
        <v>1926126.45</v>
      </c>
      <c r="AI324" s="739">
        <v>5031104410021</v>
      </c>
      <c r="AJ324" s="179"/>
      <c r="AK324" s="180" t="s">
        <v>43</v>
      </c>
      <c r="AL324" s="166" t="s">
        <v>41</v>
      </c>
      <c r="AM324" s="181">
        <v>0</v>
      </c>
      <c r="AN324" s="182" t="s">
        <v>40</v>
      </c>
      <c r="AO324" s="104"/>
      <c r="AP324" s="104"/>
      <c r="AQ324" s="104"/>
      <c r="AR324" s="104"/>
      <c r="AS324" s="104"/>
      <c r="AT324" s="358"/>
      <c r="AU324" s="102"/>
      <c r="AV324" s="102"/>
      <c r="AW324" s="102"/>
      <c r="AX324" s="102"/>
      <c r="AY324" s="102"/>
      <c r="AZ324" s="102"/>
      <c r="BA324" s="102"/>
      <c r="BB324" s="102"/>
      <c r="BC324" s="102"/>
      <c r="BD324" s="102"/>
      <c r="BE324" s="102"/>
      <c r="BF324" s="102"/>
      <c r="BG324" s="102"/>
      <c r="BH324" s="102"/>
      <c r="BI324" s="102"/>
      <c r="BJ324" s="102"/>
      <c r="BK324" s="102"/>
      <c r="BL324" s="102"/>
      <c r="BM324" s="102"/>
      <c r="BN324" s="102"/>
      <c r="BO324" s="102"/>
      <c r="BP324" s="102"/>
      <c r="BQ324" s="102"/>
      <c r="BR324" s="102"/>
      <c r="BS324" s="102"/>
      <c r="BT324" s="102"/>
      <c r="BU324" s="102"/>
      <c r="BV324" s="102"/>
      <c r="BW324" s="102"/>
      <c r="BX324" s="102"/>
      <c r="BY324" s="102"/>
      <c r="BZ324" s="102"/>
      <c r="CA324" s="102"/>
      <c r="CB324" s="102"/>
      <c r="CC324" s="102"/>
      <c r="CD324" s="102"/>
      <c r="CE324" s="102"/>
      <c r="CF324" s="102"/>
      <c r="CG324" s="102"/>
      <c r="CH324" s="102"/>
      <c r="CI324" s="102"/>
      <c r="CJ324" s="102"/>
      <c r="CK324" s="102"/>
      <c r="CL324" s="102"/>
      <c r="CM324" s="102"/>
      <c r="CN324" s="102"/>
      <c r="CO324" s="102"/>
      <c r="CP324" s="102"/>
      <c r="CQ324" s="102"/>
      <c r="CR324" s="102"/>
      <c r="CS324" s="102"/>
      <c r="CT324" s="102"/>
      <c r="CU324" s="102"/>
      <c r="CV324" s="102"/>
      <c r="CW324" s="102"/>
      <c r="CX324" s="102"/>
      <c r="CY324" s="102"/>
      <c r="CZ324" s="102"/>
      <c r="DA324" s="102"/>
      <c r="DB324" s="102"/>
      <c r="DC324" s="102"/>
      <c r="DD324" s="102"/>
      <c r="DE324" s="102"/>
      <c r="DF324" s="102"/>
      <c r="DG324" s="102"/>
      <c r="DH324" s="102"/>
      <c r="DI324" s="102"/>
      <c r="DJ324" s="102"/>
      <c r="DK324" s="102"/>
      <c r="DL324" s="102"/>
      <c r="DM324" s="102"/>
      <c r="DN324" s="102"/>
      <c r="DO324" s="102"/>
      <c r="DP324" s="102"/>
      <c r="DQ324" s="102"/>
      <c r="DR324" s="102"/>
      <c r="DS324" s="102"/>
      <c r="DT324" s="102"/>
      <c r="DU324" s="102"/>
      <c r="DV324" s="102"/>
      <c r="DW324" s="102"/>
      <c r="DX324" s="102"/>
      <c r="DY324" s="102"/>
    </row>
    <row r="325" spans="1:129" s="138" customFormat="1" ht="28.8" x14ac:dyDescent="0.3">
      <c r="A325" s="102" t="s">
        <v>264</v>
      </c>
      <c r="B325" s="166" t="s">
        <v>280</v>
      </c>
      <c r="C325" s="167" t="s">
        <v>312</v>
      </c>
      <c r="D325" s="166" t="s">
        <v>34</v>
      </c>
      <c r="E325" s="166" t="s">
        <v>282</v>
      </c>
      <c r="F325" s="1346" t="s">
        <v>285</v>
      </c>
      <c r="G325" s="168">
        <v>10.55</v>
      </c>
      <c r="H325" s="169">
        <v>303445.43</v>
      </c>
      <c r="I325" s="170" t="s">
        <v>267</v>
      </c>
      <c r="J325" s="169">
        <v>303445.43</v>
      </c>
      <c r="K325" s="1605">
        <f>180464.079+30943.1499</f>
        <v>211407.22889999999</v>
      </c>
      <c r="L325" s="1605">
        <f>180464.079+30943.1499</f>
        <v>211407.22889999999</v>
      </c>
      <c r="M325" s="190" t="s">
        <v>82</v>
      </c>
      <c r="N325" s="171" t="s">
        <v>313</v>
      </c>
      <c r="O325" s="190" t="s">
        <v>314</v>
      </c>
      <c r="P325" s="172" t="s">
        <v>40</v>
      </c>
      <c r="Q325" s="173"/>
      <c r="R325" s="172" t="s">
        <v>64</v>
      </c>
      <c r="S325" s="174"/>
      <c r="T325" s="175"/>
      <c r="U325" s="174"/>
      <c r="V325" s="175" t="s">
        <v>40</v>
      </c>
      <c r="W325" s="174"/>
      <c r="X325" s="175" t="s">
        <v>40</v>
      </c>
      <c r="Y325" s="174"/>
      <c r="Z325" s="175" t="s">
        <v>64</v>
      </c>
      <c r="AA325" s="174"/>
      <c r="AB325" s="175" t="s">
        <v>40</v>
      </c>
      <c r="AC325" s="174"/>
      <c r="AD325" s="174"/>
      <c r="AE325" s="1521">
        <v>46203</v>
      </c>
      <c r="AF325" s="176" t="s">
        <v>247</v>
      </c>
      <c r="AG325" s="177">
        <v>2023</v>
      </c>
      <c r="AH325" s="178">
        <v>1501478.33</v>
      </c>
      <c r="AI325" s="739">
        <v>1770420082415</v>
      </c>
      <c r="AJ325" s="179"/>
      <c r="AK325" s="180" t="s">
        <v>43</v>
      </c>
      <c r="AL325" s="166" t="s">
        <v>41</v>
      </c>
      <c r="AM325" s="181">
        <v>0</v>
      </c>
      <c r="AN325" s="182" t="s">
        <v>40</v>
      </c>
      <c r="AO325" s="104"/>
      <c r="AP325" s="104"/>
      <c r="AQ325" s="104"/>
      <c r="AR325" s="104"/>
      <c r="AS325" s="104"/>
      <c r="AT325" s="358"/>
      <c r="AU325" s="102"/>
      <c r="AV325" s="102"/>
      <c r="AW325" s="102"/>
      <c r="AX325" s="102"/>
      <c r="AY325" s="102"/>
      <c r="AZ325" s="102"/>
      <c r="BA325" s="102"/>
      <c r="BB325" s="102"/>
      <c r="BC325" s="102"/>
      <c r="BD325" s="102"/>
      <c r="BE325" s="102"/>
      <c r="BF325" s="102"/>
      <c r="BG325" s="102"/>
      <c r="BH325" s="102"/>
      <c r="BI325" s="102"/>
      <c r="BJ325" s="102"/>
      <c r="BK325" s="102"/>
      <c r="BL325" s="102"/>
      <c r="BM325" s="102"/>
      <c r="BN325" s="102"/>
      <c r="BO325" s="102"/>
      <c r="BP325" s="102"/>
      <c r="BQ325" s="102"/>
      <c r="BR325" s="102"/>
      <c r="BS325" s="102"/>
      <c r="BT325" s="102"/>
      <c r="BU325" s="102"/>
      <c r="BV325" s="102"/>
      <c r="BW325" s="102"/>
      <c r="BX325" s="102"/>
      <c r="BY325" s="102"/>
      <c r="BZ325" s="102"/>
      <c r="CA325" s="102"/>
      <c r="CB325" s="102"/>
      <c r="CC325" s="102"/>
      <c r="CD325" s="102"/>
      <c r="CE325" s="102"/>
      <c r="CF325" s="102"/>
      <c r="CG325" s="102"/>
      <c r="CH325" s="102"/>
      <c r="CI325" s="102"/>
      <c r="CJ325" s="102"/>
      <c r="CK325" s="102"/>
      <c r="CL325" s="102"/>
      <c r="CM325" s="102"/>
      <c r="CN325" s="102"/>
      <c r="CO325" s="102"/>
      <c r="CP325" s="102"/>
      <c r="CQ325" s="102"/>
      <c r="CR325" s="102"/>
      <c r="CS325" s="102"/>
      <c r="CT325" s="102"/>
      <c r="CU325" s="102"/>
      <c r="CV325" s="102"/>
      <c r="CW325" s="102"/>
      <c r="CX325" s="102"/>
      <c r="CY325" s="102"/>
      <c r="CZ325" s="102"/>
      <c r="DA325" s="102"/>
      <c r="DB325" s="102"/>
      <c r="DC325" s="102"/>
      <c r="DD325" s="102"/>
      <c r="DE325" s="102"/>
      <c r="DF325" s="102"/>
      <c r="DG325" s="102"/>
      <c r="DH325" s="102"/>
      <c r="DI325" s="102"/>
      <c r="DJ325" s="102"/>
      <c r="DK325" s="102"/>
      <c r="DL325" s="102"/>
      <c r="DM325" s="102"/>
      <c r="DN325" s="102"/>
      <c r="DO325" s="102"/>
      <c r="DP325" s="102"/>
      <c r="DQ325" s="102"/>
      <c r="DR325" s="102"/>
      <c r="DS325" s="102"/>
      <c r="DT325" s="102"/>
      <c r="DU325" s="102"/>
      <c r="DV325" s="102"/>
      <c r="DW325" s="102"/>
      <c r="DX325" s="102"/>
      <c r="DY325" s="102"/>
    </row>
    <row r="326" spans="1:129" s="138" customFormat="1" ht="28.8" x14ac:dyDescent="0.3">
      <c r="A326" s="102" t="s">
        <v>264</v>
      </c>
      <c r="B326" s="166" t="s">
        <v>280</v>
      </c>
      <c r="C326" s="167" t="s">
        <v>315</v>
      </c>
      <c r="D326" s="166" t="s">
        <v>34</v>
      </c>
      <c r="E326" s="166" t="s">
        <v>282</v>
      </c>
      <c r="F326" s="1346" t="s">
        <v>285</v>
      </c>
      <c r="G326" s="168">
        <v>5.5</v>
      </c>
      <c r="H326" s="169">
        <v>115915.72</v>
      </c>
      <c r="I326" s="170" t="s">
        <v>267</v>
      </c>
      <c r="J326" s="169">
        <v>115915.72</v>
      </c>
      <c r="K326" s="1605">
        <f>65298.0800711384</f>
        <v>65298.0800711384</v>
      </c>
      <c r="L326" s="1605">
        <f>65298.0800711384</f>
        <v>65298.0800711384</v>
      </c>
      <c r="M326" s="190" t="s">
        <v>316</v>
      </c>
      <c r="N326" s="171" t="s">
        <v>317</v>
      </c>
      <c r="O326" s="190" t="s">
        <v>318</v>
      </c>
      <c r="P326" s="172" t="s">
        <v>40</v>
      </c>
      <c r="Q326" s="173"/>
      <c r="R326" s="172" t="s">
        <v>64</v>
      </c>
      <c r="S326" s="174"/>
      <c r="T326" s="175"/>
      <c r="U326" s="174"/>
      <c r="V326" s="175" t="s">
        <v>40</v>
      </c>
      <c r="W326" s="174"/>
      <c r="X326" s="175" t="s">
        <v>40</v>
      </c>
      <c r="Y326" s="174"/>
      <c r="Z326" s="175" t="s">
        <v>64</v>
      </c>
      <c r="AA326" s="174"/>
      <c r="AB326" s="175" t="s">
        <v>40</v>
      </c>
      <c r="AC326" s="174"/>
      <c r="AD326" s="174"/>
      <c r="AE326" s="1521">
        <v>46203</v>
      </c>
      <c r="AF326" s="176" t="s">
        <v>247</v>
      </c>
      <c r="AG326" s="177">
        <v>2023</v>
      </c>
      <c r="AH326" s="178">
        <v>573562.56999999995</v>
      </c>
      <c r="AI326" s="739">
        <v>5010120090016</v>
      </c>
      <c r="AJ326" s="179"/>
      <c r="AK326" s="180" t="s">
        <v>43</v>
      </c>
      <c r="AL326" s="166" t="s">
        <v>41</v>
      </c>
      <c r="AM326" s="181">
        <v>0</v>
      </c>
      <c r="AN326" s="182" t="s">
        <v>40</v>
      </c>
      <c r="AO326" s="104"/>
      <c r="AP326" s="104"/>
      <c r="AQ326" s="104"/>
      <c r="AR326" s="104"/>
      <c r="AS326" s="104"/>
      <c r="AT326" s="358"/>
      <c r="AU326" s="102"/>
      <c r="AV326" s="102"/>
      <c r="AW326" s="102"/>
      <c r="AX326" s="102"/>
      <c r="AY326" s="102"/>
      <c r="AZ326" s="102"/>
      <c r="BA326" s="102"/>
      <c r="BB326" s="102"/>
      <c r="BC326" s="102"/>
      <c r="BD326" s="102"/>
      <c r="BE326" s="102"/>
      <c r="BF326" s="102"/>
      <c r="BG326" s="102"/>
      <c r="BH326" s="102"/>
      <c r="BI326" s="102"/>
      <c r="BJ326" s="102"/>
      <c r="BK326" s="102"/>
      <c r="BL326" s="102"/>
      <c r="BM326" s="102"/>
      <c r="BN326" s="102"/>
      <c r="BO326" s="102"/>
      <c r="BP326" s="102"/>
      <c r="BQ326" s="102"/>
      <c r="BR326" s="102"/>
      <c r="BS326" s="102"/>
      <c r="BT326" s="102"/>
      <c r="BU326" s="102"/>
      <c r="BV326" s="102"/>
      <c r="BW326" s="102"/>
      <c r="BX326" s="102"/>
      <c r="BY326" s="102"/>
      <c r="BZ326" s="102"/>
      <c r="CA326" s="102"/>
      <c r="CB326" s="102"/>
      <c r="CC326" s="102"/>
      <c r="CD326" s="102"/>
      <c r="CE326" s="102"/>
      <c r="CF326" s="102"/>
      <c r="CG326" s="102"/>
      <c r="CH326" s="102"/>
      <c r="CI326" s="102"/>
      <c r="CJ326" s="102"/>
      <c r="CK326" s="102"/>
      <c r="CL326" s="102"/>
      <c r="CM326" s="102"/>
      <c r="CN326" s="102"/>
      <c r="CO326" s="102"/>
      <c r="CP326" s="102"/>
      <c r="CQ326" s="102"/>
      <c r="CR326" s="102"/>
      <c r="CS326" s="102"/>
      <c r="CT326" s="102"/>
      <c r="CU326" s="102"/>
      <c r="CV326" s="102"/>
      <c r="CW326" s="102"/>
      <c r="CX326" s="102"/>
      <c r="CY326" s="102"/>
      <c r="CZ326" s="102"/>
      <c r="DA326" s="102"/>
      <c r="DB326" s="102"/>
      <c r="DC326" s="102"/>
      <c r="DD326" s="102"/>
      <c r="DE326" s="102"/>
      <c r="DF326" s="102"/>
      <c r="DG326" s="102"/>
      <c r="DH326" s="102"/>
      <c r="DI326" s="102"/>
      <c r="DJ326" s="102"/>
      <c r="DK326" s="102"/>
      <c r="DL326" s="102"/>
      <c r="DM326" s="102"/>
      <c r="DN326" s="102"/>
      <c r="DO326" s="102"/>
      <c r="DP326" s="102"/>
      <c r="DQ326" s="102"/>
      <c r="DR326" s="102"/>
      <c r="DS326" s="102"/>
      <c r="DT326" s="102"/>
      <c r="DU326" s="102"/>
      <c r="DV326" s="102"/>
      <c r="DW326" s="102"/>
      <c r="DX326" s="102"/>
      <c r="DY326" s="102"/>
    </row>
    <row r="327" spans="1:129" s="138" customFormat="1" ht="28.8" x14ac:dyDescent="0.3">
      <c r="A327" s="102" t="s">
        <v>264</v>
      </c>
      <c r="B327" s="166" t="s">
        <v>280</v>
      </c>
      <c r="C327" s="167" t="s">
        <v>319</v>
      </c>
      <c r="D327" s="166" t="s">
        <v>34</v>
      </c>
      <c r="E327" s="166" t="s">
        <v>282</v>
      </c>
      <c r="F327" s="1346" t="s">
        <v>285</v>
      </c>
      <c r="G327" s="168">
        <v>0.82</v>
      </c>
      <c r="H327" s="169">
        <v>27806.16</v>
      </c>
      <c r="I327" s="170" t="s">
        <v>267</v>
      </c>
      <c r="J327" s="169">
        <v>27806.16</v>
      </c>
      <c r="K327" s="1605">
        <f>23265+23265</f>
        <v>46530</v>
      </c>
      <c r="L327" s="1605">
        <f>23265+23265</f>
        <v>46530</v>
      </c>
      <c r="M327" s="175">
        <f>23265</f>
        <v>23265</v>
      </c>
      <c r="N327" s="175">
        <f>23265</f>
        <v>23265</v>
      </c>
      <c r="O327" s="190" t="s">
        <v>320</v>
      </c>
      <c r="P327" s="172" t="s">
        <v>40</v>
      </c>
      <c r="Q327" s="173"/>
      <c r="R327" s="172" t="s">
        <v>64</v>
      </c>
      <c r="S327" s="174"/>
      <c r="T327" s="175"/>
      <c r="U327" s="174"/>
      <c r="V327" s="175" t="s">
        <v>40</v>
      </c>
      <c r="W327" s="174"/>
      <c r="X327" s="175" t="s">
        <v>40</v>
      </c>
      <c r="Y327" s="174"/>
      <c r="Z327" s="175" t="s">
        <v>64</v>
      </c>
      <c r="AA327" s="174"/>
      <c r="AB327" s="175" t="s">
        <v>40</v>
      </c>
      <c r="AC327" s="174"/>
      <c r="AD327" s="174"/>
      <c r="AE327" s="1521">
        <v>46203</v>
      </c>
      <c r="AF327" s="176" t="s">
        <v>247</v>
      </c>
      <c r="AG327" s="177">
        <v>2023</v>
      </c>
      <c r="AH327" s="178">
        <v>137587.66</v>
      </c>
      <c r="AI327" s="739">
        <v>2780516393703</v>
      </c>
      <c r="AJ327" s="179"/>
      <c r="AK327" s="180" t="s">
        <v>43</v>
      </c>
      <c r="AL327" s="166" t="s">
        <v>41</v>
      </c>
      <c r="AM327" s="181">
        <v>0</v>
      </c>
      <c r="AN327" s="182" t="s">
        <v>40</v>
      </c>
      <c r="AO327" s="104"/>
      <c r="AP327" s="104"/>
      <c r="AQ327" s="104"/>
      <c r="AR327" s="104"/>
      <c r="AS327" s="104"/>
      <c r="AT327" s="358"/>
      <c r="AU327" s="102"/>
      <c r="AV327" s="102"/>
      <c r="AW327" s="102"/>
      <c r="AX327" s="102"/>
      <c r="AY327" s="102"/>
      <c r="AZ327" s="102"/>
      <c r="BA327" s="102"/>
      <c r="BB327" s="102"/>
      <c r="BC327" s="102"/>
      <c r="BD327" s="102"/>
      <c r="BE327" s="102"/>
      <c r="BF327" s="102"/>
      <c r="BG327" s="102"/>
      <c r="BH327" s="102"/>
      <c r="BI327" s="102"/>
      <c r="BJ327" s="102"/>
      <c r="BK327" s="102"/>
      <c r="BL327" s="102"/>
      <c r="BM327" s="102"/>
      <c r="BN327" s="102"/>
      <c r="BO327" s="102"/>
      <c r="BP327" s="102"/>
      <c r="BQ327" s="102"/>
      <c r="BR327" s="102"/>
      <c r="BS327" s="102"/>
      <c r="BT327" s="102"/>
      <c r="BU327" s="102"/>
      <c r="BV327" s="102"/>
      <c r="BW327" s="102"/>
      <c r="BX327" s="102"/>
      <c r="BY327" s="102"/>
      <c r="BZ327" s="102"/>
      <c r="CA327" s="102"/>
      <c r="CB327" s="102"/>
      <c r="CC327" s="102"/>
      <c r="CD327" s="102"/>
      <c r="CE327" s="102"/>
      <c r="CF327" s="102"/>
      <c r="CG327" s="102"/>
      <c r="CH327" s="102"/>
      <c r="CI327" s="102"/>
      <c r="CJ327" s="102"/>
      <c r="CK327" s="102"/>
      <c r="CL327" s="102"/>
      <c r="CM327" s="102"/>
      <c r="CN327" s="102"/>
      <c r="CO327" s="102"/>
      <c r="CP327" s="102"/>
      <c r="CQ327" s="102"/>
      <c r="CR327" s="102"/>
      <c r="CS327" s="102"/>
      <c r="CT327" s="102"/>
      <c r="CU327" s="102"/>
      <c r="CV327" s="102"/>
      <c r="CW327" s="102"/>
      <c r="CX327" s="102"/>
      <c r="CY327" s="102"/>
      <c r="CZ327" s="102"/>
      <c r="DA327" s="102"/>
      <c r="DB327" s="102"/>
      <c r="DC327" s="102"/>
      <c r="DD327" s="102"/>
      <c r="DE327" s="102"/>
      <c r="DF327" s="102"/>
      <c r="DG327" s="102"/>
      <c r="DH327" s="102"/>
      <c r="DI327" s="102"/>
      <c r="DJ327" s="102"/>
      <c r="DK327" s="102"/>
      <c r="DL327" s="102"/>
      <c r="DM327" s="102"/>
      <c r="DN327" s="102"/>
      <c r="DO327" s="102"/>
      <c r="DP327" s="102"/>
      <c r="DQ327" s="102"/>
      <c r="DR327" s="102"/>
      <c r="DS327" s="102"/>
      <c r="DT327" s="102"/>
      <c r="DU327" s="102"/>
      <c r="DV327" s="102"/>
      <c r="DW327" s="102"/>
      <c r="DX327" s="102"/>
      <c r="DY327" s="102"/>
    </row>
    <row r="328" spans="1:129" s="138" customFormat="1" ht="28.8" x14ac:dyDescent="0.3">
      <c r="A328" s="102" t="s">
        <v>264</v>
      </c>
      <c r="B328" s="166" t="s">
        <v>280</v>
      </c>
      <c r="C328" s="167" t="s">
        <v>321</v>
      </c>
      <c r="D328" s="166" t="s">
        <v>34</v>
      </c>
      <c r="E328" s="166" t="s">
        <v>282</v>
      </c>
      <c r="F328" s="1346" t="s">
        <v>285</v>
      </c>
      <c r="G328" s="168">
        <v>1.1299999999999999</v>
      </c>
      <c r="H328" s="169">
        <v>29915.31</v>
      </c>
      <c r="I328" s="170" t="s">
        <v>267</v>
      </c>
      <c r="J328" s="169">
        <v>29915.31</v>
      </c>
      <c r="K328" s="1605">
        <f>21024.88</f>
        <v>21024.880000000001</v>
      </c>
      <c r="L328" s="1605">
        <f>21024.88</f>
        <v>21024.880000000001</v>
      </c>
      <c r="M328" s="190" t="s">
        <v>322</v>
      </c>
      <c r="N328" s="171" t="s">
        <v>323</v>
      </c>
      <c r="O328" s="190" t="s">
        <v>324</v>
      </c>
      <c r="P328" s="172" t="s">
        <v>40</v>
      </c>
      <c r="Q328" s="173"/>
      <c r="R328" s="172" t="s">
        <v>64</v>
      </c>
      <c r="S328" s="174"/>
      <c r="T328" s="175"/>
      <c r="U328" s="174"/>
      <c r="V328" s="175" t="s">
        <v>40</v>
      </c>
      <c r="W328" s="174"/>
      <c r="X328" s="175" t="s">
        <v>40</v>
      </c>
      <c r="Y328" s="174"/>
      <c r="Z328" s="175" t="s">
        <v>64</v>
      </c>
      <c r="AA328" s="174"/>
      <c r="AB328" s="175" t="s">
        <v>40</v>
      </c>
      <c r="AC328" s="174"/>
      <c r="AD328" s="174"/>
      <c r="AE328" s="1521">
        <v>46203</v>
      </c>
      <c r="AF328" s="176" t="s">
        <v>247</v>
      </c>
      <c r="AG328" s="177">
        <v>2023</v>
      </c>
      <c r="AH328" s="178">
        <v>148023.95000000001</v>
      </c>
      <c r="AI328" s="739">
        <v>2890311204493</v>
      </c>
      <c r="AJ328" s="179"/>
      <c r="AK328" s="180" t="s">
        <v>43</v>
      </c>
      <c r="AL328" s="166" t="s">
        <v>41</v>
      </c>
      <c r="AM328" s="181">
        <v>0</v>
      </c>
      <c r="AN328" s="182" t="s">
        <v>40</v>
      </c>
      <c r="AO328" s="104"/>
      <c r="AP328" s="104"/>
      <c r="AQ328" s="104"/>
      <c r="AR328" s="104"/>
      <c r="AS328" s="104"/>
      <c r="AT328" s="358"/>
      <c r="AU328" s="102"/>
      <c r="AV328" s="102"/>
      <c r="AW328" s="102"/>
      <c r="AX328" s="102"/>
      <c r="AY328" s="102"/>
      <c r="AZ328" s="102"/>
      <c r="BA328" s="102"/>
      <c r="BB328" s="102"/>
      <c r="BC328" s="102"/>
      <c r="BD328" s="102"/>
      <c r="BE328" s="102"/>
      <c r="BF328" s="102"/>
      <c r="BG328" s="102"/>
      <c r="BH328" s="102"/>
      <c r="BI328" s="102"/>
      <c r="BJ328" s="102"/>
      <c r="BK328" s="102"/>
      <c r="BL328" s="102"/>
      <c r="BM328" s="102"/>
      <c r="BN328" s="102"/>
      <c r="BO328" s="102"/>
      <c r="BP328" s="102"/>
      <c r="BQ328" s="102"/>
      <c r="BR328" s="102"/>
      <c r="BS328" s="102"/>
      <c r="BT328" s="102"/>
      <c r="BU328" s="102"/>
      <c r="BV328" s="102"/>
      <c r="BW328" s="102"/>
      <c r="BX328" s="102"/>
      <c r="BY328" s="102"/>
      <c r="BZ328" s="102"/>
      <c r="CA328" s="102"/>
      <c r="CB328" s="102"/>
      <c r="CC328" s="102"/>
      <c r="CD328" s="102"/>
      <c r="CE328" s="102"/>
      <c r="CF328" s="102"/>
      <c r="CG328" s="102"/>
      <c r="CH328" s="102"/>
      <c r="CI328" s="102"/>
      <c r="CJ328" s="102"/>
      <c r="CK328" s="102"/>
      <c r="CL328" s="102"/>
      <c r="CM328" s="102"/>
      <c r="CN328" s="102"/>
      <c r="CO328" s="102"/>
      <c r="CP328" s="102"/>
      <c r="CQ328" s="102"/>
      <c r="CR328" s="102"/>
      <c r="CS328" s="102"/>
      <c r="CT328" s="102"/>
      <c r="CU328" s="102"/>
      <c r="CV328" s="102"/>
      <c r="CW328" s="102"/>
      <c r="CX328" s="102"/>
      <c r="CY328" s="102"/>
      <c r="CZ328" s="102"/>
      <c r="DA328" s="102"/>
      <c r="DB328" s="102"/>
      <c r="DC328" s="102"/>
      <c r="DD328" s="102"/>
      <c r="DE328" s="102"/>
      <c r="DF328" s="102"/>
      <c r="DG328" s="102"/>
      <c r="DH328" s="102"/>
      <c r="DI328" s="102"/>
      <c r="DJ328" s="102"/>
      <c r="DK328" s="102"/>
      <c r="DL328" s="102"/>
      <c r="DM328" s="102"/>
      <c r="DN328" s="102"/>
      <c r="DO328" s="102"/>
      <c r="DP328" s="102"/>
      <c r="DQ328" s="102"/>
      <c r="DR328" s="102"/>
      <c r="DS328" s="102"/>
      <c r="DT328" s="102"/>
      <c r="DU328" s="102"/>
      <c r="DV328" s="102"/>
      <c r="DW328" s="102"/>
      <c r="DX328" s="102"/>
      <c r="DY328" s="102"/>
    </row>
    <row r="329" spans="1:129" s="138" customFormat="1" ht="28.8" x14ac:dyDescent="0.3">
      <c r="A329" s="102" t="s">
        <v>264</v>
      </c>
      <c r="B329" s="166" t="s">
        <v>280</v>
      </c>
      <c r="C329" s="167" t="s">
        <v>325</v>
      </c>
      <c r="D329" s="166" t="s">
        <v>34</v>
      </c>
      <c r="E329" s="166" t="s">
        <v>282</v>
      </c>
      <c r="F329" s="1346" t="s">
        <v>285</v>
      </c>
      <c r="G329" s="168">
        <v>14.4</v>
      </c>
      <c r="H329" s="169">
        <v>225671.28</v>
      </c>
      <c r="I329" s="170" t="s">
        <v>267</v>
      </c>
      <c r="J329" s="169">
        <v>225671.28</v>
      </c>
      <c r="K329" s="1605">
        <f>145924.08+145924.079</f>
        <v>291848.15899999999</v>
      </c>
      <c r="L329" s="1605">
        <f>145924.08+145924.079</f>
        <v>291848.15899999999</v>
      </c>
      <c r="M329" s="190" t="s">
        <v>322</v>
      </c>
      <c r="N329" s="171" t="s">
        <v>326</v>
      </c>
      <c r="O329" s="190" t="s">
        <v>327</v>
      </c>
      <c r="P329" s="172" t="s">
        <v>40</v>
      </c>
      <c r="Q329" s="173"/>
      <c r="R329" s="172" t="s">
        <v>64</v>
      </c>
      <c r="S329" s="174"/>
      <c r="T329" s="175"/>
      <c r="U329" s="174"/>
      <c r="V329" s="175" t="s">
        <v>40</v>
      </c>
      <c r="W329" s="174"/>
      <c r="X329" s="175" t="s">
        <v>40</v>
      </c>
      <c r="Y329" s="174"/>
      <c r="Z329" s="175" t="s">
        <v>64</v>
      </c>
      <c r="AA329" s="174"/>
      <c r="AB329" s="175" t="s">
        <v>40</v>
      </c>
      <c r="AC329" s="174"/>
      <c r="AD329" s="174"/>
      <c r="AE329" s="1521">
        <v>46203</v>
      </c>
      <c r="AF329" s="176" t="s">
        <v>247</v>
      </c>
      <c r="AG329" s="177">
        <v>2023</v>
      </c>
      <c r="AH329" s="178">
        <v>1116644.06</v>
      </c>
      <c r="AI329" s="739">
        <v>1701024170427</v>
      </c>
      <c r="AJ329" s="179"/>
      <c r="AK329" s="180" t="s">
        <v>43</v>
      </c>
      <c r="AL329" s="166" t="s">
        <v>41</v>
      </c>
      <c r="AM329" s="181">
        <v>0</v>
      </c>
      <c r="AN329" s="182" t="s">
        <v>40</v>
      </c>
      <c r="AO329" s="104"/>
      <c r="AP329" s="104"/>
      <c r="AQ329" s="104"/>
      <c r="AR329" s="104"/>
      <c r="AS329" s="104"/>
      <c r="AT329" s="358"/>
      <c r="AU329" s="102"/>
      <c r="AV329" s="102"/>
      <c r="AW329" s="102"/>
      <c r="AX329" s="102"/>
      <c r="AY329" s="102"/>
      <c r="AZ329" s="102"/>
      <c r="BA329" s="102"/>
      <c r="BB329" s="102"/>
      <c r="BC329" s="102"/>
      <c r="BD329" s="102"/>
      <c r="BE329" s="102"/>
      <c r="BF329" s="102"/>
      <c r="BG329" s="102"/>
      <c r="BH329" s="102"/>
      <c r="BI329" s="102"/>
      <c r="BJ329" s="102"/>
      <c r="BK329" s="102"/>
      <c r="BL329" s="102"/>
      <c r="BM329" s="102"/>
      <c r="BN329" s="102"/>
      <c r="BO329" s="102"/>
      <c r="BP329" s="102"/>
      <c r="BQ329" s="102"/>
      <c r="BR329" s="102"/>
      <c r="BS329" s="102"/>
      <c r="BT329" s="102"/>
      <c r="BU329" s="102"/>
      <c r="BV329" s="102"/>
      <c r="BW329" s="102"/>
      <c r="BX329" s="102"/>
      <c r="BY329" s="102"/>
      <c r="BZ329" s="102"/>
      <c r="CA329" s="102"/>
      <c r="CB329" s="102"/>
      <c r="CC329" s="102"/>
      <c r="CD329" s="102"/>
      <c r="CE329" s="102"/>
      <c r="CF329" s="102"/>
      <c r="CG329" s="102"/>
      <c r="CH329" s="102"/>
      <c r="CI329" s="102"/>
      <c r="CJ329" s="102"/>
      <c r="CK329" s="102"/>
      <c r="CL329" s="102"/>
      <c r="CM329" s="102"/>
      <c r="CN329" s="102"/>
      <c r="CO329" s="102"/>
      <c r="CP329" s="102"/>
      <c r="CQ329" s="102"/>
      <c r="CR329" s="102"/>
      <c r="CS329" s="102"/>
      <c r="CT329" s="102"/>
      <c r="CU329" s="102"/>
      <c r="CV329" s="102"/>
      <c r="CW329" s="102"/>
      <c r="CX329" s="102"/>
      <c r="CY329" s="102"/>
      <c r="CZ329" s="102"/>
      <c r="DA329" s="102"/>
      <c r="DB329" s="102"/>
      <c r="DC329" s="102"/>
      <c r="DD329" s="102"/>
      <c r="DE329" s="102"/>
      <c r="DF329" s="102"/>
      <c r="DG329" s="102"/>
      <c r="DH329" s="102"/>
      <c r="DI329" s="102"/>
      <c r="DJ329" s="102"/>
      <c r="DK329" s="102"/>
      <c r="DL329" s="102"/>
      <c r="DM329" s="102"/>
      <c r="DN329" s="102"/>
      <c r="DO329" s="102"/>
      <c r="DP329" s="102"/>
      <c r="DQ329" s="102"/>
      <c r="DR329" s="102"/>
      <c r="DS329" s="102"/>
      <c r="DT329" s="102"/>
      <c r="DU329" s="102"/>
      <c r="DV329" s="102"/>
      <c r="DW329" s="102"/>
      <c r="DX329" s="102"/>
      <c r="DY329" s="102"/>
    </row>
    <row r="330" spans="1:129" s="746" customFormat="1" ht="28.8" x14ac:dyDescent="0.3">
      <c r="A330" s="741" t="s">
        <v>264</v>
      </c>
      <c r="B330" s="201" t="s">
        <v>280</v>
      </c>
      <c r="C330" s="433" t="s">
        <v>328</v>
      </c>
      <c r="D330" s="201" t="s">
        <v>34</v>
      </c>
      <c r="E330" s="201" t="s">
        <v>282</v>
      </c>
      <c r="F330" s="1348" t="s">
        <v>285</v>
      </c>
      <c r="G330" s="742">
        <v>0.69</v>
      </c>
      <c r="H330" s="743">
        <v>18598.05</v>
      </c>
      <c r="I330" s="744" t="s">
        <v>267</v>
      </c>
      <c r="J330" s="743">
        <v>18598.05</v>
      </c>
      <c r="K330" s="1608">
        <f>13315.41+13315.409</f>
        <v>26630.819</v>
      </c>
      <c r="L330" s="1608">
        <f>13315.41+13315.409</f>
        <v>26630.819</v>
      </c>
      <c r="M330" s="191" t="s">
        <v>80</v>
      </c>
      <c r="N330" s="192" t="s">
        <v>329</v>
      </c>
      <c r="O330" s="191" t="s">
        <v>330</v>
      </c>
      <c r="P330" s="193" t="s">
        <v>40</v>
      </c>
      <c r="Q330" s="194"/>
      <c r="R330" s="193" t="s">
        <v>64</v>
      </c>
      <c r="S330" s="195"/>
      <c r="T330" s="196"/>
      <c r="U330" s="195"/>
      <c r="V330" s="196" t="s">
        <v>40</v>
      </c>
      <c r="W330" s="195"/>
      <c r="X330" s="196" t="s">
        <v>40</v>
      </c>
      <c r="Y330" s="195"/>
      <c r="Z330" s="196" t="s">
        <v>64</v>
      </c>
      <c r="AA330" s="195"/>
      <c r="AB330" s="196" t="s">
        <v>40</v>
      </c>
      <c r="AC330" s="195"/>
      <c r="AD330" s="195"/>
      <c r="AE330" s="1524">
        <v>46203</v>
      </c>
      <c r="AF330" s="197" t="s">
        <v>247</v>
      </c>
      <c r="AG330" s="198">
        <v>2023</v>
      </c>
      <c r="AH330" s="199">
        <v>92025.01</v>
      </c>
      <c r="AI330" s="739">
        <v>1751212393706</v>
      </c>
      <c r="AJ330" s="179"/>
      <c r="AK330" s="200" t="s">
        <v>43</v>
      </c>
      <c r="AL330" s="201" t="s">
        <v>41</v>
      </c>
      <c r="AM330" s="202">
        <v>0</v>
      </c>
      <c r="AN330" s="203" t="s">
        <v>40</v>
      </c>
      <c r="AO330" s="204"/>
      <c r="AP330" s="204"/>
      <c r="AQ330" s="204"/>
      <c r="AR330" s="204"/>
      <c r="AS330" s="204"/>
      <c r="AT330" s="745"/>
      <c r="AU330" s="741"/>
      <c r="AV330" s="741"/>
      <c r="AW330" s="741"/>
      <c r="AX330" s="741"/>
      <c r="AY330" s="741"/>
      <c r="AZ330" s="741"/>
      <c r="BA330" s="741"/>
      <c r="BB330" s="741"/>
      <c r="BC330" s="741"/>
      <c r="BD330" s="741"/>
      <c r="BE330" s="741"/>
      <c r="BF330" s="741"/>
      <c r="BG330" s="741"/>
      <c r="BH330" s="741"/>
      <c r="BI330" s="741"/>
      <c r="BJ330" s="741"/>
      <c r="BK330" s="741"/>
      <c r="BL330" s="741"/>
      <c r="BM330" s="741"/>
      <c r="BN330" s="741"/>
      <c r="BO330" s="741"/>
      <c r="BP330" s="741"/>
      <c r="BQ330" s="741"/>
      <c r="BR330" s="741"/>
      <c r="BS330" s="741"/>
      <c r="BT330" s="741"/>
      <c r="BU330" s="741"/>
      <c r="BV330" s="741"/>
      <c r="BW330" s="741"/>
      <c r="BX330" s="741"/>
      <c r="BY330" s="741"/>
      <c r="BZ330" s="741"/>
      <c r="CA330" s="741"/>
      <c r="CB330" s="741"/>
      <c r="CC330" s="741"/>
      <c r="CD330" s="741"/>
      <c r="CE330" s="741"/>
      <c r="CF330" s="741"/>
      <c r="CG330" s="741"/>
      <c r="CH330" s="741"/>
      <c r="CI330" s="741"/>
      <c r="CJ330" s="741"/>
      <c r="CK330" s="741"/>
      <c r="CL330" s="741"/>
      <c r="CM330" s="741"/>
      <c r="CN330" s="741"/>
      <c r="CO330" s="741"/>
      <c r="CP330" s="741"/>
      <c r="CQ330" s="741"/>
      <c r="CR330" s="741"/>
      <c r="CS330" s="741"/>
      <c r="CT330" s="741"/>
      <c r="CU330" s="741"/>
      <c r="CV330" s="741"/>
      <c r="CW330" s="741"/>
      <c r="CX330" s="741"/>
      <c r="CY330" s="741"/>
      <c r="CZ330" s="741"/>
      <c r="DA330" s="741"/>
      <c r="DB330" s="741"/>
      <c r="DC330" s="741"/>
      <c r="DD330" s="741"/>
      <c r="DE330" s="741"/>
      <c r="DF330" s="741"/>
      <c r="DG330" s="741"/>
      <c r="DH330" s="741"/>
      <c r="DI330" s="741"/>
      <c r="DJ330" s="741"/>
      <c r="DK330" s="741"/>
      <c r="DL330" s="741"/>
      <c r="DM330" s="741"/>
      <c r="DN330" s="741"/>
      <c r="DO330" s="741"/>
      <c r="DP330" s="741"/>
      <c r="DQ330" s="741"/>
      <c r="DR330" s="741"/>
      <c r="DS330" s="741"/>
      <c r="DT330" s="741"/>
      <c r="DU330" s="741"/>
      <c r="DV330" s="741"/>
      <c r="DW330" s="741"/>
      <c r="DX330" s="741"/>
      <c r="DY330" s="741"/>
    </row>
    <row r="331" spans="1:129" s="307" customFormat="1" ht="43.2" x14ac:dyDescent="0.3">
      <c r="A331" s="307" t="s">
        <v>264</v>
      </c>
      <c r="B331" s="214" t="s">
        <v>280</v>
      </c>
      <c r="C331" s="438" t="s">
        <v>331</v>
      </c>
      <c r="D331" s="214" t="s">
        <v>34</v>
      </c>
      <c r="E331" s="214" t="s">
        <v>282</v>
      </c>
      <c r="F331" s="1349" t="s">
        <v>285</v>
      </c>
      <c r="G331" s="747">
        <v>14.12</v>
      </c>
      <c r="H331" s="605">
        <v>396209.98</v>
      </c>
      <c r="I331" s="748" t="s">
        <v>267</v>
      </c>
      <c r="J331" s="605">
        <v>396209.98</v>
      </c>
      <c r="K331" s="1609">
        <f>291057.64030638</f>
        <v>291057.64030638</v>
      </c>
      <c r="L331" s="1609">
        <f>291057.64030638</f>
        <v>291057.64030638</v>
      </c>
      <c r="M331" s="205" t="s">
        <v>332</v>
      </c>
      <c r="N331" s="205" t="s">
        <v>333</v>
      </c>
      <c r="O331" s="206" t="s">
        <v>334</v>
      </c>
      <c r="P331" s="207" t="s">
        <v>40</v>
      </c>
      <c r="Q331" s="208"/>
      <c r="R331" s="207" t="s">
        <v>64</v>
      </c>
      <c r="S331" s="208"/>
      <c r="T331" s="207"/>
      <c r="U331" s="208"/>
      <c r="V331" s="207" t="s">
        <v>40</v>
      </c>
      <c r="W331" s="208"/>
      <c r="X331" s="207" t="s">
        <v>40</v>
      </c>
      <c r="Y331" s="208"/>
      <c r="Z331" s="207" t="s">
        <v>64</v>
      </c>
      <c r="AA331" s="208"/>
      <c r="AB331" s="207" t="s">
        <v>40</v>
      </c>
      <c r="AC331" s="208"/>
      <c r="AD331" s="208"/>
      <c r="AE331" s="1525">
        <v>46203</v>
      </c>
      <c r="AF331" s="209" t="s">
        <v>247</v>
      </c>
      <c r="AG331" s="210">
        <v>2023</v>
      </c>
      <c r="AH331" s="211">
        <v>1960486.6</v>
      </c>
      <c r="AI331" s="749">
        <v>31114331</v>
      </c>
      <c r="AJ331" s="212"/>
      <c r="AK331" s="213" t="s">
        <v>43</v>
      </c>
      <c r="AL331" s="214" t="s">
        <v>41</v>
      </c>
      <c r="AM331" s="215">
        <v>0</v>
      </c>
      <c r="AN331" s="216" t="s">
        <v>40</v>
      </c>
      <c r="AO331" s="104"/>
      <c r="AP331" s="104"/>
      <c r="AQ331" s="104"/>
      <c r="AR331" s="104"/>
      <c r="AS331" s="104"/>
      <c r="AT331" s="306"/>
    </row>
    <row r="332" spans="1:129" s="217" customFormat="1" ht="28.8" x14ac:dyDescent="0.3">
      <c r="A332" s="102" t="s">
        <v>264</v>
      </c>
      <c r="B332" s="223" t="s">
        <v>280</v>
      </c>
      <c r="C332" s="750" t="s">
        <v>335</v>
      </c>
      <c r="D332" s="223" t="s">
        <v>34</v>
      </c>
      <c r="E332" s="223" t="s">
        <v>282</v>
      </c>
      <c r="F332" s="1350" t="s">
        <v>285</v>
      </c>
      <c r="G332" s="217">
        <v>19.14</v>
      </c>
      <c r="H332" s="751">
        <v>227687.82</v>
      </c>
      <c r="I332" s="441" t="s">
        <v>267</v>
      </c>
      <c r="J332" s="751">
        <v>227687.82</v>
      </c>
      <c r="K332" s="1606">
        <f>131915.929</f>
        <v>131915.929</v>
      </c>
      <c r="L332" s="1606">
        <f>131915.929</f>
        <v>131915.929</v>
      </c>
      <c r="M332" s="217" t="s">
        <v>80</v>
      </c>
      <c r="N332" s="217" t="s">
        <v>336</v>
      </c>
      <c r="O332" s="217" t="s">
        <v>337</v>
      </c>
      <c r="P332" s="172" t="s">
        <v>40</v>
      </c>
      <c r="Q332" s="173"/>
      <c r="R332" s="172" t="s">
        <v>64</v>
      </c>
      <c r="S332" s="173"/>
      <c r="T332" s="172"/>
      <c r="U332" s="173"/>
      <c r="V332" s="172" t="s">
        <v>40</v>
      </c>
      <c r="W332" s="172"/>
      <c r="X332" s="172" t="s">
        <v>40</v>
      </c>
      <c r="Y332" s="173"/>
      <c r="Z332" s="172" t="s">
        <v>64</v>
      </c>
      <c r="AB332" s="172" t="s">
        <v>40</v>
      </c>
      <c r="AD332" s="173"/>
      <c r="AE332" s="1526">
        <v>46203</v>
      </c>
      <c r="AF332" s="218" t="s">
        <v>247</v>
      </c>
      <c r="AG332" s="219">
        <v>2023</v>
      </c>
      <c r="AH332" s="220">
        <v>1126622.1000000001</v>
      </c>
      <c r="AI332" s="739">
        <v>1790725170356</v>
      </c>
      <c r="AJ332" s="221"/>
      <c r="AK332" s="222" t="s">
        <v>43</v>
      </c>
      <c r="AL332" s="223" t="s">
        <v>41</v>
      </c>
      <c r="AM332" s="224">
        <v>0</v>
      </c>
      <c r="AN332" s="225" t="s">
        <v>40</v>
      </c>
      <c r="AO332" s="226"/>
      <c r="AP332" s="226"/>
      <c r="AQ332" s="226"/>
      <c r="AR332" s="226"/>
      <c r="AS332" s="226"/>
      <c r="AT332" s="752"/>
    </row>
    <row r="333" spans="1:129" s="217" customFormat="1" ht="28.8" x14ac:dyDescent="0.3">
      <c r="A333" s="102" t="s">
        <v>264</v>
      </c>
      <c r="B333" s="223" t="s">
        <v>280</v>
      </c>
      <c r="C333" s="750" t="s">
        <v>338</v>
      </c>
      <c r="D333" s="223" t="s">
        <v>34</v>
      </c>
      <c r="E333" s="223" t="s">
        <v>282</v>
      </c>
      <c r="F333" s="1350" t="s">
        <v>285</v>
      </c>
      <c r="G333" s="217">
        <v>0.72070000000000001</v>
      </c>
      <c r="H333" s="751">
        <v>21255.27</v>
      </c>
      <c r="I333" s="441" t="s">
        <v>267</v>
      </c>
      <c r="J333" s="751">
        <v>21255.27</v>
      </c>
      <c r="K333" s="1606">
        <v>0</v>
      </c>
      <c r="L333" s="1606">
        <v>0</v>
      </c>
      <c r="M333" s="217" t="s">
        <v>339</v>
      </c>
      <c r="N333" s="217" t="s">
        <v>340</v>
      </c>
      <c r="O333" s="217" t="s">
        <v>341</v>
      </c>
      <c r="P333" s="172" t="s">
        <v>40</v>
      </c>
      <c r="Q333" s="173"/>
      <c r="R333" s="172" t="s">
        <v>64</v>
      </c>
      <c r="S333" s="173"/>
      <c r="T333" s="172"/>
      <c r="U333" s="173"/>
      <c r="V333" s="172" t="s">
        <v>40</v>
      </c>
      <c r="W333" s="173"/>
      <c r="X333" s="172" t="s">
        <v>40</v>
      </c>
      <c r="Y333" s="173"/>
      <c r="Z333" s="172" t="s">
        <v>64</v>
      </c>
      <c r="AB333" s="172" t="s">
        <v>40</v>
      </c>
      <c r="AD333" s="173"/>
      <c r="AE333" s="1526">
        <v>46203</v>
      </c>
      <c r="AF333" s="218" t="s">
        <v>247</v>
      </c>
      <c r="AG333" s="219">
        <v>2023</v>
      </c>
      <c r="AH333" s="220">
        <v>105173.2</v>
      </c>
      <c r="AI333" s="739">
        <v>1810911170083</v>
      </c>
      <c r="AJ333" s="221"/>
      <c r="AK333" s="222" t="s">
        <v>43</v>
      </c>
      <c r="AL333" s="223" t="s">
        <v>41</v>
      </c>
      <c r="AM333" s="224">
        <v>0</v>
      </c>
      <c r="AN333" s="225" t="s">
        <v>40</v>
      </c>
      <c r="AO333" s="226"/>
      <c r="AP333" s="226"/>
      <c r="AQ333" s="226"/>
      <c r="AR333" s="226"/>
      <c r="AS333" s="226"/>
      <c r="AT333" s="752"/>
    </row>
    <row r="334" spans="1:129" s="217" customFormat="1" ht="28.8" x14ac:dyDescent="0.3">
      <c r="A334" s="102" t="s">
        <v>264</v>
      </c>
      <c r="B334" s="223" t="s">
        <v>280</v>
      </c>
      <c r="C334" s="750" t="s">
        <v>342</v>
      </c>
      <c r="D334" s="223" t="s">
        <v>34</v>
      </c>
      <c r="E334" s="223" t="s">
        <v>282</v>
      </c>
      <c r="F334" s="1350" t="s">
        <v>285</v>
      </c>
      <c r="G334" s="217">
        <v>1.5763</v>
      </c>
      <c r="H334" s="751">
        <v>29503.99</v>
      </c>
      <c r="I334" s="441" t="s">
        <v>267</v>
      </c>
      <c r="J334" s="751">
        <v>29503.99</v>
      </c>
      <c r="K334" s="1606">
        <f>18717.849</f>
        <v>18717.848999999998</v>
      </c>
      <c r="L334" s="1606">
        <f>18717.849</f>
        <v>18717.848999999998</v>
      </c>
      <c r="M334" s="217" t="s">
        <v>339</v>
      </c>
      <c r="N334" s="217" t="s">
        <v>343</v>
      </c>
      <c r="O334" s="217" t="s">
        <v>344</v>
      </c>
      <c r="P334" s="172" t="s">
        <v>40</v>
      </c>
      <c r="Q334" s="173"/>
      <c r="R334" s="172" t="s">
        <v>41</v>
      </c>
      <c r="S334" s="173"/>
      <c r="T334" s="172"/>
      <c r="U334" s="173"/>
      <c r="V334" s="172" t="s">
        <v>40</v>
      </c>
      <c r="W334" s="173"/>
      <c r="X334" s="172" t="s">
        <v>40</v>
      </c>
      <c r="Y334" s="173"/>
      <c r="Z334" s="172" t="s">
        <v>64</v>
      </c>
      <c r="AB334" s="172" t="s">
        <v>40</v>
      </c>
      <c r="AD334" s="173"/>
      <c r="AE334" s="1526">
        <v>46203</v>
      </c>
      <c r="AF334" s="218" t="s">
        <v>247</v>
      </c>
      <c r="AG334" s="219">
        <v>2023</v>
      </c>
      <c r="AH334" s="227">
        <v>145988.69</v>
      </c>
      <c r="AI334" s="739">
        <v>34454109</v>
      </c>
      <c r="AJ334" s="228"/>
      <c r="AK334" s="222" t="s">
        <v>43</v>
      </c>
      <c r="AL334" s="223" t="s">
        <v>41</v>
      </c>
      <c r="AM334" s="224">
        <v>0</v>
      </c>
      <c r="AN334" s="225" t="s">
        <v>345</v>
      </c>
      <c r="AO334" s="226"/>
      <c r="AP334" s="226"/>
      <c r="AQ334" s="226"/>
      <c r="AR334" s="226"/>
      <c r="AS334" s="226"/>
      <c r="AT334" s="752"/>
    </row>
    <row r="335" spans="1:129" s="138" customFormat="1" ht="28.8" x14ac:dyDescent="0.3">
      <c r="A335" s="102" t="s">
        <v>264</v>
      </c>
      <c r="B335" s="166" t="s">
        <v>280</v>
      </c>
      <c r="C335" s="445" t="s">
        <v>346</v>
      </c>
      <c r="D335" s="166" t="s">
        <v>34</v>
      </c>
      <c r="E335" s="166" t="s">
        <v>282</v>
      </c>
      <c r="F335" s="1346" t="s">
        <v>285</v>
      </c>
      <c r="G335" s="753">
        <v>2.93</v>
      </c>
      <c r="H335" s="323">
        <v>51015.85</v>
      </c>
      <c r="I335" s="170" t="s">
        <v>267</v>
      </c>
      <c r="J335" s="323">
        <v>51015.85</v>
      </c>
      <c r="K335" s="1605">
        <v>0</v>
      </c>
      <c r="L335" s="1605">
        <v>0</v>
      </c>
      <c r="M335" s="229" t="s">
        <v>200</v>
      </c>
      <c r="N335" s="230" t="s">
        <v>347</v>
      </c>
      <c r="O335" s="230" t="s">
        <v>348</v>
      </c>
      <c r="P335" s="172" t="s">
        <v>40</v>
      </c>
      <c r="Q335" s="173"/>
      <c r="R335" s="172" t="s">
        <v>64</v>
      </c>
      <c r="S335" s="174"/>
      <c r="T335" s="175"/>
      <c r="U335" s="174"/>
      <c r="V335" s="175" t="s">
        <v>40</v>
      </c>
      <c r="W335" s="174"/>
      <c r="X335" s="175" t="s">
        <v>40</v>
      </c>
      <c r="Y335" s="174"/>
      <c r="Z335" s="175" t="s">
        <v>64</v>
      </c>
      <c r="AA335" s="174"/>
      <c r="AB335" s="175" t="s">
        <v>40</v>
      </c>
      <c r="AC335" s="174"/>
      <c r="AD335" s="174"/>
      <c r="AE335" s="1521">
        <v>46203</v>
      </c>
      <c r="AF335" s="176" t="s">
        <v>247</v>
      </c>
      <c r="AG335" s="177">
        <v>2023</v>
      </c>
      <c r="AH335" s="231">
        <v>252431.53</v>
      </c>
      <c r="AI335" s="739" t="s">
        <v>349</v>
      </c>
      <c r="AJ335" s="232"/>
      <c r="AK335" s="180" t="s">
        <v>43</v>
      </c>
      <c r="AL335" s="166" t="s">
        <v>41</v>
      </c>
      <c r="AM335" s="181">
        <v>0</v>
      </c>
      <c r="AN335" s="182" t="s">
        <v>40</v>
      </c>
      <c r="AO335" s="104"/>
      <c r="AP335" s="104"/>
      <c r="AQ335" s="104"/>
      <c r="AR335" s="104"/>
      <c r="AS335" s="104"/>
      <c r="AT335" s="358"/>
      <c r="AU335" s="102"/>
      <c r="AV335" s="102"/>
      <c r="AW335" s="102"/>
      <c r="AX335" s="102"/>
      <c r="AY335" s="102"/>
      <c r="AZ335" s="102"/>
      <c r="BA335" s="102"/>
      <c r="BB335" s="102"/>
      <c r="BC335" s="102"/>
      <c r="BD335" s="102"/>
      <c r="BE335" s="102"/>
      <c r="BF335" s="102"/>
      <c r="BG335" s="102"/>
      <c r="BH335" s="102"/>
      <c r="BI335" s="102"/>
      <c r="BJ335" s="102"/>
      <c r="BK335" s="102"/>
      <c r="BL335" s="102"/>
      <c r="BM335" s="102"/>
      <c r="BN335" s="102"/>
      <c r="BO335" s="102"/>
      <c r="BP335" s="102"/>
      <c r="BQ335" s="102"/>
      <c r="BR335" s="102"/>
      <c r="BS335" s="102"/>
      <c r="BT335" s="102"/>
      <c r="BU335" s="102"/>
      <c r="BV335" s="102"/>
      <c r="BW335" s="102"/>
      <c r="BX335" s="102"/>
      <c r="BY335" s="102"/>
      <c r="BZ335" s="102"/>
      <c r="CA335" s="102"/>
      <c r="CB335" s="102"/>
      <c r="CC335" s="102"/>
      <c r="CD335" s="102"/>
      <c r="CE335" s="102"/>
      <c r="CF335" s="102"/>
      <c r="CG335" s="102"/>
      <c r="CH335" s="102"/>
      <c r="CI335" s="102"/>
      <c r="CJ335" s="102"/>
      <c r="CK335" s="102"/>
      <c r="CL335" s="102"/>
      <c r="CM335" s="102"/>
      <c r="CN335" s="102"/>
      <c r="CO335" s="102"/>
      <c r="CP335" s="102"/>
      <c r="CQ335" s="102"/>
      <c r="CR335" s="102"/>
      <c r="CS335" s="102"/>
      <c r="CT335" s="102"/>
      <c r="CU335" s="102"/>
      <c r="CV335" s="102"/>
      <c r="CW335" s="102"/>
      <c r="CX335" s="102"/>
      <c r="CY335" s="102"/>
      <c r="CZ335" s="102"/>
      <c r="DA335" s="102"/>
      <c r="DB335" s="102"/>
      <c r="DC335" s="102"/>
      <c r="DD335" s="102"/>
      <c r="DE335" s="102"/>
      <c r="DF335" s="102"/>
      <c r="DG335" s="102"/>
      <c r="DH335" s="102"/>
      <c r="DI335" s="102"/>
      <c r="DJ335" s="102"/>
      <c r="DK335" s="102"/>
      <c r="DL335" s="102"/>
      <c r="DM335" s="102"/>
      <c r="DN335" s="102"/>
      <c r="DO335" s="102"/>
      <c r="DP335" s="102"/>
      <c r="DQ335" s="102"/>
      <c r="DR335" s="102"/>
      <c r="DS335" s="102"/>
      <c r="DT335" s="102"/>
      <c r="DU335" s="102"/>
      <c r="DV335" s="102"/>
      <c r="DW335" s="102"/>
      <c r="DX335" s="102"/>
      <c r="DY335" s="102"/>
    </row>
    <row r="336" spans="1:129" s="138" customFormat="1" ht="28.8" x14ac:dyDescent="0.3">
      <c r="A336" s="102" t="s">
        <v>264</v>
      </c>
      <c r="B336" s="166" t="s">
        <v>280</v>
      </c>
      <c r="C336" s="445" t="s">
        <v>350</v>
      </c>
      <c r="D336" s="166" t="s">
        <v>34</v>
      </c>
      <c r="E336" s="166" t="s">
        <v>282</v>
      </c>
      <c r="F336" s="1346" t="s">
        <v>285</v>
      </c>
      <c r="G336" s="753">
        <v>5</v>
      </c>
      <c r="H336" s="323">
        <v>109548.18</v>
      </c>
      <c r="I336" s="170" t="s">
        <v>267</v>
      </c>
      <c r="J336" s="323">
        <v>109548.18</v>
      </c>
      <c r="K336" s="1605">
        <f>71268.179</f>
        <v>71268.179000000004</v>
      </c>
      <c r="L336" s="1605">
        <f>71268.179</f>
        <v>71268.179000000004</v>
      </c>
      <c r="M336" s="230" t="s">
        <v>351</v>
      </c>
      <c r="N336" s="230" t="s">
        <v>352</v>
      </c>
      <c r="O336" s="230" t="s">
        <v>353</v>
      </c>
      <c r="P336" s="172" t="s">
        <v>40</v>
      </c>
      <c r="Q336" s="173"/>
      <c r="R336" s="172" t="s">
        <v>64</v>
      </c>
      <c r="S336" s="174"/>
      <c r="T336" s="175"/>
      <c r="U336" s="174"/>
      <c r="V336" s="175" t="s">
        <v>40</v>
      </c>
      <c r="W336" s="174"/>
      <c r="X336" s="175" t="s">
        <v>40</v>
      </c>
      <c r="Y336" s="174"/>
      <c r="Z336" s="175" t="s">
        <v>64</v>
      </c>
      <c r="AA336" s="174"/>
      <c r="AB336" s="175" t="s">
        <v>40</v>
      </c>
      <c r="AC336" s="174"/>
      <c r="AD336" s="174"/>
      <c r="AE336" s="1521">
        <v>46203</v>
      </c>
      <c r="AF336" s="176" t="s">
        <v>247</v>
      </c>
      <c r="AG336" s="177">
        <v>2023</v>
      </c>
      <c r="AH336" s="231">
        <v>542055.35</v>
      </c>
      <c r="AI336" s="739" t="s">
        <v>354</v>
      </c>
      <c r="AJ336" s="232"/>
      <c r="AK336" s="180" t="s">
        <v>43</v>
      </c>
      <c r="AL336" s="166" t="s">
        <v>41</v>
      </c>
      <c r="AM336" s="181">
        <v>0</v>
      </c>
      <c r="AN336" s="182" t="s">
        <v>40</v>
      </c>
      <c r="AO336" s="104"/>
      <c r="AP336" s="104"/>
      <c r="AQ336" s="104"/>
      <c r="AR336" s="104"/>
      <c r="AS336" s="104"/>
      <c r="AT336" s="358"/>
      <c r="AU336" s="102"/>
      <c r="AV336" s="102"/>
      <c r="AW336" s="102"/>
      <c r="AX336" s="102"/>
      <c r="AY336" s="102"/>
      <c r="AZ336" s="102"/>
      <c r="BA336" s="102"/>
      <c r="BB336" s="102"/>
      <c r="BC336" s="102"/>
      <c r="BD336" s="102"/>
      <c r="BE336" s="102"/>
      <c r="BF336" s="102"/>
      <c r="BG336" s="102"/>
      <c r="BH336" s="102"/>
      <c r="BI336" s="102"/>
      <c r="BJ336" s="102"/>
      <c r="BK336" s="102"/>
      <c r="BL336" s="102"/>
      <c r="BM336" s="102"/>
      <c r="BN336" s="102"/>
      <c r="BO336" s="102"/>
      <c r="BP336" s="102"/>
      <c r="BQ336" s="102"/>
      <c r="BR336" s="102"/>
      <c r="BS336" s="102"/>
      <c r="BT336" s="102"/>
      <c r="BU336" s="102"/>
      <c r="BV336" s="102"/>
      <c r="BW336" s="102"/>
      <c r="BX336" s="102"/>
      <c r="BY336" s="102"/>
      <c r="BZ336" s="102"/>
      <c r="CA336" s="102"/>
      <c r="CB336" s="102"/>
      <c r="CC336" s="102"/>
      <c r="CD336" s="102"/>
      <c r="CE336" s="102"/>
      <c r="CF336" s="102"/>
      <c r="CG336" s="102"/>
      <c r="CH336" s="102"/>
      <c r="CI336" s="102"/>
      <c r="CJ336" s="102"/>
      <c r="CK336" s="102"/>
      <c r="CL336" s="102"/>
      <c r="CM336" s="102"/>
      <c r="CN336" s="102"/>
      <c r="CO336" s="102"/>
      <c r="CP336" s="102"/>
      <c r="CQ336" s="102"/>
      <c r="CR336" s="102"/>
      <c r="CS336" s="102"/>
      <c r="CT336" s="102"/>
      <c r="CU336" s="102"/>
      <c r="CV336" s="102"/>
      <c r="CW336" s="102"/>
      <c r="CX336" s="102"/>
      <c r="CY336" s="102"/>
      <c r="CZ336" s="102"/>
      <c r="DA336" s="102"/>
      <c r="DB336" s="102"/>
      <c r="DC336" s="102"/>
      <c r="DD336" s="102"/>
      <c r="DE336" s="102"/>
      <c r="DF336" s="102"/>
      <c r="DG336" s="102"/>
      <c r="DH336" s="102"/>
      <c r="DI336" s="102"/>
      <c r="DJ336" s="102"/>
      <c r="DK336" s="102"/>
      <c r="DL336" s="102"/>
      <c r="DM336" s="102"/>
      <c r="DN336" s="102"/>
      <c r="DO336" s="102"/>
      <c r="DP336" s="102"/>
      <c r="DQ336" s="102"/>
      <c r="DR336" s="102"/>
      <c r="DS336" s="102"/>
      <c r="DT336" s="102"/>
      <c r="DU336" s="102"/>
      <c r="DV336" s="102"/>
      <c r="DW336" s="102"/>
      <c r="DX336" s="102"/>
      <c r="DY336" s="102"/>
    </row>
    <row r="337" spans="1:46" s="102" customFormat="1" ht="28.8" x14ac:dyDescent="0.3">
      <c r="A337" s="102" t="s">
        <v>264</v>
      </c>
      <c r="B337" s="223" t="s">
        <v>280</v>
      </c>
      <c r="C337" s="750" t="s">
        <v>355</v>
      </c>
      <c r="D337" s="223" t="s">
        <v>34</v>
      </c>
      <c r="E337" s="223" t="s">
        <v>282</v>
      </c>
      <c r="F337" s="1350" t="s">
        <v>285</v>
      </c>
      <c r="G337" s="217">
        <v>2.5219</v>
      </c>
      <c r="H337" s="751">
        <v>52460.639999999999</v>
      </c>
      <c r="I337" s="441" t="s">
        <v>267</v>
      </c>
      <c r="J337" s="751">
        <v>52460.639999999999</v>
      </c>
      <c r="K337" s="1606">
        <f>32504.54+32504.539</f>
        <v>65009.078999999998</v>
      </c>
      <c r="L337" s="1606">
        <f>32504.54+32504.539</f>
        <v>65009.078999999998</v>
      </c>
      <c r="M337" s="217" t="s">
        <v>351</v>
      </c>
      <c r="N337" s="217" t="s">
        <v>356</v>
      </c>
      <c r="O337" s="217" t="s">
        <v>357</v>
      </c>
      <c r="P337" s="172" t="s">
        <v>40</v>
      </c>
      <c r="Q337" s="173"/>
      <c r="R337" s="172" t="s">
        <v>64</v>
      </c>
      <c r="S337" s="173"/>
      <c r="T337" s="172"/>
      <c r="U337" s="173"/>
      <c r="V337" s="172" t="s">
        <v>40</v>
      </c>
      <c r="W337" s="173"/>
      <c r="X337" s="172" t="s">
        <v>40</v>
      </c>
      <c r="Y337" s="173"/>
      <c r="Z337" s="172" t="s">
        <v>64</v>
      </c>
      <c r="AA337" s="173"/>
      <c r="AB337" s="172" t="s">
        <v>40</v>
      </c>
      <c r="AC337" s="173"/>
      <c r="AD337" s="173"/>
      <c r="AE337" s="1526">
        <v>46203</v>
      </c>
      <c r="AF337" s="218" t="s">
        <v>247</v>
      </c>
      <c r="AG337" s="219">
        <v>2023</v>
      </c>
      <c r="AH337" s="231">
        <v>259580.492784</v>
      </c>
      <c r="AI337" s="739" t="s">
        <v>358</v>
      </c>
      <c r="AJ337" s="232"/>
      <c r="AK337" s="222" t="s">
        <v>43</v>
      </c>
      <c r="AL337" s="223" t="s">
        <v>41</v>
      </c>
      <c r="AM337" s="224">
        <v>0</v>
      </c>
      <c r="AN337" s="225" t="s">
        <v>40</v>
      </c>
      <c r="AO337" s="104"/>
      <c r="AP337" s="104"/>
      <c r="AQ337" s="104"/>
      <c r="AR337" s="104"/>
      <c r="AS337" s="104"/>
      <c r="AT337" s="358"/>
    </row>
    <row r="338" spans="1:46" s="102" customFormat="1" ht="28.8" x14ac:dyDescent="0.3">
      <c r="A338" s="102" t="s">
        <v>264</v>
      </c>
      <c r="B338" s="223" t="s">
        <v>280</v>
      </c>
      <c r="C338" s="750" t="s">
        <v>359</v>
      </c>
      <c r="D338" s="223" t="s">
        <v>34</v>
      </c>
      <c r="E338" s="223" t="s">
        <v>282</v>
      </c>
      <c r="F338" s="1350" t="s">
        <v>285</v>
      </c>
      <c r="G338" s="217">
        <v>2</v>
      </c>
      <c r="H338" s="751">
        <v>49404.22</v>
      </c>
      <c r="I338" s="441" t="s">
        <v>267</v>
      </c>
      <c r="J338" s="751">
        <v>49404.22</v>
      </c>
      <c r="K338" s="1606">
        <f>34092.22+34092.219</f>
        <v>68184.438999999998</v>
      </c>
      <c r="L338" s="1606">
        <f>34092.22+34092.219</f>
        <v>68184.438999999998</v>
      </c>
      <c r="M338" s="217" t="s">
        <v>351</v>
      </c>
      <c r="N338" s="217" t="s">
        <v>356</v>
      </c>
      <c r="O338" s="217" t="s">
        <v>360</v>
      </c>
      <c r="P338" s="172" t="s">
        <v>40</v>
      </c>
      <c r="Q338" s="173"/>
      <c r="R338" s="172" t="s">
        <v>64</v>
      </c>
      <c r="S338" s="173"/>
      <c r="T338" s="172"/>
      <c r="U338" s="173"/>
      <c r="V338" s="172" t="s">
        <v>40</v>
      </c>
      <c r="W338" s="173"/>
      <c r="X338" s="172" t="s">
        <v>40</v>
      </c>
      <c r="Y338" s="173"/>
      <c r="Z338" s="172" t="s">
        <v>64</v>
      </c>
      <c r="AA338" s="173"/>
      <c r="AB338" s="172" t="s">
        <v>40</v>
      </c>
      <c r="AC338" s="173"/>
      <c r="AD338" s="173"/>
      <c r="AE338" s="1526">
        <v>46203</v>
      </c>
      <c r="AF338" s="218" t="s">
        <v>247</v>
      </c>
      <c r="AG338" s="219">
        <v>2023</v>
      </c>
      <c r="AH338" s="231">
        <v>244457.02098200002</v>
      </c>
      <c r="AI338" s="739">
        <v>13948606</v>
      </c>
      <c r="AJ338" s="232"/>
      <c r="AK338" s="222" t="s">
        <v>43</v>
      </c>
      <c r="AL338" s="223" t="s">
        <v>41</v>
      </c>
      <c r="AM338" s="224">
        <v>0</v>
      </c>
      <c r="AN338" s="225" t="s">
        <v>40</v>
      </c>
      <c r="AO338" s="104"/>
      <c r="AP338" s="104"/>
      <c r="AQ338" s="104"/>
      <c r="AR338" s="104"/>
      <c r="AS338" s="104"/>
      <c r="AT338" s="358"/>
    </row>
    <row r="339" spans="1:46" s="102" customFormat="1" ht="28.8" x14ac:dyDescent="0.3">
      <c r="A339" s="102" t="s">
        <v>264</v>
      </c>
      <c r="B339" s="223" t="s">
        <v>280</v>
      </c>
      <c r="C339" s="750" t="s">
        <v>361</v>
      </c>
      <c r="D339" s="223" t="s">
        <v>34</v>
      </c>
      <c r="E339" s="223" t="s">
        <v>282</v>
      </c>
      <c r="F339" s="1350" t="s">
        <v>285</v>
      </c>
      <c r="G339" s="217">
        <v>3.6585000000000001</v>
      </c>
      <c r="H339" s="751">
        <v>80619.38</v>
      </c>
      <c r="I339" s="441" t="s">
        <v>267</v>
      </c>
      <c r="J339" s="751">
        <v>80619.38</v>
      </c>
      <c r="K339" s="1401">
        <f>59372.1</f>
        <v>59372.1</v>
      </c>
      <c r="L339" s="1401">
        <f>59372.1</f>
        <v>59372.1</v>
      </c>
      <c r="M339" s="217" t="s">
        <v>200</v>
      </c>
      <c r="N339" s="217" t="s">
        <v>362</v>
      </c>
      <c r="O339" s="217" t="s">
        <v>363</v>
      </c>
      <c r="P339" s="172" t="s">
        <v>40</v>
      </c>
      <c r="Q339" s="173"/>
      <c r="R339" s="172" t="s">
        <v>64</v>
      </c>
      <c r="S339" s="173"/>
      <c r="T339" s="172"/>
      <c r="U339" s="173"/>
      <c r="V339" s="172" t="s">
        <v>40</v>
      </c>
      <c r="W339" s="173"/>
      <c r="X339" s="172" t="s">
        <v>40</v>
      </c>
      <c r="Y339" s="173"/>
      <c r="Z339" s="172" t="s">
        <v>64</v>
      </c>
      <c r="AA339" s="173"/>
      <c r="AB339" s="172" t="s">
        <v>40</v>
      </c>
      <c r="AC339" s="173"/>
      <c r="AD339" s="173"/>
      <c r="AE339" s="1526">
        <v>46203</v>
      </c>
      <c r="AF339" s="218" t="s">
        <v>247</v>
      </c>
      <c r="AG339" s="219">
        <v>2023</v>
      </c>
      <c r="AH339" s="231">
        <v>398912.75417800003</v>
      </c>
      <c r="AI339" s="739">
        <v>41497692</v>
      </c>
      <c r="AJ339" s="232"/>
      <c r="AK339" s="222" t="s">
        <v>43</v>
      </c>
      <c r="AL339" s="223" t="s">
        <v>41</v>
      </c>
      <c r="AM339" s="224">
        <v>0</v>
      </c>
      <c r="AN339" s="225" t="s">
        <v>40</v>
      </c>
      <c r="AO339" s="104"/>
      <c r="AP339" s="104"/>
      <c r="AQ339" s="104"/>
      <c r="AR339" s="104"/>
      <c r="AS339" s="104"/>
      <c r="AT339" s="358"/>
    </row>
    <row r="340" spans="1:46" s="102" customFormat="1" ht="28.8" x14ac:dyDescent="0.3">
      <c r="A340" s="102" t="s">
        <v>264</v>
      </c>
      <c r="B340" s="223" t="s">
        <v>280</v>
      </c>
      <c r="C340" s="750" t="s">
        <v>364</v>
      </c>
      <c r="D340" s="223" t="s">
        <v>34</v>
      </c>
      <c r="E340" s="223" t="s">
        <v>282</v>
      </c>
      <c r="F340" s="1350" t="s">
        <v>285</v>
      </c>
      <c r="G340" s="217">
        <v>11.66</v>
      </c>
      <c r="H340" s="751">
        <v>207329.24</v>
      </c>
      <c r="I340" s="441" t="s">
        <v>267</v>
      </c>
      <c r="J340" s="751">
        <v>207329.24</v>
      </c>
      <c r="K340" s="1606">
        <f>142756.16</f>
        <v>142756.16</v>
      </c>
      <c r="L340" s="1606">
        <f>142756.16</f>
        <v>142756.16</v>
      </c>
      <c r="M340" s="217" t="s">
        <v>61</v>
      </c>
      <c r="N340" s="217" t="s">
        <v>365</v>
      </c>
      <c r="O340" s="217" t="s">
        <v>366</v>
      </c>
      <c r="P340" s="172" t="s">
        <v>40</v>
      </c>
      <c r="Q340" s="173"/>
      <c r="R340" s="172" t="s">
        <v>64</v>
      </c>
      <c r="S340" s="173"/>
      <c r="T340" s="172"/>
      <c r="U340" s="173"/>
      <c r="V340" s="172" t="s">
        <v>40</v>
      </c>
      <c r="W340" s="173"/>
      <c r="X340" s="172" t="s">
        <v>40</v>
      </c>
      <c r="Y340" s="173"/>
      <c r="Z340" s="172" t="s">
        <v>64</v>
      </c>
      <c r="AA340" s="173"/>
      <c r="AB340" s="172" t="s">
        <v>40</v>
      </c>
      <c r="AC340" s="173"/>
      <c r="AD340" s="173"/>
      <c r="AE340" s="1526">
        <v>46203</v>
      </c>
      <c r="AF340" s="218" t="s">
        <v>247</v>
      </c>
      <c r="AG340" s="219">
        <v>2023</v>
      </c>
      <c r="AH340" s="231">
        <v>1025885.812444</v>
      </c>
      <c r="AI340" s="739">
        <v>1861127060588</v>
      </c>
      <c r="AJ340" s="232"/>
      <c r="AK340" s="222" t="s">
        <v>43</v>
      </c>
      <c r="AL340" s="223" t="s">
        <v>41</v>
      </c>
      <c r="AM340" s="224">
        <v>0</v>
      </c>
      <c r="AN340" s="225" t="s">
        <v>40</v>
      </c>
      <c r="AO340" s="104"/>
      <c r="AP340" s="104"/>
      <c r="AQ340" s="104"/>
      <c r="AR340" s="104"/>
      <c r="AS340" s="104"/>
      <c r="AT340" s="358"/>
    </row>
    <row r="341" spans="1:46" s="102" customFormat="1" ht="28.8" x14ac:dyDescent="0.3">
      <c r="A341" s="102" t="s">
        <v>264</v>
      </c>
      <c r="B341" s="223" t="s">
        <v>280</v>
      </c>
      <c r="C341" s="750" t="s">
        <v>367</v>
      </c>
      <c r="D341" s="223" t="s">
        <v>34</v>
      </c>
      <c r="E341" s="223" t="s">
        <v>282</v>
      </c>
      <c r="F341" s="1350" t="s">
        <v>285</v>
      </c>
      <c r="G341" s="217">
        <v>2.75</v>
      </c>
      <c r="H341" s="751">
        <v>49844.78</v>
      </c>
      <c r="I341" s="441" t="s">
        <v>267</v>
      </c>
      <c r="J341" s="751">
        <v>49844.78</v>
      </c>
      <c r="K341" s="1606">
        <f>34615.28</f>
        <v>34615.279999999999</v>
      </c>
      <c r="L341" s="1606">
        <f>34615.28</f>
        <v>34615.279999999999</v>
      </c>
      <c r="M341" s="217" t="s">
        <v>332</v>
      </c>
      <c r="N341" s="217" t="s">
        <v>368</v>
      </c>
      <c r="O341" s="217" t="s">
        <v>369</v>
      </c>
      <c r="P341" s="172" t="s">
        <v>40</v>
      </c>
      <c r="Q341" s="173"/>
      <c r="R341" s="172" t="s">
        <v>64</v>
      </c>
      <c r="S341" s="173"/>
      <c r="T341" s="172"/>
      <c r="U341" s="173"/>
      <c r="V341" s="172" t="s">
        <v>40</v>
      </c>
      <c r="W341" s="173"/>
      <c r="X341" s="172" t="s">
        <v>40</v>
      </c>
      <c r="Y341" s="173"/>
      <c r="Z341" s="172" t="s">
        <v>64</v>
      </c>
      <c r="AA341" s="173"/>
      <c r="AB341" s="172" t="s">
        <v>40</v>
      </c>
      <c r="AC341" s="173"/>
      <c r="AD341" s="173"/>
      <c r="AE341" s="1526">
        <v>46203</v>
      </c>
      <c r="AF341" s="218" t="s">
        <v>247</v>
      </c>
      <c r="AG341" s="219">
        <v>2023</v>
      </c>
      <c r="AH341" s="231">
        <v>246636.95591799999</v>
      </c>
      <c r="AI341" s="739">
        <v>1650313364262</v>
      </c>
      <c r="AJ341" s="232"/>
      <c r="AK341" s="222" t="s">
        <v>43</v>
      </c>
      <c r="AL341" s="223" t="s">
        <v>41</v>
      </c>
      <c r="AM341" s="224">
        <v>0</v>
      </c>
      <c r="AN341" s="225" t="s">
        <v>40</v>
      </c>
      <c r="AO341" s="104"/>
      <c r="AP341" s="104"/>
      <c r="AQ341" s="104"/>
      <c r="AR341" s="104"/>
      <c r="AS341" s="104"/>
      <c r="AT341" s="358"/>
    </row>
    <row r="342" spans="1:46" s="102" customFormat="1" ht="28.8" x14ac:dyDescent="0.3">
      <c r="A342" s="102" t="s">
        <v>264</v>
      </c>
      <c r="B342" s="223" t="s">
        <v>280</v>
      </c>
      <c r="C342" s="750" t="s">
        <v>370</v>
      </c>
      <c r="D342" s="223" t="s">
        <v>34</v>
      </c>
      <c r="E342" s="223" t="s">
        <v>282</v>
      </c>
      <c r="F342" s="1350" t="s">
        <v>285</v>
      </c>
      <c r="G342" s="217">
        <v>7.2683</v>
      </c>
      <c r="H342" s="751">
        <v>102108.76</v>
      </c>
      <c r="I342" s="441" t="s">
        <v>267</v>
      </c>
      <c r="J342" s="751">
        <v>102108.76</v>
      </c>
      <c r="K342" s="1606">
        <v>0</v>
      </c>
      <c r="L342" s="1606">
        <v>0</v>
      </c>
      <c r="M342" s="217" t="s">
        <v>200</v>
      </c>
      <c r="N342" s="217" t="s">
        <v>371</v>
      </c>
      <c r="O342" s="217" t="s">
        <v>372</v>
      </c>
      <c r="P342" s="172" t="s">
        <v>40</v>
      </c>
      <c r="Q342" s="173"/>
      <c r="R342" s="172" t="s">
        <v>64</v>
      </c>
      <c r="S342" s="173"/>
      <c r="T342" s="172"/>
      <c r="U342" s="173"/>
      <c r="V342" s="172" t="s">
        <v>40</v>
      </c>
      <c r="W342" s="173"/>
      <c r="X342" s="172" t="s">
        <v>40</v>
      </c>
      <c r="Y342" s="173"/>
      <c r="Z342" s="172" t="s">
        <v>64</v>
      </c>
      <c r="AA342" s="173"/>
      <c r="AB342" s="172" t="s">
        <v>40</v>
      </c>
      <c r="AC342" s="173"/>
      <c r="AD342" s="173"/>
      <c r="AE342" s="1526">
        <v>46203</v>
      </c>
      <c r="AF342" s="218" t="s">
        <v>247</v>
      </c>
      <c r="AG342" s="219">
        <v>2023</v>
      </c>
      <c r="AH342" s="231">
        <v>505244.35535600001</v>
      </c>
      <c r="AI342" s="739">
        <v>1770508130617</v>
      </c>
      <c r="AJ342" s="232"/>
      <c r="AK342" s="222" t="s">
        <v>43</v>
      </c>
      <c r="AL342" s="223" t="s">
        <v>41</v>
      </c>
      <c r="AM342" s="224">
        <v>0</v>
      </c>
      <c r="AN342" s="225" t="s">
        <v>40</v>
      </c>
      <c r="AO342" s="104"/>
      <c r="AP342" s="104"/>
      <c r="AQ342" s="104"/>
      <c r="AR342" s="104"/>
      <c r="AS342" s="104"/>
      <c r="AT342" s="358"/>
    </row>
    <row r="343" spans="1:46" s="102" customFormat="1" ht="28.8" x14ac:dyDescent="0.3">
      <c r="A343" s="102" t="s">
        <v>264</v>
      </c>
      <c r="B343" s="223" t="s">
        <v>280</v>
      </c>
      <c r="C343" s="750" t="s">
        <v>373</v>
      </c>
      <c r="D343" s="223" t="s">
        <v>34</v>
      </c>
      <c r="E343" s="223" t="s">
        <v>282</v>
      </c>
      <c r="F343" s="1350" t="s">
        <v>285</v>
      </c>
      <c r="G343" s="217">
        <v>38.29</v>
      </c>
      <c r="H343" s="751">
        <v>641113.79</v>
      </c>
      <c r="I343" s="441" t="s">
        <v>267</v>
      </c>
      <c r="J343" s="751">
        <v>641113.79</v>
      </c>
      <c r="K343" s="1606">
        <f>184381.689941594</f>
        <v>184381.689941594</v>
      </c>
      <c r="L343" s="1606">
        <f>184381.689941594</f>
        <v>184381.689941594</v>
      </c>
      <c r="M343" s="217" t="s">
        <v>63</v>
      </c>
      <c r="N343" s="217" t="s">
        <v>374</v>
      </c>
      <c r="O343" s="217" t="s">
        <v>375</v>
      </c>
      <c r="P343" s="172" t="s">
        <v>40</v>
      </c>
      <c r="Q343" s="173"/>
      <c r="R343" s="172" t="s">
        <v>64</v>
      </c>
      <c r="S343" s="173"/>
      <c r="T343" s="172"/>
      <c r="U343" s="173"/>
      <c r="V343" s="172" t="s">
        <v>40</v>
      </c>
      <c r="W343" s="173"/>
      <c r="X343" s="172" t="s">
        <v>40</v>
      </c>
      <c r="Y343" s="173"/>
      <c r="Z343" s="172" t="s">
        <v>64</v>
      </c>
      <c r="AA343" s="173"/>
      <c r="AB343" s="172" t="s">
        <v>40</v>
      </c>
      <c r="AC343" s="173"/>
      <c r="AD343" s="173"/>
      <c r="AE343" s="1526">
        <v>46203</v>
      </c>
      <c r="AF343" s="218" t="s">
        <v>247</v>
      </c>
      <c r="AG343" s="219">
        <v>2023</v>
      </c>
      <c r="AH343" s="231">
        <v>3172295.15</v>
      </c>
      <c r="AI343" s="739">
        <v>21782449</v>
      </c>
      <c r="AJ343" s="232"/>
      <c r="AK343" s="222" t="s">
        <v>43</v>
      </c>
      <c r="AL343" s="223" t="s">
        <v>41</v>
      </c>
      <c r="AM343" s="224">
        <v>0</v>
      </c>
      <c r="AN343" s="225" t="s">
        <v>40</v>
      </c>
      <c r="AO343" s="104"/>
      <c r="AP343" s="104"/>
      <c r="AQ343" s="104"/>
      <c r="AR343" s="104"/>
      <c r="AS343" s="104"/>
      <c r="AT343" s="358"/>
    </row>
    <row r="344" spans="1:46" s="102" customFormat="1" ht="28.8" x14ac:dyDescent="0.3">
      <c r="A344" s="102" t="s">
        <v>264</v>
      </c>
      <c r="B344" s="223" t="s">
        <v>280</v>
      </c>
      <c r="C344" s="750" t="s">
        <v>376</v>
      </c>
      <c r="D344" s="223" t="s">
        <v>34</v>
      </c>
      <c r="E344" s="223" t="s">
        <v>282</v>
      </c>
      <c r="F344" s="1350" t="s">
        <v>285</v>
      </c>
      <c r="G344" s="217">
        <v>20.78</v>
      </c>
      <c r="H344" s="751">
        <v>268616.05</v>
      </c>
      <c r="I344" s="441" t="s">
        <v>267</v>
      </c>
      <c r="J344" s="751">
        <v>268616.05</v>
      </c>
      <c r="K344" s="1606">
        <f>151312.95+151312.95</f>
        <v>302625.90000000002</v>
      </c>
      <c r="L344" s="1606">
        <f>151312.95+151312.95</f>
        <v>302625.90000000002</v>
      </c>
      <c r="M344" s="217" t="s">
        <v>102</v>
      </c>
      <c r="N344" s="217" t="s">
        <v>377</v>
      </c>
      <c r="O344" s="217" t="s">
        <v>378</v>
      </c>
      <c r="P344" s="172" t="s">
        <v>40</v>
      </c>
      <c r="Q344" s="173"/>
      <c r="R344" s="172" t="s">
        <v>64</v>
      </c>
      <c r="S344" s="173"/>
      <c r="T344" s="172"/>
      <c r="U344" s="173"/>
      <c r="V344" s="172" t="s">
        <v>40</v>
      </c>
      <c r="W344" s="173"/>
      <c r="X344" s="172" t="s">
        <v>40</v>
      </c>
      <c r="Y344" s="173"/>
      <c r="Z344" s="172" t="s">
        <v>64</v>
      </c>
      <c r="AA344" s="173"/>
      <c r="AB344" s="172" t="s">
        <v>40</v>
      </c>
      <c r="AC344" s="173"/>
      <c r="AD344" s="173"/>
      <c r="AE344" s="1526">
        <v>46203</v>
      </c>
      <c r="AF344" s="218" t="s">
        <v>247</v>
      </c>
      <c r="AG344" s="219">
        <v>2023</v>
      </c>
      <c r="AH344" s="231">
        <v>1329139.0770050001</v>
      </c>
      <c r="AI344" s="739" t="s">
        <v>379</v>
      </c>
      <c r="AJ344" s="232"/>
      <c r="AK344" s="222" t="s">
        <v>43</v>
      </c>
      <c r="AL344" s="223" t="s">
        <v>41</v>
      </c>
      <c r="AM344" s="224">
        <v>0</v>
      </c>
      <c r="AN344" s="225" t="s">
        <v>40</v>
      </c>
      <c r="AO344" s="104"/>
      <c r="AP344" s="104"/>
      <c r="AQ344" s="104"/>
      <c r="AR344" s="104"/>
      <c r="AS344" s="104"/>
      <c r="AT344" s="358"/>
    </row>
    <row r="345" spans="1:46" s="102" customFormat="1" ht="28.8" x14ac:dyDescent="0.3">
      <c r="A345" s="102" t="s">
        <v>264</v>
      </c>
      <c r="B345" s="223" t="s">
        <v>280</v>
      </c>
      <c r="C345" s="750" t="s">
        <v>380</v>
      </c>
      <c r="D345" s="223" t="s">
        <v>34</v>
      </c>
      <c r="E345" s="223" t="s">
        <v>282</v>
      </c>
      <c r="F345" s="1350" t="s">
        <v>285</v>
      </c>
      <c r="G345" s="217">
        <v>4</v>
      </c>
      <c r="H345" s="751">
        <v>82155.460000000006</v>
      </c>
      <c r="I345" s="441" t="s">
        <v>267</v>
      </c>
      <c r="J345" s="751">
        <v>82155.460000000006</v>
      </c>
      <c r="K345" s="1606">
        <f>51531.46+51531.46</f>
        <v>103062.92</v>
      </c>
      <c r="L345" s="1606">
        <f>51531.46+51531.46</f>
        <v>103062.92</v>
      </c>
      <c r="M345" s="217" t="s">
        <v>351</v>
      </c>
      <c r="N345" s="217" t="s">
        <v>356</v>
      </c>
      <c r="O345" s="217" t="s">
        <v>381</v>
      </c>
      <c r="P345" s="172" t="s">
        <v>40</v>
      </c>
      <c r="Q345" s="173"/>
      <c r="R345" s="172" t="s">
        <v>64</v>
      </c>
      <c r="S345" s="173"/>
      <c r="T345" s="172"/>
      <c r="U345" s="173"/>
      <c r="V345" s="172" t="s">
        <v>40</v>
      </c>
      <c r="W345" s="173"/>
      <c r="X345" s="172" t="s">
        <v>40</v>
      </c>
      <c r="Y345" s="173"/>
      <c r="Z345" s="172" t="s">
        <v>64</v>
      </c>
      <c r="AA345" s="173"/>
      <c r="AB345" s="172" t="s">
        <v>40</v>
      </c>
      <c r="AC345" s="173"/>
      <c r="AD345" s="173"/>
      <c r="AE345" s="1526">
        <v>46203</v>
      </c>
      <c r="AF345" s="218" t="s">
        <v>247</v>
      </c>
      <c r="AG345" s="219">
        <v>2023</v>
      </c>
      <c r="AH345" s="231">
        <v>406513.43162600003</v>
      </c>
      <c r="AI345" s="739">
        <v>2830414360024</v>
      </c>
      <c r="AJ345" s="232"/>
      <c r="AK345" s="222" t="s">
        <v>43</v>
      </c>
      <c r="AL345" s="223" t="s">
        <v>41</v>
      </c>
      <c r="AM345" s="224">
        <v>0</v>
      </c>
      <c r="AN345" s="225" t="s">
        <v>40</v>
      </c>
      <c r="AO345" s="104"/>
      <c r="AP345" s="104"/>
      <c r="AQ345" s="104"/>
      <c r="AR345" s="104"/>
      <c r="AS345" s="104"/>
      <c r="AT345" s="358"/>
    </row>
    <row r="346" spans="1:46" s="102" customFormat="1" ht="28.8" x14ac:dyDescent="0.3">
      <c r="A346" s="102" t="s">
        <v>264</v>
      </c>
      <c r="B346" s="223" t="s">
        <v>280</v>
      </c>
      <c r="C346" s="750" t="s">
        <v>382</v>
      </c>
      <c r="D346" s="223" t="s">
        <v>34</v>
      </c>
      <c r="E346" s="223" t="s">
        <v>282</v>
      </c>
      <c r="F346" s="1350" t="s">
        <v>285</v>
      </c>
      <c r="G346" s="217">
        <v>5.38</v>
      </c>
      <c r="H346" s="751">
        <v>107788.48</v>
      </c>
      <c r="I346" s="441" t="s">
        <v>267</v>
      </c>
      <c r="J346" s="751">
        <v>107788.48</v>
      </c>
      <c r="K346" s="1606">
        <v>0</v>
      </c>
      <c r="L346" s="1606">
        <v>0</v>
      </c>
      <c r="M346" s="217" t="s">
        <v>351</v>
      </c>
      <c r="N346" s="217" t="s">
        <v>383</v>
      </c>
      <c r="O346" s="217" t="s">
        <v>384</v>
      </c>
      <c r="P346" s="172" t="s">
        <v>40</v>
      </c>
      <c r="Q346" s="173"/>
      <c r="R346" s="172" t="s">
        <v>64</v>
      </c>
      <c r="S346" s="173"/>
      <c r="T346" s="172"/>
      <c r="U346" s="173"/>
      <c r="V346" s="172" t="s">
        <v>40</v>
      </c>
      <c r="W346" s="173"/>
      <c r="X346" s="172" t="s">
        <v>40</v>
      </c>
      <c r="Y346" s="173"/>
      <c r="Z346" s="172" t="s">
        <v>64</v>
      </c>
      <c r="AA346" s="173"/>
      <c r="AB346" s="172" t="s">
        <v>40</v>
      </c>
      <c r="AC346" s="173"/>
      <c r="AD346" s="173"/>
      <c r="AE346" s="1526">
        <v>46203</v>
      </c>
      <c r="AF346" s="218" t="s">
        <v>247</v>
      </c>
      <c r="AG346" s="219">
        <v>2023</v>
      </c>
      <c r="AH346" s="231">
        <v>533348.17788800003</v>
      </c>
      <c r="AI346" s="739">
        <v>1881027360015</v>
      </c>
      <c r="AJ346" s="232"/>
      <c r="AK346" s="222" t="s">
        <v>43</v>
      </c>
      <c r="AL346" s="223" t="s">
        <v>41</v>
      </c>
      <c r="AM346" s="224">
        <v>0</v>
      </c>
      <c r="AN346" s="225" t="s">
        <v>40</v>
      </c>
      <c r="AO346" s="104"/>
      <c r="AP346" s="104"/>
      <c r="AQ346" s="104"/>
      <c r="AR346" s="104"/>
      <c r="AS346" s="104"/>
      <c r="AT346" s="358"/>
    </row>
    <row r="347" spans="1:46" s="102" customFormat="1" ht="28.8" x14ac:dyDescent="0.3">
      <c r="A347" s="102" t="s">
        <v>264</v>
      </c>
      <c r="B347" s="223" t="s">
        <v>280</v>
      </c>
      <c r="C347" s="750" t="s">
        <v>385</v>
      </c>
      <c r="D347" s="223" t="s">
        <v>34</v>
      </c>
      <c r="E347" s="223" t="s">
        <v>282</v>
      </c>
      <c r="F347" s="1350" t="s">
        <v>285</v>
      </c>
      <c r="G347" s="217">
        <v>7.93</v>
      </c>
      <c r="H347" s="751">
        <v>146694.48000000001</v>
      </c>
      <c r="I347" s="441" t="s">
        <v>267</v>
      </c>
      <c r="J347" s="751">
        <v>146694.48000000001</v>
      </c>
      <c r="K347" s="1606">
        <f>85982.399</f>
        <v>85982.399000000005</v>
      </c>
      <c r="L347" s="1606">
        <f>85982.399</f>
        <v>85982.399000000005</v>
      </c>
      <c r="M347" s="217" t="s">
        <v>332</v>
      </c>
      <c r="N347" s="217" t="s">
        <v>386</v>
      </c>
      <c r="O347" s="217" t="s">
        <v>387</v>
      </c>
      <c r="P347" s="172" t="s">
        <v>40</v>
      </c>
      <c r="Q347" s="173"/>
      <c r="R347" s="172" t="s">
        <v>64</v>
      </c>
      <c r="S347" s="173"/>
      <c r="T347" s="172"/>
      <c r="U347" s="173"/>
      <c r="V347" s="172" t="s">
        <v>40</v>
      </c>
      <c r="W347" s="173"/>
      <c r="X347" s="172" t="s">
        <v>40</v>
      </c>
      <c r="Y347" s="173"/>
      <c r="Z347" s="172" t="s">
        <v>64</v>
      </c>
      <c r="AA347" s="173"/>
      <c r="AB347" s="172" t="s">
        <v>40</v>
      </c>
      <c r="AC347" s="173"/>
      <c r="AD347" s="173"/>
      <c r="AE347" s="1526">
        <v>46203</v>
      </c>
      <c r="AF347" s="218" t="s">
        <v>247</v>
      </c>
      <c r="AG347" s="219">
        <v>2023</v>
      </c>
      <c r="AH347" s="231">
        <v>725858.95648800011</v>
      </c>
      <c r="AI347" s="739">
        <v>35947016</v>
      </c>
      <c r="AJ347" s="232"/>
      <c r="AK347" s="222" t="s">
        <v>43</v>
      </c>
      <c r="AL347" s="223" t="s">
        <v>41</v>
      </c>
      <c r="AM347" s="224">
        <v>0</v>
      </c>
      <c r="AN347" s="225" t="s">
        <v>40</v>
      </c>
      <c r="AO347" s="104"/>
      <c r="AP347" s="104"/>
      <c r="AQ347" s="104"/>
      <c r="AR347" s="104"/>
      <c r="AS347" s="104"/>
      <c r="AT347" s="358"/>
    </row>
    <row r="348" spans="1:46" s="102" customFormat="1" ht="28.8" x14ac:dyDescent="0.3">
      <c r="A348" s="102" t="s">
        <v>264</v>
      </c>
      <c r="B348" s="223" t="s">
        <v>280</v>
      </c>
      <c r="C348" s="750" t="s">
        <v>388</v>
      </c>
      <c r="D348" s="223" t="s">
        <v>34</v>
      </c>
      <c r="E348" s="223" t="s">
        <v>282</v>
      </c>
      <c r="F348" s="1350" t="s">
        <v>285</v>
      </c>
      <c r="G348" s="217">
        <v>17.57</v>
      </c>
      <c r="H348" s="751">
        <v>279253.18</v>
      </c>
      <c r="I348" s="441" t="s">
        <v>267</v>
      </c>
      <c r="J348" s="751">
        <v>279253.18</v>
      </c>
      <c r="K348" s="1606">
        <f>181571.659829025</f>
        <v>181571.65982902501</v>
      </c>
      <c r="L348" s="1606">
        <f>181571.659829025</f>
        <v>181571.65982902501</v>
      </c>
      <c r="M348" s="217" t="s">
        <v>332</v>
      </c>
      <c r="N348" s="217" t="s">
        <v>389</v>
      </c>
      <c r="O348" s="217" t="s">
        <v>390</v>
      </c>
      <c r="P348" s="172" t="s">
        <v>40</v>
      </c>
      <c r="Q348" s="173"/>
      <c r="R348" s="172" t="s">
        <v>64</v>
      </c>
      <c r="S348" s="173"/>
      <c r="T348" s="172"/>
      <c r="U348" s="173"/>
      <c r="V348" s="172" t="s">
        <v>40</v>
      </c>
      <c r="W348" s="173"/>
      <c r="X348" s="172" t="s">
        <v>40</v>
      </c>
      <c r="Y348" s="173"/>
      <c r="Z348" s="172" t="s">
        <v>64</v>
      </c>
      <c r="AA348" s="173"/>
      <c r="AB348" s="172" t="s">
        <v>40</v>
      </c>
      <c r="AC348" s="173"/>
      <c r="AD348" s="173"/>
      <c r="AE348" s="1526">
        <v>46203</v>
      </c>
      <c r="AF348" s="218" t="s">
        <v>247</v>
      </c>
      <c r="AG348" s="219">
        <v>2023</v>
      </c>
      <c r="AH348" s="231">
        <v>1381772.6599580001</v>
      </c>
      <c r="AI348" s="739">
        <v>1690124173238</v>
      </c>
      <c r="AJ348" s="232"/>
      <c r="AK348" s="222" t="s">
        <v>43</v>
      </c>
      <c r="AL348" s="223" t="s">
        <v>41</v>
      </c>
      <c r="AM348" s="224">
        <v>0</v>
      </c>
      <c r="AN348" s="225" t="s">
        <v>40</v>
      </c>
      <c r="AO348" s="104"/>
      <c r="AP348" s="104"/>
      <c r="AQ348" s="104"/>
      <c r="AR348" s="104"/>
      <c r="AS348" s="104"/>
      <c r="AT348" s="358"/>
    </row>
    <row r="349" spans="1:46" s="102" customFormat="1" ht="28.8" x14ac:dyDescent="0.3">
      <c r="A349" s="102" t="s">
        <v>264</v>
      </c>
      <c r="B349" s="223" t="s">
        <v>280</v>
      </c>
      <c r="C349" s="750" t="s">
        <v>391</v>
      </c>
      <c r="D349" s="223" t="s">
        <v>34</v>
      </c>
      <c r="E349" s="223" t="s">
        <v>282</v>
      </c>
      <c r="F349" s="1350" t="s">
        <v>285</v>
      </c>
      <c r="G349" s="217">
        <v>52.78</v>
      </c>
      <c r="H349" s="751">
        <v>953051.27</v>
      </c>
      <c r="I349" s="441" t="s">
        <v>267</v>
      </c>
      <c r="J349" s="751">
        <v>953051.27</v>
      </c>
      <c r="K349" s="1606">
        <f>558926.33</f>
        <v>558926.32999999996</v>
      </c>
      <c r="L349" s="1606">
        <f>558926.33</f>
        <v>558926.32999999996</v>
      </c>
      <c r="M349" s="217" t="s">
        <v>332</v>
      </c>
      <c r="N349" s="620" t="s">
        <v>392</v>
      </c>
      <c r="O349" s="217" t="s">
        <v>393</v>
      </c>
      <c r="P349" s="172" t="s">
        <v>40</v>
      </c>
      <c r="Q349" s="173"/>
      <c r="R349" s="172" t="s">
        <v>64</v>
      </c>
      <c r="S349" s="173"/>
      <c r="T349" s="172"/>
      <c r="U349" s="173"/>
      <c r="V349" s="172" t="s">
        <v>40</v>
      </c>
      <c r="W349" s="173"/>
      <c r="X349" s="172" t="s">
        <v>40</v>
      </c>
      <c r="Y349" s="173"/>
      <c r="Z349" s="172" t="s">
        <v>64</v>
      </c>
      <c r="AA349" s="173"/>
      <c r="AB349" s="172" t="s">
        <v>40</v>
      </c>
      <c r="AC349" s="173"/>
      <c r="AD349" s="173"/>
      <c r="AE349" s="1526">
        <v>46203</v>
      </c>
      <c r="AF349" s="218" t="s">
        <v>247</v>
      </c>
      <c r="AG349" s="219">
        <v>2023</v>
      </c>
      <c r="AH349" s="231">
        <v>4715792.9890870005</v>
      </c>
      <c r="AI349" s="739">
        <v>2630603174915</v>
      </c>
      <c r="AJ349" s="232"/>
      <c r="AK349" s="222" t="s">
        <v>43</v>
      </c>
      <c r="AL349" s="223" t="s">
        <v>41</v>
      </c>
      <c r="AM349" s="224">
        <v>0</v>
      </c>
      <c r="AN349" s="225" t="s">
        <v>40</v>
      </c>
      <c r="AO349" s="104"/>
      <c r="AP349" s="104"/>
      <c r="AQ349" s="104"/>
      <c r="AR349" s="104"/>
      <c r="AS349" s="104"/>
      <c r="AT349" s="358"/>
    </row>
    <row r="350" spans="1:46" s="102" customFormat="1" ht="28.8" x14ac:dyDescent="0.3">
      <c r="A350" s="102" t="s">
        <v>264</v>
      </c>
      <c r="B350" s="223" t="s">
        <v>280</v>
      </c>
      <c r="C350" s="750" t="s">
        <v>394</v>
      </c>
      <c r="D350" s="223" t="s">
        <v>34</v>
      </c>
      <c r="E350" s="223" t="s">
        <v>282</v>
      </c>
      <c r="F350" s="1350" t="s">
        <v>285</v>
      </c>
      <c r="G350" s="217">
        <v>5.875</v>
      </c>
      <c r="H350" s="751">
        <v>133214.06</v>
      </c>
      <c r="I350" s="441" t="s">
        <v>267</v>
      </c>
      <c r="J350" s="751">
        <v>133214.06</v>
      </c>
      <c r="K350" s="1606">
        <f>86300.7598876336</f>
        <v>86300.759887633598</v>
      </c>
      <c r="L350" s="1606">
        <f>86300.7598876336</f>
        <v>86300.759887633598</v>
      </c>
      <c r="M350" s="217" t="s">
        <v>351</v>
      </c>
      <c r="N350" s="217" t="s">
        <v>395</v>
      </c>
      <c r="O350" s="217" t="s">
        <v>396</v>
      </c>
      <c r="P350" s="172" t="s">
        <v>40</v>
      </c>
      <c r="Q350" s="173"/>
      <c r="R350" s="172" t="s">
        <v>64</v>
      </c>
      <c r="S350" s="173"/>
      <c r="T350" s="172"/>
      <c r="U350" s="173"/>
      <c r="V350" s="172" t="s">
        <v>40</v>
      </c>
      <c r="W350" s="173"/>
      <c r="X350" s="172" t="s">
        <v>40</v>
      </c>
      <c r="Y350" s="173"/>
      <c r="Z350" s="172" t="s">
        <v>64</v>
      </c>
      <c r="AA350" s="173"/>
      <c r="AB350" s="172" t="s">
        <v>40</v>
      </c>
      <c r="AC350" s="173"/>
      <c r="AD350" s="173"/>
      <c r="AE350" s="1526">
        <v>46203</v>
      </c>
      <c r="AF350" s="218" t="s">
        <v>247</v>
      </c>
      <c r="AG350" s="219">
        <v>2023</v>
      </c>
      <c r="AH350" s="231">
        <v>659156.49028599996</v>
      </c>
      <c r="AI350" s="739">
        <v>2900424060597</v>
      </c>
      <c r="AJ350" s="232"/>
      <c r="AK350" s="222" t="s">
        <v>43</v>
      </c>
      <c r="AL350" s="223" t="s">
        <v>41</v>
      </c>
      <c r="AM350" s="224">
        <v>0</v>
      </c>
      <c r="AN350" s="225" t="s">
        <v>40</v>
      </c>
      <c r="AO350" s="104"/>
      <c r="AP350" s="104"/>
      <c r="AQ350" s="104"/>
      <c r="AR350" s="104"/>
      <c r="AS350" s="104"/>
      <c r="AT350" s="358"/>
    </row>
    <row r="351" spans="1:46" s="102" customFormat="1" ht="28.8" x14ac:dyDescent="0.3">
      <c r="A351" s="102" t="s">
        <v>264</v>
      </c>
      <c r="B351" s="223" t="s">
        <v>280</v>
      </c>
      <c r="C351" s="750" t="s">
        <v>397</v>
      </c>
      <c r="D351" s="223" t="s">
        <v>34</v>
      </c>
      <c r="E351" s="223" t="s">
        <v>282</v>
      </c>
      <c r="F351" s="1350" t="s">
        <v>285</v>
      </c>
      <c r="G351" s="217">
        <v>1.0904</v>
      </c>
      <c r="H351" s="751">
        <v>22772.15</v>
      </c>
      <c r="I351" s="441" t="s">
        <v>267</v>
      </c>
      <c r="J351" s="751">
        <v>22772.15</v>
      </c>
      <c r="K351" s="1401">
        <f>16019.31</f>
        <v>16019.31</v>
      </c>
      <c r="L351" s="1401">
        <f>16019.31</f>
        <v>16019.31</v>
      </c>
      <c r="M351" s="217" t="s">
        <v>398</v>
      </c>
      <c r="N351" s="217" t="s">
        <v>399</v>
      </c>
      <c r="O351" s="217" t="s">
        <v>400</v>
      </c>
      <c r="P351" s="172" t="s">
        <v>40</v>
      </c>
      <c r="Q351" s="173"/>
      <c r="R351" s="172" t="s">
        <v>64</v>
      </c>
      <c r="S351" s="173"/>
      <c r="T351" s="172"/>
      <c r="U351" s="173"/>
      <c r="V351" s="172" t="s">
        <v>40</v>
      </c>
      <c r="W351" s="173"/>
      <c r="X351" s="172" t="s">
        <v>40</v>
      </c>
      <c r="Y351" s="173"/>
      <c r="Z351" s="172" t="s">
        <v>64</v>
      </c>
      <c r="AA351" s="173"/>
      <c r="AB351" s="172" t="s">
        <v>40</v>
      </c>
      <c r="AC351" s="173"/>
      <c r="AD351" s="173"/>
      <c r="AE351" s="1526">
        <v>46203</v>
      </c>
      <c r="AF351" s="218" t="s">
        <v>247</v>
      </c>
      <c r="AG351" s="219">
        <v>2023</v>
      </c>
      <c r="AH351" s="231">
        <v>112678.87541500002</v>
      </c>
      <c r="AI351" s="739">
        <v>5040701360016</v>
      </c>
      <c r="AJ351" s="232"/>
      <c r="AK351" s="222" t="s">
        <v>43</v>
      </c>
      <c r="AL351" s="223" t="s">
        <v>41</v>
      </c>
      <c r="AM351" s="224">
        <v>0</v>
      </c>
      <c r="AN351" s="225" t="s">
        <v>40</v>
      </c>
      <c r="AO351" s="104"/>
      <c r="AP351" s="104"/>
      <c r="AQ351" s="104"/>
      <c r="AR351" s="104"/>
      <c r="AS351" s="104"/>
      <c r="AT351" s="358"/>
    </row>
    <row r="352" spans="1:46" s="102" customFormat="1" ht="28.8" x14ac:dyDescent="0.3">
      <c r="A352" s="102" t="s">
        <v>264</v>
      </c>
      <c r="B352" s="223" t="s">
        <v>280</v>
      </c>
      <c r="C352" s="750" t="s">
        <v>401</v>
      </c>
      <c r="D352" s="223" t="s">
        <v>34</v>
      </c>
      <c r="E352" s="223" t="s">
        <v>282</v>
      </c>
      <c r="F352" s="1350" t="s">
        <v>285</v>
      </c>
      <c r="G352" s="217">
        <v>8.0299999999999994</v>
      </c>
      <c r="H352" s="751">
        <v>136742.35999999999</v>
      </c>
      <c r="I352" s="441" t="s">
        <v>267</v>
      </c>
      <c r="J352" s="751">
        <v>136742.35999999999</v>
      </c>
      <c r="K352" s="1401">
        <f>79634.73</f>
        <v>79634.73</v>
      </c>
      <c r="L352" s="1401">
        <f>79634.73</f>
        <v>79634.73</v>
      </c>
      <c r="M352" s="217" t="s">
        <v>200</v>
      </c>
      <c r="N352" s="217" t="s">
        <v>402</v>
      </c>
      <c r="O352" s="217" t="s">
        <v>403</v>
      </c>
      <c r="P352" s="172" t="s">
        <v>40</v>
      </c>
      <c r="Q352" s="173"/>
      <c r="R352" s="172" t="s">
        <v>64</v>
      </c>
      <c r="S352" s="173"/>
      <c r="T352" s="172"/>
      <c r="U352" s="173"/>
      <c r="V352" s="172" t="s">
        <v>40</v>
      </c>
      <c r="W352" s="173"/>
      <c r="X352" s="172" t="s">
        <v>40</v>
      </c>
      <c r="Y352" s="173"/>
      <c r="Z352" s="172" t="s">
        <v>64</v>
      </c>
      <c r="AA352" s="173"/>
      <c r="AB352" s="172" t="s">
        <v>40</v>
      </c>
      <c r="AC352" s="173"/>
      <c r="AD352" s="173"/>
      <c r="AE352" s="1526">
        <v>46203</v>
      </c>
      <c r="AF352" s="218" t="s">
        <v>247</v>
      </c>
      <c r="AG352" s="219">
        <v>2023</v>
      </c>
      <c r="AH352" s="231">
        <v>676614.8715159999</v>
      </c>
      <c r="AI352" s="739" t="s">
        <v>404</v>
      </c>
      <c r="AJ352" s="232"/>
      <c r="AK352" s="222" t="s">
        <v>43</v>
      </c>
      <c r="AL352" s="223" t="s">
        <v>41</v>
      </c>
      <c r="AM352" s="224">
        <v>0</v>
      </c>
      <c r="AN352" s="225" t="s">
        <v>40</v>
      </c>
      <c r="AO352" s="104"/>
      <c r="AP352" s="104"/>
      <c r="AQ352" s="104"/>
      <c r="AR352" s="104"/>
      <c r="AS352" s="104"/>
      <c r="AT352" s="358"/>
    </row>
    <row r="353" spans="1:137" s="102" customFormat="1" ht="28.8" x14ac:dyDescent="0.3">
      <c r="A353" s="102" t="s">
        <v>264</v>
      </c>
      <c r="B353" s="223" t="s">
        <v>280</v>
      </c>
      <c r="C353" s="750" t="s">
        <v>405</v>
      </c>
      <c r="D353" s="223" t="s">
        <v>34</v>
      </c>
      <c r="E353" s="223" t="s">
        <v>282</v>
      </c>
      <c r="F353" s="1350" t="s">
        <v>285</v>
      </c>
      <c r="G353" s="217">
        <v>5.0999999999999996</v>
      </c>
      <c r="H353" s="751">
        <v>97125.82</v>
      </c>
      <c r="I353" s="441" t="s">
        <v>267</v>
      </c>
      <c r="J353" s="751">
        <v>97125.82</v>
      </c>
      <c r="K353" s="1401">
        <f>57519.76</f>
        <v>57519.76</v>
      </c>
      <c r="L353" s="1401">
        <f>57519.76</f>
        <v>57519.76</v>
      </c>
      <c r="M353" s="217" t="s">
        <v>200</v>
      </c>
      <c r="N353" s="217" t="s">
        <v>406</v>
      </c>
      <c r="O353" s="217" t="s">
        <v>407</v>
      </c>
      <c r="P353" s="172" t="s">
        <v>40</v>
      </c>
      <c r="Q353" s="173"/>
      <c r="R353" s="172" t="s">
        <v>64</v>
      </c>
      <c r="S353" s="173"/>
      <c r="T353" s="172"/>
      <c r="U353" s="173"/>
      <c r="V353" s="172" t="s">
        <v>40</v>
      </c>
      <c r="W353" s="173"/>
      <c r="X353" s="172" t="s">
        <v>40</v>
      </c>
      <c r="Y353" s="173"/>
      <c r="Z353" s="172" t="s">
        <v>64</v>
      </c>
      <c r="AA353" s="173"/>
      <c r="AB353" s="172" t="s">
        <v>40</v>
      </c>
      <c r="AC353" s="173"/>
      <c r="AD353" s="173"/>
      <c r="AE353" s="1526">
        <v>46203</v>
      </c>
      <c r="AF353" s="218" t="s">
        <v>247</v>
      </c>
      <c r="AG353" s="219">
        <v>2023</v>
      </c>
      <c r="AH353" s="231">
        <v>480588.26994200004</v>
      </c>
      <c r="AI353" s="739">
        <v>4975725</v>
      </c>
      <c r="AJ353" s="232"/>
      <c r="AK353" s="222" t="s">
        <v>43</v>
      </c>
      <c r="AL353" s="223" t="s">
        <v>41</v>
      </c>
      <c r="AM353" s="224">
        <v>0</v>
      </c>
      <c r="AN353" s="225" t="s">
        <v>40</v>
      </c>
      <c r="AO353" s="104"/>
      <c r="AP353" s="104"/>
      <c r="AQ353" s="104"/>
      <c r="AR353" s="104"/>
      <c r="AS353" s="104"/>
      <c r="AT353" s="358"/>
    </row>
    <row r="354" spans="1:137" s="102" customFormat="1" ht="28.8" x14ac:dyDescent="0.3">
      <c r="A354" s="102" t="s">
        <v>264</v>
      </c>
      <c r="B354" s="223" t="s">
        <v>280</v>
      </c>
      <c r="C354" s="750" t="s">
        <v>408</v>
      </c>
      <c r="D354" s="223" t="s">
        <v>34</v>
      </c>
      <c r="E354" s="223" t="s">
        <v>282</v>
      </c>
      <c r="F354" s="1350" t="s">
        <v>285</v>
      </c>
      <c r="G354" s="217">
        <v>4.5999999999999996</v>
      </c>
      <c r="H354" s="751">
        <v>61053.54</v>
      </c>
      <c r="I354" s="441" t="s">
        <v>267</v>
      </c>
      <c r="J354" s="751">
        <v>61053.54</v>
      </c>
      <c r="K354" s="1401">
        <f>32131.94</f>
        <v>32131.94</v>
      </c>
      <c r="L354" s="1401">
        <f>32131.94</f>
        <v>32131.94</v>
      </c>
      <c r="M354" s="217" t="s">
        <v>200</v>
      </c>
      <c r="N354" s="217" t="s">
        <v>409</v>
      </c>
      <c r="O354" s="217" t="s">
        <v>410</v>
      </c>
      <c r="P354" s="172" t="s">
        <v>40</v>
      </c>
      <c r="Q354" s="173"/>
      <c r="R354" s="172" t="s">
        <v>64</v>
      </c>
      <c r="S354" s="173"/>
      <c r="T354" s="172"/>
      <c r="U354" s="173"/>
      <c r="V354" s="172" t="s">
        <v>40</v>
      </c>
      <c r="W354" s="173"/>
      <c r="X354" s="172" t="s">
        <v>40</v>
      </c>
      <c r="Y354" s="173"/>
      <c r="Z354" s="172" t="s">
        <v>64</v>
      </c>
      <c r="AA354" s="173"/>
      <c r="AB354" s="172" t="s">
        <v>40</v>
      </c>
      <c r="AC354" s="173"/>
      <c r="AD354" s="173"/>
      <c r="AE354" s="1526">
        <v>46203</v>
      </c>
      <c r="AF354" s="218" t="s">
        <v>247</v>
      </c>
      <c r="AG354" s="219">
        <v>2023</v>
      </c>
      <c r="AH354" s="231">
        <v>302099.021274</v>
      </c>
      <c r="AI354" s="739">
        <v>17076860</v>
      </c>
      <c r="AJ354" s="232"/>
      <c r="AK354" s="222" t="s">
        <v>43</v>
      </c>
      <c r="AL354" s="223" t="s">
        <v>41</v>
      </c>
      <c r="AM354" s="224">
        <v>0</v>
      </c>
      <c r="AN354" s="225" t="s">
        <v>40</v>
      </c>
      <c r="AO354" s="104"/>
      <c r="AP354" s="104"/>
      <c r="AQ354" s="104"/>
      <c r="AR354" s="104"/>
      <c r="AS354" s="104"/>
      <c r="AT354" s="358"/>
    </row>
    <row r="355" spans="1:137" s="102" customFormat="1" ht="28.8" x14ac:dyDescent="0.3">
      <c r="A355" s="102" t="s">
        <v>264</v>
      </c>
      <c r="B355" s="223" t="s">
        <v>280</v>
      </c>
      <c r="C355" s="750" t="s">
        <v>411</v>
      </c>
      <c r="D355" s="223" t="s">
        <v>34</v>
      </c>
      <c r="E355" s="223" t="s">
        <v>282</v>
      </c>
      <c r="F355" s="1350" t="s">
        <v>285</v>
      </c>
      <c r="G355" s="217">
        <v>4.7564000000000002</v>
      </c>
      <c r="H355" s="751">
        <v>97754.39</v>
      </c>
      <c r="I355" s="441" t="s">
        <v>267</v>
      </c>
      <c r="J355" s="751">
        <v>97754.39</v>
      </c>
      <c r="K355" s="1606">
        <f>61339.39+61339.39</f>
        <v>122678.78</v>
      </c>
      <c r="L355" s="1606">
        <f>61339.39+61339.39</f>
        <v>122678.78</v>
      </c>
      <c r="M355" s="217" t="s">
        <v>412</v>
      </c>
      <c r="N355" s="217" t="s">
        <v>413</v>
      </c>
      <c r="O355" s="217" t="s">
        <v>414</v>
      </c>
      <c r="P355" s="172" t="s">
        <v>40</v>
      </c>
      <c r="Q355" s="173"/>
      <c r="R355" s="172" t="s">
        <v>64</v>
      </c>
      <c r="S355" s="173"/>
      <c r="T355" s="172"/>
      <c r="U355" s="173"/>
      <c r="V355" s="172" t="s">
        <v>40</v>
      </c>
      <c r="W355" s="173"/>
      <c r="X355" s="172" t="s">
        <v>40</v>
      </c>
      <c r="Y355" s="173"/>
      <c r="Z355" s="172" t="s">
        <v>64</v>
      </c>
      <c r="AA355" s="173"/>
      <c r="AB355" s="172" t="s">
        <v>40</v>
      </c>
      <c r="AC355" s="173"/>
      <c r="AD355" s="173"/>
      <c r="AE355" s="1526">
        <v>46203</v>
      </c>
      <c r="AF355" s="218" t="s">
        <v>247</v>
      </c>
      <c r="AG355" s="219">
        <v>2023</v>
      </c>
      <c r="AH355" s="231">
        <v>483698.49715900002</v>
      </c>
      <c r="AI355" s="739">
        <v>1681012134011</v>
      </c>
      <c r="AJ355" s="232"/>
      <c r="AK355" s="222" t="s">
        <v>43</v>
      </c>
      <c r="AL355" s="223" t="s">
        <v>41</v>
      </c>
      <c r="AM355" s="224">
        <v>0</v>
      </c>
      <c r="AN355" s="225" t="s">
        <v>40</v>
      </c>
      <c r="AO355" s="104"/>
      <c r="AP355" s="104"/>
      <c r="AQ355" s="104"/>
      <c r="AR355" s="104"/>
      <c r="AS355" s="104"/>
      <c r="AT355" s="358"/>
    </row>
    <row r="356" spans="1:137" s="102" customFormat="1" ht="28.8" x14ac:dyDescent="0.3">
      <c r="A356" s="102" t="s">
        <v>264</v>
      </c>
      <c r="B356" s="223" t="s">
        <v>280</v>
      </c>
      <c r="C356" s="750" t="s">
        <v>415</v>
      </c>
      <c r="D356" s="223" t="s">
        <v>34</v>
      </c>
      <c r="E356" s="223" t="s">
        <v>282</v>
      </c>
      <c r="F356" s="1350" t="s">
        <v>285</v>
      </c>
      <c r="G356" s="217">
        <v>2.8</v>
      </c>
      <c r="H356" s="751">
        <v>61936.2</v>
      </c>
      <c r="I356" s="441" t="s">
        <v>267</v>
      </c>
      <c r="J356" s="751">
        <v>61936.2</v>
      </c>
      <c r="K356" s="1606">
        <f>40499.4+40499.399</f>
        <v>80998.798999999999</v>
      </c>
      <c r="L356" s="1606">
        <f>40499.4+40499.399</f>
        <v>80998.798999999999</v>
      </c>
      <c r="M356" s="217" t="s">
        <v>351</v>
      </c>
      <c r="N356" s="217" t="s">
        <v>352</v>
      </c>
      <c r="O356" s="217" t="s">
        <v>416</v>
      </c>
      <c r="P356" s="172" t="s">
        <v>40</v>
      </c>
      <c r="Q356" s="173"/>
      <c r="R356" s="172" t="s">
        <v>64</v>
      </c>
      <c r="S356" s="173"/>
      <c r="T356" s="172"/>
      <c r="U356" s="173"/>
      <c r="V356" s="172" t="s">
        <v>40</v>
      </c>
      <c r="W356" s="173"/>
      <c r="X356" s="172" t="s">
        <v>40</v>
      </c>
      <c r="Y356" s="173"/>
      <c r="Z356" s="172" t="s">
        <v>64</v>
      </c>
      <c r="AA356" s="173"/>
      <c r="AB356" s="172" t="s">
        <v>40</v>
      </c>
      <c r="AC356" s="173"/>
      <c r="AD356" s="173"/>
      <c r="AE356" s="1526">
        <v>46203</v>
      </c>
      <c r="AF356" s="218" t="s">
        <v>247</v>
      </c>
      <c r="AG356" s="219">
        <v>2023</v>
      </c>
      <c r="AH356" s="231">
        <v>306466.51121999999</v>
      </c>
      <c r="AI356" s="739">
        <v>1870912374524</v>
      </c>
      <c r="AJ356" s="232"/>
      <c r="AK356" s="222" t="s">
        <v>43</v>
      </c>
      <c r="AL356" s="223" t="s">
        <v>41</v>
      </c>
      <c r="AM356" s="224">
        <v>0</v>
      </c>
      <c r="AN356" s="225" t="s">
        <v>40</v>
      </c>
      <c r="AO356" s="104"/>
      <c r="AP356" s="104"/>
      <c r="AQ356" s="104"/>
      <c r="AR356" s="104"/>
      <c r="AS356" s="104"/>
      <c r="AT356" s="358"/>
    </row>
    <row r="357" spans="1:137" s="102" customFormat="1" ht="28.8" x14ac:dyDescent="0.3">
      <c r="A357" s="102" t="s">
        <v>264</v>
      </c>
      <c r="B357" s="223" t="s">
        <v>280</v>
      </c>
      <c r="C357" s="750" t="s">
        <v>417</v>
      </c>
      <c r="D357" s="223" t="s">
        <v>34</v>
      </c>
      <c r="E357" s="223" t="s">
        <v>282</v>
      </c>
      <c r="F357" s="1350" t="s">
        <v>285</v>
      </c>
      <c r="G357" s="217">
        <v>13.855</v>
      </c>
      <c r="H357" s="751">
        <v>245668.65</v>
      </c>
      <c r="I357" s="441" t="s">
        <v>267</v>
      </c>
      <c r="J357" s="751">
        <v>245668.65</v>
      </c>
      <c r="K357" s="1606">
        <f>155694.28+155694.284</f>
        <v>311388.56400000001</v>
      </c>
      <c r="L357" s="1606">
        <f>155694.28+155694.284</f>
        <v>311388.56400000001</v>
      </c>
      <c r="M357" s="217" t="s">
        <v>351</v>
      </c>
      <c r="N357" s="217" t="s">
        <v>418</v>
      </c>
      <c r="O357" s="217" t="s">
        <v>419</v>
      </c>
      <c r="P357" s="172" t="s">
        <v>40</v>
      </c>
      <c r="Q357" s="173"/>
      <c r="R357" s="172" t="s">
        <v>64</v>
      </c>
      <c r="S357" s="173"/>
      <c r="T357" s="172"/>
      <c r="U357" s="173"/>
      <c r="V357" s="172" t="s">
        <v>40</v>
      </c>
      <c r="W357" s="173"/>
      <c r="X357" s="172" t="s">
        <v>40</v>
      </c>
      <c r="Y357" s="173"/>
      <c r="Z357" s="172" t="s">
        <v>64</v>
      </c>
      <c r="AA357" s="173"/>
      <c r="AB357" s="172" t="s">
        <v>40</v>
      </c>
      <c r="AC357" s="173"/>
      <c r="AD357" s="173"/>
      <c r="AE357" s="1526">
        <v>46203</v>
      </c>
      <c r="AF357" s="218" t="s">
        <v>247</v>
      </c>
      <c r="AG357" s="219">
        <v>2023</v>
      </c>
      <c r="AH357" s="231">
        <v>1215593.047065</v>
      </c>
      <c r="AI357" s="739">
        <v>2781227364218</v>
      </c>
      <c r="AJ357" s="232"/>
      <c r="AK357" s="222" t="s">
        <v>43</v>
      </c>
      <c r="AL357" s="223" t="s">
        <v>41</v>
      </c>
      <c r="AM357" s="224">
        <v>0</v>
      </c>
      <c r="AN357" s="225" t="s">
        <v>40</v>
      </c>
      <c r="AO357" s="104"/>
      <c r="AP357" s="104"/>
      <c r="AQ357" s="104"/>
      <c r="AR357" s="104"/>
      <c r="AS357" s="104"/>
      <c r="AT357" s="358"/>
    </row>
    <row r="358" spans="1:137" s="760" customFormat="1" ht="28.8" x14ac:dyDescent="0.3">
      <c r="A358" s="143" t="s">
        <v>264</v>
      </c>
      <c r="B358" s="421" t="s">
        <v>280</v>
      </c>
      <c r="C358" s="754" t="s">
        <v>420</v>
      </c>
      <c r="D358" s="223" t="s">
        <v>34</v>
      </c>
      <c r="E358" s="223" t="s">
        <v>282</v>
      </c>
      <c r="F358" s="1350" t="s">
        <v>285</v>
      </c>
      <c r="G358" s="755">
        <v>1.5713999999999999</v>
      </c>
      <c r="H358" s="756">
        <v>47479.07</v>
      </c>
      <c r="I358" s="757" t="s">
        <v>267</v>
      </c>
      <c r="J358" s="756">
        <v>47479.07</v>
      </c>
      <c r="K358" s="1610">
        <v>0</v>
      </c>
      <c r="L358" s="1610">
        <v>0</v>
      </c>
      <c r="M358" s="755" t="s">
        <v>54</v>
      </c>
      <c r="N358" s="755" t="s">
        <v>421</v>
      </c>
      <c r="O358" s="755" t="s">
        <v>422</v>
      </c>
      <c r="P358" s="155" t="s">
        <v>40</v>
      </c>
      <c r="Q358" s="156"/>
      <c r="R358" s="155" t="s">
        <v>64</v>
      </c>
      <c r="S358" s="156"/>
      <c r="T358" s="155"/>
      <c r="U358" s="156"/>
      <c r="V358" s="155" t="s">
        <v>40</v>
      </c>
      <c r="W358" s="156"/>
      <c r="X358" s="155" t="s">
        <v>40</v>
      </c>
      <c r="Y358" s="156"/>
      <c r="Z358" s="155" t="s">
        <v>64</v>
      </c>
      <c r="AA358" s="156"/>
      <c r="AB358" s="155" t="s">
        <v>40</v>
      </c>
      <c r="AC358" s="156"/>
      <c r="AD358" s="156"/>
      <c r="AE358" s="1527">
        <v>46203</v>
      </c>
      <c r="AF358" s="411" t="s">
        <v>247</v>
      </c>
      <c r="AG358" s="412">
        <v>2023</v>
      </c>
      <c r="AH358" s="758">
        <v>234931.19</v>
      </c>
      <c r="AI358" s="739" t="s">
        <v>423</v>
      </c>
      <c r="AJ358" s="759"/>
      <c r="AK358" s="420" t="s">
        <v>43</v>
      </c>
      <c r="AL358" s="421" t="s">
        <v>41</v>
      </c>
      <c r="AM358" s="416">
        <v>0</v>
      </c>
      <c r="AN358" s="422" t="s">
        <v>40</v>
      </c>
      <c r="AO358" s="165"/>
      <c r="AP358" s="165"/>
      <c r="AQ358" s="165"/>
      <c r="AR358" s="165"/>
      <c r="AS358" s="165"/>
      <c r="AT358" s="315"/>
      <c r="AU358" s="143"/>
      <c r="AV358" s="143"/>
      <c r="AW358" s="143"/>
      <c r="AX358" s="143"/>
      <c r="AY358" s="143"/>
      <c r="AZ358" s="143"/>
      <c r="BA358" s="143"/>
      <c r="BB358" s="143"/>
      <c r="BC358" s="143"/>
      <c r="BD358" s="143"/>
      <c r="BE358" s="143"/>
      <c r="BF358" s="143"/>
      <c r="BG358" s="143"/>
      <c r="BH358" s="143"/>
      <c r="BI358" s="143"/>
      <c r="BJ358" s="143"/>
      <c r="BK358" s="143"/>
      <c r="BL358" s="143"/>
      <c r="BM358" s="143"/>
      <c r="BN358" s="143"/>
      <c r="BO358" s="143"/>
      <c r="BP358" s="143"/>
      <c r="BQ358" s="143"/>
      <c r="BR358" s="143"/>
      <c r="BS358" s="143"/>
      <c r="BT358" s="143"/>
      <c r="BU358" s="143"/>
      <c r="BV358" s="143"/>
      <c r="BW358" s="143"/>
      <c r="BX358" s="143"/>
      <c r="BY358" s="143"/>
      <c r="BZ358" s="143"/>
      <c r="CA358" s="143"/>
      <c r="CB358" s="143"/>
      <c r="CC358" s="143"/>
      <c r="CD358" s="143"/>
      <c r="CE358" s="143"/>
      <c r="CF358" s="143"/>
      <c r="CG358" s="143"/>
      <c r="CH358" s="143"/>
      <c r="CI358" s="143"/>
      <c r="CJ358" s="143"/>
      <c r="CK358" s="143"/>
      <c r="CL358" s="143"/>
      <c r="CM358" s="143"/>
      <c r="CN358" s="143"/>
      <c r="CO358" s="143"/>
      <c r="CP358" s="143"/>
      <c r="CQ358" s="143"/>
      <c r="CR358" s="143"/>
      <c r="CS358" s="143"/>
      <c r="CT358" s="143"/>
      <c r="CU358" s="143"/>
      <c r="CV358" s="143"/>
      <c r="CW358" s="143"/>
      <c r="CX358" s="143"/>
      <c r="CY358" s="143"/>
      <c r="CZ358" s="143"/>
      <c r="DA358" s="143"/>
      <c r="DB358" s="143"/>
      <c r="DC358" s="143"/>
      <c r="DD358" s="143"/>
      <c r="DE358" s="143"/>
      <c r="DF358" s="143"/>
      <c r="DG358" s="143"/>
      <c r="DH358" s="143"/>
      <c r="DI358" s="143"/>
      <c r="DJ358" s="143"/>
      <c r="DK358" s="143"/>
      <c r="DL358" s="143"/>
      <c r="DM358" s="143"/>
      <c r="DN358" s="143"/>
      <c r="DO358" s="143"/>
      <c r="DP358" s="143"/>
      <c r="DQ358" s="143"/>
      <c r="DR358" s="143"/>
      <c r="DS358" s="143"/>
      <c r="DT358" s="143"/>
      <c r="DU358" s="143"/>
      <c r="DV358" s="143"/>
      <c r="DW358" s="143"/>
      <c r="DX358" s="143"/>
      <c r="DY358" s="143"/>
      <c r="DZ358" s="143"/>
      <c r="EA358" s="143"/>
      <c r="EB358" s="143"/>
      <c r="EC358" s="143"/>
      <c r="ED358" s="143"/>
      <c r="EE358" s="143"/>
      <c r="EF358" s="143"/>
      <c r="EG358" s="143"/>
    </row>
    <row r="359" spans="1:137" s="760" customFormat="1" ht="28.8" x14ac:dyDescent="0.3">
      <c r="A359" s="143" t="s">
        <v>264</v>
      </c>
      <c r="B359" s="421" t="s">
        <v>280</v>
      </c>
      <c r="C359" s="754" t="s">
        <v>424</v>
      </c>
      <c r="D359" s="223" t="s">
        <v>34</v>
      </c>
      <c r="E359" s="223" t="s">
        <v>282</v>
      </c>
      <c r="F359" s="1350" t="s">
        <v>285</v>
      </c>
      <c r="G359" s="755">
        <v>0.7</v>
      </c>
      <c r="H359" s="756">
        <v>20656</v>
      </c>
      <c r="I359" s="757" t="s">
        <v>267</v>
      </c>
      <c r="J359" s="756">
        <v>20656</v>
      </c>
      <c r="K359" s="1610">
        <v>0</v>
      </c>
      <c r="L359" s="1610">
        <v>0</v>
      </c>
      <c r="M359" s="755" t="s">
        <v>73</v>
      </c>
      <c r="N359" s="755" t="s">
        <v>425</v>
      </c>
      <c r="O359" s="755" t="s">
        <v>426</v>
      </c>
      <c r="P359" s="155" t="s">
        <v>40</v>
      </c>
      <c r="Q359" s="156"/>
      <c r="R359" s="155" t="s">
        <v>64</v>
      </c>
      <c r="S359" s="156"/>
      <c r="T359" s="155"/>
      <c r="U359" s="156"/>
      <c r="V359" s="155" t="s">
        <v>40</v>
      </c>
      <c r="W359" s="156"/>
      <c r="X359" s="155" t="s">
        <v>40</v>
      </c>
      <c r="Y359" s="156"/>
      <c r="Z359" s="155" t="s">
        <v>64</v>
      </c>
      <c r="AA359" s="156"/>
      <c r="AB359" s="155" t="s">
        <v>40</v>
      </c>
      <c r="AC359" s="156"/>
      <c r="AD359" s="156"/>
      <c r="AE359" s="1527">
        <v>46203</v>
      </c>
      <c r="AF359" s="411" t="s">
        <v>247</v>
      </c>
      <c r="AG359" s="412">
        <v>2023</v>
      </c>
      <c r="AH359" s="758">
        <v>102207.95</v>
      </c>
      <c r="AI359" s="739">
        <v>1580919054655</v>
      </c>
      <c r="AJ359" s="759"/>
      <c r="AK359" s="420" t="s">
        <v>43</v>
      </c>
      <c r="AL359" s="421" t="s">
        <v>41</v>
      </c>
      <c r="AM359" s="416">
        <v>0</v>
      </c>
      <c r="AN359" s="422" t="s">
        <v>40</v>
      </c>
      <c r="AO359" s="165"/>
      <c r="AP359" s="165"/>
      <c r="AQ359" s="165"/>
      <c r="AR359" s="165"/>
      <c r="AS359" s="165"/>
      <c r="AT359" s="315"/>
      <c r="AU359" s="143"/>
      <c r="AV359" s="143"/>
      <c r="AW359" s="143"/>
      <c r="AX359" s="143"/>
      <c r="AY359" s="143"/>
      <c r="AZ359" s="143"/>
      <c r="BA359" s="143"/>
      <c r="BB359" s="143"/>
      <c r="BC359" s="143"/>
      <c r="BD359" s="143"/>
      <c r="BE359" s="143"/>
      <c r="BF359" s="143"/>
      <c r="BG359" s="143"/>
      <c r="BH359" s="143"/>
      <c r="BI359" s="143"/>
      <c r="BJ359" s="143"/>
      <c r="BK359" s="143"/>
      <c r="BL359" s="143"/>
      <c r="BM359" s="143"/>
      <c r="BN359" s="143"/>
      <c r="BO359" s="143"/>
      <c r="BP359" s="143"/>
      <c r="BQ359" s="143"/>
      <c r="BR359" s="143"/>
      <c r="BS359" s="143"/>
      <c r="BT359" s="143"/>
      <c r="BU359" s="143"/>
      <c r="BV359" s="143"/>
      <c r="BW359" s="143"/>
      <c r="BX359" s="143"/>
      <c r="BY359" s="143"/>
      <c r="BZ359" s="143"/>
      <c r="CA359" s="143"/>
      <c r="CB359" s="143"/>
      <c r="CC359" s="143"/>
      <c r="CD359" s="143"/>
      <c r="CE359" s="143"/>
      <c r="CF359" s="143"/>
      <c r="CG359" s="143"/>
      <c r="CH359" s="143"/>
      <c r="CI359" s="143"/>
      <c r="CJ359" s="143"/>
      <c r="CK359" s="143"/>
      <c r="CL359" s="143"/>
      <c r="CM359" s="143"/>
      <c r="CN359" s="143"/>
      <c r="CO359" s="143"/>
      <c r="CP359" s="143"/>
      <c r="CQ359" s="143"/>
      <c r="CR359" s="143"/>
      <c r="CS359" s="143"/>
      <c r="CT359" s="143"/>
      <c r="CU359" s="143"/>
      <c r="CV359" s="143"/>
      <c r="CW359" s="143"/>
      <c r="CX359" s="143"/>
      <c r="CY359" s="143"/>
      <c r="CZ359" s="143"/>
      <c r="DA359" s="143"/>
      <c r="DB359" s="143"/>
      <c r="DC359" s="143"/>
      <c r="DD359" s="143"/>
      <c r="DE359" s="143"/>
      <c r="DF359" s="143"/>
      <c r="DG359" s="143"/>
      <c r="DH359" s="143"/>
      <c r="DI359" s="143"/>
      <c r="DJ359" s="143"/>
      <c r="DK359" s="143"/>
      <c r="DL359" s="143"/>
      <c r="DM359" s="143"/>
      <c r="DN359" s="143"/>
      <c r="DO359" s="143"/>
      <c r="DP359" s="143"/>
      <c r="DQ359" s="143"/>
      <c r="DR359" s="143"/>
      <c r="DS359" s="143"/>
      <c r="DT359" s="143"/>
      <c r="DU359" s="143"/>
      <c r="DV359" s="143"/>
      <c r="DW359" s="143"/>
      <c r="DX359" s="143"/>
      <c r="DY359" s="143"/>
      <c r="DZ359" s="143"/>
      <c r="EA359" s="143"/>
      <c r="EB359" s="143"/>
      <c r="EC359" s="143"/>
      <c r="ED359" s="143"/>
      <c r="EE359" s="143"/>
      <c r="EF359" s="143"/>
      <c r="EG359" s="143"/>
    </row>
    <row r="360" spans="1:137" s="760" customFormat="1" ht="28.8" x14ac:dyDescent="0.3">
      <c r="A360" s="143" t="s">
        <v>264</v>
      </c>
      <c r="B360" s="421" t="s">
        <v>280</v>
      </c>
      <c r="C360" s="754" t="s">
        <v>427</v>
      </c>
      <c r="D360" s="223" t="s">
        <v>34</v>
      </c>
      <c r="E360" s="223" t="s">
        <v>282</v>
      </c>
      <c r="F360" s="1350" t="s">
        <v>285</v>
      </c>
      <c r="G360" s="755">
        <v>2.86</v>
      </c>
      <c r="H360" s="756">
        <v>75357.8</v>
      </c>
      <c r="I360" s="757" t="s">
        <v>267</v>
      </c>
      <c r="J360" s="756">
        <v>75357.8</v>
      </c>
      <c r="K360" s="1400">
        <f>53461.63</f>
        <v>53461.63</v>
      </c>
      <c r="L360" s="1400">
        <f>53461.63</f>
        <v>53461.63</v>
      </c>
      <c r="M360" s="755" t="s">
        <v>73</v>
      </c>
      <c r="N360" s="755" t="s">
        <v>425</v>
      </c>
      <c r="O360" s="755" t="s">
        <v>428</v>
      </c>
      <c r="P360" s="155" t="s">
        <v>40</v>
      </c>
      <c r="Q360" s="156"/>
      <c r="R360" s="155" t="s">
        <v>64</v>
      </c>
      <c r="S360" s="156"/>
      <c r="T360" s="155"/>
      <c r="U360" s="156"/>
      <c r="V360" s="155" t="s">
        <v>40</v>
      </c>
      <c r="W360" s="156"/>
      <c r="X360" s="155" t="s">
        <v>40</v>
      </c>
      <c r="Y360" s="156"/>
      <c r="Z360" s="155" t="s">
        <v>64</v>
      </c>
      <c r="AA360" s="156"/>
      <c r="AB360" s="155" t="s">
        <v>40</v>
      </c>
      <c r="AC360" s="156"/>
      <c r="AD360" s="156"/>
      <c r="AE360" s="1527">
        <v>46203</v>
      </c>
      <c r="AF360" s="411" t="s">
        <v>247</v>
      </c>
      <c r="AG360" s="412">
        <v>2023</v>
      </c>
      <c r="AH360" s="758">
        <v>372877.93</v>
      </c>
      <c r="AI360" s="739">
        <v>1701214051093</v>
      </c>
      <c r="AJ360" s="759"/>
      <c r="AK360" s="420" t="s">
        <v>43</v>
      </c>
      <c r="AL360" s="421" t="s">
        <v>41</v>
      </c>
      <c r="AM360" s="416">
        <v>0</v>
      </c>
      <c r="AN360" s="422" t="s">
        <v>40</v>
      </c>
      <c r="AO360" s="165"/>
      <c r="AP360" s="165"/>
      <c r="AQ360" s="165"/>
      <c r="AR360" s="165"/>
      <c r="AS360" s="165"/>
      <c r="AT360" s="315"/>
      <c r="AU360" s="143"/>
      <c r="AV360" s="143"/>
      <c r="AW360" s="143"/>
      <c r="AX360" s="143"/>
      <c r="AY360" s="143"/>
      <c r="AZ360" s="143"/>
      <c r="BA360" s="143"/>
      <c r="BB360" s="143"/>
      <c r="BC360" s="143"/>
      <c r="BD360" s="143"/>
      <c r="BE360" s="143"/>
      <c r="BF360" s="143"/>
      <c r="BG360" s="143"/>
      <c r="BH360" s="143"/>
      <c r="BI360" s="143"/>
      <c r="BJ360" s="143"/>
      <c r="BK360" s="143"/>
      <c r="BL360" s="143"/>
      <c r="BM360" s="143"/>
      <c r="BN360" s="143"/>
      <c r="BO360" s="143"/>
      <c r="BP360" s="143"/>
      <c r="BQ360" s="143"/>
      <c r="BR360" s="143"/>
      <c r="BS360" s="143"/>
      <c r="BT360" s="143"/>
      <c r="BU360" s="143"/>
      <c r="BV360" s="143"/>
      <c r="BW360" s="143"/>
      <c r="BX360" s="143"/>
      <c r="BY360" s="143"/>
      <c r="BZ360" s="143"/>
      <c r="CA360" s="143"/>
      <c r="CB360" s="143"/>
      <c r="CC360" s="143"/>
      <c r="CD360" s="143"/>
      <c r="CE360" s="143"/>
      <c r="CF360" s="143"/>
      <c r="CG360" s="143"/>
      <c r="CH360" s="143"/>
      <c r="CI360" s="143"/>
      <c r="CJ360" s="143"/>
      <c r="CK360" s="143"/>
      <c r="CL360" s="143"/>
      <c r="CM360" s="143"/>
      <c r="CN360" s="143"/>
      <c r="CO360" s="143"/>
      <c r="CP360" s="143"/>
      <c r="CQ360" s="143"/>
      <c r="CR360" s="143"/>
      <c r="CS360" s="143"/>
      <c r="CT360" s="143"/>
      <c r="CU360" s="143"/>
      <c r="CV360" s="143"/>
      <c r="CW360" s="143"/>
      <c r="CX360" s="143"/>
      <c r="CY360" s="143"/>
      <c r="CZ360" s="143"/>
      <c r="DA360" s="143"/>
      <c r="DB360" s="143"/>
      <c r="DC360" s="143"/>
      <c r="DD360" s="143"/>
      <c r="DE360" s="143"/>
      <c r="DF360" s="143"/>
      <c r="DG360" s="143"/>
      <c r="DH360" s="143"/>
      <c r="DI360" s="143"/>
      <c r="DJ360" s="143"/>
      <c r="DK360" s="143"/>
      <c r="DL360" s="143"/>
      <c r="DM360" s="143"/>
      <c r="DN360" s="143"/>
      <c r="DO360" s="143"/>
      <c r="DP360" s="143"/>
      <c r="DQ360" s="143"/>
      <c r="DR360" s="143"/>
      <c r="DS360" s="143"/>
      <c r="DT360" s="143"/>
      <c r="DU360" s="143"/>
      <c r="DV360" s="143"/>
      <c r="DW360" s="143"/>
      <c r="DX360" s="143"/>
      <c r="DY360" s="143"/>
      <c r="DZ360" s="143"/>
      <c r="EA360" s="143"/>
      <c r="EB360" s="143"/>
      <c r="EC360" s="143"/>
      <c r="ED360" s="143"/>
      <c r="EE360" s="143"/>
      <c r="EF360" s="143"/>
      <c r="EG360" s="143"/>
    </row>
    <row r="361" spans="1:137" s="760" customFormat="1" ht="28.8" x14ac:dyDescent="0.3">
      <c r="A361" s="143" t="s">
        <v>264</v>
      </c>
      <c r="B361" s="421" t="s">
        <v>280</v>
      </c>
      <c r="C361" s="754" t="s">
        <v>429</v>
      </c>
      <c r="D361" s="223" t="s">
        <v>34</v>
      </c>
      <c r="E361" s="223" t="s">
        <v>282</v>
      </c>
      <c r="F361" s="1350" t="s">
        <v>285</v>
      </c>
      <c r="G361" s="755">
        <v>0.56759999999999999</v>
      </c>
      <c r="H361" s="756">
        <v>20517.34</v>
      </c>
      <c r="I361" s="757" t="s">
        <v>267</v>
      </c>
      <c r="J361" s="756">
        <v>20517.34</v>
      </c>
      <c r="K361" s="1610">
        <v>0</v>
      </c>
      <c r="L361" s="1610">
        <v>0</v>
      </c>
      <c r="M361" s="755" t="s">
        <v>58</v>
      </c>
      <c r="N361" s="755" t="s">
        <v>430</v>
      </c>
      <c r="O361" s="755" t="s">
        <v>431</v>
      </c>
      <c r="P361" s="155" t="s">
        <v>40</v>
      </c>
      <c r="Q361" s="156"/>
      <c r="R361" s="155" t="s">
        <v>64</v>
      </c>
      <c r="S361" s="156"/>
      <c r="T361" s="155"/>
      <c r="U361" s="156"/>
      <c r="V361" s="155" t="s">
        <v>40</v>
      </c>
      <c r="W361" s="156"/>
      <c r="X361" s="155" t="s">
        <v>40</v>
      </c>
      <c r="Y361" s="156"/>
      <c r="Z361" s="155" t="s">
        <v>64</v>
      </c>
      <c r="AA361" s="156"/>
      <c r="AB361" s="155" t="s">
        <v>40</v>
      </c>
      <c r="AC361" s="156"/>
      <c r="AD361" s="156"/>
      <c r="AE361" s="1527">
        <v>46203</v>
      </c>
      <c r="AF361" s="411" t="s">
        <v>247</v>
      </c>
      <c r="AG361" s="412">
        <v>2023</v>
      </c>
      <c r="AH361" s="758">
        <v>101521.85</v>
      </c>
      <c r="AI361" s="739">
        <v>1850810125496</v>
      </c>
      <c r="AJ361" s="759"/>
      <c r="AK361" s="420" t="s">
        <v>43</v>
      </c>
      <c r="AL361" s="421" t="s">
        <v>41</v>
      </c>
      <c r="AM361" s="416">
        <v>0</v>
      </c>
      <c r="AN361" s="422" t="s">
        <v>40</v>
      </c>
      <c r="AO361" s="165"/>
      <c r="AP361" s="165"/>
      <c r="AQ361" s="165"/>
      <c r="AR361" s="165"/>
      <c r="AS361" s="165"/>
      <c r="AT361" s="315"/>
      <c r="AU361" s="143"/>
      <c r="AV361" s="143"/>
      <c r="AW361" s="143"/>
      <c r="AX361" s="143"/>
      <c r="AY361" s="143"/>
      <c r="AZ361" s="143"/>
      <c r="BA361" s="143"/>
      <c r="BB361" s="143"/>
      <c r="BC361" s="143"/>
      <c r="BD361" s="143"/>
      <c r="BE361" s="143"/>
      <c r="BF361" s="143"/>
      <c r="BG361" s="143"/>
      <c r="BH361" s="143"/>
      <c r="BI361" s="143"/>
      <c r="BJ361" s="143"/>
      <c r="BK361" s="143"/>
      <c r="BL361" s="143"/>
      <c r="BM361" s="143"/>
      <c r="BN361" s="143"/>
      <c r="BO361" s="143"/>
      <c r="BP361" s="143"/>
      <c r="BQ361" s="143"/>
      <c r="BR361" s="143"/>
      <c r="BS361" s="143"/>
      <c r="BT361" s="143"/>
      <c r="BU361" s="143"/>
      <c r="BV361" s="143"/>
      <c r="BW361" s="143"/>
      <c r="BX361" s="143"/>
      <c r="BY361" s="143"/>
      <c r="BZ361" s="143"/>
      <c r="CA361" s="143"/>
      <c r="CB361" s="143"/>
      <c r="CC361" s="143"/>
      <c r="CD361" s="143"/>
      <c r="CE361" s="143"/>
      <c r="CF361" s="143"/>
      <c r="CG361" s="143"/>
      <c r="CH361" s="143"/>
      <c r="CI361" s="143"/>
      <c r="CJ361" s="143"/>
      <c r="CK361" s="143"/>
      <c r="CL361" s="143"/>
      <c r="CM361" s="143"/>
      <c r="CN361" s="143"/>
      <c r="CO361" s="143"/>
      <c r="CP361" s="143"/>
      <c r="CQ361" s="143"/>
      <c r="CR361" s="143"/>
      <c r="CS361" s="143"/>
      <c r="CT361" s="143"/>
      <c r="CU361" s="143"/>
      <c r="CV361" s="143"/>
      <c r="CW361" s="143"/>
      <c r="CX361" s="143"/>
      <c r="CY361" s="143"/>
      <c r="CZ361" s="143"/>
      <c r="DA361" s="143"/>
      <c r="DB361" s="143"/>
      <c r="DC361" s="143"/>
      <c r="DD361" s="143"/>
      <c r="DE361" s="143"/>
      <c r="DF361" s="143"/>
      <c r="DG361" s="143"/>
      <c r="DH361" s="143"/>
      <c r="DI361" s="143"/>
      <c r="DJ361" s="143"/>
      <c r="DK361" s="143"/>
      <c r="DL361" s="143"/>
      <c r="DM361" s="143"/>
      <c r="DN361" s="143"/>
      <c r="DO361" s="143"/>
      <c r="DP361" s="143"/>
      <c r="DQ361" s="143"/>
      <c r="DR361" s="143"/>
      <c r="DS361" s="143"/>
      <c r="DT361" s="143"/>
      <c r="DU361" s="143"/>
      <c r="DV361" s="143"/>
      <c r="DW361" s="143"/>
      <c r="DX361" s="143"/>
      <c r="DY361" s="143"/>
      <c r="DZ361" s="143"/>
      <c r="EA361" s="143"/>
      <c r="EB361" s="143"/>
      <c r="EC361" s="143"/>
      <c r="ED361" s="143"/>
      <c r="EE361" s="143"/>
      <c r="EF361" s="143"/>
      <c r="EG361" s="143"/>
    </row>
    <row r="362" spans="1:137" s="760" customFormat="1" ht="28.8" x14ac:dyDescent="0.3">
      <c r="A362" s="143" t="s">
        <v>264</v>
      </c>
      <c r="B362" s="421" t="s">
        <v>280</v>
      </c>
      <c r="C362" s="754" t="s">
        <v>432</v>
      </c>
      <c r="D362" s="223" t="s">
        <v>34</v>
      </c>
      <c r="E362" s="223" t="s">
        <v>282</v>
      </c>
      <c r="F362" s="1350" t="s">
        <v>285</v>
      </c>
      <c r="G362" s="755">
        <v>29.16</v>
      </c>
      <c r="H362" s="756">
        <v>572319.18000000005</v>
      </c>
      <c r="I362" s="757" t="s">
        <v>267</v>
      </c>
      <c r="J362" s="756">
        <v>572319.18000000005</v>
      </c>
      <c r="K362" s="1610">
        <f>349070.218</f>
        <v>349070.21799999999</v>
      </c>
      <c r="L362" s="1610">
        <f>349070.218</f>
        <v>349070.21799999999</v>
      </c>
      <c r="M362" s="755" t="s">
        <v>412</v>
      </c>
      <c r="N362" s="755" t="s">
        <v>413</v>
      </c>
      <c r="O362" s="755" t="s">
        <v>433</v>
      </c>
      <c r="P362" s="155" t="s">
        <v>40</v>
      </c>
      <c r="Q362" s="156"/>
      <c r="R362" s="155" t="s">
        <v>64</v>
      </c>
      <c r="S362" s="156"/>
      <c r="T362" s="155"/>
      <c r="U362" s="156"/>
      <c r="V362" s="155" t="s">
        <v>40</v>
      </c>
      <c r="W362" s="156"/>
      <c r="X362" s="155" t="s">
        <v>40</v>
      </c>
      <c r="Y362" s="156"/>
      <c r="Z362" s="155" t="s">
        <v>64</v>
      </c>
      <c r="AA362" s="156"/>
      <c r="AB362" s="155" t="s">
        <v>40</v>
      </c>
      <c r="AC362" s="156"/>
      <c r="AD362" s="156"/>
      <c r="AE362" s="1527">
        <v>46203</v>
      </c>
      <c r="AF362" s="411" t="s">
        <v>247</v>
      </c>
      <c r="AG362" s="412">
        <v>2023</v>
      </c>
      <c r="AH362" s="758">
        <v>2831892.53</v>
      </c>
      <c r="AI362" s="739">
        <v>2820722132855</v>
      </c>
      <c r="AJ362" s="759"/>
      <c r="AK362" s="420" t="s">
        <v>43</v>
      </c>
      <c r="AL362" s="421" t="s">
        <v>41</v>
      </c>
      <c r="AM362" s="416">
        <v>0</v>
      </c>
      <c r="AN362" s="422" t="s">
        <v>40</v>
      </c>
      <c r="AO362" s="165"/>
      <c r="AP362" s="165"/>
      <c r="AQ362" s="165"/>
      <c r="AR362" s="165"/>
      <c r="AS362" s="165"/>
      <c r="AT362" s="315"/>
      <c r="AU362" s="143"/>
      <c r="AV362" s="143"/>
      <c r="AW362" s="143"/>
      <c r="AX362" s="143"/>
      <c r="AY362" s="143"/>
      <c r="AZ362" s="143"/>
      <c r="BA362" s="143"/>
      <c r="BB362" s="143"/>
      <c r="BC362" s="143"/>
      <c r="BD362" s="143"/>
      <c r="BE362" s="143"/>
      <c r="BF362" s="143"/>
      <c r="BG362" s="143"/>
      <c r="BH362" s="143"/>
      <c r="BI362" s="143"/>
      <c r="BJ362" s="143"/>
      <c r="BK362" s="143"/>
      <c r="BL362" s="143"/>
      <c r="BM362" s="143"/>
      <c r="BN362" s="143"/>
      <c r="BO362" s="143"/>
      <c r="BP362" s="143"/>
      <c r="BQ362" s="143"/>
      <c r="BR362" s="143"/>
      <c r="BS362" s="143"/>
      <c r="BT362" s="143"/>
      <c r="BU362" s="143"/>
      <c r="BV362" s="143"/>
      <c r="BW362" s="143"/>
      <c r="BX362" s="143"/>
      <c r="BY362" s="143"/>
      <c r="BZ362" s="143"/>
      <c r="CA362" s="143"/>
      <c r="CB362" s="143"/>
      <c r="CC362" s="143"/>
      <c r="CD362" s="143"/>
      <c r="CE362" s="143"/>
      <c r="CF362" s="143"/>
      <c r="CG362" s="143"/>
      <c r="CH362" s="143"/>
      <c r="CI362" s="143"/>
      <c r="CJ362" s="143"/>
      <c r="CK362" s="143"/>
      <c r="CL362" s="143"/>
      <c r="CM362" s="143"/>
      <c r="CN362" s="143"/>
      <c r="CO362" s="143"/>
      <c r="CP362" s="143"/>
      <c r="CQ362" s="143"/>
      <c r="CR362" s="143"/>
      <c r="CS362" s="143"/>
      <c r="CT362" s="143"/>
      <c r="CU362" s="143"/>
      <c r="CV362" s="143"/>
      <c r="CW362" s="143"/>
      <c r="CX362" s="143"/>
      <c r="CY362" s="143"/>
      <c r="CZ362" s="143"/>
      <c r="DA362" s="143"/>
      <c r="DB362" s="143"/>
      <c r="DC362" s="143"/>
      <c r="DD362" s="143"/>
      <c r="DE362" s="143"/>
      <c r="DF362" s="143"/>
      <c r="DG362" s="143"/>
      <c r="DH362" s="143"/>
      <c r="DI362" s="143"/>
      <c r="DJ362" s="143"/>
      <c r="DK362" s="143"/>
      <c r="DL362" s="143"/>
      <c r="DM362" s="143"/>
      <c r="DN362" s="143"/>
      <c r="DO362" s="143"/>
      <c r="DP362" s="143"/>
      <c r="DQ362" s="143"/>
      <c r="DR362" s="143"/>
      <c r="DS362" s="143"/>
      <c r="DT362" s="143"/>
      <c r="DU362" s="143"/>
      <c r="DV362" s="143"/>
      <c r="DW362" s="143"/>
      <c r="DX362" s="143"/>
      <c r="DY362" s="143"/>
      <c r="DZ362" s="143"/>
      <c r="EA362" s="143"/>
      <c r="EB362" s="143"/>
      <c r="EC362" s="143"/>
      <c r="ED362" s="143"/>
      <c r="EE362" s="143"/>
      <c r="EF362" s="143"/>
      <c r="EG362" s="143"/>
    </row>
    <row r="363" spans="1:137" s="760" customFormat="1" ht="28.8" x14ac:dyDescent="0.3">
      <c r="A363" s="143" t="s">
        <v>264</v>
      </c>
      <c r="B363" s="421" t="s">
        <v>280</v>
      </c>
      <c r="C363" s="754" t="s">
        <v>434</v>
      </c>
      <c r="D363" s="223" t="s">
        <v>34</v>
      </c>
      <c r="E363" s="223" t="s">
        <v>282</v>
      </c>
      <c r="F363" s="1350" t="s">
        <v>285</v>
      </c>
      <c r="G363" s="755">
        <v>5.875</v>
      </c>
      <c r="H363" s="756">
        <v>124898.74</v>
      </c>
      <c r="I363" s="757" t="s">
        <v>267</v>
      </c>
      <c r="J363" s="756">
        <v>124898.74</v>
      </c>
      <c r="K363" s="1610">
        <f>78003.8297528344</f>
        <v>78003.829752834397</v>
      </c>
      <c r="L363" s="1610">
        <f>78003.8297528344</f>
        <v>78003.829752834397</v>
      </c>
      <c r="M363" s="755" t="s">
        <v>351</v>
      </c>
      <c r="N363" s="755" t="s">
        <v>435</v>
      </c>
      <c r="O363" s="755" t="s">
        <v>436</v>
      </c>
      <c r="P363" s="155" t="s">
        <v>40</v>
      </c>
      <c r="Q363" s="156"/>
      <c r="R363" s="155" t="s">
        <v>64</v>
      </c>
      <c r="S363" s="156"/>
      <c r="T363" s="155"/>
      <c r="U363" s="156"/>
      <c r="V363" s="155" t="s">
        <v>40</v>
      </c>
      <c r="W363" s="156"/>
      <c r="X363" s="155" t="s">
        <v>40</v>
      </c>
      <c r="Y363" s="156"/>
      <c r="Z363" s="155" t="s">
        <v>64</v>
      </c>
      <c r="AA363" s="156"/>
      <c r="AB363" s="155" t="s">
        <v>40</v>
      </c>
      <c r="AC363" s="156"/>
      <c r="AD363" s="156"/>
      <c r="AE363" s="1527">
        <v>46203</v>
      </c>
      <c r="AF363" s="411" t="s">
        <v>247</v>
      </c>
      <c r="AG363" s="412">
        <v>2023</v>
      </c>
      <c r="AH363" s="758">
        <v>618011.46</v>
      </c>
      <c r="AI363" s="761">
        <v>1990726360038</v>
      </c>
      <c r="AJ363" s="759"/>
      <c r="AK363" s="420" t="s">
        <v>43</v>
      </c>
      <c r="AL363" s="421" t="s">
        <v>41</v>
      </c>
      <c r="AM363" s="416">
        <v>0</v>
      </c>
      <c r="AN363" s="422" t="s">
        <v>40</v>
      </c>
      <c r="AO363" s="165"/>
      <c r="AP363" s="165"/>
      <c r="AQ363" s="165"/>
      <c r="AR363" s="165"/>
      <c r="AS363" s="165"/>
      <c r="AT363" s="315"/>
      <c r="AU363" s="143"/>
      <c r="AV363" s="143"/>
      <c r="AW363" s="143"/>
      <c r="AX363" s="143"/>
      <c r="AY363" s="143"/>
      <c r="AZ363" s="143"/>
      <c r="BA363" s="143"/>
      <c r="BB363" s="143"/>
      <c r="BC363" s="143"/>
      <c r="BD363" s="143"/>
      <c r="BE363" s="143"/>
      <c r="BF363" s="143"/>
      <c r="BG363" s="143"/>
      <c r="BH363" s="143"/>
      <c r="BI363" s="143"/>
      <c r="BJ363" s="143"/>
      <c r="BK363" s="143"/>
      <c r="BL363" s="143"/>
      <c r="BM363" s="143"/>
      <c r="BN363" s="143"/>
      <c r="BO363" s="143"/>
      <c r="BP363" s="143"/>
      <c r="BQ363" s="143"/>
      <c r="BR363" s="143"/>
      <c r="BS363" s="143"/>
      <c r="BT363" s="143"/>
      <c r="BU363" s="143"/>
      <c r="BV363" s="143"/>
      <c r="BW363" s="143"/>
      <c r="BX363" s="143"/>
      <c r="BY363" s="143"/>
      <c r="BZ363" s="143"/>
      <c r="CA363" s="143"/>
      <c r="CB363" s="143"/>
      <c r="CC363" s="143"/>
      <c r="CD363" s="143"/>
      <c r="CE363" s="143"/>
      <c r="CF363" s="143"/>
      <c r="CG363" s="143"/>
      <c r="CH363" s="143"/>
      <c r="CI363" s="143"/>
      <c r="CJ363" s="143"/>
      <c r="CK363" s="143"/>
      <c r="CL363" s="143"/>
      <c r="CM363" s="143"/>
      <c r="CN363" s="143"/>
      <c r="CO363" s="143"/>
      <c r="CP363" s="143"/>
      <c r="CQ363" s="143"/>
      <c r="CR363" s="143"/>
      <c r="CS363" s="143"/>
      <c r="CT363" s="143"/>
      <c r="CU363" s="143"/>
      <c r="CV363" s="143"/>
      <c r="CW363" s="143"/>
      <c r="CX363" s="143"/>
      <c r="CY363" s="143"/>
      <c r="CZ363" s="143"/>
      <c r="DA363" s="143"/>
      <c r="DB363" s="143"/>
      <c r="DC363" s="143"/>
      <c r="DD363" s="143"/>
      <c r="DE363" s="143"/>
      <c r="DF363" s="143"/>
      <c r="DG363" s="143"/>
      <c r="DH363" s="143"/>
      <c r="DI363" s="143"/>
      <c r="DJ363" s="143"/>
      <c r="DK363" s="143"/>
      <c r="DL363" s="143"/>
      <c r="DM363" s="143"/>
      <c r="DN363" s="143"/>
      <c r="DO363" s="143"/>
      <c r="DP363" s="143"/>
      <c r="DQ363" s="143"/>
      <c r="DR363" s="143"/>
      <c r="DS363" s="143"/>
      <c r="DT363" s="143"/>
      <c r="DU363" s="143"/>
      <c r="DV363" s="143"/>
      <c r="DW363" s="143"/>
      <c r="DX363" s="143"/>
      <c r="DY363" s="143"/>
      <c r="DZ363" s="143"/>
      <c r="EA363" s="143"/>
      <c r="EB363" s="143"/>
      <c r="EC363" s="143"/>
      <c r="ED363" s="143"/>
      <c r="EE363" s="143"/>
      <c r="EF363" s="143"/>
      <c r="EG363" s="143"/>
    </row>
    <row r="364" spans="1:137" s="760" customFormat="1" ht="28.8" x14ac:dyDescent="0.3">
      <c r="A364" s="143" t="s">
        <v>264</v>
      </c>
      <c r="B364" s="421" t="s">
        <v>280</v>
      </c>
      <c r="C364" s="754" t="s">
        <v>437</v>
      </c>
      <c r="D364" s="223" t="s">
        <v>34</v>
      </c>
      <c r="E364" s="223" t="s">
        <v>282</v>
      </c>
      <c r="F364" s="1350" t="s">
        <v>285</v>
      </c>
      <c r="G364" s="755">
        <v>4.7300000000000004</v>
      </c>
      <c r="H364" s="756">
        <v>121191.03999999999</v>
      </c>
      <c r="I364" s="757" t="s">
        <v>267</v>
      </c>
      <c r="J364" s="756">
        <v>121191.03999999999</v>
      </c>
      <c r="K364" s="1610">
        <f>84978.159</f>
        <v>84978.159</v>
      </c>
      <c r="L364" s="1610">
        <f>84978.159</f>
        <v>84978.159</v>
      </c>
      <c r="M364" s="755" t="s">
        <v>412</v>
      </c>
      <c r="N364" s="755" t="s">
        <v>413</v>
      </c>
      <c r="O364" s="755" t="s">
        <v>438</v>
      </c>
      <c r="P364" s="155" t="s">
        <v>40</v>
      </c>
      <c r="Q364" s="156"/>
      <c r="R364" s="155" t="s">
        <v>64</v>
      </c>
      <c r="S364" s="156"/>
      <c r="T364" s="155"/>
      <c r="U364" s="156"/>
      <c r="V364" s="155" t="s">
        <v>40</v>
      </c>
      <c r="W364" s="156"/>
      <c r="X364" s="155" t="s">
        <v>40</v>
      </c>
      <c r="Y364" s="156"/>
      <c r="Z364" s="155" t="s">
        <v>64</v>
      </c>
      <c r="AA364" s="156"/>
      <c r="AB364" s="155" t="s">
        <v>40</v>
      </c>
      <c r="AC364" s="156"/>
      <c r="AD364" s="156"/>
      <c r="AE364" s="1527">
        <v>46203</v>
      </c>
      <c r="AF364" s="411" t="s">
        <v>247</v>
      </c>
      <c r="AG364" s="412">
        <v>2023</v>
      </c>
      <c r="AH364" s="758">
        <v>599665.39</v>
      </c>
      <c r="AI364" s="739">
        <v>1800131036674</v>
      </c>
      <c r="AJ364" s="759"/>
      <c r="AK364" s="420" t="s">
        <v>43</v>
      </c>
      <c r="AL364" s="421" t="s">
        <v>41</v>
      </c>
      <c r="AM364" s="416">
        <v>0</v>
      </c>
      <c r="AN364" s="422" t="s">
        <v>40</v>
      </c>
      <c r="AO364" s="165"/>
      <c r="AP364" s="165"/>
      <c r="AQ364" s="165"/>
      <c r="AR364" s="165"/>
      <c r="AS364" s="165"/>
      <c r="AT364" s="315"/>
      <c r="AU364" s="143"/>
      <c r="AV364" s="143"/>
      <c r="AW364" s="143"/>
      <c r="AX364" s="143"/>
      <c r="AY364" s="143"/>
      <c r="AZ364" s="143"/>
      <c r="BA364" s="143"/>
      <c r="BB364" s="143"/>
      <c r="BC364" s="143"/>
      <c r="BD364" s="143"/>
      <c r="BE364" s="143"/>
      <c r="BF364" s="143"/>
      <c r="BG364" s="143"/>
      <c r="BH364" s="143"/>
      <c r="BI364" s="143"/>
      <c r="BJ364" s="143"/>
      <c r="BK364" s="143"/>
      <c r="BL364" s="143"/>
      <c r="BM364" s="143"/>
      <c r="BN364" s="143"/>
      <c r="BO364" s="143"/>
      <c r="BP364" s="143"/>
      <c r="BQ364" s="143"/>
      <c r="BR364" s="143"/>
      <c r="BS364" s="143"/>
      <c r="BT364" s="143"/>
      <c r="BU364" s="143"/>
      <c r="BV364" s="143"/>
      <c r="BW364" s="143"/>
      <c r="BX364" s="143"/>
      <c r="BY364" s="143"/>
      <c r="BZ364" s="143"/>
      <c r="CA364" s="143"/>
      <c r="CB364" s="143"/>
      <c r="CC364" s="143"/>
      <c r="CD364" s="143"/>
      <c r="CE364" s="143"/>
      <c r="CF364" s="143"/>
      <c r="CG364" s="143"/>
      <c r="CH364" s="143"/>
      <c r="CI364" s="143"/>
      <c r="CJ364" s="143"/>
      <c r="CK364" s="143"/>
      <c r="CL364" s="143"/>
      <c r="CM364" s="143"/>
      <c r="CN364" s="143"/>
      <c r="CO364" s="143"/>
      <c r="CP364" s="143"/>
      <c r="CQ364" s="143"/>
      <c r="CR364" s="143"/>
      <c r="CS364" s="143"/>
      <c r="CT364" s="143"/>
      <c r="CU364" s="143"/>
      <c r="CV364" s="143"/>
      <c r="CW364" s="143"/>
      <c r="CX364" s="143"/>
      <c r="CY364" s="143"/>
      <c r="CZ364" s="143"/>
      <c r="DA364" s="143"/>
      <c r="DB364" s="143"/>
      <c r="DC364" s="143"/>
      <c r="DD364" s="143"/>
      <c r="DE364" s="143"/>
      <c r="DF364" s="143"/>
      <c r="DG364" s="143"/>
      <c r="DH364" s="143"/>
      <c r="DI364" s="143"/>
      <c r="DJ364" s="143"/>
      <c r="DK364" s="143"/>
      <c r="DL364" s="143"/>
      <c r="DM364" s="143"/>
      <c r="DN364" s="143"/>
      <c r="DO364" s="143"/>
      <c r="DP364" s="143"/>
      <c r="DQ364" s="143"/>
      <c r="DR364" s="143"/>
      <c r="DS364" s="143"/>
      <c r="DT364" s="143"/>
      <c r="DU364" s="143"/>
      <c r="DV364" s="143"/>
      <c r="DW364" s="143"/>
      <c r="DX364" s="143"/>
      <c r="DY364" s="143"/>
      <c r="DZ364" s="143"/>
      <c r="EA364" s="143"/>
      <c r="EB364" s="143"/>
      <c r="EC364" s="143"/>
      <c r="ED364" s="143"/>
      <c r="EE364" s="143"/>
      <c r="EF364" s="143"/>
      <c r="EG364" s="143"/>
    </row>
    <row r="365" spans="1:137" s="760" customFormat="1" ht="28.8" x14ac:dyDescent="0.3">
      <c r="A365" s="143" t="s">
        <v>264</v>
      </c>
      <c r="B365" s="421" t="s">
        <v>280</v>
      </c>
      <c r="C365" s="754" t="s">
        <v>439</v>
      </c>
      <c r="D365" s="223" t="s">
        <v>34</v>
      </c>
      <c r="E365" s="223" t="s">
        <v>282</v>
      </c>
      <c r="F365" s="1350" t="s">
        <v>285</v>
      </c>
      <c r="G365" s="755">
        <v>2.79</v>
      </c>
      <c r="H365" s="756">
        <v>59720.15</v>
      </c>
      <c r="I365" s="757" t="s">
        <v>267</v>
      </c>
      <c r="J365" s="756">
        <v>59720.15</v>
      </c>
      <c r="K365" s="1400">
        <f>44814.96</f>
        <v>44814.96</v>
      </c>
      <c r="L365" s="1400">
        <f>44814.96</f>
        <v>44814.96</v>
      </c>
      <c r="M365" s="755" t="s">
        <v>200</v>
      </c>
      <c r="N365" s="755" t="s">
        <v>440</v>
      </c>
      <c r="O365" s="755" t="s">
        <v>441</v>
      </c>
      <c r="P365" s="155" t="s">
        <v>40</v>
      </c>
      <c r="Q365" s="156"/>
      <c r="R365" s="155" t="s">
        <v>64</v>
      </c>
      <c r="S365" s="156"/>
      <c r="T365" s="155"/>
      <c r="U365" s="156"/>
      <c r="V365" s="155" t="s">
        <v>40</v>
      </c>
      <c r="W365" s="156"/>
      <c r="X365" s="155" t="s">
        <v>40</v>
      </c>
      <c r="Y365" s="156"/>
      <c r="Z365" s="155" t="s">
        <v>64</v>
      </c>
      <c r="AA365" s="156"/>
      <c r="AB365" s="155" t="s">
        <v>40</v>
      </c>
      <c r="AC365" s="156"/>
      <c r="AD365" s="156"/>
      <c r="AE365" s="1527">
        <v>46203</v>
      </c>
      <c r="AF365" s="411" t="s">
        <v>247</v>
      </c>
      <c r="AG365" s="412">
        <v>2023</v>
      </c>
      <c r="AH365" s="758">
        <v>295501.27</v>
      </c>
      <c r="AI365" s="739">
        <v>1810323334127</v>
      </c>
      <c r="AJ365" s="759"/>
      <c r="AK365" s="420" t="s">
        <v>43</v>
      </c>
      <c r="AL365" s="421" t="s">
        <v>41</v>
      </c>
      <c r="AM365" s="416">
        <v>0</v>
      </c>
      <c r="AN365" s="422" t="s">
        <v>40</v>
      </c>
      <c r="AO365" s="165"/>
      <c r="AP365" s="165"/>
      <c r="AQ365" s="165"/>
      <c r="AR365" s="165"/>
      <c r="AS365" s="165"/>
      <c r="AT365" s="315"/>
      <c r="AU365" s="143"/>
      <c r="AV365" s="143"/>
      <c r="AW365" s="143"/>
      <c r="AX365" s="143"/>
      <c r="AY365" s="143"/>
      <c r="AZ365" s="143"/>
      <c r="BA365" s="143"/>
      <c r="BB365" s="143"/>
      <c r="BC365" s="143"/>
      <c r="BD365" s="143"/>
      <c r="BE365" s="143"/>
      <c r="BF365" s="143"/>
      <c r="BG365" s="143"/>
      <c r="BH365" s="143"/>
      <c r="BI365" s="143"/>
      <c r="BJ365" s="143"/>
      <c r="BK365" s="143"/>
      <c r="BL365" s="143"/>
      <c r="BM365" s="143"/>
      <c r="BN365" s="143"/>
      <c r="BO365" s="143"/>
      <c r="BP365" s="143"/>
      <c r="BQ365" s="143"/>
      <c r="BR365" s="143"/>
      <c r="BS365" s="143"/>
      <c r="BT365" s="143"/>
      <c r="BU365" s="143"/>
      <c r="BV365" s="143"/>
      <c r="BW365" s="143"/>
      <c r="BX365" s="143"/>
      <c r="BY365" s="143"/>
      <c r="BZ365" s="143"/>
      <c r="CA365" s="143"/>
      <c r="CB365" s="143"/>
      <c r="CC365" s="143"/>
      <c r="CD365" s="143"/>
      <c r="CE365" s="143"/>
      <c r="CF365" s="143"/>
      <c r="CG365" s="143"/>
      <c r="CH365" s="143"/>
      <c r="CI365" s="143"/>
      <c r="CJ365" s="143"/>
      <c r="CK365" s="143"/>
      <c r="CL365" s="143"/>
      <c r="CM365" s="143"/>
      <c r="CN365" s="143"/>
      <c r="CO365" s="143"/>
      <c r="CP365" s="143"/>
      <c r="CQ365" s="143"/>
      <c r="CR365" s="143"/>
      <c r="CS365" s="143"/>
      <c r="CT365" s="143"/>
      <c r="CU365" s="143"/>
      <c r="CV365" s="143"/>
      <c r="CW365" s="143"/>
      <c r="CX365" s="143"/>
      <c r="CY365" s="143"/>
      <c r="CZ365" s="143"/>
      <c r="DA365" s="143"/>
      <c r="DB365" s="143"/>
      <c r="DC365" s="143"/>
      <c r="DD365" s="143"/>
      <c r="DE365" s="143"/>
      <c r="DF365" s="143"/>
      <c r="DG365" s="143"/>
      <c r="DH365" s="143"/>
      <c r="DI365" s="143"/>
      <c r="DJ365" s="143"/>
      <c r="DK365" s="143"/>
      <c r="DL365" s="143"/>
      <c r="DM365" s="143"/>
      <c r="DN365" s="143"/>
      <c r="DO365" s="143"/>
      <c r="DP365" s="143"/>
      <c r="DQ365" s="143"/>
      <c r="DR365" s="143"/>
      <c r="DS365" s="143"/>
      <c r="DT365" s="143"/>
      <c r="DU365" s="143"/>
      <c r="DV365" s="143"/>
      <c r="DW365" s="143"/>
      <c r="DX365" s="143"/>
      <c r="DY365" s="143"/>
      <c r="DZ365" s="143"/>
      <c r="EA365" s="143"/>
      <c r="EB365" s="143"/>
      <c r="EC365" s="143"/>
      <c r="ED365" s="143"/>
      <c r="EE365" s="143"/>
      <c r="EF365" s="143"/>
      <c r="EG365" s="143"/>
    </row>
    <row r="366" spans="1:137" s="760" customFormat="1" ht="28.8" x14ac:dyDescent="0.3">
      <c r="A366" s="143" t="s">
        <v>264</v>
      </c>
      <c r="B366" s="421" t="s">
        <v>280</v>
      </c>
      <c r="C366" s="754" t="s">
        <v>442</v>
      </c>
      <c r="D366" s="223" t="s">
        <v>34</v>
      </c>
      <c r="E366" s="223" t="s">
        <v>282</v>
      </c>
      <c r="F366" s="1350" t="s">
        <v>285</v>
      </c>
      <c r="G366" s="755">
        <v>4</v>
      </c>
      <c r="H366" s="756">
        <v>78152.3</v>
      </c>
      <c r="I366" s="757" t="s">
        <v>267</v>
      </c>
      <c r="J366" s="756">
        <v>78152.3</v>
      </c>
      <c r="K366" s="1610">
        <f>47528.2997514197</f>
        <v>47528.299751419698</v>
      </c>
      <c r="L366" s="1610">
        <f>47528.2997514197</f>
        <v>47528.299751419698</v>
      </c>
      <c r="M366" s="755" t="s">
        <v>412</v>
      </c>
      <c r="N366" s="755" t="s">
        <v>443</v>
      </c>
      <c r="O366" s="755" t="s">
        <v>444</v>
      </c>
      <c r="P366" s="155" t="s">
        <v>40</v>
      </c>
      <c r="Q366" s="156"/>
      <c r="R366" s="155" t="s">
        <v>64</v>
      </c>
      <c r="S366" s="156"/>
      <c r="T366" s="155"/>
      <c r="U366" s="156"/>
      <c r="V366" s="155" t="s">
        <v>40</v>
      </c>
      <c r="W366" s="156"/>
      <c r="X366" s="155" t="s">
        <v>40</v>
      </c>
      <c r="Y366" s="156"/>
      <c r="Z366" s="155" t="s">
        <v>64</v>
      </c>
      <c r="AA366" s="156"/>
      <c r="AB366" s="155" t="s">
        <v>40</v>
      </c>
      <c r="AC366" s="156"/>
      <c r="AD366" s="156"/>
      <c r="AE366" s="1527">
        <v>46203</v>
      </c>
      <c r="AF366" s="411" t="s">
        <v>247</v>
      </c>
      <c r="AG366" s="412">
        <v>2023</v>
      </c>
      <c r="AH366" s="758">
        <v>386705.4</v>
      </c>
      <c r="AI366" s="739">
        <v>263080838146</v>
      </c>
      <c r="AJ366" s="759"/>
      <c r="AK366" s="420" t="s">
        <v>43</v>
      </c>
      <c r="AL366" s="421" t="s">
        <v>41</v>
      </c>
      <c r="AM366" s="416">
        <v>0</v>
      </c>
      <c r="AN366" s="422" t="s">
        <v>40</v>
      </c>
      <c r="AO366" s="165"/>
      <c r="AP366" s="165"/>
      <c r="AQ366" s="165"/>
      <c r="AR366" s="165"/>
      <c r="AS366" s="165"/>
      <c r="AT366" s="315"/>
      <c r="AU366" s="143"/>
      <c r="AV366" s="143"/>
      <c r="AW366" s="143"/>
      <c r="AX366" s="143"/>
      <c r="AY366" s="143"/>
      <c r="AZ366" s="143"/>
      <c r="BA366" s="143"/>
      <c r="BB366" s="143"/>
      <c r="BC366" s="143"/>
      <c r="BD366" s="143"/>
      <c r="BE366" s="143"/>
      <c r="BF366" s="143"/>
      <c r="BG366" s="143"/>
      <c r="BH366" s="143"/>
      <c r="BI366" s="143"/>
      <c r="BJ366" s="143"/>
      <c r="BK366" s="143"/>
      <c r="BL366" s="143"/>
      <c r="BM366" s="143"/>
      <c r="BN366" s="143"/>
      <c r="BO366" s="143"/>
      <c r="BP366" s="143"/>
      <c r="BQ366" s="143"/>
      <c r="BR366" s="143"/>
      <c r="BS366" s="143"/>
      <c r="BT366" s="143"/>
      <c r="BU366" s="143"/>
      <c r="BV366" s="143"/>
      <c r="BW366" s="143"/>
      <c r="BX366" s="143"/>
      <c r="BY366" s="143"/>
      <c r="BZ366" s="143"/>
      <c r="CA366" s="143"/>
      <c r="CB366" s="143"/>
      <c r="CC366" s="143"/>
      <c r="CD366" s="143"/>
      <c r="CE366" s="143"/>
      <c r="CF366" s="143"/>
      <c r="CG366" s="143"/>
      <c r="CH366" s="143"/>
      <c r="CI366" s="143"/>
      <c r="CJ366" s="143"/>
      <c r="CK366" s="143"/>
      <c r="CL366" s="143"/>
      <c r="CM366" s="143"/>
      <c r="CN366" s="143"/>
      <c r="CO366" s="143"/>
      <c r="CP366" s="143"/>
      <c r="CQ366" s="143"/>
      <c r="CR366" s="143"/>
      <c r="CS366" s="143"/>
      <c r="CT366" s="143"/>
      <c r="CU366" s="143"/>
      <c r="CV366" s="143"/>
      <c r="CW366" s="143"/>
      <c r="CX366" s="143"/>
      <c r="CY366" s="143"/>
      <c r="CZ366" s="143"/>
      <c r="DA366" s="143"/>
      <c r="DB366" s="143"/>
      <c r="DC366" s="143"/>
      <c r="DD366" s="143"/>
      <c r="DE366" s="143"/>
      <c r="DF366" s="143"/>
      <c r="DG366" s="143"/>
      <c r="DH366" s="143"/>
      <c r="DI366" s="143"/>
      <c r="DJ366" s="143"/>
      <c r="DK366" s="143"/>
      <c r="DL366" s="143"/>
      <c r="DM366" s="143"/>
      <c r="DN366" s="143"/>
      <c r="DO366" s="143"/>
      <c r="DP366" s="143"/>
      <c r="DQ366" s="143"/>
      <c r="DR366" s="143"/>
      <c r="DS366" s="143"/>
      <c r="DT366" s="143"/>
      <c r="DU366" s="143"/>
      <c r="DV366" s="143"/>
      <c r="DW366" s="143"/>
      <c r="DX366" s="143"/>
      <c r="DY366" s="143"/>
      <c r="DZ366" s="143"/>
      <c r="EA366" s="143"/>
      <c r="EB366" s="143"/>
      <c r="EC366" s="143"/>
      <c r="ED366" s="143"/>
      <c r="EE366" s="143"/>
      <c r="EF366" s="143"/>
      <c r="EG366" s="143"/>
    </row>
    <row r="367" spans="1:137" s="760" customFormat="1" ht="28.8" x14ac:dyDescent="0.3">
      <c r="A367" s="143" t="s">
        <v>264</v>
      </c>
      <c r="B367" s="421" t="s">
        <v>280</v>
      </c>
      <c r="C367" s="754" t="s">
        <v>445</v>
      </c>
      <c r="D367" s="223" t="s">
        <v>34</v>
      </c>
      <c r="E367" s="223" t="s">
        <v>282</v>
      </c>
      <c r="F367" s="1350" t="s">
        <v>285</v>
      </c>
      <c r="G367" s="755">
        <v>2.4900000000000002</v>
      </c>
      <c r="H367" s="756">
        <v>52900</v>
      </c>
      <c r="I367" s="757" t="s">
        <v>267</v>
      </c>
      <c r="J367" s="756">
        <v>52900</v>
      </c>
      <c r="K367" s="1610">
        <f>33855.56</f>
        <v>33855.56</v>
      </c>
      <c r="L367" s="1610">
        <f>33855.56</f>
        <v>33855.56</v>
      </c>
      <c r="M367" s="755" t="s">
        <v>351</v>
      </c>
      <c r="N367" s="755" t="s">
        <v>352</v>
      </c>
      <c r="O367" s="755" t="s">
        <v>446</v>
      </c>
      <c r="P367" s="155" t="s">
        <v>40</v>
      </c>
      <c r="Q367" s="156"/>
      <c r="R367" s="155" t="s">
        <v>64</v>
      </c>
      <c r="S367" s="156"/>
      <c r="T367" s="155"/>
      <c r="U367" s="156"/>
      <c r="V367" s="155" t="s">
        <v>40</v>
      </c>
      <c r="W367" s="156"/>
      <c r="X367" s="155" t="s">
        <v>40</v>
      </c>
      <c r="Y367" s="156"/>
      <c r="Z367" s="155" t="s">
        <v>64</v>
      </c>
      <c r="AA367" s="156"/>
      <c r="AB367" s="155" t="s">
        <v>40</v>
      </c>
      <c r="AC367" s="156"/>
      <c r="AD367" s="156"/>
      <c r="AE367" s="1527">
        <v>46203</v>
      </c>
      <c r="AF367" s="411" t="s">
        <v>247</v>
      </c>
      <c r="AG367" s="412">
        <v>2023</v>
      </c>
      <c r="AH367" s="758">
        <v>261754.49</v>
      </c>
      <c r="AI367" s="739">
        <v>1811218361997</v>
      </c>
      <c r="AJ367" s="759"/>
      <c r="AK367" s="420" t="s">
        <v>43</v>
      </c>
      <c r="AL367" s="421" t="s">
        <v>41</v>
      </c>
      <c r="AM367" s="416">
        <v>0</v>
      </c>
      <c r="AN367" s="422" t="s">
        <v>40</v>
      </c>
      <c r="AO367" s="165"/>
      <c r="AP367" s="165"/>
      <c r="AQ367" s="165"/>
      <c r="AR367" s="165"/>
      <c r="AS367" s="165"/>
      <c r="AT367" s="315"/>
      <c r="AU367" s="143"/>
      <c r="AV367" s="143"/>
      <c r="AW367" s="143"/>
      <c r="AX367" s="143"/>
      <c r="AY367" s="143"/>
      <c r="AZ367" s="143"/>
      <c r="BA367" s="143"/>
      <c r="BB367" s="143"/>
      <c r="BC367" s="143"/>
      <c r="BD367" s="143"/>
      <c r="BE367" s="143"/>
      <c r="BF367" s="143"/>
      <c r="BG367" s="143"/>
      <c r="BH367" s="143"/>
      <c r="BI367" s="143"/>
      <c r="BJ367" s="143"/>
      <c r="BK367" s="143"/>
      <c r="BL367" s="143"/>
      <c r="BM367" s="143"/>
      <c r="BN367" s="143"/>
      <c r="BO367" s="143"/>
      <c r="BP367" s="143"/>
      <c r="BQ367" s="143"/>
      <c r="BR367" s="143"/>
      <c r="BS367" s="143"/>
      <c r="BT367" s="143"/>
      <c r="BU367" s="143"/>
      <c r="BV367" s="143"/>
      <c r="BW367" s="143"/>
      <c r="BX367" s="143"/>
      <c r="BY367" s="143"/>
      <c r="BZ367" s="143"/>
      <c r="CA367" s="143"/>
      <c r="CB367" s="143"/>
      <c r="CC367" s="143"/>
      <c r="CD367" s="143"/>
      <c r="CE367" s="143"/>
      <c r="CF367" s="143"/>
      <c r="CG367" s="143"/>
      <c r="CH367" s="143"/>
      <c r="CI367" s="143"/>
      <c r="CJ367" s="143"/>
      <c r="CK367" s="143"/>
      <c r="CL367" s="143"/>
      <c r="CM367" s="143"/>
      <c r="CN367" s="143"/>
      <c r="CO367" s="143"/>
      <c r="CP367" s="143"/>
      <c r="CQ367" s="143"/>
      <c r="CR367" s="143"/>
      <c r="CS367" s="143"/>
      <c r="CT367" s="143"/>
      <c r="CU367" s="143"/>
      <c r="CV367" s="143"/>
      <c r="CW367" s="143"/>
      <c r="CX367" s="143"/>
      <c r="CY367" s="143"/>
      <c r="CZ367" s="143"/>
      <c r="DA367" s="143"/>
      <c r="DB367" s="143"/>
      <c r="DC367" s="143"/>
      <c r="DD367" s="143"/>
      <c r="DE367" s="143"/>
      <c r="DF367" s="143"/>
      <c r="DG367" s="143"/>
      <c r="DH367" s="143"/>
      <c r="DI367" s="143"/>
      <c r="DJ367" s="143"/>
      <c r="DK367" s="143"/>
      <c r="DL367" s="143"/>
      <c r="DM367" s="143"/>
      <c r="DN367" s="143"/>
      <c r="DO367" s="143"/>
      <c r="DP367" s="143"/>
      <c r="DQ367" s="143"/>
      <c r="DR367" s="143"/>
      <c r="DS367" s="143"/>
      <c r="DT367" s="143"/>
      <c r="DU367" s="143"/>
      <c r="DV367" s="143"/>
      <c r="DW367" s="143"/>
      <c r="DX367" s="143"/>
      <c r="DY367" s="143"/>
      <c r="DZ367" s="143"/>
      <c r="EA367" s="143"/>
      <c r="EB367" s="143"/>
      <c r="EC367" s="143"/>
      <c r="ED367" s="143"/>
      <c r="EE367" s="143"/>
      <c r="EF367" s="143"/>
      <c r="EG367" s="143"/>
    </row>
    <row r="368" spans="1:137" s="760" customFormat="1" ht="28.8" x14ac:dyDescent="0.3">
      <c r="A368" s="143" t="s">
        <v>264</v>
      </c>
      <c r="B368" s="421" t="s">
        <v>280</v>
      </c>
      <c r="C368" s="754" t="s">
        <v>447</v>
      </c>
      <c r="D368" s="223" t="s">
        <v>34</v>
      </c>
      <c r="E368" s="223" t="s">
        <v>282</v>
      </c>
      <c r="F368" s="1350" t="s">
        <v>285</v>
      </c>
      <c r="G368" s="755">
        <v>6.45</v>
      </c>
      <c r="H368" s="756">
        <v>111035.21</v>
      </c>
      <c r="I368" s="757" t="s">
        <v>267</v>
      </c>
      <c r="J368" s="756">
        <v>111035.21</v>
      </c>
      <c r="K368" s="1400">
        <f>80629.91</f>
        <v>80629.91</v>
      </c>
      <c r="L368" s="1400">
        <f>80629.91</f>
        <v>80629.91</v>
      </c>
      <c r="M368" s="755" t="s">
        <v>200</v>
      </c>
      <c r="N368" s="755" t="s">
        <v>448</v>
      </c>
      <c r="O368" s="755" t="s">
        <v>449</v>
      </c>
      <c r="P368" s="155" t="s">
        <v>40</v>
      </c>
      <c r="Q368" s="156"/>
      <c r="R368" s="155" t="s">
        <v>64</v>
      </c>
      <c r="S368" s="156"/>
      <c r="T368" s="155"/>
      <c r="U368" s="156"/>
      <c r="V368" s="155" t="s">
        <v>40</v>
      </c>
      <c r="W368" s="156"/>
      <c r="X368" s="155" t="s">
        <v>40</v>
      </c>
      <c r="Y368" s="156"/>
      <c r="Z368" s="155" t="s">
        <v>64</v>
      </c>
      <c r="AA368" s="156"/>
      <c r="AB368" s="155" t="s">
        <v>40</v>
      </c>
      <c r="AC368" s="156"/>
      <c r="AD368" s="156"/>
      <c r="AE368" s="1527">
        <v>46203</v>
      </c>
      <c r="AF368" s="411" t="s">
        <v>247</v>
      </c>
      <c r="AG368" s="412">
        <v>2023</v>
      </c>
      <c r="AH368" s="758">
        <v>549413.31999999995</v>
      </c>
      <c r="AI368" s="739">
        <v>29732284</v>
      </c>
      <c r="AJ368" s="759"/>
      <c r="AK368" s="420" t="s">
        <v>43</v>
      </c>
      <c r="AL368" s="421" t="s">
        <v>41</v>
      </c>
      <c r="AM368" s="416">
        <v>0</v>
      </c>
      <c r="AN368" s="422" t="s">
        <v>40</v>
      </c>
      <c r="AO368" s="165"/>
      <c r="AP368" s="165"/>
      <c r="AQ368" s="165"/>
      <c r="AR368" s="165"/>
      <c r="AS368" s="165"/>
      <c r="AT368" s="315"/>
      <c r="AU368" s="143"/>
      <c r="AV368" s="143"/>
      <c r="AW368" s="143"/>
      <c r="AX368" s="143"/>
      <c r="AY368" s="143"/>
      <c r="AZ368" s="143"/>
      <c r="BA368" s="143"/>
      <c r="BB368" s="143"/>
      <c r="BC368" s="143"/>
      <c r="BD368" s="143"/>
      <c r="BE368" s="143"/>
      <c r="BF368" s="143"/>
      <c r="BG368" s="143"/>
      <c r="BH368" s="143"/>
      <c r="BI368" s="143"/>
      <c r="BJ368" s="143"/>
      <c r="BK368" s="143"/>
      <c r="BL368" s="143"/>
      <c r="BM368" s="143"/>
      <c r="BN368" s="143"/>
      <c r="BO368" s="143"/>
      <c r="BP368" s="143"/>
      <c r="BQ368" s="143"/>
      <c r="BR368" s="143"/>
      <c r="BS368" s="143"/>
      <c r="BT368" s="143"/>
      <c r="BU368" s="143"/>
      <c r="BV368" s="143"/>
      <c r="BW368" s="143"/>
      <c r="BX368" s="143"/>
      <c r="BY368" s="143"/>
      <c r="BZ368" s="143"/>
      <c r="CA368" s="143"/>
      <c r="CB368" s="143"/>
      <c r="CC368" s="143"/>
      <c r="CD368" s="143"/>
      <c r="CE368" s="143"/>
      <c r="CF368" s="143"/>
      <c r="CG368" s="143"/>
      <c r="CH368" s="143"/>
      <c r="CI368" s="143"/>
      <c r="CJ368" s="143"/>
      <c r="CK368" s="143"/>
      <c r="CL368" s="143"/>
      <c r="CM368" s="143"/>
      <c r="CN368" s="143"/>
      <c r="CO368" s="143"/>
      <c r="CP368" s="143"/>
      <c r="CQ368" s="143"/>
      <c r="CR368" s="143"/>
      <c r="CS368" s="143"/>
      <c r="CT368" s="143"/>
      <c r="CU368" s="143"/>
      <c r="CV368" s="143"/>
      <c r="CW368" s="143"/>
      <c r="CX368" s="143"/>
      <c r="CY368" s="143"/>
      <c r="CZ368" s="143"/>
      <c r="DA368" s="143"/>
      <c r="DB368" s="143"/>
      <c r="DC368" s="143"/>
      <c r="DD368" s="143"/>
      <c r="DE368" s="143"/>
      <c r="DF368" s="143"/>
      <c r="DG368" s="143"/>
      <c r="DH368" s="143"/>
      <c r="DI368" s="143"/>
      <c r="DJ368" s="143"/>
      <c r="DK368" s="143"/>
      <c r="DL368" s="143"/>
      <c r="DM368" s="143"/>
      <c r="DN368" s="143"/>
      <c r="DO368" s="143"/>
      <c r="DP368" s="143"/>
      <c r="DQ368" s="143"/>
      <c r="DR368" s="143"/>
      <c r="DS368" s="143"/>
      <c r="DT368" s="143"/>
      <c r="DU368" s="143"/>
      <c r="DV368" s="143"/>
      <c r="DW368" s="143"/>
      <c r="DX368" s="143"/>
      <c r="DY368" s="143"/>
      <c r="DZ368" s="143"/>
      <c r="EA368" s="143"/>
      <c r="EB368" s="143"/>
      <c r="EC368" s="143"/>
      <c r="ED368" s="143"/>
      <c r="EE368" s="143"/>
      <c r="EF368" s="143"/>
      <c r="EG368" s="143"/>
    </row>
    <row r="369" spans="1:137" s="760" customFormat="1" ht="28.8" x14ac:dyDescent="0.3">
      <c r="A369" s="143" t="s">
        <v>264</v>
      </c>
      <c r="B369" s="421" t="s">
        <v>280</v>
      </c>
      <c r="C369" s="754" t="s">
        <v>450</v>
      </c>
      <c r="D369" s="223" t="s">
        <v>34</v>
      </c>
      <c r="E369" s="223" t="s">
        <v>282</v>
      </c>
      <c r="F369" s="1350" t="s">
        <v>285</v>
      </c>
      <c r="G369" s="755">
        <v>3.82</v>
      </c>
      <c r="H369" s="756">
        <v>75009.240000000005</v>
      </c>
      <c r="I369" s="757" t="s">
        <v>267</v>
      </c>
      <c r="J369" s="756">
        <v>75009.240000000005</v>
      </c>
      <c r="K369" s="1610">
        <f>45763.319</f>
        <v>45763.319000000003</v>
      </c>
      <c r="L369" s="1610">
        <f>45763.319</f>
        <v>45763.319000000003</v>
      </c>
      <c r="M369" s="755" t="s">
        <v>412</v>
      </c>
      <c r="N369" s="755" t="s">
        <v>443</v>
      </c>
      <c r="O369" s="755" t="s">
        <v>451</v>
      </c>
      <c r="P369" s="155" t="s">
        <v>40</v>
      </c>
      <c r="Q369" s="156"/>
      <c r="R369" s="155" t="s">
        <v>64</v>
      </c>
      <c r="S369" s="156"/>
      <c r="T369" s="155"/>
      <c r="U369" s="156"/>
      <c r="V369" s="155" t="s">
        <v>40</v>
      </c>
      <c r="W369" s="156"/>
      <c r="X369" s="155" t="s">
        <v>40</v>
      </c>
      <c r="Y369" s="156"/>
      <c r="Z369" s="155" t="s">
        <v>64</v>
      </c>
      <c r="AA369" s="156"/>
      <c r="AB369" s="155" t="s">
        <v>40</v>
      </c>
      <c r="AC369" s="156"/>
      <c r="AD369" s="156"/>
      <c r="AE369" s="1527">
        <v>46203</v>
      </c>
      <c r="AF369" s="411" t="s">
        <v>247</v>
      </c>
      <c r="AG369" s="412">
        <v>2023</v>
      </c>
      <c r="AH369" s="758">
        <v>371153.22</v>
      </c>
      <c r="AI369" s="739">
        <v>1840227134201</v>
      </c>
      <c r="AJ369" s="759"/>
      <c r="AK369" s="420" t="s">
        <v>43</v>
      </c>
      <c r="AL369" s="421" t="s">
        <v>41</v>
      </c>
      <c r="AM369" s="416">
        <v>0</v>
      </c>
      <c r="AN369" s="422" t="s">
        <v>40</v>
      </c>
      <c r="AO369" s="165"/>
      <c r="AP369" s="165"/>
      <c r="AQ369" s="165"/>
      <c r="AR369" s="165"/>
      <c r="AS369" s="165"/>
      <c r="AT369" s="315"/>
      <c r="AU369" s="143"/>
      <c r="AV369" s="143"/>
      <c r="AW369" s="143"/>
      <c r="AX369" s="143"/>
      <c r="AY369" s="143"/>
      <c r="AZ369" s="143"/>
      <c r="BA369" s="143"/>
      <c r="BB369" s="143"/>
      <c r="BC369" s="143"/>
      <c r="BD369" s="143"/>
      <c r="BE369" s="143"/>
      <c r="BF369" s="143"/>
      <c r="BG369" s="143"/>
      <c r="BH369" s="143"/>
      <c r="BI369" s="143"/>
      <c r="BJ369" s="143"/>
      <c r="BK369" s="143"/>
      <c r="BL369" s="143"/>
      <c r="BM369" s="143"/>
      <c r="BN369" s="143"/>
      <c r="BO369" s="143"/>
      <c r="BP369" s="143"/>
      <c r="BQ369" s="143"/>
      <c r="BR369" s="143"/>
      <c r="BS369" s="143"/>
      <c r="BT369" s="143"/>
      <c r="BU369" s="143"/>
      <c r="BV369" s="143"/>
      <c r="BW369" s="143"/>
      <c r="BX369" s="143"/>
      <c r="BY369" s="143"/>
      <c r="BZ369" s="143"/>
      <c r="CA369" s="143"/>
      <c r="CB369" s="143"/>
      <c r="CC369" s="143"/>
      <c r="CD369" s="143"/>
      <c r="CE369" s="143"/>
      <c r="CF369" s="143"/>
      <c r="CG369" s="143"/>
      <c r="CH369" s="143"/>
      <c r="CI369" s="143"/>
      <c r="CJ369" s="143"/>
      <c r="CK369" s="143"/>
      <c r="CL369" s="143"/>
      <c r="CM369" s="143"/>
      <c r="CN369" s="143"/>
      <c r="CO369" s="143"/>
      <c r="CP369" s="143"/>
      <c r="CQ369" s="143"/>
      <c r="CR369" s="143"/>
      <c r="CS369" s="143"/>
      <c r="CT369" s="143"/>
      <c r="CU369" s="143"/>
      <c r="CV369" s="143"/>
      <c r="CW369" s="143"/>
      <c r="CX369" s="143"/>
      <c r="CY369" s="143"/>
      <c r="CZ369" s="143"/>
      <c r="DA369" s="143"/>
      <c r="DB369" s="143"/>
      <c r="DC369" s="143"/>
      <c r="DD369" s="143"/>
      <c r="DE369" s="143"/>
      <c r="DF369" s="143"/>
      <c r="DG369" s="143"/>
      <c r="DH369" s="143"/>
      <c r="DI369" s="143"/>
      <c r="DJ369" s="143"/>
      <c r="DK369" s="143"/>
      <c r="DL369" s="143"/>
      <c r="DM369" s="143"/>
      <c r="DN369" s="143"/>
      <c r="DO369" s="143"/>
      <c r="DP369" s="143"/>
      <c r="DQ369" s="143"/>
      <c r="DR369" s="143"/>
      <c r="DS369" s="143"/>
      <c r="DT369" s="143"/>
      <c r="DU369" s="143"/>
      <c r="DV369" s="143"/>
      <c r="DW369" s="143"/>
      <c r="DX369" s="143"/>
      <c r="DY369" s="143"/>
      <c r="DZ369" s="143"/>
      <c r="EA369" s="143"/>
      <c r="EB369" s="143"/>
      <c r="EC369" s="143"/>
      <c r="ED369" s="143"/>
      <c r="EE369" s="143"/>
      <c r="EF369" s="143"/>
      <c r="EG369" s="143"/>
    </row>
    <row r="370" spans="1:137" s="760" customFormat="1" ht="28.8" x14ac:dyDescent="0.3">
      <c r="A370" s="143" t="s">
        <v>264</v>
      </c>
      <c r="B370" s="421" t="s">
        <v>280</v>
      </c>
      <c r="C370" s="754" t="s">
        <v>452</v>
      </c>
      <c r="D370" s="223" t="s">
        <v>34</v>
      </c>
      <c r="E370" s="223" t="s">
        <v>282</v>
      </c>
      <c r="F370" s="1350" t="s">
        <v>285</v>
      </c>
      <c r="G370" s="755">
        <v>10.38</v>
      </c>
      <c r="H370" s="756">
        <v>133924.54</v>
      </c>
      <c r="I370" s="757" t="s">
        <v>267</v>
      </c>
      <c r="J370" s="756">
        <v>133924.54</v>
      </c>
      <c r="K370" s="1610">
        <f>84806.4691497747</f>
        <v>84806.469149774697</v>
      </c>
      <c r="L370" s="1610">
        <v>84806.469149774668</v>
      </c>
      <c r="M370" s="755" t="s">
        <v>200</v>
      </c>
      <c r="N370" s="755" t="s">
        <v>453</v>
      </c>
      <c r="O370" s="755" t="s">
        <v>454</v>
      </c>
      <c r="P370" s="155" t="s">
        <v>40</v>
      </c>
      <c r="Q370" s="156"/>
      <c r="R370" s="155" t="s">
        <v>64</v>
      </c>
      <c r="S370" s="156"/>
      <c r="T370" s="155"/>
      <c r="U370" s="156"/>
      <c r="V370" s="155" t="s">
        <v>40</v>
      </c>
      <c r="W370" s="156"/>
      <c r="X370" s="155" t="s">
        <v>40</v>
      </c>
      <c r="Y370" s="156"/>
      <c r="Z370" s="155" t="s">
        <v>64</v>
      </c>
      <c r="AA370" s="156"/>
      <c r="AB370" s="155" t="s">
        <v>40</v>
      </c>
      <c r="AC370" s="156"/>
      <c r="AD370" s="156"/>
      <c r="AE370" s="1527">
        <v>46203</v>
      </c>
      <c r="AF370" s="411" t="s">
        <v>247</v>
      </c>
      <c r="AG370" s="412">
        <v>2023</v>
      </c>
      <c r="AH370" s="758">
        <v>662672.02</v>
      </c>
      <c r="AI370" s="739">
        <v>5270412</v>
      </c>
      <c r="AJ370" s="759"/>
      <c r="AK370" s="420" t="s">
        <v>43</v>
      </c>
      <c r="AL370" s="421" t="s">
        <v>41</v>
      </c>
      <c r="AM370" s="416">
        <v>0</v>
      </c>
      <c r="AN370" s="422" t="s">
        <v>40</v>
      </c>
      <c r="AO370" s="165"/>
      <c r="AP370" s="165"/>
      <c r="AQ370" s="165"/>
      <c r="AR370" s="165"/>
      <c r="AS370" s="165"/>
      <c r="AT370" s="315"/>
      <c r="AU370" s="143"/>
      <c r="AV370" s="143"/>
      <c r="AW370" s="143"/>
      <c r="AX370" s="143"/>
      <c r="AY370" s="143"/>
      <c r="AZ370" s="143"/>
      <c r="BA370" s="143"/>
      <c r="BB370" s="143"/>
      <c r="BC370" s="143"/>
      <c r="BD370" s="143"/>
      <c r="BE370" s="143"/>
      <c r="BF370" s="143"/>
      <c r="BG370" s="143"/>
      <c r="BH370" s="143"/>
      <c r="BI370" s="143"/>
      <c r="BJ370" s="143"/>
      <c r="BK370" s="143"/>
      <c r="BL370" s="143"/>
      <c r="BM370" s="143"/>
      <c r="BN370" s="143"/>
      <c r="BO370" s="143"/>
      <c r="BP370" s="143"/>
      <c r="BQ370" s="143"/>
      <c r="BR370" s="143"/>
      <c r="BS370" s="143"/>
      <c r="BT370" s="143"/>
      <c r="BU370" s="143"/>
      <c r="BV370" s="143"/>
      <c r="BW370" s="143"/>
      <c r="BX370" s="143"/>
      <c r="BY370" s="143"/>
      <c r="BZ370" s="143"/>
      <c r="CA370" s="143"/>
      <c r="CB370" s="143"/>
      <c r="CC370" s="143"/>
      <c r="CD370" s="143"/>
      <c r="CE370" s="143"/>
      <c r="CF370" s="143"/>
      <c r="CG370" s="143"/>
      <c r="CH370" s="143"/>
      <c r="CI370" s="143"/>
      <c r="CJ370" s="143"/>
      <c r="CK370" s="143"/>
      <c r="CL370" s="143"/>
      <c r="CM370" s="143"/>
      <c r="CN370" s="143"/>
      <c r="CO370" s="143"/>
      <c r="CP370" s="143"/>
      <c r="CQ370" s="143"/>
      <c r="CR370" s="143"/>
      <c r="CS370" s="143"/>
      <c r="CT370" s="143"/>
      <c r="CU370" s="143"/>
      <c r="CV370" s="143"/>
      <c r="CW370" s="143"/>
      <c r="CX370" s="143"/>
      <c r="CY370" s="143"/>
      <c r="CZ370" s="143"/>
      <c r="DA370" s="143"/>
      <c r="DB370" s="143"/>
      <c r="DC370" s="143"/>
      <c r="DD370" s="143"/>
      <c r="DE370" s="143"/>
      <c r="DF370" s="143"/>
      <c r="DG370" s="143"/>
      <c r="DH370" s="143"/>
      <c r="DI370" s="143"/>
      <c r="DJ370" s="143"/>
      <c r="DK370" s="143"/>
      <c r="DL370" s="143"/>
      <c r="DM370" s="143"/>
      <c r="DN370" s="143"/>
      <c r="DO370" s="143"/>
      <c r="DP370" s="143"/>
      <c r="DQ370" s="143"/>
      <c r="DR370" s="143"/>
      <c r="DS370" s="143"/>
      <c r="DT370" s="143"/>
      <c r="DU370" s="143"/>
      <c r="DV370" s="143"/>
      <c r="DW370" s="143"/>
      <c r="DX370" s="143"/>
      <c r="DY370" s="143"/>
      <c r="DZ370" s="143"/>
      <c r="EA370" s="143"/>
      <c r="EB370" s="143"/>
      <c r="EC370" s="143"/>
      <c r="ED370" s="143"/>
      <c r="EE370" s="143"/>
      <c r="EF370" s="143"/>
      <c r="EG370" s="143"/>
    </row>
    <row r="371" spans="1:137" s="760" customFormat="1" ht="28.8" x14ac:dyDescent="0.3">
      <c r="A371" s="143" t="s">
        <v>264</v>
      </c>
      <c r="B371" s="421" t="s">
        <v>280</v>
      </c>
      <c r="C371" s="754" t="s">
        <v>455</v>
      </c>
      <c r="D371" s="223" t="s">
        <v>34</v>
      </c>
      <c r="E371" s="223" t="s">
        <v>282</v>
      </c>
      <c r="F371" s="1350" t="s">
        <v>285</v>
      </c>
      <c r="G371" s="755">
        <v>1.93</v>
      </c>
      <c r="H371" s="756">
        <v>24818.14</v>
      </c>
      <c r="I371" s="757" t="s">
        <v>267</v>
      </c>
      <c r="J371" s="756">
        <v>24818.14</v>
      </c>
      <c r="K371" s="1610">
        <f>14167.8+14167.799</f>
        <v>28335.599000000002</v>
      </c>
      <c r="L371" s="1610">
        <f>14167.8+14167.799</f>
        <v>28335.599000000002</v>
      </c>
      <c r="M371" s="755" t="s">
        <v>322</v>
      </c>
      <c r="N371" s="755" t="s">
        <v>456</v>
      </c>
      <c r="O371" s="755" t="s">
        <v>457</v>
      </c>
      <c r="P371" s="155" t="s">
        <v>40</v>
      </c>
      <c r="Q371" s="156"/>
      <c r="R371" s="155" t="s">
        <v>64</v>
      </c>
      <c r="S371" s="156"/>
      <c r="T371" s="155"/>
      <c r="U371" s="156"/>
      <c r="V371" s="155" t="s">
        <v>40</v>
      </c>
      <c r="W371" s="156"/>
      <c r="X371" s="155" t="s">
        <v>40</v>
      </c>
      <c r="Y371" s="156"/>
      <c r="Z371" s="155" t="s">
        <v>64</v>
      </c>
      <c r="AA371" s="156"/>
      <c r="AB371" s="155" t="s">
        <v>40</v>
      </c>
      <c r="AC371" s="156"/>
      <c r="AD371" s="156"/>
      <c r="AE371" s="1527">
        <v>46203</v>
      </c>
      <c r="AF371" s="411" t="s">
        <v>247</v>
      </c>
      <c r="AG371" s="412">
        <v>2023</v>
      </c>
      <c r="AH371" s="758">
        <v>122802.64</v>
      </c>
      <c r="AI371" s="739">
        <v>2871104174035</v>
      </c>
      <c r="AJ371" s="759"/>
      <c r="AK371" s="420" t="s">
        <v>43</v>
      </c>
      <c r="AL371" s="421" t="s">
        <v>41</v>
      </c>
      <c r="AM371" s="416">
        <v>0</v>
      </c>
      <c r="AN371" s="422" t="s">
        <v>40</v>
      </c>
      <c r="AO371" s="165"/>
      <c r="AP371" s="165"/>
      <c r="AQ371" s="165"/>
      <c r="AR371" s="165"/>
      <c r="AS371" s="165"/>
      <c r="AT371" s="315"/>
      <c r="AU371" s="143"/>
      <c r="AV371" s="143"/>
      <c r="AW371" s="143"/>
      <c r="AX371" s="143"/>
      <c r="AY371" s="143"/>
      <c r="AZ371" s="143"/>
      <c r="BA371" s="143"/>
      <c r="BB371" s="143"/>
      <c r="BC371" s="143"/>
      <c r="BD371" s="143"/>
      <c r="BE371" s="143"/>
      <c r="BF371" s="143"/>
      <c r="BG371" s="143"/>
      <c r="BH371" s="143"/>
      <c r="BI371" s="143"/>
      <c r="BJ371" s="143"/>
      <c r="BK371" s="143"/>
      <c r="BL371" s="143"/>
      <c r="BM371" s="143"/>
      <c r="BN371" s="143"/>
      <c r="BO371" s="143"/>
      <c r="BP371" s="143"/>
      <c r="BQ371" s="143"/>
      <c r="BR371" s="143"/>
      <c r="BS371" s="143"/>
      <c r="BT371" s="143"/>
      <c r="BU371" s="143"/>
      <c r="BV371" s="143"/>
      <c r="BW371" s="143"/>
      <c r="BX371" s="143"/>
      <c r="BY371" s="143"/>
      <c r="BZ371" s="143"/>
      <c r="CA371" s="143"/>
      <c r="CB371" s="143"/>
      <c r="CC371" s="143"/>
      <c r="CD371" s="143"/>
      <c r="CE371" s="143"/>
      <c r="CF371" s="143"/>
      <c r="CG371" s="143"/>
      <c r="CH371" s="143"/>
      <c r="CI371" s="143"/>
      <c r="CJ371" s="143"/>
      <c r="CK371" s="143"/>
      <c r="CL371" s="143"/>
      <c r="CM371" s="143"/>
      <c r="CN371" s="143"/>
      <c r="CO371" s="143"/>
      <c r="CP371" s="143"/>
      <c r="CQ371" s="143"/>
      <c r="CR371" s="143"/>
      <c r="CS371" s="143"/>
      <c r="CT371" s="143"/>
      <c r="CU371" s="143"/>
      <c r="CV371" s="143"/>
      <c r="CW371" s="143"/>
      <c r="CX371" s="143"/>
      <c r="CY371" s="143"/>
      <c r="CZ371" s="143"/>
      <c r="DA371" s="143"/>
      <c r="DB371" s="143"/>
      <c r="DC371" s="143"/>
      <c r="DD371" s="143"/>
      <c r="DE371" s="143"/>
      <c r="DF371" s="143"/>
      <c r="DG371" s="143"/>
      <c r="DH371" s="143"/>
      <c r="DI371" s="143"/>
      <c r="DJ371" s="143"/>
      <c r="DK371" s="143"/>
      <c r="DL371" s="143"/>
      <c r="DM371" s="143"/>
      <c r="DN371" s="143"/>
      <c r="DO371" s="143"/>
      <c r="DP371" s="143"/>
      <c r="DQ371" s="143"/>
      <c r="DR371" s="143"/>
      <c r="DS371" s="143"/>
      <c r="DT371" s="143"/>
      <c r="DU371" s="143"/>
      <c r="DV371" s="143"/>
      <c r="DW371" s="143"/>
      <c r="DX371" s="143"/>
      <c r="DY371" s="143"/>
      <c r="DZ371" s="143"/>
      <c r="EA371" s="143"/>
      <c r="EB371" s="143"/>
      <c r="EC371" s="143"/>
      <c r="ED371" s="143"/>
      <c r="EE371" s="143"/>
      <c r="EF371" s="143"/>
      <c r="EG371" s="143"/>
    </row>
    <row r="372" spans="1:137" s="760" customFormat="1" ht="28.8" x14ac:dyDescent="0.3">
      <c r="A372" s="143" t="s">
        <v>264</v>
      </c>
      <c r="B372" s="421" t="s">
        <v>280</v>
      </c>
      <c r="C372" s="754" t="s">
        <v>458</v>
      </c>
      <c r="D372" s="223" t="s">
        <v>34</v>
      </c>
      <c r="E372" s="223" t="s">
        <v>282</v>
      </c>
      <c r="F372" s="1350" t="s">
        <v>285</v>
      </c>
      <c r="G372" s="755">
        <v>16.8</v>
      </c>
      <c r="H372" s="756">
        <v>405990.2</v>
      </c>
      <c r="I372" s="757" t="s">
        <v>267</v>
      </c>
      <c r="J372" s="756">
        <v>405990.2</v>
      </c>
      <c r="K372" s="1610">
        <f>277555.599118854</f>
        <v>277555.59911885398</v>
      </c>
      <c r="L372" s="1610">
        <f>277555.599118854</f>
        <v>277555.59911885398</v>
      </c>
      <c r="M372" s="755" t="s">
        <v>73</v>
      </c>
      <c r="N372" s="755" t="s">
        <v>459</v>
      </c>
      <c r="O372" s="755" t="s">
        <v>460</v>
      </c>
      <c r="P372" s="155" t="s">
        <v>40</v>
      </c>
      <c r="Q372" s="156"/>
      <c r="R372" s="155" t="s">
        <v>64</v>
      </c>
      <c r="S372" s="156"/>
      <c r="T372" s="155"/>
      <c r="U372" s="156"/>
      <c r="V372" s="155" t="s">
        <v>40</v>
      </c>
      <c r="W372" s="156"/>
      <c r="X372" s="155" t="s">
        <v>40</v>
      </c>
      <c r="Y372" s="156"/>
      <c r="Z372" s="155" t="s">
        <v>64</v>
      </c>
      <c r="AA372" s="156"/>
      <c r="AB372" s="155" t="s">
        <v>40</v>
      </c>
      <c r="AC372" s="156"/>
      <c r="AD372" s="156"/>
      <c r="AE372" s="1527">
        <v>46203</v>
      </c>
      <c r="AF372" s="411" t="s">
        <v>247</v>
      </c>
      <c r="AG372" s="412">
        <v>2023</v>
      </c>
      <c r="AH372" s="758">
        <v>2008880.11</v>
      </c>
      <c r="AI372" s="739">
        <v>1840510313532</v>
      </c>
      <c r="AJ372" s="759"/>
      <c r="AK372" s="420" t="s">
        <v>43</v>
      </c>
      <c r="AL372" s="421" t="s">
        <v>41</v>
      </c>
      <c r="AM372" s="416">
        <v>0</v>
      </c>
      <c r="AN372" s="422" t="s">
        <v>40</v>
      </c>
      <c r="AO372" s="165"/>
      <c r="AP372" s="165"/>
      <c r="AQ372" s="165"/>
      <c r="AR372" s="165"/>
      <c r="AS372" s="165"/>
      <c r="AT372" s="315"/>
      <c r="AU372" s="143"/>
      <c r="AV372" s="143"/>
      <c r="AW372" s="143"/>
      <c r="AX372" s="143"/>
      <c r="AY372" s="143"/>
      <c r="AZ372" s="143"/>
      <c r="BA372" s="143"/>
      <c r="BB372" s="143"/>
      <c r="BC372" s="143"/>
      <c r="BD372" s="143"/>
      <c r="BE372" s="143"/>
      <c r="BF372" s="143"/>
      <c r="BG372" s="143"/>
      <c r="BH372" s="143"/>
      <c r="BI372" s="143"/>
      <c r="BJ372" s="143"/>
      <c r="BK372" s="143"/>
      <c r="BL372" s="143"/>
      <c r="BM372" s="143"/>
      <c r="BN372" s="143"/>
      <c r="BO372" s="143"/>
      <c r="BP372" s="143"/>
      <c r="BQ372" s="143"/>
      <c r="BR372" s="143"/>
      <c r="BS372" s="143"/>
      <c r="BT372" s="143"/>
      <c r="BU372" s="143"/>
      <c r="BV372" s="143"/>
      <c r="BW372" s="143"/>
      <c r="BX372" s="143"/>
      <c r="BY372" s="143"/>
      <c r="BZ372" s="143"/>
      <c r="CA372" s="143"/>
      <c r="CB372" s="143"/>
      <c r="CC372" s="143"/>
      <c r="CD372" s="143"/>
      <c r="CE372" s="143"/>
      <c r="CF372" s="143"/>
      <c r="CG372" s="143"/>
      <c r="CH372" s="143"/>
      <c r="CI372" s="143"/>
      <c r="CJ372" s="143"/>
      <c r="CK372" s="143"/>
      <c r="CL372" s="143"/>
      <c r="CM372" s="143"/>
      <c r="CN372" s="143"/>
      <c r="CO372" s="143"/>
      <c r="CP372" s="143"/>
      <c r="CQ372" s="143"/>
      <c r="CR372" s="143"/>
      <c r="CS372" s="143"/>
      <c r="CT372" s="143"/>
      <c r="CU372" s="143"/>
      <c r="CV372" s="143"/>
      <c r="CW372" s="143"/>
      <c r="CX372" s="143"/>
      <c r="CY372" s="143"/>
      <c r="CZ372" s="143"/>
      <c r="DA372" s="143"/>
      <c r="DB372" s="143"/>
      <c r="DC372" s="143"/>
      <c r="DD372" s="143"/>
      <c r="DE372" s="143"/>
      <c r="DF372" s="143"/>
      <c r="DG372" s="143"/>
      <c r="DH372" s="143"/>
      <c r="DI372" s="143"/>
      <c r="DJ372" s="143"/>
      <c r="DK372" s="143"/>
      <c r="DL372" s="143"/>
      <c r="DM372" s="143"/>
      <c r="DN372" s="143"/>
      <c r="DO372" s="143"/>
      <c r="DP372" s="143"/>
      <c r="DQ372" s="143"/>
      <c r="DR372" s="143"/>
      <c r="DS372" s="143"/>
      <c r="DT372" s="143"/>
      <c r="DU372" s="143"/>
      <c r="DV372" s="143"/>
      <c r="DW372" s="143"/>
      <c r="DX372" s="143"/>
      <c r="DY372" s="143"/>
      <c r="DZ372" s="143"/>
      <c r="EA372" s="143"/>
      <c r="EB372" s="143"/>
      <c r="EC372" s="143"/>
      <c r="ED372" s="143"/>
      <c r="EE372" s="143"/>
      <c r="EF372" s="143"/>
      <c r="EG372" s="143"/>
    </row>
    <row r="373" spans="1:137" s="760" customFormat="1" ht="28.8" x14ac:dyDescent="0.3">
      <c r="A373" s="143" t="s">
        <v>264</v>
      </c>
      <c r="B373" s="421" t="s">
        <v>280</v>
      </c>
      <c r="C373" s="754" t="s">
        <v>461</v>
      </c>
      <c r="D373" s="223" t="s">
        <v>34</v>
      </c>
      <c r="E373" s="223" t="s">
        <v>282</v>
      </c>
      <c r="F373" s="1350" t="s">
        <v>285</v>
      </c>
      <c r="G373" s="755">
        <v>6.2</v>
      </c>
      <c r="H373" s="756">
        <v>120987.4</v>
      </c>
      <c r="I373" s="757" t="s">
        <v>267</v>
      </c>
      <c r="J373" s="756">
        <v>120987.4</v>
      </c>
      <c r="K373" s="1610">
        <f>73520.2+73520.2</f>
        <v>147040.4</v>
      </c>
      <c r="L373" s="1610">
        <f>73520.2+73520.2</f>
        <v>147040.4</v>
      </c>
      <c r="M373" s="755" t="s">
        <v>412</v>
      </c>
      <c r="N373" s="755" t="s">
        <v>462</v>
      </c>
      <c r="O373" s="755" t="s">
        <v>463</v>
      </c>
      <c r="P373" s="155" t="s">
        <v>40</v>
      </c>
      <c r="Q373" s="156"/>
      <c r="R373" s="155" t="s">
        <v>64</v>
      </c>
      <c r="S373" s="156"/>
      <c r="T373" s="155"/>
      <c r="U373" s="156"/>
      <c r="V373" s="155" t="s">
        <v>40</v>
      </c>
      <c r="W373" s="156"/>
      <c r="X373" s="155" t="s">
        <v>40</v>
      </c>
      <c r="Y373" s="156"/>
      <c r="Z373" s="155" t="s">
        <v>64</v>
      </c>
      <c r="AA373" s="156"/>
      <c r="AB373" s="155" t="s">
        <v>40</v>
      </c>
      <c r="AC373" s="156"/>
      <c r="AD373" s="156"/>
      <c r="AE373" s="1527">
        <v>46203</v>
      </c>
      <c r="AF373" s="411" t="s">
        <v>247</v>
      </c>
      <c r="AG373" s="412">
        <v>2023</v>
      </c>
      <c r="AH373" s="758">
        <v>598657.75393999997</v>
      </c>
      <c r="AI373" s="739" t="s">
        <v>464</v>
      </c>
      <c r="AJ373" s="759"/>
      <c r="AK373" s="420" t="s">
        <v>43</v>
      </c>
      <c r="AL373" s="421" t="s">
        <v>41</v>
      </c>
      <c r="AM373" s="416">
        <v>0</v>
      </c>
      <c r="AN373" s="422" t="s">
        <v>40</v>
      </c>
      <c r="AO373" s="165"/>
      <c r="AP373" s="165"/>
      <c r="AQ373" s="165"/>
      <c r="AR373" s="165"/>
      <c r="AS373" s="165"/>
      <c r="AT373" s="315"/>
      <c r="AU373" s="143"/>
      <c r="AV373" s="143"/>
      <c r="AW373" s="143"/>
      <c r="AX373" s="143"/>
      <c r="AY373" s="143"/>
      <c r="AZ373" s="143"/>
      <c r="BA373" s="143"/>
      <c r="BB373" s="143"/>
      <c r="BC373" s="143"/>
      <c r="BD373" s="143"/>
      <c r="BE373" s="143"/>
      <c r="BF373" s="143"/>
      <c r="BG373" s="143"/>
      <c r="BH373" s="143"/>
      <c r="BI373" s="143"/>
      <c r="BJ373" s="143"/>
      <c r="BK373" s="143"/>
      <c r="BL373" s="143"/>
      <c r="BM373" s="143"/>
      <c r="BN373" s="143"/>
      <c r="BO373" s="143"/>
      <c r="BP373" s="143"/>
      <c r="BQ373" s="143"/>
      <c r="BR373" s="143"/>
      <c r="BS373" s="143"/>
      <c r="BT373" s="143"/>
      <c r="BU373" s="143"/>
      <c r="BV373" s="143"/>
      <c r="BW373" s="143"/>
      <c r="BX373" s="143"/>
      <c r="BY373" s="143"/>
      <c r="BZ373" s="143"/>
      <c r="CA373" s="143"/>
      <c r="CB373" s="143"/>
      <c r="CC373" s="143"/>
      <c r="CD373" s="143"/>
      <c r="CE373" s="143"/>
      <c r="CF373" s="143"/>
      <c r="CG373" s="143"/>
      <c r="CH373" s="143"/>
      <c r="CI373" s="143"/>
      <c r="CJ373" s="143"/>
      <c r="CK373" s="143"/>
      <c r="CL373" s="143"/>
      <c r="CM373" s="143"/>
      <c r="CN373" s="143"/>
      <c r="CO373" s="143"/>
      <c r="CP373" s="143"/>
      <c r="CQ373" s="143"/>
      <c r="CR373" s="143"/>
      <c r="CS373" s="143"/>
      <c r="CT373" s="143"/>
      <c r="CU373" s="143"/>
      <c r="CV373" s="143"/>
      <c r="CW373" s="143"/>
      <c r="CX373" s="143"/>
      <c r="CY373" s="143"/>
      <c r="CZ373" s="143"/>
      <c r="DA373" s="143"/>
      <c r="DB373" s="143"/>
      <c r="DC373" s="143"/>
      <c r="DD373" s="143"/>
      <c r="DE373" s="143"/>
      <c r="DF373" s="143"/>
      <c r="DG373" s="143"/>
      <c r="DH373" s="143"/>
      <c r="DI373" s="143"/>
      <c r="DJ373" s="143"/>
      <c r="DK373" s="143"/>
      <c r="DL373" s="143"/>
      <c r="DM373" s="143"/>
      <c r="DN373" s="143"/>
      <c r="DO373" s="143"/>
      <c r="DP373" s="143"/>
      <c r="DQ373" s="143"/>
      <c r="DR373" s="143"/>
      <c r="DS373" s="143"/>
      <c r="DT373" s="143"/>
      <c r="DU373" s="143"/>
      <c r="DV373" s="143"/>
      <c r="DW373" s="143"/>
      <c r="DX373" s="143"/>
      <c r="DY373" s="143"/>
      <c r="DZ373" s="143"/>
      <c r="EA373" s="143"/>
      <c r="EB373" s="143"/>
      <c r="EC373" s="143"/>
      <c r="ED373" s="143"/>
      <c r="EE373" s="143"/>
      <c r="EF373" s="143"/>
      <c r="EG373" s="143"/>
    </row>
    <row r="374" spans="1:137" s="760" customFormat="1" ht="28.8" x14ac:dyDescent="0.3">
      <c r="A374" s="143" t="s">
        <v>264</v>
      </c>
      <c r="B374" s="421" t="s">
        <v>280</v>
      </c>
      <c r="C374" s="762" t="s">
        <v>465</v>
      </c>
      <c r="D374" s="223" t="s">
        <v>34</v>
      </c>
      <c r="E374" s="223" t="s">
        <v>282</v>
      </c>
      <c r="F374" s="1350" t="s">
        <v>285</v>
      </c>
      <c r="G374" s="763">
        <v>2.0099999999999998</v>
      </c>
      <c r="H374" s="764">
        <v>64540.639999999999</v>
      </c>
      <c r="I374" s="757" t="s">
        <v>267</v>
      </c>
      <c r="J374" s="756">
        <v>64540.639999999999</v>
      </c>
      <c r="K374" s="1610">
        <f>48703.38+48703.379</f>
        <v>97406.758999999991</v>
      </c>
      <c r="L374" s="1610">
        <f>48703.38+48703.379</f>
        <v>97406.758999999991</v>
      </c>
      <c r="M374" s="155">
        <f t="shared" ref="M374:N374" si="2">48703.38</f>
        <v>48703.38</v>
      </c>
      <c r="N374" s="155">
        <f t="shared" si="2"/>
        <v>48703.38</v>
      </c>
      <c r="O374" s="755" t="s">
        <v>466</v>
      </c>
      <c r="P374" s="155" t="s">
        <v>40</v>
      </c>
      <c r="Q374" s="156"/>
      <c r="R374" s="155" t="s">
        <v>64</v>
      </c>
      <c r="S374" s="156"/>
      <c r="T374" s="155"/>
      <c r="U374" s="156"/>
      <c r="V374" s="155" t="s">
        <v>40</v>
      </c>
      <c r="W374" s="156"/>
      <c r="X374" s="155" t="s">
        <v>40</v>
      </c>
      <c r="Y374" s="156"/>
      <c r="Z374" s="155" t="s">
        <v>64</v>
      </c>
      <c r="AA374" s="156"/>
      <c r="AB374" s="155" t="s">
        <v>40</v>
      </c>
      <c r="AC374" s="156"/>
      <c r="AD374" s="156"/>
      <c r="AE374" s="1527">
        <v>46203</v>
      </c>
      <c r="AF374" s="411" t="s">
        <v>247</v>
      </c>
      <c r="AG374" s="412">
        <v>2023</v>
      </c>
      <c r="AH374" s="758">
        <v>319353.54078400001</v>
      </c>
      <c r="AI374" s="739" t="s">
        <v>467</v>
      </c>
      <c r="AJ374" s="759"/>
      <c r="AK374" s="420" t="s">
        <v>43</v>
      </c>
      <c r="AL374" s="421" t="s">
        <v>41</v>
      </c>
      <c r="AM374" s="416">
        <v>0</v>
      </c>
      <c r="AN374" s="422" t="s">
        <v>40</v>
      </c>
      <c r="AO374" s="165"/>
      <c r="AP374" s="165"/>
      <c r="AQ374" s="165"/>
      <c r="AR374" s="165"/>
      <c r="AS374" s="165"/>
      <c r="AT374" s="315"/>
      <c r="AU374" s="143"/>
      <c r="AV374" s="143"/>
      <c r="AW374" s="143"/>
      <c r="AX374" s="143"/>
      <c r="AY374" s="143"/>
      <c r="AZ374" s="143"/>
      <c r="BA374" s="143"/>
      <c r="BB374" s="143"/>
      <c r="BC374" s="143"/>
      <c r="BD374" s="143"/>
      <c r="BE374" s="143"/>
      <c r="BF374" s="143"/>
      <c r="BG374" s="143"/>
      <c r="BH374" s="143"/>
      <c r="BI374" s="143"/>
      <c r="BJ374" s="143"/>
      <c r="BK374" s="143"/>
      <c r="BL374" s="143"/>
      <c r="BM374" s="143"/>
      <c r="BN374" s="143"/>
      <c r="BO374" s="143"/>
      <c r="BP374" s="143"/>
      <c r="BQ374" s="143"/>
      <c r="BR374" s="143"/>
      <c r="BS374" s="143"/>
      <c r="BT374" s="143"/>
      <c r="BU374" s="143"/>
      <c r="BV374" s="143"/>
      <c r="BW374" s="143"/>
      <c r="BX374" s="143"/>
      <c r="BY374" s="143"/>
      <c r="BZ374" s="143"/>
      <c r="CA374" s="143"/>
      <c r="CB374" s="143"/>
      <c r="CC374" s="143"/>
      <c r="CD374" s="143"/>
      <c r="CE374" s="143"/>
      <c r="CF374" s="143"/>
      <c r="CG374" s="143"/>
      <c r="CH374" s="143"/>
      <c r="CI374" s="143"/>
      <c r="CJ374" s="143"/>
      <c r="CK374" s="143"/>
      <c r="CL374" s="143"/>
      <c r="CM374" s="143"/>
      <c r="CN374" s="143"/>
      <c r="CO374" s="143"/>
      <c r="CP374" s="143"/>
      <c r="CQ374" s="143"/>
      <c r="CR374" s="143"/>
      <c r="CS374" s="143"/>
      <c r="CT374" s="143"/>
      <c r="CU374" s="143"/>
      <c r="CV374" s="143"/>
      <c r="CW374" s="143"/>
      <c r="CX374" s="143"/>
      <c r="CY374" s="143"/>
      <c r="CZ374" s="143"/>
      <c r="DA374" s="143"/>
      <c r="DB374" s="143"/>
      <c r="DC374" s="143"/>
      <c r="DD374" s="143"/>
      <c r="DE374" s="143"/>
      <c r="DF374" s="143"/>
      <c r="DG374" s="143"/>
      <c r="DH374" s="143"/>
      <c r="DI374" s="143"/>
      <c r="DJ374" s="143"/>
      <c r="DK374" s="143"/>
      <c r="DL374" s="143"/>
      <c r="DM374" s="143"/>
      <c r="DN374" s="143"/>
      <c r="DO374" s="143"/>
      <c r="DP374" s="143"/>
      <c r="DQ374" s="143"/>
      <c r="DR374" s="143"/>
      <c r="DS374" s="143"/>
      <c r="DT374" s="143"/>
      <c r="DU374" s="143"/>
      <c r="DV374" s="143"/>
      <c r="DW374" s="143"/>
      <c r="DX374" s="143"/>
      <c r="DY374" s="143"/>
      <c r="DZ374" s="143"/>
      <c r="EA374" s="143"/>
      <c r="EB374" s="143"/>
      <c r="EC374" s="143"/>
      <c r="ED374" s="143"/>
      <c r="EE374" s="143"/>
      <c r="EF374" s="143"/>
      <c r="EG374" s="143"/>
    </row>
    <row r="375" spans="1:137" s="760" customFormat="1" ht="28.8" x14ac:dyDescent="0.3">
      <c r="A375" s="143" t="s">
        <v>264</v>
      </c>
      <c r="B375" s="421" t="s">
        <v>280</v>
      </c>
      <c r="C375" s="762" t="s">
        <v>468</v>
      </c>
      <c r="D375" s="223" t="s">
        <v>34</v>
      </c>
      <c r="E375" s="223" t="s">
        <v>282</v>
      </c>
      <c r="F375" s="1350" t="s">
        <v>285</v>
      </c>
      <c r="G375" s="763">
        <v>0.96</v>
      </c>
      <c r="H375" s="764">
        <v>35226.92</v>
      </c>
      <c r="I375" s="757" t="s">
        <v>267</v>
      </c>
      <c r="J375" s="756">
        <v>35226.92</v>
      </c>
      <c r="K375" s="1610">
        <f>27877.16</f>
        <v>27877.16</v>
      </c>
      <c r="L375" s="1610">
        <f>27877.16</f>
        <v>27877.16</v>
      </c>
      <c r="M375" s="755" t="s">
        <v>322</v>
      </c>
      <c r="N375" s="755" t="s">
        <v>469</v>
      </c>
      <c r="O375" s="755" t="s">
        <v>470</v>
      </c>
      <c r="P375" s="155" t="s">
        <v>40</v>
      </c>
      <c r="Q375" s="156"/>
      <c r="R375" s="155" t="s">
        <v>64</v>
      </c>
      <c r="S375" s="156"/>
      <c r="T375" s="155"/>
      <c r="U375" s="156"/>
      <c r="V375" s="155" t="s">
        <v>40</v>
      </c>
      <c r="W375" s="156"/>
      <c r="X375" s="155" t="s">
        <v>40</v>
      </c>
      <c r="Y375" s="156"/>
      <c r="Z375" s="155" t="s">
        <v>64</v>
      </c>
      <c r="AA375" s="156"/>
      <c r="AB375" s="155" t="s">
        <v>40</v>
      </c>
      <c r="AC375" s="156"/>
      <c r="AD375" s="156"/>
      <c r="AE375" s="1527">
        <v>46203</v>
      </c>
      <c r="AF375" s="411" t="s">
        <v>247</v>
      </c>
      <c r="AG375" s="412">
        <v>2023</v>
      </c>
      <c r="AH375" s="758">
        <v>174306.32285199998</v>
      </c>
      <c r="AI375" s="739">
        <v>1850311171692</v>
      </c>
      <c r="AJ375" s="759"/>
      <c r="AK375" s="420" t="s">
        <v>43</v>
      </c>
      <c r="AL375" s="421" t="s">
        <v>41</v>
      </c>
      <c r="AM375" s="416">
        <v>0</v>
      </c>
      <c r="AN375" s="422" t="s">
        <v>40</v>
      </c>
      <c r="AO375" s="165"/>
      <c r="AP375" s="165"/>
      <c r="AQ375" s="165"/>
      <c r="AR375" s="165"/>
      <c r="AS375" s="165"/>
      <c r="AT375" s="315"/>
      <c r="AU375" s="143"/>
      <c r="AV375" s="143"/>
      <c r="AW375" s="143"/>
      <c r="AX375" s="143"/>
      <c r="AY375" s="143"/>
      <c r="AZ375" s="143"/>
      <c r="BA375" s="143"/>
      <c r="BB375" s="143"/>
      <c r="BC375" s="143"/>
      <c r="BD375" s="143"/>
      <c r="BE375" s="143"/>
      <c r="BF375" s="143"/>
      <c r="BG375" s="143"/>
      <c r="BH375" s="143"/>
      <c r="BI375" s="143"/>
      <c r="BJ375" s="143"/>
      <c r="BK375" s="143"/>
      <c r="BL375" s="143"/>
      <c r="BM375" s="143"/>
      <c r="BN375" s="143"/>
      <c r="BO375" s="143"/>
      <c r="BP375" s="143"/>
      <c r="BQ375" s="143"/>
      <c r="BR375" s="143"/>
      <c r="BS375" s="143"/>
      <c r="BT375" s="143"/>
      <c r="BU375" s="143"/>
      <c r="BV375" s="143"/>
      <c r="BW375" s="143"/>
      <c r="BX375" s="143"/>
      <c r="BY375" s="143"/>
      <c r="BZ375" s="143"/>
      <c r="CA375" s="143"/>
      <c r="CB375" s="143"/>
      <c r="CC375" s="143"/>
      <c r="CD375" s="143"/>
      <c r="CE375" s="143"/>
      <c r="CF375" s="143"/>
      <c r="CG375" s="143"/>
      <c r="CH375" s="143"/>
      <c r="CI375" s="143"/>
      <c r="CJ375" s="143"/>
      <c r="CK375" s="143"/>
      <c r="CL375" s="143"/>
      <c r="CM375" s="143"/>
      <c r="CN375" s="143"/>
      <c r="CO375" s="143"/>
      <c r="CP375" s="143"/>
      <c r="CQ375" s="143"/>
      <c r="CR375" s="143"/>
      <c r="CS375" s="143"/>
      <c r="CT375" s="143"/>
      <c r="CU375" s="143"/>
      <c r="CV375" s="143"/>
      <c r="CW375" s="143"/>
      <c r="CX375" s="143"/>
      <c r="CY375" s="143"/>
      <c r="CZ375" s="143"/>
      <c r="DA375" s="143"/>
      <c r="DB375" s="143"/>
      <c r="DC375" s="143"/>
      <c r="DD375" s="143"/>
      <c r="DE375" s="143"/>
      <c r="DF375" s="143"/>
      <c r="DG375" s="143"/>
      <c r="DH375" s="143"/>
      <c r="DI375" s="143"/>
      <c r="DJ375" s="143"/>
      <c r="DK375" s="143"/>
      <c r="DL375" s="143"/>
      <c r="DM375" s="143"/>
      <c r="DN375" s="143"/>
      <c r="DO375" s="143"/>
      <c r="DP375" s="143"/>
      <c r="DQ375" s="143"/>
      <c r="DR375" s="143"/>
      <c r="DS375" s="143"/>
      <c r="DT375" s="143"/>
      <c r="DU375" s="143"/>
      <c r="DV375" s="143"/>
      <c r="DW375" s="143"/>
      <c r="DX375" s="143"/>
      <c r="DY375" s="143"/>
      <c r="DZ375" s="143"/>
      <c r="EA375" s="143"/>
      <c r="EB375" s="143"/>
      <c r="EC375" s="143"/>
      <c r="ED375" s="143"/>
      <c r="EE375" s="143"/>
      <c r="EF375" s="143"/>
      <c r="EG375" s="143"/>
    </row>
    <row r="376" spans="1:137" s="760" customFormat="1" ht="28.8" x14ac:dyDescent="0.3">
      <c r="A376" s="143" t="s">
        <v>264</v>
      </c>
      <c r="B376" s="421" t="s">
        <v>280</v>
      </c>
      <c r="C376" s="762" t="s">
        <v>471</v>
      </c>
      <c r="D376" s="223" t="s">
        <v>34</v>
      </c>
      <c r="E376" s="223" t="s">
        <v>282</v>
      </c>
      <c r="F376" s="1350" t="s">
        <v>285</v>
      </c>
      <c r="G376" s="763">
        <v>5.98</v>
      </c>
      <c r="H376" s="764">
        <v>114239.76</v>
      </c>
      <c r="I376" s="757" t="s">
        <v>267</v>
      </c>
      <c r="J376" s="756">
        <v>114239.76</v>
      </c>
      <c r="K376" s="1610">
        <f>68456.88+68456.88</f>
        <v>136913.76</v>
      </c>
      <c r="L376" s="1610">
        <f>68456.88+68456.88</f>
        <v>136913.76</v>
      </c>
      <c r="M376" s="755" t="s">
        <v>322</v>
      </c>
      <c r="N376" s="755" t="s">
        <v>472</v>
      </c>
      <c r="O376" s="755" t="s">
        <v>473</v>
      </c>
      <c r="P376" s="155" t="s">
        <v>40</v>
      </c>
      <c r="Q376" s="156"/>
      <c r="R376" s="155" t="s">
        <v>64</v>
      </c>
      <c r="S376" s="156"/>
      <c r="T376" s="155"/>
      <c r="U376" s="156"/>
      <c r="V376" s="155" t="s">
        <v>40</v>
      </c>
      <c r="W376" s="156"/>
      <c r="X376" s="155" t="s">
        <v>40</v>
      </c>
      <c r="Y376" s="156"/>
      <c r="Z376" s="155" t="s">
        <v>64</v>
      </c>
      <c r="AA376" s="156"/>
      <c r="AB376" s="155" t="s">
        <v>40</v>
      </c>
      <c r="AC376" s="156"/>
      <c r="AD376" s="156"/>
      <c r="AE376" s="1527">
        <v>46203</v>
      </c>
      <c r="AF376" s="411" t="s">
        <v>247</v>
      </c>
      <c r="AG376" s="412">
        <v>2023</v>
      </c>
      <c r="AH376" s="758">
        <v>565269.75645600003</v>
      </c>
      <c r="AI376" s="739">
        <v>1640821170319</v>
      </c>
      <c r="AJ376" s="759"/>
      <c r="AK376" s="420" t="s">
        <v>43</v>
      </c>
      <c r="AL376" s="421" t="s">
        <v>41</v>
      </c>
      <c r="AM376" s="416">
        <v>0</v>
      </c>
      <c r="AN376" s="422" t="s">
        <v>40</v>
      </c>
      <c r="AO376" s="165"/>
      <c r="AP376" s="165"/>
      <c r="AQ376" s="165"/>
      <c r="AR376" s="165"/>
      <c r="AS376" s="165"/>
      <c r="AT376" s="315"/>
      <c r="AU376" s="143"/>
      <c r="AV376" s="143"/>
      <c r="AW376" s="143"/>
      <c r="AX376" s="143"/>
      <c r="AY376" s="143"/>
      <c r="AZ376" s="143"/>
      <c r="BA376" s="143"/>
      <c r="BB376" s="143"/>
      <c r="BC376" s="143"/>
      <c r="BD376" s="143"/>
      <c r="BE376" s="143"/>
      <c r="BF376" s="143"/>
      <c r="BG376" s="143"/>
      <c r="BH376" s="143"/>
      <c r="BI376" s="143"/>
      <c r="BJ376" s="143"/>
      <c r="BK376" s="143"/>
      <c r="BL376" s="143"/>
      <c r="BM376" s="143"/>
      <c r="BN376" s="143"/>
      <c r="BO376" s="143"/>
      <c r="BP376" s="143"/>
      <c r="BQ376" s="143"/>
      <c r="BR376" s="143"/>
      <c r="BS376" s="143"/>
      <c r="BT376" s="143"/>
      <c r="BU376" s="143"/>
      <c r="BV376" s="143"/>
      <c r="BW376" s="143"/>
      <c r="BX376" s="143"/>
      <c r="BY376" s="143"/>
      <c r="BZ376" s="143"/>
      <c r="CA376" s="143"/>
      <c r="CB376" s="143"/>
      <c r="CC376" s="143"/>
      <c r="CD376" s="143"/>
      <c r="CE376" s="143"/>
      <c r="CF376" s="143"/>
      <c r="CG376" s="143"/>
      <c r="CH376" s="143"/>
      <c r="CI376" s="143"/>
      <c r="CJ376" s="143"/>
      <c r="CK376" s="143"/>
      <c r="CL376" s="143"/>
      <c r="CM376" s="143"/>
      <c r="CN376" s="143"/>
      <c r="CO376" s="143"/>
      <c r="CP376" s="143"/>
      <c r="CQ376" s="143"/>
      <c r="CR376" s="143"/>
      <c r="CS376" s="143"/>
      <c r="CT376" s="143"/>
      <c r="CU376" s="143"/>
      <c r="CV376" s="143"/>
      <c r="CW376" s="143"/>
      <c r="CX376" s="143"/>
      <c r="CY376" s="143"/>
      <c r="CZ376" s="143"/>
      <c r="DA376" s="143"/>
      <c r="DB376" s="143"/>
      <c r="DC376" s="143"/>
      <c r="DD376" s="143"/>
      <c r="DE376" s="143"/>
      <c r="DF376" s="143"/>
      <c r="DG376" s="143"/>
      <c r="DH376" s="143"/>
      <c r="DI376" s="143"/>
      <c r="DJ376" s="143"/>
      <c r="DK376" s="143"/>
      <c r="DL376" s="143"/>
      <c r="DM376" s="143"/>
      <c r="DN376" s="143"/>
      <c r="DO376" s="143"/>
      <c r="DP376" s="143"/>
      <c r="DQ376" s="143"/>
      <c r="DR376" s="143"/>
      <c r="DS376" s="143"/>
      <c r="DT376" s="143"/>
      <c r="DU376" s="143"/>
      <c r="DV376" s="143"/>
      <c r="DW376" s="143"/>
      <c r="DX376" s="143"/>
      <c r="DY376" s="143"/>
      <c r="DZ376" s="143"/>
      <c r="EA376" s="143"/>
      <c r="EB376" s="143"/>
      <c r="EC376" s="143"/>
      <c r="ED376" s="143"/>
      <c r="EE376" s="143"/>
      <c r="EF376" s="143"/>
      <c r="EG376" s="143"/>
    </row>
    <row r="377" spans="1:137" s="760" customFormat="1" ht="28.8" x14ac:dyDescent="0.3">
      <c r="A377" s="143" t="s">
        <v>264</v>
      </c>
      <c r="B377" s="421" t="s">
        <v>280</v>
      </c>
      <c r="C377" s="762" t="s">
        <v>474</v>
      </c>
      <c r="D377" s="223" t="s">
        <v>34</v>
      </c>
      <c r="E377" s="223" t="s">
        <v>282</v>
      </c>
      <c r="F377" s="1350" t="s">
        <v>285</v>
      </c>
      <c r="G377" s="763">
        <v>56.43</v>
      </c>
      <c r="H377" s="764">
        <v>700045.14</v>
      </c>
      <c r="I377" s="757" t="s">
        <v>267</v>
      </c>
      <c r="J377" s="756">
        <v>700045.14</v>
      </c>
      <c r="K377" s="1610">
        <v>0</v>
      </c>
      <c r="L377" s="1610">
        <v>0</v>
      </c>
      <c r="M377" s="755" t="s">
        <v>200</v>
      </c>
      <c r="N377" s="755" t="s">
        <v>475</v>
      </c>
      <c r="O377" s="755" t="s">
        <v>476</v>
      </c>
      <c r="P377" s="155" t="s">
        <v>40</v>
      </c>
      <c r="Q377" s="156"/>
      <c r="R377" s="155" t="s">
        <v>64</v>
      </c>
      <c r="S377" s="156"/>
      <c r="T377" s="155"/>
      <c r="U377" s="156"/>
      <c r="V377" s="155" t="s">
        <v>40</v>
      </c>
      <c r="W377" s="156"/>
      <c r="X377" s="155" t="s">
        <v>40</v>
      </c>
      <c r="Y377" s="156"/>
      <c r="Z377" s="155" t="s">
        <v>64</v>
      </c>
      <c r="AA377" s="156"/>
      <c r="AB377" s="155" t="s">
        <v>40</v>
      </c>
      <c r="AC377" s="156"/>
      <c r="AD377" s="156"/>
      <c r="AE377" s="1527">
        <v>46203</v>
      </c>
      <c r="AF377" s="411" t="s">
        <v>247</v>
      </c>
      <c r="AG377" s="412">
        <v>2023</v>
      </c>
      <c r="AH377" s="758">
        <v>3463893.3572340002</v>
      </c>
      <c r="AI377" s="739" t="s">
        <v>477</v>
      </c>
      <c r="AJ377" s="759"/>
      <c r="AK377" s="420" t="s">
        <v>43</v>
      </c>
      <c r="AL377" s="421" t="s">
        <v>41</v>
      </c>
      <c r="AM377" s="416">
        <v>0</v>
      </c>
      <c r="AN377" s="422" t="s">
        <v>40</v>
      </c>
      <c r="AO377" s="165"/>
      <c r="AP377" s="165"/>
      <c r="AQ377" s="165"/>
      <c r="AR377" s="165"/>
      <c r="AS377" s="165"/>
      <c r="AT377" s="315"/>
      <c r="AU377" s="143"/>
      <c r="AV377" s="143"/>
      <c r="AW377" s="143"/>
      <c r="AX377" s="143"/>
      <c r="AY377" s="143"/>
      <c r="AZ377" s="143"/>
      <c r="BA377" s="143"/>
      <c r="BB377" s="143"/>
      <c r="BC377" s="143"/>
      <c r="BD377" s="143"/>
      <c r="BE377" s="143"/>
      <c r="BF377" s="143"/>
      <c r="BG377" s="143"/>
      <c r="BH377" s="143"/>
      <c r="BI377" s="143"/>
      <c r="BJ377" s="143"/>
      <c r="BK377" s="143"/>
      <c r="BL377" s="143"/>
      <c r="BM377" s="143"/>
      <c r="BN377" s="143"/>
      <c r="BO377" s="143"/>
      <c r="BP377" s="143"/>
      <c r="BQ377" s="143"/>
      <c r="BR377" s="143"/>
      <c r="BS377" s="143"/>
      <c r="BT377" s="143"/>
      <c r="BU377" s="143"/>
      <c r="BV377" s="143"/>
      <c r="BW377" s="143"/>
      <c r="BX377" s="143"/>
      <c r="BY377" s="143"/>
      <c r="BZ377" s="143"/>
      <c r="CA377" s="143"/>
      <c r="CB377" s="143"/>
      <c r="CC377" s="143"/>
      <c r="CD377" s="143"/>
      <c r="CE377" s="143"/>
      <c r="CF377" s="143"/>
      <c r="CG377" s="143"/>
      <c r="CH377" s="143"/>
      <c r="CI377" s="143"/>
      <c r="CJ377" s="143"/>
      <c r="CK377" s="143"/>
      <c r="CL377" s="143"/>
      <c r="CM377" s="143"/>
      <c r="CN377" s="143"/>
      <c r="CO377" s="143"/>
      <c r="CP377" s="143"/>
      <c r="CQ377" s="143"/>
      <c r="CR377" s="143"/>
      <c r="CS377" s="143"/>
      <c r="CT377" s="143"/>
      <c r="CU377" s="143"/>
      <c r="CV377" s="143"/>
      <c r="CW377" s="143"/>
      <c r="CX377" s="143"/>
      <c r="CY377" s="143"/>
      <c r="CZ377" s="143"/>
      <c r="DA377" s="143"/>
      <c r="DB377" s="143"/>
      <c r="DC377" s="143"/>
      <c r="DD377" s="143"/>
      <c r="DE377" s="143"/>
      <c r="DF377" s="143"/>
      <c r="DG377" s="143"/>
      <c r="DH377" s="143"/>
      <c r="DI377" s="143"/>
      <c r="DJ377" s="143"/>
      <c r="DK377" s="143"/>
      <c r="DL377" s="143"/>
      <c r="DM377" s="143"/>
      <c r="DN377" s="143"/>
      <c r="DO377" s="143"/>
      <c r="DP377" s="143"/>
      <c r="DQ377" s="143"/>
      <c r="DR377" s="143"/>
      <c r="DS377" s="143"/>
      <c r="DT377" s="143"/>
      <c r="DU377" s="143"/>
      <c r="DV377" s="143"/>
      <c r="DW377" s="143"/>
      <c r="DX377" s="143"/>
      <c r="DY377" s="143"/>
      <c r="DZ377" s="143"/>
      <c r="EA377" s="143"/>
      <c r="EB377" s="143"/>
      <c r="EC377" s="143"/>
      <c r="ED377" s="143"/>
      <c r="EE377" s="143"/>
      <c r="EF377" s="143"/>
      <c r="EG377" s="143"/>
    </row>
    <row r="378" spans="1:137" s="760" customFormat="1" ht="28.8" x14ac:dyDescent="0.3">
      <c r="A378" s="143" t="s">
        <v>264</v>
      </c>
      <c r="B378" s="421" t="s">
        <v>280</v>
      </c>
      <c r="C378" s="762" t="s">
        <v>478</v>
      </c>
      <c r="D378" s="223" t="s">
        <v>34</v>
      </c>
      <c r="E378" s="223" t="s">
        <v>282</v>
      </c>
      <c r="F378" s="1350" t="s">
        <v>285</v>
      </c>
      <c r="G378" s="763">
        <v>1.5</v>
      </c>
      <c r="H378" s="764">
        <v>26795.040000000001</v>
      </c>
      <c r="I378" s="757" t="s">
        <v>267</v>
      </c>
      <c r="J378" s="756">
        <v>26795.040000000001</v>
      </c>
      <c r="K378" s="1400">
        <f>18423.43</f>
        <v>18423.43</v>
      </c>
      <c r="L378" s="1400">
        <f>18423.43</f>
        <v>18423.43</v>
      </c>
      <c r="M378" s="755" t="s">
        <v>351</v>
      </c>
      <c r="N378" s="755" t="s">
        <v>479</v>
      </c>
      <c r="O378" s="755" t="s">
        <v>480</v>
      </c>
      <c r="P378" s="155" t="s">
        <v>40</v>
      </c>
      <c r="Q378" s="156"/>
      <c r="R378" s="155" t="s">
        <v>64</v>
      </c>
      <c r="S378" s="156"/>
      <c r="T378" s="155"/>
      <c r="U378" s="156"/>
      <c r="V378" s="155" t="s">
        <v>40</v>
      </c>
      <c r="W378" s="156"/>
      <c r="X378" s="155" t="s">
        <v>40</v>
      </c>
      <c r="Y378" s="156"/>
      <c r="Z378" s="155" t="s">
        <v>64</v>
      </c>
      <c r="AA378" s="156"/>
      <c r="AB378" s="155" t="s">
        <v>40</v>
      </c>
      <c r="AC378" s="156"/>
      <c r="AD378" s="156"/>
      <c r="AE378" s="1527">
        <v>46203</v>
      </c>
      <c r="AF378" s="411" t="s">
        <v>247</v>
      </c>
      <c r="AG378" s="412">
        <v>2023</v>
      </c>
      <c r="AH378" s="758">
        <v>132584.53742400001</v>
      </c>
      <c r="AI378" s="739" t="s">
        <v>481</v>
      </c>
      <c r="AJ378" s="759"/>
      <c r="AK378" s="420" t="s">
        <v>43</v>
      </c>
      <c r="AL378" s="421" t="s">
        <v>41</v>
      </c>
      <c r="AM378" s="416">
        <v>0</v>
      </c>
      <c r="AN378" s="422" t="s">
        <v>40</v>
      </c>
      <c r="AO378" s="165"/>
      <c r="AP378" s="165"/>
      <c r="AQ378" s="165"/>
      <c r="AR378" s="165"/>
      <c r="AS378" s="165"/>
      <c r="AT378" s="315"/>
      <c r="AU378" s="143"/>
      <c r="AV378" s="143"/>
      <c r="AW378" s="143"/>
      <c r="AX378" s="143"/>
      <c r="AY378" s="143"/>
      <c r="AZ378" s="143"/>
      <c r="BA378" s="143"/>
      <c r="BB378" s="143"/>
      <c r="BC378" s="143"/>
      <c r="BD378" s="143"/>
      <c r="BE378" s="143"/>
      <c r="BF378" s="143"/>
      <c r="BG378" s="143"/>
      <c r="BH378" s="143"/>
      <c r="BI378" s="143"/>
      <c r="BJ378" s="143"/>
      <c r="BK378" s="143"/>
      <c r="BL378" s="143"/>
      <c r="BM378" s="143"/>
      <c r="BN378" s="143"/>
      <c r="BO378" s="143"/>
      <c r="BP378" s="143"/>
      <c r="BQ378" s="143"/>
      <c r="BR378" s="143"/>
      <c r="BS378" s="143"/>
      <c r="BT378" s="143"/>
      <c r="BU378" s="143"/>
      <c r="BV378" s="143"/>
      <c r="BW378" s="143"/>
      <c r="BX378" s="143"/>
      <c r="BY378" s="143"/>
      <c r="BZ378" s="143"/>
      <c r="CA378" s="143"/>
      <c r="CB378" s="143"/>
      <c r="CC378" s="143"/>
      <c r="CD378" s="143"/>
      <c r="CE378" s="143"/>
      <c r="CF378" s="143"/>
      <c r="CG378" s="143"/>
      <c r="CH378" s="143"/>
      <c r="CI378" s="143"/>
      <c r="CJ378" s="143"/>
      <c r="CK378" s="143"/>
      <c r="CL378" s="143"/>
      <c r="CM378" s="143"/>
      <c r="CN378" s="143"/>
      <c r="CO378" s="143"/>
      <c r="CP378" s="143"/>
      <c r="CQ378" s="143"/>
      <c r="CR378" s="143"/>
      <c r="CS378" s="143"/>
      <c r="CT378" s="143"/>
      <c r="CU378" s="143"/>
      <c r="CV378" s="143"/>
      <c r="CW378" s="143"/>
      <c r="CX378" s="143"/>
      <c r="CY378" s="143"/>
      <c r="CZ378" s="143"/>
      <c r="DA378" s="143"/>
      <c r="DB378" s="143"/>
      <c r="DC378" s="143"/>
      <c r="DD378" s="143"/>
      <c r="DE378" s="143"/>
      <c r="DF378" s="143"/>
      <c r="DG378" s="143"/>
      <c r="DH378" s="143"/>
      <c r="DI378" s="143"/>
      <c r="DJ378" s="143"/>
      <c r="DK378" s="143"/>
      <c r="DL378" s="143"/>
      <c r="DM378" s="143"/>
      <c r="DN378" s="143"/>
      <c r="DO378" s="143"/>
      <c r="DP378" s="143"/>
      <c r="DQ378" s="143"/>
      <c r="DR378" s="143"/>
      <c r="DS378" s="143"/>
      <c r="DT378" s="143"/>
      <c r="DU378" s="143"/>
      <c r="DV378" s="143"/>
      <c r="DW378" s="143"/>
      <c r="DX378" s="143"/>
      <c r="DY378" s="143"/>
      <c r="DZ378" s="143"/>
      <c r="EA378" s="143"/>
      <c r="EB378" s="143"/>
      <c r="EC378" s="143"/>
      <c r="ED378" s="143"/>
      <c r="EE378" s="143"/>
      <c r="EF378" s="143"/>
      <c r="EG378" s="143"/>
    </row>
    <row r="379" spans="1:137" s="760" customFormat="1" ht="28.8" x14ac:dyDescent="0.3">
      <c r="A379" s="143" t="s">
        <v>264</v>
      </c>
      <c r="B379" s="421" t="s">
        <v>280</v>
      </c>
      <c r="C379" s="762" t="s">
        <v>482</v>
      </c>
      <c r="D379" s="223" t="s">
        <v>34</v>
      </c>
      <c r="E379" s="223" t="s">
        <v>282</v>
      </c>
      <c r="F379" s="1350" t="s">
        <v>285</v>
      </c>
      <c r="G379" s="763">
        <v>2.8378000000000001</v>
      </c>
      <c r="H379" s="764">
        <v>46213.71</v>
      </c>
      <c r="I379" s="757" t="s">
        <v>267</v>
      </c>
      <c r="J379" s="756">
        <v>46213.71</v>
      </c>
      <c r="K379" s="1610">
        <v>0</v>
      </c>
      <c r="L379" s="1610">
        <v>0</v>
      </c>
      <c r="M379" s="755" t="s">
        <v>53</v>
      </c>
      <c r="N379" s="755" t="s">
        <v>483</v>
      </c>
      <c r="O379" s="755" t="s">
        <v>484</v>
      </c>
      <c r="P379" s="155" t="s">
        <v>40</v>
      </c>
      <c r="Q379" s="156"/>
      <c r="R379" s="155" t="s">
        <v>64</v>
      </c>
      <c r="S379" s="156"/>
      <c r="T379" s="155"/>
      <c r="U379" s="156"/>
      <c r="V379" s="155" t="s">
        <v>40</v>
      </c>
      <c r="W379" s="156"/>
      <c r="X379" s="155" t="s">
        <v>40</v>
      </c>
      <c r="Y379" s="156"/>
      <c r="Z379" s="155" t="s">
        <v>64</v>
      </c>
      <c r="AA379" s="156"/>
      <c r="AB379" s="155" t="s">
        <v>40</v>
      </c>
      <c r="AC379" s="156"/>
      <c r="AD379" s="156"/>
      <c r="AE379" s="1527">
        <v>46203</v>
      </c>
      <c r="AF379" s="411" t="s">
        <v>247</v>
      </c>
      <c r="AG379" s="412">
        <v>2023</v>
      </c>
      <c r="AH379" s="758">
        <v>228670.05845099999</v>
      </c>
      <c r="AI379" s="739" t="s">
        <v>485</v>
      </c>
      <c r="AJ379" s="759"/>
      <c r="AK379" s="420" t="s">
        <v>43</v>
      </c>
      <c r="AL379" s="421" t="s">
        <v>41</v>
      </c>
      <c r="AM379" s="416">
        <v>0</v>
      </c>
      <c r="AN379" s="422" t="s">
        <v>40</v>
      </c>
      <c r="AO379" s="165"/>
      <c r="AP379" s="165"/>
      <c r="AQ379" s="165"/>
      <c r="AR379" s="165"/>
      <c r="AS379" s="165"/>
      <c r="AT379" s="315"/>
      <c r="AU379" s="143"/>
      <c r="AV379" s="143"/>
      <c r="AW379" s="143"/>
      <c r="AX379" s="143"/>
      <c r="AY379" s="143"/>
      <c r="AZ379" s="143"/>
      <c r="BA379" s="143"/>
      <c r="BB379" s="143"/>
      <c r="BC379" s="143"/>
      <c r="BD379" s="143"/>
      <c r="BE379" s="143"/>
      <c r="BF379" s="143"/>
      <c r="BG379" s="143"/>
      <c r="BH379" s="143"/>
      <c r="BI379" s="143"/>
      <c r="BJ379" s="143"/>
      <c r="BK379" s="143"/>
      <c r="BL379" s="143"/>
      <c r="BM379" s="143"/>
      <c r="BN379" s="143"/>
      <c r="BO379" s="143"/>
      <c r="BP379" s="143"/>
      <c r="BQ379" s="143"/>
      <c r="BR379" s="143"/>
      <c r="BS379" s="143"/>
      <c r="BT379" s="143"/>
      <c r="BU379" s="143"/>
      <c r="BV379" s="143"/>
      <c r="BW379" s="143"/>
      <c r="BX379" s="143"/>
      <c r="BY379" s="143"/>
      <c r="BZ379" s="143"/>
      <c r="CA379" s="143"/>
      <c r="CB379" s="143"/>
      <c r="CC379" s="143"/>
      <c r="CD379" s="143"/>
      <c r="CE379" s="143"/>
      <c r="CF379" s="143"/>
      <c r="CG379" s="143"/>
      <c r="CH379" s="143"/>
      <c r="CI379" s="143"/>
      <c r="CJ379" s="143"/>
      <c r="CK379" s="143"/>
      <c r="CL379" s="143"/>
      <c r="CM379" s="143"/>
      <c r="CN379" s="143"/>
      <c r="CO379" s="143"/>
      <c r="CP379" s="143"/>
      <c r="CQ379" s="143"/>
      <c r="CR379" s="143"/>
      <c r="CS379" s="143"/>
      <c r="CT379" s="143"/>
      <c r="CU379" s="143"/>
      <c r="CV379" s="143"/>
      <c r="CW379" s="143"/>
      <c r="CX379" s="143"/>
      <c r="CY379" s="143"/>
      <c r="CZ379" s="143"/>
      <c r="DA379" s="143"/>
      <c r="DB379" s="143"/>
      <c r="DC379" s="143"/>
      <c r="DD379" s="143"/>
      <c r="DE379" s="143"/>
      <c r="DF379" s="143"/>
      <c r="DG379" s="143"/>
      <c r="DH379" s="143"/>
      <c r="DI379" s="143"/>
      <c r="DJ379" s="143"/>
      <c r="DK379" s="143"/>
      <c r="DL379" s="143"/>
      <c r="DM379" s="143"/>
      <c r="DN379" s="143"/>
      <c r="DO379" s="143"/>
      <c r="DP379" s="143"/>
      <c r="DQ379" s="143"/>
      <c r="DR379" s="143"/>
      <c r="DS379" s="143"/>
      <c r="DT379" s="143"/>
      <c r="DU379" s="143"/>
      <c r="DV379" s="143"/>
      <c r="DW379" s="143"/>
      <c r="DX379" s="143"/>
      <c r="DY379" s="143"/>
      <c r="DZ379" s="143"/>
      <c r="EA379" s="143"/>
      <c r="EB379" s="143"/>
      <c r="EC379" s="143"/>
      <c r="ED379" s="143"/>
      <c r="EE379" s="143"/>
      <c r="EF379" s="143"/>
      <c r="EG379" s="143"/>
    </row>
    <row r="380" spans="1:137" s="760" customFormat="1" ht="28.8" x14ac:dyDescent="0.3">
      <c r="A380" s="143" t="s">
        <v>264</v>
      </c>
      <c r="B380" s="421" t="s">
        <v>280</v>
      </c>
      <c r="C380" s="762" t="s">
        <v>486</v>
      </c>
      <c r="D380" s="223" t="s">
        <v>34</v>
      </c>
      <c r="E380" s="223" t="s">
        <v>282</v>
      </c>
      <c r="F380" s="1350" t="s">
        <v>285</v>
      </c>
      <c r="G380" s="763">
        <v>3.38</v>
      </c>
      <c r="H380" s="764">
        <v>72836.009999999995</v>
      </c>
      <c r="I380" s="757" t="s">
        <v>267</v>
      </c>
      <c r="J380" s="756">
        <v>72836.009999999995</v>
      </c>
      <c r="K380" s="1400">
        <f>45783.5</f>
        <v>45783.5</v>
      </c>
      <c r="L380" s="1400">
        <f>45783.5</f>
        <v>45783.5</v>
      </c>
      <c r="M380" s="755" t="s">
        <v>412</v>
      </c>
      <c r="N380" s="755" t="s">
        <v>487</v>
      </c>
      <c r="O380" s="755" t="s">
        <v>488</v>
      </c>
      <c r="P380" s="155" t="s">
        <v>40</v>
      </c>
      <c r="Q380" s="156"/>
      <c r="R380" s="155" t="s">
        <v>64</v>
      </c>
      <c r="S380" s="156"/>
      <c r="T380" s="155"/>
      <c r="U380" s="156"/>
      <c r="V380" s="155" t="s">
        <v>40</v>
      </c>
      <c r="W380" s="156"/>
      <c r="X380" s="155" t="s">
        <v>40</v>
      </c>
      <c r="Y380" s="156"/>
      <c r="Z380" s="155" t="s">
        <v>64</v>
      </c>
      <c r="AA380" s="156"/>
      <c r="AB380" s="155" t="s">
        <v>40</v>
      </c>
      <c r="AC380" s="156"/>
      <c r="AD380" s="156"/>
      <c r="AE380" s="1527">
        <v>46203</v>
      </c>
      <c r="AF380" s="411" t="s">
        <v>247</v>
      </c>
      <c r="AG380" s="412">
        <v>2023</v>
      </c>
      <c r="AH380" s="758">
        <v>360399.86108100001</v>
      </c>
      <c r="AI380" s="739">
        <v>1820518134172</v>
      </c>
      <c r="AJ380" s="759"/>
      <c r="AK380" s="420" t="s">
        <v>43</v>
      </c>
      <c r="AL380" s="421" t="s">
        <v>41</v>
      </c>
      <c r="AM380" s="416">
        <v>0</v>
      </c>
      <c r="AN380" s="422" t="s">
        <v>40</v>
      </c>
      <c r="AO380" s="165"/>
      <c r="AP380" s="165"/>
      <c r="AQ380" s="165"/>
      <c r="AR380" s="165"/>
      <c r="AS380" s="165"/>
      <c r="AT380" s="315"/>
      <c r="AU380" s="143"/>
      <c r="AV380" s="143"/>
      <c r="AW380" s="143"/>
      <c r="AX380" s="143"/>
      <c r="AY380" s="143"/>
      <c r="AZ380" s="143"/>
      <c r="BA380" s="143"/>
      <c r="BB380" s="143"/>
      <c r="BC380" s="143"/>
      <c r="BD380" s="143"/>
      <c r="BE380" s="143"/>
      <c r="BF380" s="143"/>
      <c r="BG380" s="143"/>
      <c r="BH380" s="143"/>
      <c r="BI380" s="143"/>
      <c r="BJ380" s="143"/>
      <c r="BK380" s="143"/>
      <c r="BL380" s="143"/>
      <c r="BM380" s="143"/>
      <c r="BN380" s="143"/>
      <c r="BO380" s="143"/>
      <c r="BP380" s="143"/>
      <c r="BQ380" s="143"/>
      <c r="BR380" s="143"/>
      <c r="BS380" s="143"/>
      <c r="BT380" s="143"/>
      <c r="BU380" s="143"/>
      <c r="BV380" s="143"/>
      <c r="BW380" s="143"/>
      <c r="BX380" s="143"/>
      <c r="BY380" s="143"/>
      <c r="BZ380" s="143"/>
      <c r="CA380" s="143"/>
      <c r="CB380" s="143"/>
      <c r="CC380" s="143"/>
      <c r="CD380" s="143"/>
      <c r="CE380" s="143"/>
      <c r="CF380" s="143"/>
      <c r="CG380" s="143"/>
      <c r="CH380" s="143"/>
      <c r="CI380" s="143"/>
      <c r="CJ380" s="143"/>
      <c r="CK380" s="143"/>
      <c r="CL380" s="143"/>
      <c r="CM380" s="143"/>
      <c r="CN380" s="143"/>
      <c r="CO380" s="143"/>
      <c r="CP380" s="143"/>
      <c r="CQ380" s="143"/>
      <c r="CR380" s="143"/>
      <c r="CS380" s="143"/>
      <c r="CT380" s="143"/>
      <c r="CU380" s="143"/>
      <c r="CV380" s="143"/>
      <c r="CW380" s="143"/>
      <c r="CX380" s="143"/>
      <c r="CY380" s="143"/>
      <c r="CZ380" s="143"/>
      <c r="DA380" s="143"/>
      <c r="DB380" s="143"/>
      <c r="DC380" s="143"/>
      <c r="DD380" s="143"/>
      <c r="DE380" s="143"/>
      <c r="DF380" s="143"/>
      <c r="DG380" s="143"/>
      <c r="DH380" s="143"/>
      <c r="DI380" s="143"/>
      <c r="DJ380" s="143"/>
      <c r="DK380" s="143"/>
      <c r="DL380" s="143"/>
      <c r="DM380" s="143"/>
      <c r="DN380" s="143"/>
      <c r="DO380" s="143"/>
      <c r="DP380" s="143"/>
      <c r="DQ380" s="143"/>
      <c r="DR380" s="143"/>
      <c r="DS380" s="143"/>
      <c r="DT380" s="143"/>
      <c r="DU380" s="143"/>
      <c r="DV380" s="143"/>
      <c r="DW380" s="143"/>
      <c r="DX380" s="143"/>
      <c r="DY380" s="143"/>
      <c r="DZ380" s="143"/>
      <c r="EA380" s="143"/>
      <c r="EB380" s="143"/>
      <c r="EC380" s="143"/>
      <c r="ED380" s="143"/>
      <c r="EE380" s="143"/>
      <c r="EF380" s="143"/>
      <c r="EG380" s="143"/>
    </row>
    <row r="381" spans="1:137" s="760" customFormat="1" ht="28.8" x14ac:dyDescent="0.3">
      <c r="A381" s="143" t="s">
        <v>264</v>
      </c>
      <c r="B381" s="421" t="s">
        <v>280</v>
      </c>
      <c r="C381" s="762" t="s">
        <v>489</v>
      </c>
      <c r="D381" s="223" t="s">
        <v>34</v>
      </c>
      <c r="E381" s="223" t="s">
        <v>282</v>
      </c>
      <c r="F381" s="1350" t="s">
        <v>285</v>
      </c>
      <c r="G381" s="763">
        <v>1.47</v>
      </c>
      <c r="H381" s="764">
        <v>20466.560000000001</v>
      </c>
      <c r="I381" s="757" t="s">
        <v>267</v>
      </c>
      <c r="J381" s="756">
        <v>20466.560000000001</v>
      </c>
      <c r="K381" s="1610">
        <f>11230.34+11230.34</f>
        <v>22460.68</v>
      </c>
      <c r="L381" s="1610">
        <f>11230.34+11230.34</f>
        <v>22460.68</v>
      </c>
      <c r="M381" s="755" t="s">
        <v>49</v>
      </c>
      <c r="N381" s="755" t="s">
        <v>317</v>
      </c>
      <c r="O381" s="755" t="s">
        <v>490</v>
      </c>
      <c r="P381" s="155" t="s">
        <v>40</v>
      </c>
      <c r="Q381" s="156"/>
      <c r="R381" s="155" t="s">
        <v>64</v>
      </c>
      <c r="S381" s="156"/>
      <c r="T381" s="155"/>
      <c r="U381" s="156"/>
      <c r="V381" s="155" t="s">
        <v>40</v>
      </c>
      <c r="W381" s="156"/>
      <c r="X381" s="155" t="s">
        <v>40</v>
      </c>
      <c r="Y381" s="156"/>
      <c r="Z381" s="155" t="s">
        <v>64</v>
      </c>
      <c r="AA381" s="156"/>
      <c r="AB381" s="155" t="s">
        <v>40</v>
      </c>
      <c r="AC381" s="156"/>
      <c r="AD381" s="156"/>
      <c r="AE381" s="1527">
        <v>46203</v>
      </c>
      <c r="AF381" s="411" t="s">
        <v>247</v>
      </c>
      <c r="AG381" s="412">
        <v>2023</v>
      </c>
      <c r="AH381" s="758">
        <v>101270.58553600001</v>
      </c>
      <c r="AI381" s="765" t="s">
        <v>491</v>
      </c>
      <c r="AJ381" s="759"/>
      <c r="AK381" s="420" t="s">
        <v>43</v>
      </c>
      <c r="AL381" s="421" t="s">
        <v>41</v>
      </c>
      <c r="AM381" s="416">
        <v>0</v>
      </c>
      <c r="AN381" s="422" t="s">
        <v>40</v>
      </c>
      <c r="AO381" s="165"/>
      <c r="AP381" s="165"/>
      <c r="AQ381" s="165"/>
      <c r="AR381" s="165"/>
      <c r="AS381" s="165"/>
      <c r="AT381" s="315"/>
      <c r="AU381" s="143"/>
      <c r="AV381" s="143"/>
      <c r="AW381" s="143"/>
      <c r="AX381" s="143"/>
      <c r="AY381" s="143"/>
      <c r="AZ381" s="143"/>
      <c r="BA381" s="143"/>
      <c r="BB381" s="143"/>
      <c r="BC381" s="143"/>
      <c r="BD381" s="143"/>
      <c r="BE381" s="143"/>
      <c r="BF381" s="143"/>
      <c r="BG381" s="143"/>
      <c r="BH381" s="143"/>
      <c r="BI381" s="143"/>
      <c r="BJ381" s="143"/>
      <c r="BK381" s="143"/>
      <c r="BL381" s="143"/>
      <c r="BM381" s="143"/>
      <c r="BN381" s="143"/>
      <c r="BO381" s="143"/>
      <c r="BP381" s="143"/>
      <c r="BQ381" s="143"/>
      <c r="BR381" s="143"/>
      <c r="BS381" s="143"/>
      <c r="BT381" s="143"/>
      <c r="BU381" s="143"/>
      <c r="BV381" s="143"/>
      <c r="BW381" s="143"/>
      <c r="BX381" s="143"/>
      <c r="BY381" s="143"/>
      <c r="BZ381" s="143"/>
      <c r="CA381" s="143"/>
      <c r="CB381" s="143"/>
      <c r="CC381" s="143"/>
      <c r="CD381" s="143"/>
      <c r="CE381" s="143"/>
      <c r="CF381" s="143"/>
      <c r="CG381" s="143"/>
      <c r="CH381" s="143"/>
      <c r="CI381" s="143"/>
      <c r="CJ381" s="143"/>
      <c r="CK381" s="143"/>
      <c r="CL381" s="143"/>
      <c r="CM381" s="143"/>
      <c r="CN381" s="143"/>
      <c r="CO381" s="143"/>
      <c r="CP381" s="143"/>
      <c r="CQ381" s="143"/>
      <c r="CR381" s="143"/>
      <c r="CS381" s="143"/>
      <c r="CT381" s="143"/>
      <c r="CU381" s="143"/>
      <c r="CV381" s="143"/>
      <c r="CW381" s="143"/>
      <c r="CX381" s="143"/>
      <c r="CY381" s="143"/>
      <c r="CZ381" s="143"/>
      <c r="DA381" s="143"/>
      <c r="DB381" s="143"/>
      <c r="DC381" s="143"/>
      <c r="DD381" s="143"/>
      <c r="DE381" s="143"/>
      <c r="DF381" s="143"/>
      <c r="DG381" s="143"/>
      <c r="DH381" s="143"/>
      <c r="DI381" s="143"/>
      <c r="DJ381" s="143"/>
      <c r="DK381" s="143"/>
      <c r="DL381" s="143"/>
      <c r="DM381" s="143"/>
      <c r="DN381" s="143"/>
      <c r="DO381" s="143"/>
      <c r="DP381" s="143"/>
      <c r="DQ381" s="143"/>
      <c r="DR381" s="143"/>
      <c r="DS381" s="143"/>
      <c r="DT381" s="143"/>
      <c r="DU381" s="143"/>
      <c r="DV381" s="143"/>
      <c r="DW381" s="143"/>
      <c r="DX381" s="143"/>
      <c r="DY381" s="143"/>
      <c r="DZ381" s="143"/>
      <c r="EA381" s="143"/>
      <c r="EB381" s="143"/>
      <c r="EC381" s="143"/>
      <c r="ED381" s="143"/>
      <c r="EE381" s="143"/>
      <c r="EF381" s="143"/>
      <c r="EG381" s="143"/>
    </row>
    <row r="382" spans="1:137" s="760" customFormat="1" ht="28.8" x14ac:dyDescent="0.3">
      <c r="A382" s="143" t="s">
        <v>264</v>
      </c>
      <c r="B382" s="421" t="s">
        <v>280</v>
      </c>
      <c r="C382" s="762" t="s">
        <v>492</v>
      </c>
      <c r="D382" s="223" t="s">
        <v>34</v>
      </c>
      <c r="E382" s="223" t="s">
        <v>282</v>
      </c>
      <c r="F382" s="1350" t="s">
        <v>285</v>
      </c>
      <c r="G382" s="763">
        <v>1.95</v>
      </c>
      <c r="H382" s="764">
        <v>54976.21</v>
      </c>
      <c r="I382" s="757" t="s">
        <v>267</v>
      </c>
      <c r="J382" s="756">
        <v>54976.21</v>
      </c>
      <c r="K382" s="1610">
        <v>0</v>
      </c>
      <c r="L382" s="1610">
        <v>0</v>
      </c>
      <c r="M382" s="755" t="s">
        <v>58</v>
      </c>
      <c r="N382" s="755" t="s">
        <v>493</v>
      </c>
      <c r="O382" s="755" t="s">
        <v>494</v>
      </c>
      <c r="P382" s="155" t="s">
        <v>40</v>
      </c>
      <c r="Q382" s="156"/>
      <c r="R382" s="155" t="s">
        <v>64</v>
      </c>
      <c r="S382" s="156"/>
      <c r="T382" s="155"/>
      <c r="U382" s="156"/>
      <c r="V382" s="155" t="s">
        <v>40</v>
      </c>
      <c r="W382" s="156"/>
      <c r="X382" s="155" t="s">
        <v>40</v>
      </c>
      <c r="Y382" s="156"/>
      <c r="Z382" s="155" t="s">
        <v>64</v>
      </c>
      <c r="AA382" s="156"/>
      <c r="AB382" s="155" t="s">
        <v>40</v>
      </c>
      <c r="AC382" s="156"/>
      <c r="AD382" s="156"/>
      <c r="AE382" s="1527">
        <v>46203</v>
      </c>
      <c r="AF382" s="411" t="s">
        <v>247</v>
      </c>
      <c r="AG382" s="412">
        <v>2023</v>
      </c>
      <c r="AH382" s="758">
        <v>272027.77</v>
      </c>
      <c r="AI382" s="766" t="s">
        <v>495</v>
      </c>
      <c r="AJ382" s="759"/>
      <c r="AK382" s="420" t="s">
        <v>43</v>
      </c>
      <c r="AL382" s="421" t="s">
        <v>41</v>
      </c>
      <c r="AM382" s="416">
        <v>0</v>
      </c>
      <c r="AN382" s="422" t="s">
        <v>40</v>
      </c>
      <c r="AO382" s="165"/>
      <c r="AP382" s="165"/>
      <c r="AQ382" s="165"/>
      <c r="AR382" s="165"/>
      <c r="AS382" s="165"/>
      <c r="AT382" s="315"/>
      <c r="AU382" s="143"/>
      <c r="AV382" s="143"/>
      <c r="AW382" s="143"/>
      <c r="AX382" s="143"/>
      <c r="AY382" s="143"/>
      <c r="AZ382" s="143"/>
      <c r="BA382" s="143"/>
      <c r="BB382" s="143"/>
      <c r="BC382" s="143"/>
      <c r="BD382" s="143"/>
      <c r="BE382" s="143"/>
      <c r="BF382" s="143"/>
      <c r="BG382" s="143"/>
      <c r="BH382" s="143"/>
      <c r="BI382" s="143"/>
      <c r="BJ382" s="143"/>
      <c r="BK382" s="143"/>
      <c r="BL382" s="143"/>
      <c r="BM382" s="143"/>
      <c r="BN382" s="143"/>
      <c r="BO382" s="143"/>
      <c r="BP382" s="143"/>
      <c r="BQ382" s="143"/>
      <c r="BR382" s="143"/>
      <c r="BS382" s="143"/>
      <c r="BT382" s="143"/>
      <c r="BU382" s="143"/>
      <c r="BV382" s="143"/>
      <c r="BW382" s="143"/>
      <c r="BX382" s="143"/>
      <c r="BY382" s="143"/>
      <c r="BZ382" s="143"/>
      <c r="CA382" s="143"/>
      <c r="CB382" s="143"/>
      <c r="CC382" s="143"/>
      <c r="CD382" s="143"/>
      <c r="CE382" s="143"/>
      <c r="CF382" s="143"/>
      <c r="CG382" s="143"/>
      <c r="CH382" s="143"/>
      <c r="CI382" s="143"/>
      <c r="CJ382" s="143"/>
      <c r="CK382" s="143"/>
      <c r="CL382" s="143"/>
      <c r="CM382" s="143"/>
      <c r="CN382" s="143"/>
      <c r="CO382" s="143"/>
      <c r="CP382" s="143"/>
      <c r="CQ382" s="143"/>
      <c r="CR382" s="143"/>
      <c r="CS382" s="143"/>
      <c r="CT382" s="143"/>
      <c r="CU382" s="143"/>
      <c r="CV382" s="143"/>
      <c r="CW382" s="143"/>
      <c r="CX382" s="143"/>
      <c r="CY382" s="143"/>
      <c r="CZ382" s="143"/>
      <c r="DA382" s="143"/>
      <c r="DB382" s="143"/>
      <c r="DC382" s="143"/>
      <c r="DD382" s="143"/>
      <c r="DE382" s="143"/>
      <c r="DF382" s="143"/>
      <c r="DG382" s="143"/>
      <c r="DH382" s="143"/>
      <c r="DI382" s="143"/>
      <c r="DJ382" s="143"/>
      <c r="DK382" s="143"/>
      <c r="DL382" s="143"/>
      <c r="DM382" s="143"/>
      <c r="DN382" s="143"/>
      <c r="DO382" s="143"/>
      <c r="DP382" s="143"/>
      <c r="DQ382" s="143"/>
      <c r="DR382" s="143"/>
      <c r="DS382" s="143"/>
      <c r="DT382" s="143"/>
      <c r="DU382" s="143"/>
      <c r="DV382" s="143"/>
      <c r="DW382" s="143"/>
      <c r="DX382" s="143"/>
      <c r="DY382" s="143"/>
      <c r="DZ382" s="143"/>
      <c r="EA382" s="143"/>
      <c r="EB382" s="143"/>
      <c r="EC382" s="143"/>
      <c r="ED382" s="143"/>
      <c r="EE382" s="143"/>
      <c r="EF382" s="143"/>
      <c r="EG382" s="143"/>
    </row>
    <row r="383" spans="1:137" s="760" customFormat="1" ht="28.8" x14ac:dyDescent="0.3">
      <c r="A383" s="143" t="s">
        <v>264</v>
      </c>
      <c r="B383" s="421" t="s">
        <v>280</v>
      </c>
      <c r="C383" s="762" t="s">
        <v>496</v>
      </c>
      <c r="D383" s="223" t="s">
        <v>34</v>
      </c>
      <c r="E383" s="223" t="s">
        <v>282</v>
      </c>
      <c r="F383" s="1350" t="s">
        <v>285</v>
      </c>
      <c r="G383" s="763">
        <v>4</v>
      </c>
      <c r="H383" s="764">
        <v>88514.42</v>
      </c>
      <c r="I383" s="757" t="s">
        <v>267</v>
      </c>
      <c r="J383" s="756">
        <v>88514.42</v>
      </c>
      <c r="K383" s="1610">
        <v>0</v>
      </c>
      <c r="L383" s="1610">
        <v>0</v>
      </c>
      <c r="M383" s="755" t="s">
        <v>73</v>
      </c>
      <c r="N383" s="755" t="s">
        <v>497</v>
      </c>
      <c r="O383" s="755" t="s">
        <v>498</v>
      </c>
      <c r="P383" s="155" t="s">
        <v>40</v>
      </c>
      <c r="Q383" s="156"/>
      <c r="R383" s="155" t="s">
        <v>64</v>
      </c>
      <c r="S383" s="156"/>
      <c r="T383" s="155"/>
      <c r="U383" s="156"/>
      <c r="V383" s="155" t="s">
        <v>40</v>
      </c>
      <c r="W383" s="156"/>
      <c r="X383" s="155" t="s">
        <v>40</v>
      </c>
      <c r="Y383" s="156"/>
      <c r="Z383" s="155" t="s">
        <v>64</v>
      </c>
      <c r="AA383" s="156"/>
      <c r="AB383" s="155" t="s">
        <v>40</v>
      </c>
      <c r="AC383" s="156"/>
      <c r="AD383" s="156"/>
      <c r="AE383" s="1527">
        <v>46203</v>
      </c>
      <c r="AF383" s="411" t="s">
        <v>247</v>
      </c>
      <c r="AG383" s="412">
        <v>2023</v>
      </c>
      <c r="AH383" s="758">
        <v>437978.20160199999</v>
      </c>
      <c r="AI383" s="766" t="s">
        <v>499</v>
      </c>
      <c r="AJ383" s="759"/>
      <c r="AK383" s="420" t="s">
        <v>43</v>
      </c>
      <c r="AL383" s="421" t="s">
        <v>41</v>
      </c>
      <c r="AM383" s="416">
        <v>0</v>
      </c>
      <c r="AN383" s="422" t="s">
        <v>40</v>
      </c>
      <c r="AO383" s="165"/>
      <c r="AP383" s="165"/>
      <c r="AQ383" s="165"/>
      <c r="AR383" s="165"/>
      <c r="AS383" s="165"/>
      <c r="AT383" s="315"/>
      <c r="AU383" s="143"/>
      <c r="AV383" s="143"/>
      <c r="AW383" s="143"/>
      <c r="AX383" s="143"/>
      <c r="AY383" s="143"/>
      <c r="AZ383" s="143"/>
      <c r="BA383" s="143"/>
      <c r="BB383" s="143"/>
      <c r="BC383" s="143"/>
      <c r="BD383" s="143"/>
      <c r="BE383" s="143"/>
      <c r="BF383" s="143"/>
      <c r="BG383" s="143"/>
      <c r="BH383" s="143"/>
      <c r="BI383" s="143"/>
      <c r="BJ383" s="143"/>
      <c r="BK383" s="143"/>
      <c r="BL383" s="143"/>
      <c r="BM383" s="143"/>
      <c r="BN383" s="143"/>
      <c r="BO383" s="143"/>
      <c r="BP383" s="143"/>
      <c r="BQ383" s="143"/>
      <c r="BR383" s="143"/>
      <c r="BS383" s="143"/>
      <c r="BT383" s="143"/>
      <c r="BU383" s="143"/>
      <c r="BV383" s="143"/>
      <c r="BW383" s="143"/>
      <c r="BX383" s="143"/>
      <c r="BY383" s="143"/>
      <c r="BZ383" s="143"/>
      <c r="CA383" s="143"/>
      <c r="CB383" s="143"/>
      <c r="CC383" s="143"/>
      <c r="CD383" s="143"/>
      <c r="CE383" s="143"/>
      <c r="CF383" s="143"/>
      <c r="CG383" s="143"/>
      <c r="CH383" s="143"/>
      <c r="CI383" s="143"/>
      <c r="CJ383" s="143"/>
      <c r="CK383" s="143"/>
      <c r="CL383" s="143"/>
      <c r="CM383" s="143"/>
      <c r="CN383" s="143"/>
      <c r="CO383" s="143"/>
      <c r="CP383" s="143"/>
      <c r="CQ383" s="143"/>
      <c r="CR383" s="143"/>
      <c r="CS383" s="143"/>
      <c r="CT383" s="143"/>
      <c r="CU383" s="143"/>
      <c r="CV383" s="143"/>
      <c r="CW383" s="143"/>
      <c r="CX383" s="143"/>
      <c r="CY383" s="143"/>
      <c r="CZ383" s="143"/>
      <c r="DA383" s="143"/>
      <c r="DB383" s="143"/>
      <c r="DC383" s="143"/>
      <c r="DD383" s="143"/>
      <c r="DE383" s="143"/>
      <c r="DF383" s="143"/>
      <c r="DG383" s="143"/>
      <c r="DH383" s="143"/>
      <c r="DI383" s="143"/>
      <c r="DJ383" s="143"/>
      <c r="DK383" s="143"/>
      <c r="DL383" s="143"/>
      <c r="DM383" s="143"/>
      <c r="DN383" s="143"/>
      <c r="DO383" s="143"/>
      <c r="DP383" s="143"/>
      <c r="DQ383" s="143"/>
      <c r="DR383" s="143"/>
      <c r="DS383" s="143"/>
      <c r="DT383" s="143"/>
      <c r="DU383" s="143"/>
      <c r="DV383" s="143"/>
      <c r="DW383" s="143"/>
      <c r="DX383" s="143"/>
      <c r="DY383" s="143"/>
      <c r="DZ383" s="143"/>
      <c r="EA383" s="143"/>
      <c r="EB383" s="143"/>
      <c r="EC383" s="143"/>
      <c r="ED383" s="143"/>
      <c r="EE383" s="143"/>
      <c r="EF383" s="143"/>
      <c r="EG383" s="143"/>
    </row>
    <row r="384" spans="1:137" s="760" customFormat="1" ht="28.8" x14ac:dyDescent="0.3">
      <c r="A384" s="143" t="s">
        <v>264</v>
      </c>
      <c r="B384" s="421" t="s">
        <v>280</v>
      </c>
      <c r="C384" s="762" t="s">
        <v>500</v>
      </c>
      <c r="D384" s="223" t="s">
        <v>34</v>
      </c>
      <c r="E384" s="223" t="s">
        <v>282</v>
      </c>
      <c r="F384" s="1350" t="s">
        <v>285</v>
      </c>
      <c r="G384" s="763">
        <v>4</v>
      </c>
      <c r="H384" s="764">
        <v>62526.8</v>
      </c>
      <c r="I384" s="757" t="s">
        <v>267</v>
      </c>
      <c r="J384" s="756">
        <v>62526.8</v>
      </c>
      <c r="K384" s="1610">
        <f>34138.8</f>
        <v>34138.800000000003</v>
      </c>
      <c r="L384" s="1610">
        <f>34138.8</f>
        <v>34138.800000000003</v>
      </c>
      <c r="M384" s="755" t="s">
        <v>303</v>
      </c>
      <c r="N384" s="755" t="s">
        <v>501</v>
      </c>
      <c r="O384" s="755" t="s">
        <v>502</v>
      </c>
      <c r="P384" s="155" t="s">
        <v>40</v>
      </c>
      <c r="Q384" s="156"/>
      <c r="R384" s="155" t="s">
        <v>64</v>
      </c>
      <c r="S384" s="156"/>
      <c r="T384" s="155"/>
      <c r="U384" s="156"/>
      <c r="V384" s="155" t="s">
        <v>40</v>
      </c>
      <c r="W384" s="156"/>
      <c r="X384" s="155" t="s">
        <v>40</v>
      </c>
      <c r="Y384" s="156"/>
      <c r="Z384" s="155" t="s">
        <v>64</v>
      </c>
      <c r="AA384" s="156"/>
      <c r="AB384" s="155" t="s">
        <v>40</v>
      </c>
      <c r="AC384" s="156"/>
      <c r="AD384" s="156"/>
      <c r="AE384" s="1527">
        <v>46203</v>
      </c>
      <c r="AF384" s="411" t="s">
        <v>247</v>
      </c>
      <c r="AG384" s="412">
        <v>2023</v>
      </c>
      <c r="AH384" s="758">
        <v>309388.85908000002</v>
      </c>
      <c r="AI384" s="766" t="s">
        <v>503</v>
      </c>
      <c r="AJ384" s="759"/>
      <c r="AK384" s="420" t="s">
        <v>43</v>
      </c>
      <c r="AL384" s="421" t="s">
        <v>41</v>
      </c>
      <c r="AM384" s="416">
        <v>0</v>
      </c>
      <c r="AN384" s="422" t="s">
        <v>40</v>
      </c>
      <c r="AO384" s="165"/>
      <c r="AP384" s="165"/>
      <c r="AQ384" s="165"/>
      <c r="AR384" s="165"/>
      <c r="AS384" s="165"/>
      <c r="AT384" s="315"/>
      <c r="AU384" s="143"/>
      <c r="AV384" s="143"/>
      <c r="AW384" s="143"/>
      <c r="AX384" s="143"/>
      <c r="AY384" s="143"/>
      <c r="AZ384" s="143"/>
      <c r="BA384" s="143"/>
      <c r="BB384" s="143"/>
      <c r="BC384" s="143"/>
      <c r="BD384" s="143"/>
      <c r="BE384" s="143"/>
      <c r="BF384" s="143"/>
      <c r="BG384" s="143"/>
      <c r="BH384" s="143"/>
      <c r="BI384" s="143"/>
      <c r="BJ384" s="143"/>
      <c r="BK384" s="143"/>
      <c r="BL384" s="143"/>
      <c r="BM384" s="143"/>
      <c r="BN384" s="143"/>
      <c r="BO384" s="143"/>
      <c r="BP384" s="143"/>
      <c r="BQ384" s="143"/>
      <c r="BR384" s="143"/>
      <c r="BS384" s="143"/>
      <c r="BT384" s="143"/>
      <c r="BU384" s="143"/>
      <c r="BV384" s="143"/>
      <c r="BW384" s="143"/>
      <c r="BX384" s="143"/>
      <c r="BY384" s="143"/>
      <c r="BZ384" s="143"/>
      <c r="CA384" s="143"/>
      <c r="CB384" s="143"/>
      <c r="CC384" s="143"/>
      <c r="CD384" s="143"/>
      <c r="CE384" s="143"/>
      <c r="CF384" s="143"/>
      <c r="CG384" s="143"/>
      <c r="CH384" s="143"/>
      <c r="CI384" s="143"/>
      <c r="CJ384" s="143"/>
      <c r="CK384" s="143"/>
      <c r="CL384" s="143"/>
      <c r="CM384" s="143"/>
      <c r="CN384" s="143"/>
      <c r="CO384" s="143"/>
      <c r="CP384" s="143"/>
      <c r="CQ384" s="143"/>
      <c r="CR384" s="143"/>
      <c r="CS384" s="143"/>
      <c r="CT384" s="143"/>
      <c r="CU384" s="143"/>
      <c r="CV384" s="143"/>
      <c r="CW384" s="143"/>
      <c r="CX384" s="143"/>
      <c r="CY384" s="143"/>
      <c r="CZ384" s="143"/>
      <c r="DA384" s="143"/>
      <c r="DB384" s="143"/>
      <c r="DC384" s="143"/>
      <c r="DD384" s="143"/>
      <c r="DE384" s="143"/>
      <c r="DF384" s="143"/>
      <c r="DG384" s="143"/>
      <c r="DH384" s="143"/>
      <c r="DI384" s="143"/>
      <c r="DJ384" s="143"/>
      <c r="DK384" s="143"/>
      <c r="DL384" s="143"/>
      <c r="DM384" s="143"/>
      <c r="DN384" s="143"/>
      <c r="DO384" s="143"/>
      <c r="DP384" s="143"/>
      <c r="DQ384" s="143"/>
      <c r="DR384" s="143"/>
      <c r="DS384" s="143"/>
      <c r="DT384" s="143"/>
      <c r="DU384" s="143"/>
      <c r="DV384" s="143"/>
      <c r="DW384" s="143"/>
      <c r="DX384" s="143"/>
      <c r="DY384" s="143"/>
      <c r="DZ384" s="143"/>
      <c r="EA384" s="143"/>
      <c r="EB384" s="143"/>
      <c r="EC384" s="143"/>
      <c r="ED384" s="143"/>
      <c r="EE384" s="143"/>
      <c r="EF384" s="143"/>
      <c r="EG384" s="143"/>
    </row>
    <row r="385" spans="1:137" s="760" customFormat="1" ht="28.8" x14ac:dyDescent="0.3">
      <c r="A385" s="143" t="s">
        <v>264</v>
      </c>
      <c r="B385" s="421" t="s">
        <v>280</v>
      </c>
      <c r="C385" s="762" t="s">
        <v>504</v>
      </c>
      <c r="D385" s="223" t="s">
        <v>34</v>
      </c>
      <c r="E385" s="223" t="s">
        <v>282</v>
      </c>
      <c r="F385" s="1350" t="s">
        <v>285</v>
      </c>
      <c r="G385" s="763">
        <v>0.59519999999999995</v>
      </c>
      <c r="H385" s="764">
        <v>14516.82</v>
      </c>
      <c r="I385" s="757" t="s">
        <v>267</v>
      </c>
      <c r="J385" s="756">
        <v>14516.82</v>
      </c>
      <c r="K385" s="1610">
        <v>0</v>
      </c>
      <c r="L385" s="1610">
        <v>0</v>
      </c>
      <c r="M385" s="755" t="s">
        <v>303</v>
      </c>
      <c r="N385" s="755" t="s">
        <v>505</v>
      </c>
      <c r="O385" s="755" t="s">
        <v>506</v>
      </c>
      <c r="P385" s="155" t="s">
        <v>40</v>
      </c>
      <c r="Q385" s="156"/>
      <c r="R385" s="155" t="s">
        <v>64</v>
      </c>
      <c r="S385" s="156"/>
      <c r="T385" s="155"/>
      <c r="U385" s="156"/>
      <c r="V385" s="155" t="s">
        <v>40</v>
      </c>
      <c r="W385" s="156"/>
      <c r="X385" s="155" t="s">
        <v>40</v>
      </c>
      <c r="Y385" s="156"/>
      <c r="Z385" s="155" t="s">
        <v>64</v>
      </c>
      <c r="AA385" s="156"/>
      <c r="AB385" s="155" t="s">
        <v>40</v>
      </c>
      <c r="AC385" s="156"/>
      <c r="AD385" s="156"/>
      <c r="AE385" s="1527">
        <v>46203</v>
      </c>
      <c r="AF385" s="411" t="s">
        <v>247</v>
      </c>
      <c r="AG385" s="412">
        <v>2023</v>
      </c>
      <c r="AH385" s="758">
        <v>71830.7</v>
      </c>
      <c r="AI385" s="766" t="s">
        <v>507</v>
      </c>
      <c r="AJ385" s="759"/>
      <c r="AK385" s="420" t="s">
        <v>43</v>
      </c>
      <c r="AL385" s="421" t="s">
        <v>41</v>
      </c>
      <c r="AM385" s="416">
        <v>0</v>
      </c>
      <c r="AN385" s="422" t="s">
        <v>40</v>
      </c>
      <c r="AO385" s="165"/>
      <c r="AP385" s="165"/>
      <c r="AQ385" s="165"/>
      <c r="AR385" s="165"/>
      <c r="AS385" s="165"/>
      <c r="AT385" s="315"/>
      <c r="AU385" s="143"/>
      <c r="AV385" s="143"/>
      <c r="AW385" s="143"/>
      <c r="AX385" s="143"/>
      <c r="AY385" s="143"/>
      <c r="AZ385" s="143"/>
      <c r="BA385" s="143"/>
      <c r="BB385" s="143"/>
      <c r="BC385" s="143"/>
      <c r="BD385" s="143"/>
      <c r="BE385" s="143"/>
      <c r="BF385" s="143"/>
      <c r="BG385" s="143"/>
      <c r="BH385" s="143"/>
      <c r="BI385" s="143"/>
      <c r="BJ385" s="143"/>
      <c r="BK385" s="143"/>
      <c r="BL385" s="143"/>
      <c r="BM385" s="143"/>
      <c r="BN385" s="143"/>
      <c r="BO385" s="143"/>
      <c r="BP385" s="143"/>
      <c r="BQ385" s="143"/>
      <c r="BR385" s="143"/>
      <c r="BS385" s="143"/>
      <c r="BT385" s="143"/>
      <c r="BU385" s="143"/>
      <c r="BV385" s="143"/>
      <c r="BW385" s="143"/>
      <c r="BX385" s="143"/>
      <c r="BY385" s="143"/>
      <c r="BZ385" s="143"/>
      <c r="CA385" s="143"/>
      <c r="CB385" s="143"/>
      <c r="CC385" s="143"/>
      <c r="CD385" s="143"/>
      <c r="CE385" s="143"/>
      <c r="CF385" s="143"/>
      <c r="CG385" s="143"/>
      <c r="CH385" s="143"/>
      <c r="CI385" s="143"/>
      <c r="CJ385" s="143"/>
      <c r="CK385" s="143"/>
      <c r="CL385" s="143"/>
      <c r="CM385" s="143"/>
      <c r="CN385" s="143"/>
      <c r="CO385" s="143"/>
      <c r="CP385" s="143"/>
      <c r="CQ385" s="143"/>
      <c r="CR385" s="143"/>
      <c r="CS385" s="143"/>
      <c r="CT385" s="143"/>
      <c r="CU385" s="143"/>
      <c r="CV385" s="143"/>
      <c r="CW385" s="143"/>
      <c r="CX385" s="143"/>
      <c r="CY385" s="143"/>
      <c r="CZ385" s="143"/>
      <c r="DA385" s="143"/>
      <c r="DB385" s="143"/>
      <c r="DC385" s="143"/>
      <c r="DD385" s="143"/>
      <c r="DE385" s="143"/>
      <c r="DF385" s="143"/>
      <c r="DG385" s="143"/>
      <c r="DH385" s="143"/>
      <c r="DI385" s="143"/>
      <c r="DJ385" s="143"/>
      <c r="DK385" s="143"/>
      <c r="DL385" s="143"/>
      <c r="DM385" s="143"/>
      <c r="DN385" s="143"/>
      <c r="DO385" s="143"/>
      <c r="DP385" s="143"/>
      <c r="DQ385" s="143"/>
      <c r="DR385" s="143"/>
      <c r="DS385" s="143"/>
      <c r="DT385" s="143"/>
      <c r="DU385" s="143"/>
      <c r="DV385" s="143"/>
      <c r="DW385" s="143"/>
      <c r="DX385" s="143"/>
      <c r="DY385" s="143"/>
      <c r="DZ385" s="143"/>
      <c r="EA385" s="143"/>
      <c r="EB385" s="143"/>
      <c r="EC385" s="143"/>
      <c r="ED385" s="143"/>
      <c r="EE385" s="143"/>
      <c r="EF385" s="143"/>
      <c r="EG385" s="143"/>
    </row>
    <row r="386" spans="1:137" s="760" customFormat="1" ht="28.8" x14ac:dyDescent="0.3">
      <c r="A386" s="143" t="s">
        <v>264</v>
      </c>
      <c r="B386" s="421" t="s">
        <v>280</v>
      </c>
      <c r="C386" s="762" t="s">
        <v>508</v>
      </c>
      <c r="D386" s="223" t="s">
        <v>34</v>
      </c>
      <c r="E386" s="223" t="s">
        <v>282</v>
      </c>
      <c r="F386" s="1350" t="s">
        <v>285</v>
      </c>
      <c r="G386" s="763">
        <v>0.51119999999999999</v>
      </c>
      <c r="H386" s="764">
        <v>12978.69</v>
      </c>
      <c r="I386" s="757" t="s">
        <v>267</v>
      </c>
      <c r="J386" s="756">
        <v>12978.69</v>
      </c>
      <c r="K386" s="1610">
        <v>0</v>
      </c>
      <c r="L386" s="1610">
        <v>0</v>
      </c>
      <c r="M386" s="755" t="s">
        <v>303</v>
      </c>
      <c r="N386" s="755" t="s">
        <v>505</v>
      </c>
      <c r="O386" s="755" t="s">
        <v>509</v>
      </c>
      <c r="P386" s="155" t="s">
        <v>40</v>
      </c>
      <c r="Q386" s="156"/>
      <c r="R386" s="155" t="s">
        <v>64</v>
      </c>
      <c r="S386" s="156"/>
      <c r="T386" s="155"/>
      <c r="U386" s="156"/>
      <c r="V386" s="155" t="s">
        <v>40</v>
      </c>
      <c r="W386" s="156"/>
      <c r="X386" s="155" t="s">
        <v>40</v>
      </c>
      <c r="Y386" s="156"/>
      <c r="Z386" s="155" t="s">
        <v>64</v>
      </c>
      <c r="AA386" s="156"/>
      <c r="AB386" s="155" t="s">
        <v>40</v>
      </c>
      <c r="AC386" s="156"/>
      <c r="AD386" s="156"/>
      <c r="AE386" s="1527">
        <v>46203</v>
      </c>
      <c r="AF386" s="411" t="s">
        <v>247</v>
      </c>
      <c r="AG386" s="412">
        <v>2023</v>
      </c>
      <c r="AH386" s="758">
        <v>64219.87</v>
      </c>
      <c r="AI386" s="766" t="s">
        <v>510</v>
      </c>
      <c r="AJ386" s="759"/>
      <c r="AK386" s="420" t="s">
        <v>43</v>
      </c>
      <c r="AL386" s="421" t="s">
        <v>41</v>
      </c>
      <c r="AM386" s="416">
        <v>0</v>
      </c>
      <c r="AN386" s="422" t="s">
        <v>40</v>
      </c>
      <c r="AO386" s="165"/>
      <c r="AP386" s="165"/>
      <c r="AQ386" s="165"/>
      <c r="AR386" s="165"/>
      <c r="AS386" s="165"/>
      <c r="AT386" s="315"/>
      <c r="AU386" s="143"/>
      <c r="AV386" s="143"/>
      <c r="AW386" s="143"/>
      <c r="AX386" s="143"/>
      <c r="AY386" s="143"/>
      <c r="AZ386" s="143"/>
      <c r="BA386" s="143"/>
      <c r="BB386" s="143"/>
      <c r="BC386" s="143"/>
      <c r="BD386" s="143"/>
      <c r="BE386" s="143"/>
      <c r="BF386" s="143"/>
      <c r="BG386" s="143"/>
      <c r="BH386" s="143"/>
      <c r="BI386" s="143"/>
      <c r="BJ386" s="143"/>
      <c r="BK386" s="143"/>
      <c r="BL386" s="143"/>
      <c r="BM386" s="143"/>
      <c r="BN386" s="143"/>
      <c r="BO386" s="143"/>
      <c r="BP386" s="143"/>
      <c r="BQ386" s="143"/>
      <c r="BR386" s="143"/>
      <c r="BS386" s="143"/>
      <c r="BT386" s="143"/>
      <c r="BU386" s="143"/>
      <c r="BV386" s="143"/>
      <c r="BW386" s="143"/>
      <c r="BX386" s="143"/>
      <c r="BY386" s="143"/>
      <c r="BZ386" s="143"/>
      <c r="CA386" s="143"/>
      <c r="CB386" s="143"/>
      <c r="CC386" s="143"/>
      <c r="CD386" s="143"/>
      <c r="CE386" s="143"/>
      <c r="CF386" s="143"/>
      <c r="CG386" s="143"/>
      <c r="CH386" s="143"/>
      <c r="CI386" s="143"/>
      <c r="CJ386" s="143"/>
      <c r="CK386" s="143"/>
      <c r="CL386" s="143"/>
      <c r="CM386" s="143"/>
      <c r="CN386" s="143"/>
      <c r="CO386" s="143"/>
      <c r="CP386" s="143"/>
      <c r="CQ386" s="143"/>
      <c r="CR386" s="143"/>
      <c r="CS386" s="143"/>
      <c r="CT386" s="143"/>
      <c r="CU386" s="143"/>
      <c r="CV386" s="143"/>
      <c r="CW386" s="143"/>
      <c r="CX386" s="143"/>
      <c r="CY386" s="143"/>
      <c r="CZ386" s="143"/>
      <c r="DA386" s="143"/>
      <c r="DB386" s="143"/>
      <c r="DC386" s="143"/>
      <c r="DD386" s="143"/>
      <c r="DE386" s="143"/>
      <c r="DF386" s="143"/>
      <c r="DG386" s="143"/>
      <c r="DH386" s="143"/>
      <c r="DI386" s="143"/>
      <c r="DJ386" s="143"/>
      <c r="DK386" s="143"/>
      <c r="DL386" s="143"/>
      <c r="DM386" s="143"/>
      <c r="DN386" s="143"/>
      <c r="DO386" s="143"/>
      <c r="DP386" s="143"/>
      <c r="DQ386" s="143"/>
      <c r="DR386" s="143"/>
      <c r="DS386" s="143"/>
      <c r="DT386" s="143"/>
      <c r="DU386" s="143"/>
      <c r="DV386" s="143"/>
      <c r="DW386" s="143"/>
      <c r="DX386" s="143"/>
      <c r="DY386" s="143"/>
      <c r="DZ386" s="143"/>
      <c r="EA386" s="143"/>
      <c r="EB386" s="143"/>
      <c r="EC386" s="143"/>
      <c r="ED386" s="143"/>
      <c r="EE386" s="143"/>
      <c r="EF386" s="143"/>
      <c r="EG386" s="143"/>
    </row>
    <row r="387" spans="1:137" s="760" customFormat="1" ht="28.8" x14ac:dyDescent="0.3">
      <c r="A387" s="143" t="s">
        <v>264</v>
      </c>
      <c r="B387" s="421" t="s">
        <v>280</v>
      </c>
      <c r="C387" s="762" t="s">
        <v>511</v>
      </c>
      <c r="D387" s="223" t="s">
        <v>34</v>
      </c>
      <c r="E387" s="223" t="s">
        <v>282</v>
      </c>
      <c r="F387" s="1350" t="s">
        <v>285</v>
      </c>
      <c r="G387" s="763">
        <v>1.0083</v>
      </c>
      <c r="H387" s="764">
        <v>28192.39</v>
      </c>
      <c r="I387" s="757" t="s">
        <v>267</v>
      </c>
      <c r="J387" s="756">
        <v>28192.39</v>
      </c>
      <c r="K387" s="1400">
        <f>21037</f>
        <v>21037</v>
      </c>
      <c r="L387" s="1400">
        <f>21037</f>
        <v>21037</v>
      </c>
      <c r="M387" s="755" t="s">
        <v>303</v>
      </c>
      <c r="N387" s="755" t="s">
        <v>505</v>
      </c>
      <c r="O387" s="755" t="s">
        <v>512</v>
      </c>
      <c r="P387" s="155" t="s">
        <v>40</v>
      </c>
      <c r="Q387" s="156"/>
      <c r="R387" s="155" t="s">
        <v>64</v>
      </c>
      <c r="S387" s="156"/>
      <c r="T387" s="155"/>
      <c r="U387" s="156"/>
      <c r="V387" s="155" t="s">
        <v>40</v>
      </c>
      <c r="W387" s="156"/>
      <c r="X387" s="155" t="s">
        <v>40</v>
      </c>
      <c r="Y387" s="156"/>
      <c r="Z387" s="155" t="s">
        <v>64</v>
      </c>
      <c r="AA387" s="156"/>
      <c r="AB387" s="155" t="s">
        <v>40</v>
      </c>
      <c r="AC387" s="156"/>
      <c r="AD387" s="156"/>
      <c r="AE387" s="1527">
        <v>46203</v>
      </c>
      <c r="AF387" s="411" t="s">
        <v>247</v>
      </c>
      <c r="AG387" s="412">
        <v>2023</v>
      </c>
      <c r="AH387" s="758">
        <v>139498.76495899999</v>
      </c>
      <c r="AI387" s="766" t="s">
        <v>513</v>
      </c>
      <c r="AJ387" s="759"/>
      <c r="AK387" s="420" t="s">
        <v>43</v>
      </c>
      <c r="AL387" s="421" t="s">
        <v>41</v>
      </c>
      <c r="AM387" s="416">
        <v>0</v>
      </c>
      <c r="AN387" s="422" t="s">
        <v>40</v>
      </c>
      <c r="AO387" s="165"/>
      <c r="AP387" s="165"/>
      <c r="AQ387" s="165"/>
      <c r="AR387" s="165"/>
      <c r="AS387" s="165"/>
      <c r="AT387" s="315"/>
      <c r="AU387" s="143"/>
      <c r="AV387" s="143"/>
      <c r="AW387" s="143"/>
      <c r="AX387" s="143"/>
      <c r="AY387" s="143"/>
      <c r="AZ387" s="143"/>
      <c r="BA387" s="143"/>
      <c r="BB387" s="143"/>
      <c r="BC387" s="143"/>
      <c r="BD387" s="143"/>
      <c r="BE387" s="143"/>
      <c r="BF387" s="143"/>
      <c r="BG387" s="143"/>
      <c r="BH387" s="143"/>
      <c r="BI387" s="143"/>
      <c r="BJ387" s="143"/>
      <c r="BK387" s="143"/>
      <c r="BL387" s="143"/>
      <c r="BM387" s="143"/>
      <c r="BN387" s="143"/>
      <c r="BO387" s="143"/>
      <c r="BP387" s="143"/>
      <c r="BQ387" s="143"/>
      <c r="BR387" s="143"/>
      <c r="BS387" s="143"/>
      <c r="BT387" s="143"/>
      <c r="BU387" s="143"/>
      <c r="BV387" s="143"/>
      <c r="BW387" s="143"/>
      <c r="BX387" s="143"/>
      <c r="BY387" s="143"/>
      <c r="BZ387" s="143"/>
      <c r="CA387" s="143"/>
      <c r="CB387" s="143"/>
      <c r="CC387" s="143"/>
      <c r="CD387" s="143"/>
      <c r="CE387" s="143"/>
      <c r="CF387" s="143"/>
      <c r="CG387" s="143"/>
      <c r="CH387" s="143"/>
      <c r="CI387" s="143"/>
      <c r="CJ387" s="143"/>
      <c r="CK387" s="143"/>
      <c r="CL387" s="143"/>
      <c r="CM387" s="143"/>
      <c r="CN387" s="143"/>
      <c r="CO387" s="143"/>
      <c r="CP387" s="143"/>
      <c r="CQ387" s="143"/>
      <c r="CR387" s="143"/>
      <c r="CS387" s="143"/>
      <c r="CT387" s="143"/>
      <c r="CU387" s="143"/>
      <c r="CV387" s="143"/>
      <c r="CW387" s="143"/>
      <c r="CX387" s="143"/>
      <c r="CY387" s="143"/>
      <c r="CZ387" s="143"/>
      <c r="DA387" s="143"/>
      <c r="DB387" s="143"/>
      <c r="DC387" s="143"/>
      <c r="DD387" s="143"/>
      <c r="DE387" s="143"/>
      <c r="DF387" s="143"/>
      <c r="DG387" s="143"/>
      <c r="DH387" s="143"/>
      <c r="DI387" s="143"/>
      <c r="DJ387" s="143"/>
      <c r="DK387" s="143"/>
      <c r="DL387" s="143"/>
      <c r="DM387" s="143"/>
      <c r="DN387" s="143"/>
      <c r="DO387" s="143"/>
      <c r="DP387" s="143"/>
      <c r="DQ387" s="143"/>
      <c r="DR387" s="143"/>
      <c r="DS387" s="143"/>
      <c r="DT387" s="143"/>
      <c r="DU387" s="143"/>
      <c r="DV387" s="143"/>
      <c r="DW387" s="143"/>
      <c r="DX387" s="143"/>
      <c r="DY387" s="143"/>
      <c r="DZ387" s="143"/>
      <c r="EA387" s="143"/>
      <c r="EB387" s="143"/>
      <c r="EC387" s="143"/>
      <c r="ED387" s="143"/>
      <c r="EE387" s="143"/>
      <c r="EF387" s="143"/>
      <c r="EG387" s="143"/>
    </row>
    <row r="388" spans="1:137" s="760" customFormat="1" ht="28.8" x14ac:dyDescent="0.3">
      <c r="A388" s="143" t="s">
        <v>264</v>
      </c>
      <c r="B388" s="421" t="s">
        <v>280</v>
      </c>
      <c r="C388" s="762" t="s">
        <v>514</v>
      </c>
      <c r="D388" s="223" t="s">
        <v>34</v>
      </c>
      <c r="E388" s="223" t="s">
        <v>282</v>
      </c>
      <c r="F388" s="1350" t="s">
        <v>285</v>
      </c>
      <c r="G388" s="763">
        <v>0.60229999999999995</v>
      </c>
      <c r="H388" s="764">
        <v>15124.12</v>
      </c>
      <c r="I388" s="757" t="s">
        <v>267</v>
      </c>
      <c r="J388" s="756">
        <v>15124.12</v>
      </c>
      <c r="K388" s="1400">
        <f>10849</f>
        <v>10849</v>
      </c>
      <c r="L388" s="1400">
        <f>10849</f>
        <v>10849</v>
      </c>
      <c r="M388" s="755" t="s">
        <v>303</v>
      </c>
      <c r="N388" s="755" t="s">
        <v>505</v>
      </c>
      <c r="O388" s="755" t="s">
        <v>515</v>
      </c>
      <c r="P388" s="155" t="s">
        <v>40</v>
      </c>
      <c r="Q388" s="156"/>
      <c r="R388" s="155" t="s">
        <v>64</v>
      </c>
      <c r="S388" s="156"/>
      <c r="T388" s="155"/>
      <c r="U388" s="156"/>
      <c r="V388" s="155" t="s">
        <v>40</v>
      </c>
      <c r="W388" s="156"/>
      <c r="X388" s="155" t="s">
        <v>40</v>
      </c>
      <c r="Y388" s="156"/>
      <c r="Z388" s="155" t="s">
        <v>64</v>
      </c>
      <c r="AA388" s="156"/>
      <c r="AB388" s="155" t="s">
        <v>40</v>
      </c>
      <c r="AC388" s="156"/>
      <c r="AD388" s="156"/>
      <c r="AE388" s="1527">
        <v>46203</v>
      </c>
      <c r="AF388" s="411" t="s">
        <v>247</v>
      </c>
      <c r="AG388" s="412">
        <v>2023</v>
      </c>
      <c r="AH388" s="758">
        <v>74835.649999999994</v>
      </c>
      <c r="AI388" s="766" t="s">
        <v>516</v>
      </c>
      <c r="AJ388" s="759"/>
      <c r="AK388" s="420" t="s">
        <v>43</v>
      </c>
      <c r="AL388" s="421" t="s">
        <v>41</v>
      </c>
      <c r="AM388" s="416">
        <v>0</v>
      </c>
      <c r="AN388" s="422" t="s">
        <v>40</v>
      </c>
      <c r="AO388" s="165"/>
      <c r="AP388" s="165"/>
      <c r="AQ388" s="165"/>
      <c r="AR388" s="165"/>
      <c r="AS388" s="165"/>
      <c r="AT388" s="315"/>
      <c r="AU388" s="143"/>
      <c r="AV388" s="143"/>
      <c r="AW388" s="143"/>
      <c r="AX388" s="143"/>
      <c r="AY388" s="143"/>
      <c r="AZ388" s="143"/>
      <c r="BA388" s="143"/>
      <c r="BB388" s="143"/>
      <c r="BC388" s="143"/>
      <c r="BD388" s="143"/>
      <c r="BE388" s="143"/>
      <c r="BF388" s="143"/>
      <c r="BG388" s="143"/>
      <c r="BH388" s="143"/>
      <c r="BI388" s="143"/>
      <c r="BJ388" s="143"/>
      <c r="BK388" s="143"/>
      <c r="BL388" s="143"/>
      <c r="BM388" s="143"/>
      <c r="BN388" s="143"/>
      <c r="BO388" s="143"/>
      <c r="BP388" s="143"/>
      <c r="BQ388" s="143"/>
      <c r="BR388" s="143"/>
      <c r="BS388" s="143"/>
      <c r="BT388" s="143"/>
      <c r="BU388" s="143"/>
      <c r="BV388" s="143"/>
      <c r="BW388" s="143"/>
      <c r="BX388" s="143"/>
      <c r="BY388" s="143"/>
      <c r="BZ388" s="143"/>
      <c r="CA388" s="143"/>
      <c r="CB388" s="143"/>
      <c r="CC388" s="143"/>
      <c r="CD388" s="143"/>
      <c r="CE388" s="143"/>
      <c r="CF388" s="143"/>
      <c r="CG388" s="143"/>
      <c r="CH388" s="143"/>
      <c r="CI388" s="143"/>
      <c r="CJ388" s="143"/>
      <c r="CK388" s="143"/>
      <c r="CL388" s="143"/>
      <c r="CM388" s="143"/>
      <c r="CN388" s="143"/>
      <c r="CO388" s="143"/>
      <c r="CP388" s="143"/>
      <c r="CQ388" s="143"/>
      <c r="CR388" s="143"/>
      <c r="CS388" s="143"/>
      <c r="CT388" s="143"/>
      <c r="CU388" s="143"/>
      <c r="CV388" s="143"/>
      <c r="CW388" s="143"/>
      <c r="CX388" s="143"/>
      <c r="CY388" s="143"/>
      <c r="CZ388" s="143"/>
      <c r="DA388" s="143"/>
      <c r="DB388" s="143"/>
      <c r="DC388" s="143"/>
      <c r="DD388" s="143"/>
      <c r="DE388" s="143"/>
      <c r="DF388" s="143"/>
      <c r="DG388" s="143"/>
      <c r="DH388" s="143"/>
      <c r="DI388" s="143"/>
      <c r="DJ388" s="143"/>
      <c r="DK388" s="143"/>
      <c r="DL388" s="143"/>
      <c r="DM388" s="143"/>
      <c r="DN388" s="143"/>
      <c r="DO388" s="143"/>
      <c r="DP388" s="143"/>
      <c r="DQ388" s="143"/>
      <c r="DR388" s="143"/>
      <c r="DS388" s="143"/>
      <c r="DT388" s="143"/>
      <c r="DU388" s="143"/>
      <c r="DV388" s="143"/>
      <c r="DW388" s="143"/>
      <c r="DX388" s="143"/>
      <c r="DY388" s="143"/>
      <c r="DZ388" s="143"/>
      <c r="EA388" s="143"/>
      <c r="EB388" s="143"/>
      <c r="EC388" s="143"/>
      <c r="ED388" s="143"/>
      <c r="EE388" s="143"/>
      <c r="EF388" s="143"/>
      <c r="EG388" s="143"/>
    </row>
    <row r="389" spans="1:137" s="760" customFormat="1" ht="28.8" x14ac:dyDescent="0.3">
      <c r="A389" s="143" t="s">
        <v>264</v>
      </c>
      <c r="B389" s="421" t="s">
        <v>280</v>
      </c>
      <c r="C389" s="762" t="s">
        <v>517</v>
      </c>
      <c r="D389" s="223" t="s">
        <v>34</v>
      </c>
      <c r="E389" s="223" t="s">
        <v>282</v>
      </c>
      <c r="F389" s="1350" t="s">
        <v>285</v>
      </c>
      <c r="G389" s="763">
        <v>12.2</v>
      </c>
      <c r="H389" s="764">
        <v>178491.25</v>
      </c>
      <c r="I389" s="757" t="s">
        <v>267</v>
      </c>
      <c r="J389" s="756">
        <v>178491.25</v>
      </c>
      <c r="K389" s="1610">
        <f>99264.4510013945</f>
        <v>99264.451001394496</v>
      </c>
      <c r="L389" s="1610">
        <f>99264.4510013945</f>
        <v>99264.451001394496</v>
      </c>
      <c r="M389" s="755" t="s">
        <v>316</v>
      </c>
      <c r="N389" s="755" t="s">
        <v>518</v>
      </c>
      <c r="O389" s="755" t="s">
        <v>519</v>
      </c>
      <c r="P389" s="155" t="s">
        <v>40</v>
      </c>
      <c r="Q389" s="156"/>
      <c r="R389" s="155" t="s">
        <v>64</v>
      </c>
      <c r="S389" s="156"/>
      <c r="T389" s="155"/>
      <c r="U389" s="156"/>
      <c r="V389" s="155" t="s">
        <v>40</v>
      </c>
      <c r="W389" s="156"/>
      <c r="X389" s="155" t="s">
        <v>40</v>
      </c>
      <c r="Y389" s="156"/>
      <c r="Z389" s="155" t="s">
        <v>64</v>
      </c>
      <c r="AA389" s="156"/>
      <c r="AB389" s="155" t="s">
        <v>40</v>
      </c>
      <c r="AC389" s="156"/>
      <c r="AD389" s="156"/>
      <c r="AE389" s="1527">
        <v>46203</v>
      </c>
      <c r="AF389" s="411" t="s">
        <v>247</v>
      </c>
      <c r="AG389" s="412">
        <v>2023</v>
      </c>
      <c r="AH389" s="758">
        <v>883192.54</v>
      </c>
      <c r="AI389" s="766" t="s">
        <v>520</v>
      </c>
      <c r="AJ389" s="759"/>
      <c r="AK389" s="420" t="s">
        <v>43</v>
      </c>
      <c r="AL389" s="421" t="s">
        <v>41</v>
      </c>
      <c r="AM389" s="416">
        <v>0</v>
      </c>
      <c r="AN389" s="422" t="s">
        <v>40</v>
      </c>
      <c r="AO389" s="165"/>
      <c r="AP389" s="165"/>
      <c r="AQ389" s="165"/>
      <c r="AR389" s="165"/>
      <c r="AS389" s="165"/>
      <c r="AT389" s="315"/>
      <c r="AU389" s="143"/>
      <c r="AV389" s="143"/>
      <c r="AW389" s="143"/>
      <c r="AX389" s="143"/>
      <c r="AY389" s="143"/>
      <c r="AZ389" s="143"/>
      <c r="BA389" s="143"/>
      <c r="BB389" s="143"/>
      <c r="BC389" s="143"/>
      <c r="BD389" s="143"/>
      <c r="BE389" s="143"/>
      <c r="BF389" s="143"/>
      <c r="BG389" s="143"/>
      <c r="BH389" s="143"/>
      <c r="BI389" s="143"/>
      <c r="BJ389" s="143"/>
      <c r="BK389" s="143"/>
      <c r="BL389" s="143"/>
      <c r="BM389" s="143"/>
      <c r="BN389" s="143"/>
      <c r="BO389" s="143"/>
      <c r="BP389" s="143"/>
      <c r="BQ389" s="143"/>
      <c r="BR389" s="143"/>
      <c r="BS389" s="143"/>
      <c r="BT389" s="143"/>
      <c r="BU389" s="143"/>
      <c r="BV389" s="143"/>
      <c r="BW389" s="143"/>
      <c r="BX389" s="143"/>
      <c r="BY389" s="143"/>
      <c r="BZ389" s="143"/>
      <c r="CA389" s="143"/>
      <c r="CB389" s="143"/>
      <c r="CC389" s="143"/>
      <c r="CD389" s="143"/>
      <c r="CE389" s="143"/>
      <c r="CF389" s="143"/>
      <c r="CG389" s="143"/>
      <c r="CH389" s="143"/>
      <c r="CI389" s="143"/>
      <c r="CJ389" s="143"/>
      <c r="CK389" s="143"/>
      <c r="CL389" s="143"/>
      <c r="CM389" s="143"/>
      <c r="CN389" s="143"/>
      <c r="CO389" s="143"/>
      <c r="CP389" s="143"/>
      <c r="CQ389" s="143"/>
      <c r="CR389" s="143"/>
      <c r="CS389" s="143"/>
      <c r="CT389" s="143"/>
      <c r="CU389" s="143"/>
      <c r="CV389" s="143"/>
      <c r="CW389" s="143"/>
      <c r="CX389" s="143"/>
      <c r="CY389" s="143"/>
      <c r="CZ389" s="143"/>
      <c r="DA389" s="143"/>
      <c r="DB389" s="143"/>
      <c r="DC389" s="143"/>
      <c r="DD389" s="143"/>
      <c r="DE389" s="143"/>
      <c r="DF389" s="143"/>
      <c r="DG389" s="143"/>
      <c r="DH389" s="143"/>
      <c r="DI389" s="143"/>
      <c r="DJ389" s="143"/>
      <c r="DK389" s="143"/>
      <c r="DL389" s="143"/>
      <c r="DM389" s="143"/>
      <c r="DN389" s="143"/>
      <c r="DO389" s="143"/>
      <c r="DP389" s="143"/>
      <c r="DQ389" s="143"/>
      <c r="DR389" s="143"/>
      <c r="DS389" s="143"/>
      <c r="DT389" s="143"/>
      <c r="DU389" s="143"/>
      <c r="DV389" s="143"/>
      <c r="DW389" s="143"/>
      <c r="DX389" s="143"/>
      <c r="DY389" s="143"/>
      <c r="DZ389" s="143"/>
      <c r="EA389" s="143"/>
      <c r="EB389" s="143"/>
      <c r="EC389" s="143"/>
      <c r="ED389" s="143"/>
      <c r="EE389" s="143"/>
      <c r="EF389" s="143"/>
      <c r="EG389" s="143"/>
    </row>
    <row r="390" spans="1:137" s="760" customFormat="1" ht="28.8" x14ac:dyDescent="0.3">
      <c r="A390" s="143" t="s">
        <v>264</v>
      </c>
      <c r="B390" s="421" t="s">
        <v>280</v>
      </c>
      <c r="C390" s="762" t="s">
        <v>521</v>
      </c>
      <c r="D390" s="223" t="s">
        <v>34</v>
      </c>
      <c r="E390" s="223" t="s">
        <v>282</v>
      </c>
      <c r="F390" s="1350" t="s">
        <v>285</v>
      </c>
      <c r="G390" s="763">
        <v>26.99</v>
      </c>
      <c r="H390" s="764">
        <v>386238.54</v>
      </c>
      <c r="I390" s="757" t="s">
        <v>267</v>
      </c>
      <c r="J390" s="756">
        <v>386238.54</v>
      </c>
      <c r="K390" s="1610">
        <f>201944.699</f>
        <v>201944.69899999999</v>
      </c>
      <c r="L390" s="1610">
        <f>201944.699</f>
        <v>201944.69899999999</v>
      </c>
      <c r="M390" s="755" t="s">
        <v>412</v>
      </c>
      <c r="N390" s="755" t="s">
        <v>522</v>
      </c>
      <c r="O390" s="755" t="s">
        <v>523</v>
      </c>
      <c r="P390" s="155" t="s">
        <v>40</v>
      </c>
      <c r="Q390" s="156"/>
      <c r="R390" s="155" t="s">
        <v>64</v>
      </c>
      <c r="S390" s="156"/>
      <c r="T390" s="155"/>
      <c r="U390" s="156"/>
      <c r="V390" s="155" t="s">
        <v>40</v>
      </c>
      <c r="W390" s="156"/>
      <c r="X390" s="155" t="s">
        <v>40</v>
      </c>
      <c r="Y390" s="156"/>
      <c r="Z390" s="155" t="s">
        <v>64</v>
      </c>
      <c r="AA390" s="156"/>
      <c r="AB390" s="155" t="s">
        <v>40</v>
      </c>
      <c r="AC390" s="156"/>
      <c r="AD390" s="156"/>
      <c r="AE390" s="1527">
        <v>46203</v>
      </c>
      <c r="AF390" s="411" t="s">
        <v>247</v>
      </c>
      <c r="AG390" s="412">
        <v>2023</v>
      </c>
      <c r="AH390" s="758">
        <v>1911146.9197740001</v>
      </c>
      <c r="AI390" s="766" t="s">
        <v>524</v>
      </c>
      <c r="AJ390" s="759"/>
      <c r="AK390" s="420" t="s">
        <v>43</v>
      </c>
      <c r="AL390" s="421" t="s">
        <v>41</v>
      </c>
      <c r="AM390" s="416">
        <v>0</v>
      </c>
      <c r="AN390" s="422" t="s">
        <v>40</v>
      </c>
      <c r="AO390" s="165"/>
      <c r="AP390" s="165"/>
      <c r="AQ390" s="165"/>
      <c r="AR390" s="165"/>
      <c r="AS390" s="165"/>
      <c r="AT390" s="315"/>
      <c r="AU390" s="143"/>
      <c r="AV390" s="143"/>
      <c r="AW390" s="143"/>
      <c r="AX390" s="143"/>
      <c r="AY390" s="143"/>
      <c r="AZ390" s="143"/>
      <c r="BA390" s="143"/>
      <c r="BB390" s="143"/>
      <c r="BC390" s="143"/>
      <c r="BD390" s="143"/>
      <c r="BE390" s="143"/>
      <c r="BF390" s="143"/>
      <c r="BG390" s="143"/>
      <c r="BH390" s="143"/>
      <c r="BI390" s="143"/>
      <c r="BJ390" s="143"/>
      <c r="BK390" s="143"/>
      <c r="BL390" s="143"/>
      <c r="BM390" s="143"/>
      <c r="BN390" s="143"/>
      <c r="BO390" s="143"/>
      <c r="BP390" s="143"/>
      <c r="BQ390" s="143"/>
      <c r="BR390" s="143"/>
      <c r="BS390" s="143"/>
      <c r="BT390" s="143"/>
      <c r="BU390" s="143"/>
      <c r="BV390" s="143"/>
      <c r="BW390" s="143"/>
      <c r="BX390" s="143"/>
      <c r="BY390" s="143"/>
      <c r="BZ390" s="143"/>
      <c r="CA390" s="143"/>
      <c r="CB390" s="143"/>
      <c r="CC390" s="143"/>
      <c r="CD390" s="143"/>
      <c r="CE390" s="143"/>
      <c r="CF390" s="143"/>
      <c r="CG390" s="143"/>
      <c r="CH390" s="143"/>
      <c r="CI390" s="143"/>
      <c r="CJ390" s="143"/>
      <c r="CK390" s="143"/>
      <c r="CL390" s="143"/>
      <c r="CM390" s="143"/>
      <c r="CN390" s="143"/>
      <c r="CO390" s="143"/>
      <c r="CP390" s="143"/>
      <c r="CQ390" s="143"/>
      <c r="CR390" s="143"/>
      <c r="CS390" s="143"/>
      <c r="CT390" s="143"/>
      <c r="CU390" s="143"/>
      <c r="CV390" s="143"/>
      <c r="CW390" s="143"/>
      <c r="CX390" s="143"/>
      <c r="CY390" s="143"/>
      <c r="CZ390" s="143"/>
      <c r="DA390" s="143"/>
      <c r="DB390" s="143"/>
      <c r="DC390" s="143"/>
      <c r="DD390" s="143"/>
      <c r="DE390" s="143"/>
      <c r="DF390" s="143"/>
      <c r="DG390" s="143"/>
      <c r="DH390" s="143"/>
      <c r="DI390" s="143"/>
      <c r="DJ390" s="143"/>
      <c r="DK390" s="143"/>
      <c r="DL390" s="143"/>
      <c r="DM390" s="143"/>
      <c r="DN390" s="143"/>
      <c r="DO390" s="143"/>
      <c r="DP390" s="143"/>
      <c r="DQ390" s="143"/>
      <c r="DR390" s="143"/>
      <c r="DS390" s="143"/>
      <c r="DT390" s="143"/>
      <c r="DU390" s="143"/>
      <c r="DV390" s="143"/>
      <c r="DW390" s="143"/>
      <c r="DX390" s="143"/>
      <c r="DY390" s="143"/>
      <c r="DZ390" s="143"/>
      <c r="EA390" s="143"/>
      <c r="EB390" s="143"/>
      <c r="EC390" s="143"/>
      <c r="ED390" s="143"/>
      <c r="EE390" s="143"/>
      <c r="EF390" s="143"/>
      <c r="EG390" s="143"/>
    </row>
    <row r="391" spans="1:137" s="760" customFormat="1" ht="28.8" x14ac:dyDescent="0.3">
      <c r="A391" s="143" t="s">
        <v>264</v>
      </c>
      <c r="B391" s="421" t="s">
        <v>280</v>
      </c>
      <c r="C391" s="762" t="s">
        <v>525</v>
      </c>
      <c r="D391" s="223" t="s">
        <v>34</v>
      </c>
      <c r="E391" s="223" t="s">
        <v>282</v>
      </c>
      <c r="F391" s="1350" t="s">
        <v>285</v>
      </c>
      <c r="G391" s="763">
        <v>5.26</v>
      </c>
      <c r="H391" s="764">
        <v>110077.52</v>
      </c>
      <c r="I391" s="757" t="s">
        <v>267</v>
      </c>
      <c r="J391" s="756">
        <v>110077.52</v>
      </c>
      <c r="K391" s="1400">
        <f>59967.26</f>
        <v>59967.26</v>
      </c>
      <c r="L391" s="1400">
        <f>59967.26</f>
        <v>59967.26</v>
      </c>
      <c r="M391" s="755" t="s">
        <v>412</v>
      </c>
      <c r="N391" s="755" t="s">
        <v>526</v>
      </c>
      <c r="O391" s="755" t="s">
        <v>527</v>
      </c>
      <c r="P391" s="155" t="s">
        <v>40</v>
      </c>
      <c r="Q391" s="156"/>
      <c r="R391" s="155" t="s">
        <v>64</v>
      </c>
      <c r="S391" s="156"/>
      <c r="T391" s="155"/>
      <c r="U391" s="156"/>
      <c r="V391" s="155" t="s">
        <v>40</v>
      </c>
      <c r="W391" s="156"/>
      <c r="X391" s="155" t="s">
        <v>40</v>
      </c>
      <c r="Y391" s="156"/>
      <c r="Z391" s="155" t="s">
        <v>64</v>
      </c>
      <c r="AA391" s="156"/>
      <c r="AB391" s="155" t="s">
        <v>40</v>
      </c>
      <c r="AC391" s="156"/>
      <c r="AD391" s="156"/>
      <c r="AE391" s="1527">
        <v>46203</v>
      </c>
      <c r="AF391" s="411" t="s">
        <v>247</v>
      </c>
      <c r="AG391" s="412">
        <v>2023</v>
      </c>
      <c r="AH391" s="758">
        <v>544674.57671200007</v>
      </c>
      <c r="AI391" s="766" t="s">
        <v>528</v>
      </c>
      <c r="AJ391" s="759"/>
      <c r="AK391" s="420" t="s">
        <v>43</v>
      </c>
      <c r="AL391" s="421" t="s">
        <v>41</v>
      </c>
      <c r="AM391" s="416">
        <v>0</v>
      </c>
      <c r="AN391" s="422" t="s">
        <v>40</v>
      </c>
      <c r="AO391" s="165"/>
      <c r="AP391" s="165"/>
      <c r="AQ391" s="165"/>
      <c r="AR391" s="165"/>
      <c r="AS391" s="165"/>
      <c r="AT391" s="315"/>
      <c r="AU391" s="143"/>
      <c r="AV391" s="143"/>
      <c r="AW391" s="143"/>
      <c r="AX391" s="143"/>
      <c r="AY391" s="143"/>
      <c r="AZ391" s="143"/>
      <c r="BA391" s="143"/>
      <c r="BB391" s="143"/>
      <c r="BC391" s="143"/>
      <c r="BD391" s="143"/>
      <c r="BE391" s="143"/>
      <c r="BF391" s="143"/>
      <c r="BG391" s="143"/>
      <c r="BH391" s="143"/>
      <c r="BI391" s="143"/>
      <c r="BJ391" s="143"/>
      <c r="BK391" s="143"/>
      <c r="BL391" s="143"/>
      <c r="BM391" s="143"/>
      <c r="BN391" s="143"/>
      <c r="BO391" s="143"/>
      <c r="BP391" s="143"/>
      <c r="BQ391" s="143"/>
      <c r="BR391" s="143"/>
      <c r="BS391" s="143"/>
      <c r="BT391" s="143"/>
      <c r="BU391" s="143"/>
      <c r="BV391" s="143"/>
      <c r="BW391" s="143"/>
      <c r="BX391" s="143"/>
      <c r="BY391" s="143"/>
      <c r="BZ391" s="143"/>
      <c r="CA391" s="143"/>
      <c r="CB391" s="143"/>
      <c r="CC391" s="143"/>
      <c r="CD391" s="143"/>
      <c r="CE391" s="143"/>
      <c r="CF391" s="143"/>
      <c r="CG391" s="143"/>
      <c r="CH391" s="143"/>
      <c r="CI391" s="143"/>
      <c r="CJ391" s="143"/>
      <c r="CK391" s="143"/>
      <c r="CL391" s="143"/>
      <c r="CM391" s="143"/>
      <c r="CN391" s="143"/>
      <c r="CO391" s="143"/>
      <c r="CP391" s="143"/>
      <c r="CQ391" s="143"/>
      <c r="CR391" s="143"/>
      <c r="CS391" s="143"/>
      <c r="CT391" s="143"/>
      <c r="CU391" s="143"/>
      <c r="CV391" s="143"/>
      <c r="CW391" s="143"/>
      <c r="CX391" s="143"/>
      <c r="CY391" s="143"/>
      <c r="CZ391" s="143"/>
      <c r="DA391" s="143"/>
      <c r="DB391" s="143"/>
      <c r="DC391" s="143"/>
      <c r="DD391" s="143"/>
      <c r="DE391" s="143"/>
      <c r="DF391" s="143"/>
      <c r="DG391" s="143"/>
      <c r="DH391" s="143"/>
      <c r="DI391" s="143"/>
      <c r="DJ391" s="143"/>
      <c r="DK391" s="143"/>
      <c r="DL391" s="143"/>
      <c r="DM391" s="143"/>
      <c r="DN391" s="143"/>
      <c r="DO391" s="143"/>
      <c r="DP391" s="143"/>
      <c r="DQ391" s="143"/>
      <c r="DR391" s="143"/>
      <c r="DS391" s="143"/>
      <c r="DT391" s="143"/>
      <c r="DU391" s="143"/>
      <c r="DV391" s="143"/>
      <c r="DW391" s="143"/>
      <c r="DX391" s="143"/>
      <c r="DY391" s="143"/>
      <c r="DZ391" s="143"/>
      <c r="EA391" s="143"/>
      <c r="EB391" s="143"/>
      <c r="EC391" s="143"/>
      <c r="ED391" s="143"/>
      <c r="EE391" s="143"/>
      <c r="EF391" s="143"/>
      <c r="EG391" s="143"/>
    </row>
    <row r="392" spans="1:137" s="760" customFormat="1" ht="28.8" x14ac:dyDescent="0.3">
      <c r="A392" s="143" t="s">
        <v>264</v>
      </c>
      <c r="B392" s="421" t="s">
        <v>280</v>
      </c>
      <c r="C392" s="762" t="s">
        <v>529</v>
      </c>
      <c r="D392" s="223" t="s">
        <v>34</v>
      </c>
      <c r="E392" s="223" t="s">
        <v>282</v>
      </c>
      <c r="F392" s="1350" t="s">
        <v>285</v>
      </c>
      <c r="G392" s="763">
        <v>0.74</v>
      </c>
      <c r="H392" s="764">
        <v>21436.560000000001</v>
      </c>
      <c r="I392" s="757" t="s">
        <v>267</v>
      </c>
      <c r="J392" s="756">
        <v>21436.560000000001</v>
      </c>
      <c r="K392" s="1610">
        <f>15816.72+15816.719</f>
        <v>31633.438999999998</v>
      </c>
      <c r="L392" s="1610">
        <f>15816.72+15816.719</f>
        <v>31633.438999999998</v>
      </c>
      <c r="M392" s="755" t="s">
        <v>351</v>
      </c>
      <c r="N392" s="755" t="s">
        <v>530</v>
      </c>
      <c r="O392" s="755" t="s">
        <v>531</v>
      </c>
      <c r="P392" s="155" t="s">
        <v>40</v>
      </c>
      <c r="Q392" s="156"/>
      <c r="R392" s="155" t="s">
        <v>64</v>
      </c>
      <c r="S392" s="156"/>
      <c r="T392" s="155"/>
      <c r="U392" s="156"/>
      <c r="V392" s="155" t="s">
        <v>40</v>
      </c>
      <c r="W392" s="156"/>
      <c r="X392" s="155" t="s">
        <v>40</v>
      </c>
      <c r="Y392" s="156"/>
      <c r="Z392" s="155" t="s">
        <v>64</v>
      </c>
      <c r="AA392" s="156"/>
      <c r="AB392" s="155" t="s">
        <v>40</v>
      </c>
      <c r="AC392" s="156"/>
      <c r="AD392" s="156"/>
      <c r="AE392" s="1527">
        <v>46203</v>
      </c>
      <c r="AF392" s="411" t="s">
        <v>247</v>
      </c>
      <c r="AG392" s="412">
        <v>2023</v>
      </c>
      <c r="AH392" s="758">
        <v>106070.24253600001</v>
      </c>
      <c r="AI392" s="766" t="s">
        <v>532</v>
      </c>
      <c r="AJ392" s="759"/>
      <c r="AK392" s="420" t="s">
        <v>43</v>
      </c>
      <c r="AL392" s="421" t="s">
        <v>41</v>
      </c>
      <c r="AM392" s="416">
        <v>0</v>
      </c>
      <c r="AN392" s="422" t="s">
        <v>40</v>
      </c>
      <c r="AO392" s="165"/>
      <c r="AP392" s="165"/>
      <c r="AQ392" s="165"/>
      <c r="AR392" s="165"/>
      <c r="AS392" s="165"/>
      <c r="AT392" s="315"/>
      <c r="AU392" s="143"/>
      <c r="AV392" s="143"/>
      <c r="AW392" s="143"/>
      <c r="AX392" s="143"/>
      <c r="AY392" s="143"/>
      <c r="AZ392" s="143"/>
      <c r="BA392" s="143"/>
      <c r="BB392" s="143"/>
      <c r="BC392" s="143"/>
      <c r="BD392" s="143"/>
      <c r="BE392" s="143"/>
      <c r="BF392" s="143"/>
      <c r="BG392" s="143"/>
      <c r="BH392" s="143"/>
      <c r="BI392" s="143"/>
      <c r="BJ392" s="143"/>
      <c r="BK392" s="143"/>
      <c r="BL392" s="143"/>
      <c r="BM392" s="143"/>
      <c r="BN392" s="143"/>
      <c r="BO392" s="143"/>
      <c r="BP392" s="143"/>
      <c r="BQ392" s="143"/>
      <c r="BR392" s="143"/>
      <c r="BS392" s="143"/>
      <c r="BT392" s="143"/>
      <c r="BU392" s="143"/>
      <c r="BV392" s="143"/>
      <c r="BW392" s="143"/>
      <c r="BX392" s="143"/>
      <c r="BY392" s="143"/>
      <c r="BZ392" s="143"/>
      <c r="CA392" s="143"/>
      <c r="CB392" s="143"/>
      <c r="CC392" s="143"/>
      <c r="CD392" s="143"/>
      <c r="CE392" s="143"/>
      <c r="CF392" s="143"/>
      <c r="CG392" s="143"/>
      <c r="CH392" s="143"/>
      <c r="CI392" s="143"/>
      <c r="CJ392" s="143"/>
      <c r="CK392" s="143"/>
      <c r="CL392" s="143"/>
      <c r="CM392" s="143"/>
      <c r="CN392" s="143"/>
      <c r="CO392" s="143"/>
      <c r="CP392" s="143"/>
      <c r="CQ392" s="143"/>
      <c r="CR392" s="143"/>
      <c r="CS392" s="143"/>
      <c r="CT392" s="143"/>
      <c r="CU392" s="143"/>
      <c r="CV392" s="143"/>
      <c r="CW392" s="143"/>
      <c r="CX392" s="143"/>
      <c r="CY392" s="143"/>
      <c r="CZ392" s="143"/>
      <c r="DA392" s="143"/>
      <c r="DB392" s="143"/>
      <c r="DC392" s="143"/>
      <c r="DD392" s="143"/>
      <c r="DE392" s="143"/>
      <c r="DF392" s="143"/>
      <c r="DG392" s="143"/>
      <c r="DH392" s="143"/>
      <c r="DI392" s="143"/>
      <c r="DJ392" s="143"/>
      <c r="DK392" s="143"/>
      <c r="DL392" s="143"/>
      <c r="DM392" s="143"/>
      <c r="DN392" s="143"/>
      <c r="DO392" s="143"/>
      <c r="DP392" s="143"/>
      <c r="DQ392" s="143"/>
      <c r="DR392" s="143"/>
      <c r="DS392" s="143"/>
      <c r="DT392" s="143"/>
      <c r="DU392" s="143"/>
      <c r="DV392" s="143"/>
      <c r="DW392" s="143"/>
      <c r="DX392" s="143"/>
      <c r="DY392" s="143"/>
      <c r="DZ392" s="143"/>
      <c r="EA392" s="143"/>
      <c r="EB392" s="143"/>
      <c r="EC392" s="143"/>
      <c r="ED392" s="143"/>
      <c r="EE392" s="143"/>
      <c r="EF392" s="143"/>
      <c r="EG392" s="143"/>
    </row>
    <row r="393" spans="1:137" s="760" customFormat="1" ht="28.8" x14ac:dyDescent="0.3">
      <c r="A393" s="143" t="s">
        <v>264</v>
      </c>
      <c r="B393" s="421" t="s">
        <v>280</v>
      </c>
      <c r="C393" s="762" t="s">
        <v>533</v>
      </c>
      <c r="D393" s="223" t="s">
        <v>34</v>
      </c>
      <c r="E393" s="223" t="s">
        <v>282</v>
      </c>
      <c r="F393" s="1350" t="s">
        <v>285</v>
      </c>
      <c r="G393" s="763">
        <v>1.81</v>
      </c>
      <c r="H393" s="764">
        <v>58080.14</v>
      </c>
      <c r="I393" s="757" t="s">
        <v>267</v>
      </c>
      <c r="J393" s="756">
        <v>58080.14</v>
      </c>
      <c r="K393" s="1610">
        <v>0</v>
      </c>
      <c r="L393" s="1610">
        <v>0</v>
      </c>
      <c r="M393" s="755" t="s">
        <v>534</v>
      </c>
      <c r="N393" s="755" t="s">
        <v>535</v>
      </c>
      <c r="O393" s="755" t="s">
        <v>536</v>
      </c>
      <c r="P393" s="155" t="s">
        <v>40</v>
      </c>
      <c r="Q393" s="156"/>
      <c r="R393" s="155" t="s">
        <v>64</v>
      </c>
      <c r="S393" s="156"/>
      <c r="T393" s="155"/>
      <c r="U393" s="156"/>
      <c r="V393" s="155" t="s">
        <v>40</v>
      </c>
      <c r="W393" s="156"/>
      <c r="X393" s="155" t="s">
        <v>40</v>
      </c>
      <c r="Y393" s="156"/>
      <c r="Z393" s="155" t="s">
        <v>64</v>
      </c>
      <c r="AA393" s="156"/>
      <c r="AB393" s="155" t="s">
        <v>40</v>
      </c>
      <c r="AC393" s="156"/>
      <c r="AD393" s="156"/>
      <c r="AE393" s="1527">
        <v>46203</v>
      </c>
      <c r="AF393" s="411" t="s">
        <v>247</v>
      </c>
      <c r="AG393" s="412">
        <v>2023</v>
      </c>
      <c r="AH393" s="758">
        <v>287386.34073400003</v>
      </c>
      <c r="AI393" s="766" t="s">
        <v>537</v>
      </c>
      <c r="AJ393" s="759"/>
      <c r="AK393" s="420" t="s">
        <v>43</v>
      </c>
      <c r="AL393" s="421" t="s">
        <v>41</v>
      </c>
      <c r="AM393" s="416">
        <v>0</v>
      </c>
      <c r="AN393" s="422" t="s">
        <v>40</v>
      </c>
      <c r="AO393" s="165"/>
      <c r="AP393" s="165"/>
      <c r="AQ393" s="165"/>
      <c r="AR393" s="165"/>
      <c r="AS393" s="165"/>
      <c r="AT393" s="315"/>
      <c r="AU393" s="143"/>
      <c r="AV393" s="143"/>
      <c r="AW393" s="143"/>
      <c r="AX393" s="143"/>
      <c r="AY393" s="143"/>
      <c r="AZ393" s="143"/>
      <c r="BA393" s="143"/>
      <c r="BB393" s="143"/>
      <c r="BC393" s="143"/>
      <c r="BD393" s="143"/>
      <c r="BE393" s="143"/>
      <c r="BF393" s="143"/>
      <c r="BG393" s="143"/>
      <c r="BH393" s="143"/>
      <c r="BI393" s="143"/>
      <c r="BJ393" s="143"/>
      <c r="BK393" s="143"/>
      <c r="BL393" s="143"/>
      <c r="BM393" s="143"/>
      <c r="BN393" s="143"/>
      <c r="BO393" s="143"/>
      <c r="BP393" s="143"/>
      <c r="BQ393" s="143"/>
      <c r="BR393" s="143"/>
      <c r="BS393" s="143"/>
      <c r="BT393" s="143"/>
      <c r="BU393" s="143"/>
      <c r="BV393" s="143"/>
      <c r="BW393" s="143"/>
      <c r="BX393" s="143"/>
      <c r="BY393" s="143"/>
      <c r="BZ393" s="143"/>
      <c r="CA393" s="143"/>
      <c r="CB393" s="143"/>
      <c r="CC393" s="143"/>
      <c r="CD393" s="143"/>
      <c r="CE393" s="143"/>
      <c r="CF393" s="143"/>
      <c r="CG393" s="143"/>
      <c r="CH393" s="143"/>
      <c r="CI393" s="143"/>
      <c r="CJ393" s="143"/>
      <c r="CK393" s="143"/>
      <c r="CL393" s="143"/>
      <c r="CM393" s="143"/>
      <c r="CN393" s="143"/>
      <c r="CO393" s="143"/>
      <c r="CP393" s="143"/>
      <c r="CQ393" s="143"/>
      <c r="CR393" s="143"/>
      <c r="CS393" s="143"/>
      <c r="CT393" s="143"/>
      <c r="CU393" s="143"/>
      <c r="CV393" s="143"/>
      <c r="CW393" s="143"/>
      <c r="CX393" s="143"/>
      <c r="CY393" s="143"/>
      <c r="CZ393" s="143"/>
      <c r="DA393" s="143"/>
      <c r="DB393" s="143"/>
      <c r="DC393" s="143"/>
      <c r="DD393" s="143"/>
      <c r="DE393" s="143"/>
      <c r="DF393" s="143"/>
      <c r="DG393" s="143"/>
      <c r="DH393" s="143"/>
      <c r="DI393" s="143"/>
      <c r="DJ393" s="143"/>
      <c r="DK393" s="143"/>
      <c r="DL393" s="143"/>
      <c r="DM393" s="143"/>
      <c r="DN393" s="143"/>
      <c r="DO393" s="143"/>
      <c r="DP393" s="143"/>
      <c r="DQ393" s="143"/>
      <c r="DR393" s="143"/>
      <c r="DS393" s="143"/>
      <c r="DT393" s="143"/>
      <c r="DU393" s="143"/>
      <c r="DV393" s="143"/>
      <c r="DW393" s="143"/>
      <c r="DX393" s="143"/>
      <c r="DY393" s="143"/>
      <c r="DZ393" s="143"/>
      <c r="EA393" s="143"/>
      <c r="EB393" s="143"/>
      <c r="EC393" s="143"/>
      <c r="ED393" s="143"/>
      <c r="EE393" s="143"/>
      <c r="EF393" s="143"/>
      <c r="EG393" s="143"/>
    </row>
    <row r="394" spans="1:137" s="760" customFormat="1" ht="28.8" x14ac:dyDescent="0.3">
      <c r="A394" s="143" t="s">
        <v>264</v>
      </c>
      <c r="B394" s="421" t="s">
        <v>280</v>
      </c>
      <c r="C394" s="762" t="s">
        <v>538</v>
      </c>
      <c r="D394" s="223" t="s">
        <v>34</v>
      </c>
      <c r="E394" s="223" t="s">
        <v>282</v>
      </c>
      <c r="F394" s="1350" t="s">
        <v>285</v>
      </c>
      <c r="G394" s="763">
        <v>8.94</v>
      </c>
      <c r="H394" s="764">
        <v>162601.1</v>
      </c>
      <c r="I394" s="757" t="s">
        <v>267</v>
      </c>
      <c r="J394" s="756">
        <v>162601.1</v>
      </c>
      <c r="K394" s="1400">
        <f>111921.28</f>
        <v>111921.28</v>
      </c>
      <c r="L394" s="1400">
        <f>111921.28</f>
        <v>111921.28</v>
      </c>
      <c r="M394" s="755" t="s">
        <v>200</v>
      </c>
      <c r="N394" s="755" t="s">
        <v>539</v>
      </c>
      <c r="O394" s="755" t="s">
        <v>540</v>
      </c>
      <c r="P394" s="155" t="s">
        <v>40</v>
      </c>
      <c r="Q394" s="156"/>
      <c r="R394" s="155" t="s">
        <v>64</v>
      </c>
      <c r="S394" s="156"/>
      <c r="T394" s="155"/>
      <c r="U394" s="156"/>
      <c r="V394" s="155" t="s">
        <v>40</v>
      </c>
      <c r="W394" s="156"/>
      <c r="X394" s="155" t="s">
        <v>40</v>
      </c>
      <c r="Y394" s="156"/>
      <c r="Z394" s="155" t="s">
        <v>64</v>
      </c>
      <c r="AA394" s="156"/>
      <c r="AB394" s="155" t="s">
        <v>40</v>
      </c>
      <c r="AC394" s="156"/>
      <c r="AD394" s="156"/>
      <c r="AE394" s="1527">
        <v>46203</v>
      </c>
      <c r="AF394" s="411" t="s">
        <v>247</v>
      </c>
      <c r="AG394" s="412">
        <v>2023</v>
      </c>
      <c r="AH394" s="758">
        <v>804566.50291000004</v>
      </c>
      <c r="AI394" s="766" t="s">
        <v>541</v>
      </c>
      <c r="AJ394" s="759"/>
      <c r="AK394" s="420" t="s">
        <v>43</v>
      </c>
      <c r="AL394" s="421" t="s">
        <v>41</v>
      </c>
      <c r="AM394" s="416">
        <v>0</v>
      </c>
      <c r="AN394" s="422" t="s">
        <v>40</v>
      </c>
      <c r="AO394" s="165"/>
      <c r="AP394" s="165"/>
      <c r="AQ394" s="165"/>
      <c r="AR394" s="165"/>
      <c r="AS394" s="165"/>
      <c r="AT394" s="315"/>
      <c r="AU394" s="143"/>
      <c r="AV394" s="143"/>
      <c r="AW394" s="143"/>
      <c r="AX394" s="143"/>
      <c r="AY394" s="143"/>
      <c r="AZ394" s="143"/>
      <c r="BA394" s="143"/>
      <c r="BB394" s="143"/>
      <c r="BC394" s="143"/>
      <c r="BD394" s="143"/>
      <c r="BE394" s="143"/>
      <c r="BF394" s="143"/>
      <c r="BG394" s="143"/>
      <c r="BH394" s="143"/>
      <c r="BI394" s="143"/>
      <c r="BJ394" s="143"/>
      <c r="BK394" s="143"/>
      <c r="BL394" s="143"/>
      <c r="BM394" s="143"/>
      <c r="BN394" s="143"/>
      <c r="BO394" s="143"/>
      <c r="BP394" s="143"/>
      <c r="BQ394" s="143"/>
      <c r="BR394" s="143"/>
      <c r="BS394" s="143"/>
      <c r="BT394" s="143"/>
      <c r="BU394" s="143"/>
      <c r="BV394" s="143"/>
      <c r="BW394" s="143"/>
      <c r="BX394" s="143"/>
      <c r="BY394" s="143"/>
      <c r="BZ394" s="143"/>
      <c r="CA394" s="143"/>
      <c r="CB394" s="143"/>
      <c r="CC394" s="143"/>
      <c r="CD394" s="143"/>
      <c r="CE394" s="143"/>
      <c r="CF394" s="143"/>
      <c r="CG394" s="143"/>
      <c r="CH394" s="143"/>
      <c r="CI394" s="143"/>
      <c r="CJ394" s="143"/>
      <c r="CK394" s="143"/>
      <c r="CL394" s="143"/>
      <c r="CM394" s="143"/>
      <c r="CN394" s="143"/>
      <c r="CO394" s="143"/>
      <c r="CP394" s="143"/>
      <c r="CQ394" s="143"/>
      <c r="CR394" s="143"/>
      <c r="CS394" s="143"/>
      <c r="CT394" s="143"/>
      <c r="CU394" s="143"/>
      <c r="CV394" s="143"/>
      <c r="CW394" s="143"/>
      <c r="CX394" s="143"/>
      <c r="CY394" s="143"/>
      <c r="CZ394" s="143"/>
      <c r="DA394" s="143"/>
      <c r="DB394" s="143"/>
      <c r="DC394" s="143"/>
      <c r="DD394" s="143"/>
      <c r="DE394" s="143"/>
      <c r="DF394" s="143"/>
      <c r="DG394" s="143"/>
      <c r="DH394" s="143"/>
      <c r="DI394" s="143"/>
      <c r="DJ394" s="143"/>
      <c r="DK394" s="143"/>
      <c r="DL394" s="143"/>
      <c r="DM394" s="143"/>
      <c r="DN394" s="143"/>
      <c r="DO394" s="143"/>
      <c r="DP394" s="143"/>
      <c r="DQ394" s="143"/>
      <c r="DR394" s="143"/>
      <c r="DS394" s="143"/>
      <c r="DT394" s="143"/>
      <c r="DU394" s="143"/>
      <c r="DV394" s="143"/>
      <c r="DW394" s="143"/>
      <c r="DX394" s="143"/>
      <c r="DY394" s="143"/>
      <c r="DZ394" s="143"/>
      <c r="EA394" s="143"/>
      <c r="EB394" s="143"/>
      <c r="EC394" s="143"/>
      <c r="ED394" s="143"/>
      <c r="EE394" s="143"/>
      <c r="EF394" s="143"/>
      <c r="EG394" s="143"/>
    </row>
    <row r="395" spans="1:137" s="760" customFormat="1" ht="28.8" x14ac:dyDescent="0.3">
      <c r="A395" s="143" t="s">
        <v>264</v>
      </c>
      <c r="B395" s="421" t="s">
        <v>280</v>
      </c>
      <c r="C395" s="762" t="s">
        <v>542</v>
      </c>
      <c r="D395" s="223" t="s">
        <v>34</v>
      </c>
      <c r="E395" s="223" t="s">
        <v>282</v>
      </c>
      <c r="F395" s="1350" t="s">
        <v>285</v>
      </c>
      <c r="G395" s="763">
        <v>6.63</v>
      </c>
      <c r="H395" s="764">
        <v>123258.26</v>
      </c>
      <c r="I395" s="757" t="s">
        <v>267</v>
      </c>
      <c r="J395" s="756">
        <v>123258.26</v>
      </c>
      <c r="K395" s="1610">
        <v>0</v>
      </c>
      <c r="L395" s="1610">
        <v>0</v>
      </c>
      <c r="M395" s="755" t="s">
        <v>412</v>
      </c>
      <c r="N395" s="755" t="s">
        <v>543</v>
      </c>
      <c r="O395" s="755" t="s">
        <v>544</v>
      </c>
      <c r="P395" s="155" t="s">
        <v>40</v>
      </c>
      <c r="Q395" s="156"/>
      <c r="R395" s="155" t="s">
        <v>64</v>
      </c>
      <c r="S395" s="156"/>
      <c r="T395" s="155"/>
      <c r="U395" s="156"/>
      <c r="V395" s="155" t="s">
        <v>40</v>
      </c>
      <c r="W395" s="156"/>
      <c r="X395" s="155" t="s">
        <v>40</v>
      </c>
      <c r="Y395" s="156"/>
      <c r="Z395" s="155" t="s">
        <v>64</v>
      </c>
      <c r="AA395" s="156"/>
      <c r="AB395" s="155" t="s">
        <v>40</v>
      </c>
      <c r="AC395" s="156"/>
      <c r="AD395" s="156"/>
      <c r="AE395" s="1527">
        <v>46203</v>
      </c>
      <c r="AF395" s="411" t="s">
        <v>247</v>
      </c>
      <c r="AG395" s="412">
        <v>2023</v>
      </c>
      <c r="AH395" s="758">
        <v>609894.18999999994</v>
      </c>
      <c r="AI395" s="766" t="s">
        <v>545</v>
      </c>
      <c r="AJ395" s="759"/>
      <c r="AK395" s="420" t="s">
        <v>43</v>
      </c>
      <c r="AL395" s="421" t="s">
        <v>41</v>
      </c>
      <c r="AM395" s="416">
        <v>0</v>
      </c>
      <c r="AN395" s="422" t="s">
        <v>40</v>
      </c>
      <c r="AO395" s="165"/>
      <c r="AP395" s="165"/>
      <c r="AQ395" s="165"/>
      <c r="AR395" s="165"/>
      <c r="AS395" s="165"/>
      <c r="AT395" s="315"/>
      <c r="AU395" s="143"/>
      <c r="AV395" s="143"/>
      <c r="AW395" s="143"/>
      <c r="AX395" s="143"/>
      <c r="AY395" s="143"/>
      <c r="AZ395" s="143"/>
      <c r="BA395" s="143"/>
      <c r="BB395" s="143"/>
      <c r="BC395" s="143"/>
      <c r="BD395" s="143"/>
      <c r="BE395" s="143"/>
      <c r="BF395" s="143"/>
      <c r="BG395" s="143"/>
      <c r="BH395" s="143"/>
      <c r="BI395" s="143"/>
      <c r="BJ395" s="143"/>
      <c r="BK395" s="143"/>
      <c r="BL395" s="143"/>
      <c r="BM395" s="143"/>
      <c r="BN395" s="143"/>
      <c r="BO395" s="143"/>
      <c r="BP395" s="143"/>
      <c r="BQ395" s="143"/>
      <c r="BR395" s="143"/>
      <c r="BS395" s="143"/>
      <c r="BT395" s="143"/>
      <c r="BU395" s="143"/>
      <c r="BV395" s="143"/>
      <c r="BW395" s="143"/>
      <c r="BX395" s="143"/>
      <c r="BY395" s="143"/>
      <c r="BZ395" s="143"/>
      <c r="CA395" s="143"/>
      <c r="CB395" s="143"/>
      <c r="CC395" s="143"/>
      <c r="CD395" s="143"/>
      <c r="CE395" s="143"/>
      <c r="CF395" s="143"/>
      <c r="CG395" s="143"/>
      <c r="CH395" s="143"/>
      <c r="CI395" s="143"/>
      <c r="CJ395" s="143"/>
      <c r="CK395" s="143"/>
      <c r="CL395" s="143"/>
      <c r="CM395" s="143"/>
      <c r="CN395" s="143"/>
      <c r="CO395" s="143"/>
      <c r="CP395" s="143"/>
      <c r="CQ395" s="143"/>
      <c r="CR395" s="143"/>
      <c r="CS395" s="143"/>
      <c r="CT395" s="143"/>
      <c r="CU395" s="143"/>
      <c r="CV395" s="143"/>
      <c r="CW395" s="143"/>
      <c r="CX395" s="143"/>
      <c r="CY395" s="143"/>
      <c r="CZ395" s="143"/>
      <c r="DA395" s="143"/>
      <c r="DB395" s="143"/>
      <c r="DC395" s="143"/>
      <c r="DD395" s="143"/>
      <c r="DE395" s="143"/>
      <c r="DF395" s="143"/>
      <c r="DG395" s="143"/>
      <c r="DH395" s="143"/>
      <c r="DI395" s="143"/>
      <c r="DJ395" s="143"/>
      <c r="DK395" s="143"/>
      <c r="DL395" s="143"/>
      <c r="DM395" s="143"/>
      <c r="DN395" s="143"/>
      <c r="DO395" s="143"/>
      <c r="DP395" s="143"/>
      <c r="DQ395" s="143"/>
      <c r="DR395" s="143"/>
      <c r="DS395" s="143"/>
      <c r="DT395" s="143"/>
      <c r="DU395" s="143"/>
      <c r="DV395" s="143"/>
      <c r="DW395" s="143"/>
      <c r="DX395" s="143"/>
      <c r="DY395" s="143"/>
      <c r="DZ395" s="143"/>
      <c r="EA395" s="143"/>
      <c r="EB395" s="143"/>
      <c r="EC395" s="143"/>
      <c r="ED395" s="143"/>
      <c r="EE395" s="143"/>
      <c r="EF395" s="143"/>
      <c r="EG395" s="143"/>
    </row>
    <row r="396" spans="1:137" s="760" customFormat="1" ht="28.8" x14ac:dyDescent="0.3">
      <c r="A396" s="143" t="s">
        <v>264</v>
      </c>
      <c r="B396" s="421" t="s">
        <v>280</v>
      </c>
      <c r="C396" s="762" t="s">
        <v>546</v>
      </c>
      <c r="D396" s="223" t="s">
        <v>34</v>
      </c>
      <c r="E396" s="223" t="s">
        <v>282</v>
      </c>
      <c r="F396" s="1350" t="s">
        <v>285</v>
      </c>
      <c r="G396" s="763">
        <v>8.51</v>
      </c>
      <c r="H396" s="764">
        <v>182385.31</v>
      </c>
      <c r="I396" s="757" t="s">
        <v>267</v>
      </c>
      <c r="J396" s="756">
        <v>182385.31</v>
      </c>
      <c r="K396" s="1610">
        <v>0</v>
      </c>
      <c r="L396" s="1610">
        <v>0</v>
      </c>
      <c r="M396" s="755" t="s">
        <v>61</v>
      </c>
      <c r="N396" s="755" t="s">
        <v>547</v>
      </c>
      <c r="O396" s="755" t="s">
        <v>548</v>
      </c>
      <c r="P396" s="155" t="s">
        <v>40</v>
      </c>
      <c r="Q396" s="156"/>
      <c r="R396" s="155" t="s">
        <v>64</v>
      </c>
      <c r="S396" s="156"/>
      <c r="T396" s="155"/>
      <c r="U396" s="156"/>
      <c r="V396" s="155" t="s">
        <v>40</v>
      </c>
      <c r="W396" s="156"/>
      <c r="X396" s="155" t="s">
        <v>40</v>
      </c>
      <c r="Y396" s="156"/>
      <c r="Z396" s="155" t="s">
        <v>64</v>
      </c>
      <c r="AA396" s="156"/>
      <c r="AB396" s="155" t="s">
        <v>40</v>
      </c>
      <c r="AC396" s="156"/>
      <c r="AD396" s="156"/>
      <c r="AE396" s="1527">
        <v>46203</v>
      </c>
      <c r="AF396" s="411" t="s">
        <v>247</v>
      </c>
      <c r="AG396" s="412">
        <v>2023</v>
      </c>
      <c r="AH396" s="758">
        <v>902460.75241099996</v>
      </c>
      <c r="AI396" s="767">
        <v>37551661</v>
      </c>
      <c r="AJ396" s="759"/>
      <c r="AK396" s="420" t="s">
        <v>43</v>
      </c>
      <c r="AL396" s="421" t="s">
        <v>41</v>
      </c>
      <c r="AM396" s="416">
        <v>0</v>
      </c>
      <c r="AN396" s="422" t="s">
        <v>40</v>
      </c>
      <c r="AO396" s="165"/>
      <c r="AP396" s="165"/>
      <c r="AQ396" s="165"/>
      <c r="AR396" s="165"/>
      <c r="AS396" s="165"/>
      <c r="AT396" s="315"/>
      <c r="AU396" s="143"/>
      <c r="AV396" s="143"/>
      <c r="AW396" s="143"/>
      <c r="AX396" s="143"/>
      <c r="AY396" s="143"/>
      <c r="AZ396" s="143"/>
      <c r="BA396" s="143"/>
      <c r="BB396" s="143"/>
      <c r="BC396" s="143"/>
      <c r="BD396" s="143"/>
      <c r="BE396" s="143"/>
      <c r="BF396" s="143"/>
      <c r="BG396" s="143"/>
      <c r="BH396" s="143"/>
      <c r="BI396" s="143"/>
      <c r="BJ396" s="143"/>
      <c r="BK396" s="143"/>
      <c r="BL396" s="143"/>
      <c r="BM396" s="143"/>
      <c r="BN396" s="143"/>
      <c r="BO396" s="143"/>
      <c r="BP396" s="143"/>
      <c r="BQ396" s="143"/>
      <c r="BR396" s="143"/>
      <c r="BS396" s="143"/>
      <c r="BT396" s="143"/>
      <c r="BU396" s="143"/>
      <c r="BV396" s="143"/>
      <c r="BW396" s="143"/>
      <c r="BX396" s="143"/>
      <c r="BY396" s="143"/>
      <c r="BZ396" s="143"/>
      <c r="CA396" s="143"/>
      <c r="CB396" s="143"/>
      <c r="CC396" s="143"/>
      <c r="CD396" s="143"/>
      <c r="CE396" s="143"/>
      <c r="CF396" s="143"/>
      <c r="CG396" s="143"/>
      <c r="CH396" s="143"/>
      <c r="CI396" s="143"/>
      <c r="CJ396" s="143"/>
      <c r="CK396" s="143"/>
      <c r="CL396" s="143"/>
      <c r="CM396" s="143"/>
      <c r="CN396" s="143"/>
      <c r="CO396" s="143"/>
      <c r="CP396" s="143"/>
      <c r="CQ396" s="143"/>
      <c r="CR396" s="143"/>
      <c r="CS396" s="143"/>
      <c r="CT396" s="143"/>
      <c r="CU396" s="143"/>
      <c r="CV396" s="143"/>
      <c r="CW396" s="143"/>
      <c r="CX396" s="143"/>
      <c r="CY396" s="143"/>
      <c r="CZ396" s="143"/>
      <c r="DA396" s="143"/>
      <c r="DB396" s="143"/>
      <c r="DC396" s="143"/>
      <c r="DD396" s="143"/>
      <c r="DE396" s="143"/>
      <c r="DF396" s="143"/>
      <c r="DG396" s="143"/>
      <c r="DH396" s="143"/>
      <c r="DI396" s="143"/>
      <c r="DJ396" s="143"/>
      <c r="DK396" s="143"/>
      <c r="DL396" s="143"/>
      <c r="DM396" s="143"/>
      <c r="DN396" s="143"/>
      <c r="DO396" s="143"/>
      <c r="DP396" s="143"/>
      <c r="DQ396" s="143"/>
      <c r="DR396" s="143"/>
      <c r="DS396" s="143"/>
      <c r="DT396" s="143"/>
      <c r="DU396" s="143"/>
      <c r="DV396" s="143"/>
      <c r="DW396" s="143"/>
      <c r="DX396" s="143"/>
      <c r="DY396" s="143"/>
      <c r="DZ396" s="143"/>
      <c r="EA396" s="143"/>
      <c r="EB396" s="143"/>
      <c r="EC396" s="143"/>
      <c r="ED396" s="143"/>
      <c r="EE396" s="143"/>
      <c r="EF396" s="143"/>
      <c r="EG396" s="143"/>
    </row>
    <row r="397" spans="1:137" s="760" customFormat="1" ht="28.8" x14ac:dyDescent="0.3">
      <c r="A397" s="143" t="s">
        <v>264</v>
      </c>
      <c r="B397" s="421" t="s">
        <v>280</v>
      </c>
      <c r="C397" s="762" t="s">
        <v>549</v>
      </c>
      <c r="D397" s="223" t="s">
        <v>34</v>
      </c>
      <c r="E397" s="223" t="s">
        <v>282</v>
      </c>
      <c r="F397" s="1350" t="s">
        <v>285</v>
      </c>
      <c r="G397" s="763">
        <v>2</v>
      </c>
      <c r="H397" s="764">
        <v>42184.65</v>
      </c>
      <c r="I397" s="757" t="s">
        <v>267</v>
      </c>
      <c r="J397" s="756">
        <v>42184.65</v>
      </c>
      <c r="K397" s="1610">
        <v>0</v>
      </c>
      <c r="L397" s="1610">
        <v>0</v>
      </c>
      <c r="M397" s="755" t="s">
        <v>200</v>
      </c>
      <c r="N397" s="755" t="s">
        <v>550</v>
      </c>
      <c r="O397" s="755" t="s">
        <v>551</v>
      </c>
      <c r="P397" s="155" t="s">
        <v>40</v>
      </c>
      <c r="Q397" s="156"/>
      <c r="R397" s="155" t="s">
        <v>64</v>
      </c>
      <c r="S397" s="156"/>
      <c r="T397" s="155"/>
      <c r="U397" s="156"/>
      <c r="V397" s="155" t="s">
        <v>40</v>
      </c>
      <c r="W397" s="156"/>
      <c r="X397" s="155" t="s">
        <v>40</v>
      </c>
      <c r="Y397" s="156"/>
      <c r="Z397" s="155" t="s">
        <v>64</v>
      </c>
      <c r="AA397" s="156"/>
      <c r="AB397" s="155" t="s">
        <v>40</v>
      </c>
      <c r="AC397" s="156"/>
      <c r="AD397" s="156"/>
      <c r="AE397" s="1527">
        <v>46203</v>
      </c>
      <c r="AF397" s="411" t="s">
        <v>247</v>
      </c>
      <c r="AG397" s="412">
        <v>2023</v>
      </c>
      <c r="AH397" s="758">
        <v>208733.86666500001</v>
      </c>
      <c r="AI397" s="766" t="s">
        <v>552</v>
      </c>
      <c r="AJ397" s="759"/>
      <c r="AK397" s="420" t="s">
        <v>43</v>
      </c>
      <c r="AL397" s="421" t="s">
        <v>41</v>
      </c>
      <c r="AM397" s="416">
        <v>0</v>
      </c>
      <c r="AN397" s="422" t="s">
        <v>40</v>
      </c>
      <c r="AO397" s="165"/>
      <c r="AP397" s="165"/>
      <c r="AQ397" s="165"/>
      <c r="AR397" s="165"/>
      <c r="AS397" s="165"/>
      <c r="AT397" s="315"/>
      <c r="AU397" s="143"/>
      <c r="AV397" s="143"/>
      <c r="AW397" s="143"/>
      <c r="AX397" s="143"/>
      <c r="AY397" s="143"/>
      <c r="AZ397" s="143"/>
      <c r="BA397" s="143"/>
      <c r="BB397" s="143"/>
      <c r="BC397" s="143"/>
      <c r="BD397" s="143"/>
      <c r="BE397" s="143"/>
      <c r="BF397" s="143"/>
      <c r="BG397" s="143"/>
      <c r="BH397" s="143"/>
      <c r="BI397" s="143"/>
      <c r="BJ397" s="143"/>
      <c r="BK397" s="143"/>
      <c r="BL397" s="143"/>
      <c r="BM397" s="143"/>
      <c r="BN397" s="143"/>
      <c r="BO397" s="143"/>
      <c r="BP397" s="143"/>
      <c r="BQ397" s="143"/>
      <c r="BR397" s="143"/>
      <c r="BS397" s="143"/>
      <c r="BT397" s="143"/>
      <c r="BU397" s="143"/>
      <c r="BV397" s="143"/>
      <c r="BW397" s="143"/>
      <c r="BX397" s="143"/>
      <c r="BY397" s="143"/>
      <c r="BZ397" s="143"/>
      <c r="CA397" s="143"/>
      <c r="CB397" s="143"/>
      <c r="CC397" s="143"/>
      <c r="CD397" s="143"/>
      <c r="CE397" s="143"/>
      <c r="CF397" s="143"/>
      <c r="CG397" s="143"/>
      <c r="CH397" s="143"/>
      <c r="CI397" s="143"/>
      <c r="CJ397" s="143"/>
      <c r="CK397" s="143"/>
      <c r="CL397" s="143"/>
      <c r="CM397" s="143"/>
      <c r="CN397" s="143"/>
      <c r="CO397" s="143"/>
      <c r="CP397" s="143"/>
      <c r="CQ397" s="143"/>
      <c r="CR397" s="143"/>
      <c r="CS397" s="143"/>
      <c r="CT397" s="143"/>
      <c r="CU397" s="143"/>
      <c r="CV397" s="143"/>
      <c r="CW397" s="143"/>
      <c r="CX397" s="143"/>
      <c r="CY397" s="143"/>
      <c r="CZ397" s="143"/>
      <c r="DA397" s="143"/>
      <c r="DB397" s="143"/>
      <c r="DC397" s="143"/>
      <c r="DD397" s="143"/>
      <c r="DE397" s="143"/>
      <c r="DF397" s="143"/>
      <c r="DG397" s="143"/>
      <c r="DH397" s="143"/>
      <c r="DI397" s="143"/>
      <c r="DJ397" s="143"/>
      <c r="DK397" s="143"/>
      <c r="DL397" s="143"/>
      <c r="DM397" s="143"/>
      <c r="DN397" s="143"/>
      <c r="DO397" s="143"/>
      <c r="DP397" s="143"/>
      <c r="DQ397" s="143"/>
      <c r="DR397" s="143"/>
      <c r="DS397" s="143"/>
      <c r="DT397" s="143"/>
      <c r="DU397" s="143"/>
      <c r="DV397" s="143"/>
      <c r="DW397" s="143"/>
      <c r="DX397" s="143"/>
      <c r="DY397" s="143"/>
      <c r="DZ397" s="143"/>
      <c r="EA397" s="143"/>
      <c r="EB397" s="143"/>
      <c r="EC397" s="143"/>
      <c r="ED397" s="143"/>
      <c r="EE397" s="143"/>
      <c r="EF397" s="143"/>
      <c r="EG397" s="143"/>
    </row>
    <row r="398" spans="1:137" s="760" customFormat="1" ht="28.8" x14ac:dyDescent="0.3">
      <c r="A398" s="143" t="s">
        <v>264</v>
      </c>
      <c r="B398" s="421" t="s">
        <v>280</v>
      </c>
      <c r="C398" s="762" t="s">
        <v>553</v>
      </c>
      <c r="D398" s="223" t="s">
        <v>34</v>
      </c>
      <c r="E398" s="223" t="s">
        <v>282</v>
      </c>
      <c r="F398" s="1350" t="s">
        <v>285</v>
      </c>
      <c r="G398" s="763">
        <v>4.79</v>
      </c>
      <c r="H398" s="764">
        <v>120786.6</v>
      </c>
      <c r="I398" s="757" t="s">
        <v>267</v>
      </c>
      <c r="J398" s="756">
        <v>120786.6</v>
      </c>
      <c r="K398" s="1610">
        <f>84114.36+84114.359</f>
        <v>168228.71899999998</v>
      </c>
      <c r="L398" s="1610">
        <f>84114.36+84114.359</f>
        <v>168228.71899999998</v>
      </c>
      <c r="M398" s="755" t="s">
        <v>412</v>
      </c>
      <c r="N398" s="755" t="s">
        <v>554</v>
      </c>
      <c r="O398" s="755" t="s">
        <v>555</v>
      </c>
      <c r="P398" s="155" t="s">
        <v>40</v>
      </c>
      <c r="Q398" s="156"/>
      <c r="R398" s="155" t="s">
        <v>64</v>
      </c>
      <c r="S398" s="156"/>
      <c r="T398" s="155"/>
      <c r="U398" s="156"/>
      <c r="V398" s="155" t="s">
        <v>40</v>
      </c>
      <c r="W398" s="156"/>
      <c r="X398" s="155" t="s">
        <v>40</v>
      </c>
      <c r="Y398" s="156"/>
      <c r="Z398" s="155" t="s">
        <v>64</v>
      </c>
      <c r="AA398" s="156"/>
      <c r="AB398" s="155" t="s">
        <v>40</v>
      </c>
      <c r="AC398" s="156"/>
      <c r="AD398" s="156"/>
      <c r="AE398" s="1527">
        <v>46203</v>
      </c>
      <c r="AF398" s="411" t="s">
        <v>247</v>
      </c>
      <c r="AG398" s="412">
        <v>2023</v>
      </c>
      <c r="AH398" s="758">
        <v>597664.17546000006</v>
      </c>
      <c r="AI398" s="766" t="s">
        <v>556</v>
      </c>
      <c r="AJ398" s="759"/>
      <c r="AK398" s="420" t="s">
        <v>43</v>
      </c>
      <c r="AL398" s="421" t="s">
        <v>41</v>
      </c>
      <c r="AM398" s="416">
        <v>0</v>
      </c>
      <c r="AN398" s="422" t="s">
        <v>40</v>
      </c>
      <c r="AO398" s="165"/>
      <c r="AP398" s="165"/>
      <c r="AQ398" s="165"/>
      <c r="AR398" s="165"/>
      <c r="AS398" s="165"/>
      <c r="AT398" s="315"/>
      <c r="AU398" s="143"/>
      <c r="AV398" s="143"/>
      <c r="AW398" s="143"/>
      <c r="AX398" s="143"/>
      <c r="AY398" s="143"/>
      <c r="AZ398" s="143"/>
      <c r="BA398" s="143"/>
      <c r="BB398" s="143"/>
      <c r="BC398" s="143"/>
      <c r="BD398" s="143"/>
      <c r="BE398" s="143"/>
      <c r="BF398" s="143"/>
      <c r="BG398" s="143"/>
      <c r="BH398" s="143"/>
      <c r="BI398" s="143"/>
      <c r="BJ398" s="143"/>
      <c r="BK398" s="143"/>
      <c r="BL398" s="143"/>
      <c r="BM398" s="143"/>
      <c r="BN398" s="143"/>
      <c r="BO398" s="143"/>
      <c r="BP398" s="143"/>
      <c r="BQ398" s="143"/>
      <c r="BR398" s="143"/>
      <c r="BS398" s="143"/>
      <c r="BT398" s="143"/>
      <c r="BU398" s="143"/>
      <c r="BV398" s="143"/>
      <c r="BW398" s="143"/>
      <c r="BX398" s="143"/>
      <c r="BY398" s="143"/>
      <c r="BZ398" s="143"/>
      <c r="CA398" s="143"/>
      <c r="CB398" s="143"/>
      <c r="CC398" s="143"/>
      <c r="CD398" s="143"/>
      <c r="CE398" s="143"/>
      <c r="CF398" s="143"/>
      <c r="CG398" s="143"/>
      <c r="CH398" s="143"/>
      <c r="CI398" s="143"/>
      <c r="CJ398" s="143"/>
      <c r="CK398" s="143"/>
      <c r="CL398" s="143"/>
      <c r="CM398" s="143"/>
      <c r="CN398" s="143"/>
      <c r="CO398" s="143"/>
      <c r="CP398" s="143"/>
      <c r="CQ398" s="143"/>
      <c r="CR398" s="143"/>
      <c r="CS398" s="143"/>
      <c r="CT398" s="143"/>
      <c r="CU398" s="143"/>
      <c r="CV398" s="143"/>
      <c r="CW398" s="143"/>
      <c r="CX398" s="143"/>
      <c r="CY398" s="143"/>
      <c r="CZ398" s="143"/>
      <c r="DA398" s="143"/>
      <c r="DB398" s="143"/>
      <c r="DC398" s="143"/>
      <c r="DD398" s="143"/>
      <c r="DE398" s="143"/>
      <c r="DF398" s="143"/>
      <c r="DG398" s="143"/>
      <c r="DH398" s="143"/>
      <c r="DI398" s="143"/>
      <c r="DJ398" s="143"/>
      <c r="DK398" s="143"/>
      <c r="DL398" s="143"/>
      <c r="DM398" s="143"/>
      <c r="DN398" s="143"/>
      <c r="DO398" s="143"/>
      <c r="DP398" s="143"/>
      <c r="DQ398" s="143"/>
      <c r="DR398" s="143"/>
      <c r="DS398" s="143"/>
      <c r="DT398" s="143"/>
      <c r="DU398" s="143"/>
      <c r="DV398" s="143"/>
      <c r="DW398" s="143"/>
      <c r="DX398" s="143"/>
      <c r="DY398" s="143"/>
      <c r="DZ398" s="143"/>
      <c r="EA398" s="143"/>
      <c r="EB398" s="143"/>
      <c r="EC398" s="143"/>
      <c r="ED398" s="143"/>
      <c r="EE398" s="143"/>
      <c r="EF398" s="143"/>
      <c r="EG398" s="143"/>
    </row>
    <row r="399" spans="1:137" s="760" customFormat="1" ht="28.8" x14ac:dyDescent="0.3">
      <c r="A399" s="143" t="s">
        <v>264</v>
      </c>
      <c r="B399" s="421" t="s">
        <v>280</v>
      </c>
      <c r="C399" s="762" t="s">
        <v>557</v>
      </c>
      <c r="D399" s="223" t="s">
        <v>34</v>
      </c>
      <c r="E399" s="223" t="s">
        <v>282</v>
      </c>
      <c r="F399" s="1350" t="s">
        <v>285</v>
      </c>
      <c r="G399" s="763">
        <v>4.3099999999999996</v>
      </c>
      <c r="H399" s="764">
        <v>86805.48</v>
      </c>
      <c r="I399" s="757" t="s">
        <v>267</v>
      </c>
      <c r="J399" s="756">
        <v>86805.48</v>
      </c>
      <c r="K399" s="1610">
        <v>0</v>
      </c>
      <c r="L399" s="1610">
        <v>0</v>
      </c>
      <c r="M399" s="755" t="s">
        <v>200</v>
      </c>
      <c r="N399" s="755" t="s">
        <v>550</v>
      </c>
      <c r="O399" s="755" t="s">
        <v>558</v>
      </c>
      <c r="P399" s="155" t="s">
        <v>40</v>
      </c>
      <c r="Q399" s="156"/>
      <c r="R399" s="155" t="s">
        <v>64</v>
      </c>
      <c r="S399" s="156"/>
      <c r="T399" s="155"/>
      <c r="U399" s="156"/>
      <c r="V399" s="155" t="s">
        <v>40</v>
      </c>
      <c r="W399" s="156"/>
      <c r="X399" s="155" t="s">
        <v>40</v>
      </c>
      <c r="Y399" s="156"/>
      <c r="Z399" s="155" t="s">
        <v>64</v>
      </c>
      <c r="AA399" s="156"/>
      <c r="AB399" s="155" t="s">
        <v>40</v>
      </c>
      <c r="AC399" s="156"/>
      <c r="AD399" s="156"/>
      <c r="AE399" s="1527">
        <v>46203</v>
      </c>
      <c r="AF399" s="411" t="s">
        <v>247</v>
      </c>
      <c r="AG399" s="412">
        <v>2023</v>
      </c>
      <c r="AH399" s="758">
        <v>429522.195588</v>
      </c>
      <c r="AI399" s="766" t="s">
        <v>559</v>
      </c>
      <c r="AJ399" s="759"/>
      <c r="AK399" s="420" t="s">
        <v>43</v>
      </c>
      <c r="AL399" s="421" t="s">
        <v>41</v>
      </c>
      <c r="AM399" s="416">
        <v>0</v>
      </c>
      <c r="AN399" s="422" t="s">
        <v>40</v>
      </c>
      <c r="AO399" s="165"/>
      <c r="AP399" s="165"/>
      <c r="AQ399" s="165"/>
      <c r="AR399" s="165"/>
      <c r="AS399" s="165"/>
      <c r="AT399" s="315"/>
      <c r="AU399" s="143"/>
      <c r="AV399" s="143"/>
      <c r="AW399" s="143"/>
      <c r="AX399" s="143"/>
      <c r="AY399" s="143"/>
      <c r="AZ399" s="143"/>
      <c r="BA399" s="143"/>
      <c r="BB399" s="143"/>
      <c r="BC399" s="143"/>
      <c r="BD399" s="143"/>
      <c r="BE399" s="143"/>
      <c r="BF399" s="143"/>
      <c r="BG399" s="143"/>
      <c r="BH399" s="143"/>
      <c r="BI399" s="143"/>
      <c r="BJ399" s="143"/>
      <c r="BK399" s="143"/>
      <c r="BL399" s="143"/>
      <c r="BM399" s="143"/>
      <c r="BN399" s="143"/>
      <c r="BO399" s="143"/>
      <c r="BP399" s="143"/>
      <c r="BQ399" s="143"/>
      <c r="BR399" s="143"/>
      <c r="BS399" s="143"/>
      <c r="BT399" s="143"/>
      <c r="BU399" s="143"/>
      <c r="BV399" s="143"/>
      <c r="BW399" s="143"/>
      <c r="BX399" s="143"/>
      <c r="BY399" s="143"/>
      <c r="BZ399" s="143"/>
      <c r="CA399" s="143"/>
      <c r="CB399" s="143"/>
      <c r="CC399" s="143"/>
      <c r="CD399" s="143"/>
      <c r="CE399" s="143"/>
      <c r="CF399" s="143"/>
      <c r="CG399" s="143"/>
      <c r="CH399" s="143"/>
      <c r="CI399" s="143"/>
      <c r="CJ399" s="143"/>
      <c r="CK399" s="143"/>
      <c r="CL399" s="143"/>
      <c r="CM399" s="143"/>
      <c r="CN399" s="143"/>
      <c r="CO399" s="143"/>
      <c r="CP399" s="143"/>
      <c r="CQ399" s="143"/>
      <c r="CR399" s="143"/>
      <c r="CS399" s="143"/>
      <c r="CT399" s="143"/>
      <c r="CU399" s="143"/>
      <c r="CV399" s="143"/>
      <c r="CW399" s="143"/>
      <c r="CX399" s="143"/>
      <c r="CY399" s="143"/>
      <c r="CZ399" s="143"/>
      <c r="DA399" s="143"/>
      <c r="DB399" s="143"/>
      <c r="DC399" s="143"/>
      <c r="DD399" s="143"/>
      <c r="DE399" s="143"/>
      <c r="DF399" s="143"/>
      <c r="DG399" s="143"/>
      <c r="DH399" s="143"/>
      <c r="DI399" s="143"/>
      <c r="DJ399" s="143"/>
      <c r="DK399" s="143"/>
      <c r="DL399" s="143"/>
      <c r="DM399" s="143"/>
      <c r="DN399" s="143"/>
      <c r="DO399" s="143"/>
      <c r="DP399" s="143"/>
      <c r="DQ399" s="143"/>
      <c r="DR399" s="143"/>
      <c r="DS399" s="143"/>
      <c r="DT399" s="143"/>
      <c r="DU399" s="143"/>
      <c r="DV399" s="143"/>
      <c r="DW399" s="143"/>
      <c r="DX399" s="143"/>
      <c r="DY399" s="143"/>
      <c r="DZ399" s="143"/>
      <c r="EA399" s="143"/>
      <c r="EB399" s="143"/>
      <c r="EC399" s="143"/>
      <c r="ED399" s="143"/>
      <c r="EE399" s="143"/>
      <c r="EF399" s="143"/>
      <c r="EG399" s="143"/>
    </row>
    <row r="400" spans="1:137" s="760" customFormat="1" ht="28.8" x14ac:dyDescent="0.3">
      <c r="A400" s="143" t="s">
        <v>264</v>
      </c>
      <c r="B400" s="421" t="s">
        <v>280</v>
      </c>
      <c r="C400" s="762" t="s">
        <v>560</v>
      </c>
      <c r="D400" s="223" t="s">
        <v>34</v>
      </c>
      <c r="E400" s="223" t="s">
        <v>282</v>
      </c>
      <c r="F400" s="1350" t="s">
        <v>285</v>
      </c>
      <c r="G400" s="763">
        <v>10</v>
      </c>
      <c r="H400" s="764">
        <v>184806.1</v>
      </c>
      <c r="I400" s="757" t="s">
        <v>267</v>
      </c>
      <c r="J400" s="756">
        <v>184806.1</v>
      </c>
      <c r="K400" s="1400">
        <f>80795.49</f>
        <v>80795.490000000005</v>
      </c>
      <c r="L400" s="1400">
        <f>80795.49</f>
        <v>80795.490000000005</v>
      </c>
      <c r="M400" s="755" t="s">
        <v>412</v>
      </c>
      <c r="N400" s="755" t="s">
        <v>561</v>
      </c>
      <c r="O400" s="755" t="s">
        <v>562</v>
      </c>
      <c r="P400" s="155" t="s">
        <v>40</v>
      </c>
      <c r="Q400" s="156"/>
      <c r="R400" s="155" t="s">
        <v>64</v>
      </c>
      <c r="S400" s="156"/>
      <c r="T400" s="155"/>
      <c r="U400" s="156"/>
      <c r="V400" s="155" t="s">
        <v>40</v>
      </c>
      <c r="W400" s="156"/>
      <c r="X400" s="155" t="s">
        <v>40</v>
      </c>
      <c r="Y400" s="156"/>
      <c r="Z400" s="155" t="s">
        <v>64</v>
      </c>
      <c r="AA400" s="156"/>
      <c r="AB400" s="155" t="s">
        <v>40</v>
      </c>
      <c r="AC400" s="156"/>
      <c r="AD400" s="156"/>
      <c r="AE400" s="1527">
        <v>46203</v>
      </c>
      <c r="AF400" s="411" t="s">
        <v>247</v>
      </c>
      <c r="AG400" s="412">
        <v>2023</v>
      </c>
      <c r="AH400" s="758">
        <v>914439.06341000006</v>
      </c>
      <c r="AI400" s="766" t="s">
        <v>563</v>
      </c>
      <c r="AJ400" s="759"/>
      <c r="AK400" s="420" t="s">
        <v>43</v>
      </c>
      <c r="AL400" s="421" t="s">
        <v>41</v>
      </c>
      <c r="AM400" s="416">
        <v>0</v>
      </c>
      <c r="AN400" s="422" t="s">
        <v>40</v>
      </c>
      <c r="AO400" s="165"/>
      <c r="AP400" s="165"/>
      <c r="AQ400" s="165"/>
      <c r="AR400" s="165"/>
      <c r="AS400" s="165"/>
      <c r="AT400" s="315"/>
      <c r="AU400" s="143"/>
      <c r="AV400" s="143"/>
      <c r="AW400" s="143"/>
      <c r="AX400" s="143"/>
      <c r="AY400" s="143"/>
      <c r="AZ400" s="143"/>
      <c r="BA400" s="143"/>
      <c r="BB400" s="143"/>
      <c r="BC400" s="143"/>
      <c r="BD400" s="143"/>
      <c r="BE400" s="143"/>
      <c r="BF400" s="143"/>
      <c r="BG400" s="143"/>
      <c r="BH400" s="143"/>
      <c r="BI400" s="143"/>
      <c r="BJ400" s="143"/>
      <c r="BK400" s="143"/>
      <c r="BL400" s="143"/>
      <c r="BM400" s="143"/>
      <c r="BN400" s="143"/>
      <c r="BO400" s="143"/>
      <c r="BP400" s="143"/>
      <c r="BQ400" s="143"/>
      <c r="BR400" s="143"/>
      <c r="BS400" s="143"/>
      <c r="BT400" s="143"/>
      <c r="BU400" s="143"/>
      <c r="BV400" s="143"/>
      <c r="BW400" s="143"/>
      <c r="BX400" s="143"/>
      <c r="BY400" s="143"/>
      <c r="BZ400" s="143"/>
      <c r="CA400" s="143"/>
      <c r="CB400" s="143"/>
      <c r="CC400" s="143"/>
      <c r="CD400" s="143"/>
      <c r="CE400" s="143"/>
      <c r="CF400" s="143"/>
      <c r="CG400" s="143"/>
      <c r="CH400" s="143"/>
      <c r="CI400" s="143"/>
      <c r="CJ400" s="143"/>
      <c r="CK400" s="143"/>
      <c r="CL400" s="143"/>
      <c r="CM400" s="143"/>
      <c r="CN400" s="143"/>
      <c r="CO400" s="143"/>
      <c r="CP400" s="143"/>
      <c r="CQ400" s="143"/>
      <c r="CR400" s="143"/>
      <c r="CS400" s="143"/>
      <c r="CT400" s="143"/>
      <c r="CU400" s="143"/>
      <c r="CV400" s="143"/>
      <c r="CW400" s="143"/>
      <c r="CX400" s="143"/>
      <c r="CY400" s="143"/>
      <c r="CZ400" s="143"/>
      <c r="DA400" s="143"/>
      <c r="DB400" s="143"/>
      <c r="DC400" s="143"/>
      <c r="DD400" s="143"/>
      <c r="DE400" s="143"/>
      <c r="DF400" s="143"/>
      <c r="DG400" s="143"/>
      <c r="DH400" s="143"/>
      <c r="DI400" s="143"/>
      <c r="DJ400" s="143"/>
      <c r="DK400" s="143"/>
      <c r="DL400" s="143"/>
      <c r="DM400" s="143"/>
      <c r="DN400" s="143"/>
      <c r="DO400" s="143"/>
      <c r="DP400" s="143"/>
      <c r="DQ400" s="143"/>
      <c r="DR400" s="143"/>
      <c r="DS400" s="143"/>
      <c r="DT400" s="143"/>
      <c r="DU400" s="143"/>
      <c r="DV400" s="143"/>
      <c r="DW400" s="143"/>
      <c r="DX400" s="143"/>
      <c r="DY400" s="143"/>
      <c r="DZ400" s="143"/>
      <c r="EA400" s="143"/>
      <c r="EB400" s="143"/>
      <c r="EC400" s="143"/>
      <c r="ED400" s="143"/>
      <c r="EE400" s="143"/>
      <c r="EF400" s="143"/>
      <c r="EG400" s="143"/>
    </row>
    <row r="401" spans="1:137" s="760" customFormat="1" ht="28.8" x14ac:dyDescent="0.3">
      <c r="A401" s="143" t="s">
        <v>264</v>
      </c>
      <c r="B401" s="421" t="s">
        <v>280</v>
      </c>
      <c r="C401" s="762" t="s">
        <v>564</v>
      </c>
      <c r="D401" s="223" t="s">
        <v>34</v>
      </c>
      <c r="E401" s="223" t="s">
        <v>282</v>
      </c>
      <c r="F401" s="1350" t="s">
        <v>285</v>
      </c>
      <c r="G401" s="763">
        <v>7.03</v>
      </c>
      <c r="H401" s="764">
        <v>143947.4</v>
      </c>
      <c r="I401" s="757" t="s">
        <v>267</v>
      </c>
      <c r="J401" s="756">
        <v>143947.4</v>
      </c>
      <c r="K401" s="1610">
        <v>0</v>
      </c>
      <c r="L401" s="1610">
        <v>0</v>
      </c>
      <c r="M401" s="755" t="s">
        <v>73</v>
      </c>
      <c r="N401" s="755" t="s">
        <v>565</v>
      </c>
      <c r="O401" s="755" t="s">
        <v>566</v>
      </c>
      <c r="P401" s="155" t="s">
        <v>40</v>
      </c>
      <c r="Q401" s="156"/>
      <c r="R401" s="155" t="s">
        <v>64</v>
      </c>
      <c r="S401" s="156"/>
      <c r="T401" s="155"/>
      <c r="U401" s="156"/>
      <c r="V401" s="155" t="s">
        <v>40</v>
      </c>
      <c r="W401" s="156"/>
      <c r="X401" s="155" t="s">
        <v>40</v>
      </c>
      <c r="Y401" s="156"/>
      <c r="Z401" s="155" t="s">
        <v>64</v>
      </c>
      <c r="AA401" s="156"/>
      <c r="AB401" s="155" t="s">
        <v>40</v>
      </c>
      <c r="AC401" s="156"/>
      <c r="AD401" s="156"/>
      <c r="AE401" s="1527">
        <v>46203</v>
      </c>
      <c r="AF401" s="411" t="s">
        <v>247</v>
      </c>
      <c r="AG401" s="412">
        <v>2023</v>
      </c>
      <c r="AH401" s="758">
        <v>712266.12994000001</v>
      </c>
      <c r="AI401" s="766" t="s">
        <v>567</v>
      </c>
      <c r="AJ401" s="759"/>
      <c r="AK401" s="420" t="s">
        <v>43</v>
      </c>
      <c r="AL401" s="421" t="s">
        <v>41</v>
      </c>
      <c r="AM401" s="416">
        <v>0</v>
      </c>
      <c r="AN401" s="422" t="s">
        <v>40</v>
      </c>
      <c r="AO401" s="165"/>
      <c r="AP401" s="165"/>
      <c r="AQ401" s="165"/>
      <c r="AR401" s="165"/>
      <c r="AS401" s="165"/>
      <c r="AT401" s="315"/>
      <c r="AU401" s="143"/>
      <c r="AV401" s="143"/>
      <c r="AW401" s="143"/>
      <c r="AX401" s="143"/>
      <c r="AY401" s="143"/>
      <c r="AZ401" s="143"/>
      <c r="BA401" s="143"/>
      <c r="BB401" s="143"/>
      <c r="BC401" s="143"/>
      <c r="BD401" s="143"/>
      <c r="BE401" s="143"/>
      <c r="BF401" s="143"/>
      <c r="BG401" s="143"/>
      <c r="BH401" s="143"/>
      <c r="BI401" s="143"/>
      <c r="BJ401" s="143"/>
      <c r="BK401" s="143"/>
      <c r="BL401" s="143"/>
      <c r="BM401" s="143"/>
      <c r="BN401" s="143"/>
      <c r="BO401" s="143"/>
      <c r="BP401" s="143"/>
      <c r="BQ401" s="143"/>
      <c r="BR401" s="143"/>
      <c r="BS401" s="143"/>
      <c r="BT401" s="143"/>
      <c r="BU401" s="143"/>
      <c r="BV401" s="143"/>
      <c r="BW401" s="143"/>
      <c r="BX401" s="143"/>
      <c r="BY401" s="143"/>
      <c r="BZ401" s="143"/>
      <c r="CA401" s="143"/>
      <c r="CB401" s="143"/>
      <c r="CC401" s="143"/>
      <c r="CD401" s="143"/>
      <c r="CE401" s="143"/>
      <c r="CF401" s="143"/>
      <c r="CG401" s="143"/>
      <c r="CH401" s="143"/>
      <c r="CI401" s="143"/>
      <c r="CJ401" s="143"/>
      <c r="CK401" s="143"/>
      <c r="CL401" s="143"/>
      <c r="CM401" s="143"/>
      <c r="CN401" s="143"/>
      <c r="CO401" s="143"/>
      <c r="CP401" s="143"/>
      <c r="CQ401" s="143"/>
      <c r="CR401" s="143"/>
      <c r="CS401" s="143"/>
      <c r="CT401" s="143"/>
      <c r="CU401" s="143"/>
      <c r="CV401" s="143"/>
      <c r="CW401" s="143"/>
      <c r="CX401" s="143"/>
      <c r="CY401" s="143"/>
      <c r="CZ401" s="143"/>
      <c r="DA401" s="143"/>
      <c r="DB401" s="143"/>
      <c r="DC401" s="143"/>
      <c r="DD401" s="143"/>
      <c r="DE401" s="143"/>
      <c r="DF401" s="143"/>
      <c r="DG401" s="143"/>
      <c r="DH401" s="143"/>
      <c r="DI401" s="143"/>
      <c r="DJ401" s="143"/>
      <c r="DK401" s="143"/>
      <c r="DL401" s="143"/>
      <c r="DM401" s="143"/>
      <c r="DN401" s="143"/>
      <c r="DO401" s="143"/>
      <c r="DP401" s="143"/>
      <c r="DQ401" s="143"/>
      <c r="DR401" s="143"/>
      <c r="DS401" s="143"/>
      <c r="DT401" s="143"/>
      <c r="DU401" s="143"/>
      <c r="DV401" s="143"/>
      <c r="DW401" s="143"/>
      <c r="DX401" s="143"/>
      <c r="DY401" s="143"/>
      <c r="DZ401" s="143"/>
      <c r="EA401" s="143"/>
      <c r="EB401" s="143"/>
      <c r="EC401" s="143"/>
      <c r="ED401" s="143"/>
      <c r="EE401" s="143"/>
      <c r="EF401" s="143"/>
      <c r="EG401" s="143"/>
    </row>
    <row r="402" spans="1:137" s="760" customFormat="1" ht="28.8" x14ac:dyDescent="0.3">
      <c r="A402" s="143" t="s">
        <v>264</v>
      </c>
      <c r="B402" s="421" t="s">
        <v>280</v>
      </c>
      <c r="C402" s="762" t="s">
        <v>568</v>
      </c>
      <c r="D402" s="223" t="s">
        <v>34</v>
      </c>
      <c r="E402" s="223" t="s">
        <v>282</v>
      </c>
      <c r="F402" s="1350" t="s">
        <v>285</v>
      </c>
      <c r="G402" s="763">
        <v>10.453200000000001</v>
      </c>
      <c r="H402" s="764">
        <v>121315.72</v>
      </c>
      <c r="I402" s="757" t="s">
        <v>267</v>
      </c>
      <c r="J402" s="756">
        <v>121315.72</v>
      </c>
      <c r="K402" s="1610">
        <v>0</v>
      </c>
      <c r="L402" s="1610">
        <v>0</v>
      </c>
      <c r="M402" s="755" t="s">
        <v>412</v>
      </c>
      <c r="N402" s="755" t="s">
        <v>569</v>
      </c>
      <c r="O402" s="755" t="s">
        <v>570</v>
      </c>
      <c r="P402" s="155" t="s">
        <v>40</v>
      </c>
      <c r="Q402" s="156"/>
      <c r="R402" s="155" t="s">
        <v>64</v>
      </c>
      <c r="S402" s="156"/>
      <c r="T402" s="155"/>
      <c r="U402" s="156"/>
      <c r="V402" s="155" t="s">
        <v>40</v>
      </c>
      <c r="W402" s="156"/>
      <c r="X402" s="155" t="s">
        <v>40</v>
      </c>
      <c r="Y402" s="156"/>
      <c r="Z402" s="155" t="s">
        <v>64</v>
      </c>
      <c r="AA402" s="156"/>
      <c r="AB402" s="155" t="s">
        <v>40</v>
      </c>
      <c r="AC402" s="156"/>
      <c r="AD402" s="156"/>
      <c r="AE402" s="1527">
        <v>46203</v>
      </c>
      <c r="AF402" s="411" t="s">
        <v>247</v>
      </c>
      <c r="AG402" s="412">
        <v>2023</v>
      </c>
      <c r="AH402" s="758">
        <v>600282.31413199997</v>
      </c>
      <c r="AI402" s="766" t="s">
        <v>571</v>
      </c>
      <c r="AJ402" s="759"/>
      <c r="AK402" s="420" t="s">
        <v>43</v>
      </c>
      <c r="AL402" s="421" t="s">
        <v>41</v>
      </c>
      <c r="AM402" s="416">
        <v>0</v>
      </c>
      <c r="AN402" s="422" t="s">
        <v>40</v>
      </c>
      <c r="AO402" s="165"/>
      <c r="AP402" s="165"/>
      <c r="AQ402" s="165"/>
      <c r="AR402" s="165"/>
      <c r="AS402" s="165"/>
      <c r="AT402" s="315"/>
      <c r="AU402" s="143"/>
      <c r="AV402" s="143"/>
      <c r="AW402" s="143"/>
      <c r="AX402" s="143"/>
      <c r="AY402" s="143"/>
      <c r="AZ402" s="143"/>
      <c r="BA402" s="143"/>
      <c r="BB402" s="143"/>
      <c r="BC402" s="143"/>
      <c r="BD402" s="143"/>
      <c r="BE402" s="143"/>
      <c r="BF402" s="143"/>
      <c r="BG402" s="143"/>
      <c r="BH402" s="143"/>
      <c r="BI402" s="143"/>
      <c r="BJ402" s="143"/>
      <c r="BK402" s="143"/>
      <c r="BL402" s="143"/>
      <c r="BM402" s="143"/>
      <c r="BN402" s="143"/>
      <c r="BO402" s="143"/>
      <c r="BP402" s="143"/>
      <c r="BQ402" s="143"/>
      <c r="BR402" s="143"/>
      <c r="BS402" s="143"/>
      <c r="BT402" s="143"/>
      <c r="BU402" s="143"/>
      <c r="BV402" s="143"/>
      <c r="BW402" s="143"/>
      <c r="BX402" s="143"/>
      <c r="BY402" s="143"/>
      <c r="BZ402" s="143"/>
      <c r="CA402" s="143"/>
      <c r="CB402" s="143"/>
      <c r="CC402" s="143"/>
      <c r="CD402" s="143"/>
      <c r="CE402" s="143"/>
      <c r="CF402" s="143"/>
      <c r="CG402" s="143"/>
      <c r="CH402" s="143"/>
      <c r="CI402" s="143"/>
      <c r="CJ402" s="143"/>
      <c r="CK402" s="143"/>
      <c r="CL402" s="143"/>
      <c r="CM402" s="143"/>
      <c r="CN402" s="143"/>
      <c r="CO402" s="143"/>
      <c r="CP402" s="143"/>
      <c r="CQ402" s="143"/>
      <c r="CR402" s="143"/>
      <c r="CS402" s="143"/>
      <c r="CT402" s="143"/>
      <c r="CU402" s="143"/>
      <c r="CV402" s="143"/>
      <c r="CW402" s="143"/>
      <c r="CX402" s="143"/>
      <c r="CY402" s="143"/>
      <c r="CZ402" s="143"/>
      <c r="DA402" s="143"/>
      <c r="DB402" s="143"/>
      <c r="DC402" s="143"/>
      <c r="DD402" s="143"/>
      <c r="DE402" s="143"/>
      <c r="DF402" s="143"/>
      <c r="DG402" s="143"/>
      <c r="DH402" s="143"/>
      <c r="DI402" s="143"/>
      <c r="DJ402" s="143"/>
      <c r="DK402" s="143"/>
      <c r="DL402" s="143"/>
      <c r="DM402" s="143"/>
      <c r="DN402" s="143"/>
      <c r="DO402" s="143"/>
      <c r="DP402" s="143"/>
      <c r="DQ402" s="143"/>
      <c r="DR402" s="143"/>
      <c r="DS402" s="143"/>
      <c r="DT402" s="143"/>
      <c r="DU402" s="143"/>
      <c r="DV402" s="143"/>
      <c r="DW402" s="143"/>
      <c r="DX402" s="143"/>
      <c r="DY402" s="143"/>
      <c r="DZ402" s="143"/>
      <c r="EA402" s="143"/>
      <c r="EB402" s="143"/>
      <c r="EC402" s="143"/>
      <c r="ED402" s="143"/>
      <c r="EE402" s="143"/>
      <c r="EF402" s="143"/>
      <c r="EG402" s="143"/>
    </row>
    <row r="403" spans="1:137" s="760" customFormat="1" ht="28.8" x14ac:dyDescent="0.3">
      <c r="A403" s="143" t="s">
        <v>264</v>
      </c>
      <c r="B403" s="421" t="s">
        <v>280</v>
      </c>
      <c r="C403" s="762" t="s">
        <v>572</v>
      </c>
      <c r="D403" s="223" t="s">
        <v>34</v>
      </c>
      <c r="E403" s="223" t="s">
        <v>282</v>
      </c>
      <c r="F403" s="1350" t="s">
        <v>285</v>
      </c>
      <c r="G403" s="763">
        <v>2.6017999999999999</v>
      </c>
      <c r="H403" s="764">
        <v>59325.65</v>
      </c>
      <c r="I403" s="757" t="s">
        <v>267</v>
      </c>
      <c r="J403" s="756">
        <v>59325.65</v>
      </c>
      <c r="K403" s="1400">
        <f>45457.73</f>
        <v>45457.73</v>
      </c>
      <c r="L403" s="1400">
        <f>45457.73</f>
        <v>45457.73</v>
      </c>
      <c r="M403" s="755" t="s">
        <v>84</v>
      </c>
      <c r="N403" s="755" t="s">
        <v>573</v>
      </c>
      <c r="O403" s="755" t="s">
        <v>574</v>
      </c>
      <c r="P403" s="155" t="s">
        <v>40</v>
      </c>
      <c r="Q403" s="156"/>
      <c r="R403" s="155" t="s">
        <v>64</v>
      </c>
      <c r="S403" s="156"/>
      <c r="T403" s="155"/>
      <c r="U403" s="156"/>
      <c r="V403" s="155" t="s">
        <v>40</v>
      </c>
      <c r="W403" s="156"/>
      <c r="X403" s="155" t="s">
        <v>40</v>
      </c>
      <c r="Y403" s="156"/>
      <c r="Z403" s="155" t="s">
        <v>64</v>
      </c>
      <c r="AA403" s="156"/>
      <c r="AB403" s="155" t="s">
        <v>40</v>
      </c>
      <c r="AC403" s="156"/>
      <c r="AD403" s="156"/>
      <c r="AE403" s="1527">
        <v>46203</v>
      </c>
      <c r="AF403" s="411" t="s">
        <v>247</v>
      </c>
      <c r="AG403" s="412">
        <v>2023</v>
      </c>
      <c r="AH403" s="758">
        <v>293549.23</v>
      </c>
      <c r="AI403" s="766" t="s">
        <v>575</v>
      </c>
      <c r="AJ403" s="759"/>
      <c r="AK403" s="420" t="s">
        <v>43</v>
      </c>
      <c r="AL403" s="421" t="s">
        <v>41</v>
      </c>
      <c r="AM403" s="416">
        <v>0</v>
      </c>
      <c r="AN403" s="422" t="s">
        <v>40</v>
      </c>
      <c r="AO403" s="165"/>
      <c r="AP403" s="165"/>
      <c r="AQ403" s="165"/>
      <c r="AR403" s="165"/>
      <c r="AS403" s="165"/>
      <c r="AT403" s="315"/>
      <c r="AU403" s="143"/>
      <c r="AV403" s="143"/>
      <c r="AW403" s="143"/>
      <c r="AX403" s="143"/>
      <c r="AY403" s="143"/>
      <c r="AZ403" s="143"/>
      <c r="BA403" s="143"/>
      <c r="BB403" s="143"/>
      <c r="BC403" s="143"/>
      <c r="BD403" s="143"/>
      <c r="BE403" s="143"/>
      <c r="BF403" s="143"/>
      <c r="BG403" s="143"/>
      <c r="BH403" s="143"/>
      <c r="BI403" s="143"/>
      <c r="BJ403" s="143"/>
      <c r="BK403" s="143"/>
      <c r="BL403" s="143"/>
      <c r="BM403" s="143"/>
      <c r="BN403" s="143"/>
      <c r="BO403" s="143"/>
      <c r="BP403" s="143"/>
      <c r="BQ403" s="143"/>
      <c r="BR403" s="143"/>
      <c r="BS403" s="143"/>
      <c r="BT403" s="143"/>
      <c r="BU403" s="143"/>
      <c r="BV403" s="143"/>
      <c r="BW403" s="143"/>
      <c r="BX403" s="143"/>
      <c r="BY403" s="143"/>
      <c r="BZ403" s="143"/>
      <c r="CA403" s="143"/>
      <c r="CB403" s="143"/>
      <c r="CC403" s="143"/>
      <c r="CD403" s="143"/>
      <c r="CE403" s="143"/>
      <c r="CF403" s="143"/>
      <c r="CG403" s="143"/>
      <c r="CH403" s="143"/>
      <c r="CI403" s="143"/>
      <c r="CJ403" s="143"/>
      <c r="CK403" s="143"/>
      <c r="CL403" s="143"/>
      <c r="CM403" s="143"/>
      <c r="CN403" s="143"/>
      <c r="CO403" s="143"/>
      <c r="CP403" s="143"/>
      <c r="CQ403" s="143"/>
      <c r="CR403" s="143"/>
      <c r="CS403" s="143"/>
      <c r="CT403" s="143"/>
      <c r="CU403" s="143"/>
      <c r="CV403" s="143"/>
      <c r="CW403" s="143"/>
      <c r="CX403" s="143"/>
      <c r="CY403" s="143"/>
      <c r="CZ403" s="143"/>
      <c r="DA403" s="143"/>
      <c r="DB403" s="143"/>
      <c r="DC403" s="143"/>
      <c r="DD403" s="143"/>
      <c r="DE403" s="143"/>
      <c r="DF403" s="143"/>
      <c r="DG403" s="143"/>
      <c r="DH403" s="143"/>
      <c r="DI403" s="143"/>
      <c r="DJ403" s="143"/>
      <c r="DK403" s="143"/>
      <c r="DL403" s="143"/>
      <c r="DM403" s="143"/>
      <c r="DN403" s="143"/>
      <c r="DO403" s="143"/>
      <c r="DP403" s="143"/>
      <c r="DQ403" s="143"/>
      <c r="DR403" s="143"/>
      <c r="DS403" s="143"/>
      <c r="DT403" s="143"/>
      <c r="DU403" s="143"/>
      <c r="DV403" s="143"/>
      <c r="DW403" s="143"/>
      <c r="DX403" s="143"/>
      <c r="DY403" s="143"/>
      <c r="DZ403" s="143"/>
      <c r="EA403" s="143"/>
      <c r="EB403" s="143"/>
      <c r="EC403" s="143"/>
      <c r="ED403" s="143"/>
      <c r="EE403" s="143"/>
      <c r="EF403" s="143"/>
      <c r="EG403" s="143"/>
    </row>
    <row r="404" spans="1:137" s="760" customFormat="1" ht="28.8" x14ac:dyDescent="0.3">
      <c r="A404" s="143" t="s">
        <v>264</v>
      </c>
      <c r="B404" s="421" t="s">
        <v>280</v>
      </c>
      <c r="C404" s="762" t="s">
        <v>576</v>
      </c>
      <c r="D404" s="223" t="s">
        <v>34</v>
      </c>
      <c r="E404" s="223" t="s">
        <v>282</v>
      </c>
      <c r="F404" s="1350" t="s">
        <v>285</v>
      </c>
      <c r="G404" s="763">
        <v>3.4289000000000001</v>
      </c>
      <c r="H404" s="764">
        <v>66608.929999999993</v>
      </c>
      <c r="I404" s="757" t="s">
        <v>267</v>
      </c>
      <c r="J404" s="756">
        <v>66608.929999999993</v>
      </c>
      <c r="K404" s="1400">
        <f>45339.35</f>
        <v>45339.35</v>
      </c>
      <c r="L404" s="1400">
        <f>45339.35</f>
        <v>45339.35</v>
      </c>
      <c r="M404" s="755" t="s">
        <v>84</v>
      </c>
      <c r="N404" s="755" t="s">
        <v>573</v>
      </c>
      <c r="O404" s="755" t="s">
        <v>577</v>
      </c>
      <c r="P404" s="155" t="s">
        <v>40</v>
      </c>
      <c r="Q404" s="156"/>
      <c r="R404" s="155" t="s">
        <v>64</v>
      </c>
      <c r="S404" s="156"/>
      <c r="T404" s="155"/>
      <c r="U404" s="156"/>
      <c r="V404" s="155" t="s">
        <v>40</v>
      </c>
      <c r="W404" s="156"/>
      <c r="X404" s="155" t="s">
        <v>40</v>
      </c>
      <c r="Y404" s="156"/>
      <c r="Z404" s="155" t="s">
        <v>64</v>
      </c>
      <c r="AA404" s="156"/>
      <c r="AB404" s="155" t="s">
        <v>40</v>
      </c>
      <c r="AC404" s="156"/>
      <c r="AD404" s="156"/>
      <c r="AE404" s="1527">
        <v>46203</v>
      </c>
      <c r="AF404" s="411" t="s">
        <v>247</v>
      </c>
      <c r="AG404" s="412">
        <v>2023</v>
      </c>
      <c r="AH404" s="758">
        <v>329587.64653299999</v>
      </c>
      <c r="AI404" s="766" t="s">
        <v>578</v>
      </c>
      <c r="AJ404" s="759"/>
      <c r="AK404" s="420" t="s">
        <v>43</v>
      </c>
      <c r="AL404" s="421" t="s">
        <v>41</v>
      </c>
      <c r="AM404" s="416">
        <v>0</v>
      </c>
      <c r="AN404" s="422" t="s">
        <v>40</v>
      </c>
      <c r="AO404" s="165"/>
      <c r="AP404" s="165"/>
      <c r="AQ404" s="165"/>
      <c r="AR404" s="165"/>
      <c r="AS404" s="165"/>
      <c r="AT404" s="315"/>
      <c r="AU404" s="143"/>
      <c r="AV404" s="143"/>
      <c r="AW404" s="143"/>
      <c r="AX404" s="143"/>
      <c r="AY404" s="143"/>
      <c r="AZ404" s="143"/>
      <c r="BA404" s="143"/>
      <c r="BB404" s="143"/>
      <c r="BC404" s="143"/>
      <c r="BD404" s="143"/>
      <c r="BE404" s="143"/>
      <c r="BF404" s="143"/>
      <c r="BG404" s="143"/>
      <c r="BH404" s="143"/>
      <c r="BI404" s="143"/>
      <c r="BJ404" s="143"/>
      <c r="BK404" s="143"/>
      <c r="BL404" s="143"/>
      <c r="BM404" s="143"/>
      <c r="BN404" s="143"/>
      <c r="BO404" s="143"/>
      <c r="BP404" s="143"/>
      <c r="BQ404" s="143"/>
      <c r="BR404" s="143"/>
      <c r="BS404" s="143"/>
      <c r="BT404" s="143"/>
      <c r="BU404" s="143"/>
      <c r="BV404" s="143"/>
      <c r="BW404" s="143"/>
      <c r="BX404" s="143"/>
      <c r="BY404" s="143"/>
      <c r="BZ404" s="143"/>
      <c r="CA404" s="143"/>
      <c r="CB404" s="143"/>
      <c r="CC404" s="143"/>
      <c r="CD404" s="143"/>
      <c r="CE404" s="143"/>
      <c r="CF404" s="143"/>
      <c r="CG404" s="143"/>
      <c r="CH404" s="143"/>
      <c r="CI404" s="143"/>
      <c r="CJ404" s="143"/>
      <c r="CK404" s="143"/>
      <c r="CL404" s="143"/>
      <c r="CM404" s="143"/>
      <c r="CN404" s="143"/>
      <c r="CO404" s="143"/>
      <c r="CP404" s="143"/>
      <c r="CQ404" s="143"/>
      <c r="CR404" s="143"/>
      <c r="CS404" s="143"/>
      <c r="CT404" s="143"/>
      <c r="CU404" s="143"/>
      <c r="CV404" s="143"/>
      <c r="CW404" s="143"/>
      <c r="CX404" s="143"/>
      <c r="CY404" s="143"/>
      <c r="CZ404" s="143"/>
      <c r="DA404" s="143"/>
      <c r="DB404" s="143"/>
      <c r="DC404" s="143"/>
      <c r="DD404" s="143"/>
      <c r="DE404" s="143"/>
      <c r="DF404" s="143"/>
      <c r="DG404" s="143"/>
      <c r="DH404" s="143"/>
      <c r="DI404" s="143"/>
      <c r="DJ404" s="143"/>
      <c r="DK404" s="143"/>
      <c r="DL404" s="143"/>
      <c r="DM404" s="143"/>
      <c r="DN404" s="143"/>
      <c r="DO404" s="143"/>
      <c r="DP404" s="143"/>
      <c r="DQ404" s="143"/>
      <c r="DR404" s="143"/>
      <c r="DS404" s="143"/>
      <c r="DT404" s="143"/>
      <c r="DU404" s="143"/>
      <c r="DV404" s="143"/>
      <c r="DW404" s="143"/>
      <c r="DX404" s="143"/>
      <c r="DY404" s="143"/>
      <c r="DZ404" s="143"/>
      <c r="EA404" s="143"/>
      <c r="EB404" s="143"/>
      <c r="EC404" s="143"/>
      <c r="ED404" s="143"/>
      <c r="EE404" s="143"/>
      <c r="EF404" s="143"/>
      <c r="EG404" s="143"/>
    </row>
    <row r="405" spans="1:137" s="760" customFormat="1" ht="28.8" x14ac:dyDescent="0.3">
      <c r="A405" s="143" t="s">
        <v>264</v>
      </c>
      <c r="B405" s="421" t="s">
        <v>280</v>
      </c>
      <c r="C405" s="762" t="s">
        <v>579</v>
      </c>
      <c r="D405" s="223" t="s">
        <v>34</v>
      </c>
      <c r="E405" s="223" t="s">
        <v>282</v>
      </c>
      <c r="F405" s="1350" t="s">
        <v>285</v>
      </c>
      <c r="G405" s="763">
        <v>2.63</v>
      </c>
      <c r="H405" s="764">
        <v>55399.78</v>
      </c>
      <c r="I405" s="757" t="s">
        <v>267</v>
      </c>
      <c r="J405" s="756">
        <v>55399.78</v>
      </c>
      <c r="K405" s="1610">
        <f>40834.839</f>
        <v>40834.839</v>
      </c>
      <c r="L405" s="1610">
        <f>40834.839</f>
        <v>40834.839</v>
      </c>
      <c r="M405" s="755" t="s">
        <v>322</v>
      </c>
      <c r="N405" s="755" t="s">
        <v>389</v>
      </c>
      <c r="O405" s="755" t="s">
        <v>580</v>
      </c>
      <c r="P405" s="155" t="s">
        <v>40</v>
      </c>
      <c r="Q405" s="156"/>
      <c r="R405" s="155" t="s">
        <v>64</v>
      </c>
      <c r="S405" s="156"/>
      <c r="T405" s="155"/>
      <c r="U405" s="156"/>
      <c r="V405" s="155" t="s">
        <v>40</v>
      </c>
      <c r="W405" s="156"/>
      <c r="X405" s="155" t="s">
        <v>40</v>
      </c>
      <c r="Y405" s="156"/>
      <c r="Z405" s="155" t="s">
        <v>64</v>
      </c>
      <c r="AA405" s="156"/>
      <c r="AB405" s="155" t="s">
        <v>40</v>
      </c>
      <c r="AC405" s="156"/>
      <c r="AD405" s="156"/>
      <c r="AE405" s="1527">
        <v>46203</v>
      </c>
      <c r="AF405" s="411" t="s">
        <v>247</v>
      </c>
      <c r="AG405" s="412">
        <v>2023</v>
      </c>
      <c r="AH405" s="758">
        <v>274123.65141799999</v>
      </c>
      <c r="AI405" s="766" t="s">
        <v>581</v>
      </c>
      <c r="AJ405" s="759"/>
      <c r="AK405" s="420" t="s">
        <v>43</v>
      </c>
      <c r="AL405" s="421" t="s">
        <v>41</v>
      </c>
      <c r="AM405" s="416">
        <v>0</v>
      </c>
      <c r="AN405" s="422" t="s">
        <v>40</v>
      </c>
      <c r="AO405" s="165"/>
      <c r="AP405" s="165"/>
      <c r="AQ405" s="165"/>
      <c r="AR405" s="165"/>
      <c r="AS405" s="165"/>
      <c r="AT405" s="315"/>
      <c r="AU405" s="143"/>
      <c r="AV405" s="143"/>
      <c r="AW405" s="143"/>
      <c r="AX405" s="143"/>
      <c r="AY405" s="143"/>
      <c r="AZ405" s="143"/>
      <c r="BA405" s="143"/>
      <c r="BB405" s="143"/>
      <c r="BC405" s="143"/>
      <c r="BD405" s="143"/>
      <c r="BE405" s="143"/>
      <c r="BF405" s="143"/>
      <c r="BG405" s="143"/>
      <c r="BH405" s="143"/>
      <c r="BI405" s="143"/>
      <c r="BJ405" s="143"/>
      <c r="BK405" s="143"/>
      <c r="BL405" s="143"/>
      <c r="BM405" s="143"/>
      <c r="BN405" s="143"/>
      <c r="BO405" s="143"/>
      <c r="BP405" s="143"/>
      <c r="BQ405" s="143"/>
      <c r="BR405" s="143"/>
      <c r="BS405" s="143"/>
      <c r="BT405" s="143"/>
      <c r="BU405" s="143"/>
      <c r="BV405" s="143"/>
      <c r="BW405" s="143"/>
      <c r="BX405" s="143"/>
      <c r="BY405" s="143"/>
      <c r="BZ405" s="143"/>
      <c r="CA405" s="143"/>
      <c r="CB405" s="143"/>
      <c r="CC405" s="143"/>
      <c r="CD405" s="143"/>
      <c r="CE405" s="143"/>
      <c r="CF405" s="143"/>
      <c r="CG405" s="143"/>
      <c r="CH405" s="143"/>
      <c r="CI405" s="143"/>
      <c r="CJ405" s="143"/>
      <c r="CK405" s="143"/>
      <c r="CL405" s="143"/>
      <c r="CM405" s="143"/>
      <c r="CN405" s="143"/>
      <c r="CO405" s="143"/>
      <c r="CP405" s="143"/>
      <c r="CQ405" s="143"/>
      <c r="CR405" s="143"/>
      <c r="CS405" s="143"/>
      <c r="CT405" s="143"/>
      <c r="CU405" s="143"/>
      <c r="CV405" s="143"/>
      <c r="CW405" s="143"/>
      <c r="CX405" s="143"/>
      <c r="CY405" s="143"/>
      <c r="CZ405" s="143"/>
      <c r="DA405" s="143"/>
      <c r="DB405" s="143"/>
      <c r="DC405" s="143"/>
      <c r="DD405" s="143"/>
      <c r="DE405" s="143"/>
      <c r="DF405" s="143"/>
      <c r="DG405" s="143"/>
      <c r="DH405" s="143"/>
      <c r="DI405" s="143"/>
      <c r="DJ405" s="143"/>
      <c r="DK405" s="143"/>
      <c r="DL405" s="143"/>
      <c r="DM405" s="143"/>
      <c r="DN405" s="143"/>
      <c r="DO405" s="143"/>
      <c r="DP405" s="143"/>
      <c r="DQ405" s="143"/>
      <c r="DR405" s="143"/>
      <c r="DS405" s="143"/>
      <c r="DT405" s="143"/>
      <c r="DU405" s="143"/>
      <c r="DV405" s="143"/>
      <c r="DW405" s="143"/>
      <c r="DX405" s="143"/>
      <c r="DY405" s="143"/>
      <c r="DZ405" s="143"/>
      <c r="EA405" s="143"/>
      <c r="EB405" s="143"/>
      <c r="EC405" s="143"/>
      <c r="ED405" s="143"/>
      <c r="EE405" s="143"/>
      <c r="EF405" s="143"/>
      <c r="EG405" s="143"/>
    </row>
    <row r="406" spans="1:137" s="760" customFormat="1" ht="28.8" x14ac:dyDescent="0.3">
      <c r="A406" s="143" t="s">
        <v>264</v>
      </c>
      <c r="B406" s="421" t="s">
        <v>280</v>
      </c>
      <c r="C406" s="762" t="s">
        <v>582</v>
      </c>
      <c r="D406" s="223" t="s">
        <v>34</v>
      </c>
      <c r="E406" s="223" t="s">
        <v>282</v>
      </c>
      <c r="F406" s="1350" t="s">
        <v>285</v>
      </c>
      <c r="G406" s="763">
        <v>0.84</v>
      </c>
      <c r="H406" s="764">
        <v>27240.560000000001</v>
      </c>
      <c r="I406" s="757" t="s">
        <v>267</v>
      </c>
      <c r="J406" s="756">
        <v>27240.560000000001</v>
      </c>
      <c r="K406" s="1610">
        <f>20824.7205998262</f>
        <v>20824.7205998262</v>
      </c>
      <c r="L406" s="1610">
        <f>20824.7205998262</f>
        <v>20824.7205998262</v>
      </c>
      <c r="M406" s="755" t="s">
        <v>73</v>
      </c>
      <c r="N406" s="755" t="s">
        <v>583</v>
      </c>
      <c r="O406" s="755" t="s">
        <v>584</v>
      </c>
      <c r="P406" s="155" t="s">
        <v>40</v>
      </c>
      <c r="Q406" s="156"/>
      <c r="R406" s="155" t="s">
        <v>64</v>
      </c>
      <c r="S406" s="156"/>
      <c r="T406" s="155"/>
      <c r="U406" s="156"/>
      <c r="V406" s="155" t="s">
        <v>40</v>
      </c>
      <c r="W406" s="156"/>
      <c r="X406" s="155" t="s">
        <v>40</v>
      </c>
      <c r="Y406" s="156"/>
      <c r="Z406" s="155" t="s">
        <v>64</v>
      </c>
      <c r="AA406" s="156"/>
      <c r="AB406" s="155" t="s">
        <v>40</v>
      </c>
      <c r="AC406" s="156"/>
      <c r="AD406" s="156"/>
      <c r="AE406" s="1527">
        <v>46203</v>
      </c>
      <c r="AF406" s="411" t="s">
        <v>247</v>
      </c>
      <c r="AG406" s="412">
        <v>2023</v>
      </c>
      <c r="AH406" s="758">
        <v>134789.01493600002</v>
      </c>
      <c r="AI406" s="766" t="s">
        <v>585</v>
      </c>
      <c r="AJ406" s="759"/>
      <c r="AK406" s="420" t="s">
        <v>43</v>
      </c>
      <c r="AL406" s="421" t="s">
        <v>41</v>
      </c>
      <c r="AM406" s="416">
        <v>0</v>
      </c>
      <c r="AN406" s="422" t="s">
        <v>40</v>
      </c>
      <c r="AO406" s="165"/>
      <c r="AP406" s="165"/>
      <c r="AQ406" s="165"/>
      <c r="AR406" s="165"/>
      <c r="AS406" s="165"/>
      <c r="AT406" s="315"/>
      <c r="AU406" s="143"/>
      <c r="AV406" s="143"/>
      <c r="AW406" s="143"/>
      <c r="AX406" s="143"/>
      <c r="AY406" s="143"/>
      <c r="AZ406" s="143"/>
      <c r="BA406" s="143"/>
      <c r="BB406" s="143"/>
      <c r="BC406" s="143"/>
      <c r="BD406" s="143"/>
      <c r="BE406" s="143"/>
      <c r="BF406" s="143"/>
      <c r="BG406" s="143"/>
      <c r="BH406" s="143"/>
      <c r="BI406" s="143"/>
      <c r="BJ406" s="143"/>
      <c r="BK406" s="143"/>
      <c r="BL406" s="143"/>
      <c r="BM406" s="143"/>
      <c r="BN406" s="143"/>
      <c r="BO406" s="143"/>
      <c r="BP406" s="143"/>
      <c r="BQ406" s="143"/>
      <c r="BR406" s="143"/>
      <c r="BS406" s="143"/>
      <c r="BT406" s="143"/>
      <c r="BU406" s="143"/>
      <c r="BV406" s="143"/>
      <c r="BW406" s="143"/>
      <c r="BX406" s="143"/>
      <c r="BY406" s="143"/>
      <c r="BZ406" s="143"/>
      <c r="CA406" s="143"/>
      <c r="CB406" s="143"/>
      <c r="CC406" s="143"/>
      <c r="CD406" s="143"/>
      <c r="CE406" s="143"/>
      <c r="CF406" s="143"/>
      <c r="CG406" s="143"/>
      <c r="CH406" s="143"/>
      <c r="CI406" s="143"/>
      <c r="CJ406" s="143"/>
      <c r="CK406" s="143"/>
      <c r="CL406" s="143"/>
      <c r="CM406" s="143"/>
      <c r="CN406" s="143"/>
      <c r="CO406" s="143"/>
      <c r="CP406" s="143"/>
      <c r="CQ406" s="143"/>
      <c r="CR406" s="143"/>
      <c r="CS406" s="143"/>
      <c r="CT406" s="143"/>
      <c r="CU406" s="143"/>
      <c r="CV406" s="143"/>
      <c r="CW406" s="143"/>
      <c r="CX406" s="143"/>
      <c r="CY406" s="143"/>
      <c r="CZ406" s="143"/>
      <c r="DA406" s="143"/>
      <c r="DB406" s="143"/>
      <c r="DC406" s="143"/>
      <c r="DD406" s="143"/>
      <c r="DE406" s="143"/>
      <c r="DF406" s="143"/>
      <c r="DG406" s="143"/>
      <c r="DH406" s="143"/>
      <c r="DI406" s="143"/>
      <c r="DJ406" s="143"/>
      <c r="DK406" s="143"/>
      <c r="DL406" s="143"/>
      <c r="DM406" s="143"/>
      <c r="DN406" s="143"/>
      <c r="DO406" s="143"/>
      <c r="DP406" s="143"/>
      <c r="DQ406" s="143"/>
      <c r="DR406" s="143"/>
      <c r="DS406" s="143"/>
      <c r="DT406" s="143"/>
      <c r="DU406" s="143"/>
      <c r="DV406" s="143"/>
      <c r="DW406" s="143"/>
      <c r="DX406" s="143"/>
      <c r="DY406" s="143"/>
      <c r="DZ406" s="143"/>
      <c r="EA406" s="143"/>
      <c r="EB406" s="143"/>
      <c r="EC406" s="143"/>
      <c r="ED406" s="143"/>
      <c r="EE406" s="143"/>
      <c r="EF406" s="143"/>
      <c r="EG406" s="143"/>
    </row>
    <row r="407" spans="1:137" s="760" customFormat="1" ht="28.8" x14ac:dyDescent="0.3">
      <c r="A407" s="143" t="s">
        <v>264</v>
      </c>
      <c r="B407" s="421" t="s">
        <v>280</v>
      </c>
      <c r="C407" s="762" t="s">
        <v>586</v>
      </c>
      <c r="D407" s="223" t="s">
        <v>34</v>
      </c>
      <c r="E407" s="223" t="s">
        <v>282</v>
      </c>
      <c r="F407" s="1350" t="s">
        <v>285</v>
      </c>
      <c r="G407" s="763">
        <v>2.58</v>
      </c>
      <c r="H407" s="764">
        <v>73063.42</v>
      </c>
      <c r="I407" s="757" t="s">
        <v>267</v>
      </c>
      <c r="J407" s="756">
        <v>73063.42</v>
      </c>
      <c r="K407" s="1610">
        <f>53332.22+53332.22</f>
        <v>106664.44</v>
      </c>
      <c r="L407" s="1610">
        <f>53332.22+53332.22</f>
        <v>106664.44</v>
      </c>
      <c r="M407" s="755" t="s">
        <v>80</v>
      </c>
      <c r="N407" s="755" t="s">
        <v>587</v>
      </c>
      <c r="O407" s="755" t="s">
        <v>588</v>
      </c>
      <c r="P407" s="155" t="s">
        <v>40</v>
      </c>
      <c r="Q407" s="156"/>
      <c r="R407" s="155" t="s">
        <v>64</v>
      </c>
      <c r="S407" s="156"/>
      <c r="T407" s="155"/>
      <c r="U407" s="156"/>
      <c r="V407" s="155" t="s">
        <v>40</v>
      </c>
      <c r="W407" s="156"/>
      <c r="X407" s="155" t="s">
        <v>40</v>
      </c>
      <c r="Y407" s="156"/>
      <c r="Z407" s="155" t="s">
        <v>64</v>
      </c>
      <c r="AA407" s="156"/>
      <c r="AB407" s="155" t="s">
        <v>40</v>
      </c>
      <c r="AC407" s="156"/>
      <c r="AD407" s="156"/>
      <c r="AE407" s="1527">
        <v>46203</v>
      </c>
      <c r="AF407" s="411" t="s">
        <v>247</v>
      </c>
      <c r="AG407" s="412">
        <v>2023</v>
      </c>
      <c r="AH407" s="758">
        <v>361525.10850199999</v>
      </c>
      <c r="AI407" s="766" t="s">
        <v>589</v>
      </c>
      <c r="AJ407" s="759"/>
      <c r="AK407" s="420" t="s">
        <v>43</v>
      </c>
      <c r="AL407" s="421" t="s">
        <v>41</v>
      </c>
      <c r="AM407" s="416">
        <v>0</v>
      </c>
      <c r="AN407" s="422" t="s">
        <v>40</v>
      </c>
      <c r="AO407" s="165"/>
      <c r="AP407" s="165"/>
      <c r="AQ407" s="165"/>
      <c r="AR407" s="165"/>
      <c r="AS407" s="165"/>
      <c r="AT407" s="315"/>
      <c r="AU407" s="143"/>
      <c r="AV407" s="143"/>
      <c r="AW407" s="143"/>
      <c r="AX407" s="143"/>
      <c r="AY407" s="143"/>
      <c r="AZ407" s="143"/>
      <c r="BA407" s="143"/>
      <c r="BB407" s="143"/>
      <c r="BC407" s="143"/>
      <c r="BD407" s="143"/>
      <c r="BE407" s="143"/>
      <c r="BF407" s="143"/>
      <c r="BG407" s="143"/>
      <c r="BH407" s="143"/>
      <c r="BI407" s="143"/>
      <c r="BJ407" s="143"/>
      <c r="BK407" s="143"/>
      <c r="BL407" s="143"/>
      <c r="BM407" s="143"/>
      <c r="BN407" s="143"/>
      <c r="BO407" s="143"/>
      <c r="BP407" s="143"/>
      <c r="BQ407" s="143"/>
      <c r="BR407" s="143"/>
      <c r="BS407" s="143"/>
      <c r="BT407" s="143"/>
      <c r="BU407" s="143"/>
      <c r="BV407" s="143"/>
      <c r="BW407" s="143"/>
      <c r="BX407" s="143"/>
      <c r="BY407" s="143"/>
      <c r="BZ407" s="143"/>
      <c r="CA407" s="143"/>
      <c r="CB407" s="143"/>
      <c r="CC407" s="143"/>
      <c r="CD407" s="143"/>
      <c r="CE407" s="143"/>
      <c r="CF407" s="143"/>
      <c r="CG407" s="143"/>
      <c r="CH407" s="143"/>
      <c r="CI407" s="143"/>
      <c r="CJ407" s="143"/>
      <c r="CK407" s="143"/>
      <c r="CL407" s="143"/>
      <c r="CM407" s="143"/>
      <c r="CN407" s="143"/>
      <c r="CO407" s="143"/>
      <c r="CP407" s="143"/>
      <c r="CQ407" s="143"/>
      <c r="CR407" s="143"/>
      <c r="CS407" s="143"/>
      <c r="CT407" s="143"/>
      <c r="CU407" s="143"/>
      <c r="CV407" s="143"/>
      <c r="CW407" s="143"/>
      <c r="CX407" s="143"/>
      <c r="CY407" s="143"/>
      <c r="CZ407" s="143"/>
      <c r="DA407" s="143"/>
      <c r="DB407" s="143"/>
      <c r="DC407" s="143"/>
      <c r="DD407" s="143"/>
      <c r="DE407" s="143"/>
      <c r="DF407" s="143"/>
      <c r="DG407" s="143"/>
      <c r="DH407" s="143"/>
      <c r="DI407" s="143"/>
      <c r="DJ407" s="143"/>
      <c r="DK407" s="143"/>
      <c r="DL407" s="143"/>
      <c r="DM407" s="143"/>
      <c r="DN407" s="143"/>
      <c r="DO407" s="143"/>
      <c r="DP407" s="143"/>
      <c r="DQ407" s="143"/>
      <c r="DR407" s="143"/>
      <c r="DS407" s="143"/>
      <c r="DT407" s="143"/>
      <c r="DU407" s="143"/>
      <c r="DV407" s="143"/>
      <c r="DW407" s="143"/>
      <c r="DX407" s="143"/>
      <c r="DY407" s="143"/>
      <c r="DZ407" s="143"/>
      <c r="EA407" s="143"/>
      <c r="EB407" s="143"/>
      <c r="EC407" s="143"/>
      <c r="ED407" s="143"/>
      <c r="EE407" s="143"/>
      <c r="EF407" s="143"/>
      <c r="EG407" s="143"/>
    </row>
    <row r="408" spans="1:137" s="760" customFormat="1" ht="28.8" x14ac:dyDescent="0.3">
      <c r="A408" s="143" t="s">
        <v>264</v>
      </c>
      <c r="B408" s="421" t="s">
        <v>280</v>
      </c>
      <c r="C408" s="762" t="s">
        <v>590</v>
      </c>
      <c r="D408" s="223" t="s">
        <v>34</v>
      </c>
      <c r="E408" s="223" t="s">
        <v>282</v>
      </c>
      <c r="F408" s="1350" t="s">
        <v>285</v>
      </c>
      <c r="G408" s="763">
        <v>4.2</v>
      </c>
      <c r="H408" s="764">
        <v>72216.73</v>
      </c>
      <c r="I408" s="757" t="s">
        <v>267</v>
      </c>
      <c r="J408" s="756">
        <v>72216.73</v>
      </c>
      <c r="K408" s="1610">
        <f>48698.7308259736</f>
        <v>48698.730825973602</v>
      </c>
      <c r="L408" s="1610">
        <f>48698.7308259736</f>
        <v>48698.730825973602</v>
      </c>
      <c r="M408" s="755" t="s">
        <v>200</v>
      </c>
      <c r="N408" s="755" t="s">
        <v>591</v>
      </c>
      <c r="O408" s="755" t="s">
        <v>592</v>
      </c>
      <c r="P408" s="155" t="s">
        <v>40</v>
      </c>
      <c r="Q408" s="156"/>
      <c r="R408" s="155" t="s">
        <v>64</v>
      </c>
      <c r="S408" s="156"/>
      <c r="T408" s="155"/>
      <c r="U408" s="156"/>
      <c r="V408" s="155" t="s">
        <v>40</v>
      </c>
      <c r="W408" s="156"/>
      <c r="X408" s="155" t="s">
        <v>40</v>
      </c>
      <c r="Y408" s="156"/>
      <c r="Z408" s="155" t="s">
        <v>64</v>
      </c>
      <c r="AA408" s="156"/>
      <c r="AB408" s="155" t="s">
        <v>40</v>
      </c>
      <c r="AC408" s="156"/>
      <c r="AD408" s="156"/>
      <c r="AE408" s="1527">
        <v>46203</v>
      </c>
      <c r="AF408" s="411" t="s">
        <v>247</v>
      </c>
      <c r="AG408" s="412">
        <v>2023</v>
      </c>
      <c r="AH408" s="758">
        <v>357335.60171299998</v>
      </c>
      <c r="AI408" s="765" t="s">
        <v>593</v>
      </c>
      <c r="AJ408" s="759"/>
      <c r="AK408" s="420" t="s">
        <v>43</v>
      </c>
      <c r="AL408" s="421" t="s">
        <v>41</v>
      </c>
      <c r="AM408" s="416">
        <v>0</v>
      </c>
      <c r="AN408" s="422" t="s">
        <v>40</v>
      </c>
      <c r="AO408" s="165"/>
      <c r="AP408" s="165"/>
      <c r="AQ408" s="165"/>
      <c r="AR408" s="165"/>
      <c r="AS408" s="165"/>
      <c r="AT408" s="315"/>
      <c r="AU408" s="143"/>
      <c r="AV408" s="143"/>
      <c r="AW408" s="143"/>
      <c r="AX408" s="143"/>
      <c r="AY408" s="143"/>
      <c r="AZ408" s="143"/>
      <c r="BA408" s="143"/>
      <c r="BB408" s="143"/>
      <c r="BC408" s="143"/>
      <c r="BD408" s="143"/>
      <c r="BE408" s="143"/>
      <c r="BF408" s="143"/>
      <c r="BG408" s="143"/>
      <c r="BH408" s="143"/>
      <c r="BI408" s="143"/>
      <c r="BJ408" s="143"/>
      <c r="BK408" s="143"/>
      <c r="BL408" s="143"/>
      <c r="BM408" s="143"/>
      <c r="BN408" s="143"/>
      <c r="BO408" s="143"/>
      <c r="BP408" s="143"/>
      <c r="BQ408" s="143"/>
      <c r="BR408" s="143"/>
      <c r="BS408" s="143"/>
      <c r="BT408" s="143"/>
      <c r="BU408" s="143"/>
      <c r="BV408" s="143"/>
      <c r="BW408" s="143"/>
      <c r="BX408" s="143"/>
      <c r="BY408" s="143"/>
      <c r="BZ408" s="143"/>
      <c r="CA408" s="143"/>
      <c r="CB408" s="143"/>
      <c r="CC408" s="143"/>
      <c r="CD408" s="143"/>
      <c r="CE408" s="143"/>
      <c r="CF408" s="143"/>
      <c r="CG408" s="143"/>
      <c r="CH408" s="143"/>
      <c r="CI408" s="143"/>
      <c r="CJ408" s="143"/>
      <c r="CK408" s="143"/>
      <c r="CL408" s="143"/>
      <c r="CM408" s="143"/>
      <c r="CN408" s="143"/>
      <c r="CO408" s="143"/>
      <c r="CP408" s="143"/>
      <c r="CQ408" s="143"/>
      <c r="CR408" s="143"/>
      <c r="CS408" s="143"/>
      <c r="CT408" s="143"/>
      <c r="CU408" s="143"/>
      <c r="CV408" s="143"/>
      <c r="CW408" s="143"/>
      <c r="CX408" s="143"/>
      <c r="CY408" s="143"/>
      <c r="CZ408" s="143"/>
      <c r="DA408" s="143"/>
      <c r="DB408" s="143"/>
      <c r="DC408" s="143"/>
      <c r="DD408" s="143"/>
      <c r="DE408" s="143"/>
      <c r="DF408" s="143"/>
      <c r="DG408" s="143"/>
      <c r="DH408" s="143"/>
      <c r="DI408" s="143"/>
      <c r="DJ408" s="143"/>
      <c r="DK408" s="143"/>
      <c r="DL408" s="143"/>
      <c r="DM408" s="143"/>
      <c r="DN408" s="143"/>
      <c r="DO408" s="143"/>
      <c r="DP408" s="143"/>
      <c r="DQ408" s="143"/>
      <c r="DR408" s="143"/>
      <c r="DS408" s="143"/>
      <c r="DT408" s="143"/>
      <c r="DU408" s="143"/>
      <c r="DV408" s="143"/>
      <c r="DW408" s="143"/>
      <c r="DX408" s="143"/>
      <c r="DY408" s="143"/>
      <c r="DZ408" s="143"/>
      <c r="EA408" s="143"/>
      <c r="EB408" s="143"/>
      <c r="EC408" s="143"/>
      <c r="ED408" s="143"/>
      <c r="EE408" s="143"/>
      <c r="EF408" s="143"/>
      <c r="EG408" s="143"/>
    </row>
    <row r="409" spans="1:137" s="760" customFormat="1" ht="28.8" x14ac:dyDescent="0.3">
      <c r="A409" s="143" t="s">
        <v>264</v>
      </c>
      <c r="B409" s="421" t="s">
        <v>280</v>
      </c>
      <c r="C409" s="762" t="s">
        <v>594</v>
      </c>
      <c r="D409" s="223" t="s">
        <v>34</v>
      </c>
      <c r="E409" s="223" t="s">
        <v>282</v>
      </c>
      <c r="F409" s="1350" t="s">
        <v>285</v>
      </c>
      <c r="G409" s="763">
        <v>1.3</v>
      </c>
      <c r="H409" s="764">
        <v>29507.18</v>
      </c>
      <c r="I409" s="757" t="s">
        <v>267</v>
      </c>
      <c r="J409" s="756">
        <v>29507.18</v>
      </c>
      <c r="K409" s="1610">
        <v>0</v>
      </c>
      <c r="L409" s="1610">
        <v>0</v>
      </c>
      <c r="M409" s="755" t="s">
        <v>73</v>
      </c>
      <c r="N409" s="755" t="s">
        <v>595</v>
      </c>
      <c r="O409" s="755" t="s">
        <v>596</v>
      </c>
      <c r="P409" s="155" t="s">
        <v>40</v>
      </c>
      <c r="Q409" s="156"/>
      <c r="R409" s="155" t="s">
        <v>64</v>
      </c>
      <c r="S409" s="156"/>
      <c r="T409" s="155"/>
      <c r="U409" s="156"/>
      <c r="V409" s="155" t="s">
        <v>40</v>
      </c>
      <c r="W409" s="156"/>
      <c r="X409" s="155" t="s">
        <v>40</v>
      </c>
      <c r="Y409" s="156"/>
      <c r="Z409" s="155" t="s">
        <v>64</v>
      </c>
      <c r="AA409" s="156"/>
      <c r="AB409" s="155" t="s">
        <v>40</v>
      </c>
      <c r="AC409" s="156"/>
      <c r="AD409" s="156"/>
      <c r="AE409" s="1527">
        <v>46203</v>
      </c>
      <c r="AF409" s="411" t="s">
        <v>247</v>
      </c>
      <c r="AG409" s="412">
        <v>2023</v>
      </c>
      <c r="AH409" s="758">
        <v>146004.477358</v>
      </c>
      <c r="AI409" s="765" t="s">
        <v>597</v>
      </c>
      <c r="AJ409" s="759"/>
      <c r="AK409" s="420" t="s">
        <v>43</v>
      </c>
      <c r="AL409" s="421" t="s">
        <v>41</v>
      </c>
      <c r="AM409" s="416">
        <v>0</v>
      </c>
      <c r="AN409" s="422" t="s">
        <v>40</v>
      </c>
      <c r="AO409" s="165"/>
      <c r="AP409" s="165"/>
      <c r="AQ409" s="165"/>
      <c r="AR409" s="165"/>
      <c r="AS409" s="165"/>
      <c r="AT409" s="315"/>
      <c r="AU409" s="143"/>
      <c r="AV409" s="143"/>
      <c r="AW409" s="143"/>
      <c r="AX409" s="143"/>
      <c r="AY409" s="143"/>
      <c r="AZ409" s="143"/>
      <c r="BA409" s="143"/>
      <c r="BB409" s="143"/>
      <c r="BC409" s="143"/>
      <c r="BD409" s="143"/>
      <c r="BE409" s="143"/>
      <c r="BF409" s="143"/>
      <c r="BG409" s="143"/>
      <c r="BH409" s="143"/>
      <c r="BI409" s="143"/>
      <c r="BJ409" s="143"/>
      <c r="BK409" s="143"/>
      <c r="BL409" s="143"/>
      <c r="BM409" s="143"/>
      <c r="BN409" s="143"/>
      <c r="BO409" s="143"/>
      <c r="BP409" s="143"/>
      <c r="BQ409" s="143"/>
      <c r="BR409" s="143"/>
      <c r="BS409" s="143"/>
      <c r="BT409" s="143"/>
      <c r="BU409" s="143"/>
      <c r="BV409" s="143"/>
      <c r="BW409" s="143"/>
      <c r="BX409" s="143"/>
      <c r="BY409" s="143"/>
      <c r="BZ409" s="143"/>
      <c r="CA409" s="143"/>
      <c r="CB409" s="143"/>
      <c r="CC409" s="143"/>
      <c r="CD409" s="143"/>
      <c r="CE409" s="143"/>
      <c r="CF409" s="143"/>
      <c r="CG409" s="143"/>
      <c r="CH409" s="143"/>
      <c r="CI409" s="143"/>
      <c r="CJ409" s="143"/>
      <c r="CK409" s="143"/>
      <c r="CL409" s="143"/>
      <c r="CM409" s="143"/>
      <c r="CN409" s="143"/>
      <c r="CO409" s="143"/>
      <c r="CP409" s="143"/>
      <c r="CQ409" s="143"/>
      <c r="CR409" s="143"/>
      <c r="CS409" s="143"/>
      <c r="CT409" s="143"/>
      <c r="CU409" s="143"/>
      <c r="CV409" s="143"/>
      <c r="CW409" s="143"/>
      <c r="CX409" s="143"/>
      <c r="CY409" s="143"/>
      <c r="CZ409" s="143"/>
      <c r="DA409" s="143"/>
      <c r="DB409" s="143"/>
      <c r="DC409" s="143"/>
      <c r="DD409" s="143"/>
      <c r="DE409" s="143"/>
      <c r="DF409" s="143"/>
      <c r="DG409" s="143"/>
      <c r="DH409" s="143"/>
      <c r="DI409" s="143"/>
      <c r="DJ409" s="143"/>
      <c r="DK409" s="143"/>
      <c r="DL409" s="143"/>
      <c r="DM409" s="143"/>
      <c r="DN409" s="143"/>
      <c r="DO409" s="143"/>
      <c r="DP409" s="143"/>
      <c r="DQ409" s="143"/>
      <c r="DR409" s="143"/>
      <c r="DS409" s="143"/>
      <c r="DT409" s="143"/>
      <c r="DU409" s="143"/>
      <c r="DV409" s="143"/>
      <c r="DW409" s="143"/>
      <c r="DX409" s="143"/>
      <c r="DY409" s="143"/>
      <c r="DZ409" s="143"/>
      <c r="EA409" s="143"/>
      <c r="EB409" s="143"/>
      <c r="EC409" s="143"/>
      <c r="ED409" s="143"/>
      <c r="EE409" s="143"/>
      <c r="EF409" s="143"/>
      <c r="EG409" s="143"/>
    </row>
    <row r="410" spans="1:137" s="760" customFormat="1" ht="28.8" x14ac:dyDescent="0.3">
      <c r="A410" s="143" t="s">
        <v>264</v>
      </c>
      <c r="B410" s="421" t="s">
        <v>280</v>
      </c>
      <c r="C410" s="762" t="s">
        <v>598</v>
      </c>
      <c r="D410" s="223" t="s">
        <v>34</v>
      </c>
      <c r="E410" s="223" t="s">
        <v>282</v>
      </c>
      <c r="F410" s="1350" t="s">
        <v>285</v>
      </c>
      <c r="G410" s="763">
        <v>1.84</v>
      </c>
      <c r="H410" s="764">
        <v>23742.880000000001</v>
      </c>
      <c r="I410" s="757" t="s">
        <v>267</v>
      </c>
      <c r="J410" s="756">
        <v>23742.880000000001</v>
      </c>
      <c r="K410" s="1610">
        <f>13586.4+13586.4</f>
        <v>27172.799999999999</v>
      </c>
      <c r="L410" s="1610">
        <f>13586.4+13586.4</f>
        <v>27172.799999999999</v>
      </c>
      <c r="M410" s="755" t="s">
        <v>322</v>
      </c>
      <c r="N410" s="755" t="s">
        <v>456</v>
      </c>
      <c r="O410" s="755" t="s">
        <v>599</v>
      </c>
      <c r="P410" s="155" t="s">
        <v>40</v>
      </c>
      <c r="Q410" s="156"/>
      <c r="R410" s="155" t="s">
        <v>64</v>
      </c>
      <c r="S410" s="156"/>
      <c r="T410" s="155"/>
      <c r="U410" s="156"/>
      <c r="V410" s="155" t="s">
        <v>40</v>
      </c>
      <c r="W410" s="156"/>
      <c r="X410" s="155" t="s">
        <v>40</v>
      </c>
      <c r="Y410" s="156"/>
      <c r="Z410" s="155" t="s">
        <v>64</v>
      </c>
      <c r="AA410" s="156"/>
      <c r="AB410" s="155" t="s">
        <v>40</v>
      </c>
      <c r="AC410" s="156"/>
      <c r="AD410" s="156"/>
      <c r="AE410" s="1527">
        <v>46203</v>
      </c>
      <c r="AF410" s="411" t="s">
        <v>247</v>
      </c>
      <c r="AG410" s="412">
        <v>2023</v>
      </c>
      <c r="AH410" s="758">
        <v>117482.144528</v>
      </c>
      <c r="AI410" s="765" t="s">
        <v>600</v>
      </c>
      <c r="AJ410" s="759"/>
      <c r="AK410" s="420" t="s">
        <v>43</v>
      </c>
      <c r="AL410" s="421" t="s">
        <v>41</v>
      </c>
      <c r="AM410" s="416">
        <v>0</v>
      </c>
      <c r="AN410" s="422" t="s">
        <v>40</v>
      </c>
      <c r="AO410" s="165"/>
      <c r="AP410" s="165"/>
      <c r="AQ410" s="165"/>
      <c r="AR410" s="165"/>
      <c r="AS410" s="165"/>
      <c r="AT410" s="315"/>
      <c r="AU410" s="143"/>
      <c r="AV410" s="143"/>
      <c r="AW410" s="143"/>
      <c r="AX410" s="143"/>
      <c r="AY410" s="143"/>
      <c r="AZ410" s="143"/>
      <c r="BA410" s="143"/>
      <c r="BB410" s="143"/>
      <c r="BC410" s="143"/>
      <c r="BD410" s="143"/>
      <c r="BE410" s="143"/>
      <c r="BF410" s="143"/>
      <c r="BG410" s="143"/>
      <c r="BH410" s="143"/>
      <c r="BI410" s="143"/>
      <c r="BJ410" s="143"/>
      <c r="BK410" s="143"/>
      <c r="BL410" s="143"/>
      <c r="BM410" s="143"/>
      <c r="BN410" s="143"/>
      <c r="BO410" s="143"/>
      <c r="BP410" s="143"/>
      <c r="BQ410" s="143"/>
      <c r="BR410" s="143"/>
      <c r="BS410" s="143"/>
      <c r="BT410" s="143"/>
      <c r="BU410" s="143"/>
      <c r="BV410" s="143"/>
      <c r="BW410" s="143"/>
      <c r="BX410" s="143"/>
      <c r="BY410" s="143"/>
      <c r="BZ410" s="143"/>
      <c r="CA410" s="143"/>
      <c r="CB410" s="143"/>
      <c r="CC410" s="143"/>
      <c r="CD410" s="143"/>
      <c r="CE410" s="143"/>
      <c r="CF410" s="143"/>
      <c r="CG410" s="143"/>
      <c r="CH410" s="143"/>
      <c r="CI410" s="143"/>
      <c r="CJ410" s="143"/>
      <c r="CK410" s="143"/>
      <c r="CL410" s="143"/>
      <c r="CM410" s="143"/>
      <c r="CN410" s="143"/>
      <c r="CO410" s="143"/>
      <c r="CP410" s="143"/>
      <c r="CQ410" s="143"/>
      <c r="CR410" s="143"/>
      <c r="CS410" s="143"/>
      <c r="CT410" s="143"/>
      <c r="CU410" s="143"/>
      <c r="CV410" s="143"/>
      <c r="CW410" s="143"/>
      <c r="CX410" s="143"/>
      <c r="CY410" s="143"/>
      <c r="CZ410" s="143"/>
      <c r="DA410" s="143"/>
      <c r="DB410" s="143"/>
      <c r="DC410" s="143"/>
      <c r="DD410" s="143"/>
      <c r="DE410" s="143"/>
      <c r="DF410" s="143"/>
      <c r="DG410" s="143"/>
      <c r="DH410" s="143"/>
      <c r="DI410" s="143"/>
      <c r="DJ410" s="143"/>
      <c r="DK410" s="143"/>
      <c r="DL410" s="143"/>
      <c r="DM410" s="143"/>
      <c r="DN410" s="143"/>
      <c r="DO410" s="143"/>
      <c r="DP410" s="143"/>
      <c r="DQ410" s="143"/>
      <c r="DR410" s="143"/>
      <c r="DS410" s="143"/>
      <c r="DT410" s="143"/>
      <c r="DU410" s="143"/>
      <c r="DV410" s="143"/>
      <c r="DW410" s="143"/>
      <c r="DX410" s="143"/>
      <c r="DY410" s="143"/>
      <c r="DZ410" s="143"/>
      <c r="EA410" s="143"/>
      <c r="EB410" s="143"/>
      <c r="EC410" s="143"/>
      <c r="ED410" s="143"/>
      <c r="EE410" s="143"/>
      <c r="EF410" s="143"/>
      <c r="EG410" s="143"/>
    </row>
    <row r="411" spans="1:137" s="760" customFormat="1" ht="79.2" customHeight="1" x14ac:dyDescent="0.3">
      <c r="A411" s="143" t="s">
        <v>264</v>
      </c>
      <c r="B411" s="421" t="s">
        <v>280</v>
      </c>
      <c r="C411" s="762" t="s">
        <v>601</v>
      </c>
      <c r="D411" s="223" t="s">
        <v>34</v>
      </c>
      <c r="E411" s="223" t="s">
        <v>282</v>
      </c>
      <c r="F411" s="1350" t="s">
        <v>285</v>
      </c>
      <c r="G411" s="763">
        <v>3.96</v>
      </c>
      <c r="H411" s="764">
        <v>55460.959999999999</v>
      </c>
      <c r="I411" s="757" t="s">
        <v>267</v>
      </c>
      <c r="J411" s="756">
        <v>55460.959999999999</v>
      </c>
      <c r="K411" s="1610">
        <v>0</v>
      </c>
      <c r="L411" s="1610">
        <v>0</v>
      </c>
      <c r="M411" s="755" t="s">
        <v>133</v>
      </c>
      <c r="N411" s="755" t="s">
        <v>602</v>
      </c>
      <c r="O411" s="755" t="s">
        <v>603</v>
      </c>
      <c r="P411" s="155" t="s">
        <v>40</v>
      </c>
      <c r="Q411" s="156"/>
      <c r="R411" s="155" t="s">
        <v>64</v>
      </c>
      <c r="S411" s="156"/>
      <c r="T411" s="155"/>
      <c r="U411" s="156"/>
      <c r="V411" s="155" t="s">
        <v>40</v>
      </c>
      <c r="W411" s="156"/>
      <c r="X411" s="155" t="s">
        <v>40</v>
      </c>
      <c r="Y411" s="156"/>
      <c r="Z411" s="155" t="s">
        <v>64</v>
      </c>
      <c r="AA411" s="156"/>
      <c r="AB411" s="155" t="s">
        <v>40</v>
      </c>
      <c r="AC411" s="156"/>
      <c r="AD411" s="156"/>
      <c r="AE411" s="1527">
        <v>46203</v>
      </c>
      <c r="AF411" s="411" t="s">
        <v>247</v>
      </c>
      <c r="AG411" s="412">
        <v>2023</v>
      </c>
      <c r="AH411" s="758">
        <v>274426.38</v>
      </c>
      <c r="AI411" s="765" t="s">
        <v>604</v>
      </c>
      <c r="AJ411" s="759"/>
      <c r="AK411" s="420" t="s">
        <v>43</v>
      </c>
      <c r="AL411" s="421" t="s">
        <v>41</v>
      </c>
      <c r="AM411" s="416">
        <v>0</v>
      </c>
      <c r="AN411" s="422" t="s">
        <v>40</v>
      </c>
      <c r="AO411" s="165"/>
      <c r="AP411" s="165"/>
      <c r="AQ411" s="165"/>
      <c r="AR411" s="165"/>
      <c r="AS411" s="165"/>
      <c r="AT411" s="315"/>
      <c r="AU411" s="143"/>
      <c r="AV411" s="143"/>
      <c r="AW411" s="143"/>
      <c r="AX411" s="143"/>
      <c r="AY411" s="143"/>
      <c r="AZ411" s="143"/>
      <c r="BA411" s="143"/>
      <c r="BB411" s="143"/>
      <c r="BC411" s="143"/>
      <c r="BD411" s="143"/>
      <c r="BE411" s="143"/>
      <c r="BF411" s="143"/>
      <c r="BG411" s="143"/>
      <c r="BH411" s="143"/>
      <c r="BI411" s="143"/>
      <c r="BJ411" s="143"/>
      <c r="BK411" s="143"/>
      <c r="BL411" s="143"/>
      <c r="BM411" s="143"/>
      <c r="BN411" s="143"/>
      <c r="BO411" s="143"/>
      <c r="BP411" s="143"/>
      <c r="BQ411" s="143"/>
      <c r="BR411" s="143"/>
      <c r="BS411" s="143"/>
      <c r="BT411" s="143"/>
      <c r="BU411" s="143"/>
      <c r="BV411" s="143"/>
      <c r="BW411" s="143"/>
      <c r="BX411" s="143"/>
      <c r="BY411" s="143"/>
      <c r="BZ411" s="143"/>
      <c r="CA411" s="143"/>
      <c r="CB411" s="143"/>
      <c r="CC411" s="143"/>
      <c r="CD411" s="143"/>
      <c r="CE411" s="143"/>
      <c r="CF411" s="143"/>
      <c r="CG411" s="143"/>
      <c r="CH411" s="143"/>
      <c r="CI411" s="143"/>
      <c r="CJ411" s="143"/>
      <c r="CK411" s="143"/>
      <c r="CL411" s="143"/>
      <c r="CM411" s="143"/>
      <c r="CN411" s="143"/>
      <c r="CO411" s="143"/>
      <c r="CP411" s="143"/>
      <c r="CQ411" s="143"/>
      <c r="CR411" s="143"/>
      <c r="CS411" s="143"/>
      <c r="CT411" s="143"/>
      <c r="CU411" s="143"/>
      <c r="CV411" s="143"/>
      <c r="CW411" s="143"/>
      <c r="CX411" s="143"/>
      <c r="CY411" s="143"/>
      <c r="CZ411" s="143"/>
      <c r="DA411" s="143"/>
      <c r="DB411" s="143"/>
      <c r="DC411" s="143"/>
      <c r="DD411" s="143"/>
      <c r="DE411" s="143"/>
      <c r="DF411" s="143"/>
      <c r="DG411" s="143"/>
      <c r="DH411" s="143"/>
      <c r="DI411" s="143"/>
      <c r="DJ411" s="143"/>
      <c r="DK411" s="143"/>
      <c r="DL411" s="143"/>
      <c r="DM411" s="143"/>
      <c r="DN411" s="143"/>
      <c r="DO411" s="143"/>
      <c r="DP411" s="143"/>
      <c r="DQ411" s="143"/>
      <c r="DR411" s="143"/>
      <c r="DS411" s="143"/>
      <c r="DT411" s="143"/>
      <c r="DU411" s="143"/>
      <c r="DV411" s="143"/>
      <c r="DW411" s="143"/>
      <c r="DX411" s="143"/>
      <c r="DY411" s="143"/>
      <c r="DZ411" s="143"/>
      <c r="EA411" s="143"/>
      <c r="EB411" s="143"/>
      <c r="EC411" s="143"/>
      <c r="ED411" s="143"/>
      <c r="EE411" s="143"/>
      <c r="EF411" s="143"/>
      <c r="EG411" s="143"/>
    </row>
    <row r="412" spans="1:137" s="760" customFormat="1" ht="43.2" customHeight="1" x14ac:dyDescent="0.3">
      <c r="A412" s="143" t="s">
        <v>264</v>
      </c>
      <c r="B412" s="421" t="s">
        <v>280</v>
      </c>
      <c r="C412" s="762" t="s">
        <v>605</v>
      </c>
      <c r="D412" s="223" t="s">
        <v>34</v>
      </c>
      <c r="E412" s="223" t="s">
        <v>282</v>
      </c>
      <c r="F412" s="1350" t="s">
        <v>285</v>
      </c>
      <c r="G412" s="763">
        <v>1.2525999999999999</v>
      </c>
      <c r="H412" s="764">
        <v>36503.1</v>
      </c>
      <c r="I412" s="757" t="s">
        <v>267</v>
      </c>
      <c r="J412" s="756">
        <v>36503.1</v>
      </c>
      <c r="K412" s="1610">
        <v>0</v>
      </c>
      <c r="L412" s="1610">
        <v>0</v>
      </c>
      <c r="M412" s="755" t="s">
        <v>133</v>
      </c>
      <c r="N412" s="755" t="s">
        <v>606</v>
      </c>
      <c r="O412" s="755" t="s">
        <v>607</v>
      </c>
      <c r="P412" s="155" t="s">
        <v>40</v>
      </c>
      <c r="Q412" s="156"/>
      <c r="R412" s="155" t="s">
        <v>64</v>
      </c>
      <c r="S412" s="156"/>
      <c r="T412" s="155"/>
      <c r="U412" s="156"/>
      <c r="V412" s="155" t="s">
        <v>40</v>
      </c>
      <c r="W412" s="156"/>
      <c r="X412" s="155" t="s">
        <v>40</v>
      </c>
      <c r="Y412" s="156"/>
      <c r="Z412" s="155" t="s">
        <v>64</v>
      </c>
      <c r="AA412" s="156"/>
      <c r="AB412" s="155" t="s">
        <v>40</v>
      </c>
      <c r="AC412" s="156"/>
      <c r="AD412" s="156"/>
      <c r="AE412" s="1527">
        <v>46203</v>
      </c>
      <c r="AF412" s="411" t="s">
        <v>247</v>
      </c>
      <c r="AG412" s="412">
        <v>2023</v>
      </c>
      <c r="AH412" s="758">
        <v>180620.97</v>
      </c>
      <c r="AI412" s="765">
        <v>2930207351573</v>
      </c>
      <c r="AJ412" s="759"/>
      <c r="AK412" s="420" t="s">
        <v>43</v>
      </c>
      <c r="AL412" s="421" t="s">
        <v>41</v>
      </c>
      <c r="AM412" s="416">
        <v>0</v>
      </c>
      <c r="AN412" s="422" t="s">
        <v>40</v>
      </c>
      <c r="AO412" s="165"/>
      <c r="AP412" s="165"/>
      <c r="AQ412" s="165"/>
      <c r="AR412" s="165"/>
      <c r="AS412" s="165"/>
      <c r="AT412" s="315"/>
      <c r="AU412" s="143"/>
      <c r="AV412" s="143"/>
      <c r="AW412" s="143"/>
      <c r="AX412" s="143"/>
      <c r="AY412" s="143"/>
      <c r="AZ412" s="143"/>
      <c r="BA412" s="143"/>
      <c r="BB412" s="143"/>
      <c r="BC412" s="143"/>
      <c r="BD412" s="143"/>
      <c r="BE412" s="143"/>
      <c r="BF412" s="143"/>
      <c r="BG412" s="143"/>
      <c r="BH412" s="143"/>
      <c r="BI412" s="143"/>
      <c r="BJ412" s="143"/>
      <c r="BK412" s="143"/>
      <c r="BL412" s="143"/>
      <c r="BM412" s="143"/>
      <c r="BN412" s="143"/>
      <c r="BO412" s="143"/>
      <c r="BP412" s="143"/>
      <c r="BQ412" s="143"/>
      <c r="BR412" s="143"/>
      <c r="BS412" s="143"/>
      <c r="BT412" s="143"/>
      <c r="BU412" s="143"/>
      <c r="BV412" s="143"/>
      <c r="BW412" s="143"/>
      <c r="BX412" s="143"/>
      <c r="BY412" s="143"/>
      <c r="BZ412" s="143"/>
      <c r="CA412" s="143"/>
      <c r="CB412" s="143"/>
      <c r="CC412" s="143"/>
      <c r="CD412" s="143"/>
      <c r="CE412" s="143"/>
      <c r="CF412" s="143"/>
      <c r="CG412" s="143"/>
      <c r="CH412" s="143"/>
      <c r="CI412" s="143"/>
      <c r="CJ412" s="143"/>
      <c r="CK412" s="143"/>
      <c r="CL412" s="143"/>
      <c r="CM412" s="143"/>
      <c r="CN412" s="143"/>
      <c r="CO412" s="143"/>
      <c r="CP412" s="143"/>
      <c r="CQ412" s="143"/>
      <c r="CR412" s="143"/>
      <c r="CS412" s="143"/>
      <c r="CT412" s="143"/>
      <c r="CU412" s="143"/>
      <c r="CV412" s="143"/>
      <c r="CW412" s="143"/>
      <c r="CX412" s="143"/>
      <c r="CY412" s="143"/>
      <c r="CZ412" s="143"/>
      <c r="DA412" s="143"/>
      <c r="DB412" s="143"/>
      <c r="DC412" s="143"/>
      <c r="DD412" s="143"/>
      <c r="DE412" s="143"/>
      <c r="DF412" s="143"/>
      <c r="DG412" s="143"/>
      <c r="DH412" s="143"/>
      <c r="DI412" s="143"/>
      <c r="DJ412" s="143"/>
      <c r="DK412" s="143"/>
      <c r="DL412" s="143"/>
      <c r="DM412" s="143"/>
      <c r="DN412" s="143"/>
      <c r="DO412" s="143"/>
      <c r="DP412" s="143"/>
      <c r="DQ412" s="143"/>
      <c r="DR412" s="143"/>
      <c r="DS412" s="143"/>
      <c r="DT412" s="143"/>
      <c r="DU412" s="143"/>
      <c r="DV412" s="143"/>
      <c r="DW412" s="143"/>
      <c r="DX412" s="143"/>
      <c r="DY412" s="143"/>
      <c r="DZ412" s="143"/>
      <c r="EA412" s="143"/>
      <c r="EB412" s="143"/>
      <c r="EC412" s="143"/>
      <c r="ED412" s="143"/>
      <c r="EE412" s="143"/>
      <c r="EF412" s="143"/>
      <c r="EG412" s="143"/>
    </row>
    <row r="413" spans="1:137" s="760" customFormat="1" ht="28.8" x14ac:dyDescent="0.3">
      <c r="A413" s="143" t="s">
        <v>264</v>
      </c>
      <c r="B413" s="421" t="s">
        <v>280</v>
      </c>
      <c r="C413" s="762" t="s">
        <v>608</v>
      </c>
      <c r="D413" s="223" t="s">
        <v>34</v>
      </c>
      <c r="E413" s="223" t="s">
        <v>282</v>
      </c>
      <c r="F413" s="1350" t="s">
        <v>285</v>
      </c>
      <c r="G413" s="763">
        <v>0.5</v>
      </c>
      <c r="H413" s="764">
        <v>15189.54</v>
      </c>
      <c r="I413" s="757" t="s">
        <v>267</v>
      </c>
      <c r="J413" s="756">
        <v>15189.54</v>
      </c>
      <c r="K413" s="1610">
        <v>0</v>
      </c>
      <c r="L413" s="1610">
        <v>0</v>
      </c>
      <c r="M413" s="755" t="s">
        <v>73</v>
      </c>
      <c r="N413" s="755" t="s">
        <v>609</v>
      </c>
      <c r="O413" s="755" t="s">
        <v>610</v>
      </c>
      <c r="P413" s="155" t="s">
        <v>40</v>
      </c>
      <c r="Q413" s="156"/>
      <c r="R413" s="155" t="s">
        <v>64</v>
      </c>
      <c r="S413" s="156"/>
      <c r="T413" s="155"/>
      <c r="U413" s="156"/>
      <c r="V413" s="155" t="s">
        <v>40</v>
      </c>
      <c r="W413" s="156"/>
      <c r="X413" s="155" t="s">
        <v>40</v>
      </c>
      <c r="Y413" s="156"/>
      <c r="Z413" s="155" t="s">
        <v>64</v>
      </c>
      <c r="AA413" s="156"/>
      <c r="AB413" s="155" t="s">
        <v>40</v>
      </c>
      <c r="AC413" s="156"/>
      <c r="AD413" s="156"/>
      <c r="AE413" s="1527">
        <v>46203</v>
      </c>
      <c r="AF413" s="411" t="s">
        <v>247</v>
      </c>
      <c r="AG413" s="412">
        <v>2023</v>
      </c>
      <c r="AH413" s="758">
        <v>75159.360000000001</v>
      </c>
      <c r="AI413" s="765">
        <v>2810713051879</v>
      </c>
      <c r="AJ413" s="759"/>
      <c r="AK413" s="420" t="s">
        <v>43</v>
      </c>
      <c r="AL413" s="421" t="s">
        <v>41</v>
      </c>
      <c r="AM413" s="416">
        <v>0</v>
      </c>
      <c r="AN413" s="422" t="s">
        <v>40</v>
      </c>
      <c r="AO413" s="165"/>
      <c r="AP413" s="165"/>
      <c r="AQ413" s="165"/>
      <c r="AR413" s="165"/>
      <c r="AS413" s="165"/>
      <c r="AT413" s="315"/>
      <c r="AU413" s="143"/>
      <c r="AV413" s="143"/>
      <c r="AW413" s="143"/>
      <c r="AX413" s="143"/>
      <c r="AY413" s="143"/>
      <c r="AZ413" s="143"/>
      <c r="BA413" s="143"/>
      <c r="BB413" s="143"/>
      <c r="BC413" s="143"/>
      <c r="BD413" s="143"/>
      <c r="BE413" s="143"/>
      <c r="BF413" s="143"/>
      <c r="BG413" s="143"/>
      <c r="BH413" s="143"/>
      <c r="BI413" s="143"/>
      <c r="BJ413" s="143"/>
      <c r="BK413" s="143"/>
      <c r="BL413" s="143"/>
      <c r="BM413" s="143"/>
      <c r="BN413" s="143"/>
      <c r="BO413" s="143"/>
      <c r="BP413" s="143"/>
      <c r="BQ413" s="143"/>
      <c r="BR413" s="143"/>
      <c r="BS413" s="143"/>
      <c r="BT413" s="143"/>
      <c r="BU413" s="143"/>
      <c r="BV413" s="143"/>
      <c r="BW413" s="143"/>
      <c r="BX413" s="143"/>
      <c r="BY413" s="143"/>
      <c r="BZ413" s="143"/>
      <c r="CA413" s="143"/>
      <c r="CB413" s="143"/>
      <c r="CC413" s="143"/>
      <c r="CD413" s="143"/>
      <c r="CE413" s="143"/>
      <c r="CF413" s="143"/>
      <c r="CG413" s="143"/>
      <c r="CH413" s="143"/>
      <c r="CI413" s="143"/>
      <c r="CJ413" s="143"/>
      <c r="CK413" s="143"/>
      <c r="CL413" s="143"/>
      <c r="CM413" s="143"/>
      <c r="CN413" s="143"/>
      <c r="CO413" s="143"/>
      <c r="CP413" s="143"/>
      <c r="CQ413" s="143"/>
      <c r="CR413" s="143"/>
      <c r="CS413" s="143"/>
      <c r="CT413" s="143"/>
      <c r="CU413" s="143"/>
      <c r="CV413" s="143"/>
      <c r="CW413" s="143"/>
      <c r="CX413" s="143"/>
      <c r="CY413" s="143"/>
      <c r="CZ413" s="143"/>
      <c r="DA413" s="143"/>
      <c r="DB413" s="143"/>
      <c r="DC413" s="143"/>
      <c r="DD413" s="143"/>
      <c r="DE413" s="143"/>
      <c r="DF413" s="143"/>
      <c r="DG413" s="143"/>
      <c r="DH413" s="143"/>
      <c r="DI413" s="143"/>
      <c r="DJ413" s="143"/>
      <c r="DK413" s="143"/>
      <c r="DL413" s="143"/>
      <c r="DM413" s="143"/>
      <c r="DN413" s="143"/>
      <c r="DO413" s="143"/>
      <c r="DP413" s="143"/>
      <c r="DQ413" s="143"/>
      <c r="DR413" s="143"/>
      <c r="DS413" s="143"/>
      <c r="DT413" s="143"/>
      <c r="DU413" s="143"/>
      <c r="DV413" s="143"/>
      <c r="DW413" s="143"/>
      <c r="DX413" s="143"/>
      <c r="DY413" s="143"/>
      <c r="DZ413" s="143"/>
      <c r="EA413" s="143"/>
      <c r="EB413" s="143"/>
      <c r="EC413" s="143"/>
      <c r="ED413" s="143"/>
      <c r="EE413" s="143"/>
      <c r="EF413" s="143"/>
      <c r="EG413" s="143"/>
    </row>
    <row r="414" spans="1:137" s="760" customFormat="1" ht="28.8" x14ac:dyDescent="0.3">
      <c r="A414" s="143" t="s">
        <v>264</v>
      </c>
      <c r="B414" s="421" t="s">
        <v>280</v>
      </c>
      <c r="C414" s="762" t="s">
        <v>611</v>
      </c>
      <c r="D414" s="223" t="s">
        <v>34</v>
      </c>
      <c r="E414" s="223" t="s">
        <v>282</v>
      </c>
      <c r="F414" s="1350" t="s">
        <v>285</v>
      </c>
      <c r="G414" s="763">
        <v>1</v>
      </c>
      <c r="H414" s="764">
        <v>17386</v>
      </c>
      <c r="I414" s="757" t="s">
        <v>267</v>
      </c>
      <c r="J414" s="756">
        <v>17386</v>
      </c>
      <c r="K414" s="1610">
        <v>0</v>
      </c>
      <c r="L414" s="1610">
        <v>0</v>
      </c>
      <c r="M414" s="755" t="s">
        <v>53</v>
      </c>
      <c r="N414" s="755" t="s">
        <v>612</v>
      </c>
      <c r="O414" s="755" t="s">
        <v>613</v>
      </c>
      <c r="P414" s="155" t="s">
        <v>40</v>
      </c>
      <c r="Q414" s="156"/>
      <c r="R414" s="155" t="s">
        <v>64</v>
      </c>
      <c r="S414" s="156"/>
      <c r="T414" s="155"/>
      <c r="U414" s="156"/>
      <c r="V414" s="155" t="s">
        <v>40</v>
      </c>
      <c r="W414" s="156"/>
      <c r="X414" s="155" t="s">
        <v>40</v>
      </c>
      <c r="Y414" s="156"/>
      <c r="Z414" s="155" t="s">
        <v>64</v>
      </c>
      <c r="AA414" s="156"/>
      <c r="AB414" s="155" t="s">
        <v>40</v>
      </c>
      <c r="AC414" s="156"/>
      <c r="AD414" s="156"/>
      <c r="AE414" s="1527">
        <v>46203</v>
      </c>
      <c r="AF414" s="411" t="s">
        <v>247</v>
      </c>
      <c r="AG414" s="412">
        <v>2023</v>
      </c>
      <c r="AH414" s="758">
        <v>86027.666599999997</v>
      </c>
      <c r="AI414" s="765" t="s">
        <v>614</v>
      </c>
      <c r="AJ414" s="759"/>
      <c r="AK414" s="420" t="s">
        <v>43</v>
      </c>
      <c r="AL414" s="421" t="s">
        <v>41</v>
      </c>
      <c r="AM414" s="416">
        <v>0</v>
      </c>
      <c r="AN414" s="422" t="s">
        <v>40</v>
      </c>
      <c r="AO414" s="165"/>
      <c r="AP414" s="165"/>
      <c r="AQ414" s="165"/>
      <c r="AR414" s="165"/>
      <c r="AS414" s="165"/>
      <c r="AT414" s="315"/>
      <c r="AU414" s="143"/>
      <c r="AV414" s="143"/>
      <c r="AW414" s="143"/>
      <c r="AX414" s="143"/>
      <c r="AY414" s="143"/>
      <c r="AZ414" s="143"/>
      <c r="BA414" s="143"/>
      <c r="BB414" s="143"/>
      <c r="BC414" s="143"/>
      <c r="BD414" s="143"/>
      <c r="BE414" s="143"/>
      <c r="BF414" s="143"/>
      <c r="BG414" s="143"/>
      <c r="BH414" s="143"/>
      <c r="BI414" s="143"/>
      <c r="BJ414" s="143"/>
      <c r="BK414" s="143"/>
      <c r="BL414" s="143"/>
      <c r="BM414" s="143"/>
      <c r="BN414" s="143"/>
      <c r="BO414" s="143"/>
      <c r="BP414" s="143"/>
      <c r="BQ414" s="143"/>
      <c r="BR414" s="143"/>
      <c r="BS414" s="143"/>
      <c r="BT414" s="143"/>
      <c r="BU414" s="143"/>
      <c r="BV414" s="143"/>
      <c r="BW414" s="143"/>
      <c r="BX414" s="143"/>
      <c r="BY414" s="143"/>
      <c r="BZ414" s="143"/>
      <c r="CA414" s="143"/>
      <c r="CB414" s="143"/>
      <c r="CC414" s="143"/>
      <c r="CD414" s="143"/>
      <c r="CE414" s="143"/>
      <c r="CF414" s="143"/>
      <c r="CG414" s="143"/>
      <c r="CH414" s="143"/>
      <c r="CI414" s="143"/>
      <c r="CJ414" s="143"/>
      <c r="CK414" s="143"/>
      <c r="CL414" s="143"/>
      <c r="CM414" s="143"/>
      <c r="CN414" s="143"/>
      <c r="CO414" s="143"/>
      <c r="CP414" s="143"/>
      <c r="CQ414" s="143"/>
      <c r="CR414" s="143"/>
      <c r="CS414" s="143"/>
      <c r="CT414" s="143"/>
      <c r="CU414" s="143"/>
      <c r="CV414" s="143"/>
      <c r="CW414" s="143"/>
      <c r="CX414" s="143"/>
      <c r="CY414" s="143"/>
      <c r="CZ414" s="143"/>
      <c r="DA414" s="143"/>
      <c r="DB414" s="143"/>
      <c r="DC414" s="143"/>
      <c r="DD414" s="143"/>
      <c r="DE414" s="143"/>
      <c r="DF414" s="143"/>
      <c r="DG414" s="143"/>
      <c r="DH414" s="143"/>
      <c r="DI414" s="143"/>
      <c r="DJ414" s="143"/>
      <c r="DK414" s="143"/>
      <c r="DL414" s="143"/>
      <c r="DM414" s="143"/>
      <c r="DN414" s="143"/>
      <c r="DO414" s="143"/>
      <c r="DP414" s="143"/>
      <c r="DQ414" s="143"/>
      <c r="DR414" s="143"/>
      <c r="DS414" s="143"/>
      <c r="DT414" s="143"/>
      <c r="DU414" s="143"/>
      <c r="DV414" s="143"/>
      <c r="DW414" s="143"/>
      <c r="DX414" s="143"/>
      <c r="DY414" s="143"/>
      <c r="DZ414" s="143"/>
      <c r="EA414" s="143"/>
      <c r="EB414" s="143"/>
      <c r="EC414" s="143"/>
      <c r="ED414" s="143"/>
      <c r="EE414" s="143"/>
      <c r="EF414" s="143"/>
      <c r="EG414" s="143"/>
    </row>
    <row r="415" spans="1:137" s="780" customFormat="1" ht="28.8" x14ac:dyDescent="0.3">
      <c r="A415" s="768" t="s">
        <v>264</v>
      </c>
      <c r="B415" s="769" t="s">
        <v>280</v>
      </c>
      <c r="C415" s="754" t="s">
        <v>615</v>
      </c>
      <c r="D415" s="770" t="s">
        <v>34</v>
      </c>
      <c r="E415" s="770" t="s">
        <v>282</v>
      </c>
      <c r="F415" s="1351" t="s">
        <v>285</v>
      </c>
      <c r="G415" s="755">
        <v>2</v>
      </c>
      <c r="H415" s="756">
        <v>45600.97</v>
      </c>
      <c r="I415" s="771" t="s">
        <v>267</v>
      </c>
      <c r="J415" s="756">
        <v>45600.97</v>
      </c>
      <c r="K415" s="1647">
        <f>30324.54</f>
        <v>30324.54</v>
      </c>
      <c r="L415" s="1647">
        <f>30324.54</f>
        <v>30324.54</v>
      </c>
      <c r="M415" s="755" t="s">
        <v>351</v>
      </c>
      <c r="N415" s="755" t="s">
        <v>435</v>
      </c>
      <c r="O415" s="755" t="s">
        <v>616</v>
      </c>
      <c r="P415" s="772" t="s">
        <v>40</v>
      </c>
      <c r="Q415" s="773"/>
      <c r="R415" s="772" t="s">
        <v>64</v>
      </c>
      <c r="S415" s="773"/>
      <c r="T415" s="772"/>
      <c r="U415" s="773"/>
      <c r="V415" s="772" t="s">
        <v>40</v>
      </c>
      <c r="W415" s="773"/>
      <c r="X415" s="772" t="s">
        <v>40</v>
      </c>
      <c r="Y415" s="773"/>
      <c r="Z415" s="772" t="s">
        <v>64</v>
      </c>
      <c r="AA415" s="773"/>
      <c r="AB415" s="772" t="s">
        <v>40</v>
      </c>
      <c r="AC415" s="773"/>
      <c r="AD415" s="773"/>
      <c r="AE415" s="1528">
        <v>46203</v>
      </c>
      <c r="AF415" s="774" t="s">
        <v>247</v>
      </c>
      <c r="AG415" s="775">
        <v>2023</v>
      </c>
      <c r="AH415" s="758">
        <v>225638.15965700001</v>
      </c>
      <c r="AI415" s="765" t="s">
        <v>617</v>
      </c>
      <c r="AJ415" s="759"/>
      <c r="AK415" s="776" t="s">
        <v>43</v>
      </c>
      <c r="AL415" s="769" t="s">
        <v>41</v>
      </c>
      <c r="AM415" s="777">
        <v>0</v>
      </c>
      <c r="AN415" s="778" t="s">
        <v>40</v>
      </c>
      <c r="AO415" s="165"/>
      <c r="AP415" s="165"/>
      <c r="AQ415" s="165"/>
      <c r="AR415" s="165"/>
      <c r="AS415" s="165"/>
      <c r="AT415" s="779"/>
      <c r="AU415" s="768"/>
      <c r="AV415" s="768"/>
      <c r="AW415" s="768"/>
      <c r="AX415" s="768"/>
      <c r="AY415" s="768"/>
      <c r="AZ415" s="768"/>
      <c r="BA415" s="768"/>
      <c r="BB415" s="768"/>
      <c r="BC415" s="768"/>
      <c r="BD415" s="768"/>
      <c r="BE415" s="768"/>
      <c r="BF415" s="768"/>
      <c r="BG415" s="768"/>
      <c r="BH415" s="768"/>
      <c r="BI415" s="768"/>
      <c r="BJ415" s="768"/>
      <c r="BK415" s="768"/>
      <c r="BL415" s="768"/>
      <c r="BM415" s="768"/>
      <c r="BN415" s="768"/>
      <c r="BO415" s="768"/>
      <c r="BP415" s="768"/>
      <c r="BQ415" s="768"/>
      <c r="BR415" s="768"/>
      <c r="BS415" s="768"/>
      <c r="BT415" s="768"/>
      <c r="BU415" s="768"/>
      <c r="BV415" s="768"/>
      <c r="BW415" s="768"/>
      <c r="BX415" s="768"/>
      <c r="BY415" s="768"/>
      <c r="BZ415" s="768"/>
      <c r="CA415" s="768"/>
      <c r="CB415" s="768"/>
      <c r="CC415" s="768"/>
      <c r="CD415" s="768"/>
      <c r="CE415" s="768"/>
      <c r="CF415" s="768"/>
      <c r="CG415" s="768"/>
      <c r="CH415" s="768"/>
      <c r="CI415" s="768"/>
      <c r="CJ415" s="768"/>
      <c r="CK415" s="768"/>
      <c r="CL415" s="768"/>
      <c r="CM415" s="768"/>
      <c r="CN415" s="768"/>
      <c r="CO415" s="768"/>
      <c r="CP415" s="768"/>
      <c r="CQ415" s="768"/>
      <c r="CR415" s="768"/>
      <c r="CS415" s="768"/>
      <c r="CT415" s="768"/>
      <c r="CU415" s="768"/>
      <c r="CV415" s="768"/>
      <c r="CW415" s="768"/>
      <c r="CX415" s="768"/>
      <c r="CY415" s="768"/>
      <c r="CZ415" s="768"/>
      <c r="DA415" s="768"/>
      <c r="DB415" s="768"/>
      <c r="DC415" s="768"/>
      <c r="DD415" s="768"/>
      <c r="DE415" s="768"/>
      <c r="DF415" s="768"/>
      <c r="DG415" s="768"/>
      <c r="DH415" s="768"/>
      <c r="DI415" s="768"/>
      <c r="DJ415" s="768"/>
      <c r="DK415" s="768"/>
      <c r="DL415" s="768"/>
      <c r="DM415" s="768"/>
      <c r="DN415" s="768"/>
      <c r="DO415" s="768"/>
      <c r="DP415" s="768"/>
      <c r="DQ415" s="768"/>
      <c r="DR415" s="768"/>
      <c r="DS415" s="768"/>
      <c r="DT415" s="768"/>
      <c r="DU415" s="768"/>
      <c r="DV415" s="768"/>
      <c r="DW415" s="768"/>
      <c r="DX415" s="768"/>
      <c r="DY415" s="768"/>
      <c r="DZ415" s="768"/>
      <c r="EA415" s="768"/>
      <c r="EB415" s="768"/>
      <c r="EC415" s="768"/>
      <c r="ED415" s="768"/>
      <c r="EE415" s="768"/>
      <c r="EF415" s="768"/>
      <c r="EG415" s="768"/>
    </row>
    <row r="416" spans="1:137" s="741" customFormat="1" ht="28.2" customHeight="1" x14ac:dyDescent="0.3">
      <c r="A416" s="741" t="s">
        <v>264</v>
      </c>
      <c r="B416" s="770" t="s">
        <v>280</v>
      </c>
      <c r="C416" s="781" t="s">
        <v>618</v>
      </c>
      <c r="D416" s="770" t="s">
        <v>34</v>
      </c>
      <c r="E416" s="770" t="s">
        <v>282</v>
      </c>
      <c r="F416" s="1351" t="s">
        <v>285</v>
      </c>
      <c r="G416" s="217">
        <v>1.98</v>
      </c>
      <c r="H416" s="751">
        <v>33636.730000000003</v>
      </c>
      <c r="I416" s="782" t="s">
        <v>267</v>
      </c>
      <c r="J416" s="751">
        <v>33636.730000000003</v>
      </c>
      <c r="K416" s="1611">
        <f>22417.02</f>
        <v>22417.02</v>
      </c>
      <c r="L416" s="1611">
        <f>22417.02</f>
        <v>22417.02</v>
      </c>
      <c r="M416" s="217" t="s">
        <v>322</v>
      </c>
      <c r="N416" s="217" t="s">
        <v>368</v>
      </c>
      <c r="O416" s="217" t="s">
        <v>619</v>
      </c>
      <c r="P416" s="193" t="s">
        <v>40</v>
      </c>
      <c r="Q416" s="194"/>
      <c r="R416" s="193" t="s">
        <v>64</v>
      </c>
      <c r="S416" s="194"/>
      <c r="T416" s="193"/>
      <c r="U416" s="194"/>
      <c r="V416" s="193" t="s">
        <v>40</v>
      </c>
      <c r="W416" s="194"/>
      <c r="X416" s="193" t="s">
        <v>40</v>
      </c>
      <c r="Y416" s="194"/>
      <c r="Z416" s="193" t="s">
        <v>64</v>
      </c>
      <c r="AA416" s="194"/>
      <c r="AB416" s="193" t="s">
        <v>40</v>
      </c>
      <c r="AC416" s="194"/>
      <c r="AD416" s="194"/>
      <c r="AE416" s="1529">
        <v>46203</v>
      </c>
      <c r="AF416" s="784" t="s">
        <v>247</v>
      </c>
      <c r="AG416" s="785">
        <v>2023</v>
      </c>
      <c r="AH416" s="231">
        <v>166437.90371300001</v>
      </c>
      <c r="AI416" s="766" t="s">
        <v>620</v>
      </c>
      <c r="AJ416" s="232"/>
      <c r="AK416" s="786" t="s">
        <v>43</v>
      </c>
      <c r="AL416" s="770" t="s">
        <v>41</v>
      </c>
      <c r="AM416" s="787">
        <v>0</v>
      </c>
      <c r="AN416" s="788" t="s">
        <v>40</v>
      </c>
      <c r="AO416" s="104"/>
      <c r="AP416" s="104"/>
      <c r="AQ416" s="104"/>
      <c r="AR416" s="104"/>
      <c r="AS416" s="104"/>
      <c r="AT416" s="745"/>
    </row>
    <row r="417" spans="1:46 16307:16365" s="741" customFormat="1" ht="28.8" x14ac:dyDescent="0.3">
      <c r="A417" s="741" t="s">
        <v>264</v>
      </c>
      <c r="B417" s="770" t="s">
        <v>280</v>
      </c>
      <c r="C417" s="781" t="s">
        <v>621</v>
      </c>
      <c r="D417" s="770" t="s">
        <v>34</v>
      </c>
      <c r="E417" s="770" t="s">
        <v>282</v>
      </c>
      <c r="F417" s="1351" t="s">
        <v>285</v>
      </c>
      <c r="G417" s="217">
        <v>8.3780000000000001</v>
      </c>
      <c r="H417" s="751">
        <v>166093.68</v>
      </c>
      <c r="I417" s="782" t="s">
        <v>267</v>
      </c>
      <c r="J417" s="751">
        <v>166093.68</v>
      </c>
      <c r="K417" s="1611">
        <f>120400.08</f>
        <v>120400.08</v>
      </c>
      <c r="L417" s="1611">
        <f>120400.08</f>
        <v>120400.08</v>
      </c>
      <c r="M417" s="787" t="s">
        <v>322</v>
      </c>
      <c r="N417" s="788" t="s">
        <v>368</v>
      </c>
      <c r="O417" s="104" t="s">
        <v>622</v>
      </c>
      <c r="P417" s="193" t="s">
        <v>40</v>
      </c>
      <c r="Q417" s="194"/>
      <c r="R417" s="193" t="s">
        <v>64</v>
      </c>
      <c r="S417" s="194"/>
      <c r="T417" s="193"/>
      <c r="U417" s="194"/>
      <c r="V417" s="193" t="s">
        <v>40</v>
      </c>
      <c r="W417" s="194"/>
      <c r="X417" s="193" t="s">
        <v>40</v>
      </c>
      <c r="Y417" s="194"/>
      <c r="Z417" s="193" t="s">
        <v>64</v>
      </c>
      <c r="AA417" s="194"/>
      <c r="AB417" s="193" t="s">
        <v>40</v>
      </c>
      <c r="AC417" s="194"/>
      <c r="AD417" s="194"/>
      <c r="AE417" s="1529">
        <v>46203</v>
      </c>
      <c r="AF417" s="784" t="s">
        <v>247</v>
      </c>
      <c r="AG417" s="785">
        <v>2023</v>
      </c>
      <c r="AH417" s="231">
        <v>821848.13800799998</v>
      </c>
      <c r="AI417" s="766" t="s">
        <v>623</v>
      </c>
      <c r="AK417" s="786" t="s">
        <v>43</v>
      </c>
      <c r="AL417" s="770" t="s">
        <v>41</v>
      </c>
      <c r="AM417" s="787">
        <v>0</v>
      </c>
      <c r="AN417" s="788" t="s">
        <v>40</v>
      </c>
      <c r="XEE417" s="750"/>
      <c r="XEF417" s="217"/>
      <c r="XEG417" s="789"/>
      <c r="XEH417" s="789"/>
      <c r="XEI417" s="217"/>
      <c r="XEJ417" s="217"/>
      <c r="XEK417" s="217"/>
    </row>
    <row r="418" spans="1:46 16307:16365" s="741" customFormat="1" ht="28.8" x14ac:dyDescent="0.3">
      <c r="A418" s="741" t="s">
        <v>264</v>
      </c>
      <c r="B418" s="770" t="s">
        <v>280</v>
      </c>
      <c r="C418" s="781" t="s">
        <v>624</v>
      </c>
      <c r="D418" s="770" t="s">
        <v>34</v>
      </c>
      <c r="E418" s="770" t="s">
        <v>282</v>
      </c>
      <c r="F418" s="1351" t="s">
        <v>285</v>
      </c>
      <c r="G418" s="217">
        <v>1.5</v>
      </c>
      <c r="H418" s="751">
        <v>28572.080000000002</v>
      </c>
      <c r="I418" s="782" t="s">
        <v>267</v>
      </c>
      <c r="J418" s="751">
        <v>28572.080000000002</v>
      </c>
      <c r="K418" s="1611">
        <f>17926.5798993553</f>
        <v>17926.5798993553</v>
      </c>
      <c r="L418" s="1611">
        <f>17926.5798993553</f>
        <v>17926.5798993553</v>
      </c>
      <c r="M418" s="217" t="s">
        <v>68</v>
      </c>
      <c r="N418" s="217" t="s">
        <v>625</v>
      </c>
      <c r="O418" s="217" t="s">
        <v>626</v>
      </c>
      <c r="P418" s="193" t="s">
        <v>40</v>
      </c>
      <c r="Q418" s="194"/>
      <c r="R418" s="193" t="s">
        <v>64</v>
      </c>
      <c r="S418" s="194"/>
      <c r="T418" s="193"/>
      <c r="U418" s="194"/>
      <c r="V418" s="193" t="s">
        <v>40</v>
      </c>
      <c r="W418" s="194"/>
      <c r="X418" s="193" t="s">
        <v>40</v>
      </c>
      <c r="Y418" s="194"/>
      <c r="Z418" s="193" t="s">
        <v>64</v>
      </c>
      <c r="AA418" s="194"/>
      <c r="AB418" s="193" t="s">
        <v>40</v>
      </c>
      <c r="AC418" s="194"/>
      <c r="AD418" s="194"/>
      <c r="AE418" s="1529">
        <v>46203</v>
      </c>
      <c r="AF418" s="784" t="s">
        <v>247</v>
      </c>
      <c r="AG418" s="785">
        <v>2023</v>
      </c>
      <c r="AH418" s="231">
        <v>141377.50904800001</v>
      </c>
      <c r="AI418" s="766" t="s">
        <v>627</v>
      </c>
      <c r="AJ418" s="232"/>
      <c r="AK418" s="786" t="s">
        <v>43</v>
      </c>
      <c r="AL418" s="770" t="s">
        <v>41</v>
      </c>
      <c r="AM418" s="787">
        <v>0</v>
      </c>
      <c r="AN418" s="788" t="s">
        <v>40</v>
      </c>
      <c r="AO418" s="104"/>
      <c r="AP418" s="104"/>
      <c r="AQ418" s="104"/>
      <c r="AR418" s="104"/>
      <c r="AS418" s="104"/>
      <c r="AT418" s="745"/>
    </row>
    <row r="419" spans="1:46 16307:16365" s="741" customFormat="1" ht="28.8" x14ac:dyDescent="0.3">
      <c r="A419" s="741" t="s">
        <v>264</v>
      </c>
      <c r="B419" s="770" t="s">
        <v>280</v>
      </c>
      <c r="C419" s="781" t="s">
        <v>628</v>
      </c>
      <c r="D419" s="770" t="s">
        <v>34</v>
      </c>
      <c r="E419" s="770" t="s">
        <v>282</v>
      </c>
      <c r="F419" s="1351" t="s">
        <v>285</v>
      </c>
      <c r="G419" s="217">
        <v>9</v>
      </c>
      <c r="H419" s="751">
        <v>174151.75</v>
      </c>
      <c r="I419" s="782" t="s">
        <v>267</v>
      </c>
      <c r="J419" s="751">
        <v>174151.75</v>
      </c>
      <c r="K419" s="1611">
        <v>0</v>
      </c>
      <c r="L419" s="1611">
        <v>0</v>
      </c>
      <c r="M419" s="217" t="s">
        <v>200</v>
      </c>
      <c r="N419" s="217" t="s">
        <v>629</v>
      </c>
      <c r="O419" s="217" t="s">
        <v>630</v>
      </c>
      <c r="P419" s="193" t="s">
        <v>40</v>
      </c>
      <c r="Q419" s="194"/>
      <c r="R419" s="193" t="s">
        <v>64</v>
      </c>
      <c r="S419" s="194"/>
      <c r="T419" s="193"/>
      <c r="U419" s="194"/>
      <c r="V419" s="193" t="s">
        <v>40</v>
      </c>
      <c r="W419" s="194"/>
      <c r="X419" s="193" t="s">
        <v>40</v>
      </c>
      <c r="Y419" s="194"/>
      <c r="Z419" s="193" t="s">
        <v>64</v>
      </c>
      <c r="AA419" s="194"/>
      <c r="AB419" s="193" t="s">
        <v>40</v>
      </c>
      <c r="AC419" s="194"/>
      <c r="AD419" s="194"/>
      <c r="AE419" s="1529">
        <v>46203</v>
      </c>
      <c r="AF419" s="784" t="s">
        <v>247</v>
      </c>
      <c r="AG419" s="785">
        <v>2023</v>
      </c>
      <c r="AH419" s="231">
        <v>861720.27417500003</v>
      </c>
      <c r="AI419" s="766">
        <v>1830527374526</v>
      </c>
      <c r="AJ419" s="232"/>
      <c r="AK419" s="786" t="s">
        <v>43</v>
      </c>
      <c r="AL419" s="770" t="s">
        <v>41</v>
      </c>
      <c r="AM419" s="787">
        <v>0</v>
      </c>
      <c r="AN419" s="788" t="s">
        <v>40</v>
      </c>
      <c r="AO419" s="104"/>
      <c r="AP419" s="104"/>
      <c r="AQ419" s="104"/>
      <c r="AR419" s="104"/>
      <c r="AS419" s="104"/>
      <c r="AT419" s="745"/>
    </row>
    <row r="420" spans="1:46 16307:16365" s="741" customFormat="1" ht="28.8" x14ac:dyDescent="0.3">
      <c r="A420" s="741" t="s">
        <v>264</v>
      </c>
      <c r="B420" s="770" t="s">
        <v>280</v>
      </c>
      <c r="C420" s="781" t="s">
        <v>631</v>
      </c>
      <c r="D420" s="770" t="s">
        <v>34</v>
      </c>
      <c r="E420" s="770" t="s">
        <v>282</v>
      </c>
      <c r="F420" s="1351" t="s">
        <v>285</v>
      </c>
      <c r="G420" s="217">
        <v>3.91</v>
      </c>
      <c r="H420" s="751">
        <v>117084.4</v>
      </c>
      <c r="I420" s="782" t="s">
        <v>267</v>
      </c>
      <c r="J420" s="751">
        <v>117084.4</v>
      </c>
      <c r="K420" s="1611">
        <v>0</v>
      </c>
      <c r="L420" s="1611">
        <v>0</v>
      </c>
      <c r="M420" s="217" t="s">
        <v>200</v>
      </c>
      <c r="N420" s="217" t="s">
        <v>632</v>
      </c>
      <c r="O420" s="217" t="s">
        <v>633</v>
      </c>
      <c r="P420" s="193" t="s">
        <v>40</v>
      </c>
      <c r="Q420" s="194"/>
      <c r="R420" s="193" t="s">
        <v>64</v>
      </c>
      <c r="S420" s="194"/>
      <c r="T420" s="193"/>
      <c r="U420" s="194"/>
      <c r="V420" s="193" t="s">
        <v>40</v>
      </c>
      <c r="W420" s="194"/>
      <c r="X420" s="193" t="s">
        <v>40</v>
      </c>
      <c r="Y420" s="194"/>
      <c r="Z420" s="193" t="s">
        <v>64</v>
      </c>
      <c r="AA420" s="194"/>
      <c r="AB420" s="193" t="s">
        <v>40</v>
      </c>
      <c r="AC420" s="194"/>
      <c r="AD420" s="194"/>
      <c r="AE420" s="1529">
        <v>46203</v>
      </c>
      <c r="AF420" s="784" t="s">
        <v>247</v>
      </c>
      <c r="AG420" s="785">
        <v>2023</v>
      </c>
      <c r="AH420" s="231">
        <v>579345.31964</v>
      </c>
      <c r="AI420" s="766" t="s">
        <v>634</v>
      </c>
      <c r="AJ420" s="232"/>
      <c r="AK420" s="786" t="s">
        <v>43</v>
      </c>
      <c r="AL420" s="770" t="s">
        <v>41</v>
      </c>
      <c r="AM420" s="787">
        <v>0</v>
      </c>
      <c r="AN420" s="788" t="s">
        <v>40</v>
      </c>
      <c r="AO420" s="104"/>
      <c r="AP420" s="104"/>
      <c r="AQ420" s="104"/>
      <c r="AR420" s="104"/>
      <c r="AS420" s="104"/>
      <c r="AT420" s="745"/>
    </row>
    <row r="421" spans="1:46 16307:16365" s="741" customFormat="1" ht="28.8" x14ac:dyDescent="0.3">
      <c r="A421" s="741" t="s">
        <v>264</v>
      </c>
      <c r="B421" s="770" t="s">
        <v>280</v>
      </c>
      <c r="C421" s="781" t="s">
        <v>635</v>
      </c>
      <c r="D421" s="770" t="s">
        <v>34</v>
      </c>
      <c r="E421" s="770" t="s">
        <v>282</v>
      </c>
      <c r="F421" s="1351" t="s">
        <v>285</v>
      </c>
      <c r="G421" s="217">
        <v>11</v>
      </c>
      <c r="H421" s="751">
        <v>198252.85</v>
      </c>
      <c r="I421" s="782" t="s">
        <v>267</v>
      </c>
      <c r="J421" s="751">
        <v>198252.85</v>
      </c>
      <c r="K421" s="1611">
        <v>0</v>
      </c>
      <c r="L421" s="1611">
        <v>0</v>
      </c>
      <c r="M421" s="217" t="s">
        <v>636</v>
      </c>
      <c r="N421" s="217" t="s">
        <v>637</v>
      </c>
      <c r="O421" s="217" t="s">
        <v>638</v>
      </c>
      <c r="P421" s="193" t="s">
        <v>40</v>
      </c>
      <c r="Q421" s="194"/>
      <c r="R421" s="193" t="s">
        <v>64</v>
      </c>
      <c r="S421" s="194"/>
      <c r="T421" s="193"/>
      <c r="U421" s="194"/>
      <c r="V421" s="193" t="s">
        <v>40</v>
      </c>
      <c r="W421" s="194"/>
      <c r="X421" s="193" t="s">
        <v>40</v>
      </c>
      <c r="Y421" s="194"/>
      <c r="Z421" s="193" t="s">
        <v>64</v>
      </c>
      <c r="AA421" s="194"/>
      <c r="AB421" s="193" t="s">
        <v>40</v>
      </c>
      <c r="AC421" s="194"/>
      <c r="AD421" s="194"/>
      <c r="AE421" s="1529">
        <v>46203</v>
      </c>
      <c r="AF421" s="784" t="s">
        <v>247</v>
      </c>
      <c r="AG421" s="785">
        <v>2023</v>
      </c>
      <c r="AH421" s="231">
        <v>980974.92708500009</v>
      </c>
      <c r="AI421" s="766" t="s">
        <v>639</v>
      </c>
      <c r="AJ421" s="232"/>
      <c r="AK421" s="786" t="s">
        <v>43</v>
      </c>
      <c r="AL421" s="770" t="s">
        <v>41</v>
      </c>
      <c r="AM421" s="787">
        <v>0</v>
      </c>
      <c r="AN421" s="788" t="s">
        <v>40</v>
      </c>
      <c r="AO421" s="104"/>
      <c r="AP421" s="104"/>
      <c r="AQ421" s="104"/>
      <c r="AR421" s="104"/>
      <c r="AS421" s="104"/>
      <c r="AT421" s="745"/>
    </row>
    <row r="422" spans="1:46 16307:16365" s="741" customFormat="1" ht="28.8" x14ac:dyDescent="0.3">
      <c r="A422" s="741" t="s">
        <v>264</v>
      </c>
      <c r="B422" s="770" t="s">
        <v>280</v>
      </c>
      <c r="C422" s="781" t="s">
        <v>640</v>
      </c>
      <c r="D422" s="770" t="s">
        <v>34</v>
      </c>
      <c r="E422" s="770" t="s">
        <v>282</v>
      </c>
      <c r="F422" s="1351" t="s">
        <v>285</v>
      </c>
      <c r="G422" s="217">
        <v>1.9</v>
      </c>
      <c r="H422" s="751">
        <v>33866.129999999997</v>
      </c>
      <c r="I422" s="782" t="s">
        <v>267</v>
      </c>
      <c r="J422" s="751">
        <v>33866.129999999997</v>
      </c>
      <c r="K422" s="1611">
        <f>23381.9304379459</f>
        <v>23381.930437945899</v>
      </c>
      <c r="L422" s="1611">
        <f>23381.9304379459</f>
        <v>23381.930437945899</v>
      </c>
      <c r="M422" s="217" t="s">
        <v>80</v>
      </c>
      <c r="N422" s="217" t="s">
        <v>641</v>
      </c>
      <c r="O422" s="217" t="s">
        <v>642</v>
      </c>
      <c r="P422" s="193" t="s">
        <v>40</v>
      </c>
      <c r="Q422" s="194"/>
      <c r="R422" s="193" t="s">
        <v>64</v>
      </c>
      <c r="S422" s="194"/>
      <c r="T422" s="193"/>
      <c r="U422" s="194"/>
      <c r="V422" s="193" t="s">
        <v>40</v>
      </c>
      <c r="W422" s="194"/>
      <c r="X422" s="193" t="s">
        <v>40</v>
      </c>
      <c r="Y422" s="194"/>
      <c r="Z422" s="193" t="s">
        <v>64</v>
      </c>
      <c r="AA422" s="194"/>
      <c r="AB422" s="193" t="s">
        <v>40</v>
      </c>
      <c r="AC422" s="194"/>
      <c r="AD422" s="194"/>
      <c r="AE422" s="1529">
        <v>46203</v>
      </c>
      <c r="AF422" s="784" t="s">
        <v>247</v>
      </c>
      <c r="AG422" s="785">
        <v>2023</v>
      </c>
      <c r="AH422" s="231">
        <v>167572.99785299998</v>
      </c>
      <c r="AI422" s="766" t="s">
        <v>643</v>
      </c>
      <c r="AJ422" s="232"/>
      <c r="AK422" s="786" t="s">
        <v>43</v>
      </c>
      <c r="AL422" s="770" t="s">
        <v>41</v>
      </c>
      <c r="AM422" s="787">
        <v>0</v>
      </c>
      <c r="AN422" s="788" t="s">
        <v>40</v>
      </c>
      <c r="AO422" s="104"/>
      <c r="AP422" s="104"/>
      <c r="AQ422" s="104"/>
      <c r="AR422" s="104"/>
      <c r="AS422" s="104"/>
      <c r="AT422" s="745"/>
    </row>
    <row r="423" spans="1:46 16307:16365" s="741" customFormat="1" ht="43.2" x14ac:dyDescent="0.3">
      <c r="A423" s="741" t="s">
        <v>264</v>
      </c>
      <c r="B423" s="770" t="s">
        <v>280</v>
      </c>
      <c r="C423" s="781" t="s">
        <v>644</v>
      </c>
      <c r="D423" s="770" t="s">
        <v>34</v>
      </c>
      <c r="E423" s="770" t="s">
        <v>282</v>
      </c>
      <c r="F423" s="1351" t="s">
        <v>285</v>
      </c>
      <c r="G423" s="217">
        <v>9.1199999999999992</v>
      </c>
      <c r="H423" s="751">
        <v>223048.76</v>
      </c>
      <c r="I423" s="782" t="s">
        <v>267</v>
      </c>
      <c r="J423" s="751">
        <v>223048.76</v>
      </c>
      <c r="K423" s="1611">
        <f>172794.838</f>
        <v>172794.83799999999</v>
      </c>
      <c r="L423" s="1611">
        <f>172794.838</f>
        <v>172794.83799999999</v>
      </c>
      <c r="M423" s="217" t="s">
        <v>322</v>
      </c>
      <c r="N423" s="217" t="s">
        <v>645</v>
      </c>
      <c r="O423" s="217" t="s">
        <v>646</v>
      </c>
      <c r="P423" s="193" t="s">
        <v>40</v>
      </c>
      <c r="Q423" s="194"/>
      <c r="R423" s="193" t="s">
        <v>64</v>
      </c>
      <c r="S423" s="194"/>
      <c r="T423" s="193"/>
      <c r="U423" s="194"/>
      <c r="V423" s="193" t="s">
        <v>40</v>
      </c>
      <c r="W423" s="194"/>
      <c r="X423" s="193" t="s">
        <v>40</v>
      </c>
      <c r="Y423" s="194"/>
      <c r="Z423" s="193" t="s">
        <v>64</v>
      </c>
      <c r="AA423" s="194"/>
      <c r="AB423" s="193" t="s">
        <v>40</v>
      </c>
      <c r="AC423" s="194"/>
      <c r="AD423" s="194"/>
      <c r="AE423" s="1529">
        <v>46203</v>
      </c>
      <c r="AF423" s="784" t="s">
        <v>247</v>
      </c>
      <c r="AG423" s="785">
        <v>2023</v>
      </c>
      <c r="AH423" s="231">
        <v>1103667.5693560001</v>
      </c>
      <c r="AI423" s="766" t="s">
        <v>647</v>
      </c>
      <c r="AJ423" s="232"/>
      <c r="AK423" s="786" t="s">
        <v>43</v>
      </c>
      <c r="AL423" s="770" t="s">
        <v>41</v>
      </c>
      <c r="AM423" s="787">
        <v>0</v>
      </c>
      <c r="AN423" s="788" t="s">
        <v>40</v>
      </c>
      <c r="AO423" s="104"/>
      <c r="AP423" s="104"/>
      <c r="AQ423" s="104"/>
      <c r="AR423" s="104"/>
      <c r="AS423" s="104"/>
      <c r="AT423" s="745"/>
    </row>
    <row r="424" spans="1:46 16307:16365" s="741" customFormat="1" ht="28.8" x14ac:dyDescent="0.3">
      <c r="A424" s="741" t="s">
        <v>264</v>
      </c>
      <c r="B424" s="770" t="s">
        <v>280</v>
      </c>
      <c r="C424" s="781" t="s">
        <v>648</v>
      </c>
      <c r="D424" s="770" t="s">
        <v>34</v>
      </c>
      <c r="E424" s="770" t="s">
        <v>282</v>
      </c>
      <c r="F424" s="1351" t="s">
        <v>285</v>
      </c>
      <c r="G424" s="217">
        <v>2.5</v>
      </c>
      <c r="H424" s="751">
        <v>46783.67</v>
      </c>
      <c r="I424" s="782" t="s">
        <v>267</v>
      </c>
      <c r="J424" s="751">
        <v>46783.67</v>
      </c>
      <c r="K424" s="1611">
        <v>0</v>
      </c>
      <c r="L424" s="1611">
        <v>0</v>
      </c>
      <c r="M424" s="217" t="s">
        <v>290</v>
      </c>
      <c r="N424" s="217" t="s">
        <v>649</v>
      </c>
      <c r="O424" s="217" t="s">
        <v>650</v>
      </c>
      <c r="P424" s="193" t="s">
        <v>40</v>
      </c>
      <c r="Q424" s="194"/>
      <c r="R424" s="193" t="s">
        <v>64</v>
      </c>
      <c r="S424" s="194"/>
      <c r="T424" s="193"/>
      <c r="U424" s="194"/>
      <c r="V424" s="193" t="s">
        <v>40</v>
      </c>
      <c r="W424" s="194"/>
      <c r="X424" s="193" t="s">
        <v>40</v>
      </c>
      <c r="Y424" s="194"/>
      <c r="Z424" s="193" t="s">
        <v>64</v>
      </c>
      <c r="AA424" s="194"/>
      <c r="AB424" s="193" t="s">
        <v>40</v>
      </c>
      <c r="AC424" s="194"/>
      <c r="AD424" s="194"/>
      <c r="AE424" s="1529">
        <v>46203</v>
      </c>
      <c r="AF424" s="784" t="s">
        <v>247</v>
      </c>
      <c r="AG424" s="785">
        <v>2023</v>
      </c>
      <c r="AH424" s="231">
        <v>231490.277527</v>
      </c>
      <c r="AI424" s="766" t="s">
        <v>651</v>
      </c>
      <c r="AK424" s="786" t="s">
        <v>43</v>
      </c>
      <c r="AL424" s="770" t="s">
        <v>41</v>
      </c>
      <c r="AM424" s="787">
        <v>0</v>
      </c>
      <c r="AN424" s="788" t="s">
        <v>40</v>
      </c>
      <c r="XEE424" s="750"/>
      <c r="XEF424" s="217"/>
      <c r="XEG424" s="789"/>
      <c r="XEH424" s="789"/>
      <c r="XEI424" s="217"/>
      <c r="XEJ424" s="217"/>
      <c r="XEK424" s="217"/>
    </row>
    <row r="425" spans="1:46 16307:16365" s="741" customFormat="1" ht="28.8" x14ac:dyDescent="0.3">
      <c r="A425" s="741" t="s">
        <v>264</v>
      </c>
      <c r="B425" s="770" t="s">
        <v>280</v>
      </c>
      <c r="C425" s="781" t="s">
        <v>652</v>
      </c>
      <c r="D425" s="770" t="s">
        <v>34</v>
      </c>
      <c r="E425" s="770" t="s">
        <v>282</v>
      </c>
      <c r="F425" s="1351" t="s">
        <v>285</v>
      </c>
      <c r="G425" s="217">
        <v>5.46</v>
      </c>
      <c r="H425" s="751">
        <v>142886</v>
      </c>
      <c r="I425" s="782" t="s">
        <v>267</v>
      </c>
      <c r="J425" s="751">
        <v>142886</v>
      </c>
      <c r="K425" s="1611">
        <f>104136.37962046</f>
        <v>104136.37962045999</v>
      </c>
      <c r="L425" s="1611">
        <f>104136.37962046</f>
        <v>104136.37962045999</v>
      </c>
      <c r="M425" s="787" t="s">
        <v>303</v>
      </c>
      <c r="N425" s="788" t="s">
        <v>653</v>
      </c>
      <c r="O425" s="104" t="s">
        <v>654</v>
      </c>
      <c r="P425" s="193" t="s">
        <v>40</v>
      </c>
      <c r="Q425" s="194"/>
      <c r="R425" s="193" t="s">
        <v>64</v>
      </c>
      <c r="S425" s="194"/>
      <c r="T425" s="193"/>
      <c r="U425" s="194"/>
      <c r="V425" s="193" t="s">
        <v>40</v>
      </c>
      <c r="W425" s="194"/>
      <c r="X425" s="193" t="s">
        <v>40</v>
      </c>
      <c r="Y425" s="194"/>
      <c r="Z425" s="193" t="s">
        <v>64</v>
      </c>
      <c r="AA425" s="194"/>
      <c r="AB425" s="193" t="s">
        <v>40</v>
      </c>
      <c r="AC425" s="194"/>
      <c r="AD425" s="194"/>
      <c r="AE425" s="1529">
        <v>46203</v>
      </c>
      <c r="AF425" s="784" t="s">
        <v>247</v>
      </c>
      <c r="AG425" s="785">
        <v>2023</v>
      </c>
      <c r="AH425" s="231">
        <v>707014.21660000004</v>
      </c>
      <c r="AI425" s="766" t="s">
        <v>655</v>
      </c>
      <c r="AK425" s="786" t="s">
        <v>43</v>
      </c>
      <c r="AL425" s="770" t="s">
        <v>41</v>
      </c>
      <c r="AM425" s="787">
        <v>0</v>
      </c>
      <c r="AN425" s="788" t="s">
        <v>40</v>
      </c>
      <c r="XEE425" s="750"/>
      <c r="XEF425" s="217"/>
      <c r="XEG425" s="789"/>
      <c r="XEH425" s="789"/>
      <c r="XEI425" s="217"/>
      <c r="XEJ425" s="217"/>
      <c r="XEK425" s="217"/>
    </row>
    <row r="426" spans="1:46 16307:16365" s="741" customFormat="1" ht="28.8" x14ac:dyDescent="0.3">
      <c r="A426" s="741" t="s">
        <v>264</v>
      </c>
      <c r="B426" s="770" t="s">
        <v>280</v>
      </c>
      <c r="C426" s="781" t="s">
        <v>656</v>
      </c>
      <c r="D426" s="770" t="s">
        <v>34</v>
      </c>
      <c r="E426" s="770" t="s">
        <v>282</v>
      </c>
      <c r="F426" s="1351" t="s">
        <v>285</v>
      </c>
      <c r="G426" s="741">
        <v>17.45</v>
      </c>
      <c r="H426" s="751">
        <v>259285</v>
      </c>
      <c r="I426" s="782" t="s">
        <v>267</v>
      </c>
      <c r="J426" s="751">
        <v>259285</v>
      </c>
      <c r="K426" s="1611">
        <f>143238.000444615</f>
        <v>143238.000444615</v>
      </c>
      <c r="L426" s="1611">
        <f>143238.000444615</f>
        <v>143238.000444615</v>
      </c>
      <c r="M426" s="741" t="s">
        <v>303</v>
      </c>
      <c r="N426" s="741" t="s">
        <v>657</v>
      </c>
      <c r="O426" s="741" t="s">
        <v>658</v>
      </c>
      <c r="P426" s="193" t="s">
        <v>40</v>
      </c>
      <c r="Q426" s="194"/>
      <c r="R426" s="193" t="s">
        <v>64</v>
      </c>
      <c r="S426" s="194"/>
      <c r="T426" s="193"/>
      <c r="U426" s="194"/>
      <c r="V426" s="193" t="s">
        <v>40</v>
      </c>
      <c r="W426" s="194"/>
      <c r="X426" s="193" t="s">
        <v>40</v>
      </c>
      <c r="Y426" s="194"/>
      <c r="Z426" s="193" t="s">
        <v>64</v>
      </c>
      <c r="AA426" s="194"/>
      <c r="AB426" s="193" t="s">
        <v>40</v>
      </c>
      <c r="AC426" s="194"/>
      <c r="AD426" s="194"/>
      <c r="AE426" s="1529">
        <v>46203</v>
      </c>
      <c r="AF426" s="784" t="s">
        <v>247</v>
      </c>
      <c r="AG426" s="785">
        <v>2023</v>
      </c>
      <c r="AH426" s="231">
        <v>1282968.1085000001</v>
      </c>
      <c r="AI426" s="766" t="s">
        <v>659</v>
      </c>
      <c r="AK426" s="786" t="s">
        <v>43</v>
      </c>
      <c r="AL426" s="770" t="s">
        <v>41</v>
      </c>
      <c r="AM426" s="787">
        <v>0</v>
      </c>
      <c r="AN426" s="788" t="s">
        <v>40</v>
      </c>
      <c r="XCE426" s="750"/>
      <c r="XCF426" s="217"/>
      <c r="XCG426" s="789"/>
      <c r="XCH426" s="789"/>
      <c r="XCI426" s="217"/>
      <c r="XCJ426" s="217"/>
      <c r="XCK426" s="217"/>
      <c r="XDE426" s="750"/>
      <c r="XDF426" s="217"/>
      <c r="XDG426" s="789"/>
      <c r="XDH426" s="232"/>
      <c r="XDI426" s="217"/>
      <c r="XDJ426" s="217"/>
      <c r="XDK426" s="217"/>
      <c r="XEE426" s="789"/>
      <c r="XEF426" s="217"/>
      <c r="XEG426" s="789"/>
    </row>
    <row r="427" spans="1:46 16307:16365" s="741" customFormat="1" ht="28.8" x14ac:dyDescent="0.3">
      <c r="A427" s="741" t="s">
        <v>264</v>
      </c>
      <c r="B427" s="770" t="s">
        <v>280</v>
      </c>
      <c r="C427" s="781" t="s">
        <v>660</v>
      </c>
      <c r="D427" s="770" t="s">
        <v>34</v>
      </c>
      <c r="E427" s="770" t="s">
        <v>282</v>
      </c>
      <c r="F427" s="1351" t="s">
        <v>285</v>
      </c>
      <c r="G427" s="217">
        <v>11.3</v>
      </c>
      <c r="H427" s="751">
        <v>189025</v>
      </c>
      <c r="I427" s="782" t="s">
        <v>267</v>
      </c>
      <c r="J427" s="751">
        <v>189025</v>
      </c>
      <c r="K427" s="1611">
        <f>113738.000444615</f>
        <v>113738.000444615</v>
      </c>
      <c r="L427" s="1611">
        <f>113738.000444615</f>
        <v>113738.000444615</v>
      </c>
      <c r="M427" s="217" t="s">
        <v>303</v>
      </c>
      <c r="N427" s="217" t="s">
        <v>661</v>
      </c>
      <c r="O427" s="217" t="s">
        <v>662</v>
      </c>
      <c r="P427" s="193" t="s">
        <v>40</v>
      </c>
      <c r="Q427" s="194"/>
      <c r="R427" s="193" t="s">
        <v>64</v>
      </c>
      <c r="S427" s="194"/>
      <c r="T427" s="193"/>
      <c r="U427" s="194"/>
      <c r="V427" s="193" t="s">
        <v>40</v>
      </c>
      <c r="W427" s="194"/>
      <c r="X427" s="193" t="s">
        <v>40</v>
      </c>
      <c r="Y427" s="194"/>
      <c r="Z427" s="193" t="s">
        <v>64</v>
      </c>
      <c r="AA427" s="194"/>
      <c r="AB427" s="193" t="s">
        <v>40</v>
      </c>
      <c r="AC427" s="194"/>
      <c r="AD427" s="194"/>
      <c r="AE427" s="1529">
        <v>46203</v>
      </c>
      <c r="AF427" s="784" t="s">
        <v>247</v>
      </c>
      <c r="AG427" s="785">
        <v>2023</v>
      </c>
      <c r="AH427" s="231">
        <v>935314.60250000004</v>
      </c>
      <c r="AI427" s="766" t="s">
        <v>663</v>
      </c>
      <c r="AJ427" s="232"/>
      <c r="AK427" s="786" t="s">
        <v>43</v>
      </c>
      <c r="AL427" s="770" t="s">
        <v>41</v>
      </c>
      <c r="AM427" s="787">
        <v>0</v>
      </c>
      <c r="AN427" s="788" t="s">
        <v>40</v>
      </c>
      <c r="AO427" s="104"/>
      <c r="AP427" s="104"/>
      <c r="AQ427" s="104"/>
      <c r="AR427" s="104"/>
      <c r="AS427" s="104"/>
      <c r="AT427" s="745"/>
    </row>
    <row r="428" spans="1:46 16307:16365" s="741" customFormat="1" ht="28.8" x14ac:dyDescent="0.3">
      <c r="A428" s="741" t="s">
        <v>264</v>
      </c>
      <c r="B428" s="770" t="s">
        <v>280</v>
      </c>
      <c r="C428" s="781" t="s">
        <v>664</v>
      </c>
      <c r="D428" s="770" t="s">
        <v>34</v>
      </c>
      <c r="E428" s="770" t="s">
        <v>282</v>
      </c>
      <c r="F428" s="1351" t="s">
        <v>285</v>
      </c>
      <c r="G428" s="217">
        <v>1.1599999999999999</v>
      </c>
      <c r="H428" s="751">
        <v>32544.400000000001</v>
      </c>
      <c r="I428" s="782" t="s">
        <v>267</v>
      </c>
      <c r="J428" s="751">
        <v>32544.400000000001</v>
      </c>
      <c r="K428" s="1403">
        <f>23663.44</f>
        <v>23663.439999999999</v>
      </c>
      <c r="L428" s="1403">
        <f>23663.44</f>
        <v>23663.439999999999</v>
      </c>
      <c r="M428" s="217" t="s">
        <v>133</v>
      </c>
      <c r="N428" s="217" t="s">
        <v>665</v>
      </c>
      <c r="O428" s="217" t="s">
        <v>666</v>
      </c>
      <c r="P428" s="193" t="s">
        <v>40</v>
      </c>
      <c r="Q428" s="194"/>
      <c r="R428" s="193" t="s">
        <v>64</v>
      </c>
      <c r="S428" s="194"/>
      <c r="T428" s="193"/>
      <c r="U428" s="194"/>
      <c r="V428" s="193" t="s">
        <v>40</v>
      </c>
      <c r="W428" s="194"/>
      <c r="X428" s="193" t="s">
        <v>40</v>
      </c>
      <c r="Y428" s="194"/>
      <c r="Z428" s="193" t="s">
        <v>64</v>
      </c>
      <c r="AA428" s="194"/>
      <c r="AB428" s="193" t="s">
        <v>40</v>
      </c>
      <c r="AC428" s="194"/>
      <c r="AD428" s="194"/>
      <c r="AE428" s="1529">
        <v>46203</v>
      </c>
      <c r="AF428" s="784" t="s">
        <v>247</v>
      </c>
      <c r="AG428" s="785">
        <v>2023</v>
      </c>
      <c r="AH428" s="231">
        <v>161032.94564000002</v>
      </c>
      <c r="AI428" s="766" t="s">
        <v>667</v>
      </c>
      <c r="AJ428" s="232"/>
      <c r="AK428" s="786" t="s">
        <v>43</v>
      </c>
      <c r="AL428" s="770" t="s">
        <v>41</v>
      </c>
      <c r="AM428" s="787">
        <v>0</v>
      </c>
      <c r="AN428" s="788" t="s">
        <v>40</v>
      </c>
      <c r="AO428" s="104"/>
      <c r="AP428" s="104"/>
      <c r="AQ428" s="104"/>
      <c r="AR428" s="104"/>
      <c r="AS428" s="104"/>
      <c r="AT428" s="745"/>
    </row>
    <row r="429" spans="1:46 16307:16365" s="741" customFormat="1" ht="28.8" x14ac:dyDescent="0.3">
      <c r="A429" s="741" t="s">
        <v>264</v>
      </c>
      <c r="B429" s="770" t="s">
        <v>280</v>
      </c>
      <c r="C429" s="781" t="s">
        <v>668</v>
      </c>
      <c r="D429" s="770" t="s">
        <v>34</v>
      </c>
      <c r="E429" s="770" t="s">
        <v>282</v>
      </c>
      <c r="F429" s="1351" t="s">
        <v>285</v>
      </c>
      <c r="G429" s="217">
        <v>4.6500000000000004</v>
      </c>
      <c r="H429" s="751">
        <v>68011.05</v>
      </c>
      <c r="I429" s="782" t="s">
        <v>267</v>
      </c>
      <c r="J429" s="751">
        <v>68011.05</v>
      </c>
      <c r="K429" s="1403">
        <f>42475.95</f>
        <v>42475.95</v>
      </c>
      <c r="L429" s="1403">
        <f>42475.95</f>
        <v>42475.95</v>
      </c>
      <c r="M429" s="217" t="s">
        <v>322</v>
      </c>
      <c r="N429" s="217" t="s">
        <v>669</v>
      </c>
      <c r="O429" s="217" t="s">
        <v>670</v>
      </c>
      <c r="P429" s="193" t="s">
        <v>40</v>
      </c>
      <c r="Q429" s="194"/>
      <c r="R429" s="193" t="s">
        <v>64</v>
      </c>
      <c r="S429" s="194"/>
      <c r="T429" s="193"/>
      <c r="U429" s="194"/>
      <c r="V429" s="193" t="s">
        <v>40</v>
      </c>
      <c r="W429" s="194"/>
      <c r="X429" s="193" t="s">
        <v>40</v>
      </c>
      <c r="Y429" s="194"/>
      <c r="Z429" s="193" t="s">
        <v>64</v>
      </c>
      <c r="AA429" s="194"/>
      <c r="AB429" s="193" t="s">
        <v>40</v>
      </c>
      <c r="AC429" s="194"/>
      <c r="AD429" s="194"/>
      <c r="AE429" s="1529">
        <v>46203</v>
      </c>
      <c r="AF429" s="784" t="s">
        <v>247</v>
      </c>
      <c r="AG429" s="785">
        <v>2023</v>
      </c>
      <c r="AH429" s="231">
        <v>336525.46</v>
      </c>
      <c r="AI429" s="766" t="s">
        <v>671</v>
      </c>
      <c r="AJ429" s="232"/>
      <c r="AK429" s="786" t="s">
        <v>43</v>
      </c>
      <c r="AL429" s="770" t="s">
        <v>41</v>
      </c>
      <c r="AM429" s="787">
        <v>0</v>
      </c>
      <c r="AN429" s="788" t="s">
        <v>40</v>
      </c>
      <c r="AO429" s="104"/>
      <c r="AP429" s="104"/>
      <c r="AQ429" s="104"/>
      <c r="AR429" s="104"/>
      <c r="AS429" s="104"/>
      <c r="AT429" s="745"/>
    </row>
    <row r="430" spans="1:46 16307:16365" s="741" customFormat="1" ht="28.8" x14ac:dyDescent="0.3">
      <c r="A430" s="741" t="s">
        <v>264</v>
      </c>
      <c r="B430" s="770" t="s">
        <v>280</v>
      </c>
      <c r="C430" s="781" t="s">
        <v>672</v>
      </c>
      <c r="D430" s="770" t="s">
        <v>34</v>
      </c>
      <c r="E430" s="770" t="s">
        <v>282</v>
      </c>
      <c r="F430" s="1351" t="s">
        <v>285</v>
      </c>
      <c r="G430" s="217">
        <v>2.1800000000000002</v>
      </c>
      <c r="H430" s="751">
        <v>58125.42</v>
      </c>
      <c r="I430" s="782" t="s">
        <v>267</v>
      </c>
      <c r="J430" s="751">
        <v>58125.42</v>
      </c>
      <c r="K430" s="1611">
        <v>0</v>
      </c>
      <c r="L430" s="1611">
        <v>0</v>
      </c>
      <c r="M430" s="217" t="s">
        <v>73</v>
      </c>
      <c r="N430" s="217" t="s">
        <v>673</v>
      </c>
      <c r="O430" s="217" t="s">
        <v>674</v>
      </c>
      <c r="P430" s="193" t="s">
        <v>40</v>
      </c>
      <c r="Q430" s="194"/>
      <c r="R430" s="193" t="s">
        <v>64</v>
      </c>
      <c r="S430" s="194"/>
      <c r="T430" s="193"/>
      <c r="U430" s="194"/>
      <c r="V430" s="193" t="s">
        <v>40</v>
      </c>
      <c r="W430" s="194"/>
      <c r="X430" s="193" t="s">
        <v>40</v>
      </c>
      <c r="Y430" s="194"/>
      <c r="Z430" s="193" t="s">
        <v>64</v>
      </c>
      <c r="AA430" s="194"/>
      <c r="AB430" s="193" t="s">
        <v>40</v>
      </c>
      <c r="AC430" s="194"/>
      <c r="AD430" s="194"/>
      <c r="AE430" s="1529">
        <v>46203</v>
      </c>
      <c r="AF430" s="784" t="s">
        <v>247</v>
      </c>
      <c r="AG430" s="785">
        <v>2023</v>
      </c>
      <c r="AH430" s="231">
        <v>287610.390702</v>
      </c>
      <c r="AI430" s="766" t="s">
        <v>675</v>
      </c>
      <c r="AJ430" s="232"/>
      <c r="AK430" s="786" t="s">
        <v>43</v>
      </c>
      <c r="AL430" s="770" t="s">
        <v>41</v>
      </c>
      <c r="AM430" s="787">
        <v>0</v>
      </c>
      <c r="AN430" s="788" t="s">
        <v>40</v>
      </c>
      <c r="AO430" s="104"/>
      <c r="AP430" s="104"/>
      <c r="AQ430" s="104"/>
      <c r="AR430" s="104"/>
      <c r="AS430" s="104"/>
      <c r="AT430" s="745"/>
    </row>
    <row r="431" spans="1:46 16307:16365" s="741" customFormat="1" ht="28.8" x14ac:dyDescent="0.3">
      <c r="A431" s="741" t="s">
        <v>264</v>
      </c>
      <c r="B431" s="770" t="s">
        <v>280</v>
      </c>
      <c r="C431" s="781" t="s">
        <v>676</v>
      </c>
      <c r="D431" s="770" t="s">
        <v>34</v>
      </c>
      <c r="E431" s="770" t="s">
        <v>282</v>
      </c>
      <c r="F431" s="1351" t="s">
        <v>285</v>
      </c>
      <c r="G431" s="217">
        <v>3.5</v>
      </c>
      <c r="H431" s="751">
        <v>77272.78</v>
      </c>
      <c r="I431" s="782" t="s">
        <v>267</v>
      </c>
      <c r="J431" s="751">
        <v>77272.78</v>
      </c>
      <c r="K431" s="1611">
        <f>50476.7809866413</f>
        <v>50476.780986641301</v>
      </c>
      <c r="L431" s="1611">
        <f>50476.7809866413</f>
        <v>50476.780986641301</v>
      </c>
      <c r="M431" s="217" t="s">
        <v>412</v>
      </c>
      <c r="N431" s="217" t="s">
        <v>677</v>
      </c>
      <c r="O431" s="217" t="s">
        <v>678</v>
      </c>
      <c r="P431" s="193" t="s">
        <v>40</v>
      </c>
      <c r="Q431" s="194"/>
      <c r="R431" s="193" t="s">
        <v>64</v>
      </c>
      <c r="S431" s="194"/>
      <c r="T431" s="193"/>
      <c r="U431" s="194"/>
      <c r="V431" s="193" t="s">
        <v>40</v>
      </c>
      <c r="W431" s="194"/>
      <c r="X431" s="193" t="s">
        <v>40</v>
      </c>
      <c r="Y431" s="194"/>
      <c r="Z431" s="193" t="s">
        <v>64</v>
      </c>
      <c r="AA431" s="194"/>
      <c r="AB431" s="193" t="s">
        <v>40</v>
      </c>
      <c r="AC431" s="194"/>
      <c r="AD431" s="194"/>
      <c r="AE431" s="1529">
        <v>46203</v>
      </c>
      <c r="AF431" s="784" t="s">
        <v>247</v>
      </c>
      <c r="AG431" s="785">
        <v>2023</v>
      </c>
      <c r="AH431" s="231">
        <v>382353.44271800003</v>
      </c>
      <c r="AI431" s="766" t="s">
        <v>679</v>
      </c>
      <c r="AJ431" s="232"/>
      <c r="AK431" s="786" t="s">
        <v>43</v>
      </c>
      <c r="AL431" s="770" t="s">
        <v>41</v>
      </c>
      <c r="AM431" s="787">
        <v>0</v>
      </c>
      <c r="AN431" s="788" t="s">
        <v>40</v>
      </c>
      <c r="AO431" s="104"/>
      <c r="AP431" s="104"/>
      <c r="AQ431" s="104"/>
      <c r="AR431" s="104"/>
      <c r="AS431" s="104"/>
      <c r="AT431" s="745"/>
    </row>
    <row r="432" spans="1:46 16307:16365" s="741" customFormat="1" ht="28.8" x14ac:dyDescent="0.3">
      <c r="A432" s="741" t="s">
        <v>264</v>
      </c>
      <c r="B432" s="770" t="s">
        <v>280</v>
      </c>
      <c r="C432" s="781" t="s">
        <v>680</v>
      </c>
      <c r="D432" s="770" t="s">
        <v>34</v>
      </c>
      <c r="E432" s="770" t="s">
        <v>282</v>
      </c>
      <c r="F432" s="1351" t="s">
        <v>285</v>
      </c>
      <c r="G432" s="217">
        <v>1.5</v>
      </c>
      <c r="H432" s="751">
        <v>28572.080000000002</v>
      </c>
      <c r="I432" s="782" t="s">
        <v>267</v>
      </c>
      <c r="J432" s="751">
        <v>28572.080000000002</v>
      </c>
      <c r="K432" s="1611">
        <v>0</v>
      </c>
      <c r="L432" s="1611">
        <v>0</v>
      </c>
      <c r="M432" s="217" t="s">
        <v>76</v>
      </c>
      <c r="N432" s="217" t="s">
        <v>526</v>
      </c>
      <c r="O432" s="217" t="s">
        <v>681</v>
      </c>
      <c r="P432" s="193" t="s">
        <v>40</v>
      </c>
      <c r="Q432" s="194"/>
      <c r="R432" s="193" t="s">
        <v>64</v>
      </c>
      <c r="S432" s="194"/>
      <c r="T432" s="193"/>
      <c r="U432" s="194"/>
      <c r="V432" s="193" t="s">
        <v>40</v>
      </c>
      <c r="W432" s="194"/>
      <c r="X432" s="193" t="s">
        <v>40</v>
      </c>
      <c r="Y432" s="194"/>
      <c r="Z432" s="193" t="s">
        <v>64</v>
      </c>
      <c r="AA432" s="194"/>
      <c r="AB432" s="193" t="s">
        <v>40</v>
      </c>
      <c r="AC432" s="194"/>
      <c r="AD432" s="194"/>
      <c r="AE432" s="1529">
        <v>46203</v>
      </c>
      <c r="AF432" s="784" t="s">
        <v>247</v>
      </c>
      <c r="AG432" s="785">
        <v>2023</v>
      </c>
      <c r="AH432" s="231">
        <v>141377.50904800001</v>
      </c>
      <c r="AI432" s="766" t="s">
        <v>682</v>
      </c>
      <c r="AJ432" s="232"/>
      <c r="AK432" s="786" t="s">
        <v>43</v>
      </c>
      <c r="AL432" s="770" t="s">
        <v>41</v>
      </c>
      <c r="AM432" s="787">
        <v>0</v>
      </c>
      <c r="AN432" s="788" t="s">
        <v>40</v>
      </c>
      <c r="AO432" s="104"/>
      <c r="AP432" s="104"/>
      <c r="AQ432" s="104"/>
      <c r="AR432" s="104"/>
      <c r="AS432" s="104"/>
      <c r="AT432" s="745"/>
    </row>
    <row r="433" spans="1:16371" s="741" customFormat="1" ht="28.8" x14ac:dyDescent="0.3">
      <c r="A433" s="741" t="s">
        <v>264</v>
      </c>
      <c r="B433" s="770" t="s">
        <v>280</v>
      </c>
      <c r="C433" s="781" t="s">
        <v>683</v>
      </c>
      <c r="D433" s="770" t="s">
        <v>34</v>
      </c>
      <c r="E433" s="770" t="s">
        <v>282</v>
      </c>
      <c r="F433" s="1351" t="s">
        <v>285</v>
      </c>
      <c r="G433" s="217">
        <v>0.61</v>
      </c>
      <c r="H433" s="751">
        <v>16669.3</v>
      </c>
      <c r="I433" s="782" t="s">
        <v>267</v>
      </c>
      <c r="J433" s="751">
        <v>16669.3</v>
      </c>
      <c r="K433" s="1611">
        <v>0</v>
      </c>
      <c r="L433" s="1611">
        <v>0</v>
      </c>
      <c r="M433" s="217" t="s">
        <v>63</v>
      </c>
      <c r="N433" s="217" t="s">
        <v>684</v>
      </c>
      <c r="O433" s="217" t="s">
        <v>685</v>
      </c>
      <c r="P433" s="193" t="s">
        <v>40</v>
      </c>
      <c r="Q433" s="194"/>
      <c r="R433" s="193" t="s">
        <v>64</v>
      </c>
      <c r="S433" s="194"/>
      <c r="T433" s="193"/>
      <c r="U433" s="194"/>
      <c r="V433" s="193" t="s">
        <v>40</v>
      </c>
      <c r="W433" s="194"/>
      <c r="X433" s="193" t="s">
        <v>40</v>
      </c>
      <c r="Y433" s="194"/>
      <c r="Z433" s="193" t="s">
        <v>64</v>
      </c>
      <c r="AA433" s="194"/>
      <c r="AB433" s="193" t="s">
        <v>40</v>
      </c>
      <c r="AC433" s="194"/>
      <c r="AD433" s="194"/>
      <c r="AE433" s="1529">
        <v>46203</v>
      </c>
      <c r="AF433" s="784" t="s">
        <v>247</v>
      </c>
      <c r="AG433" s="785">
        <v>2023</v>
      </c>
      <c r="AH433" s="231">
        <v>82481.363329999993</v>
      </c>
      <c r="AI433" s="766" t="s">
        <v>686</v>
      </c>
      <c r="AJ433" s="232"/>
      <c r="AK433" s="786" t="s">
        <v>43</v>
      </c>
      <c r="AL433" s="770" t="s">
        <v>41</v>
      </c>
      <c r="AM433" s="787">
        <v>0</v>
      </c>
      <c r="AN433" s="788" t="s">
        <v>40</v>
      </c>
      <c r="AO433" s="104"/>
      <c r="AP433" s="104"/>
      <c r="AQ433" s="104"/>
      <c r="AR433" s="104"/>
      <c r="AS433" s="104"/>
      <c r="AT433" s="745"/>
    </row>
    <row r="434" spans="1:16371" s="741" customFormat="1" ht="28.8" x14ac:dyDescent="0.3">
      <c r="A434" s="741" t="s">
        <v>264</v>
      </c>
      <c r="B434" s="770" t="s">
        <v>280</v>
      </c>
      <c r="C434" s="781" t="s">
        <v>687</v>
      </c>
      <c r="D434" s="770" t="s">
        <v>34</v>
      </c>
      <c r="E434" s="770" t="s">
        <v>282</v>
      </c>
      <c r="F434" s="1351" t="s">
        <v>285</v>
      </c>
      <c r="G434" s="217">
        <v>1.0939000000000001</v>
      </c>
      <c r="H434" s="751">
        <v>23535.84</v>
      </c>
      <c r="I434" s="782" t="s">
        <v>267</v>
      </c>
      <c r="J434" s="751">
        <v>23535.84</v>
      </c>
      <c r="K434" s="1611">
        <v>0</v>
      </c>
      <c r="L434" s="1611">
        <v>0</v>
      </c>
      <c r="M434" s="217" t="s">
        <v>290</v>
      </c>
      <c r="N434" s="217" t="s">
        <v>688</v>
      </c>
      <c r="O434" s="217" t="s">
        <v>689</v>
      </c>
      <c r="P434" s="193" t="s">
        <v>40</v>
      </c>
      <c r="Q434" s="194"/>
      <c r="R434" s="193" t="s">
        <v>64</v>
      </c>
      <c r="S434" s="194"/>
      <c r="T434" s="193"/>
      <c r="U434" s="194"/>
      <c r="V434" s="193" t="s">
        <v>40</v>
      </c>
      <c r="W434" s="194"/>
      <c r="X434" s="193" t="s">
        <v>40</v>
      </c>
      <c r="Y434" s="194"/>
      <c r="Z434" s="193" t="s">
        <v>64</v>
      </c>
      <c r="AA434" s="194"/>
      <c r="AB434" s="193" t="s">
        <v>40</v>
      </c>
      <c r="AC434" s="194"/>
      <c r="AD434" s="194"/>
      <c r="AE434" s="1529">
        <v>46203</v>
      </c>
      <c r="AF434" s="784" t="s">
        <v>247</v>
      </c>
      <c r="AG434" s="785">
        <v>2023</v>
      </c>
      <c r="AH434" s="231">
        <v>116457.689904</v>
      </c>
      <c r="AI434" s="766" t="s">
        <v>690</v>
      </c>
      <c r="AJ434" s="232"/>
      <c r="AK434" s="786" t="s">
        <v>43</v>
      </c>
      <c r="AL434" s="770" t="s">
        <v>41</v>
      </c>
      <c r="AM434" s="787">
        <v>0</v>
      </c>
      <c r="AN434" s="788" t="s">
        <v>40</v>
      </c>
      <c r="AO434" s="104"/>
      <c r="AP434" s="104"/>
      <c r="AQ434" s="104"/>
      <c r="AR434" s="104"/>
      <c r="AS434" s="104"/>
      <c r="AT434" s="745"/>
    </row>
    <row r="435" spans="1:16371" s="741" customFormat="1" ht="28.8" x14ac:dyDescent="0.3">
      <c r="A435" s="741" t="s">
        <v>264</v>
      </c>
      <c r="B435" s="770" t="s">
        <v>280</v>
      </c>
      <c r="C435" s="781" t="s">
        <v>691</v>
      </c>
      <c r="D435" s="770" t="s">
        <v>34</v>
      </c>
      <c r="E435" s="770" t="s">
        <v>282</v>
      </c>
      <c r="F435" s="1351" t="s">
        <v>285</v>
      </c>
      <c r="G435" s="217">
        <v>7.0925000000000002</v>
      </c>
      <c r="H435" s="751">
        <v>105593.94</v>
      </c>
      <c r="I435" s="782" t="s">
        <v>267</v>
      </c>
      <c r="J435" s="751">
        <v>105593.94</v>
      </c>
      <c r="K435" s="1403">
        <f>66421.21</f>
        <v>66421.210000000006</v>
      </c>
      <c r="L435" s="1403">
        <f>66421.21</f>
        <v>66421.210000000006</v>
      </c>
      <c r="M435" s="217" t="s">
        <v>84</v>
      </c>
      <c r="N435" s="217" t="s">
        <v>497</v>
      </c>
      <c r="O435" s="217" t="s">
        <v>692</v>
      </c>
      <c r="P435" s="193" t="s">
        <v>40</v>
      </c>
      <c r="Q435" s="194"/>
      <c r="R435" s="193" t="s">
        <v>64</v>
      </c>
      <c r="S435" s="194"/>
      <c r="T435" s="193"/>
      <c r="U435" s="194"/>
      <c r="V435" s="193" t="s">
        <v>40</v>
      </c>
      <c r="W435" s="194"/>
      <c r="X435" s="193" t="s">
        <v>40</v>
      </c>
      <c r="Y435" s="194"/>
      <c r="Z435" s="193" t="s">
        <v>64</v>
      </c>
      <c r="AA435" s="194"/>
      <c r="AB435" s="193" t="s">
        <v>40</v>
      </c>
      <c r="AC435" s="194"/>
      <c r="AD435" s="194"/>
      <c r="AE435" s="1529">
        <v>46203</v>
      </c>
      <c r="AF435" s="784" t="s">
        <v>247</v>
      </c>
      <c r="AG435" s="785">
        <v>2023</v>
      </c>
      <c r="AH435" s="231">
        <v>522489.38</v>
      </c>
      <c r="AI435" s="766" t="s">
        <v>693</v>
      </c>
      <c r="AJ435" s="232"/>
      <c r="AK435" s="786" t="s">
        <v>43</v>
      </c>
      <c r="AL435" s="770" t="s">
        <v>41</v>
      </c>
      <c r="AM435" s="787">
        <v>0</v>
      </c>
      <c r="AN435" s="788" t="s">
        <v>40</v>
      </c>
      <c r="AO435" s="104"/>
      <c r="AP435" s="104"/>
      <c r="AQ435" s="104"/>
      <c r="AR435" s="104"/>
      <c r="AS435" s="104"/>
      <c r="AT435" s="745"/>
    </row>
    <row r="436" spans="1:16371" s="741" customFormat="1" ht="43.2" x14ac:dyDescent="0.3">
      <c r="A436" s="741" t="s">
        <v>264</v>
      </c>
      <c r="B436" s="770" t="s">
        <v>280</v>
      </c>
      <c r="C436" s="781" t="s">
        <v>694</v>
      </c>
      <c r="D436" s="770" t="s">
        <v>34</v>
      </c>
      <c r="E436" s="770" t="s">
        <v>282</v>
      </c>
      <c r="F436" s="1351" t="s">
        <v>285</v>
      </c>
      <c r="G436" s="217">
        <v>4.3975999999999997</v>
      </c>
      <c r="H436" s="751">
        <v>69303.78</v>
      </c>
      <c r="I436" s="782" t="s">
        <v>267</v>
      </c>
      <c r="J436" s="751">
        <v>69303.78</v>
      </c>
      <c r="K436" s="1403">
        <f>40140.78</f>
        <v>40140.78</v>
      </c>
      <c r="L436" s="1403">
        <f>40140.78</f>
        <v>40140.78</v>
      </c>
      <c r="M436" s="217" t="s">
        <v>84</v>
      </c>
      <c r="N436" s="217" t="s">
        <v>497</v>
      </c>
      <c r="O436" s="217" t="s">
        <v>695</v>
      </c>
      <c r="P436" s="193" t="s">
        <v>40</v>
      </c>
      <c r="Q436" s="194"/>
      <c r="R436" s="193" t="s">
        <v>64</v>
      </c>
      <c r="S436" s="194"/>
      <c r="T436" s="193"/>
      <c r="U436" s="194"/>
      <c r="V436" s="193" t="s">
        <v>40</v>
      </c>
      <c r="W436" s="194"/>
      <c r="X436" s="193" t="s">
        <v>40</v>
      </c>
      <c r="Y436" s="194"/>
      <c r="Z436" s="193" t="s">
        <v>64</v>
      </c>
      <c r="AA436" s="194"/>
      <c r="AB436" s="193" t="s">
        <v>40</v>
      </c>
      <c r="AC436" s="194"/>
      <c r="AD436" s="194"/>
      <c r="AE436" s="1529">
        <v>46203</v>
      </c>
      <c r="AF436" s="784" t="s">
        <v>247</v>
      </c>
      <c r="AG436" s="785">
        <v>2023</v>
      </c>
      <c r="AH436" s="231">
        <v>342922.033818</v>
      </c>
      <c r="AI436" s="766" t="s">
        <v>696</v>
      </c>
      <c r="AJ436" s="232"/>
      <c r="AK436" s="786" t="s">
        <v>43</v>
      </c>
      <c r="AL436" s="770" t="s">
        <v>41</v>
      </c>
      <c r="AM436" s="787">
        <v>0</v>
      </c>
      <c r="AN436" s="788" t="s">
        <v>40</v>
      </c>
      <c r="AO436" s="104"/>
      <c r="AP436" s="104"/>
      <c r="AQ436" s="104"/>
      <c r="AR436" s="104"/>
      <c r="AS436" s="104"/>
      <c r="AT436" s="745"/>
    </row>
    <row r="437" spans="1:16371" s="741" customFormat="1" ht="28.8" x14ac:dyDescent="0.3">
      <c r="A437" s="741" t="s">
        <v>264</v>
      </c>
      <c r="B437" s="770" t="s">
        <v>280</v>
      </c>
      <c r="C437" s="781" t="s">
        <v>697</v>
      </c>
      <c r="D437" s="770" t="s">
        <v>34</v>
      </c>
      <c r="E437" s="770" t="s">
        <v>282</v>
      </c>
      <c r="F437" s="1351" t="s">
        <v>285</v>
      </c>
      <c r="G437" s="217">
        <v>31.575600000000001</v>
      </c>
      <c r="H437" s="751">
        <v>476043</v>
      </c>
      <c r="I437" s="782" t="s">
        <v>267</v>
      </c>
      <c r="J437" s="751">
        <v>476043</v>
      </c>
      <c r="K437" s="1611">
        <v>0</v>
      </c>
      <c r="L437" s="1611">
        <v>0</v>
      </c>
      <c r="M437" s="217" t="s">
        <v>636</v>
      </c>
      <c r="N437" s="217" t="s">
        <v>698</v>
      </c>
      <c r="O437" s="217" t="s">
        <v>699</v>
      </c>
      <c r="P437" s="193" t="s">
        <v>40</v>
      </c>
      <c r="Q437" s="194"/>
      <c r="R437" s="193" t="s">
        <v>64</v>
      </c>
      <c r="S437" s="194"/>
      <c r="T437" s="193"/>
      <c r="U437" s="194"/>
      <c r="V437" s="193" t="s">
        <v>40</v>
      </c>
      <c r="W437" s="194"/>
      <c r="X437" s="193" t="s">
        <v>40</v>
      </c>
      <c r="Y437" s="194"/>
      <c r="Z437" s="193" t="s">
        <v>64</v>
      </c>
      <c r="AA437" s="194"/>
      <c r="AB437" s="193" t="s">
        <v>40</v>
      </c>
      <c r="AC437" s="194"/>
      <c r="AD437" s="194"/>
      <c r="AE437" s="1529">
        <v>46203</v>
      </c>
      <c r="AF437" s="784" t="s">
        <v>247</v>
      </c>
      <c r="AG437" s="785">
        <v>2023</v>
      </c>
      <c r="AH437" s="231">
        <v>2355508.3683000002</v>
      </c>
      <c r="AI437" s="766" t="s">
        <v>700</v>
      </c>
      <c r="AJ437" s="232"/>
      <c r="AK437" s="786" t="s">
        <v>43</v>
      </c>
      <c r="AL437" s="770" t="s">
        <v>41</v>
      </c>
      <c r="AM437" s="787">
        <v>0</v>
      </c>
      <c r="AN437" s="788" t="s">
        <v>40</v>
      </c>
      <c r="AO437" s="104"/>
      <c r="AP437" s="104"/>
      <c r="AQ437" s="104"/>
      <c r="AR437" s="104"/>
      <c r="AS437" s="104"/>
      <c r="AT437" s="745"/>
    </row>
    <row r="438" spans="1:16371" s="741" customFormat="1" ht="28.8" x14ac:dyDescent="0.3">
      <c r="A438" s="741" t="s">
        <v>264</v>
      </c>
      <c r="B438" s="770" t="s">
        <v>280</v>
      </c>
      <c r="C438" s="781" t="s">
        <v>701</v>
      </c>
      <c r="D438" s="770" t="s">
        <v>34</v>
      </c>
      <c r="E438" s="770" t="s">
        <v>282</v>
      </c>
      <c r="F438" s="1351" t="s">
        <v>285</v>
      </c>
      <c r="G438" s="217">
        <v>19.350000000000001</v>
      </c>
      <c r="H438" s="751">
        <v>376700.52</v>
      </c>
      <c r="I438" s="782" t="s">
        <v>267</v>
      </c>
      <c r="J438" s="751">
        <v>376700.52</v>
      </c>
      <c r="K438" s="1611">
        <v>0</v>
      </c>
      <c r="L438" s="1611">
        <v>0</v>
      </c>
      <c r="M438" s="217" t="s">
        <v>63</v>
      </c>
      <c r="N438" s="217" t="s">
        <v>702</v>
      </c>
      <c r="O438" s="217" t="s">
        <v>703</v>
      </c>
      <c r="P438" s="193" t="s">
        <v>40</v>
      </c>
      <c r="Q438" s="194"/>
      <c r="R438" s="193" t="s">
        <v>64</v>
      </c>
      <c r="S438" s="194"/>
      <c r="T438" s="193"/>
      <c r="U438" s="194"/>
      <c r="V438" s="193" t="s">
        <v>40</v>
      </c>
      <c r="W438" s="194"/>
      <c r="X438" s="193" t="s">
        <v>40</v>
      </c>
      <c r="Y438" s="194"/>
      <c r="Z438" s="193" t="s">
        <v>64</v>
      </c>
      <c r="AA438" s="194"/>
      <c r="AB438" s="193" t="s">
        <v>40</v>
      </c>
      <c r="AC438" s="194"/>
      <c r="AD438" s="194"/>
      <c r="AE438" s="1529">
        <v>46203</v>
      </c>
      <c r="AF438" s="784" t="s">
        <v>247</v>
      </c>
      <c r="AG438" s="785">
        <v>2023</v>
      </c>
      <c r="AH438" s="231">
        <v>1863951.8430120002</v>
      </c>
      <c r="AI438" s="766" t="s">
        <v>704</v>
      </c>
      <c r="AJ438" s="232"/>
      <c r="AK438" s="786" t="s">
        <v>43</v>
      </c>
      <c r="AL438" s="770" t="s">
        <v>41</v>
      </c>
      <c r="AM438" s="787">
        <v>0</v>
      </c>
      <c r="AN438" s="788" t="s">
        <v>40</v>
      </c>
      <c r="AO438" s="104"/>
      <c r="AP438" s="104"/>
      <c r="AQ438" s="104"/>
      <c r="AR438" s="104"/>
      <c r="AS438" s="104"/>
      <c r="AT438" s="745"/>
    </row>
    <row r="439" spans="1:16371" s="741" customFormat="1" ht="28.8" x14ac:dyDescent="0.3">
      <c r="A439" s="741" t="s">
        <v>264</v>
      </c>
      <c r="B439" s="770" t="s">
        <v>280</v>
      </c>
      <c r="C439" s="781" t="s">
        <v>705</v>
      </c>
      <c r="D439" s="770" t="s">
        <v>34</v>
      </c>
      <c r="E439" s="770" t="s">
        <v>282</v>
      </c>
      <c r="F439" s="1351" t="s">
        <v>285</v>
      </c>
      <c r="G439" s="217">
        <v>3.45</v>
      </c>
      <c r="H439" s="751">
        <v>85088.8</v>
      </c>
      <c r="I439" s="782" t="s">
        <v>267</v>
      </c>
      <c r="J439" s="751">
        <v>85088.8</v>
      </c>
      <c r="K439" s="1611">
        <v>0</v>
      </c>
      <c r="L439" s="1611">
        <v>0</v>
      </c>
      <c r="M439" s="217" t="s">
        <v>73</v>
      </c>
      <c r="N439" s="217" t="s">
        <v>706</v>
      </c>
      <c r="O439" s="217" t="s">
        <v>707</v>
      </c>
      <c r="P439" s="193" t="s">
        <v>40</v>
      </c>
      <c r="Q439" s="194"/>
      <c r="R439" s="193" t="s">
        <v>64</v>
      </c>
      <c r="S439" s="194"/>
      <c r="T439" s="193"/>
      <c r="U439" s="194"/>
      <c r="V439" s="193" t="s">
        <v>40</v>
      </c>
      <c r="W439" s="194"/>
      <c r="X439" s="193" t="s">
        <v>40</v>
      </c>
      <c r="Y439" s="194"/>
      <c r="Z439" s="193" t="s">
        <v>64</v>
      </c>
      <c r="AA439" s="194"/>
      <c r="AB439" s="193" t="s">
        <v>40</v>
      </c>
      <c r="AC439" s="194"/>
      <c r="AD439" s="194"/>
      <c r="AE439" s="1529">
        <v>46203</v>
      </c>
      <c r="AF439" s="784" t="s">
        <v>247</v>
      </c>
      <c r="AG439" s="785">
        <v>2023</v>
      </c>
      <c r="AH439" s="231">
        <v>421027.89128000004</v>
      </c>
      <c r="AI439" s="766" t="s">
        <v>708</v>
      </c>
      <c r="AJ439" s="232"/>
      <c r="AK439" s="786" t="s">
        <v>43</v>
      </c>
      <c r="AL439" s="770" t="s">
        <v>41</v>
      </c>
      <c r="AM439" s="787">
        <v>0</v>
      </c>
      <c r="AN439" s="788" t="s">
        <v>40</v>
      </c>
      <c r="AO439" s="104"/>
      <c r="AP439" s="104"/>
      <c r="AQ439" s="104"/>
      <c r="AR439" s="104"/>
      <c r="AS439" s="104"/>
      <c r="AT439" s="745"/>
    </row>
    <row r="440" spans="1:16371" s="741" customFormat="1" ht="43.2" x14ac:dyDescent="0.3">
      <c r="A440" s="741" t="s">
        <v>264</v>
      </c>
      <c r="B440" s="770" t="s">
        <v>280</v>
      </c>
      <c r="C440" s="781" t="s">
        <v>709</v>
      </c>
      <c r="D440" s="770" t="s">
        <v>34</v>
      </c>
      <c r="E440" s="770" t="s">
        <v>282</v>
      </c>
      <c r="F440" s="1351" t="s">
        <v>285</v>
      </c>
      <c r="G440" s="217">
        <v>15.792299999999999</v>
      </c>
      <c r="H440" s="751">
        <v>210357.25</v>
      </c>
      <c r="I440" s="782" t="s">
        <v>267</v>
      </c>
      <c r="J440" s="751">
        <v>210357.25</v>
      </c>
      <c r="K440" s="1403">
        <f>122971.27</f>
        <v>122971.27</v>
      </c>
      <c r="L440" s="1403">
        <f>122971.27</f>
        <v>122971.27</v>
      </c>
      <c r="M440" s="217" t="s">
        <v>84</v>
      </c>
      <c r="N440" s="217" t="s">
        <v>710</v>
      </c>
      <c r="O440" s="217" t="s">
        <v>711</v>
      </c>
      <c r="P440" s="193" t="s">
        <v>40</v>
      </c>
      <c r="Q440" s="194"/>
      <c r="R440" s="193" t="s">
        <v>64</v>
      </c>
      <c r="S440" s="194"/>
      <c r="T440" s="193"/>
      <c r="U440" s="194"/>
      <c r="V440" s="193" t="s">
        <v>40</v>
      </c>
      <c r="W440" s="194"/>
      <c r="X440" s="193" t="s">
        <v>40</v>
      </c>
      <c r="Y440" s="194"/>
      <c r="Z440" s="193" t="s">
        <v>64</v>
      </c>
      <c r="AA440" s="194"/>
      <c r="AB440" s="193" t="s">
        <v>40</v>
      </c>
      <c r="AC440" s="194"/>
      <c r="AD440" s="194"/>
      <c r="AE440" s="1529">
        <v>46203</v>
      </c>
      <c r="AF440" s="784" t="s">
        <v>247</v>
      </c>
      <c r="AG440" s="785">
        <v>2023</v>
      </c>
      <c r="AH440" s="231">
        <v>1040868.69</v>
      </c>
      <c r="AI440" s="766" t="s">
        <v>712</v>
      </c>
      <c r="AJ440" s="232"/>
      <c r="AK440" s="786" t="s">
        <v>43</v>
      </c>
      <c r="AL440" s="770" t="s">
        <v>41</v>
      </c>
      <c r="AM440" s="787">
        <v>0</v>
      </c>
      <c r="AN440" s="788" t="s">
        <v>40</v>
      </c>
      <c r="AO440" s="104"/>
      <c r="AP440" s="104"/>
      <c r="AQ440" s="104"/>
      <c r="AR440" s="104"/>
      <c r="AS440" s="104"/>
      <c r="AT440" s="745"/>
    </row>
    <row r="441" spans="1:16371" s="741" customFormat="1" ht="28.8" x14ac:dyDescent="0.3">
      <c r="A441" s="741" t="s">
        <v>264</v>
      </c>
      <c r="B441" s="770" t="s">
        <v>280</v>
      </c>
      <c r="C441" s="781" t="s">
        <v>713</v>
      </c>
      <c r="D441" s="770" t="s">
        <v>34</v>
      </c>
      <c r="E441" s="770" t="s">
        <v>282</v>
      </c>
      <c r="F441" s="1351" t="s">
        <v>285</v>
      </c>
      <c r="G441" s="217">
        <v>6.2887000000000004</v>
      </c>
      <c r="H441" s="751">
        <v>97852.56</v>
      </c>
      <c r="I441" s="782" t="s">
        <v>267</v>
      </c>
      <c r="J441" s="751">
        <v>97852.56</v>
      </c>
      <c r="K441" s="1611">
        <f>63255.6415593864</f>
        <v>63255.6415593864</v>
      </c>
      <c r="L441" s="1611">
        <f>63255.6415593864</f>
        <v>63255.6415593864</v>
      </c>
      <c r="M441" s="217" t="s">
        <v>84</v>
      </c>
      <c r="N441" s="217" t="s">
        <v>710</v>
      </c>
      <c r="O441" s="217" t="s">
        <v>714</v>
      </c>
      <c r="P441" s="193" t="s">
        <v>40</v>
      </c>
      <c r="Q441" s="194"/>
      <c r="R441" s="193" t="s">
        <v>64</v>
      </c>
      <c r="S441" s="194"/>
      <c r="T441" s="193"/>
      <c r="U441" s="194"/>
      <c r="V441" s="193" t="s">
        <v>40</v>
      </c>
      <c r="W441" s="194"/>
      <c r="X441" s="193" t="s">
        <v>40</v>
      </c>
      <c r="Y441" s="194"/>
      <c r="Z441" s="193" t="s">
        <v>64</v>
      </c>
      <c r="AA441" s="194"/>
      <c r="AB441" s="193" t="s">
        <v>40</v>
      </c>
      <c r="AC441" s="194"/>
      <c r="AD441" s="194"/>
      <c r="AE441" s="1529">
        <v>46203</v>
      </c>
      <c r="AF441" s="784" t="s">
        <v>247</v>
      </c>
      <c r="AG441" s="785">
        <v>2023</v>
      </c>
      <c r="AH441" s="231">
        <v>484184.26</v>
      </c>
      <c r="AI441" s="766" t="s">
        <v>715</v>
      </c>
      <c r="AJ441" s="232"/>
      <c r="AK441" s="786" t="s">
        <v>43</v>
      </c>
      <c r="AL441" s="770" t="s">
        <v>41</v>
      </c>
      <c r="AM441" s="787">
        <v>0</v>
      </c>
      <c r="AN441" s="788" t="s">
        <v>40</v>
      </c>
      <c r="AO441" s="104"/>
      <c r="AP441" s="104"/>
      <c r="AQ441" s="104"/>
      <c r="AR441" s="104"/>
      <c r="AS441" s="104"/>
      <c r="AT441" s="745"/>
    </row>
    <row r="442" spans="1:16371" s="741" customFormat="1" ht="28.8" x14ac:dyDescent="0.3">
      <c r="A442" s="741" t="s">
        <v>264</v>
      </c>
      <c r="B442" s="770" t="s">
        <v>280</v>
      </c>
      <c r="C442" s="781" t="s">
        <v>716</v>
      </c>
      <c r="D442" s="770" t="s">
        <v>34</v>
      </c>
      <c r="E442" s="770" t="s">
        <v>282</v>
      </c>
      <c r="F442" s="1351" t="s">
        <v>285</v>
      </c>
      <c r="G442" s="217">
        <v>1.9</v>
      </c>
      <c r="H442" s="751">
        <v>47681.98</v>
      </c>
      <c r="I442" s="782" t="s">
        <v>267</v>
      </c>
      <c r="J442" s="751">
        <v>47681.98</v>
      </c>
      <c r="K442" s="1403">
        <f>37159.78</f>
        <v>37159.78</v>
      </c>
      <c r="L442" s="1403">
        <f>37159.78</f>
        <v>37159.78</v>
      </c>
      <c r="M442" s="217" t="s">
        <v>303</v>
      </c>
      <c r="N442" s="217" t="s">
        <v>717</v>
      </c>
      <c r="O442" s="217" t="s">
        <v>718</v>
      </c>
      <c r="P442" s="193" t="s">
        <v>40</v>
      </c>
      <c r="Q442" s="194"/>
      <c r="R442" s="193" t="s">
        <v>64</v>
      </c>
      <c r="S442" s="194"/>
      <c r="T442" s="193"/>
      <c r="U442" s="194"/>
      <c r="V442" s="193" t="s">
        <v>40</v>
      </c>
      <c r="W442" s="194"/>
      <c r="X442" s="193" t="s">
        <v>40</v>
      </c>
      <c r="Y442" s="194"/>
      <c r="Z442" s="193" t="s">
        <v>64</v>
      </c>
      <c r="AA442" s="194"/>
      <c r="AB442" s="193" t="s">
        <v>40</v>
      </c>
      <c r="AC442" s="194"/>
      <c r="AD442" s="194"/>
      <c r="AE442" s="1529">
        <v>46203</v>
      </c>
      <c r="AF442" s="784" t="s">
        <v>247</v>
      </c>
      <c r="AG442" s="785">
        <v>2023</v>
      </c>
      <c r="AH442" s="231">
        <v>235935.20523800002</v>
      </c>
      <c r="AI442" s="766" t="s">
        <v>719</v>
      </c>
      <c r="AJ442" s="232"/>
      <c r="AK442" s="786" t="s">
        <v>43</v>
      </c>
      <c r="AL442" s="770" t="s">
        <v>41</v>
      </c>
      <c r="AM442" s="787">
        <v>0</v>
      </c>
      <c r="AN442" s="788" t="s">
        <v>40</v>
      </c>
      <c r="AO442" s="104"/>
      <c r="AP442" s="104"/>
      <c r="AQ442" s="104"/>
      <c r="AR442" s="104"/>
      <c r="AS442" s="104"/>
      <c r="AT442" s="745"/>
    </row>
    <row r="443" spans="1:16371" s="741" customFormat="1" ht="28.8" x14ac:dyDescent="0.3">
      <c r="A443" s="741" t="s">
        <v>264</v>
      </c>
      <c r="B443" s="770" t="s">
        <v>280</v>
      </c>
      <c r="C443" s="781" t="s">
        <v>720</v>
      </c>
      <c r="D443" s="770" t="s">
        <v>34</v>
      </c>
      <c r="E443" s="770" t="s">
        <v>282</v>
      </c>
      <c r="F443" s="1351" t="s">
        <v>285</v>
      </c>
      <c r="G443" s="217">
        <v>3.18</v>
      </c>
      <c r="H443" s="751">
        <v>67547.179999999993</v>
      </c>
      <c r="I443" s="782" t="s">
        <v>267</v>
      </c>
      <c r="J443" s="751">
        <v>67547.179999999993</v>
      </c>
      <c r="K443" s="1611">
        <f>49936.3392009054</f>
        <v>49936.339200905401</v>
      </c>
      <c r="L443" s="1611">
        <f>49936.3392009054</f>
        <v>49936.339200905401</v>
      </c>
      <c r="M443" s="217" t="s">
        <v>183</v>
      </c>
      <c r="N443" s="217" t="s">
        <v>721</v>
      </c>
      <c r="O443" s="217" t="s">
        <v>718</v>
      </c>
      <c r="P443" s="193" t="s">
        <v>40</v>
      </c>
      <c r="Q443" s="194"/>
      <c r="R443" s="193" t="s">
        <v>64</v>
      </c>
      <c r="S443" s="194"/>
      <c r="T443" s="193"/>
      <c r="U443" s="194"/>
      <c r="V443" s="193" t="s">
        <v>40</v>
      </c>
      <c r="W443" s="194"/>
      <c r="X443" s="193" t="s">
        <v>40</v>
      </c>
      <c r="Y443" s="194"/>
      <c r="Z443" s="193" t="s">
        <v>64</v>
      </c>
      <c r="AA443" s="194"/>
      <c r="AB443" s="193" t="s">
        <v>40</v>
      </c>
      <c r="AC443" s="194"/>
      <c r="AD443" s="194"/>
      <c r="AE443" s="1529">
        <v>46203</v>
      </c>
      <c r="AF443" s="784" t="s">
        <v>247</v>
      </c>
      <c r="AG443" s="785">
        <v>2023</v>
      </c>
      <c r="AH443" s="231">
        <v>334230.20135799999</v>
      </c>
      <c r="AI443" s="766" t="s">
        <v>719</v>
      </c>
      <c r="AJ443" s="232"/>
      <c r="AK443" s="786" t="s">
        <v>43</v>
      </c>
      <c r="AL443" s="770" t="s">
        <v>41</v>
      </c>
      <c r="AM443" s="787">
        <v>0</v>
      </c>
      <c r="AN443" s="788" t="s">
        <v>40</v>
      </c>
      <c r="AO443" s="104"/>
      <c r="AP443" s="104"/>
      <c r="AQ443" s="104"/>
      <c r="AR443" s="104"/>
      <c r="AS443" s="104"/>
      <c r="AT443" s="745"/>
    </row>
    <row r="444" spans="1:16371" s="741" customFormat="1" ht="28.8" x14ac:dyDescent="0.3">
      <c r="A444" s="741" t="s">
        <v>264</v>
      </c>
      <c r="B444" s="770" t="s">
        <v>280</v>
      </c>
      <c r="C444" s="781" t="s">
        <v>722</v>
      </c>
      <c r="D444" s="770" t="s">
        <v>34</v>
      </c>
      <c r="E444" s="770" t="s">
        <v>282</v>
      </c>
      <c r="F444" s="1351" t="s">
        <v>285</v>
      </c>
      <c r="G444" s="217">
        <v>1.5</v>
      </c>
      <c r="H444" s="751">
        <v>29695.42</v>
      </c>
      <c r="I444" s="782" t="s">
        <v>267</v>
      </c>
      <c r="J444" s="751">
        <v>29695.42</v>
      </c>
      <c r="K444" s="1403">
        <f>20999.57</f>
        <v>20999.57</v>
      </c>
      <c r="L444" s="1403">
        <f>20999.57</f>
        <v>20999.57</v>
      </c>
      <c r="M444" s="217" t="s">
        <v>200</v>
      </c>
      <c r="N444" s="217" t="s">
        <v>402</v>
      </c>
      <c r="O444" s="217" t="s">
        <v>723</v>
      </c>
      <c r="P444" s="193" t="s">
        <v>40</v>
      </c>
      <c r="Q444" s="194"/>
      <c r="R444" s="193" t="s">
        <v>64</v>
      </c>
      <c r="S444" s="194"/>
      <c r="T444" s="193"/>
      <c r="U444" s="194"/>
      <c r="V444" s="193" t="s">
        <v>40</v>
      </c>
      <c r="W444" s="194"/>
      <c r="X444" s="193" t="s">
        <v>40</v>
      </c>
      <c r="Y444" s="194"/>
      <c r="Z444" s="193" t="s">
        <v>64</v>
      </c>
      <c r="AA444" s="194"/>
      <c r="AB444" s="193" t="s">
        <v>40</v>
      </c>
      <c r="AC444" s="194"/>
      <c r="AD444" s="194"/>
      <c r="AE444" s="1529">
        <v>46203</v>
      </c>
      <c r="AF444" s="784" t="s">
        <v>247</v>
      </c>
      <c r="AG444" s="785">
        <v>2023</v>
      </c>
      <c r="AH444" s="231">
        <v>146935.907702</v>
      </c>
      <c r="AI444" s="766" t="s">
        <v>724</v>
      </c>
      <c r="AJ444" s="232"/>
      <c r="AK444" s="786" t="s">
        <v>43</v>
      </c>
      <c r="AL444" s="770" t="s">
        <v>41</v>
      </c>
      <c r="AM444" s="787">
        <v>0</v>
      </c>
      <c r="AN444" s="788" t="s">
        <v>40</v>
      </c>
      <c r="AO444" s="104"/>
      <c r="AP444" s="104"/>
      <c r="AQ444" s="104"/>
      <c r="AR444" s="104"/>
      <c r="AS444" s="104"/>
      <c r="AT444" s="745"/>
    </row>
    <row r="445" spans="1:16371" s="741" customFormat="1" ht="28.8" x14ac:dyDescent="0.3">
      <c r="A445" s="741" t="s">
        <v>264</v>
      </c>
      <c r="B445" s="770" t="s">
        <v>280</v>
      </c>
      <c r="C445" s="781" t="s">
        <v>725</v>
      </c>
      <c r="D445" s="770" t="s">
        <v>34</v>
      </c>
      <c r="E445" s="770" t="s">
        <v>282</v>
      </c>
      <c r="F445" s="1351" t="s">
        <v>285</v>
      </c>
      <c r="G445" s="217">
        <v>0.92849999999999999</v>
      </c>
      <c r="H445" s="751">
        <v>26509.14</v>
      </c>
      <c r="I445" s="782" t="s">
        <v>267</v>
      </c>
      <c r="J445" s="751">
        <v>26509.14</v>
      </c>
      <c r="K445" s="1611">
        <f>21383.0298498414</f>
        <v>21383.029849841401</v>
      </c>
      <c r="L445" s="1611">
        <f>21383.0298498414</f>
        <v>21383.029849841401</v>
      </c>
      <c r="M445" s="217" t="s">
        <v>84</v>
      </c>
      <c r="N445" s="217" t="s">
        <v>726</v>
      </c>
      <c r="O445" s="217" t="s">
        <v>727</v>
      </c>
      <c r="P445" s="193" t="s">
        <v>40</v>
      </c>
      <c r="Q445" s="194"/>
      <c r="R445" s="193" t="s">
        <v>64</v>
      </c>
      <c r="S445" s="194"/>
      <c r="T445" s="193"/>
      <c r="U445" s="194"/>
      <c r="V445" s="193" t="s">
        <v>40</v>
      </c>
      <c r="W445" s="194"/>
      <c r="X445" s="193" t="s">
        <v>40</v>
      </c>
      <c r="Y445" s="194"/>
      <c r="Z445" s="193" t="s">
        <v>64</v>
      </c>
      <c r="AA445" s="194"/>
      <c r="AB445" s="193" t="s">
        <v>40</v>
      </c>
      <c r="AC445" s="194"/>
      <c r="AD445" s="194"/>
      <c r="AE445" s="1529">
        <v>46203</v>
      </c>
      <c r="AF445" s="784" t="s">
        <v>247</v>
      </c>
      <c r="AG445" s="785">
        <v>2023</v>
      </c>
      <c r="AH445" s="231">
        <v>131169.875634</v>
      </c>
      <c r="AI445" s="766" t="s">
        <v>728</v>
      </c>
      <c r="AJ445" s="232"/>
      <c r="AK445" s="786" t="s">
        <v>43</v>
      </c>
      <c r="AL445" s="770" t="s">
        <v>41</v>
      </c>
      <c r="AM445" s="787">
        <v>0</v>
      </c>
      <c r="AN445" s="788" t="s">
        <v>40</v>
      </c>
      <c r="AO445" s="104"/>
      <c r="AP445" s="104"/>
      <c r="AQ445" s="104"/>
      <c r="AR445" s="104"/>
      <c r="AS445" s="104"/>
      <c r="AT445" s="745"/>
    </row>
    <row r="446" spans="1:16371" s="741" customFormat="1" ht="28.8" x14ac:dyDescent="0.3">
      <c r="A446" s="741" t="s">
        <v>264</v>
      </c>
      <c r="B446" s="770" t="s">
        <v>280</v>
      </c>
      <c r="C446" s="781" t="s">
        <v>729</v>
      </c>
      <c r="D446" s="770" t="s">
        <v>34</v>
      </c>
      <c r="E446" s="770" t="s">
        <v>282</v>
      </c>
      <c r="F446" s="1351" t="s">
        <v>285</v>
      </c>
      <c r="G446" s="217">
        <v>4.5</v>
      </c>
      <c r="H446" s="751">
        <v>71628.399999999994</v>
      </c>
      <c r="I446" s="782" t="s">
        <v>267</v>
      </c>
      <c r="J446" s="751">
        <v>71628.399999999994</v>
      </c>
      <c r="K446" s="1403">
        <f>47421.8</f>
        <v>47421.8</v>
      </c>
      <c r="L446" s="1403">
        <f>47421.8</f>
        <v>47421.8</v>
      </c>
      <c r="M446" s="217" t="s">
        <v>200</v>
      </c>
      <c r="N446" s="217" t="s">
        <v>730</v>
      </c>
      <c r="O446" s="217" t="s">
        <v>731</v>
      </c>
      <c r="P446" s="193" t="s">
        <v>40</v>
      </c>
      <c r="Q446" s="194"/>
      <c r="R446" s="193" t="s">
        <v>64</v>
      </c>
      <c r="S446" s="194"/>
      <c r="T446" s="193"/>
      <c r="U446" s="194"/>
      <c r="V446" s="193" t="s">
        <v>40</v>
      </c>
      <c r="W446" s="194"/>
      <c r="X446" s="193" t="s">
        <v>40</v>
      </c>
      <c r="Y446" s="194"/>
      <c r="Z446" s="193" t="s">
        <v>64</v>
      </c>
      <c r="AA446" s="194"/>
      <c r="AB446" s="193" t="s">
        <v>40</v>
      </c>
      <c r="AC446" s="194"/>
      <c r="AD446" s="194"/>
      <c r="AE446" s="1529">
        <v>46203</v>
      </c>
      <c r="AF446" s="784" t="s">
        <v>247</v>
      </c>
      <c r="AG446" s="785">
        <v>2023</v>
      </c>
      <c r="AH446" s="231">
        <v>354424.48603999999</v>
      </c>
      <c r="AI446" s="766" t="s">
        <v>732</v>
      </c>
      <c r="AJ446" s="232"/>
      <c r="AK446" s="786" t="s">
        <v>43</v>
      </c>
      <c r="AL446" s="770" t="s">
        <v>41</v>
      </c>
      <c r="AM446" s="787">
        <v>0</v>
      </c>
      <c r="AN446" s="788" t="s">
        <v>40</v>
      </c>
      <c r="AO446" s="104"/>
      <c r="AP446" s="104"/>
      <c r="AQ446" s="104"/>
      <c r="AR446" s="104"/>
      <c r="AS446" s="104"/>
      <c r="AT446" s="745"/>
    </row>
    <row r="447" spans="1:16371" s="741" customFormat="1" ht="28.8" x14ac:dyDescent="0.3">
      <c r="A447" s="741" t="s">
        <v>264</v>
      </c>
      <c r="B447" s="770" t="s">
        <v>280</v>
      </c>
      <c r="C447" s="781" t="s">
        <v>733</v>
      </c>
      <c r="D447" s="770" t="s">
        <v>34</v>
      </c>
      <c r="E447" s="770" t="s">
        <v>282</v>
      </c>
      <c r="F447" s="1351" t="s">
        <v>285</v>
      </c>
      <c r="G447" s="217">
        <v>2.5</v>
      </c>
      <c r="H447" s="751">
        <v>56069.82</v>
      </c>
      <c r="I447" s="782" t="s">
        <v>267</v>
      </c>
      <c r="J447" s="751">
        <v>56069.82</v>
      </c>
      <c r="K447" s="1611">
        <v>0</v>
      </c>
      <c r="L447" s="1611">
        <v>0</v>
      </c>
      <c r="M447" s="217" t="s">
        <v>68</v>
      </c>
      <c r="N447" s="217" t="s">
        <v>734</v>
      </c>
      <c r="O447" s="217" t="s">
        <v>735</v>
      </c>
      <c r="P447" s="193" t="s">
        <v>40</v>
      </c>
      <c r="Q447" s="194"/>
      <c r="R447" s="193" t="s">
        <v>64</v>
      </c>
      <c r="S447" s="194"/>
      <c r="T447" s="193"/>
      <c r="U447" s="194"/>
      <c r="V447" s="193" t="s">
        <v>40</v>
      </c>
      <c r="W447" s="194"/>
      <c r="X447" s="193" t="s">
        <v>40</v>
      </c>
      <c r="Y447" s="194"/>
      <c r="Z447" s="193" t="s">
        <v>64</v>
      </c>
      <c r="AA447" s="194"/>
      <c r="AB447" s="193" t="s">
        <v>40</v>
      </c>
      <c r="AC447" s="194"/>
      <c r="AD447" s="194"/>
      <c r="AE447" s="1529">
        <v>46203</v>
      </c>
      <c r="AF447" s="784" t="s">
        <v>247</v>
      </c>
      <c r="AG447" s="785">
        <v>2023</v>
      </c>
      <c r="AH447" s="231">
        <v>277439.07634199999</v>
      </c>
      <c r="AI447" s="766" t="s">
        <v>736</v>
      </c>
      <c r="AJ447" s="232"/>
      <c r="AK447" s="786" t="s">
        <v>43</v>
      </c>
      <c r="AL447" s="770" t="s">
        <v>41</v>
      </c>
      <c r="AM447" s="787">
        <v>0</v>
      </c>
      <c r="AN447" s="788" t="s">
        <v>40</v>
      </c>
      <c r="AO447" s="104"/>
      <c r="AP447" s="104"/>
      <c r="AQ447" s="104"/>
      <c r="AR447" s="104"/>
      <c r="AS447" s="104"/>
      <c r="AT447" s="745"/>
    </row>
    <row r="448" spans="1:16371" s="792" customFormat="1" ht="28.8" x14ac:dyDescent="0.3">
      <c r="A448" s="741" t="s">
        <v>264</v>
      </c>
      <c r="B448" s="770" t="s">
        <v>280</v>
      </c>
      <c r="C448" s="781" t="s">
        <v>737</v>
      </c>
      <c r="D448" s="217" t="s">
        <v>34</v>
      </c>
      <c r="E448" s="230" t="s">
        <v>282</v>
      </c>
      <c r="F448" s="1352" t="s">
        <v>285</v>
      </c>
      <c r="G448" s="783">
        <v>48</v>
      </c>
      <c r="H448" s="751">
        <v>570542.19999999995</v>
      </c>
      <c r="I448" s="741" t="s">
        <v>267</v>
      </c>
      <c r="J448" s="790">
        <v>570542.19999999995</v>
      </c>
      <c r="K448" s="1612">
        <v>0</v>
      </c>
      <c r="L448" s="1612">
        <v>0</v>
      </c>
      <c r="M448" s="741" t="s">
        <v>636</v>
      </c>
      <c r="N448" s="741" t="s">
        <v>738</v>
      </c>
      <c r="O448" s="741" t="s">
        <v>739</v>
      </c>
      <c r="P448" s="741" t="s">
        <v>40</v>
      </c>
      <c r="Q448" s="741"/>
      <c r="R448" s="741" t="s">
        <v>64</v>
      </c>
      <c r="S448" s="741"/>
      <c r="T448" s="741"/>
      <c r="U448" s="741"/>
      <c r="V448" s="741" t="s">
        <v>40</v>
      </c>
      <c r="W448" s="741"/>
      <c r="X448" s="741" t="s">
        <v>40</v>
      </c>
      <c r="Y448" s="741"/>
      <c r="Z448" s="741" t="s">
        <v>64</v>
      </c>
      <c r="AA448" s="741"/>
      <c r="AB448" s="741" t="s">
        <v>40</v>
      </c>
      <c r="AC448" s="741"/>
      <c r="AD448" s="741"/>
      <c r="AE448" s="1530">
        <v>46203</v>
      </c>
      <c r="AF448" s="741" t="s">
        <v>247</v>
      </c>
      <c r="AG448" s="741">
        <v>2023</v>
      </c>
      <c r="AH448" s="231">
        <v>2823099.8598199999</v>
      </c>
      <c r="AI448" s="791" t="s">
        <v>740</v>
      </c>
      <c r="AJ448" s="741"/>
      <c r="AK448" s="741" t="s">
        <v>43</v>
      </c>
      <c r="AL448" s="741" t="s">
        <v>41</v>
      </c>
      <c r="AM448" s="787">
        <v>0</v>
      </c>
      <c r="AN448" s="741" t="s">
        <v>40</v>
      </c>
      <c r="AO448" s="741"/>
      <c r="AP448" s="741"/>
      <c r="AQ448" s="741"/>
      <c r="AR448" s="741"/>
      <c r="AS448" s="741"/>
      <c r="AT448" s="741"/>
      <c r="AU448" s="741"/>
      <c r="AV448" s="741"/>
      <c r="AW448" s="741"/>
      <c r="AX448" s="741"/>
      <c r="AY448" s="741"/>
      <c r="AZ448" s="741"/>
      <c r="BA448" s="741"/>
      <c r="BB448" s="741"/>
      <c r="BC448" s="741"/>
      <c r="BD448" s="741"/>
      <c r="BE448" s="741"/>
      <c r="BF448" s="741"/>
      <c r="BG448" s="741"/>
      <c r="BH448" s="741"/>
      <c r="BI448" s="741"/>
      <c r="BJ448" s="741"/>
      <c r="BK448" s="741"/>
      <c r="BL448" s="741"/>
      <c r="BM448" s="741"/>
      <c r="BN448" s="741"/>
      <c r="BO448" s="741"/>
      <c r="BP448" s="741"/>
      <c r="BQ448" s="741"/>
      <c r="BR448" s="741"/>
      <c r="BS448" s="741"/>
      <c r="BT448" s="741"/>
      <c r="BU448" s="741"/>
      <c r="BV448" s="741"/>
      <c r="BW448" s="741"/>
      <c r="BX448" s="741"/>
      <c r="BY448" s="741"/>
      <c r="BZ448" s="741"/>
      <c r="CA448" s="741"/>
      <c r="CB448" s="741"/>
      <c r="CC448" s="741"/>
      <c r="CD448" s="741"/>
      <c r="CE448" s="741"/>
      <c r="CF448" s="741"/>
      <c r="CG448" s="741"/>
      <c r="CH448" s="741"/>
      <c r="CI448" s="741"/>
      <c r="CJ448" s="741"/>
      <c r="CK448" s="741"/>
      <c r="CL448" s="741"/>
      <c r="CM448" s="741"/>
      <c r="CN448" s="741"/>
      <c r="CO448" s="741"/>
      <c r="CP448" s="741"/>
      <c r="CQ448" s="741"/>
      <c r="CR448" s="741"/>
      <c r="CS448" s="741"/>
      <c r="CT448" s="741"/>
      <c r="CU448" s="741"/>
      <c r="CV448" s="741"/>
      <c r="CW448" s="741"/>
      <c r="CX448" s="741"/>
      <c r="CY448" s="741"/>
      <c r="CZ448" s="741"/>
      <c r="DA448" s="741"/>
      <c r="DB448" s="741"/>
      <c r="DC448" s="741"/>
      <c r="DD448" s="741"/>
      <c r="DE448" s="741"/>
      <c r="DF448" s="741"/>
      <c r="DG448" s="741"/>
      <c r="DH448" s="741"/>
      <c r="DI448" s="741"/>
      <c r="DJ448" s="741"/>
      <c r="DK448" s="741"/>
      <c r="DL448" s="741"/>
      <c r="DM448" s="741"/>
      <c r="DN448" s="741"/>
      <c r="DO448" s="741"/>
      <c r="DP448" s="741"/>
      <c r="DQ448" s="741"/>
      <c r="DR448" s="741"/>
      <c r="DS448" s="741"/>
      <c r="DT448" s="741"/>
      <c r="DU448" s="741"/>
      <c r="DV448" s="741"/>
      <c r="DW448" s="741"/>
      <c r="DX448" s="741"/>
      <c r="DY448" s="741"/>
      <c r="DZ448" s="741"/>
      <c r="EA448" s="741"/>
      <c r="EB448" s="741"/>
      <c r="EC448" s="741"/>
      <c r="ED448" s="741"/>
      <c r="EE448" s="741"/>
      <c r="EF448" s="741"/>
      <c r="EG448" s="741"/>
      <c r="EH448" s="741"/>
      <c r="EI448" s="741"/>
      <c r="EJ448" s="741"/>
      <c r="EK448" s="741"/>
      <c r="EL448" s="741"/>
      <c r="EM448" s="741"/>
      <c r="EN448" s="741"/>
      <c r="EO448" s="741"/>
      <c r="EP448" s="741"/>
      <c r="EQ448" s="741"/>
      <c r="ER448" s="741"/>
      <c r="ES448" s="741"/>
      <c r="ET448" s="741"/>
      <c r="EU448" s="741"/>
      <c r="EV448" s="741"/>
      <c r="EW448" s="741"/>
      <c r="EX448" s="741"/>
      <c r="EY448" s="741"/>
      <c r="EZ448" s="741"/>
      <c r="FA448" s="741"/>
      <c r="FB448" s="741"/>
      <c r="FC448" s="741"/>
      <c r="FD448" s="741"/>
      <c r="FE448" s="741"/>
      <c r="FF448" s="741"/>
      <c r="FG448" s="741"/>
      <c r="FH448" s="741"/>
      <c r="FI448" s="741"/>
      <c r="FJ448" s="741"/>
      <c r="FK448" s="741"/>
      <c r="FL448" s="741"/>
      <c r="FM448" s="741"/>
      <c r="FN448" s="741"/>
      <c r="FO448" s="741"/>
      <c r="FP448" s="741"/>
      <c r="FQ448" s="741"/>
      <c r="FR448" s="741"/>
      <c r="FS448" s="741"/>
      <c r="FT448" s="741"/>
      <c r="FU448" s="741"/>
      <c r="FV448" s="741"/>
      <c r="FW448" s="741"/>
      <c r="FX448" s="741"/>
      <c r="FY448" s="741"/>
      <c r="FZ448" s="741"/>
      <c r="GA448" s="741"/>
      <c r="GB448" s="741"/>
      <c r="GC448" s="741"/>
      <c r="GD448" s="741"/>
      <c r="GE448" s="741"/>
      <c r="GF448" s="741"/>
      <c r="GG448" s="741"/>
      <c r="GH448" s="741"/>
      <c r="GI448" s="741"/>
      <c r="GJ448" s="741"/>
      <c r="GK448" s="741"/>
      <c r="GL448" s="741"/>
      <c r="GM448" s="741"/>
      <c r="GN448" s="741"/>
      <c r="GO448" s="741"/>
      <c r="GP448" s="741"/>
      <c r="GQ448" s="741"/>
      <c r="GR448" s="741"/>
      <c r="GS448" s="741"/>
      <c r="GT448" s="741"/>
      <c r="GU448" s="741"/>
      <c r="GV448" s="741"/>
      <c r="GW448" s="741"/>
      <c r="GX448" s="741"/>
      <c r="GY448" s="741"/>
      <c r="GZ448" s="741"/>
      <c r="HA448" s="741"/>
      <c r="HB448" s="741"/>
      <c r="HC448" s="741"/>
      <c r="HD448" s="741"/>
      <c r="HE448" s="741"/>
      <c r="HF448" s="741"/>
      <c r="HG448" s="741"/>
      <c r="HH448" s="741"/>
      <c r="HI448" s="741"/>
      <c r="HJ448" s="741"/>
      <c r="HK448" s="741"/>
      <c r="HL448" s="741"/>
      <c r="HM448" s="741"/>
      <c r="HN448" s="741"/>
      <c r="HO448" s="741"/>
      <c r="HP448" s="741"/>
      <c r="HQ448" s="741"/>
      <c r="HR448" s="741"/>
      <c r="HS448" s="741"/>
      <c r="HT448" s="741"/>
      <c r="HU448" s="741"/>
      <c r="HV448" s="741"/>
      <c r="HW448" s="741"/>
      <c r="HX448" s="741"/>
      <c r="HY448" s="741"/>
      <c r="HZ448" s="741"/>
      <c r="IA448" s="741"/>
      <c r="IB448" s="741"/>
      <c r="IC448" s="741"/>
      <c r="ID448" s="741"/>
      <c r="IE448" s="741"/>
      <c r="IF448" s="741"/>
      <c r="IG448" s="741"/>
      <c r="IH448" s="741"/>
      <c r="II448" s="741"/>
      <c r="IJ448" s="741"/>
      <c r="IK448" s="741"/>
      <c r="IL448" s="741"/>
      <c r="IM448" s="741"/>
      <c r="IN448" s="741"/>
      <c r="IO448" s="741"/>
      <c r="IP448" s="741"/>
      <c r="IQ448" s="741"/>
      <c r="IR448" s="741"/>
      <c r="IS448" s="741"/>
      <c r="IT448" s="741"/>
      <c r="IU448" s="741"/>
      <c r="IV448" s="741"/>
      <c r="IW448" s="741"/>
      <c r="IX448" s="741"/>
      <c r="IY448" s="741"/>
      <c r="IZ448" s="741"/>
      <c r="JA448" s="741"/>
      <c r="JB448" s="741"/>
      <c r="JC448" s="741"/>
      <c r="JD448" s="741"/>
      <c r="JE448" s="741"/>
      <c r="JF448" s="741"/>
      <c r="JG448" s="741"/>
      <c r="JH448" s="741"/>
      <c r="JI448" s="741"/>
      <c r="JJ448" s="741"/>
      <c r="JK448" s="741"/>
      <c r="JL448" s="741"/>
      <c r="JM448" s="741"/>
      <c r="JN448" s="741"/>
      <c r="JO448" s="741"/>
      <c r="JP448" s="741"/>
      <c r="JQ448" s="741"/>
      <c r="JR448" s="741"/>
      <c r="JS448" s="741"/>
      <c r="JT448" s="741"/>
      <c r="JU448" s="741"/>
      <c r="JV448" s="741"/>
      <c r="JW448" s="741"/>
      <c r="JX448" s="741"/>
      <c r="JY448" s="741"/>
      <c r="JZ448" s="741"/>
      <c r="KA448" s="741"/>
      <c r="KB448" s="741"/>
      <c r="KC448" s="741"/>
      <c r="KD448" s="741"/>
      <c r="KE448" s="741"/>
      <c r="KF448" s="741"/>
      <c r="KG448" s="741"/>
      <c r="KH448" s="741"/>
      <c r="KI448" s="741"/>
      <c r="KJ448" s="741"/>
      <c r="KK448" s="741"/>
      <c r="KL448" s="741"/>
      <c r="KM448" s="741"/>
      <c r="KN448" s="741"/>
      <c r="KO448" s="741"/>
      <c r="KP448" s="741"/>
      <c r="KQ448" s="741"/>
      <c r="KR448" s="741"/>
      <c r="KS448" s="741"/>
      <c r="KT448" s="741"/>
      <c r="KU448" s="741"/>
      <c r="KV448" s="741"/>
      <c r="KW448" s="741"/>
      <c r="KX448" s="741"/>
      <c r="KY448" s="741"/>
      <c r="KZ448" s="741"/>
      <c r="LA448" s="741"/>
      <c r="LB448" s="741"/>
      <c r="LC448" s="741"/>
      <c r="LD448" s="741"/>
      <c r="LE448" s="741"/>
      <c r="LF448" s="741"/>
      <c r="LG448" s="741"/>
      <c r="LH448" s="741"/>
      <c r="LI448" s="741"/>
      <c r="LJ448" s="741"/>
      <c r="LK448" s="741"/>
      <c r="LL448" s="741"/>
      <c r="LM448" s="741"/>
      <c r="LN448" s="741"/>
      <c r="LO448" s="741"/>
      <c r="LP448" s="741"/>
      <c r="LQ448" s="741"/>
      <c r="LR448" s="741"/>
      <c r="LS448" s="741"/>
      <c r="LT448" s="741"/>
      <c r="LU448" s="741"/>
      <c r="LV448" s="741"/>
      <c r="LW448" s="741"/>
      <c r="LX448" s="741"/>
      <c r="LY448" s="741"/>
      <c r="LZ448" s="741"/>
      <c r="MA448" s="741"/>
      <c r="MB448" s="741"/>
      <c r="MC448" s="741"/>
      <c r="MD448" s="741"/>
      <c r="ME448" s="741"/>
      <c r="MF448" s="741"/>
      <c r="MG448" s="741"/>
      <c r="MH448" s="741"/>
      <c r="MI448" s="741"/>
      <c r="MJ448" s="741"/>
      <c r="MK448" s="741"/>
      <c r="ML448" s="741"/>
      <c r="MM448" s="741"/>
      <c r="MN448" s="741"/>
      <c r="MO448" s="741"/>
      <c r="MP448" s="741"/>
      <c r="MQ448" s="741"/>
      <c r="MR448" s="741"/>
      <c r="MS448" s="741"/>
      <c r="MT448" s="741"/>
      <c r="MU448" s="741"/>
      <c r="MV448" s="741"/>
      <c r="MW448" s="741"/>
      <c r="MX448" s="741"/>
      <c r="MY448" s="741"/>
      <c r="MZ448" s="741"/>
      <c r="NA448" s="741"/>
      <c r="NB448" s="741"/>
      <c r="NC448" s="741"/>
      <c r="ND448" s="741"/>
      <c r="NE448" s="741"/>
      <c r="NF448" s="741"/>
      <c r="NG448" s="741"/>
      <c r="NH448" s="741"/>
      <c r="NI448" s="741"/>
      <c r="NJ448" s="741"/>
      <c r="NK448" s="741"/>
      <c r="NL448" s="741"/>
      <c r="NM448" s="741"/>
      <c r="NN448" s="741"/>
      <c r="NO448" s="741"/>
      <c r="NP448" s="741"/>
      <c r="NQ448" s="741"/>
      <c r="NR448" s="741"/>
      <c r="NS448" s="741"/>
      <c r="NT448" s="741"/>
      <c r="NU448" s="741"/>
      <c r="NV448" s="741"/>
      <c r="NW448" s="741"/>
      <c r="NX448" s="741"/>
      <c r="NY448" s="741"/>
      <c r="NZ448" s="741"/>
      <c r="OA448" s="741"/>
      <c r="OB448" s="741"/>
      <c r="OC448" s="741"/>
      <c r="OD448" s="741"/>
      <c r="OE448" s="741"/>
      <c r="OF448" s="741"/>
      <c r="OG448" s="741"/>
      <c r="OH448" s="741"/>
      <c r="OI448" s="741"/>
      <c r="OJ448" s="741"/>
      <c r="OK448" s="741"/>
      <c r="OL448" s="741"/>
      <c r="OM448" s="741"/>
      <c r="ON448" s="741"/>
      <c r="OO448" s="741"/>
      <c r="OP448" s="741"/>
      <c r="OQ448" s="741"/>
      <c r="OR448" s="741"/>
      <c r="OS448" s="741"/>
      <c r="OT448" s="741"/>
      <c r="OU448" s="741"/>
      <c r="OV448" s="741"/>
      <c r="OW448" s="741"/>
      <c r="OX448" s="741"/>
      <c r="OY448" s="741"/>
      <c r="OZ448" s="741"/>
      <c r="PA448" s="741"/>
      <c r="PB448" s="741"/>
      <c r="PC448" s="741"/>
      <c r="PD448" s="741"/>
      <c r="PE448" s="741"/>
      <c r="PF448" s="741"/>
      <c r="PG448" s="741"/>
      <c r="PH448" s="741"/>
      <c r="PI448" s="741"/>
      <c r="PJ448" s="741"/>
      <c r="PK448" s="741"/>
      <c r="PL448" s="741"/>
      <c r="PM448" s="741"/>
      <c r="PN448" s="741"/>
      <c r="PO448" s="741"/>
      <c r="PP448" s="741"/>
      <c r="PQ448" s="741"/>
      <c r="PR448" s="741"/>
      <c r="PS448" s="741"/>
      <c r="PT448" s="741"/>
      <c r="PU448" s="741"/>
      <c r="PV448" s="741"/>
      <c r="PW448" s="741"/>
      <c r="PX448" s="741"/>
      <c r="PY448" s="741"/>
      <c r="PZ448" s="741"/>
      <c r="QA448" s="741"/>
      <c r="QB448" s="741"/>
      <c r="QC448" s="741"/>
      <c r="QD448" s="741"/>
      <c r="QE448" s="741"/>
      <c r="QF448" s="741"/>
      <c r="QG448" s="741"/>
      <c r="QH448" s="741"/>
      <c r="QI448" s="741"/>
      <c r="QJ448" s="741"/>
      <c r="QK448" s="741"/>
      <c r="QL448" s="741"/>
      <c r="QM448" s="741"/>
      <c r="QN448" s="741"/>
      <c r="QO448" s="741"/>
      <c r="QP448" s="741"/>
      <c r="QQ448" s="741"/>
      <c r="QR448" s="741"/>
      <c r="QS448" s="741"/>
      <c r="QT448" s="741"/>
      <c r="QU448" s="741"/>
      <c r="QV448" s="741"/>
      <c r="QW448" s="741"/>
      <c r="QX448" s="741"/>
      <c r="QY448" s="741"/>
      <c r="QZ448" s="741"/>
      <c r="RA448" s="741"/>
      <c r="RB448" s="741"/>
      <c r="RC448" s="741"/>
      <c r="RD448" s="741"/>
      <c r="RE448" s="741"/>
      <c r="RF448" s="741"/>
      <c r="RG448" s="741"/>
      <c r="RH448" s="741"/>
      <c r="RI448" s="741"/>
      <c r="RJ448" s="741"/>
      <c r="RK448" s="741"/>
      <c r="RL448" s="741"/>
      <c r="RM448" s="741"/>
      <c r="RN448" s="741"/>
      <c r="RO448" s="741"/>
      <c r="RP448" s="741"/>
      <c r="RQ448" s="741"/>
      <c r="RR448" s="741"/>
      <c r="RS448" s="741"/>
      <c r="RT448" s="741"/>
      <c r="RU448" s="741"/>
      <c r="RV448" s="741"/>
      <c r="RW448" s="741"/>
      <c r="RX448" s="741"/>
      <c r="RY448" s="741"/>
      <c r="RZ448" s="741"/>
      <c r="SA448" s="741"/>
      <c r="SB448" s="741"/>
      <c r="SC448" s="741"/>
      <c r="SD448" s="741"/>
      <c r="SE448" s="741"/>
      <c r="SF448" s="741"/>
      <c r="SG448" s="741"/>
      <c r="SH448" s="741"/>
      <c r="SI448" s="741"/>
      <c r="SJ448" s="741"/>
      <c r="SK448" s="741"/>
      <c r="SL448" s="741"/>
      <c r="SM448" s="741"/>
      <c r="SN448" s="741"/>
      <c r="SO448" s="741"/>
      <c r="SP448" s="741"/>
      <c r="SQ448" s="741"/>
      <c r="SR448" s="741"/>
      <c r="SS448" s="741"/>
      <c r="ST448" s="741"/>
      <c r="SU448" s="741"/>
      <c r="SV448" s="741"/>
      <c r="SW448" s="741"/>
      <c r="SX448" s="741"/>
      <c r="SY448" s="741"/>
      <c r="SZ448" s="741"/>
      <c r="TA448" s="741"/>
      <c r="TB448" s="741"/>
      <c r="TC448" s="741"/>
      <c r="TD448" s="741"/>
      <c r="TE448" s="741"/>
      <c r="TF448" s="741"/>
      <c r="TG448" s="741"/>
      <c r="TH448" s="741"/>
      <c r="TI448" s="741"/>
      <c r="TJ448" s="741"/>
      <c r="TK448" s="741"/>
      <c r="TL448" s="741"/>
      <c r="TM448" s="741"/>
      <c r="TN448" s="741"/>
      <c r="TO448" s="741"/>
      <c r="TP448" s="741"/>
      <c r="TQ448" s="741"/>
      <c r="TR448" s="741"/>
      <c r="TS448" s="741"/>
      <c r="TT448" s="741"/>
      <c r="TU448" s="741"/>
      <c r="TV448" s="741"/>
      <c r="TW448" s="741"/>
      <c r="TX448" s="741"/>
      <c r="TY448" s="741"/>
      <c r="TZ448" s="741"/>
      <c r="UA448" s="741"/>
      <c r="UB448" s="741"/>
      <c r="UC448" s="741"/>
      <c r="UD448" s="741"/>
      <c r="UE448" s="741"/>
      <c r="UF448" s="741"/>
      <c r="UG448" s="741"/>
      <c r="UH448" s="741"/>
      <c r="UI448" s="741"/>
      <c r="UJ448" s="741"/>
      <c r="UK448" s="741"/>
      <c r="UL448" s="741"/>
      <c r="UM448" s="741"/>
      <c r="UN448" s="741"/>
      <c r="UO448" s="741"/>
      <c r="UP448" s="741"/>
      <c r="UQ448" s="741"/>
      <c r="UR448" s="741"/>
      <c r="US448" s="741"/>
      <c r="UT448" s="741"/>
      <c r="UU448" s="741"/>
      <c r="UV448" s="741"/>
      <c r="UW448" s="741"/>
      <c r="UX448" s="741"/>
      <c r="UY448" s="741"/>
      <c r="UZ448" s="741"/>
      <c r="VA448" s="741"/>
      <c r="VB448" s="741"/>
      <c r="VC448" s="741"/>
      <c r="VD448" s="741"/>
      <c r="VE448" s="741"/>
      <c r="VF448" s="741"/>
      <c r="VG448" s="741"/>
      <c r="VH448" s="741"/>
      <c r="VI448" s="741"/>
      <c r="VJ448" s="741"/>
      <c r="VK448" s="741"/>
      <c r="VL448" s="741"/>
      <c r="VM448" s="741"/>
      <c r="VN448" s="741"/>
      <c r="VO448" s="741"/>
      <c r="VP448" s="741"/>
      <c r="VQ448" s="741"/>
      <c r="VR448" s="741"/>
      <c r="VS448" s="741"/>
      <c r="VT448" s="741"/>
      <c r="VU448" s="741"/>
      <c r="VV448" s="741"/>
      <c r="VW448" s="741"/>
      <c r="VX448" s="741"/>
      <c r="VY448" s="741"/>
      <c r="VZ448" s="741"/>
      <c r="WA448" s="741"/>
      <c r="WB448" s="741"/>
      <c r="WC448" s="741"/>
      <c r="WD448" s="741"/>
      <c r="WE448" s="741"/>
      <c r="WF448" s="741"/>
      <c r="WG448" s="741"/>
      <c r="WH448" s="741"/>
      <c r="WI448" s="741"/>
      <c r="WJ448" s="741"/>
      <c r="WK448" s="741"/>
      <c r="WL448" s="741"/>
      <c r="WM448" s="741"/>
      <c r="WN448" s="741"/>
      <c r="WO448" s="741"/>
      <c r="WP448" s="741"/>
      <c r="WQ448" s="741"/>
      <c r="WR448" s="741"/>
      <c r="WS448" s="741"/>
      <c r="WT448" s="741"/>
      <c r="WU448" s="741"/>
      <c r="WV448" s="741"/>
      <c r="WW448" s="741"/>
      <c r="WX448" s="741"/>
      <c r="WY448" s="741"/>
      <c r="WZ448" s="741"/>
      <c r="XA448" s="741"/>
      <c r="XB448" s="741"/>
      <c r="XC448" s="741"/>
      <c r="XD448" s="741"/>
      <c r="XE448" s="741"/>
      <c r="XF448" s="741"/>
      <c r="XG448" s="741"/>
      <c r="XH448" s="741"/>
      <c r="XI448" s="741"/>
      <c r="XJ448" s="741"/>
      <c r="XK448" s="741"/>
      <c r="XL448" s="741"/>
      <c r="XM448" s="741"/>
      <c r="XN448" s="741"/>
      <c r="XO448" s="741"/>
      <c r="XP448" s="741"/>
      <c r="XQ448" s="741"/>
      <c r="XR448" s="741"/>
      <c r="XS448" s="741"/>
      <c r="XT448" s="741"/>
      <c r="XU448" s="741"/>
      <c r="XV448" s="741"/>
      <c r="XW448" s="741"/>
      <c r="XX448" s="741"/>
      <c r="XY448" s="741"/>
      <c r="XZ448" s="741"/>
      <c r="YA448" s="741"/>
      <c r="YB448" s="741"/>
      <c r="YC448" s="741"/>
      <c r="YD448" s="741"/>
      <c r="YE448" s="741"/>
      <c r="YF448" s="741"/>
      <c r="YG448" s="741"/>
      <c r="YH448" s="741"/>
      <c r="YI448" s="741"/>
      <c r="YJ448" s="741"/>
      <c r="YK448" s="741"/>
      <c r="YL448" s="741"/>
      <c r="YM448" s="741"/>
      <c r="YN448" s="741"/>
      <c r="YO448" s="741"/>
      <c r="YP448" s="741"/>
      <c r="YQ448" s="741"/>
      <c r="YR448" s="741"/>
      <c r="YS448" s="741"/>
      <c r="YT448" s="741"/>
      <c r="YU448" s="741"/>
      <c r="YV448" s="741"/>
      <c r="YW448" s="741"/>
      <c r="YX448" s="741"/>
      <c r="YY448" s="741"/>
      <c r="YZ448" s="741"/>
      <c r="ZA448" s="741"/>
      <c r="ZB448" s="741"/>
      <c r="ZC448" s="741"/>
      <c r="ZD448" s="741"/>
      <c r="ZE448" s="741"/>
      <c r="ZF448" s="741"/>
      <c r="ZG448" s="741"/>
      <c r="ZH448" s="741"/>
      <c r="ZI448" s="741"/>
      <c r="ZJ448" s="741"/>
      <c r="ZK448" s="741"/>
      <c r="ZL448" s="741"/>
      <c r="ZM448" s="741"/>
      <c r="ZN448" s="741"/>
      <c r="ZO448" s="741"/>
      <c r="ZP448" s="741"/>
      <c r="ZQ448" s="741"/>
      <c r="ZR448" s="741"/>
      <c r="ZS448" s="741"/>
      <c r="ZT448" s="741"/>
      <c r="ZU448" s="741"/>
      <c r="ZV448" s="741"/>
      <c r="ZW448" s="741"/>
      <c r="ZX448" s="741"/>
      <c r="ZY448" s="741"/>
      <c r="ZZ448" s="741"/>
      <c r="AAA448" s="741"/>
      <c r="AAB448" s="741"/>
      <c r="AAC448" s="741"/>
      <c r="AAD448" s="741"/>
      <c r="AAE448" s="741"/>
      <c r="AAF448" s="741"/>
      <c r="AAG448" s="741"/>
      <c r="AAH448" s="741"/>
      <c r="AAI448" s="741"/>
      <c r="AAJ448" s="741"/>
      <c r="AAK448" s="741"/>
      <c r="AAL448" s="741"/>
      <c r="AAM448" s="741"/>
      <c r="AAN448" s="741"/>
      <c r="AAO448" s="741"/>
      <c r="AAP448" s="741"/>
      <c r="AAQ448" s="741"/>
      <c r="AAR448" s="741"/>
      <c r="AAS448" s="741"/>
      <c r="AAT448" s="741"/>
      <c r="AAU448" s="741"/>
      <c r="AAV448" s="741"/>
      <c r="AAW448" s="741"/>
      <c r="AAX448" s="741"/>
      <c r="AAY448" s="741"/>
      <c r="AAZ448" s="741"/>
      <c r="ABA448" s="741"/>
      <c r="ABB448" s="741"/>
      <c r="ABC448" s="741"/>
      <c r="ABD448" s="741"/>
      <c r="ABE448" s="741"/>
      <c r="ABF448" s="741"/>
      <c r="ABG448" s="741"/>
      <c r="ABH448" s="741"/>
      <c r="ABI448" s="741"/>
      <c r="ABJ448" s="741"/>
      <c r="ABK448" s="741"/>
      <c r="ABL448" s="741"/>
      <c r="ABM448" s="741"/>
      <c r="ABN448" s="741"/>
      <c r="ABO448" s="741"/>
      <c r="ABP448" s="741"/>
      <c r="ABQ448" s="741"/>
      <c r="ABR448" s="741"/>
      <c r="ABS448" s="741"/>
      <c r="ABT448" s="741"/>
      <c r="ABU448" s="741"/>
      <c r="ABV448" s="741"/>
      <c r="ABW448" s="741"/>
      <c r="ABX448" s="741"/>
      <c r="ABY448" s="741"/>
      <c r="ABZ448" s="741"/>
      <c r="ACA448" s="741"/>
      <c r="ACB448" s="741"/>
      <c r="ACC448" s="741"/>
      <c r="ACD448" s="741"/>
      <c r="ACE448" s="741"/>
      <c r="ACF448" s="741"/>
      <c r="ACG448" s="741"/>
      <c r="ACH448" s="741"/>
      <c r="ACI448" s="741"/>
      <c r="ACJ448" s="741"/>
      <c r="ACK448" s="741"/>
      <c r="ACL448" s="741"/>
      <c r="ACM448" s="741"/>
      <c r="ACN448" s="741"/>
      <c r="ACO448" s="741"/>
      <c r="ACP448" s="741"/>
      <c r="ACQ448" s="741"/>
      <c r="ACR448" s="741"/>
      <c r="ACS448" s="741"/>
      <c r="ACT448" s="741"/>
      <c r="ACU448" s="741"/>
      <c r="ACV448" s="741"/>
      <c r="ACW448" s="741"/>
      <c r="ACX448" s="741"/>
      <c r="ACY448" s="741"/>
      <c r="ACZ448" s="741"/>
      <c r="ADA448" s="741"/>
      <c r="ADB448" s="741"/>
      <c r="ADC448" s="741"/>
      <c r="ADD448" s="741"/>
      <c r="ADE448" s="741"/>
      <c r="ADF448" s="741"/>
      <c r="ADG448" s="741"/>
      <c r="ADH448" s="741"/>
      <c r="ADI448" s="741"/>
      <c r="ADJ448" s="741"/>
      <c r="ADK448" s="741"/>
      <c r="ADL448" s="741"/>
      <c r="ADM448" s="741"/>
      <c r="ADN448" s="741"/>
      <c r="ADO448" s="741"/>
      <c r="ADP448" s="741"/>
      <c r="ADQ448" s="741"/>
      <c r="ADR448" s="741"/>
      <c r="ADS448" s="741"/>
      <c r="ADT448" s="741"/>
      <c r="ADU448" s="741"/>
      <c r="ADV448" s="741"/>
      <c r="ADW448" s="741"/>
      <c r="ADX448" s="741"/>
      <c r="ADY448" s="741"/>
      <c r="ADZ448" s="741"/>
      <c r="AEA448" s="741"/>
      <c r="AEB448" s="741"/>
      <c r="AEC448" s="741"/>
      <c r="AED448" s="741"/>
      <c r="AEE448" s="741"/>
      <c r="AEF448" s="741"/>
      <c r="AEG448" s="741"/>
      <c r="AEH448" s="741"/>
      <c r="AEI448" s="741"/>
      <c r="AEJ448" s="741"/>
      <c r="AEK448" s="741"/>
      <c r="AEL448" s="741"/>
      <c r="AEM448" s="741"/>
      <c r="AEN448" s="741"/>
      <c r="AEO448" s="741"/>
      <c r="AEP448" s="741"/>
      <c r="AEQ448" s="741"/>
      <c r="AER448" s="741"/>
      <c r="AES448" s="741"/>
      <c r="AET448" s="741"/>
      <c r="AEU448" s="741"/>
      <c r="AEV448" s="741"/>
      <c r="AEW448" s="741"/>
      <c r="AEX448" s="741"/>
      <c r="AEY448" s="741"/>
      <c r="AEZ448" s="741"/>
      <c r="AFA448" s="741"/>
      <c r="AFB448" s="741"/>
      <c r="AFC448" s="741"/>
      <c r="AFD448" s="741"/>
      <c r="AFE448" s="741"/>
      <c r="AFF448" s="741"/>
      <c r="AFG448" s="741"/>
      <c r="AFH448" s="741"/>
      <c r="AFI448" s="741"/>
      <c r="AFJ448" s="741"/>
      <c r="AFK448" s="741"/>
      <c r="AFL448" s="741"/>
      <c r="AFM448" s="741"/>
      <c r="AFN448" s="741"/>
      <c r="AFO448" s="741"/>
      <c r="AFP448" s="741"/>
      <c r="AFQ448" s="741"/>
      <c r="AFR448" s="741"/>
      <c r="AFS448" s="741"/>
      <c r="AFT448" s="741"/>
      <c r="AFU448" s="741"/>
      <c r="AFV448" s="741"/>
      <c r="AFW448" s="741"/>
      <c r="AFX448" s="741"/>
      <c r="AFY448" s="741"/>
      <c r="AFZ448" s="741"/>
      <c r="AGA448" s="741"/>
      <c r="AGB448" s="741"/>
      <c r="AGC448" s="741"/>
      <c r="AGD448" s="741"/>
      <c r="AGE448" s="741"/>
      <c r="AGF448" s="741"/>
      <c r="AGG448" s="741"/>
      <c r="AGH448" s="741"/>
      <c r="AGI448" s="741"/>
      <c r="AGJ448" s="741"/>
      <c r="AGK448" s="741"/>
      <c r="AGL448" s="741"/>
      <c r="AGM448" s="741"/>
      <c r="AGN448" s="741"/>
      <c r="AGO448" s="741"/>
      <c r="AGP448" s="741"/>
      <c r="AGQ448" s="741"/>
      <c r="AGR448" s="741"/>
      <c r="AGS448" s="741"/>
      <c r="AGT448" s="741"/>
      <c r="AGU448" s="741"/>
      <c r="AGV448" s="741"/>
      <c r="AGW448" s="741"/>
      <c r="AGX448" s="741"/>
      <c r="AGY448" s="741"/>
      <c r="AGZ448" s="741"/>
      <c r="AHA448" s="741"/>
      <c r="AHB448" s="741"/>
      <c r="AHC448" s="741"/>
      <c r="AHD448" s="741"/>
      <c r="AHE448" s="741"/>
      <c r="AHF448" s="741"/>
      <c r="AHG448" s="741"/>
      <c r="AHH448" s="741"/>
      <c r="AHI448" s="741"/>
      <c r="AHJ448" s="741"/>
      <c r="AHK448" s="741"/>
      <c r="AHL448" s="741"/>
      <c r="AHM448" s="741"/>
      <c r="AHN448" s="741"/>
      <c r="AHO448" s="741"/>
      <c r="AHP448" s="741"/>
      <c r="AHQ448" s="741"/>
      <c r="AHR448" s="741"/>
      <c r="AHS448" s="741"/>
      <c r="AHT448" s="741"/>
      <c r="AHU448" s="741"/>
      <c r="AHV448" s="741"/>
      <c r="AHW448" s="741"/>
      <c r="AHX448" s="741"/>
      <c r="AHY448" s="741"/>
      <c r="AHZ448" s="741"/>
      <c r="AIA448" s="741"/>
      <c r="AIB448" s="741"/>
      <c r="AIC448" s="741"/>
      <c r="AID448" s="741"/>
      <c r="AIE448" s="741"/>
      <c r="AIF448" s="741"/>
      <c r="AIG448" s="741"/>
      <c r="AIH448" s="741"/>
      <c r="AII448" s="741"/>
      <c r="AIJ448" s="741"/>
      <c r="AIK448" s="741"/>
      <c r="AIL448" s="741"/>
      <c r="AIM448" s="741"/>
      <c r="AIN448" s="741"/>
      <c r="AIO448" s="741"/>
      <c r="AIP448" s="741"/>
      <c r="AIQ448" s="741"/>
      <c r="AIR448" s="741"/>
      <c r="AIS448" s="741"/>
      <c r="AIT448" s="741"/>
      <c r="AIU448" s="741"/>
      <c r="AIV448" s="741"/>
      <c r="AIW448" s="741"/>
      <c r="AIX448" s="741"/>
      <c r="AIY448" s="741"/>
      <c r="AIZ448" s="741"/>
      <c r="AJA448" s="741"/>
      <c r="AJB448" s="741"/>
      <c r="AJC448" s="741"/>
      <c r="AJD448" s="741"/>
      <c r="AJE448" s="741"/>
      <c r="AJF448" s="741"/>
      <c r="AJG448" s="741"/>
      <c r="AJH448" s="741"/>
      <c r="AJI448" s="741"/>
      <c r="AJJ448" s="741"/>
      <c r="AJK448" s="741"/>
      <c r="AJL448" s="741"/>
      <c r="AJM448" s="741"/>
      <c r="AJN448" s="741"/>
      <c r="AJO448" s="741"/>
      <c r="AJP448" s="741"/>
      <c r="AJQ448" s="741"/>
      <c r="AJR448" s="741"/>
      <c r="AJS448" s="741"/>
      <c r="AJT448" s="741"/>
      <c r="AJU448" s="741"/>
      <c r="AJV448" s="741"/>
      <c r="AJW448" s="741"/>
      <c r="AJX448" s="741"/>
      <c r="AJY448" s="741"/>
      <c r="AJZ448" s="741"/>
      <c r="AKA448" s="741"/>
      <c r="AKB448" s="741"/>
      <c r="AKC448" s="741"/>
      <c r="AKD448" s="741"/>
      <c r="AKE448" s="741"/>
      <c r="AKF448" s="741"/>
      <c r="AKG448" s="741"/>
      <c r="AKH448" s="741"/>
      <c r="AKI448" s="741"/>
      <c r="AKJ448" s="741"/>
      <c r="AKK448" s="741"/>
      <c r="AKL448" s="741"/>
      <c r="AKM448" s="741"/>
      <c r="AKN448" s="741"/>
      <c r="AKO448" s="741"/>
      <c r="AKP448" s="741"/>
      <c r="AKQ448" s="741"/>
      <c r="AKR448" s="741"/>
      <c r="AKS448" s="741"/>
      <c r="AKT448" s="741"/>
      <c r="AKU448" s="741"/>
      <c r="AKV448" s="741"/>
      <c r="AKW448" s="741"/>
      <c r="AKX448" s="741"/>
      <c r="AKY448" s="741"/>
      <c r="AKZ448" s="741"/>
      <c r="ALA448" s="741"/>
      <c r="ALB448" s="741"/>
      <c r="ALC448" s="741"/>
      <c r="ALD448" s="741"/>
      <c r="ALE448" s="741"/>
      <c r="ALF448" s="741"/>
      <c r="ALG448" s="741"/>
      <c r="ALH448" s="741"/>
      <c r="ALI448" s="741"/>
      <c r="ALJ448" s="741"/>
      <c r="ALK448" s="741"/>
      <c r="ALL448" s="741"/>
      <c r="ALM448" s="741"/>
      <c r="ALN448" s="741"/>
      <c r="ALO448" s="741"/>
      <c r="ALP448" s="741"/>
      <c r="ALQ448" s="741"/>
      <c r="ALR448" s="741"/>
      <c r="ALS448" s="741"/>
      <c r="ALT448" s="741"/>
      <c r="ALU448" s="741"/>
      <c r="ALV448" s="741"/>
      <c r="ALW448" s="741"/>
      <c r="ALX448" s="741"/>
      <c r="ALY448" s="741"/>
      <c r="ALZ448" s="741"/>
      <c r="AMA448" s="741"/>
      <c r="AMB448" s="741"/>
      <c r="AMC448" s="741"/>
      <c r="AMD448" s="741"/>
      <c r="AME448" s="741"/>
      <c r="AMF448" s="741"/>
      <c r="AMG448" s="741"/>
      <c r="AMH448" s="741"/>
      <c r="AMI448" s="741"/>
      <c r="AMJ448" s="741"/>
      <c r="AMK448" s="741"/>
      <c r="AML448" s="741"/>
      <c r="AMM448" s="741"/>
      <c r="AMN448" s="741"/>
      <c r="AMO448" s="741"/>
      <c r="AMP448" s="741"/>
      <c r="AMQ448" s="741"/>
      <c r="AMR448" s="741"/>
      <c r="AMS448" s="741"/>
      <c r="AMT448" s="741"/>
      <c r="AMU448" s="741"/>
      <c r="AMV448" s="741"/>
      <c r="AMW448" s="741"/>
      <c r="AMX448" s="741"/>
      <c r="AMY448" s="741"/>
      <c r="AMZ448" s="741"/>
      <c r="ANA448" s="741"/>
      <c r="ANB448" s="741"/>
      <c r="ANC448" s="741"/>
      <c r="AND448" s="741"/>
      <c r="ANE448" s="741"/>
      <c r="ANF448" s="741"/>
      <c r="ANG448" s="741"/>
      <c r="ANH448" s="741"/>
      <c r="ANI448" s="741"/>
      <c r="ANJ448" s="741"/>
      <c r="ANK448" s="741"/>
      <c r="ANL448" s="741"/>
      <c r="ANM448" s="741"/>
      <c r="ANN448" s="741"/>
      <c r="ANO448" s="741"/>
      <c r="ANP448" s="741"/>
      <c r="ANQ448" s="741"/>
      <c r="ANR448" s="741"/>
      <c r="ANS448" s="741"/>
      <c r="ANT448" s="741"/>
      <c r="ANU448" s="741"/>
      <c r="ANV448" s="741"/>
      <c r="ANW448" s="741"/>
      <c r="ANX448" s="741"/>
      <c r="ANY448" s="741"/>
      <c r="ANZ448" s="741"/>
      <c r="AOA448" s="741"/>
      <c r="AOB448" s="741"/>
      <c r="AOC448" s="741"/>
      <c r="AOD448" s="741"/>
      <c r="AOE448" s="741"/>
      <c r="AOF448" s="741"/>
      <c r="AOG448" s="741"/>
      <c r="AOH448" s="741"/>
      <c r="AOI448" s="741"/>
      <c r="AOJ448" s="741"/>
      <c r="AOK448" s="741"/>
      <c r="AOL448" s="741"/>
      <c r="AOM448" s="741"/>
      <c r="AON448" s="741"/>
      <c r="AOO448" s="741"/>
      <c r="AOP448" s="741"/>
      <c r="AOQ448" s="741"/>
      <c r="AOR448" s="741"/>
      <c r="AOS448" s="741"/>
      <c r="AOT448" s="741"/>
      <c r="AOU448" s="741"/>
      <c r="AOV448" s="741"/>
      <c r="AOW448" s="741"/>
      <c r="AOX448" s="741"/>
      <c r="AOY448" s="741"/>
      <c r="AOZ448" s="741"/>
      <c r="APA448" s="741"/>
      <c r="APB448" s="741"/>
      <c r="APC448" s="741"/>
      <c r="APD448" s="741"/>
      <c r="APE448" s="741"/>
      <c r="APF448" s="741"/>
      <c r="APG448" s="741"/>
      <c r="APH448" s="741"/>
      <c r="API448" s="741"/>
      <c r="APJ448" s="741"/>
      <c r="APK448" s="741"/>
      <c r="APL448" s="741"/>
      <c r="APM448" s="741"/>
      <c r="APN448" s="741"/>
      <c r="APO448" s="741"/>
      <c r="APP448" s="741"/>
      <c r="APQ448" s="741"/>
      <c r="APR448" s="741"/>
      <c r="APS448" s="741"/>
      <c r="APT448" s="741"/>
      <c r="APU448" s="741"/>
      <c r="APV448" s="741"/>
      <c r="APW448" s="741"/>
      <c r="APX448" s="741"/>
      <c r="APY448" s="741"/>
      <c r="APZ448" s="741"/>
      <c r="AQA448" s="741"/>
      <c r="AQB448" s="741"/>
      <c r="AQC448" s="741"/>
      <c r="AQD448" s="741"/>
      <c r="AQE448" s="741"/>
      <c r="AQF448" s="741"/>
      <c r="AQG448" s="741"/>
      <c r="AQH448" s="741"/>
      <c r="AQI448" s="741"/>
      <c r="AQJ448" s="741"/>
      <c r="AQK448" s="741"/>
      <c r="AQL448" s="741"/>
      <c r="AQM448" s="741"/>
      <c r="AQN448" s="741"/>
      <c r="AQO448" s="741"/>
      <c r="AQP448" s="741"/>
      <c r="AQQ448" s="741"/>
      <c r="AQR448" s="741"/>
      <c r="AQS448" s="741"/>
      <c r="AQT448" s="741"/>
      <c r="AQU448" s="741"/>
      <c r="AQV448" s="741"/>
      <c r="AQW448" s="741"/>
      <c r="AQX448" s="741"/>
      <c r="AQY448" s="741"/>
      <c r="AQZ448" s="741"/>
      <c r="ARA448" s="741"/>
      <c r="ARB448" s="741"/>
      <c r="ARC448" s="741"/>
      <c r="ARD448" s="741"/>
      <c r="ARE448" s="741"/>
      <c r="ARF448" s="741"/>
      <c r="ARG448" s="741"/>
      <c r="ARH448" s="741"/>
      <c r="ARI448" s="741"/>
      <c r="ARJ448" s="741"/>
      <c r="ARK448" s="741"/>
      <c r="ARL448" s="741"/>
      <c r="ARM448" s="741"/>
      <c r="ARN448" s="741"/>
      <c r="ARO448" s="741"/>
      <c r="ARP448" s="741"/>
      <c r="ARQ448" s="741"/>
      <c r="ARR448" s="741"/>
      <c r="ARS448" s="741"/>
      <c r="ART448" s="741"/>
      <c r="ARU448" s="741"/>
      <c r="ARV448" s="741"/>
      <c r="ARW448" s="741"/>
      <c r="ARX448" s="741"/>
      <c r="ARY448" s="741"/>
      <c r="ARZ448" s="741"/>
      <c r="ASA448" s="741"/>
      <c r="ASB448" s="741"/>
      <c r="ASC448" s="741"/>
      <c r="ASD448" s="741"/>
      <c r="ASE448" s="741"/>
      <c r="ASF448" s="741"/>
      <c r="ASG448" s="741"/>
      <c r="ASH448" s="741"/>
      <c r="ASI448" s="741"/>
      <c r="ASJ448" s="741"/>
      <c r="ASK448" s="741"/>
      <c r="ASL448" s="741"/>
      <c r="ASM448" s="741"/>
      <c r="ASN448" s="741"/>
      <c r="ASO448" s="741"/>
      <c r="ASP448" s="741"/>
      <c r="ASQ448" s="741"/>
      <c r="ASR448" s="741"/>
      <c r="ASS448" s="741"/>
      <c r="AST448" s="741"/>
      <c r="ASU448" s="741"/>
      <c r="ASV448" s="741"/>
      <c r="ASW448" s="741"/>
      <c r="ASX448" s="741"/>
      <c r="ASY448" s="741"/>
      <c r="ASZ448" s="741"/>
      <c r="ATA448" s="741"/>
      <c r="ATB448" s="741"/>
      <c r="ATC448" s="741"/>
      <c r="ATD448" s="741"/>
      <c r="ATE448" s="741"/>
      <c r="ATF448" s="741"/>
      <c r="ATG448" s="741"/>
      <c r="ATH448" s="741"/>
      <c r="ATI448" s="741"/>
      <c r="ATJ448" s="741"/>
      <c r="ATK448" s="741"/>
      <c r="ATL448" s="741"/>
      <c r="ATM448" s="741"/>
      <c r="ATN448" s="741"/>
      <c r="ATO448" s="741"/>
      <c r="ATP448" s="741"/>
      <c r="ATQ448" s="741"/>
      <c r="ATR448" s="741"/>
      <c r="ATS448" s="741"/>
      <c r="ATT448" s="741"/>
      <c r="ATU448" s="741"/>
      <c r="ATV448" s="741"/>
      <c r="ATW448" s="741"/>
      <c r="ATX448" s="741"/>
      <c r="ATY448" s="741"/>
      <c r="ATZ448" s="741"/>
      <c r="AUA448" s="741"/>
      <c r="AUB448" s="741"/>
      <c r="AUC448" s="741"/>
      <c r="AUD448" s="741"/>
      <c r="AUE448" s="741"/>
      <c r="AUF448" s="741"/>
      <c r="AUG448" s="741"/>
      <c r="AUH448" s="741"/>
      <c r="AUI448" s="741"/>
      <c r="AUJ448" s="741"/>
      <c r="AUK448" s="741"/>
      <c r="AUL448" s="741"/>
      <c r="AUM448" s="741"/>
      <c r="AUN448" s="741"/>
      <c r="AUO448" s="741"/>
      <c r="AUP448" s="741"/>
      <c r="AUQ448" s="741"/>
      <c r="AUR448" s="741"/>
      <c r="AUS448" s="741"/>
      <c r="AUT448" s="741"/>
      <c r="AUU448" s="741"/>
      <c r="AUV448" s="741"/>
      <c r="AUW448" s="741"/>
      <c r="AUX448" s="741"/>
      <c r="AUY448" s="741"/>
      <c r="AUZ448" s="741"/>
      <c r="AVA448" s="741"/>
      <c r="AVB448" s="741"/>
      <c r="AVC448" s="741"/>
      <c r="AVD448" s="741"/>
      <c r="AVE448" s="741"/>
      <c r="AVF448" s="741"/>
      <c r="AVG448" s="741"/>
      <c r="AVH448" s="741"/>
      <c r="AVI448" s="741"/>
      <c r="AVJ448" s="741"/>
      <c r="AVK448" s="741"/>
      <c r="AVL448" s="741"/>
      <c r="AVM448" s="741"/>
      <c r="AVN448" s="741"/>
      <c r="AVO448" s="741"/>
      <c r="AVP448" s="741"/>
      <c r="AVQ448" s="741"/>
      <c r="AVR448" s="741"/>
      <c r="AVS448" s="741"/>
      <c r="AVT448" s="741"/>
      <c r="AVU448" s="741"/>
      <c r="AVV448" s="741"/>
      <c r="AVW448" s="741"/>
      <c r="AVX448" s="741"/>
      <c r="AVY448" s="741"/>
      <c r="AVZ448" s="741"/>
      <c r="AWA448" s="741"/>
      <c r="AWB448" s="741"/>
      <c r="AWC448" s="741"/>
      <c r="AWD448" s="741"/>
      <c r="AWE448" s="741"/>
      <c r="AWF448" s="741"/>
      <c r="AWG448" s="741"/>
      <c r="AWH448" s="741"/>
      <c r="AWI448" s="741"/>
      <c r="AWJ448" s="741"/>
      <c r="AWK448" s="741"/>
      <c r="AWL448" s="741"/>
      <c r="AWM448" s="741"/>
      <c r="AWN448" s="741"/>
      <c r="AWO448" s="741"/>
      <c r="AWP448" s="741"/>
      <c r="AWQ448" s="741"/>
      <c r="AWR448" s="741"/>
      <c r="AWS448" s="741"/>
      <c r="AWT448" s="741"/>
      <c r="AWU448" s="741"/>
      <c r="AWV448" s="741"/>
      <c r="AWW448" s="741"/>
      <c r="AWX448" s="741"/>
      <c r="AWY448" s="741"/>
      <c r="AWZ448" s="741"/>
      <c r="AXA448" s="741"/>
      <c r="AXB448" s="741"/>
      <c r="AXC448" s="741"/>
      <c r="AXD448" s="741"/>
      <c r="AXE448" s="741"/>
      <c r="AXF448" s="741"/>
      <c r="AXG448" s="741"/>
      <c r="AXH448" s="741"/>
      <c r="AXI448" s="741"/>
      <c r="AXJ448" s="741"/>
      <c r="AXK448" s="741"/>
      <c r="AXL448" s="741"/>
      <c r="AXM448" s="741"/>
      <c r="AXN448" s="741"/>
      <c r="AXO448" s="741"/>
      <c r="AXP448" s="741"/>
      <c r="AXQ448" s="741"/>
      <c r="AXR448" s="741"/>
      <c r="AXS448" s="741"/>
      <c r="AXT448" s="741"/>
      <c r="AXU448" s="741"/>
      <c r="AXV448" s="741"/>
      <c r="AXW448" s="741"/>
      <c r="AXX448" s="741"/>
      <c r="AXY448" s="741"/>
      <c r="AXZ448" s="741"/>
      <c r="AYA448" s="741"/>
      <c r="AYB448" s="741"/>
      <c r="AYC448" s="741"/>
      <c r="AYD448" s="741"/>
      <c r="AYE448" s="741"/>
      <c r="AYF448" s="741"/>
      <c r="AYG448" s="741"/>
      <c r="AYH448" s="741"/>
      <c r="AYI448" s="741"/>
      <c r="AYJ448" s="741"/>
      <c r="AYK448" s="741"/>
      <c r="AYL448" s="741"/>
      <c r="AYM448" s="741"/>
      <c r="AYN448" s="741"/>
      <c r="AYO448" s="741"/>
      <c r="AYP448" s="741"/>
      <c r="AYQ448" s="741"/>
      <c r="AYR448" s="741"/>
      <c r="AYS448" s="741"/>
      <c r="AYT448" s="741"/>
      <c r="AYU448" s="741"/>
      <c r="AYV448" s="741"/>
      <c r="AYW448" s="741"/>
      <c r="AYX448" s="741"/>
      <c r="AYY448" s="741"/>
      <c r="AYZ448" s="741"/>
      <c r="AZA448" s="741"/>
      <c r="AZB448" s="741"/>
      <c r="AZC448" s="741"/>
      <c r="AZD448" s="741"/>
      <c r="AZE448" s="741"/>
      <c r="AZF448" s="741"/>
      <c r="AZG448" s="741"/>
      <c r="AZH448" s="741"/>
      <c r="AZI448" s="741"/>
      <c r="AZJ448" s="741"/>
      <c r="AZK448" s="741"/>
      <c r="AZL448" s="741"/>
      <c r="AZM448" s="741"/>
      <c r="AZN448" s="741"/>
      <c r="AZO448" s="741"/>
      <c r="AZP448" s="741"/>
      <c r="AZQ448" s="741"/>
      <c r="AZR448" s="741"/>
      <c r="AZS448" s="741"/>
      <c r="AZT448" s="741"/>
      <c r="AZU448" s="741"/>
      <c r="AZV448" s="741"/>
      <c r="AZW448" s="741"/>
      <c r="AZX448" s="741"/>
      <c r="AZY448" s="741"/>
      <c r="AZZ448" s="741"/>
      <c r="BAA448" s="741"/>
      <c r="BAB448" s="741"/>
      <c r="BAC448" s="741"/>
      <c r="BAD448" s="741"/>
      <c r="BAE448" s="741"/>
      <c r="BAF448" s="741"/>
      <c r="BAG448" s="741"/>
      <c r="BAH448" s="741"/>
      <c r="BAI448" s="741"/>
      <c r="BAJ448" s="741"/>
      <c r="BAK448" s="741"/>
      <c r="BAL448" s="741"/>
      <c r="BAM448" s="741"/>
      <c r="BAN448" s="741"/>
      <c r="BAO448" s="741"/>
      <c r="BAP448" s="741"/>
      <c r="BAQ448" s="741"/>
      <c r="BAR448" s="741"/>
      <c r="BAS448" s="741"/>
      <c r="BAT448" s="741"/>
      <c r="BAU448" s="741"/>
      <c r="BAV448" s="741"/>
      <c r="BAW448" s="741"/>
      <c r="BAX448" s="741"/>
      <c r="BAY448" s="741"/>
      <c r="BAZ448" s="741"/>
      <c r="BBA448" s="741"/>
      <c r="BBB448" s="741"/>
      <c r="BBC448" s="741"/>
      <c r="BBD448" s="741"/>
      <c r="BBE448" s="741"/>
      <c r="BBF448" s="741"/>
      <c r="BBG448" s="741"/>
      <c r="BBH448" s="741"/>
      <c r="BBI448" s="741"/>
      <c r="BBJ448" s="741"/>
      <c r="BBK448" s="741"/>
      <c r="BBL448" s="741"/>
      <c r="BBM448" s="741"/>
      <c r="BBN448" s="741"/>
      <c r="BBO448" s="741"/>
      <c r="BBP448" s="741"/>
      <c r="BBQ448" s="741"/>
      <c r="BBR448" s="741"/>
      <c r="BBS448" s="741"/>
      <c r="BBT448" s="741"/>
      <c r="BBU448" s="741"/>
      <c r="BBV448" s="741"/>
      <c r="BBW448" s="741"/>
      <c r="BBX448" s="741"/>
      <c r="BBY448" s="741"/>
      <c r="BBZ448" s="741"/>
      <c r="BCA448" s="741"/>
      <c r="BCB448" s="741"/>
      <c r="BCC448" s="741"/>
      <c r="BCD448" s="741"/>
      <c r="BCE448" s="741"/>
      <c r="BCF448" s="741"/>
      <c r="BCG448" s="741"/>
      <c r="BCH448" s="741"/>
      <c r="BCI448" s="741"/>
      <c r="BCJ448" s="741"/>
      <c r="BCK448" s="741"/>
      <c r="BCL448" s="741"/>
      <c r="BCM448" s="741"/>
      <c r="BCN448" s="741"/>
      <c r="BCO448" s="741"/>
      <c r="BCP448" s="741"/>
      <c r="BCQ448" s="741"/>
      <c r="BCR448" s="741"/>
      <c r="BCS448" s="741"/>
      <c r="BCT448" s="741"/>
      <c r="BCU448" s="741"/>
      <c r="BCV448" s="741"/>
      <c r="BCW448" s="741"/>
      <c r="BCX448" s="741"/>
      <c r="BCY448" s="741"/>
      <c r="BCZ448" s="741"/>
      <c r="BDA448" s="741"/>
      <c r="BDB448" s="741"/>
      <c r="BDC448" s="741"/>
      <c r="BDD448" s="741"/>
      <c r="BDE448" s="741"/>
      <c r="BDF448" s="741"/>
      <c r="BDG448" s="741"/>
      <c r="BDH448" s="741"/>
      <c r="BDI448" s="741"/>
      <c r="BDJ448" s="741"/>
      <c r="BDK448" s="741"/>
      <c r="BDL448" s="741"/>
      <c r="BDM448" s="741"/>
      <c r="BDN448" s="741"/>
      <c r="BDO448" s="741"/>
      <c r="BDP448" s="741"/>
      <c r="BDQ448" s="741"/>
      <c r="BDR448" s="741"/>
      <c r="BDS448" s="741"/>
      <c r="BDT448" s="741"/>
      <c r="BDU448" s="741"/>
      <c r="BDV448" s="741"/>
      <c r="BDW448" s="741"/>
      <c r="BDX448" s="741"/>
      <c r="BDY448" s="741"/>
      <c r="BDZ448" s="741"/>
      <c r="BEA448" s="741"/>
      <c r="BEB448" s="741"/>
      <c r="BEC448" s="741"/>
      <c r="BED448" s="741"/>
      <c r="BEE448" s="741"/>
      <c r="BEF448" s="741"/>
      <c r="BEG448" s="741"/>
      <c r="BEH448" s="741"/>
      <c r="BEI448" s="741"/>
      <c r="BEJ448" s="741"/>
      <c r="BEK448" s="741"/>
      <c r="BEL448" s="741"/>
      <c r="BEM448" s="741"/>
      <c r="BEN448" s="741"/>
      <c r="BEO448" s="741"/>
      <c r="BEP448" s="741"/>
      <c r="BEQ448" s="741"/>
      <c r="BER448" s="741"/>
      <c r="BES448" s="741"/>
      <c r="BET448" s="741"/>
      <c r="BEU448" s="741"/>
      <c r="BEV448" s="741"/>
      <c r="BEW448" s="741"/>
      <c r="BEX448" s="741"/>
      <c r="BEY448" s="741"/>
      <c r="BEZ448" s="741"/>
      <c r="BFA448" s="741"/>
      <c r="BFB448" s="741"/>
      <c r="BFC448" s="741"/>
      <c r="BFD448" s="741"/>
      <c r="BFE448" s="741"/>
      <c r="BFF448" s="741"/>
      <c r="BFG448" s="741"/>
      <c r="BFH448" s="741"/>
      <c r="BFI448" s="741"/>
      <c r="BFJ448" s="741"/>
      <c r="BFK448" s="741"/>
      <c r="BFL448" s="741"/>
      <c r="BFM448" s="741"/>
      <c r="BFN448" s="741"/>
      <c r="BFO448" s="741"/>
      <c r="BFP448" s="741"/>
      <c r="BFQ448" s="741"/>
      <c r="BFR448" s="741"/>
      <c r="BFS448" s="741"/>
      <c r="BFT448" s="741"/>
      <c r="BFU448" s="741"/>
      <c r="BFV448" s="741"/>
      <c r="BFW448" s="741"/>
      <c r="BFX448" s="741"/>
      <c r="BFY448" s="741"/>
      <c r="BFZ448" s="741"/>
      <c r="BGA448" s="741"/>
      <c r="BGB448" s="741"/>
      <c r="BGC448" s="741"/>
      <c r="BGD448" s="741"/>
      <c r="BGE448" s="741"/>
      <c r="BGF448" s="741"/>
      <c r="BGG448" s="741"/>
      <c r="BGH448" s="741"/>
      <c r="BGI448" s="741"/>
      <c r="BGJ448" s="741"/>
      <c r="BGK448" s="741"/>
      <c r="BGL448" s="741"/>
      <c r="BGM448" s="741"/>
      <c r="BGN448" s="741"/>
      <c r="BGO448" s="741"/>
      <c r="BGP448" s="741"/>
      <c r="BGQ448" s="741"/>
      <c r="BGR448" s="741"/>
      <c r="BGS448" s="741"/>
      <c r="BGT448" s="741"/>
      <c r="BGU448" s="741"/>
      <c r="BGV448" s="741"/>
      <c r="BGW448" s="741"/>
      <c r="BGX448" s="741"/>
      <c r="BGY448" s="741"/>
      <c r="BGZ448" s="741"/>
      <c r="BHA448" s="741"/>
      <c r="BHB448" s="741"/>
      <c r="BHC448" s="741"/>
      <c r="BHD448" s="741"/>
      <c r="BHE448" s="741"/>
      <c r="BHF448" s="741"/>
      <c r="BHG448" s="741"/>
      <c r="BHH448" s="741"/>
      <c r="BHI448" s="741"/>
      <c r="BHJ448" s="741"/>
      <c r="BHK448" s="741"/>
      <c r="BHL448" s="741"/>
      <c r="BHM448" s="741"/>
      <c r="BHN448" s="741"/>
      <c r="BHO448" s="741"/>
      <c r="BHP448" s="741"/>
      <c r="BHQ448" s="741"/>
      <c r="BHR448" s="741"/>
      <c r="BHS448" s="741"/>
      <c r="BHT448" s="741"/>
      <c r="BHU448" s="741"/>
      <c r="BHV448" s="741"/>
      <c r="BHW448" s="741"/>
      <c r="BHX448" s="741"/>
      <c r="BHY448" s="741"/>
      <c r="BHZ448" s="741"/>
      <c r="BIA448" s="741"/>
      <c r="BIB448" s="741"/>
      <c r="BIC448" s="741"/>
      <c r="BID448" s="741"/>
      <c r="BIE448" s="741"/>
      <c r="BIF448" s="741"/>
      <c r="BIG448" s="741"/>
      <c r="BIH448" s="741"/>
      <c r="BII448" s="741"/>
      <c r="BIJ448" s="741"/>
      <c r="BIK448" s="741"/>
      <c r="BIL448" s="741"/>
      <c r="BIM448" s="741"/>
      <c r="BIN448" s="741"/>
      <c r="BIO448" s="741"/>
      <c r="BIP448" s="741"/>
      <c r="BIQ448" s="741"/>
      <c r="BIR448" s="741"/>
      <c r="BIS448" s="741"/>
      <c r="BIT448" s="741"/>
      <c r="BIU448" s="741"/>
      <c r="BIV448" s="741"/>
      <c r="BIW448" s="741"/>
      <c r="BIX448" s="741"/>
      <c r="BIY448" s="741"/>
      <c r="BIZ448" s="741"/>
      <c r="BJA448" s="741"/>
      <c r="BJB448" s="741"/>
      <c r="BJC448" s="741"/>
      <c r="BJD448" s="741"/>
      <c r="BJE448" s="741"/>
      <c r="BJF448" s="741"/>
      <c r="BJG448" s="741"/>
      <c r="BJH448" s="741"/>
      <c r="BJI448" s="741"/>
      <c r="BJJ448" s="741"/>
      <c r="BJK448" s="741"/>
      <c r="BJL448" s="741"/>
      <c r="BJM448" s="741"/>
      <c r="BJN448" s="741"/>
      <c r="BJO448" s="741"/>
      <c r="BJP448" s="741"/>
      <c r="BJQ448" s="741"/>
      <c r="BJR448" s="741"/>
      <c r="BJS448" s="741"/>
      <c r="BJT448" s="741"/>
      <c r="BJU448" s="741"/>
      <c r="BJV448" s="741"/>
      <c r="BJW448" s="741"/>
      <c r="BJX448" s="741"/>
      <c r="BJY448" s="741"/>
      <c r="BJZ448" s="741"/>
      <c r="BKA448" s="741"/>
      <c r="BKB448" s="741"/>
      <c r="BKC448" s="741"/>
      <c r="BKD448" s="741"/>
      <c r="BKE448" s="741"/>
      <c r="BKF448" s="741"/>
      <c r="BKG448" s="741"/>
      <c r="BKH448" s="741"/>
      <c r="BKI448" s="741"/>
      <c r="BKJ448" s="741"/>
      <c r="BKK448" s="741"/>
      <c r="BKL448" s="741"/>
      <c r="BKM448" s="741"/>
      <c r="BKN448" s="741"/>
      <c r="BKO448" s="741"/>
      <c r="BKP448" s="741"/>
      <c r="BKQ448" s="741"/>
      <c r="BKR448" s="741"/>
      <c r="BKS448" s="741"/>
      <c r="BKT448" s="741"/>
      <c r="BKU448" s="741"/>
      <c r="BKV448" s="741"/>
      <c r="BKW448" s="741"/>
      <c r="BKX448" s="741"/>
      <c r="BKY448" s="741"/>
      <c r="BKZ448" s="741"/>
      <c r="BLA448" s="741"/>
      <c r="BLB448" s="741"/>
      <c r="BLC448" s="741"/>
      <c r="BLD448" s="741"/>
      <c r="BLE448" s="741"/>
      <c r="BLF448" s="741"/>
      <c r="BLG448" s="741"/>
      <c r="BLH448" s="741"/>
      <c r="BLI448" s="741"/>
      <c r="BLJ448" s="741"/>
      <c r="BLK448" s="741"/>
      <c r="BLL448" s="741"/>
      <c r="BLM448" s="741"/>
      <c r="BLN448" s="741"/>
      <c r="BLO448" s="741"/>
      <c r="BLP448" s="741"/>
      <c r="BLQ448" s="741"/>
      <c r="BLR448" s="741"/>
      <c r="BLS448" s="741"/>
      <c r="BLT448" s="741"/>
      <c r="BLU448" s="741"/>
      <c r="BLV448" s="741"/>
      <c r="BLW448" s="741"/>
      <c r="BLX448" s="741"/>
      <c r="BLY448" s="741"/>
      <c r="BLZ448" s="741"/>
      <c r="BMA448" s="741"/>
      <c r="BMB448" s="741"/>
      <c r="BMC448" s="741"/>
      <c r="BMD448" s="741"/>
      <c r="BME448" s="741"/>
      <c r="BMF448" s="741"/>
      <c r="BMG448" s="741"/>
      <c r="BMH448" s="741"/>
      <c r="BMI448" s="741"/>
      <c r="BMJ448" s="741"/>
      <c r="BMK448" s="741"/>
      <c r="BML448" s="741"/>
      <c r="BMM448" s="741"/>
      <c r="BMN448" s="741"/>
      <c r="BMO448" s="741"/>
      <c r="BMP448" s="741"/>
      <c r="BMQ448" s="741"/>
      <c r="BMR448" s="741"/>
      <c r="BMS448" s="741"/>
      <c r="BMT448" s="741"/>
      <c r="BMU448" s="741"/>
      <c r="BMV448" s="741"/>
      <c r="BMW448" s="741"/>
      <c r="BMX448" s="741"/>
      <c r="BMY448" s="741"/>
      <c r="BMZ448" s="741"/>
      <c r="BNA448" s="741"/>
      <c r="BNB448" s="741"/>
      <c r="BNC448" s="741"/>
      <c r="BND448" s="741"/>
      <c r="BNE448" s="741"/>
      <c r="BNF448" s="741"/>
      <c r="BNG448" s="741"/>
      <c r="BNH448" s="741"/>
      <c r="BNI448" s="741"/>
      <c r="BNJ448" s="741"/>
      <c r="BNK448" s="741"/>
      <c r="BNL448" s="741"/>
      <c r="BNM448" s="741"/>
      <c r="BNN448" s="741"/>
      <c r="BNO448" s="741"/>
      <c r="BNP448" s="741"/>
      <c r="BNQ448" s="741"/>
      <c r="BNR448" s="741"/>
      <c r="BNS448" s="741"/>
      <c r="BNT448" s="741"/>
      <c r="BNU448" s="741"/>
      <c r="BNV448" s="741"/>
      <c r="BNW448" s="741"/>
      <c r="BNX448" s="741"/>
      <c r="BNY448" s="741"/>
      <c r="BNZ448" s="741"/>
      <c r="BOA448" s="741"/>
      <c r="BOB448" s="741"/>
      <c r="BOC448" s="741"/>
      <c r="BOD448" s="741"/>
      <c r="BOE448" s="741"/>
      <c r="BOF448" s="741"/>
      <c r="BOG448" s="741"/>
      <c r="BOH448" s="741"/>
      <c r="BOI448" s="741"/>
      <c r="BOJ448" s="741"/>
      <c r="BOK448" s="741"/>
      <c r="BOL448" s="741"/>
      <c r="BOM448" s="741"/>
      <c r="BON448" s="741"/>
      <c r="BOO448" s="741"/>
      <c r="BOP448" s="741"/>
      <c r="BOQ448" s="741"/>
      <c r="BOR448" s="741"/>
      <c r="BOS448" s="741"/>
      <c r="BOT448" s="741"/>
      <c r="BOU448" s="741"/>
      <c r="BOV448" s="741"/>
      <c r="BOW448" s="741"/>
      <c r="BOX448" s="741"/>
      <c r="BOY448" s="741"/>
      <c r="BOZ448" s="741"/>
      <c r="BPA448" s="741"/>
      <c r="BPB448" s="741"/>
      <c r="BPC448" s="741"/>
      <c r="BPD448" s="741"/>
      <c r="BPE448" s="741"/>
      <c r="BPF448" s="741"/>
      <c r="BPG448" s="741"/>
      <c r="BPH448" s="741"/>
      <c r="BPI448" s="741"/>
      <c r="BPJ448" s="741"/>
      <c r="BPK448" s="741"/>
      <c r="BPL448" s="741"/>
      <c r="BPM448" s="741"/>
      <c r="BPN448" s="741"/>
      <c r="BPO448" s="741"/>
      <c r="BPP448" s="741"/>
      <c r="BPQ448" s="741"/>
      <c r="BPR448" s="741"/>
      <c r="BPS448" s="741"/>
      <c r="BPT448" s="741"/>
      <c r="BPU448" s="741"/>
      <c r="BPV448" s="741"/>
      <c r="BPW448" s="741"/>
      <c r="BPX448" s="741"/>
      <c r="BPY448" s="741"/>
      <c r="BPZ448" s="741"/>
      <c r="BQA448" s="741"/>
      <c r="BQB448" s="741"/>
      <c r="BQC448" s="741"/>
      <c r="BQD448" s="741"/>
      <c r="BQE448" s="741"/>
      <c r="BQF448" s="741"/>
      <c r="BQG448" s="741"/>
      <c r="BQH448" s="741"/>
      <c r="BQI448" s="741"/>
      <c r="BQJ448" s="741"/>
      <c r="BQK448" s="741"/>
      <c r="BQL448" s="741"/>
      <c r="BQM448" s="741"/>
      <c r="BQN448" s="741"/>
      <c r="BQO448" s="741"/>
      <c r="BQP448" s="741"/>
      <c r="BQQ448" s="741"/>
      <c r="BQR448" s="741"/>
      <c r="BQS448" s="741"/>
      <c r="BQT448" s="741"/>
      <c r="BQU448" s="741"/>
      <c r="BQV448" s="741"/>
      <c r="BQW448" s="741"/>
      <c r="BQX448" s="741"/>
      <c r="BQY448" s="741"/>
      <c r="BQZ448" s="741"/>
      <c r="BRA448" s="741"/>
      <c r="BRB448" s="741"/>
      <c r="BRC448" s="741"/>
      <c r="BRD448" s="741"/>
      <c r="BRE448" s="741"/>
      <c r="BRF448" s="741"/>
      <c r="BRG448" s="741"/>
      <c r="BRH448" s="741"/>
      <c r="BRI448" s="741"/>
      <c r="BRJ448" s="741"/>
      <c r="BRK448" s="741"/>
      <c r="BRL448" s="741"/>
      <c r="BRM448" s="741"/>
      <c r="BRN448" s="741"/>
      <c r="BRO448" s="741"/>
      <c r="BRP448" s="741"/>
      <c r="BRQ448" s="741"/>
      <c r="BRR448" s="741"/>
      <c r="BRS448" s="741"/>
      <c r="BRT448" s="741"/>
      <c r="BRU448" s="741"/>
      <c r="BRV448" s="741"/>
      <c r="BRW448" s="741"/>
      <c r="BRX448" s="741"/>
      <c r="BRY448" s="741"/>
      <c r="BRZ448" s="741"/>
      <c r="BSA448" s="741"/>
      <c r="BSB448" s="741"/>
      <c r="BSC448" s="741"/>
      <c r="BSD448" s="741"/>
      <c r="BSE448" s="741"/>
      <c r="BSF448" s="741"/>
      <c r="BSG448" s="741"/>
      <c r="BSH448" s="741"/>
      <c r="BSI448" s="741"/>
      <c r="BSJ448" s="741"/>
      <c r="BSK448" s="741"/>
      <c r="BSL448" s="741"/>
      <c r="BSM448" s="741"/>
      <c r="BSN448" s="741"/>
      <c r="BSO448" s="741"/>
      <c r="BSP448" s="741"/>
      <c r="BSQ448" s="741"/>
      <c r="BSR448" s="741"/>
      <c r="BSS448" s="741"/>
      <c r="BST448" s="741"/>
      <c r="BSU448" s="741"/>
      <c r="BSV448" s="741"/>
      <c r="BSW448" s="741"/>
      <c r="BSX448" s="741"/>
      <c r="BSY448" s="741"/>
      <c r="BSZ448" s="741"/>
      <c r="BTA448" s="741"/>
      <c r="BTB448" s="741"/>
      <c r="BTC448" s="741"/>
      <c r="BTD448" s="741"/>
      <c r="BTE448" s="741"/>
      <c r="BTF448" s="741"/>
      <c r="BTG448" s="741"/>
      <c r="BTH448" s="741"/>
      <c r="BTI448" s="741"/>
      <c r="BTJ448" s="741"/>
      <c r="BTK448" s="741"/>
      <c r="BTL448" s="741"/>
      <c r="BTM448" s="741"/>
      <c r="BTN448" s="741"/>
      <c r="BTO448" s="741"/>
      <c r="BTP448" s="741"/>
      <c r="BTQ448" s="741"/>
      <c r="BTR448" s="741"/>
      <c r="BTS448" s="741"/>
      <c r="BTT448" s="741"/>
      <c r="BTU448" s="741"/>
      <c r="BTV448" s="741"/>
      <c r="BTW448" s="741"/>
      <c r="BTX448" s="741"/>
      <c r="BTY448" s="741"/>
      <c r="BTZ448" s="741"/>
      <c r="BUA448" s="741"/>
      <c r="BUB448" s="741"/>
      <c r="BUC448" s="741"/>
      <c r="BUD448" s="741"/>
      <c r="BUE448" s="741"/>
      <c r="BUF448" s="741"/>
      <c r="BUG448" s="741"/>
      <c r="BUH448" s="741"/>
      <c r="BUI448" s="741"/>
      <c r="BUJ448" s="741"/>
      <c r="BUK448" s="741"/>
      <c r="BUL448" s="741"/>
      <c r="BUM448" s="741"/>
      <c r="BUN448" s="741"/>
      <c r="BUO448" s="741"/>
      <c r="BUP448" s="741"/>
      <c r="BUQ448" s="741"/>
      <c r="BUR448" s="741"/>
      <c r="BUS448" s="741"/>
      <c r="BUT448" s="741"/>
      <c r="BUU448" s="741"/>
      <c r="BUV448" s="741"/>
      <c r="BUW448" s="741"/>
      <c r="BUX448" s="741"/>
      <c r="BUY448" s="741"/>
      <c r="BUZ448" s="741"/>
      <c r="BVA448" s="741"/>
      <c r="BVB448" s="741"/>
      <c r="BVC448" s="741"/>
      <c r="BVD448" s="741"/>
      <c r="BVE448" s="741"/>
      <c r="BVF448" s="741"/>
      <c r="BVG448" s="741"/>
      <c r="BVH448" s="741"/>
      <c r="BVI448" s="741"/>
      <c r="BVJ448" s="741"/>
      <c r="BVK448" s="741"/>
      <c r="BVL448" s="741"/>
      <c r="BVM448" s="741"/>
      <c r="BVN448" s="741"/>
      <c r="BVO448" s="741"/>
      <c r="BVP448" s="741"/>
      <c r="BVQ448" s="741"/>
      <c r="BVR448" s="741"/>
      <c r="BVS448" s="741"/>
      <c r="BVT448" s="741"/>
      <c r="BVU448" s="741"/>
      <c r="BVV448" s="741"/>
      <c r="BVW448" s="741"/>
      <c r="BVX448" s="741"/>
      <c r="BVY448" s="741"/>
      <c r="BVZ448" s="741"/>
      <c r="BWA448" s="741"/>
      <c r="BWB448" s="741"/>
      <c r="BWC448" s="741"/>
      <c r="BWD448" s="741"/>
      <c r="BWE448" s="741"/>
      <c r="BWF448" s="741"/>
      <c r="BWG448" s="741"/>
      <c r="BWH448" s="741"/>
      <c r="BWI448" s="741"/>
      <c r="BWJ448" s="741"/>
      <c r="BWK448" s="741"/>
      <c r="BWL448" s="741"/>
      <c r="BWM448" s="741"/>
      <c r="BWN448" s="741"/>
      <c r="BWO448" s="741"/>
      <c r="BWP448" s="741"/>
      <c r="BWQ448" s="741"/>
      <c r="BWR448" s="741"/>
      <c r="BWS448" s="741"/>
      <c r="BWT448" s="741"/>
      <c r="BWU448" s="741"/>
      <c r="BWV448" s="741"/>
      <c r="BWW448" s="741"/>
      <c r="BWX448" s="741"/>
      <c r="BWY448" s="741"/>
      <c r="BWZ448" s="741"/>
      <c r="BXA448" s="741"/>
      <c r="BXB448" s="741"/>
      <c r="BXC448" s="741"/>
      <c r="BXD448" s="741"/>
      <c r="BXE448" s="741"/>
      <c r="BXF448" s="741"/>
      <c r="BXG448" s="741"/>
      <c r="BXH448" s="741"/>
      <c r="BXI448" s="741"/>
      <c r="BXJ448" s="741"/>
      <c r="BXK448" s="741"/>
      <c r="BXL448" s="741"/>
      <c r="BXM448" s="741"/>
      <c r="BXN448" s="741"/>
      <c r="BXO448" s="741"/>
      <c r="BXP448" s="741"/>
      <c r="BXQ448" s="741"/>
      <c r="BXR448" s="741"/>
      <c r="BXS448" s="741"/>
      <c r="BXT448" s="741"/>
      <c r="BXU448" s="741"/>
      <c r="BXV448" s="741"/>
      <c r="BXW448" s="741"/>
      <c r="BXX448" s="741"/>
      <c r="BXY448" s="741"/>
      <c r="BXZ448" s="741"/>
      <c r="BYA448" s="741"/>
      <c r="BYB448" s="741"/>
      <c r="BYC448" s="741"/>
      <c r="BYD448" s="741"/>
      <c r="BYE448" s="741"/>
      <c r="BYF448" s="741"/>
      <c r="BYG448" s="741"/>
      <c r="BYH448" s="741"/>
      <c r="BYI448" s="741"/>
      <c r="BYJ448" s="741"/>
      <c r="BYK448" s="741"/>
      <c r="BYL448" s="741"/>
      <c r="BYM448" s="741"/>
      <c r="BYN448" s="741"/>
      <c r="BYO448" s="741"/>
      <c r="BYP448" s="741"/>
      <c r="BYQ448" s="741"/>
      <c r="BYR448" s="741"/>
      <c r="BYS448" s="741"/>
      <c r="BYT448" s="741"/>
      <c r="BYU448" s="741"/>
      <c r="BYV448" s="741"/>
      <c r="BYW448" s="741"/>
      <c r="BYX448" s="741"/>
      <c r="BYY448" s="741"/>
      <c r="BYZ448" s="741"/>
      <c r="BZA448" s="741"/>
      <c r="BZB448" s="741"/>
      <c r="BZC448" s="741"/>
      <c r="BZD448" s="741"/>
      <c r="BZE448" s="741"/>
      <c r="BZF448" s="741"/>
      <c r="BZG448" s="741"/>
      <c r="BZH448" s="741"/>
      <c r="BZI448" s="741"/>
      <c r="BZJ448" s="741"/>
      <c r="BZK448" s="741"/>
      <c r="BZL448" s="741"/>
      <c r="BZM448" s="741"/>
      <c r="BZN448" s="741"/>
      <c r="BZO448" s="741"/>
      <c r="BZP448" s="741"/>
      <c r="BZQ448" s="741"/>
      <c r="BZR448" s="741"/>
      <c r="BZS448" s="741"/>
      <c r="BZT448" s="741"/>
      <c r="BZU448" s="741"/>
      <c r="BZV448" s="741"/>
      <c r="BZW448" s="741"/>
      <c r="BZX448" s="741"/>
      <c r="BZY448" s="741"/>
      <c r="BZZ448" s="741"/>
      <c r="CAA448" s="741"/>
      <c r="CAB448" s="741"/>
      <c r="CAC448" s="741"/>
      <c r="CAD448" s="741"/>
      <c r="CAE448" s="741"/>
      <c r="CAF448" s="741"/>
      <c r="CAG448" s="741"/>
      <c r="CAH448" s="741"/>
      <c r="CAI448" s="741"/>
      <c r="CAJ448" s="741"/>
      <c r="CAK448" s="741"/>
      <c r="CAL448" s="741"/>
      <c r="CAM448" s="741"/>
      <c r="CAN448" s="741"/>
      <c r="CAO448" s="741"/>
      <c r="CAP448" s="741"/>
      <c r="CAQ448" s="741"/>
      <c r="CAR448" s="741"/>
      <c r="CAS448" s="741"/>
      <c r="CAT448" s="741"/>
      <c r="CAU448" s="741"/>
      <c r="CAV448" s="741"/>
      <c r="CAW448" s="741"/>
      <c r="CAX448" s="741"/>
      <c r="CAY448" s="741"/>
      <c r="CAZ448" s="741"/>
      <c r="CBA448" s="741"/>
      <c r="CBB448" s="741"/>
      <c r="CBC448" s="741"/>
      <c r="CBD448" s="741"/>
      <c r="CBE448" s="741"/>
      <c r="CBF448" s="741"/>
      <c r="CBG448" s="741"/>
      <c r="CBH448" s="741"/>
      <c r="CBI448" s="741"/>
      <c r="CBJ448" s="741"/>
      <c r="CBK448" s="741"/>
      <c r="CBL448" s="741"/>
      <c r="CBM448" s="741"/>
      <c r="CBN448" s="741"/>
      <c r="CBO448" s="741"/>
      <c r="CBP448" s="741"/>
      <c r="CBQ448" s="741"/>
      <c r="CBR448" s="741"/>
      <c r="CBS448" s="741"/>
      <c r="CBT448" s="741"/>
      <c r="CBU448" s="741"/>
      <c r="CBV448" s="741"/>
      <c r="CBW448" s="741"/>
      <c r="CBX448" s="741"/>
      <c r="CBY448" s="741"/>
      <c r="CBZ448" s="741"/>
      <c r="CCA448" s="741"/>
      <c r="CCB448" s="741"/>
      <c r="CCC448" s="741"/>
      <c r="CCD448" s="741"/>
      <c r="CCE448" s="741"/>
      <c r="CCF448" s="741"/>
      <c r="CCG448" s="741"/>
      <c r="CCH448" s="741"/>
      <c r="CCI448" s="741"/>
      <c r="CCJ448" s="741"/>
      <c r="CCK448" s="741"/>
      <c r="CCL448" s="741"/>
      <c r="CCM448" s="741"/>
      <c r="CCN448" s="741"/>
      <c r="CCO448" s="741"/>
      <c r="CCP448" s="741"/>
      <c r="CCQ448" s="741"/>
      <c r="CCR448" s="741"/>
      <c r="CCS448" s="741"/>
      <c r="CCT448" s="741"/>
      <c r="CCU448" s="741"/>
      <c r="CCV448" s="741"/>
      <c r="CCW448" s="741"/>
      <c r="CCX448" s="741"/>
      <c r="CCY448" s="741"/>
      <c r="CCZ448" s="741"/>
      <c r="CDA448" s="741"/>
      <c r="CDB448" s="741"/>
      <c r="CDC448" s="741"/>
      <c r="CDD448" s="741"/>
      <c r="CDE448" s="741"/>
      <c r="CDF448" s="741"/>
      <c r="CDG448" s="741"/>
      <c r="CDH448" s="741"/>
      <c r="CDI448" s="741"/>
      <c r="CDJ448" s="741"/>
      <c r="CDK448" s="741"/>
      <c r="CDL448" s="741"/>
      <c r="CDM448" s="741"/>
      <c r="CDN448" s="741"/>
      <c r="CDO448" s="741"/>
      <c r="CDP448" s="741"/>
      <c r="CDQ448" s="741"/>
      <c r="CDR448" s="741"/>
      <c r="CDS448" s="741"/>
      <c r="CDT448" s="741"/>
      <c r="CDU448" s="741"/>
      <c r="CDV448" s="741"/>
      <c r="CDW448" s="741"/>
      <c r="CDX448" s="741"/>
      <c r="CDY448" s="741"/>
      <c r="CDZ448" s="741"/>
      <c r="CEA448" s="741"/>
      <c r="CEB448" s="741"/>
      <c r="CEC448" s="741"/>
      <c r="CED448" s="741"/>
      <c r="CEE448" s="741"/>
      <c r="CEF448" s="741"/>
      <c r="CEG448" s="741"/>
      <c r="CEH448" s="741"/>
      <c r="CEI448" s="741"/>
      <c r="CEJ448" s="741"/>
      <c r="CEK448" s="741"/>
      <c r="CEL448" s="741"/>
      <c r="CEM448" s="741"/>
      <c r="CEN448" s="741"/>
      <c r="CEO448" s="741"/>
      <c r="CEP448" s="741"/>
      <c r="CEQ448" s="741"/>
      <c r="CER448" s="741"/>
      <c r="CES448" s="741"/>
      <c r="CET448" s="741"/>
      <c r="CEU448" s="741"/>
      <c r="CEV448" s="741"/>
      <c r="CEW448" s="741"/>
      <c r="CEX448" s="741"/>
      <c r="CEY448" s="741"/>
      <c r="CEZ448" s="741"/>
      <c r="CFA448" s="741"/>
      <c r="CFB448" s="741"/>
      <c r="CFC448" s="741"/>
      <c r="CFD448" s="741"/>
      <c r="CFE448" s="741"/>
      <c r="CFF448" s="741"/>
      <c r="CFG448" s="741"/>
      <c r="CFH448" s="741"/>
      <c r="CFI448" s="741"/>
      <c r="CFJ448" s="741"/>
      <c r="CFK448" s="741"/>
      <c r="CFL448" s="741"/>
      <c r="CFM448" s="741"/>
      <c r="CFN448" s="741"/>
      <c r="CFO448" s="741"/>
      <c r="CFP448" s="741"/>
      <c r="CFQ448" s="741"/>
      <c r="CFR448" s="741"/>
      <c r="CFS448" s="741"/>
      <c r="CFT448" s="741"/>
      <c r="CFU448" s="741"/>
      <c r="CFV448" s="741"/>
      <c r="CFW448" s="741"/>
      <c r="CFX448" s="741"/>
      <c r="CFY448" s="741"/>
      <c r="CFZ448" s="741"/>
      <c r="CGA448" s="741"/>
      <c r="CGB448" s="741"/>
      <c r="CGC448" s="741"/>
      <c r="CGD448" s="741"/>
      <c r="CGE448" s="741"/>
      <c r="CGF448" s="741"/>
      <c r="CGG448" s="741"/>
      <c r="CGH448" s="741"/>
      <c r="CGI448" s="741"/>
      <c r="CGJ448" s="741"/>
      <c r="CGK448" s="741"/>
      <c r="CGL448" s="741"/>
      <c r="CGM448" s="741"/>
      <c r="CGN448" s="741"/>
      <c r="CGO448" s="741"/>
      <c r="CGP448" s="741"/>
      <c r="CGQ448" s="741"/>
      <c r="CGR448" s="741"/>
      <c r="CGS448" s="741"/>
      <c r="CGT448" s="741"/>
      <c r="CGU448" s="741"/>
      <c r="CGV448" s="741"/>
      <c r="CGW448" s="741"/>
      <c r="CGX448" s="741"/>
      <c r="CGY448" s="741"/>
      <c r="CGZ448" s="741"/>
      <c r="CHA448" s="741"/>
      <c r="CHB448" s="741"/>
      <c r="CHC448" s="741"/>
      <c r="CHD448" s="741"/>
      <c r="CHE448" s="741"/>
      <c r="CHF448" s="741"/>
      <c r="CHG448" s="741"/>
      <c r="CHH448" s="741"/>
      <c r="CHI448" s="741"/>
      <c r="CHJ448" s="741"/>
      <c r="CHK448" s="741"/>
      <c r="CHL448" s="741"/>
      <c r="CHM448" s="741"/>
      <c r="CHN448" s="741"/>
      <c r="CHO448" s="741"/>
      <c r="CHP448" s="741"/>
      <c r="CHQ448" s="741"/>
      <c r="CHR448" s="741"/>
      <c r="CHS448" s="741"/>
      <c r="CHT448" s="741"/>
      <c r="CHU448" s="741"/>
      <c r="CHV448" s="741"/>
      <c r="CHW448" s="741"/>
      <c r="CHX448" s="741"/>
      <c r="CHY448" s="741"/>
      <c r="CHZ448" s="741"/>
      <c r="CIA448" s="741"/>
      <c r="CIB448" s="741"/>
      <c r="CIC448" s="741"/>
      <c r="CID448" s="741"/>
      <c r="CIE448" s="741"/>
      <c r="CIF448" s="741"/>
      <c r="CIG448" s="741"/>
      <c r="CIH448" s="741"/>
      <c r="CII448" s="741"/>
      <c r="CIJ448" s="741"/>
      <c r="CIK448" s="741"/>
      <c r="CIL448" s="741"/>
      <c r="CIM448" s="741"/>
      <c r="CIN448" s="741"/>
      <c r="CIO448" s="741"/>
      <c r="CIP448" s="741"/>
      <c r="CIQ448" s="741"/>
      <c r="CIR448" s="741"/>
      <c r="CIS448" s="741"/>
      <c r="CIT448" s="741"/>
      <c r="CIU448" s="741"/>
      <c r="CIV448" s="741"/>
      <c r="CIW448" s="741"/>
      <c r="CIX448" s="741"/>
      <c r="CIY448" s="741"/>
      <c r="CIZ448" s="741"/>
      <c r="CJA448" s="741"/>
      <c r="CJB448" s="741"/>
      <c r="CJC448" s="741"/>
      <c r="CJD448" s="741"/>
      <c r="CJE448" s="741"/>
      <c r="CJF448" s="741"/>
      <c r="CJG448" s="741"/>
      <c r="CJH448" s="741"/>
      <c r="CJI448" s="741"/>
      <c r="CJJ448" s="741"/>
      <c r="CJK448" s="741"/>
      <c r="CJL448" s="741"/>
      <c r="CJM448" s="741"/>
      <c r="CJN448" s="741"/>
      <c r="CJO448" s="741"/>
      <c r="CJP448" s="741"/>
      <c r="CJQ448" s="741"/>
      <c r="CJR448" s="741"/>
      <c r="CJS448" s="741"/>
      <c r="CJT448" s="741"/>
      <c r="CJU448" s="741"/>
      <c r="CJV448" s="741"/>
      <c r="CJW448" s="741"/>
      <c r="CJX448" s="741"/>
      <c r="CJY448" s="741"/>
      <c r="CJZ448" s="741"/>
      <c r="CKA448" s="741"/>
      <c r="CKB448" s="741"/>
      <c r="CKC448" s="741"/>
      <c r="CKD448" s="741"/>
      <c r="CKE448" s="741"/>
      <c r="CKF448" s="741"/>
      <c r="CKG448" s="741"/>
      <c r="CKH448" s="741"/>
      <c r="CKI448" s="741"/>
      <c r="CKJ448" s="741"/>
      <c r="CKK448" s="741"/>
      <c r="CKL448" s="741"/>
      <c r="CKM448" s="741"/>
      <c r="CKN448" s="741"/>
      <c r="CKO448" s="741"/>
      <c r="CKP448" s="741"/>
      <c r="CKQ448" s="741"/>
      <c r="CKR448" s="741"/>
      <c r="CKS448" s="741"/>
      <c r="CKT448" s="741"/>
      <c r="CKU448" s="741"/>
      <c r="CKV448" s="741"/>
      <c r="CKW448" s="741"/>
      <c r="CKX448" s="741"/>
      <c r="CKY448" s="741"/>
      <c r="CKZ448" s="741"/>
      <c r="CLA448" s="741"/>
      <c r="CLB448" s="741"/>
      <c r="CLC448" s="741"/>
      <c r="CLD448" s="741"/>
      <c r="CLE448" s="741"/>
      <c r="CLF448" s="741"/>
      <c r="CLG448" s="741"/>
      <c r="CLH448" s="741"/>
      <c r="CLI448" s="741"/>
      <c r="CLJ448" s="741"/>
      <c r="CLK448" s="741"/>
      <c r="CLL448" s="741"/>
      <c r="CLM448" s="741"/>
      <c r="CLN448" s="741"/>
      <c r="CLO448" s="741"/>
      <c r="CLP448" s="741"/>
      <c r="CLQ448" s="741"/>
      <c r="CLR448" s="741"/>
      <c r="CLS448" s="741"/>
      <c r="CLT448" s="741"/>
      <c r="CLU448" s="741"/>
      <c r="CLV448" s="741"/>
      <c r="CLW448" s="741"/>
      <c r="CLX448" s="741"/>
      <c r="CLY448" s="741"/>
      <c r="CLZ448" s="741"/>
      <c r="CMA448" s="741"/>
      <c r="CMB448" s="741"/>
      <c r="CMC448" s="741"/>
      <c r="CMD448" s="741"/>
      <c r="CME448" s="741"/>
      <c r="CMF448" s="741"/>
      <c r="CMG448" s="741"/>
      <c r="CMH448" s="741"/>
      <c r="CMI448" s="741"/>
      <c r="CMJ448" s="741"/>
      <c r="CMK448" s="741"/>
      <c r="CML448" s="741"/>
      <c r="CMM448" s="741"/>
      <c r="CMN448" s="741"/>
      <c r="CMO448" s="741"/>
      <c r="CMP448" s="741"/>
      <c r="CMQ448" s="741"/>
      <c r="CMR448" s="741"/>
      <c r="CMS448" s="741"/>
      <c r="CMT448" s="741"/>
      <c r="CMU448" s="741"/>
      <c r="CMV448" s="741"/>
      <c r="CMW448" s="741"/>
      <c r="CMX448" s="741"/>
      <c r="CMY448" s="741"/>
      <c r="CMZ448" s="741"/>
      <c r="CNA448" s="741"/>
      <c r="CNB448" s="741"/>
      <c r="CNC448" s="741"/>
      <c r="CND448" s="741"/>
      <c r="CNE448" s="741"/>
      <c r="CNF448" s="741"/>
      <c r="CNG448" s="741"/>
      <c r="CNH448" s="741"/>
      <c r="CNI448" s="741"/>
      <c r="CNJ448" s="741"/>
      <c r="CNK448" s="741"/>
      <c r="CNL448" s="741"/>
      <c r="CNM448" s="741"/>
      <c r="CNN448" s="741"/>
      <c r="CNO448" s="741"/>
      <c r="CNP448" s="741"/>
      <c r="CNQ448" s="741"/>
      <c r="CNR448" s="741"/>
      <c r="CNS448" s="741"/>
      <c r="CNT448" s="741"/>
      <c r="CNU448" s="741"/>
      <c r="CNV448" s="741"/>
      <c r="CNW448" s="741"/>
      <c r="CNX448" s="741"/>
      <c r="CNY448" s="741"/>
      <c r="CNZ448" s="741"/>
      <c r="COA448" s="741"/>
      <c r="COB448" s="741"/>
      <c r="COC448" s="741"/>
      <c r="COD448" s="741"/>
      <c r="COE448" s="741"/>
      <c r="COF448" s="741"/>
      <c r="COG448" s="741"/>
      <c r="COH448" s="741"/>
      <c r="COI448" s="741"/>
      <c r="COJ448" s="741"/>
      <c r="COK448" s="741"/>
      <c r="COL448" s="741"/>
      <c r="COM448" s="741"/>
      <c r="CON448" s="741"/>
      <c r="COO448" s="741"/>
      <c r="COP448" s="741"/>
      <c r="COQ448" s="741"/>
      <c r="COR448" s="741"/>
      <c r="COS448" s="741"/>
      <c r="COT448" s="741"/>
      <c r="COU448" s="741"/>
      <c r="COV448" s="741"/>
      <c r="COW448" s="741"/>
      <c r="COX448" s="741"/>
      <c r="COY448" s="741"/>
      <c r="COZ448" s="741"/>
      <c r="CPA448" s="741"/>
      <c r="CPB448" s="741"/>
      <c r="CPC448" s="741"/>
      <c r="CPD448" s="741"/>
      <c r="CPE448" s="741"/>
      <c r="CPF448" s="741"/>
      <c r="CPG448" s="741"/>
      <c r="CPH448" s="741"/>
      <c r="CPI448" s="741"/>
      <c r="CPJ448" s="741"/>
      <c r="CPK448" s="741"/>
      <c r="CPL448" s="741"/>
      <c r="CPM448" s="741"/>
      <c r="CPN448" s="741"/>
      <c r="CPO448" s="741"/>
      <c r="CPP448" s="741"/>
      <c r="CPQ448" s="741"/>
      <c r="CPR448" s="741"/>
      <c r="CPS448" s="741"/>
      <c r="CPT448" s="741"/>
      <c r="CPU448" s="741"/>
      <c r="CPV448" s="741"/>
      <c r="CPW448" s="741"/>
      <c r="CPX448" s="741"/>
      <c r="CPY448" s="741"/>
      <c r="CPZ448" s="741"/>
      <c r="CQA448" s="741"/>
      <c r="CQB448" s="741"/>
      <c r="CQC448" s="741"/>
      <c r="CQD448" s="741"/>
      <c r="CQE448" s="741"/>
      <c r="CQF448" s="741"/>
      <c r="CQG448" s="741"/>
      <c r="CQH448" s="741"/>
      <c r="CQI448" s="741"/>
      <c r="CQJ448" s="741"/>
      <c r="CQK448" s="741"/>
      <c r="CQL448" s="741"/>
      <c r="CQM448" s="741"/>
      <c r="CQN448" s="741"/>
      <c r="CQO448" s="741"/>
      <c r="CQP448" s="741"/>
      <c r="CQQ448" s="741"/>
      <c r="CQR448" s="741"/>
      <c r="CQS448" s="741"/>
      <c r="CQT448" s="741"/>
      <c r="CQU448" s="741"/>
      <c r="CQV448" s="741"/>
      <c r="CQW448" s="741"/>
      <c r="CQX448" s="741"/>
      <c r="CQY448" s="741"/>
      <c r="CQZ448" s="741"/>
      <c r="CRA448" s="741"/>
      <c r="CRB448" s="741"/>
      <c r="CRC448" s="741"/>
      <c r="CRD448" s="741"/>
      <c r="CRE448" s="741"/>
      <c r="CRF448" s="741"/>
      <c r="CRG448" s="741"/>
      <c r="CRH448" s="741"/>
      <c r="CRI448" s="741"/>
      <c r="CRJ448" s="741"/>
      <c r="CRK448" s="741"/>
      <c r="CRL448" s="741"/>
      <c r="CRM448" s="741"/>
      <c r="CRN448" s="741"/>
      <c r="CRO448" s="741"/>
      <c r="CRP448" s="741"/>
      <c r="CRQ448" s="741"/>
      <c r="CRR448" s="741"/>
      <c r="CRS448" s="741"/>
      <c r="CRT448" s="741"/>
      <c r="CRU448" s="741"/>
      <c r="CRV448" s="741"/>
      <c r="CRW448" s="741"/>
      <c r="CRX448" s="741"/>
      <c r="CRY448" s="741"/>
      <c r="CRZ448" s="741"/>
      <c r="CSA448" s="741"/>
      <c r="CSB448" s="741"/>
      <c r="CSC448" s="741"/>
      <c r="CSD448" s="741"/>
      <c r="CSE448" s="741"/>
      <c r="CSF448" s="741"/>
      <c r="CSG448" s="741"/>
      <c r="CSH448" s="741"/>
      <c r="CSI448" s="741"/>
      <c r="CSJ448" s="741"/>
      <c r="CSK448" s="741"/>
      <c r="CSL448" s="741"/>
      <c r="CSM448" s="741"/>
      <c r="CSN448" s="741"/>
      <c r="CSO448" s="741"/>
      <c r="CSP448" s="741"/>
      <c r="CSQ448" s="741"/>
      <c r="CSR448" s="741"/>
      <c r="CSS448" s="741"/>
      <c r="CST448" s="741"/>
      <c r="CSU448" s="741"/>
      <c r="CSV448" s="741"/>
      <c r="CSW448" s="741"/>
      <c r="CSX448" s="741"/>
      <c r="CSY448" s="741"/>
      <c r="CSZ448" s="741"/>
      <c r="CTA448" s="741"/>
      <c r="CTB448" s="741"/>
      <c r="CTC448" s="741"/>
      <c r="CTD448" s="741"/>
      <c r="CTE448" s="741"/>
      <c r="CTF448" s="741"/>
      <c r="CTG448" s="741"/>
      <c r="CTH448" s="741"/>
      <c r="CTI448" s="741"/>
      <c r="CTJ448" s="741"/>
      <c r="CTK448" s="741"/>
      <c r="CTL448" s="741"/>
      <c r="CTM448" s="741"/>
      <c r="CTN448" s="741"/>
      <c r="CTO448" s="741"/>
      <c r="CTP448" s="741"/>
      <c r="CTQ448" s="741"/>
      <c r="CTR448" s="741"/>
      <c r="CTS448" s="741"/>
      <c r="CTT448" s="741"/>
      <c r="CTU448" s="741"/>
      <c r="CTV448" s="741"/>
      <c r="CTW448" s="741"/>
      <c r="CTX448" s="741"/>
      <c r="CTY448" s="741"/>
      <c r="CTZ448" s="741"/>
      <c r="CUA448" s="741"/>
      <c r="CUB448" s="741"/>
      <c r="CUC448" s="741"/>
      <c r="CUD448" s="741"/>
      <c r="CUE448" s="741"/>
      <c r="CUF448" s="741"/>
      <c r="CUG448" s="741"/>
      <c r="CUH448" s="741"/>
      <c r="CUI448" s="741"/>
      <c r="CUJ448" s="741"/>
      <c r="CUK448" s="741"/>
      <c r="CUL448" s="741"/>
      <c r="CUM448" s="741"/>
      <c r="CUN448" s="741"/>
      <c r="CUO448" s="741"/>
      <c r="CUP448" s="741"/>
      <c r="CUQ448" s="741"/>
      <c r="CUR448" s="741"/>
      <c r="CUS448" s="741"/>
      <c r="CUT448" s="741"/>
      <c r="CUU448" s="741"/>
      <c r="CUV448" s="741"/>
      <c r="CUW448" s="741"/>
      <c r="CUX448" s="741"/>
      <c r="CUY448" s="741"/>
      <c r="CUZ448" s="741"/>
      <c r="CVA448" s="741"/>
      <c r="CVB448" s="741"/>
      <c r="CVC448" s="741"/>
      <c r="CVD448" s="741"/>
      <c r="CVE448" s="741"/>
      <c r="CVF448" s="741"/>
      <c r="CVG448" s="741"/>
      <c r="CVH448" s="741"/>
      <c r="CVI448" s="741"/>
      <c r="CVJ448" s="741"/>
      <c r="CVK448" s="741"/>
      <c r="CVL448" s="741"/>
      <c r="CVM448" s="741"/>
      <c r="CVN448" s="741"/>
      <c r="CVO448" s="741"/>
      <c r="CVP448" s="741"/>
      <c r="CVQ448" s="741"/>
      <c r="CVR448" s="741"/>
      <c r="CVS448" s="741"/>
      <c r="CVT448" s="741"/>
      <c r="CVU448" s="741"/>
      <c r="CVV448" s="741"/>
      <c r="CVW448" s="741"/>
      <c r="CVX448" s="741"/>
      <c r="CVY448" s="741"/>
      <c r="CVZ448" s="741"/>
      <c r="CWA448" s="741"/>
      <c r="CWB448" s="741"/>
      <c r="CWC448" s="741"/>
      <c r="CWD448" s="741"/>
      <c r="CWE448" s="741"/>
      <c r="CWF448" s="741"/>
      <c r="CWG448" s="741"/>
      <c r="CWH448" s="741"/>
      <c r="CWI448" s="741"/>
      <c r="CWJ448" s="741"/>
      <c r="CWK448" s="741"/>
      <c r="CWL448" s="741"/>
      <c r="CWM448" s="741"/>
      <c r="CWN448" s="741"/>
      <c r="CWO448" s="741"/>
      <c r="CWP448" s="741"/>
      <c r="CWQ448" s="741"/>
      <c r="CWR448" s="741"/>
      <c r="CWS448" s="741"/>
      <c r="CWT448" s="741"/>
      <c r="CWU448" s="741"/>
      <c r="CWV448" s="741"/>
      <c r="CWW448" s="741"/>
      <c r="CWX448" s="741"/>
      <c r="CWY448" s="741"/>
      <c r="CWZ448" s="741"/>
      <c r="CXA448" s="741"/>
      <c r="CXB448" s="741"/>
      <c r="CXC448" s="741"/>
      <c r="CXD448" s="741"/>
      <c r="CXE448" s="741"/>
      <c r="CXF448" s="741"/>
      <c r="CXG448" s="741"/>
      <c r="CXH448" s="741"/>
      <c r="CXI448" s="741"/>
      <c r="CXJ448" s="741"/>
      <c r="CXK448" s="741"/>
      <c r="CXL448" s="741"/>
      <c r="CXM448" s="741"/>
      <c r="CXN448" s="741"/>
      <c r="CXO448" s="741"/>
      <c r="CXP448" s="741"/>
      <c r="CXQ448" s="741"/>
      <c r="CXR448" s="741"/>
      <c r="CXS448" s="741"/>
      <c r="CXT448" s="741"/>
      <c r="CXU448" s="741"/>
      <c r="CXV448" s="741"/>
      <c r="CXW448" s="741"/>
      <c r="CXX448" s="741"/>
      <c r="CXY448" s="741"/>
      <c r="CXZ448" s="741"/>
      <c r="CYA448" s="741"/>
      <c r="CYB448" s="741"/>
      <c r="CYC448" s="741"/>
      <c r="CYD448" s="741"/>
      <c r="CYE448" s="741"/>
      <c r="CYF448" s="741"/>
      <c r="CYG448" s="741"/>
      <c r="CYH448" s="741"/>
      <c r="CYI448" s="741"/>
      <c r="CYJ448" s="741"/>
      <c r="CYK448" s="741"/>
      <c r="CYL448" s="741"/>
      <c r="CYM448" s="741"/>
      <c r="CYN448" s="741"/>
      <c r="CYO448" s="741"/>
      <c r="CYP448" s="741"/>
      <c r="CYQ448" s="741"/>
      <c r="CYR448" s="741"/>
      <c r="CYS448" s="741"/>
      <c r="CYT448" s="741"/>
      <c r="CYU448" s="741"/>
      <c r="CYV448" s="741"/>
      <c r="CYW448" s="741"/>
      <c r="CYX448" s="741"/>
      <c r="CYY448" s="741"/>
      <c r="CYZ448" s="741"/>
      <c r="CZA448" s="741"/>
      <c r="CZB448" s="741"/>
      <c r="CZC448" s="741"/>
      <c r="CZD448" s="741"/>
      <c r="CZE448" s="741"/>
      <c r="CZF448" s="741"/>
      <c r="CZG448" s="741"/>
      <c r="CZH448" s="741"/>
      <c r="CZI448" s="741"/>
      <c r="CZJ448" s="741"/>
      <c r="CZK448" s="741"/>
      <c r="CZL448" s="741"/>
      <c r="CZM448" s="741"/>
      <c r="CZN448" s="741"/>
      <c r="CZO448" s="741"/>
      <c r="CZP448" s="741"/>
      <c r="CZQ448" s="741"/>
      <c r="CZR448" s="741"/>
      <c r="CZS448" s="741"/>
      <c r="CZT448" s="741"/>
      <c r="CZU448" s="741"/>
      <c r="CZV448" s="741"/>
      <c r="CZW448" s="741"/>
      <c r="CZX448" s="741"/>
      <c r="CZY448" s="741"/>
      <c r="CZZ448" s="741"/>
      <c r="DAA448" s="741"/>
      <c r="DAB448" s="741"/>
      <c r="DAC448" s="741"/>
      <c r="DAD448" s="741"/>
      <c r="DAE448" s="741"/>
      <c r="DAF448" s="741"/>
      <c r="DAG448" s="741"/>
      <c r="DAH448" s="741"/>
      <c r="DAI448" s="741"/>
      <c r="DAJ448" s="741"/>
      <c r="DAK448" s="741"/>
      <c r="DAL448" s="741"/>
      <c r="DAM448" s="741"/>
      <c r="DAN448" s="741"/>
      <c r="DAO448" s="741"/>
      <c r="DAP448" s="741"/>
      <c r="DAQ448" s="741"/>
      <c r="DAR448" s="741"/>
      <c r="DAS448" s="741"/>
      <c r="DAT448" s="741"/>
      <c r="DAU448" s="741"/>
      <c r="DAV448" s="741"/>
      <c r="DAW448" s="741"/>
      <c r="DAX448" s="741"/>
      <c r="DAY448" s="741"/>
      <c r="DAZ448" s="741"/>
      <c r="DBA448" s="741"/>
      <c r="DBB448" s="741"/>
      <c r="DBC448" s="741"/>
      <c r="DBD448" s="741"/>
      <c r="DBE448" s="741"/>
      <c r="DBF448" s="741"/>
      <c r="DBG448" s="741"/>
      <c r="DBH448" s="741"/>
      <c r="DBI448" s="741"/>
      <c r="DBJ448" s="741"/>
      <c r="DBK448" s="741"/>
      <c r="DBL448" s="741"/>
      <c r="DBM448" s="741"/>
      <c r="DBN448" s="741"/>
      <c r="DBO448" s="741"/>
      <c r="DBP448" s="741"/>
      <c r="DBQ448" s="741"/>
      <c r="DBR448" s="741"/>
      <c r="DBS448" s="741"/>
      <c r="DBT448" s="741"/>
      <c r="DBU448" s="741"/>
      <c r="DBV448" s="741"/>
      <c r="DBW448" s="741"/>
      <c r="DBX448" s="741"/>
      <c r="DBY448" s="741"/>
      <c r="DBZ448" s="741"/>
      <c r="DCA448" s="741"/>
      <c r="DCB448" s="741"/>
      <c r="DCC448" s="741"/>
      <c r="DCD448" s="741"/>
      <c r="DCE448" s="741"/>
      <c r="DCF448" s="741"/>
      <c r="DCG448" s="741"/>
      <c r="DCH448" s="741"/>
      <c r="DCI448" s="741"/>
      <c r="DCJ448" s="741"/>
      <c r="DCK448" s="741"/>
      <c r="DCL448" s="741"/>
      <c r="DCM448" s="741"/>
      <c r="DCN448" s="741"/>
      <c r="DCO448" s="741"/>
      <c r="DCP448" s="741"/>
      <c r="DCQ448" s="741"/>
      <c r="DCR448" s="741"/>
      <c r="DCS448" s="741"/>
      <c r="DCT448" s="741"/>
      <c r="DCU448" s="741"/>
      <c r="DCV448" s="741"/>
      <c r="DCW448" s="741"/>
      <c r="DCX448" s="741"/>
      <c r="DCY448" s="741"/>
      <c r="DCZ448" s="741"/>
      <c r="DDA448" s="741"/>
      <c r="DDB448" s="741"/>
      <c r="DDC448" s="741"/>
      <c r="DDD448" s="741"/>
      <c r="DDE448" s="741"/>
      <c r="DDF448" s="741"/>
      <c r="DDG448" s="741"/>
      <c r="DDH448" s="741"/>
      <c r="DDI448" s="741"/>
      <c r="DDJ448" s="741"/>
      <c r="DDK448" s="741"/>
      <c r="DDL448" s="741"/>
      <c r="DDM448" s="741"/>
      <c r="DDN448" s="741"/>
      <c r="DDO448" s="741"/>
      <c r="DDP448" s="741"/>
      <c r="DDQ448" s="741"/>
      <c r="DDR448" s="741"/>
      <c r="DDS448" s="741"/>
      <c r="DDT448" s="741"/>
      <c r="DDU448" s="741"/>
      <c r="DDV448" s="741"/>
      <c r="DDW448" s="741"/>
      <c r="DDX448" s="741"/>
      <c r="DDY448" s="741"/>
      <c r="DDZ448" s="741"/>
      <c r="DEA448" s="741"/>
      <c r="DEB448" s="741"/>
      <c r="DEC448" s="741"/>
      <c r="DED448" s="741"/>
      <c r="DEE448" s="741"/>
      <c r="DEF448" s="741"/>
      <c r="DEG448" s="741"/>
      <c r="DEH448" s="741"/>
      <c r="DEI448" s="741"/>
      <c r="DEJ448" s="741"/>
      <c r="DEK448" s="741"/>
      <c r="DEL448" s="741"/>
      <c r="DEM448" s="741"/>
      <c r="DEN448" s="741"/>
      <c r="DEO448" s="741"/>
      <c r="DEP448" s="741"/>
      <c r="DEQ448" s="741"/>
      <c r="DER448" s="741"/>
      <c r="DES448" s="741"/>
      <c r="DET448" s="741"/>
      <c r="DEU448" s="741"/>
      <c r="DEV448" s="741"/>
      <c r="DEW448" s="741"/>
      <c r="DEX448" s="741"/>
      <c r="DEY448" s="741"/>
      <c r="DEZ448" s="741"/>
      <c r="DFA448" s="741"/>
      <c r="DFB448" s="741"/>
      <c r="DFC448" s="741"/>
      <c r="DFD448" s="741"/>
      <c r="DFE448" s="741"/>
      <c r="DFF448" s="741"/>
      <c r="DFG448" s="741"/>
      <c r="DFH448" s="741"/>
      <c r="DFI448" s="741"/>
      <c r="DFJ448" s="741"/>
      <c r="DFK448" s="741"/>
      <c r="DFL448" s="741"/>
      <c r="DFM448" s="741"/>
      <c r="DFN448" s="741"/>
      <c r="DFO448" s="741"/>
      <c r="DFP448" s="741"/>
      <c r="DFQ448" s="741"/>
      <c r="DFR448" s="741"/>
      <c r="DFS448" s="741"/>
      <c r="DFT448" s="741"/>
      <c r="DFU448" s="741"/>
      <c r="DFV448" s="741"/>
      <c r="DFW448" s="741"/>
      <c r="DFX448" s="741"/>
      <c r="DFY448" s="741"/>
      <c r="DFZ448" s="741"/>
      <c r="DGA448" s="741"/>
      <c r="DGB448" s="741"/>
      <c r="DGC448" s="741"/>
      <c r="DGD448" s="741"/>
      <c r="DGE448" s="741"/>
      <c r="DGF448" s="741"/>
      <c r="DGG448" s="741"/>
      <c r="DGH448" s="741"/>
      <c r="DGI448" s="741"/>
      <c r="DGJ448" s="741"/>
      <c r="DGK448" s="741"/>
      <c r="DGL448" s="741"/>
      <c r="DGM448" s="741"/>
      <c r="DGN448" s="741"/>
      <c r="DGO448" s="741"/>
      <c r="DGP448" s="741"/>
      <c r="DGQ448" s="741"/>
      <c r="DGR448" s="741"/>
      <c r="DGS448" s="741"/>
      <c r="DGT448" s="741"/>
      <c r="DGU448" s="741"/>
      <c r="DGV448" s="741"/>
      <c r="DGW448" s="741"/>
      <c r="DGX448" s="741"/>
      <c r="DGY448" s="741"/>
      <c r="DGZ448" s="741"/>
      <c r="DHA448" s="741"/>
      <c r="DHB448" s="741"/>
      <c r="DHC448" s="741"/>
      <c r="DHD448" s="741"/>
      <c r="DHE448" s="741"/>
      <c r="DHF448" s="741"/>
      <c r="DHG448" s="741"/>
      <c r="DHH448" s="741"/>
      <c r="DHI448" s="741"/>
      <c r="DHJ448" s="741"/>
      <c r="DHK448" s="741"/>
      <c r="DHL448" s="741"/>
      <c r="DHM448" s="741"/>
      <c r="DHN448" s="741"/>
      <c r="DHO448" s="741"/>
      <c r="DHP448" s="741"/>
      <c r="DHQ448" s="741"/>
      <c r="DHR448" s="741"/>
      <c r="DHS448" s="741"/>
      <c r="DHT448" s="741"/>
      <c r="DHU448" s="741"/>
      <c r="DHV448" s="741"/>
      <c r="DHW448" s="741"/>
      <c r="DHX448" s="741"/>
      <c r="DHY448" s="741"/>
      <c r="DHZ448" s="741"/>
      <c r="DIA448" s="741"/>
      <c r="DIB448" s="741"/>
      <c r="DIC448" s="741"/>
      <c r="DID448" s="741"/>
      <c r="DIE448" s="741"/>
      <c r="DIF448" s="741"/>
      <c r="DIG448" s="741"/>
      <c r="DIH448" s="741"/>
      <c r="DII448" s="741"/>
      <c r="DIJ448" s="741"/>
      <c r="DIK448" s="741"/>
      <c r="DIL448" s="741"/>
      <c r="DIM448" s="741"/>
      <c r="DIN448" s="741"/>
      <c r="DIO448" s="741"/>
      <c r="DIP448" s="741"/>
      <c r="DIQ448" s="741"/>
      <c r="DIR448" s="741"/>
      <c r="DIS448" s="741"/>
      <c r="DIT448" s="741"/>
      <c r="DIU448" s="741"/>
      <c r="DIV448" s="741"/>
      <c r="DIW448" s="741"/>
      <c r="DIX448" s="741"/>
      <c r="DIY448" s="741"/>
      <c r="DIZ448" s="741"/>
      <c r="DJA448" s="741"/>
      <c r="DJB448" s="741"/>
      <c r="DJC448" s="741"/>
      <c r="DJD448" s="741"/>
      <c r="DJE448" s="741"/>
      <c r="DJF448" s="741"/>
      <c r="DJG448" s="741"/>
      <c r="DJH448" s="741"/>
      <c r="DJI448" s="741"/>
      <c r="DJJ448" s="741"/>
      <c r="DJK448" s="741"/>
      <c r="DJL448" s="741"/>
      <c r="DJM448" s="741"/>
      <c r="DJN448" s="741"/>
      <c r="DJO448" s="741"/>
      <c r="DJP448" s="741"/>
      <c r="DJQ448" s="741"/>
      <c r="DJR448" s="741"/>
      <c r="DJS448" s="741"/>
      <c r="DJT448" s="741"/>
      <c r="DJU448" s="741"/>
      <c r="DJV448" s="741"/>
      <c r="DJW448" s="741"/>
      <c r="DJX448" s="741"/>
      <c r="DJY448" s="741"/>
      <c r="DJZ448" s="741"/>
      <c r="DKA448" s="741"/>
      <c r="DKB448" s="741"/>
      <c r="DKC448" s="741"/>
      <c r="DKD448" s="741"/>
      <c r="DKE448" s="741"/>
      <c r="DKF448" s="741"/>
      <c r="DKG448" s="741"/>
      <c r="DKH448" s="741"/>
      <c r="DKI448" s="741"/>
      <c r="DKJ448" s="741"/>
      <c r="DKK448" s="741"/>
      <c r="DKL448" s="741"/>
      <c r="DKM448" s="741"/>
      <c r="DKN448" s="741"/>
      <c r="DKO448" s="741"/>
      <c r="DKP448" s="741"/>
      <c r="DKQ448" s="741"/>
      <c r="DKR448" s="741"/>
      <c r="DKS448" s="741"/>
      <c r="DKT448" s="741"/>
      <c r="DKU448" s="741"/>
      <c r="DKV448" s="741"/>
      <c r="DKW448" s="741"/>
      <c r="DKX448" s="741"/>
      <c r="DKY448" s="741"/>
      <c r="DKZ448" s="741"/>
      <c r="DLA448" s="741"/>
      <c r="DLB448" s="741"/>
      <c r="DLC448" s="741"/>
      <c r="DLD448" s="741"/>
      <c r="DLE448" s="741"/>
      <c r="DLF448" s="741"/>
      <c r="DLG448" s="741"/>
      <c r="DLH448" s="741"/>
      <c r="DLI448" s="741"/>
      <c r="DLJ448" s="741"/>
      <c r="DLK448" s="741"/>
      <c r="DLL448" s="741"/>
      <c r="DLM448" s="741"/>
      <c r="DLN448" s="741"/>
      <c r="DLO448" s="741"/>
      <c r="DLP448" s="741"/>
      <c r="DLQ448" s="741"/>
      <c r="DLR448" s="741"/>
      <c r="DLS448" s="741"/>
      <c r="DLT448" s="741"/>
      <c r="DLU448" s="741"/>
      <c r="DLV448" s="741"/>
      <c r="DLW448" s="741"/>
      <c r="DLX448" s="741"/>
      <c r="DLY448" s="741"/>
      <c r="DLZ448" s="741"/>
      <c r="DMA448" s="741"/>
      <c r="DMB448" s="741"/>
      <c r="DMC448" s="741"/>
      <c r="DMD448" s="741"/>
      <c r="DME448" s="741"/>
      <c r="DMF448" s="741"/>
      <c r="DMG448" s="741"/>
      <c r="DMH448" s="741"/>
      <c r="DMI448" s="741"/>
      <c r="DMJ448" s="741"/>
      <c r="DMK448" s="741"/>
      <c r="DML448" s="741"/>
      <c r="DMM448" s="741"/>
      <c r="DMN448" s="741"/>
      <c r="DMO448" s="741"/>
      <c r="DMP448" s="741"/>
      <c r="DMQ448" s="741"/>
      <c r="DMR448" s="741"/>
      <c r="DMS448" s="741"/>
      <c r="DMT448" s="741"/>
      <c r="DMU448" s="741"/>
      <c r="DMV448" s="741"/>
      <c r="DMW448" s="741"/>
      <c r="DMX448" s="741"/>
      <c r="DMY448" s="741"/>
      <c r="DMZ448" s="741"/>
      <c r="DNA448" s="741"/>
      <c r="DNB448" s="741"/>
      <c r="DNC448" s="741"/>
      <c r="DND448" s="741"/>
      <c r="DNE448" s="741"/>
      <c r="DNF448" s="741"/>
      <c r="DNG448" s="741"/>
      <c r="DNH448" s="741"/>
      <c r="DNI448" s="741"/>
      <c r="DNJ448" s="741"/>
      <c r="DNK448" s="741"/>
      <c r="DNL448" s="741"/>
      <c r="DNM448" s="741"/>
      <c r="DNN448" s="741"/>
      <c r="DNO448" s="741"/>
      <c r="DNP448" s="741"/>
      <c r="DNQ448" s="741"/>
      <c r="DNR448" s="741"/>
      <c r="DNS448" s="741"/>
      <c r="DNT448" s="741"/>
      <c r="DNU448" s="741"/>
      <c r="DNV448" s="741"/>
      <c r="DNW448" s="741"/>
      <c r="DNX448" s="741"/>
      <c r="DNY448" s="741"/>
      <c r="DNZ448" s="741"/>
      <c r="DOA448" s="741"/>
      <c r="DOB448" s="741"/>
      <c r="DOC448" s="741"/>
      <c r="DOD448" s="741"/>
      <c r="DOE448" s="741"/>
      <c r="DOF448" s="741"/>
      <c r="DOG448" s="741"/>
      <c r="DOH448" s="741"/>
      <c r="DOI448" s="741"/>
      <c r="DOJ448" s="741"/>
      <c r="DOK448" s="741"/>
      <c r="DOL448" s="741"/>
      <c r="DOM448" s="741"/>
      <c r="DON448" s="741"/>
      <c r="DOO448" s="741"/>
      <c r="DOP448" s="741"/>
      <c r="DOQ448" s="741"/>
      <c r="DOR448" s="741"/>
      <c r="DOS448" s="741"/>
      <c r="DOT448" s="741"/>
      <c r="DOU448" s="741"/>
      <c r="DOV448" s="741"/>
      <c r="DOW448" s="741"/>
      <c r="DOX448" s="741"/>
      <c r="DOY448" s="741"/>
      <c r="DOZ448" s="741"/>
      <c r="DPA448" s="741"/>
      <c r="DPB448" s="741"/>
      <c r="DPC448" s="741"/>
      <c r="DPD448" s="741"/>
      <c r="DPE448" s="741"/>
      <c r="DPF448" s="741"/>
      <c r="DPG448" s="741"/>
      <c r="DPH448" s="741"/>
      <c r="DPI448" s="741"/>
      <c r="DPJ448" s="741"/>
      <c r="DPK448" s="741"/>
      <c r="DPL448" s="741"/>
      <c r="DPM448" s="741"/>
      <c r="DPN448" s="741"/>
      <c r="DPO448" s="741"/>
      <c r="DPP448" s="741"/>
      <c r="DPQ448" s="741"/>
      <c r="DPR448" s="741"/>
      <c r="DPS448" s="741"/>
      <c r="DPT448" s="741"/>
      <c r="DPU448" s="741"/>
      <c r="DPV448" s="741"/>
      <c r="DPW448" s="741"/>
      <c r="DPX448" s="741"/>
      <c r="DPY448" s="741"/>
      <c r="DPZ448" s="741"/>
      <c r="DQA448" s="741"/>
      <c r="DQB448" s="741"/>
      <c r="DQC448" s="741"/>
      <c r="DQD448" s="741"/>
      <c r="DQE448" s="741"/>
      <c r="DQF448" s="741"/>
      <c r="DQG448" s="741"/>
      <c r="DQH448" s="741"/>
      <c r="DQI448" s="741"/>
      <c r="DQJ448" s="741"/>
      <c r="DQK448" s="741"/>
      <c r="DQL448" s="741"/>
      <c r="DQM448" s="741"/>
      <c r="DQN448" s="741"/>
      <c r="DQO448" s="741"/>
      <c r="DQP448" s="741"/>
      <c r="DQQ448" s="741"/>
      <c r="DQR448" s="741"/>
      <c r="DQS448" s="741"/>
      <c r="DQT448" s="741"/>
      <c r="DQU448" s="741"/>
      <c r="DQV448" s="741"/>
      <c r="DQW448" s="741"/>
      <c r="DQX448" s="741"/>
      <c r="DQY448" s="741"/>
      <c r="DQZ448" s="741"/>
      <c r="DRA448" s="741"/>
      <c r="DRB448" s="741"/>
      <c r="DRC448" s="741"/>
      <c r="DRD448" s="741"/>
      <c r="DRE448" s="741"/>
      <c r="DRF448" s="741"/>
      <c r="DRG448" s="741"/>
      <c r="DRH448" s="741"/>
      <c r="DRI448" s="741"/>
      <c r="DRJ448" s="741"/>
      <c r="DRK448" s="741"/>
      <c r="DRL448" s="741"/>
      <c r="DRM448" s="741"/>
      <c r="DRN448" s="741"/>
      <c r="DRO448" s="741"/>
      <c r="DRP448" s="741"/>
      <c r="DRQ448" s="741"/>
      <c r="DRR448" s="741"/>
      <c r="DRS448" s="741"/>
      <c r="DRT448" s="741"/>
      <c r="DRU448" s="741"/>
      <c r="DRV448" s="741"/>
      <c r="DRW448" s="741"/>
      <c r="DRX448" s="741"/>
      <c r="DRY448" s="741"/>
      <c r="DRZ448" s="741"/>
      <c r="DSA448" s="741"/>
      <c r="DSB448" s="741"/>
      <c r="DSC448" s="741"/>
      <c r="DSD448" s="741"/>
      <c r="DSE448" s="741"/>
      <c r="DSF448" s="741"/>
      <c r="DSG448" s="741"/>
      <c r="DSH448" s="741"/>
      <c r="DSI448" s="741"/>
      <c r="DSJ448" s="741"/>
      <c r="DSK448" s="741"/>
      <c r="DSL448" s="741"/>
      <c r="DSM448" s="741"/>
      <c r="DSN448" s="741"/>
      <c r="DSO448" s="741"/>
      <c r="DSP448" s="741"/>
      <c r="DSQ448" s="741"/>
      <c r="DSR448" s="741"/>
      <c r="DSS448" s="741"/>
      <c r="DST448" s="741"/>
      <c r="DSU448" s="741"/>
      <c r="DSV448" s="741"/>
      <c r="DSW448" s="741"/>
      <c r="DSX448" s="741"/>
      <c r="DSY448" s="741"/>
      <c r="DSZ448" s="741"/>
      <c r="DTA448" s="741"/>
      <c r="DTB448" s="741"/>
      <c r="DTC448" s="741"/>
      <c r="DTD448" s="741"/>
      <c r="DTE448" s="741"/>
      <c r="DTF448" s="741"/>
      <c r="DTG448" s="741"/>
      <c r="DTH448" s="741"/>
      <c r="DTI448" s="741"/>
      <c r="DTJ448" s="741"/>
      <c r="DTK448" s="741"/>
      <c r="DTL448" s="741"/>
      <c r="DTM448" s="741"/>
      <c r="DTN448" s="741"/>
      <c r="DTO448" s="741"/>
      <c r="DTP448" s="741"/>
      <c r="DTQ448" s="741"/>
      <c r="DTR448" s="741"/>
      <c r="DTS448" s="741"/>
      <c r="DTT448" s="741"/>
      <c r="DTU448" s="741"/>
      <c r="DTV448" s="741"/>
      <c r="DTW448" s="741"/>
      <c r="DTX448" s="741"/>
      <c r="DTY448" s="741"/>
      <c r="DTZ448" s="741"/>
      <c r="DUA448" s="741"/>
      <c r="DUB448" s="741"/>
      <c r="DUC448" s="741"/>
      <c r="DUD448" s="741"/>
      <c r="DUE448" s="741"/>
      <c r="DUF448" s="741"/>
      <c r="DUG448" s="741"/>
      <c r="DUH448" s="741"/>
      <c r="DUI448" s="741"/>
      <c r="DUJ448" s="741"/>
      <c r="DUK448" s="741"/>
      <c r="DUL448" s="741"/>
      <c r="DUM448" s="741"/>
      <c r="DUN448" s="741"/>
      <c r="DUO448" s="741"/>
      <c r="DUP448" s="741"/>
      <c r="DUQ448" s="741"/>
      <c r="DUR448" s="741"/>
      <c r="DUS448" s="741"/>
      <c r="DUT448" s="741"/>
      <c r="DUU448" s="741"/>
      <c r="DUV448" s="741"/>
      <c r="DUW448" s="741"/>
      <c r="DUX448" s="741"/>
      <c r="DUY448" s="741"/>
      <c r="DUZ448" s="741"/>
      <c r="DVA448" s="741"/>
      <c r="DVB448" s="741"/>
      <c r="DVC448" s="741"/>
      <c r="DVD448" s="741"/>
      <c r="DVE448" s="741"/>
      <c r="DVF448" s="741"/>
      <c r="DVG448" s="741"/>
      <c r="DVH448" s="741"/>
      <c r="DVI448" s="741"/>
      <c r="DVJ448" s="741"/>
      <c r="DVK448" s="741"/>
      <c r="DVL448" s="741"/>
      <c r="DVM448" s="741"/>
      <c r="DVN448" s="741"/>
      <c r="DVO448" s="741"/>
      <c r="DVP448" s="741"/>
      <c r="DVQ448" s="741"/>
      <c r="DVR448" s="741"/>
      <c r="DVS448" s="741"/>
      <c r="DVT448" s="741"/>
      <c r="DVU448" s="741"/>
      <c r="DVV448" s="741"/>
      <c r="DVW448" s="741"/>
      <c r="DVX448" s="741"/>
      <c r="DVY448" s="741"/>
      <c r="DVZ448" s="741"/>
      <c r="DWA448" s="741"/>
      <c r="DWB448" s="741"/>
      <c r="DWC448" s="741"/>
      <c r="DWD448" s="741"/>
      <c r="DWE448" s="741"/>
      <c r="DWF448" s="741"/>
      <c r="DWG448" s="741"/>
      <c r="DWH448" s="741"/>
      <c r="DWI448" s="741"/>
      <c r="DWJ448" s="741"/>
      <c r="DWK448" s="741"/>
      <c r="DWL448" s="741"/>
      <c r="DWM448" s="741"/>
      <c r="DWN448" s="741"/>
      <c r="DWO448" s="741"/>
      <c r="DWP448" s="741"/>
      <c r="DWQ448" s="741"/>
      <c r="DWR448" s="741"/>
      <c r="DWS448" s="741"/>
      <c r="DWT448" s="741"/>
      <c r="DWU448" s="741"/>
      <c r="DWV448" s="741"/>
      <c r="DWW448" s="741"/>
      <c r="DWX448" s="741"/>
      <c r="DWY448" s="741"/>
      <c r="DWZ448" s="741"/>
      <c r="DXA448" s="741"/>
      <c r="DXB448" s="741"/>
      <c r="DXC448" s="741"/>
      <c r="DXD448" s="741"/>
      <c r="DXE448" s="741"/>
      <c r="DXF448" s="741"/>
      <c r="DXG448" s="741"/>
      <c r="DXH448" s="741"/>
      <c r="DXI448" s="741"/>
      <c r="DXJ448" s="741"/>
      <c r="DXK448" s="741"/>
      <c r="DXL448" s="741"/>
      <c r="DXM448" s="741"/>
      <c r="DXN448" s="741"/>
      <c r="DXO448" s="741"/>
      <c r="DXP448" s="741"/>
      <c r="DXQ448" s="741"/>
      <c r="DXR448" s="741"/>
      <c r="DXS448" s="741"/>
      <c r="DXT448" s="741"/>
      <c r="DXU448" s="741"/>
      <c r="DXV448" s="741"/>
      <c r="DXW448" s="741"/>
      <c r="DXX448" s="741"/>
      <c r="DXY448" s="741"/>
      <c r="DXZ448" s="741"/>
      <c r="DYA448" s="741"/>
      <c r="DYB448" s="741"/>
      <c r="DYC448" s="741"/>
      <c r="DYD448" s="741"/>
      <c r="DYE448" s="741"/>
      <c r="DYF448" s="741"/>
      <c r="DYG448" s="741"/>
      <c r="DYH448" s="741"/>
      <c r="DYI448" s="741"/>
      <c r="DYJ448" s="741"/>
      <c r="DYK448" s="741"/>
      <c r="DYL448" s="741"/>
      <c r="DYM448" s="741"/>
      <c r="DYN448" s="741"/>
      <c r="DYO448" s="741"/>
      <c r="DYP448" s="741"/>
      <c r="DYQ448" s="741"/>
      <c r="DYR448" s="741"/>
      <c r="DYS448" s="741"/>
      <c r="DYT448" s="741"/>
      <c r="DYU448" s="741"/>
      <c r="DYV448" s="741"/>
      <c r="DYW448" s="741"/>
      <c r="DYX448" s="741"/>
      <c r="DYY448" s="741"/>
      <c r="DYZ448" s="741"/>
      <c r="DZA448" s="741"/>
      <c r="DZB448" s="741"/>
      <c r="DZC448" s="741"/>
      <c r="DZD448" s="741"/>
      <c r="DZE448" s="741"/>
      <c r="DZF448" s="741"/>
      <c r="DZG448" s="741"/>
      <c r="DZH448" s="741"/>
      <c r="DZI448" s="741"/>
      <c r="DZJ448" s="741"/>
      <c r="DZK448" s="741"/>
      <c r="DZL448" s="741"/>
      <c r="DZM448" s="741"/>
      <c r="DZN448" s="741"/>
      <c r="DZO448" s="741"/>
      <c r="DZP448" s="741"/>
      <c r="DZQ448" s="741"/>
      <c r="DZR448" s="741"/>
      <c r="DZS448" s="741"/>
      <c r="DZT448" s="741"/>
      <c r="DZU448" s="741"/>
      <c r="DZV448" s="741"/>
      <c r="DZW448" s="741"/>
      <c r="DZX448" s="741"/>
      <c r="DZY448" s="741"/>
      <c r="DZZ448" s="741"/>
      <c r="EAA448" s="741"/>
      <c r="EAB448" s="741"/>
      <c r="EAC448" s="741"/>
      <c r="EAD448" s="741"/>
      <c r="EAE448" s="741"/>
      <c r="EAF448" s="741"/>
      <c r="EAG448" s="741"/>
      <c r="EAH448" s="741"/>
      <c r="EAI448" s="741"/>
      <c r="EAJ448" s="741"/>
      <c r="EAK448" s="741"/>
      <c r="EAL448" s="741"/>
      <c r="EAM448" s="741"/>
      <c r="EAN448" s="741"/>
      <c r="EAO448" s="741"/>
      <c r="EAP448" s="741"/>
      <c r="EAQ448" s="741"/>
      <c r="EAR448" s="741"/>
      <c r="EAS448" s="741"/>
      <c r="EAT448" s="741"/>
      <c r="EAU448" s="741"/>
      <c r="EAV448" s="741"/>
      <c r="EAW448" s="741"/>
      <c r="EAX448" s="741"/>
      <c r="EAY448" s="741"/>
      <c r="EAZ448" s="741"/>
      <c r="EBA448" s="741"/>
      <c r="EBB448" s="741"/>
      <c r="EBC448" s="741"/>
      <c r="EBD448" s="741"/>
      <c r="EBE448" s="741"/>
      <c r="EBF448" s="741"/>
      <c r="EBG448" s="741"/>
      <c r="EBH448" s="741"/>
      <c r="EBI448" s="741"/>
      <c r="EBJ448" s="741"/>
      <c r="EBK448" s="741"/>
      <c r="EBL448" s="741"/>
      <c r="EBM448" s="741"/>
      <c r="EBN448" s="741"/>
      <c r="EBO448" s="741"/>
      <c r="EBP448" s="741"/>
      <c r="EBQ448" s="741"/>
      <c r="EBR448" s="741"/>
      <c r="EBS448" s="741"/>
      <c r="EBT448" s="741"/>
      <c r="EBU448" s="741"/>
      <c r="EBV448" s="741"/>
      <c r="EBW448" s="741"/>
      <c r="EBX448" s="741"/>
      <c r="EBY448" s="741"/>
      <c r="EBZ448" s="741"/>
      <c r="ECA448" s="741"/>
      <c r="ECB448" s="741"/>
      <c r="ECC448" s="741"/>
      <c r="ECD448" s="741"/>
      <c r="ECE448" s="741"/>
      <c r="ECF448" s="741"/>
      <c r="ECG448" s="741"/>
      <c r="ECH448" s="741"/>
      <c r="ECI448" s="741"/>
      <c r="ECJ448" s="741"/>
      <c r="ECK448" s="741"/>
      <c r="ECL448" s="741"/>
      <c r="ECM448" s="741"/>
      <c r="ECN448" s="741"/>
      <c r="ECO448" s="741"/>
      <c r="ECP448" s="741"/>
      <c r="ECQ448" s="741"/>
      <c r="ECR448" s="741"/>
      <c r="ECS448" s="741"/>
      <c r="ECT448" s="741"/>
      <c r="ECU448" s="741"/>
      <c r="ECV448" s="741"/>
      <c r="ECW448" s="741"/>
      <c r="ECX448" s="741"/>
      <c r="ECY448" s="741"/>
      <c r="ECZ448" s="741"/>
      <c r="EDA448" s="741"/>
      <c r="EDB448" s="741"/>
      <c r="EDC448" s="741"/>
      <c r="EDD448" s="741"/>
      <c r="EDE448" s="741"/>
      <c r="EDF448" s="741"/>
      <c r="EDG448" s="741"/>
      <c r="EDH448" s="741"/>
      <c r="EDI448" s="741"/>
      <c r="EDJ448" s="741"/>
      <c r="EDK448" s="741"/>
      <c r="EDL448" s="741"/>
      <c r="EDM448" s="741"/>
      <c r="EDN448" s="741"/>
      <c r="EDO448" s="741"/>
      <c r="EDP448" s="741"/>
      <c r="EDQ448" s="741"/>
      <c r="EDR448" s="741"/>
      <c r="EDS448" s="741"/>
      <c r="EDT448" s="741"/>
      <c r="EDU448" s="741"/>
      <c r="EDV448" s="741"/>
      <c r="EDW448" s="741"/>
      <c r="EDX448" s="741"/>
      <c r="EDY448" s="741"/>
      <c r="EDZ448" s="741"/>
      <c r="EEA448" s="741"/>
      <c r="EEB448" s="741"/>
      <c r="EEC448" s="741"/>
      <c r="EED448" s="741"/>
      <c r="EEE448" s="741"/>
      <c r="EEF448" s="741"/>
      <c r="EEG448" s="741"/>
      <c r="EEH448" s="741"/>
      <c r="EEI448" s="741"/>
      <c r="EEJ448" s="741"/>
      <c r="EEK448" s="741"/>
      <c r="EEL448" s="741"/>
      <c r="EEM448" s="741"/>
      <c r="EEN448" s="741"/>
      <c r="EEO448" s="741"/>
      <c r="EEP448" s="741"/>
      <c r="EEQ448" s="741"/>
      <c r="EER448" s="741"/>
      <c r="EES448" s="741"/>
      <c r="EET448" s="741"/>
      <c r="EEU448" s="741"/>
      <c r="EEV448" s="741"/>
      <c r="EEW448" s="741"/>
      <c r="EEX448" s="741"/>
      <c r="EEY448" s="741"/>
      <c r="EEZ448" s="741"/>
      <c r="EFA448" s="741"/>
      <c r="EFB448" s="741"/>
      <c r="EFC448" s="741"/>
      <c r="EFD448" s="741"/>
      <c r="EFE448" s="741"/>
      <c r="EFF448" s="741"/>
      <c r="EFG448" s="741"/>
      <c r="EFH448" s="741"/>
      <c r="EFI448" s="741"/>
      <c r="EFJ448" s="741"/>
      <c r="EFK448" s="741"/>
      <c r="EFL448" s="741"/>
      <c r="EFM448" s="741"/>
      <c r="EFN448" s="741"/>
      <c r="EFO448" s="741"/>
      <c r="EFP448" s="741"/>
      <c r="EFQ448" s="741"/>
      <c r="EFR448" s="741"/>
      <c r="EFS448" s="741"/>
      <c r="EFT448" s="741"/>
      <c r="EFU448" s="741"/>
      <c r="EFV448" s="741"/>
      <c r="EFW448" s="741"/>
      <c r="EFX448" s="741"/>
      <c r="EFY448" s="741"/>
      <c r="EFZ448" s="741"/>
      <c r="EGA448" s="741"/>
      <c r="EGB448" s="741"/>
      <c r="EGC448" s="741"/>
      <c r="EGD448" s="741"/>
      <c r="EGE448" s="741"/>
      <c r="EGF448" s="741"/>
      <c r="EGG448" s="741"/>
      <c r="EGH448" s="741"/>
      <c r="EGI448" s="741"/>
      <c r="EGJ448" s="741"/>
      <c r="EGK448" s="741"/>
      <c r="EGL448" s="741"/>
      <c r="EGM448" s="741"/>
      <c r="EGN448" s="741"/>
      <c r="EGO448" s="741"/>
      <c r="EGP448" s="741"/>
      <c r="EGQ448" s="741"/>
      <c r="EGR448" s="741"/>
      <c r="EGS448" s="741"/>
      <c r="EGT448" s="741"/>
      <c r="EGU448" s="741"/>
      <c r="EGV448" s="741"/>
      <c r="EGW448" s="741"/>
      <c r="EGX448" s="741"/>
      <c r="EGY448" s="741"/>
      <c r="EGZ448" s="741"/>
      <c r="EHA448" s="741"/>
      <c r="EHB448" s="741"/>
      <c r="EHC448" s="741"/>
      <c r="EHD448" s="741"/>
      <c r="EHE448" s="741"/>
      <c r="EHF448" s="741"/>
      <c r="EHG448" s="741"/>
      <c r="EHH448" s="741"/>
      <c r="EHI448" s="741"/>
      <c r="EHJ448" s="741"/>
      <c r="EHK448" s="741"/>
      <c r="EHL448" s="741"/>
      <c r="EHM448" s="741"/>
      <c r="EHN448" s="741"/>
      <c r="EHO448" s="741"/>
      <c r="EHP448" s="741"/>
      <c r="EHQ448" s="741"/>
      <c r="EHR448" s="741"/>
      <c r="EHS448" s="741"/>
      <c r="EHT448" s="741"/>
      <c r="EHU448" s="741"/>
      <c r="EHV448" s="741"/>
      <c r="EHW448" s="741"/>
      <c r="EHX448" s="741"/>
      <c r="EHY448" s="741"/>
      <c r="EHZ448" s="741"/>
      <c r="EIA448" s="741"/>
      <c r="EIB448" s="741"/>
      <c r="EIC448" s="741"/>
      <c r="EID448" s="741"/>
      <c r="EIE448" s="741"/>
      <c r="EIF448" s="741"/>
      <c r="EIG448" s="741"/>
      <c r="EIH448" s="741"/>
      <c r="EII448" s="741"/>
      <c r="EIJ448" s="741"/>
      <c r="EIK448" s="741"/>
      <c r="EIL448" s="741"/>
      <c r="EIM448" s="741"/>
      <c r="EIN448" s="741"/>
      <c r="EIO448" s="741"/>
      <c r="EIP448" s="741"/>
      <c r="EIQ448" s="741"/>
      <c r="EIR448" s="741"/>
      <c r="EIS448" s="741"/>
      <c r="EIT448" s="741"/>
      <c r="EIU448" s="741"/>
      <c r="EIV448" s="741"/>
      <c r="EIW448" s="741"/>
      <c r="EIX448" s="741"/>
      <c r="EIY448" s="741"/>
      <c r="EIZ448" s="741"/>
      <c r="EJA448" s="741"/>
      <c r="EJB448" s="741"/>
      <c r="EJC448" s="741"/>
      <c r="EJD448" s="741"/>
      <c r="EJE448" s="741"/>
      <c r="EJF448" s="741"/>
      <c r="EJG448" s="741"/>
      <c r="EJH448" s="741"/>
      <c r="EJI448" s="741"/>
      <c r="EJJ448" s="741"/>
      <c r="EJK448" s="741"/>
      <c r="EJL448" s="741"/>
      <c r="EJM448" s="741"/>
      <c r="EJN448" s="741"/>
      <c r="EJO448" s="741"/>
      <c r="EJP448" s="741"/>
      <c r="EJQ448" s="741"/>
      <c r="EJR448" s="741"/>
      <c r="EJS448" s="741"/>
      <c r="EJT448" s="741"/>
      <c r="EJU448" s="741"/>
      <c r="EJV448" s="741"/>
      <c r="EJW448" s="741"/>
      <c r="EJX448" s="741"/>
      <c r="EJY448" s="741"/>
      <c r="EJZ448" s="741"/>
      <c r="EKA448" s="741"/>
      <c r="EKB448" s="741"/>
      <c r="EKC448" s="741"/>
      <c r="EKD448" s="741"/>
      <c r="EKE448" s="741"/>
      <c r="EKF448" s="741"/>
      <c r="EKG448" s="741"/>
      <c r="EKH448" s="741"/>
      <c r="EKI448" s="741"/>
      <c r="EKJ448" s="741"/>
      <c r="EKK448" s="741"/>
      <c r="EKL448" s="741"/>
      <c r="EKM448" s="741"/>
      <c r="EKN448" s="741"/>
      <c r="EKO448" s="741"/>
      <c r="EKP448" s="741"/>
      <c r="EKQ448" s="741"/>
      <c r="EKR448" s="741"/>
      <c r="EKS448" s="741"/>
      <c r="EKT448" s="741"/>
      <c r="EKU448" s="741"/>
      <c r="EKV448" s="741"/>
      <c r="EKW448" s="741"/>
      <c r="EKX448" s="741"/>
      <c r="EKY448" s="741"/>
      <c r="EKZ448" s="741"/>
      <c r="ELA448" s="741"/>
      <c r="ELB448" s="741"/>
      <c r="ELC448" s="741"/>
      <c r="ELD448" s="741"/>
      <c r="ELE448" s="741"/>
      <c r="ELF448" s="741"/>
      <c r="ELG448" s="741"/>
      <c r="ELH448" s="741"/>
      <c r="ELI448" s="741"/>
      <c r="ELJ448" s="741"/>
      <c r="ELK448" s="741"/>
      <c r="ELL448" s="741"/>
      <c r="ELM448" s="741"/>
      <c r="ELN448" s="741"/>
      <c r="ELO448" s="741"/>
      <c r="ELP448" s="741"/>
      <c r="ELQ448" s="741"/>
      <c r="ELR448" s="741"/>
      <c r="ELS448" s="741"/>
      <c r="ELT448" s="741"/>
      <c r="ELU448" s="741"/>
      <c r="ELV448" s="741"/>
      <c r="ELW448" s="741"/>
      <c r="ELX448" s="741"/>
      <c r="ELY448" s="741"/>
      <c r="ELZ448" s="741"/>
      <c r="EMA448" s="741"/>
      <c r="EMB448" s="741"/>
      <c r="EMC448" s="741"/>
      <c r="EMD448" s="741"/>
      <c r="EME448" s="741"/>
      <c r="EMF448" s="741"/>
      <c r="EMG448" s="741"/>
      <c r="EMH448" s="741"/>
      <c r="EMI448" s="741"/>
      <c r="EMJ448" s="741"/>
      <c r="EMK448" s="741"/>
      <c r="EML448" s="741"/>
      <c r="EMM448" s="741"/>
      <c r="EMN448" s="741"/>
      <c r="EMO448" s="741"/>
      <c r="EMP448" s="741"/>
      <c r="EMQ448" s="741"/>
      <c r="EMR448" s="741"/>
      <c r="EMS448" s="741"/>
      <c r="EMT448" s="741"/>
      <c r="EMU448" s="741"/>
      <c r="EMV448" s="741"/>
      <c r="EMW448" s="741"/>
      <c r="EMX448" s="741"/>
      <c r="EMY448" s="741"/>
      <c r="EMZ448" s="741"/>
      <c r="ENA448" s="741"/>
      <c r="ENB448" s="741"/>
      <c r="ENC448" s="741"/>
      <c r="END448" s="741"/>
      <c r="ENE448" s="741"/>
      <c r="ENF448" s="741"/>
      <c r="ENG448" s="741"/>
      <c r="ENH448" s="741"/>
      <c r="ENI448" s="741"/>
      <c r="ENJ448" s="741"/>
      <c r="ENK448" s="741"/>
      <c r="ENL448" s="741"/>
      <c r="ENM448" s="741"/>
      <c r="ENN448" s="741"/>
      <c r="ENO448" s="741"/>
      <c r="ENP448" s="741"/>
      <c r="ENQ448" s="741"/>
      <c r="ENR448" s="741"/>
      <c r="ENS448" s="741"/>
      <c r="ENT448" s="741"/>
      <c r="ENU448" s="741"/>
      <c r="ENV448" s="741"/>
      <c r="ENW448" s="741"/>
      <c r="ENX448" s="741"/>
      <c r="ENY448" s="741"/>
      <c r="ENZ448" s="741"/>
      <c r="EOA448" s="741"/>
      <c r="EOB448" s="741"/>
      <c r="EOC448" s="741"/>
      <c r="EOD448" s="741"/>
      <c r="EOE448" s="741"/>
      <c r="EOF448" s="741"/>
      <c r="EOG448" s="741"/>
      <c r="EOH448" s="741"/>
      <c r="EOI448" s="741"/>
      <c r="EOJ448" s="741"/>
      <c r="EOK448" s="741"/>
      <c r="EOL448" s="741"/>
      <c r="EOM448" s="741"/>
      <c r="EON448" s="741"/>
      <c r="EOO448" s="741"/>
      <c r="EOP448" s="741"/>
      <c r="EOQ448" s="741"/>
      <c r="EOR448" s="741"/>
      <c r="EOS448" s="741"/>
      <c r="EOT448" s="741"/>
      <c r="EOU448" s="741"/>
      <c r="EOV448" s="741"/>
      <c r="EOW448" s="741"/>
      <c r="EOX448" s="741"/>
      <c r="EOY448" s="741"/>
      <c r="EOZ448" s="741"/>
      <c r="EPA448" s="741"/>
      <c r="EPB448" s="741"/>
      <c r="EPC448" s="741"/>
      <c r="EPD448" s="741"/>
      <c r="EPE448" s="741"/>
      <c r="EPF448" s="741"/>
      <c r="EPG448" s="741"/>
      <c r="EPH448" s="741"/>
      <c r="EPI448" s="741"/>
      <c r="EPJ448" s="741"/>
      <c r="EPK448" s="741"/>
      <c r="EPL448" s="741"/>
      <c r="EPM448" s="741"/>
      <c r="EPN448" s="741"/>
      <c r="EPO448" s="741"/>
      <c r="EPP448" s="741"/>
      <c r="EPQ448" s="741"/>
      <c r="EPR448" s="741"/>
      <c r="EPS448" s="741"/>
      <c r="EPT448" s="741"/>
      <c r="EPU448" s="741"/>
      <c r="EPV448" s="741"/>
      <c r="EPW448" s="741"/>
      <c r="EPX448" s="741"/>
      <c r="EPY448" s="741"/>
      <c r="EPZ448" s="741"/>
      <c r="EQA448" s="741"/>
      <c r="EQB448" s="741"/>
      <c r="EQC448" s="741"/>
      <c r="EQD448" s="741"/>
      <c r="EQE448" s="741"/>
      <c r="EQF448" s="741"/>
      <c r="EQG448" s="741"/>
      <c r="EQH448" s="741"/>
      <c r="EQI448" s="741"/>
      <c r="EQJ448" s="741"/>
      <c r="EQK448" s="741"/>
      <c r="EQL448" s="741"/>
      <c r="EQM448" s="741"/>
      <c r="EQN448" s="741"/>
      <c r="EQO448" s="741"/>
      <c r="EQP448" s="741"/>
      <c r="EQQ448" s="741"/>
      <c r="EQR448" s="741"/>
      <c r="EQS448" s="741"/>
      <c r="EQT448" s="741"/>
      <c r="EQU448" s="741"/>
      <c r="EQV448" s="741"/>
      <c r="EQW448" s="741"/>
      <c r="EQX448" s="741"/>
      <c r="EQY448" s="741"/>
      <c r="EQZ448" s="741"/>
      <c r="ERA448" s="741"/>
      <c r="ERB448" s="741"/>
      <c r="ERC448" s="741"/>
      <c r="ERD448" s="741"/>
      <c r="ERE448" s="741"/>
      <c r="ERF448" s="741"/>
      <c r="ERG448" s="741"/>
      <c r="ERH448" s="741"/>
      <c r="ERI448" s="741"/>
      <c r="ERJ448" s="741"/>
      <c r="ERK448" s="741"/>
      <c r="ERL448" s="741"/>
      <c r="ERM448" s="741"/>
      <c r="ERN448" s="741"/>
      <c r="ERO448" s="741"/>
      <c r="ERP448" s="741"/>
      <c r="ERQ448" s="741"/>
      <c r="ERR448" s="741"/>
      <c r="ERS448" s="741"/>
      <c r="ERT448" s="741"/>
      <c r="ERU448" s="741"/>
      <c r="ERV448" s="741"/>
      <c r="ERW448" s="741"/>
      <c r="ERX448" s="741"/>
      <c r="ERY448" s="741"/>
      <c r="ERZ448" s="741"/>
      <c r="ESA448" s="741"/>
      <c r="ESB448" s="741"/>
      <c r="ESC448" s="741"/>
      <c r="ESD448" s="741"/>
      <c r="ESE448" s="741"/>
      <c r="ESF448" s="741"/>
      <c r="ESG448" s="741"/>
      <c r="ESH448" s="741"/>
      <c r="ESI448" s="741"/>
      <c r="ESJ448" s="741"/>
      <c r="ESK448" s="741"/>
      <c r="ESL448" s="741"/>
      <c r="ESM448" s="741"/>
      <c r="ESN448" s="741"/>
      <c r="ESO448" s="741"/>
      <c r="ESP448" s="741"/>
      <c r="ESQ448" s="741"/>
      <c r="ESR448" s="741"/>
      <c r="ESS448" s="741"/>
      <c r="EST448" s="741"/>
      <c r="ESU448" s="741"/>
      <c r="ESV448" s="741"/>
      <c r="ESW448" s="741"/>
      <c r="ESX448" s="741"/>
      <c r="ESY448" s="741"/>
      <c r="ESZ448" s="741"/>
      <c r="ETA448" s="741"/>
      <c r="ETB448" s="741"/>
      <c r="ETC448" s="741"/>
      <c r="ETD448" s="741"/>
      <c r="ETE448" s="741"/>
      <c r="ETF448" s="741"/>
      <c r="ETG448" s="741"/>
      <c r="ETH448" s="741"/>
      <c r="ETI448" s="741"/>
      <c r="ETJ448" s="741"/>
      <c r="ETK448" s="741"/>
      <c r="ETL448" s="741"/>
      <c r="ETM448" s="741"/>
      <c r="ETN448" s="741"/>
      <c r="ETO448" s="741"/>
      <c r="ETP448" s="741"/>
      <c r="ETQ448" s="741"/>
      <c r="ETR448" s="741"/>
      <c r="ETS448" s="741"/>
      <c r="ETT448" s="741"/>
      <c r="ETU448" s="741"/>
      <c r="ETV448" s="741"/>
      <c r="ETW448" s="741"/>
      <c r="ETX448" s="741"/>
      <c r="ETY448" s="741"/>
      <c r="ETZ448" s="741"/>
      <c r="EUA448" s="741"/>
      <c r="EUB448" s="741"/>
      <c r="EUC448" s="741"/>
      <c r="EUD448" s="741"/>
      <c r="EUE448" s="741"/>
      <c r="EUF448" s="741"/>
      <c r="EUG448" s="741"/>
      <c r="EUH448" s="741"/>
      <c r="EUI448" s="741"/>
      <c r="EUJ448" s="741"/>
      <c r="EUK448" s="741"/>
      <c r="EUL448" s="741"/>
      <c r="EUM448" s="741"/>
      <c r="EUN448" s="741"/>
      <c r="EUO448" s="741"/>
      <c r="EUP448" s="741"/>
      <c r="EUQ448" s="741"/>
      <c r="EUR448" s="741"/>
      <c r="EUS448" s="741"/>
      <c r="EUT448" s="741"/>
      <c r="EUU448" s="741"/>
      <c r="EUV448" s="741"/>
      <c r="EUW448" s="741"/>
      <c r="EUX448" s="741"/>
      <c r="EUY448" s="741"/>
      <c r="EUZ448" s="741"/>
      <c r="EVA448" s="741"/>
      <c r="EVB448" s="741"/>
      <c r="EVC448" s="741"/>
      <c r="EVD448" s="741"/>
      <c r="EVE448" s="741"/>
      <c r="EVF448" s="741"/>
      <c r="EVG448" s="741"/>
      <c r="EVH448" s="741"/>
      <c r="EVI448" s="741"/>
      <c r="EVJ448" s="741"/>
      <c r="EVK448" s="741"/>
      <c r="EVL448" s="741"/>
      <c r="EVM448" s="741"/>
      <c r="EVN448" s="741"/>
      <c r="EVO448" s="741"/>
      <c r="EVP448" s="741"/>
      <c r="EVQ448" s="741"/>
      <c r="EVR448" s="741"/>
      <c r="EVS448" s="741"/>
      <c r="EVT448" s="741"/>
      <c r="EVU448" s="741"/>
      <c r="EVV448" s="741"/>
      <c r="EVW448" s="741"/>
      <c r="EVX448" s="741"/>
      <c r="EVY448" s="741"/>
      <c r="EVZ448" s="741"/>
      <c r="EWA448" s="741"/>
      <c r="EWB448" s="741"/>
      <c r="EWC448" s="741"/>
      <c r="EWD448" s="741"/>
      <c r="EWE448" s="741"/>
      <c r="EWF448" s="741"/>
      <c r="EWG448" s="741"/>
      <c r="EWH448" s="741"/>
      <c r="EWI448" s="741"/>
      <c r="EWJ448" s="741"/>
      <c r="EWK448" s="741"/>
      <c r="EWL448" s="741"/>
      <c r="EWM448" s="741"/>
      <c r="EWN448" s="741"/>
      <c r="EWO448" s="741"/>
      <c r="EWP448" s="741"/>
      <c r="EWQ448" s="741"/>
      <c r="EWR448" s="741"/>
      <c r="EWS448" s="741"/>
      <c r="EWT448" s="741"/>
      <c r="EWU448" s="741"/>
      <c r="EWV448" s="741"/>
      <c r="EWW448" s="741"/>
      <c r="EWX448" s="741"/>
      <c r="EWY448" s="741"/>
      <c r="EWZ448" s="741"/>
      <c r="EXA448" s="741"/>
      <c r="EXB448" s="741"/>
      <c r="EXC448" s="741"/>
      <c r="EXD448" s="741"/>
      <c r="EXE448" s="741"/>
      <c r="EXF448" s="741"/>
      <c r="EXG448" s="741"/>
      <c r="EXH448" s="741"/>
      <c r="EXI448" s="741"/>
      <c r="EXJ448" s="741"/>
      <c r="EXK448" s="741"/>
      <c r="EXL448" s="741"/>
      <c r="EXM448" s="741"/>
      <c r="EXN448" s="741"/>
      <c r="EXO448" s="741"/>
      <c r="EXP448" s="741"/>
      <c r="EXQ448" s="741"/>
      <c r="EXR448" s="741"/>
      <c r="EXS448" s="741"/>
      <c r="EXT448" s="741"/>
      <c r="EXU448" s="741"/>
      <c r="EXV448" s="741"/>
      <c r="EXW448" s="741"/>
      <c r="EXX448" s="741"/>
      <c r="EXY448" s="741"/>
      <c r="EXZ448" s="741"/>
      <c r="EYA448" s="741"/>
      <c r="EYB448" s="741"/>
      <c r="EYC448" s="741"/>
      <c r="EYD448" s="741"/>
      <c r="EYE448" s="741"/>
      <c r="EYF448" s="741"/>
      <c r="EYG448" s="741"/>
      <c r="EYH448" s="741"/>
      <c r="EYI448" s="741"/>
      <c r="EYJ448" s="741"/>
      <c r="EYK448" s="741"/>
      <c r="EYL448" s="741"/>
      <c r="EYM448" s="741"/>
      <c r="EYN448" s="741"/>
      <c r="EYO448" s="741"/>
      <c r="EYP448" s="741"/>
      <c r="EYQ448" s="741"/>
      <c r="EYR448" s="741"/>
      <c r="EYS448" s="741"/>
      <c r="EYT448" s="741"/>
      <c r="EYU448" s="741"/>
      <c r="EYV448" s="741"/>
      <c r="EYW448" s="741"/>
      <c r="EYX448" s="741"/>
      <c r="EYY448" s="741"/>
      <c r="EYZ448" s="741"/>
      <c r="EZA448" s="741"/>
      <c r="EZB448" s="741"/>
      <c r="EZC448" s="741"/>
      <c r="EZD448" s="741"/>
      <c r="EZE448" s="741"/>
      <c r="EZF448" s="741"/>
      <c r="EZG448" s="741"/>
      <c r="EZH448" s="741"/>
      <c r="EZI448" s="741"/>
      <c r="EZJ448" s="741"/>
      <c r="EZK448" s="741"/>
      <c r="EZL448" s="741"/>
      <c r="EZM448" s="741"/>
      <c r="EZN448" s="741"/>
      <c r="EZO448" s="741"/>
      <c r="EZP448" s="741"/>
      <c r="EZQ448" s="741"/>
      <c r="EZR448" s="741"/>
      <c r="EZS448" s="741"/>
      <c r="EZT448" s="741"/>
      <c r="EZU448" s="741"/>
      <c r="EZV448" s="741"/>
      <c r="EZW448" s="741"/>
      <c r="EZX448" s="741"/>
      <c r="EZY448" s="741"/>
      <c r="EZZ448" s="741"/>
      <c r="FAA448" s="741"/>
      <c r="FAB448" s="741"/>
      <c r="FAC448" s="741"/>
      <c r="FAD448" s="741"/>
      <c r="FAE448" s="741"/>
      <c r="FAF448" s="741"/>
      <c r="FAG448" s="741"/>
      <c r="FAH448" s="741"/>
      <c r="FAI448" s="741"/>
      <c r="FAJ448" s="741"/>
      <c r="FAK448" s="741"/>
      <c r="FAL448" s="741"/>
      <c r="FAM448" s="741"/>
      <c r="FAN448" s="741"/>
      <c r="FAO448" s="741"/>
      <c r="FAP448" s="741"/>
      <c r="FAQ448" s="741"/>
      <c r="FAR448" s="741"/>
      <c r="FAS448" s="741"/>
      <c r="FAT448" s="741"/>
      <c r="FAU448" s="741"/>
      <c r="FAV448" s="741"/>
      <c r="FAW448" s="741"/>
      <c r="FAX448" s="741"/>
      <c r="FAY448" s="741"/>
      <c r="FAZ448" s="741"/>
      <c r="FBA448" s="741"/>
      <c r="FBB448" s="741"/>
      <c r="FBC448" s="741"/>
      <c r="FBD448" s="741"/>
      <c r="FBE448" s="741"/>
      <c r="FBF448" s="741"/>
      <c r="FBG448" s="741"/>
      <c r="FBH448" s="741"/>
      <c r="FBI448" s="741"/>
      <c r="FBJ448" s="741"/>
      <c r="FBK448" s="741"/>
      <c r="FBL448" s="741"/>
      <c r="FBM448" s="741"/>
      <c r="FBN448" s="741"/>
      <c r="FBO448" s="741"/>
      <c r="FBP448" s="741"/>
      <c r="FBQ448" s="741"/>
      <c r="FBR448" s="741"/>
      <c r="FBS448" s="741"/>
      <c r="FBT448" s="741"/>
      <c r="FBU448" s="741"/>
      <c r="FBV448" s="741"/>
      <c r="FBW448" s="741"/>
      <c r="FBX448" s="741"/>
      <c r="FBY448" s="741"/>
      <c r="FBZ448" s="741"/>
      <c r="FCA448" s="741"/>
      <c r="FCB448" s="741"/>
      <c r="FCC448" s="741"/>
      <c r="FCD448" s="741"/>
      <c r="FCE448" s="741"/>
      <c r="FCF448" s="741"/>
      <c r="FCG448" s="741"/>
      <c r="FCH448" s="741"/>
      <c r="FCI448" s="741"/>
      <c r="FCJ448" s="741"/>
      <c r="FCK448" s="741"/>
      <c r="FCL448" s="741"/>
      <c r="FCM448" s="741"/>
      <c r="FCN448" s="741"/>
      <c r="FCO448" s="741"/>
      <c r="FCP448" s="741"/>
      <c r="FCQ448" s="741"/>
      <c r="FCR448" s="741"/>
      <c r="FCS448" s="741"/>
      <c r="FCT448" s="741"/>
      <c r="FCU448" s="741"/>
      <c r="FCV448" s="741"/>
      <c r="FCW448" s="741"/>
      <c r="FCX448" s="741"/>
      <c r="FCY448" s="741"/>
      <c r="FCZ448" s="741"/>
      <c r="FDA448" s="741"/>
      <c r="FDB448" s="741"/>
      <c r="FDC448" s="741"/>
      <c r="FDD448" s="741"/>
      <c r="FDE448" s="741"/>
      <c r="FDF448" s="741"/>
      <c r="FDG448" s="741"/>
      <c r="FDH448" s="741"/>
      <c r="FDI448" s="741"/>
      <c r="FDJ448" s="741"/>
      <c r="FDK448" s="741"/>
      <c r="FDL448" s="741"/>
      <c r="FDM448" s="741"/>
      <c r="FDN448" s="741"/>
      <c r="FDO448" s="741"/>
      <c r="FDP448" s="741"/>
      <c r="FDQ448" s="741"/>
      <c r="FDR448" s="741"/>
      <c r="FDS448" s="741"/>
      <c r="FDT448" s="741"/>
      <c r="FDU448" s="741"/>
      <c r="FDV448" s="741"/>
      <c r="FDW448" s="741"/>
      <c r="FDX448" s="741"/>
      <c r="FDY448" s="741"/>
      <c r="FDZ448" s="741"/>
      <c r="FEA448" s="741"/>
      <c r="FEB448" s="741"/>
      <c r="FEC448" s="741"/>
      <c r="FED448" s="741"/>
      <c r="FEE448" s="741"/>
      <c r="FEF448" s="741"/>
      <c r="FEG448" s="741"/>
      <c r="FEH448" s="741"/>
      <c r="FEI448" s="741"/>
      <c r="FEJ448" s="741"/>
      <c r="FEK448" s="741"/>
      <c r="FEL448" s="741"/>
      <c r="FEM448" s="741"/>
      <c r="FEN448" s="741"/>
      <c r="FEO448" s="741"/>
      <c r="FEP448" s="741"/>
      <c r="FEQ448" s="741"/>
      <c r="FER448" s="741"/>
      <c r="FES448" s="741"/>
      <c r="FET448" s="741"/>
      <c r="FEU448" s="741"/>
      <c r="FEV448" s="741"/>
      <c r="FEW448" s="741"/>
      <c r="FEX448" s="741"/>
      <c r="FEY448" s="741"/>
      <c r="FEZ448" s="741"/>
      <c r="FFA448" s="741"/>
      <c r="FFB448" s="741"/>
      <c r="FFC448" s="741"/>
      <c r="FFD448" s="741"/>
      <c r="FFE448" s="741"/>
      <c r="FFF448" s="741"/>
      <c r="FFG448" s="741"/>
      <c r="FFH448" s="741"/>
      <c r="FFI448" s="741"/>
      <c r="FFJ448" s="741"/>
      <c r="FFK448" s="741"/>
      <c r="FFL448" s="741"/>
      <c r="FFM448" s="741"/>
      <c r="FFN448" s="741"/>
      <c r="FFO448" s="741"/>
      <c r="FFP448" s="741"/>
      <c r="FFQ448" s="741"/>
      <c r="FFR448" s="741"/>
      <c r="FFS448" s="741"/>
      <c r="FFT448" s="741"/>
      <c r="FFU448" s="741"/>
      <c r="FFV448" s="741"/>
      <c r="FFW448" s="741"/>
      <c r="FFX448" s="741"/>
      <c r="FFY448" s="741"/>
      <c r="FFZ448" s="741"/>
      <c r="FGA448" s="741"/>
      <c r="FGB448" s="741"/>
      <c r="FGC448" s="741"/>
      <c r="FGD448" s="741"/>
      <c r="FGE448" s="741"/>
      <c r="FGF448" s="741"/>
      <c r="FGG448" s="741"/>
      <c r="FGH448" s="741"/>
      <c r="FGI448" s="741"/>
      <c r="FGJ448" s="741"/>
      <c r="FGK448" s="741"/>
      <c r="FGL448" s="741"/>
      <c r="FGM448" s="741"/>
      <c r="FGN448" s="741"/>
      <c r="FGO448" s="741"/>
      <c r="FGP448" s="741"/>
      <c r="FGQ448" s="741"/>
      <c r="FGR448" s="741"/>
      <c r="FGS448" s="741"/>
      <c r="FGT448" s="741"/>
      <c r="FGU448" s="741"/>
      <c r="FGV448" s="741"/>
      <c r="FGW448" s="741"/>
      <c r="FGX448" s="741"/>
      <c r="FGY448" s="741"/>
      <c r="FGZ448" s="741"/>
      <c r="FHA448" s="741"/>
      <c r="FHB448" s="741"/>
      <c r="FHC448" s="741"/>
      <c r="FHD448" s="741"/>
      <c r="FHE448" s="741"/>
      <c r="FHF448" s="741"/>
      <c r="FHG448" s="741"/>
      <c r="FHH448" s="741"/>
      <c r="FHI448" s="741"/>
      <c r="FHJ448" s="741"/>
      <c r="FHK448" s="741"/>
      <c r="FHL448" s="741"/>
      <c r="FHM448" s="741"/>
      <c r="FHN448" s="741"/>
      <c r="FHO448" s="741"/>
      <c r="FHP448" s="741"/>
      <c r="FHQ448" s="741"/>
      <c r="FHR448" s="741"/>
      <c r="FHS448" s="741"/>
      <c r="FHT448" s="741"/>
      <c r="FHU448" s="741"/>
      <c r="FHV448" s="741"/>
      <c r="FHW448" s="741"/>
      <c r="FHX448" s="741"/>
      <c r="FHY448" s="741"/>
      <c r="FHZ448" s="741"/>
      <c r="FIA448" s="741"/>
      <c r="FIB448" s="741"/>
      <c r="FIC448" s="741"/>
      <c r="FID448" s="741"/>
      <c r="FIE448" s="741"/>
      <c r="FIF448" s="741"/>
      <c r="FIG448" s="741"/>
      <c r="FIH448" s="741"/>
      <c r="FII448" s="741"/>
      <c r="FIJ448" s="741"/>
      <c r="FIK448" s="741"/>
      <c r="FIL448" s="741"/>
      <c r="FIM448" s="741"/>
      <c r="FIN448" s="741"/>
      <c r="FIO448" s="741"/>
      <c r="FIP448" s="741"/>
      <c r="FIQ448" s="741"/>
      <c r="FIR448" s="741"/>
      <c r="FIS448" s="741"/>
      <c r="FIT448" s="741"/>
      <c r="FIU448" s="741"/>
      <c r="FIV448" s="741"/>
      <c r="FIW448" s="741"/>
      <c r="FIX448" s="741"/>
      <c r="FIY448" s="741"/>
      <c r="FIZ448" s="741"/>
      <c r="FJA448" s="741"/>
      <c r="FJB448" s="741"/>
      <c r="FJC448" s="741"/>
      <c r="FJD448" s="741"/>
      <c r="FJE448" s="741"/>
      <c r="FJF448" s="741"/>
      <c r="FJG448" s="741"/>
      <c r="FJH448" s="741"/>
      <c r="FJI448" s="741"/>
      <c r="FJJ448" s="741"/>
      <c r="FJK448" s="741"/>
      <c r="FJL448" s="741"/>
      <c r="FJM448" s="741"/>
      <c r="FJN448" s="741"/>
      <c r="FJO448" s="741"/>
      <c r="FJP448" s="741"/>
      <c r="FJQ448" s="741"/>
      <c r="FJR448" s="741"/>
      <c r="FJS448" s="741"/>
      <c r="FJT448" s="741"/>
      <c r="FJU448" s="741"/>
      <c r="FJV448" s="741"/>
      <c r="FJW448" s="741"/>
      <c r="FJX448" s="741"/>
      <c r="FJY448" s="741"/>
      <c r="FJZ448" s="741"/>
      <c r="FKA448" s="741"/>
      <c r="FKB448" s="741"/>
      <c r="FKC448" s="741"/>
      <c r="FKD448" s="741"/>
      <c r="FKE448" s="741"/>
      <c r="FKF448" s="741"/>
      <c r="FKG448" s="741"/>
      <c r="FKH448" s="741"/>
      <c r="FKI448" s="741"/>
      <c r="FKJ448" s="741"/>
      <c r="FKK448" s="741"/>
      <c r="FKL448" s="741"/>
      <c r="FKM448" s="741"/>
      <c r="FKN448" s="741"/>
      <c r="FKO448" s="741"/>
      <c r="FKP448" s="741"/>
      <c r="FKQ448" s="741"/>
      <c r="FKR448" s="741"/>
      <c r="FKS448" s="741"/>
      <c r="FKT448" s="741"/>
      <c r="FKU448" s="741"/>
      <c r="FKV448" s="741"/>
      <c r="FKW448" s="741"/>
      <c r="FKX448" s="741"/>
      <c r="FKY448" s="741"/>
      <c r="FKZ448" s="741"/>
      <c r="FLA448" s="741"/>
      <c r="FLB448" s="741"/>
      <c r="FLC448" s="741"/>
      <c r="FLD448" s="741"/>
      <c r="FLE448" s="741"/>
      <c r="FLF448" s="741"/>
      <c r="FLG448" s="741"/>
      <c r="FLH448" s="741"/>
      <c r="FLI448" s="741"/>
      <c r="FLJ448" s="741"/>
      <c r="FLK448" s="741"/>
      <c r="FLL448" s="741"/>
      <c r="FLM448" s="741"/>
      <c r="FLN448" s="741"/>
      <c r="FLO448" s="741"/>
      <c r="FLP448" s="741"/>
      <c r="FLQ448" s="741"/>
      <c r="FLR448" s="741"/>
      <c r="FLS448" s="741"/>
      <c r="FLT448" s="741"/>
      <c r="FLU448" s="741"/>
      <c r="FLV448" s="741"/>
      <c r="FLW448" s="741"/>
      <c r="FLX448" s="741"/>
      <c r="FLY448" s="741"/>
      <c r="FLZ448" s="741"/>
      <c r="FMA448" s="741"/>
      <c r="FMB448" s="741"/>
      <c r="FMC448" s="741"/>
      <c r="FMD448" s="741"/>
      <c r="FME448" s="741"/>
      <c r="FMF448" s="741"/>
      <c r="FMG448" s="741"/>
      <c r="FMH448" s="741"/>
      <c r="FMI448" s="741"/>
      <c r="FMJ448" s="741"/>
      <c r="FMK448" s="741"/>
      <c r="FML448" s="741"/>
      <c r="FMM448" s="741"/>
      <c r="FMN448" s="741"/>
      <c r="FMO448" s="741"/>
      <c r="FMP448" s="741"/>
      <c r="FMQ448" s="741"/>
      <c r="FMR448" s="741"/>
      <c r="FMS448" s="741"/>
      <c r="FMT448" s="741"/>
      <c r="FMU448" s="741"/>
      <c r="FMV448" s="741"/>
      <c r="FMW448" s="741"/>
      <c r="FMX448" s="741"/>
      <c r="FMY448" s="741"/>
      <c r="FMZ448" s="741"/>
      <c r="FNA448" s="741"/>
      <c r="FNB448" s="741"/>
      <c r="FNC448" s="741"/>
      <c r="FND448" s="741"/>
      <c r="FNE448" s="741"/>
      <c r="FNF448" s="741"/>
      <c r="FNG448" s="741"/>
      <c r="FNH448" s="741"/>
      <c r="FNI448" s="741"/>
      <c r="FNJ448" s="741"/>
      <c r="FNK448" s="741"/>
      <c r="FNL448" s="741"/>
      <c r="FNM448" s="741"/>
      <c r="FNN448" s="741"/>
      <c r="FNO448" s="741"/>
      <c r="FNP448" s="741"/>
      <c r="FNQ448" s="741"/>
      <c r="FNR448" s="741"/>
      <c r="FNS448" s="741"/>
      <c r="FNT448" s="741"/>
      <c r="FNU448" s="741"/>
      <c r="FNV448" s="741"/>
      <c r="FNW448" s="741"/>
      <c r="FNX448" s="741"/>
      <c r="FNY448" s="741"/>
      <c r="FNZ448" s="741"/>
      <c r="FOA448" s="741"/>
      <c r="FOB448" s="741"/>
      <c r="FOC448" s="741"/>
      <c r="FOD448" s="741"/>
      <c r="FOE448" s="741"/>
      <c r="FOF448" s="741"/>
      <c r="FOG448" s="741"/>
      <c r="FOH448" s="741"/>
      <c r="FOI448" s="741"/>
      <c r="FOJ448" s="741"/>
      <c r="FOK448" s="741"/>
      <c r="FOL448" s="741"/>
      <c r="FOM448" s="741"/>
      <c r="FON448" s="741"/>
      <c r="FOO448" s="741"/>
      <c r="FOP448" s="741"/>
      <c r="FOQ448" s="741"/>
      <c r="FOR448" s="741"/>
      <c r="FOS448" s="741"/>
      <c r="FOT448" s="741"/>
      <c r="FOU448" s="741"/>
      <c r="FOV448" s="741"/>
      <c r="FOW448" s="741"/>
      <c r="FOX448" s="741"/>
      <c r="FOY448" s="741"/>
      <c r="FOZ448" s="741"/>
      <c r="FPA448" s="741"/>
      <c r="FPB448" s="741"/>
      <c r="FPC448" s="741"/>
      <c r="FPD448" s="741"/>
      <c r="FPE448" s="741"/>
      <c r="FPF448" s="741"/>
      <c r="FPG448" s="741"/>
      <c r="FPH448" s="741"/>
      <c r="FPI448" s="741"/>
      <c r="FPJ448" s="741"/>
      <c r="FPK448" s="741"/>
      <c r="FPL448" s="741"/>
      <c r="FPM448" s="741"/>
      <c r="FPN448" s="741"/>
      <c r="FPO448" s="741"/>
      <c r="FPP448" s="741"/>
      <c r="FPQ448" s="741"/>
      <c r="FPR448" s="741"/>
      <c r="FPS448" s="741"/>
      <c r="FPT448" s="741"/>
      <c r="FPU448" s="741"/>
      <c r="FPV448" s="741"/>
      <c r="FPW448" s="741"/>
      <c r="FPX448" s="741"/>
      <c r="FPY448" s="741"/>
      <c r="FPZ448" s="741"/>
      <c r="FQA448" s="741"/>
      <c r="FQB448" s="741"/>
      <c r="FQC448" s="741"/>
      <c r="FQD448" s="741"/>
      <c r="FQE448" s="741"/>
      <c r="FQF448" s="741"/>
      <c r="FQG448" s="741"/>
      <c r="FQH448" s="741"/>
      <c r="FQI448" s="741"/>
      <c r="FQJ448" s="741"/>
      <c r="FQK448" s="741"/>
      <c r="FQL448" s="741"/>
      <c r="FQM448" s="741"/>
      <c r="FQN448" s="741"/>
      <c r="FQO448" s="741"/>
      <c r="FQP448" s="741"/>
      <c r="FQQ448" s="741"/>
      <c r="FQR448" s="741"/>
      <c r="FQS448" s="741"/>
      <c r="FQT448" s="741"/>
      <c r="FQU448" s="741"/>
      <c r="FQV448" s="741"/>
      <c r="FQW448" s="741"/>
      <c r="FQX448" s="741"/>
      <c r="FQY448" s="741"/>
      <c r="FQZ448" s="741"/>
      <c r="FRA448" s="741"/>
      <c r="FRB448" s="741"/>
      <c r="FRC448" s="741"/>
      <c r="FRD448" s="741"/>
      <c r="FRE448" s="741"/>
      <c r="FRF448" s="741"/>
      <c r="FRG448" s="741"/>
      <c r="FRH448" s="741"/>
      <c r="FRI448" s="741"/>
      <c r="FRJ448" s="741"/>
      <c r="FRK448" s="741"/>
      <c r="FRL448" s="741"/>
      <c r="FRM448" s="741"/>
      <c r="FRN448" s="741"/>
      <c r="FRO448" s="741"/>
      <c r="FRP448" s="741"/>
      <c r="FRQ448" s="741"/>
      <c r="FRR448" s="741"/>
      <c r="FRS448" s="741"/>
      <c r="FRT448" s="741"/>
      <c r="FRU448" s="741"/>
      <c r="FRV448" s="741"/>
      <c r="FRW448" s="741"/>
      <c r="FRX448" s="741"/>
      <c r="FRY448" s="741"/>
      <c r="FRZ448" s="741"/>
      <c r="FSA448" s="741"/>
      <c r="FSB448" s="741"/>
      <c r="FSC448" s="741"/>
      <c r="FSD448" s="741"/>
      <c r="FSE448" s="741"/>
      <c r="FSF448" s="741"/>
      <c r="FSG448" s="741"/>
      <c r="FSH448" s="741"/>
      <c r="FSI448" s="741"/>
      <c r="FSJ448" s="741"/>
      <c r="FSK448" s="741"/>
      <c r="FSL448" s="741"/>
      <c r="FSM448" s="741"/>
      <c r="FSN448" s="741"/>
      <c r="FSO448" s="741"/>
      <c r="FSP448" s="741"/>
      <c r="FSQ448" s="741"/>
      <c r="FSR448" s="741"/>
      <c r="FSS448" s="741"/>
      <c r="FST448" s="741"/>
      <c r="FSU448" s="741"/>
      <c r="FSV448" s="741"/>
      <c r="FSW448" s="741"/>
      <c r="FSX448" s="741"/>
      <c r="FSY448" s="741"/>
      <c r="FSZ448" s="741"/>
      <c r="FTA448" s="741"/>
      <c r="FTB448" s="741"/>
      <c r="FTC448" s="741"/>
      <c r="FTD448" s="741"/>
      <c r="FTE448" s="741"/>
      <c r="FTF448" s="741"/>
      <c r="FTG448" s="741"/>
      <c r="FTH448" s="741"/>
      <c r="FTI448" s="741"/>
      <c r="FTJ448" s="741"/>
      <c r="FTK448" s="741"/>
      <c r="FTL448" s="741"/>
      <c r="FTM448" s="741"/>
      <c r="FTN448" s="741"/>
      <c r="FTO448" s="741"/>
      <c r="FTP448" s="741"/>
      <c r="FTQ448" s="741"/>
      <c r="FTR448" s="741"/>
      <c r="FTS448" s="741"/>
      <c r="FTT448" s="741"/>
      <c r="FTU448" s="741"/>
      <c r="FTV448" s="741"/>
      <c r="FTW448" s="741"/>
      <c r="FTX448" s="741"/>
      <c r="FTY448" s="741"/>
      <c r="FTZ448" s="741"/>
      <c r="FUA448" s="741"/>
      <c r="FUB448" s="741"/>
      <c r="FUC448" s="741"/>
      <c r="FUD448" s="741"/>
      <c r="FUE448" s="741"/>
      <c r="FUF448" s="741"/>
      <c r="FUG448" s="741"/>
      <c r="FUH448" s="741"/>
      <c r="FUI448" s="741"/>
      <c r="FUJ448" s="741"/>
      <c r="FUK448" s="741"/>
      <c r="FUL448" s="741"/>
      <c r="FUM448" s="741"/>
      <c r="FUN448" s="741"/>
      <c r="FUO448" s="741"/>
      <c r="FUP448" s="741"/>
      <c r="FUQ448" s="741"/>
      <c r="FUR448" s="741"/>
      <c r="FUS448" s="741"/>
      <c r="FUT448" s="741"/>
      <c r="FUU448" s="741"/>
      <c r="FUV448" s="741"/>
      <c r="FUW448" s="741"/>
      <c r="FUX448" s="741"/>
      <c r="FUY448" s="741"/>
      <c r="FUZ448" s="741"/>
      <c r="FVA448" s="741"/>
      <c r="FVB448" s="741"/>
      <c r="FVC448" s="741"/>
      <c r="FVD448" s="741"/>
      <c r="FVE448" s="741"/>
      <c r="FVF448" s="741"/>
      <c r="FVG448" s="741"/>
      <c r="FVH448" s="741"/>
      <c r="FVI448" s="741"/>
      <c r="FVJ448" s="741"/>
      <c r="FVK448" s="741"/>
      <c r="FVL448" s="741"/>
      <c r="FVM448" s="741"/>
      <c r="FVN448" s="741"/>
      <c r="FVO448" s="741"/>
      <c r="FVP448" s="741"/>
      <c r="FVQ448" s="741"/>
      <c r="FVR448" s="741"/>
      <c r="FVS448" s="741"/>
      <c r="FVT448" s="741"/>
      <c r="FVU448" s="741"/>
      <c r="FVV448" s="741"/>
      <c r="FVW448" s="741"/>
      <c r="FVX448" s="741"/>
      <c r="FVY448" s="741"/>
      <c r="FVZ448" s="741"/>
      <c r="FWA448" s="741"/>
      <c r="FWB448" s="741"/>
      <c r="FWC448" s="741"/>
      <c r="FWD448" s="741"/>
      <c r="FWE448" s="741"/>
      <c r="FWF448" s="741"/>
      <c r="FWG448" s="741"/>
      <c r="FWH448" s="741"/>
      <c r="FWI448" s="741"/>
      <c r="FWJ448" s="741"/>
      <c r="FWK448" s="741"/>
      <c r="FWL448" s="741"/>
      <c r="FWM448" s="741"/>
      <c r="FWN448" s="741"/>
      <c r="FWO448" s="741"/>
      <c r="FWP448" s="741"/>
      <c r="FWQ448" s="741"/>
      <c r="FWR448" s="741"/>
      <c r="FWS448" s="741"/>
      <c r="FWT448" s="741"/>
      <c r="FWU448" s="741"/>
      <c r="FWV448" s="741"/>
      <c r="FWW448" s="741"/>
      <c r="FWX448" s="741"/>
      <c r="FWY448" s="741"/>
      <c r="FWZ448" s="741"/>
      <c r="FXA448" s="741"/>
      <c r="FXB448" s="741"/>
      <c r="FXC448" s="741"/>
      <c r="FXD448" s="741"/>
      <c r="FXE448" s="741"/>
      <c r="FXF448" s="741"/>
      <c r="FXG448" s="741"/>
      <c r="FXH448" s="741"/>
      <c r="FXI448" s="741"/>
      <c r="FXJ448" s="741"/>
      <c r="FXK448" s="741"/>
      <c r="FXL448" s="741"/>
      <c r="FXM448" s="741"/>
      <c r="FXN448" s="741"/>
      <c r="FXO448" s="741"/>
      <c r="FXP448" s="741"/>
      <c r="FXQ448" s="741"/>
      <c r="FXR448" s="741"/>
      <c r="FXS448" s="741"/>
      <c r="FXT448" s="741"/>
      <c r="FXU448" s="741"/>
      <c r="FXV448" s="741"/>
      <c r="FXW448" s="741"/>
      <c r="FXX448" s="741"/>
      <c r="FXY448" s="741"/>
      <c r="FXZ448" s="741"/>
      <c r="FYA448" s="741"/>
      <c r="FYB448" s="741"/>
      <c r="FYC448" s="741"/>
      <c r="FYD448" s="741"/>
      <c r="FYE448" s="741"/>
      <c r="FYF448" s="741"/>
      <c r="FYG448" s="741"/>
      <c r="FYH448" s="741"/>
      <c r="FYI448" s="741"/>
      <c r="FYJ448" s="741"/>
      <c r="FYK448" s="741"/>
      <c r="FYL448" s="741"/>
      <c r="FYM448" s="741"/>
      <c r="FYN448" s="741"/>
      <c r="FYO448" s="741"/>
      <c r="FYP448" s="741"/>
      <c r="FYQ448" s="741"/>
      <c r="FYR448" s="741"/>
      <c r="FYS448" s="741"/>
      <c r="FYT448" s="741"/>
      <c r="FYU448" s="741"/>
      <c r="FYV448" s="741"/>
      <c r="FYW448" s="741"/>
      <c r="FYX448" s="741"/>
      <c r="FYY448" s="741"/>
      <c r="FYZ448" s="741"/>
      <c r="FZA448" s="741"/>
      <c r="FZB448" s="741"/>
      <c r="FZC448" s="741"/>
      <c r="FZD448" s="741"/>
      <c r="FZE448" s="741"/>
      <c r="FZF448" s="741"/>
      <c r="FZG448" s="741"/>
      <c r="FZH448" s="741"/>
      <c r="FZI448" s="741"/>
      <c r="FZJ448" s="741"/>
      <c r="FZK448" s="741"/>
      <c r="FZL448" s="741"/>
      <c r="FZM448" s="741"/>
      <c r="FZN448" s="741"/>
      <c r="FZO448" s="741"/>
      <c r="FZP448" s="741"/>
      <c r="FZQ448" s="741"/>
      <c r="FZR448" s="741"/>
      <c r="FZS448" s="741"/>
      <c r="FZT448" s="741"/>
      <c r="FZU448" s="741"/>
      <c r="FZV448" s="741"/>
      <c r="FZW448" s="741"/>
      <c r="FZX448" s="741"/>
      <c r="FZY448" s="741"/>
      <c r="FZZ448" s="741"/>
      <c r="GAA448" s="741"/>
      <c r="GAB448" s="741"/>
      <c r="GAC448" s="741"/>
      <c r="GAD448" s="741"/>
      <c r="GAE448" s="741"/>
      <c r="GAF448" s="741"/>
      <c r="GAG448" s="741"/>
      <c r="GAH448" s="741"/>
      <c r="GAI448" s="741"/>
      <c r="GAJ448" s="741"/>
      <c r="GAK448" s="741"/>
      <c r="GAL448" s="741"/>
      <c r="GAM448" s="741"/>
      <c r="GAN448" s="741"/>
      <c r="GAO448" s="741"/>
      <c r="GAP448" s="741"/>
      <c r="GAQ448" s="741"/>
      <c r="GAR448" s="741"/>
      <c r="GAS448" s="741"/>
      <c r="GAT448" s="741"/>
      <c r="GAU448" s="741"/>
      <c r="GAV448" s="741"/>
      <c r="GAW448" s="741"/>
      <c r="GAX448" s="741"/>
      <c r="GAY448" s="741"/>
      <c r="GAZ448" s="741"/>
      <c r="GBA448" s="741"/>
      <c r="GBB448" s="741"/>
      <c r="GBC448" s="741"/>
      <c r="GBD448" s="741"/>
      <c r="GBE448" s="741"/>
      <c r="GBF448" s="741"/>
      <c r="GBG448" s="741"/>
      <c r="GBH448" s="741"/>
      <c r="GBI448" s="741"/>
      <c r="GBJ448" s="741"/>
      <c r="GBK448" s="741"/>
      <c r="GBL448" s="741"/>
      <c r="GBM448" s="741"/>
      <c r="GBN448" s="741"/>
      <c r="GBO448" s="741"/>
      <c r="GBP448" s="741"/>
      <c r="GBQ448" s="741"/>
      <c r="GBR448" s="741"/>
      <c r="GBS448" s="741"/>
      <c r="GBT448" s="741"/>
      <c r="GBU448" s="741"/>
      <c r="GBV448" s="741"/>
      <c r="GBW448" s="741"/>
      <c r="GBX448" s="741"/>
      <c r="GBY448" s="741"/>
      <c r="GBZ448" s="741"/>
      <c r="GCA448" s="741"/>
      <c r="GCB448" s="741"/>
      <c r="GCC448" s="741"/>
      <c r="GCD448" s="741"/>
      <c r="GCE448" s="741"/>
      <c r="GCF448" s="741"/>
      <c r="GCG448" s="741"/>
      <c r="GCH448" s="741"/>
      <c r="GCI448" s="741"/>
      <c r="GCJ448" s="741"/>
      <c r="GCK448" s="741"/>
      <c r="GCL448" s="741"/>
      <c r="GCM448" s="741"/>
      <c r="GCN448" s="741"/>
      <c r="GCO448" s="741"/>
      <c r="GCP448" s="741"/>
      <c r="GCQ448" s="741"/>
      <c r="GCR448" s="741"/>
      <c r="GCS448" s="741"/>
      <c r="GCT448" s="741"/>
      <c r="GCU448" s="741"/>
      <c r="GCV448" s="741"/>
      <c r="GCW448" s="741"/>
      <c r="GCX448" s="741"/>
      <c r="GCY448" s="741"/>
      <c r="GCZ448" s="741"/>
      <c r="GDA448" s="741"/>
      <c r="GDB448" s="741"/>
      <c r="GDC448" s="741"/>
      <c r="GDD448" s="741"/>
      <c r="GDE448" s="741"/>
      <c r="GDF448" s="741"/>
      <c r="GDG448" s="741"/>
      <c r="GDH448" s="741"/>
      <c r="GDI448" s="741"/>
      <c r="GDJ448" s="741"/>
      <c r="GDK448" s="741"/>
      <c r="GDL448" s="741"/>
      <c r="GDM448" s="741"/>
      <c r="GDN448" s="741"/>
      <c r="GDO448" s="741"/>
      <c r="GDP448" s="741"/>
      <c r="GDQ448" s="741"/>
      <c r="GDR448" s="741"/>
      <c r="GDS448" s="741"/>
      <c r="GDT448" s="741"/>
      <c r="GDU448" s="741"/>
      <c r="GDV448" s="741"/>
      <c r="GDW448" s="741"/>
      <c r="GDX448" s="741"/>
      <c r="GDY448" s="741"/>
      <c r="GDZ448" s="741"/>
      <c r="GEA448" s="741"/>
      <c r="GEB448" s="741"/>
      <c r="GEC448" s="741"/>
      <c r="GED448" s="741"/>
      <c r="GEE448" s="741"/>
      <c r="GEF448" s="741"/>
      <c r="GEG448" s="741"/>
      <c r="GEH448" s="741"/>
      <c r="GEI448" s="741"/>
      <c r="GEJ448" s="741"/>
      <c r="GEK448" s="741"/>
      <c r="GEL448" s="741"/>
      <c r="GEM448" s="741"/>
      <c r="GEN448" s="741"/>
      <c r="GEO448" s="741"/>
      <c r="GEP448" s="741"/>
      <c r="GEQ448" s="741"/>
      <c r="GER448" s="741"/>
      <c r="GES448" s="741"/>
      <c r="GET448" s="741"/>
      <c r="GEU448" s="741"/>
      <c r="GEV448" s="741"/>
      <c r="GEW448" s="741"/>
      <c r="GEX448" s="741"/>
      <c r="GEY448" s="741"/>
      <c r="GEZ448" s="741"/>
      <c r="GFA448" s="741"/>
      <c r="GFB448" s="741"/>
      <c r="GFC448" s="741"/>
      <c r="GFD448" s="741"/>
      <c r="GFE448" s="741"/>
      <c r="GFF448" s="741"/>
      <c r="GFG448" s="741"/>
      <c r="GFH448" s="741"/>
      <c r="GFI448" s="741"/>
      <c r="GFJ448" s="741"/>
      <c r="GFK448" s="741"/>
      <c r="GFL448" s="741"/>
      <c r="GFM448" s="741"/>
      <c r="GFN448" s="741"/>
      <c r="GFO448" s="741"/>
      <c r="GFP448" s="741"/>
      <c r="GFQ448" s="741"/>
      <c r="GFR448" s="741"/>
      <c r="GFS448" s="741"/>
      <c r="GFT448" s="741"/>
      <c r="GFU448" s="741"/>
      <c r="GFV448" s="741"/>
      <c r="GFW448" s="741"/>
      <c r="GFX448" s="741"/>
      <c r="GFY448" s="741"/>
      <c r="GFZ448" s="741"/>
      <c r="GGA448" s="741"/>
      <c r="GGB448" s="741"/>
      <c r="GGC448" s="741"/>
      <c r="GGD448" s="741"/>
      <c r="GGE448" s="741"/>
      <c r="GGF448" s="741"/>
      <c r="GGG448" s="741"/>
      <c r="GGH448" s="741"/>
      <c r="GGI448" s="741"/>
      <c r="GGJ448" s="741"/>
      <c r="GGK448" s="741"/>
      <c r="GGL448" s="741"/>
      <c r="GGM448" s="741"/>
      <c r="GGN448" s="741"/>
      <c r="GGO448" s="741"/>
      <c r="GGP448" s="741"/>
      <c r="GGQ448" s="741"/>
      <c r="GGR448" s="741"/>
      <c r="GGS448" s="741"/>
      <c r="GGT448" s="741"/>
      <c r="GGU448" s="741"/>
      <c r="GGV448" s="741"/>
      <c r="GGW448" s="741"/>
      <c r="GGX448" s="741"/>
      <c r="GGY448" s="741"/>
      <c r="GGZ448" s="741"/>
      <c r="GHA448" s="741"/>
      <c r="GHB448" s="741"/>
      <c r="GHC448" s="741"/>
      <c r="GHD448" s="741"/>
      <c r="GHE448" s="741"/>
      <c r="GHF448" s="741"/>
      <c r="GHG448" s="741"/>
      <c r="GHH448" s="741"/>
      <c r="GHI448" s="741"/>
      <c r="GHJ448" s="741"/>
      <c r="GHK448" s="741"/>
      <c r="GHL448" s="741"/>
      <c r="GHM448" s="741"/>
      <c r="GHN448" s="741"/>
      <c r="GHO448" s="741"/>
      <c r="GHP448" s="741"/>
      <c r="GHQ448" s="741"/>
      <c r="GHR448" s="741"/>
      <c r="GHS448" s="741"/>
      <c r="GHT448" s="741"/>
      <c r="GHU448" s="741"/>
      <c r="GHV448" s="741"/>
      <c r="GHW448" s="741"/>
      <c r="GHX448" s="741"/>
      <c r="GHY448" s="741"/>
      <c r="GHZ448" s="741"/>
      <c r="GIA448" s="741"/>
      <c r="GIB448" s="741"/>
      <c r="GIC448" s="741"/>
      <c r="GID448" s="741"/>
      <c r="GIE448" s="741"/>
      <c r="GIF448" s="741"/>
      <c r="GIG448" s="741"/>
      <c r="GIH448" s="741"/>
      <c r="GII448" s="741"/>
      <c r="GIJ448" s="741"/>
      <c r="GIK448" s="741"/>
      <c r="GIL448" s="741"/>
      <c r="GIM448" s="741"/>
      <c r="GIN448" s="741"/>
      <c r="GIO448" s="741"/>
      <c r="GIP448" s="741"/>
      <c r="GIQ448" s="741"/>
      <c r="GIR448" s="741"/>
      <c r="GIS448" s="741"/>
      <c r="GIT448" s="741"/>
      <c r="GIU448" s="741"/>
      <c r="GIV448" s="741"/>
      <c r="GIW448" s="741"/>
      <c r="GIX448" s="741"/>
      <c r="GIY448" s="741"/>
      <c r="GIZ448" s="741"/>
      <c r="GJA448" s="741"/>
      <c r="GJB448" s="741"/>
      <c r="GJC448" s="741"/>
      <c r="GJD448" s="741"/>
      <c r="GJE448" s="741"/>
      <c r="GJF448" s="741"/>
      <c r="GJG448" s="741"/>
      <c r="GJH448" s="741"/>
      <c r="GJI448" s="741"/>
      <c r="GJJ448" s="741"/>
      <c r="GJK448" s="741"/>
      <c r="GJL448" s="741"/>
      <c r="GJM448" s="741"/>
      <c r="GJN448" s="741"/>
      <c r="GJO448" s="741"/>
      <c r="GJP448" s="741"/>
      <c r="GJQ448" s="741"/>
      <c r="GJR448" s="741"/>
      <c r="GJS448" s="741"/>
      <c r="GJT448" s="741"/>
      <c r="GJU448" s="741"/>
      <c r="GJV448" s="741"/>
      <c r="GJW448" s="741"/>
      <c r="GJX448" s="741"/>
      <c r="GJY448" s="741"/>
      <c r="GJZ448" s="741"/>
      <c r="GKA448" s="741"/>
      <c r="GKB448" s="741"/>
      <c r="GKC448" s="741"/>
      <c r="GKD448" s="741"/>
      <c r="GKE448" s="741"/>
      <c r="GKF448" s="741"/>
      <c r="GKG448" s="741"/>
      <c r="GKH448" s="741"/>
      <c r="GKI448" s="741"/>
      <c r="GKJ448" s="741"/>
      <c r="GKK448" s="741"/>
      <c r="GKL448" s="741"/>
      <c r="GKM448" s="741"/>
      <c r="GKN448" s="741"/>
      <c r="GKO448" s="741"/>
      <c r="GKP448" s="741"/>
      <c r="GKQ448" s="741"/>
      <c r="GKR448" s="741"/>
      <c r="GKS448" s="741"/>
      <c r="GKT448" s="741"/>
      <c r="GKU448" s="741"/>
      <c r="GKV448" s="741"/>
      <c r="GKW448" s="741"/>
      <c r="GKX448" s="741"/>
      <c r="GKY448" s="741"/>
      <c r="GKZ448" s="741"/>
      <c r="GLA448" s="741"/>
      <c r="GLB448" s="741"/>
      <c r="GLC448" s="741"/>
      <c r="GLD448" s="741"/>
      <c r="GLE448" s="741"/>
      <c r="GLF448" s="741"/>
      <c r="GLG448" s="741"/>
      <c r="GLH448" s="741"/>
      <c r="GLI448" s="741"/>
      <c r="GLJ448" s="741"/>
      <c r="GLK448" s="741"/>
      <c r="GLL448" s="741"/>
      <c r="GLM448" s="741"/>
      <c r="GLN448" s="741"/>
      <c r="GLO448" s="741"/>
      <c r="GLP448" s="741"/>
      <c r="GLQ448" s="741"/>
      <c r="GLR448" s="741"/>
      <c r="GLS448" s="741"/>
      <c r="GLT448" s="741"/>
      <c r="GLU448" s="741"/>
      <c r="GLV448" s="741"/>
      <c r="GLW448" s="741"/>
      <c r="GLX448" s="741"/>
      <c r="GLY448" s="741"/>
      <c r="GLZ448" s="741"/>
      <c r="GMA448" s="741"/>
      <c r="GMB448" s="741"/>
      <c r="GMC448" s="741"/>
      <c r="GMD448" s="741"/>
      <c r="GME448" s="741"/>
      <c r="GMF448" s="741"/>
      <c r="GMG448" s="741"/>
      <c r="GMH448" s="741"/>
      <c r="GMI448" s="741"/>
      <c r="GMJ448" s="741"/>
      <c r="GMK448" s="741"/>
      <c r="GML448" s="741"/>
      <c r="GMM448" s="741"/>
      <c r="GMN448" s="741"/>
      <c r="GMO448" s="741"/>
      <c r="GMP448" s="741"/>
      <c r="GMQ448" s="741"/>
      <c r="GMR448" s="741"/>
      <c r="GMS448" s="741"/>
      <c r="GMT448" s="741"/>
      <c r="GMU448" s="741"/>
      <c r="GMV448" s="741"/>
      <c r="GMW448" s="741"/>
      <c r="GMX448" s="741"/>
      <c r="GMY448" s="741"/>
      <c r="GMZ448" s="741"/>
      <c r="GNA448" s="741"/>
      <c r="GNB448" s="741"/>
      <c r="GNC448" s="741"/>
      <c r="GND448" s="741"/>
      <c r="GNE448" s="741"/>
      <c r="GNF448" s="741"/>
      <c r="GNG448" s="741"/>
      <c r="GNH448" s="741"/>
      <c r="GNI448" s="741"/>
      <c r="GNJ448" s="741"/>
      <c r="GNK448" s="741"/>
      <c r="GNL448" s="741"/>
      <c r="GNM448" s="741"/>
      <c r="GNN448" s="741"/>
      <c r="GNO448" s="741"/>
      <c r="GNP448" s="741"/>
      <c r="GNQ448" s="741"/>
      <c r="GNR448" s="741"/>
      <c r="GNS448" s="741"/>
      <c r="GNT448" s="741"/>
      <c r="GNU448" s="741"/>
      <c r="GNV448" s="741"/>
      <c r="GNW448" s="741"/>
      <c r="GNX448" s="741"/>
      <c r="GNY448" s="741"/>
      <c r="GNZ448" s="741"/>
      <c r="GOA448" s="741"/>
      <c r="GOB448" s="741"/>
      <c r="GOC448" s="741"/>
      <c r="GOD448" s="741"/>
      <c r="GOE448" s="741"/>
      <c r="GOF448" s="741"/>
      <c r="GOG448" s="741"/>
      <c r="GOH448" s="741"/>
      <c r="GOI448" s="741"/>
      <c r="GOJ448" s="741"/>
      <c r="GOK448" s="741"/>
      <c r="GOL448" s="741"/>
      <c r="GOM448" s="741"/>
      <c r="GON448" s="741"/>
      <c r="GOO448" s="741"/>
      <c r="GOP448" s="741"/>
      <c r="GOQ448" s="741"/>
      <c r="GOR448" s="741"/>
      <c r="GOS448" s="741"/>
      <c r="GOT448" s="741"/>
      <c r="GOU448" s="741"/>
      <c r="GOV448" s="741"/>
      <c r="GOW448" s="741"/>
      <c r="GOX448" s="741"/>
      <c r="GOY448" s="741"/>
      <c r="GOZ448" s="741"/>
      <c r="GPA448" s="741"/>
      <c r="GPB448" s="741"/>
      <c r="GPC448" s="741"/>
      <c r="GPD448" s="741"/>
      <c r="GPE448" s="741"/>
      <c r="GPF448" s="741"/>
      <c r="GPG448" s="741"/>
      <c r="GPH448" s="741"/>
      <c r="GPI448" s="741"/>
      <c r="GPJ448" s="741"/>
      <c r="GPK448" s="741"/>
      <c r="GPL448" s="741"/>
      <c r="GPM448" s="741"/>
      <c r="GPN448" s="741"/>
      <c r="GPO448" s="741"/>
      <c r="GPP448" s="741"/>
      <c r="GPQ448" s="741"/>
      <c r="GPR448" s="741"/>
      <c r="GPS448" s="741"/>
      <c r="GPT448" s="741"/>
      <c r="GPU448" s="741"/>
      <c r="GPV448" s="741"/>
      <c r="GPW448" s="741"/>
      <c r="GPX448" s="741"/>
      <c r="GPY448" s="741"/>
      <c r="GPZ448" s="741"/>
      <c r="GQA448" s="741"/>
      <c r="GQB448" s="741"/>
      <c r="GQC448" s="741"/>
      <c r="GQD448" s="741"/>
      <c r="GQE448" s="741"/>
      <c r="GQF448" s="741"/>
      <c r="GQG448" s="741"/>
      <c r="GQH448" s="741"/>
      <c r="GQI448" s="741"/>
      <c r="GQJ448" s="741"/>
      <c r="GQK448" s="741"/>
      <c r="GQL448" s="741"/>
      <c r="GQM448" s="741"/>
      <c r="GQN448" s="741"/>
      <c r="GQO448" s="741"/>
      <c r="GQP448" s="741"/>
      <c r="GQQ448" s="741"/>
      <c r="GQR448" s="741"/>
      <c r="GQS448" s="741"/>
      <c r="GQT448" s="741"/>
      <c r="GQU448" s="741"/>
      <c r="GQV448" s="741"/>
      <c r="GQW448" s="741"/>
      <c r="GQX448" s="741"/>
      <c r="GQY448" s="741"/>
      <c r="GQZ448" s="741"/>
      <c r="GRA448" s="741"/>
      <c r="GRB448" s="741"/>
      <c r="GRC448" s="741"/>
      <c r="GRD448" s="741"/>
      <c r="GRE448" s="741"/>
      <c r="GRF448" s="741"/>
      <c r="GRG448" s="741"/>
      <c r="GRH448" s="741"/>
      <c r="GRI448" s="741"/>
      <c r="GRJ448" s="741"/>
      <c r="GRK448" s="741"/>
      <c r="GRL448" s="741"/>
      <c r="GRM448" s="741"/>
      <c r="GRN448" s="741"/>
      <c r="GRO448" s="741"/>
      <c r="GRP448" s="741"/>
      <c r="GRQ448" s="741"/>
      <c r="GRR448" s="741"/>
      <c r="GRS448" s="741"/>
      <c r="GRT448" s="741"/>
      <c r="GRU448" s="741"/>
      <c r="GRV448" s="741"/>
      <c r="GRW448" s="741"/>
      <c r="GRX448" s="741"/>
      <c r="GRY448" s="741"/>
      <c r="GRZ448" s="741"/>
      <c r="GSA448" s="741"/>
      <c r="GSB448" s="741"/>
      <c r="GSC448" s="741"/>
      <c r="GSD448" s="741"/>
      <c r="GSE448" s="741"/>
      <c r="GSF448" s="741"/>
      <c r="GSG448" s="741"/>
      <c r="GSH448" s="741"/>
      <c r="GSI448" s="741"/>
      <c r="GSJ448" s="741"/>
      <c r="GSK448" s="741"/>
      <c r="GSL448" s="741"/>
      <c r="GSM448" s="741"/>
      <c r="GSN448" s="741"/>
      <c r="GSO448" s="741"/>
      <c r="GSP448" s="741"/>
      <c r="GSQ448" s="741"/>
      <c r="GSR448" s="741"/>
      <c r="GSS448" s="741"/>
      <c r="GST448" s="741"/>
      <c r="GSU448" s="741"/>
      <c r="GSV448" s="741"/>
      <c r="GSW448" s="741"/>
      <c r="GSX448" s="741"/>
      <c r="GSY448" s="741"/>
      <c r="GSZ448" s="741"/>
      <c r="GTA448" s="741"/>
      <c r="GTB448" s="741"/>
      <c r="GTC448" s="741"/>
      <c r="GTD448" s="741"/>
      <c r="GTE448" s="741"/>
      <c r="GTF448" s="741"/>
      <c r="GTG448" s="741"/>
      <c r="GTH448" s="741"/>
      <c r="GTI448" s="741"/>
      <c r="GTJ448" s="741"/>
      <c r="GTK448" s="741"/>
      <c r="GTL448" s="741"/>
      <c r="GTM448" s="741"/>
      <c r="GTN448" s="741"/>
      <c r="GTO448" s="741"/>
      <c r="GTP448" s="741"/>
      <c r="GTQ448" s="741"/>
      <c r="GTR448" s="741"/>
      <c r="GTS448" s="741"/>
      <c r="GTT448" s="741"/>
      <c r="GTU448" s="741"/>
      <c r="GTV448" s="741"/>
      <c r="GTW448" s="741"/>
      <c r="GTX448" s="741"/>
      <c r="GTY448" s="741"/>
      <c r="GTZ448" s="741"/>
      <c r="GUA448" s="741"/>
      <c r="GUB448" s="741"/>
      <c r="GUC448" s="741"/>
      <c r="GUD448" s="741"/>
      <c r="GUE448" s="741"/>
      <c r="GUF448" s="741"/>
      <c r="GUG448" s="741"/>
      <c r="GUH448" s="741"/>
      <c r="GUI448" s="741"/>
      <c r="GUJ448" s="741"/>
      <c r="GUK448" s="741"/>
      <c r="GUL448" s="741"/>
      <c r="GUM448" s="741"/>
      <c r="GUN448" s="741"/>
      <c r="GUO448" s="741"/>
      <c r="GUP448" s="741"/>
      <c r="GUQ448" s="741"/>
      <c r="GUR448" s="741"/>
      <c r="GUS448" s="741"/>
      <c r="GUT448" s="741"/>
      <c r="GUU448" s="741"/>
      <c r="GUV448" s="741"/>
      <c r="GUW448" s="741"/>
      <c r="GUX448" s="741"/>
      <c r="GUY448" s="741"/>
      <c r="GUZ448" s="741"/>
      <c r="GVA448" s="741"/>
      <c r="GVB448" s="741"/>
      <c r="GVC448" s="741"/>
      <c r="GVD448" s="741"/>
      <c r="GVE448" s="741"/>
      <c r="GVF448" s="741"/>
      <c r="GVG448" s="741"/>
      <c r="GVH448" s="741"/>
      <c r="GVI448" s="741"/>
      <c r="GVJ448" s="741"/>
      <c r="GVK448" s="741"/>
      <c r="GVL448" s="741"/>
      <c r="GVM448" s="741"/>
      <c r="GVN448" s="741"/>
      <c r="GVO448" s="741"/>
      <c r="GVP448" s="741"/>
      <c r="GVQ448" s="741"/>
      <c r="GVR448" s="741"/>
      <c r="GVS448" s="741"/>
      <c r="GVT448" s="741"/>
      <c r="GVU448" s="741"/>
      <c r="GVV448" s="741"/>
      <c r="GVW448" s="741"/>
      <c r="GVX448" s="741"/>
      <c r="GVY448" s="741"/>
      <c r="GVZ448" s="741"/>
      <c r="GWA448" s="741"/>
      <c r="GWB448" s="741"/>
      <c r="GWC448" s="741"/>
      <c r="GWD448" s="741"/>
      <c r="GWE448" s="741"/>
      <c r="GWF448" s="741"/>
      <c r="GWG448" s="741"/>
      <c r="GWH448" s="741"/>
      <c r="GWI448" s="741"/>
      <c r="GWJ448" s="741"/>
      <c r="GWK448" s="741"/>
      <c r="GWL448" s="741"/>
      <c r="GWM448" s="741"/>
      <c r="GWN448" s="741"/>
      <c r="GWO448" s="741"/>
      <c r="GWP448" s="741"/>
      <c r="GWQ448" s="741"/>
      <c r="GWR448" s="741"/>
      <c r="GWS448" s="741"/>
      <c r="GWT448" s="741"/>
      <c r="GWU448" s="741"/>
      <c r="GWV448" s="741"/>
      <c r="GWW448" s="741"/>
      <c r="GWX448" s="741"/>
      <c r="GWY448" s="741"/>
      <c r="GWZ448" s="741"/>
      <c r="GXA448" s="741"/>
      <c r="GXB448" s="741"/>
      <c r="GXC448" s="741"/>
      <c r="GXD448" s="741"/>
      <c r="GXE448" s="741"/>
      <c r="GXF448" s="741"/>
      <c r="GXG448" s="741"/>
      <c r="GXH448" s="741"/>
      <c r="GXI448" s="741"/>
      <c r="GXJ448" s="741"/>
      <c r="GXK448" s="741"/>
      <c r="GXL448" s="741"/>
      <c r="GXM448" s="741"/>
      <c r="GXN448" s="741"/>
      <c r="GXO448" s="741"/>
      <c r="GXP448" s="741"/>
      <c r="GXQ448" s="741"/>
      <c r="GXR448" s="741"/>
      <c r="GXS448" s="741"/>
      <c r="GXT448" s="741"/>
      <c r="GXU448" s="741"/>
      <c r="GXV448" s="741"/>
      <c r="GXW448" s="741"/>
      <c r="GXX448" s="741"/>
      <c r="GXY448" s="741"/>
      <c r="GXZ448" s="741"/>
      <c r="GYA448" s="741"/>
      <c r="GYB448" s="741"/>
      <c r="GYC448" s="741"/>
      <c r="GYD448" s="741"/>
      <c r="GYE448" s="741"/>
      <c r="GYF448" s="741"/>
      <c r="GYG448" s="741"/>
      <c r="GYH448" s="741"/>
      <c r="GYI448" s="741"/>
      <c r="GYJ448" s="741"/>
      <c r="GYK448" s="741"/>
      <c r="GYL448" s="741"/>
      <c r="GYM448" s="741"/>
      <c r="GYN448" s="741"/>
      <c r="GYO448" s="741"/>
      <c r="GYP448" s="741"/>
      <c r="GYQ448" s="741"/>
      <c r="GYR448" s="741"/>
      <c r="GYS448" s="741"/>
      <c r="GYT448" s="741"/>
      <c r="GYU448" s="741"/>
      <c r="GYV448" s="741"/>
      <c r="GYW448" s="741"/>
      <c r="GYX448" s="741"/>
      <c r="GYY448" s="741"/>
      <c r="GYZ448" s="741"/>
      <c r="GZA448" s="741"/>
      <c r="GZB448" s="741"/>
      <c r="GZC448" s="741"/>
      <c r="GZD448" s="741"/>
      <c r="GZE448" s="741"/>
      <c r="GZF448" s="741"/>
      <c r="GZG448" s="741"/>
      <c r="GZH448" s="741"/>
      <c r="GZI448" s="741"/>
      <c r="GZJ448" s="741"/>
      <c r="GZK448" s="741"/>
      <c r="GZL448" s="741"/>
      <c r="GZM448" s="741"/>
      <c r="GZN448" s="741"/>
      <c r="GZO448" s="741"/>
      <c r="GZP448" s="741"/>
      <c r="GZQ448" s="741"/>
      <c r="GZR448" s="741"/>
      <c r="GZS448" s="741"/>
      <c r="GZT448" s="741"/>
      <c r="GZU448" s="741"/>
      <c r="GZV448" s="741"/>
      <c r="GZW448" s="741"/>
      <c r="GZX448" s="741"/>
      <c r="GZY448" s="741"/>
      <c r="GZZ448" s="741"/>
      <c r="HAA448" s="741"/>
      <c r="HAB448" s="741"/>
      <c r="HAC448" s="741"/>
      <c r="HAD448" s="741"/>
      <c r="HAE448" s="741"/>
      <c r="HAF448" s="741"/>
      <c r="HAG448" s="741"/>
      <c r="HAH448" s="741"/>
      <c r="HAI448" s="741"/>
      <c r="HAJ448" s="741"/>
      <c r="HAK448" s="741"/>
      <c r="HAL448" s="741"/>
      <c r="HAM448" s="741"/>
      <c r="HAN448" s="741"/>
      <c r="HAO448" s="741"/>
      <c r="HAP448" s="741"/>
      <c r="HAQ448" s="741"/>
      <c r="HAR448" s="741"/>
      <c r="HAS448" s="741"/>
      <c r="HAT448" s="741"/>
      <c r="HAU448" s="741"/>
      <c r="HAV448" s="741"/>
      <c r="HAW448" s="741"/>
      <c r="HAX448" s="741"/>
      <c r="HAY448" s="741"/>
      <c r="HAZ448" s="741"/>
      <c r="HBA448" s="741"/>
      <c r="HBB448" s="741"/>
      <c r="HBC448" s="741"/>
      <c r="HBD448" s="741"/>
      <c r="HBE448" s="741"/>
      <c r="HBF448" s="741"/>
      <c r="HBG448" s="741"/>
      <c r="HBH448" s="741"/>
      <c r="HBI448" s="741"/>
      <c r="HBJ448" s="741"/>
      <c r="HBK448" s="741"/>
      <c r="HBL448" s="741"/>
      <c r="HBM448" s="741"/>
      <c r="HBN448" s="741"/>
      <c r="HBO448" s="741"/>
      <c r="HBP448" s="741"/>
      <c r="HBQ448" s="741"/>
      <c r="HBR448" s="741"/>
      <c r="HBS448" s="741"/>
      <c r="HBT448" s="741"/>
      <c r="HBU448" s="741"/>
      <c r="HBV448" s="741"/>
      <c r="HBW448" s="741"/>
      <c r="HBX448" s="741"/>
      <c r="HBY448" s="741"/>
      <c r="HBZ448" s="741"/>
      <c r="HCA448" s="741"/>
      <c r="HCB448" s="741"/>
      <c r="HCC448" s="741"/>
      <c r="HCD448" s="741"/>
      <c r="HCE448" s="741"/>
      <c r="HCF448" s="741"/>
      <c r="HCG448" s="741"/>
      <c r="HCH448" s="741"/>
      <c r="HCI448" s="741"/>
      <c r="HCJ448" s="741"/>
      <c r="HCK448" s="741"/>
      <c r="HCL448" s="741"/>
      <c r="HCM448" s="741"/>
      <c r="HCN448" s="741"/>
      <c r="HCO448" s="741"/>
      <c r="HCP448" s="741"/>
      <c r="HCQ448" s="741"/>
      <c r="HCR448" s="741"/>
      <c r="HCS448" s="741"/>
      <c r="HCT448" s="741"/>
      <c r="HCU448" s="741"/>
      <c r="HCV448" s="741"/>
      <c r="HCW448" s="741"/>
      <c r="HCX448" s="741"/>
      <c r="HCY448" s="741"/>
      <c r="HCZ448" s="741"/>
      <c r="HDA448" s="741"/>
      <c r="HDB448" s="741"/>
      <c r="HDC448" s="741"/>
      <c r="HDD448" s="741"/>
      <c r="HDE448" s="741"/>
      <c r="HDF448" s="741"/>
      <c r="HDG448" s="741"/>
      <c r="HDH448" s="741"/>
      <c r="HDI448" s="741"/>
      <c r="HDJ448" s="741"/>
      <c r="HDK448" s="741"/>
      <c r="HDL448" s="741"/>
      <c r="HDM448" s="741"/>
      <c r="HDN448" s="741"/>
      <c r="HDO448" s="741"/>
      <c r="HDP448" s="741"/>
      <c r="HDQ448" s="741"/>
      <c r="HDR448" s="741"/>
      <c r="HDS448" s="741"/>
      <c r="HDT448" s="741"/>
      <c r="HDU448" s="741"/>
      <c r="HDV448" s="741"/>
      <c r="HDW448" s="741"/>
      <c r="HDX448" s="741"/>
      <c r="HDY448" s="741"/>
      <c r="HDZ448" s="741"/>
      <c r="HEA448" s="741"/>
      <c r="HEB448" s="741"/>
      <c r="HEC448" s="741"/>
      <c r="HED448" s="741"/>
      <c r="HEE448" s="741"/>
      <c r="HEF448" s="741"/>
      <c r="HEG448" s="741"/>
      <c r="HEH448" s="741"/>
      <c r="HEI448" s="741"/>
      <c r="HEJ448" s="741"/>
      <c r="HEK448" s="741"/>
      <c r="HEL448" s="741"/>
      <c r="HEM448" s="741"/>
      <c r="HEN448" s="741"/>
      <c r="HEO448" s="741"/>
      <c r="HEP448" s="741"/>
      <c r="HEQ448" s="741"/>
      <c r="HER448" s="741"/>
      <c r="HES448" s="741"/>
      <c r="HET448" s="741"/>
      <c r="HEU448" s="741"/>
      <c r="HEV448" s="741"/>
      <c r="HEW448" s="741"/>
      <c r="HEX448" s="741"/>
      <c r="HEY448" s="741"/>
      <c r="HEZ448" s="741"/>
      <c r="HFA448" s="741"/>
      <c r="HFB448" s="741"/>
      <c r="HFC448" s="741"/>
      <c r="HFD448" s="741"/>
      <c r="HFE448" s="741"/>
      <c r="HFF448" s="741"/>
      <c r="HFG448" s="741"/>
      <c r="HFH448" s="741"/>
      <c r="HFI448" s="741"/>
      <c r="HFJ448" s="741"/>
      <c r="HFK448" s="741"/>
      <c r="HFL448" s="741"/>
      <c r="HFM448" s="741"/>
      <c r="HFN448" s="741"/>
      <c r="HFO448" s="741"/>
      <c r="HFP448" s="741"/>
      <c r="HFQ448" s="741"/>
      <c r="HFR448" s="741"/>
      <c r="HFS448" s="741"/>
      <c r="HFT448" s="741"/>
      <c r="HFU448" s="741"/>
      <c r="HFV448" s="741"/>
      <c r="HFW448" s="741"/>
      <c r="HFX448" s="741"/>
      <c r="HFY448" s="741"/>
      <c r="HFZ448" s="741"/>
      <c r="HGA448" s="741"/>
      <c r="HGB448" s="741"/>
      <c r="HGC448" s="741"/>
      <c r="HGD448" s="741"/>
      <c r="HGE448" s="741"/>
      <c r="HGF448" s="741"/>
      <c r="HGG448" s="741"/>
      <c r="HGH448" s="741"/>
      <c r="HGI448" s="741"/>
      <c r="HGJ448" s="741"/>
      <c r="HGK448" s="741"/>
      <c r="HGL448" s="741"/>
      <c r="HGM448" s="741"/>
      <c r="HGN448" s="741"/>
      <c r="HGO448" s="741"/>
      <c r="HGP448" s="741"/>
      <c r="HGQ448" s="741"/>
      <c r="HGR448" s="741"/>
      <c r="HGS448" s="741"/>
      <c r="HGT448" s="741"/>
      <c r="HGU448" s="741"/>
      <c r="HGV448" s="741"/>
      <c r="HGW448" s="741"/>
      <c r="HGX448" s="741"/>
      <c r="HGY448" s="741"/>
      <c r="HGZ448" s="741"/>
      <c r="HHA448" s="741"/>
      <c r="HHB448" s="741"/>
      <c r="HHC448" s="741"/>
      <c r="HHD448" s="741"/>
      <c r="HHE448" s="741"/>
      <c r="HHF448" s="741"/>
      <c r="HHG448" s="741"/>
      <c r="HHH448" s="741"/>
      <c r="HHI448" s="741"/>
      <c r="HHJ448" s="741"/>
      <c r="HHK448" s="741"/>
      <c r="HHL448" s="741"/>
      <c r="HHM448" s="741"/>
      <c r="HHN448" s="741"/>
      <c r="HHO448" s="741"/>
      <c r="HHP448" s="741"/>
      <c r="HHQ448" s="741"/>
      <c r="HHR448" s="741"/>
      <c r="HHS448" s="741"/>
      <c r="HHT448" s="741"/>
      <c r="HHU448" s="741"/>
      <c r="HHV448" s="741"/>
      <c r="HHW448" s="741"/>
      <c r="HHX448" s="741"/>
      <c r="HHY448" s="741"/>
      <c r="HHZ448" s="741"/>
      <c r="HIA448" s="741"/>
      <c r="HIB448" s="741"/>
      <c r="HIC448" s="741"/>
      <c r="HID448" s="741"/>
      <c r="HIE448" s="741"/>
      <c r="HIF448" s="741"/>
      <c r="HIG448" s="741"/>
      <c r="HIH448" s="741"/>
      <c r="HII448" s="741"/>
      <c r="HIJ448" s="741"/>
      <c r="HIK448" s="741"/>
      <c r="HIL448" s="741"/>
      <c r="HIM448" s="741"/>
      <c r="HIN448" s="741"/>
      <c r="HIO448" s="741"/>
      <c r="HIP448" s="741"/>
      <c r="HIQ448" s="741"/>
      <c r="HIR448" s="741"/>
      <c r="HIS448" s="741"/>
      <c r="HIT448" s="741"/>
      <c r="HIU448" s="741"/>
      <c r="HIV448" s="741"/>
      <c r="HIW448" s="741"/>
      <c r="HIX448" s="741"/>
      <c r="HIY448" s="741"/>
      <c r="HIZ448" s="741"/>
      <c r="HJA448" s="741"/>
      <c r="HJB448" s="741"/>
      <c r="HJC448" s="741"/>
      <c r="HJD448" s="741"/>
      <c r="HJE448" s="741"/>
      <c r="HJF448" s="741"/>
      <c r="HJG448" s="741"/>
      <c r="HJH448" s="741"/>
      <c r="HJI448" s="741"/>
      <c r="HJJ448" s="741"/>
      <c r="HJK448" s="741"/>
      <c r="HJL448" s="741"/>
      <c r="HJM448" s="741"/>
      <c r="HJN448" s="741"/>
      <c r="HJO448" s="741"/>
      <c r="HJP448" s="741"/>
      <c r="HJQ448" s="741"/>
      <c r="HJR448" s="741"/>
      <c r="HJS448" s="741"/>
      <c r="HJT448" s="741"/>
      <c r="HJU448" s="741"/>
      <c r="HJV448" s="741"/>
      <c r="HJW448" s="741"/>
      <c r="HJX448" s="741"/>
      <c r="HJY448" s="741"/>
      <c r="HJZ448" s="741"/>
      <c r="HKA448" s="741"/>
      <c r="HKB448" s="741"/>
      <c r="HKC448" s="741"/>
      <c r="HKD448" s="741"/>
      <c r="HKE448" s="741"/>
      <c r="HKF448" s="741"/>
      <c r="HKG448" s="741"/>
      <c r="HKH448" s="741"/>
      <c r="HKI448" s="741"/>
      <c r="HKJ448" s="741"/>
      <c r="HKK448" s="741"/>
      <c r="HKL448" s="741"/>
      <c r="HKM448" s="741"/>
      <c r="HKN448" s="741"/>
      <c r="HKO448" s="741"/>
      <c r="HKP448" s="741"/>
      <c r="HKQ448" s="741"/>
      <c r="HKR448" s="741"/>
      <c r="HKS448" s="741"/>
      <c r="HKT448" s="741"/>
      <c r="HKU448" s="741"/>
      <c r="HKV448" s="741"/>
      <c r="HKW448" s="741"/>
      <c r="HKX448" s="741"/>
      <c r="HKY448" s="741"/>
      <c r="HKZ448" s="741"/>
      <c r="HLA448" s="741"/>
      <c r="HLB448" s="741"/>
      <c r="HLC448" s="741"/>
      <c r="HLD448" s="741"/>
      <c r="HLE448" s="741"/>
      <c r="HLF448" s="741"/>
      <c r="HLG448" s="741"/>
      <c r="HLH448" s="741"/>
      <c r="HLI448" s="741"/>
      <c r="HLJ448" s="741"/>
      <c r="HLK448" s="741"/>
      <c r="HLL448" s="741"/>
      <c r="HLM448" s="741"/>
      <c r="HLN448" s="741"/>
      <c r="HLO448" s="741"/>
      <c r="HLP448" s="741"/>
      <c r="HLQ448" s="741"/>
      <c r="HLR448" s="741"/>
      <c r="HLS448" s="741"/>
      <c r="HLT448" s="741"/>
      <c r="HLU448" s="741"/>
      <c r="HLV448" s="741"/>
      <c r="HLW448" s="741"/>
      <c r="HLX448" s="741"/>
      <c r="HLY448" s="741"/>
      <c r="HLZ448" s="741"/>
      <c r="HMA448" s="741"/>
      <c r="HMB448" s="741"/>
      <c r="HMC448" s="741"/>
      <c r="HMD448" s="741"/>
      <c r="HME448" s="741"/>
      <c r="HMF448" s="741"/>
      <c r="HMG448" s="741"/>
      <c r="HMH448" s="741"/>
      <c r="HMI448" s="741"/>
      <c r="HMJ448" s="741"/>
      <c r="HMK448" s="741"/>
      <c r="HML448" s="741"/>
      <c r="HMM448" s="741"/>
      <c r="HMN448" s="741"/>
      <c r="HMO448" s="741"/>
      <c r="HMP448" s="741"/>
      <c r="HMQ448" s="741"/>
      <c r="HMR448" s="741"/>
      <c r="HMS448" s="741"/>
      <c r="HMT448" s="741"/>
      <c r="HMU448" s="741"/>
      <c r="HMV448" s="741"/>
      <c r="HMW448" s="741"/>
      <c r="HMX448" s="741"/>
      <c r="HMY448" s="741"/>
      <c r="HMZ448" s="741"/>
      <c r="HNA448" s="741"/>
      <c r="HNB448" s="741"/>
      <c r="HNC448" s="741"/>
      <c r="HND448" s="741"/>
      <c r="HNE448" s="741"/>
      <c r="HNF448" s="741"/>
      <c r="HNG448" s="741"/>
      <c r="HNH448" s="741"/>
      <c r="HNI448" s="741"/>
      <c r="HNJ448" s="741"/>
      <c r="HNK448" s="741"/>
      <c r="HNL448" s="741"/>
      <c r="HNM448" s="741"/>
      <c r="HNN448" s="741"/>
      <c r="HNO448" s="741"/>
      <c r="HNP448" s="741"/>
      <c r="HNQ448" s="741"/>
      <c r="HNR448" s="741"/>
      <c r="HNS448" s="741"/>
      <c r="HNT448" s="741"/>
      <c r="HNU448" s="741"/>
      <c r="HNV448" s="741"/>
      <c r="HNW448" s="741"/>
      <c r="HNX448" s="741"/>
      <c r="HNY448" s="741"/>
      <c r="HNZ448" s="741"/>
      <c r="HOA448" s="741"/>
      <c r="HOB448" s="741"/>
      <c r="HOC448" s="741"/>
      <c r="HOD448" s="741"/>
      <c r="HOE448" s="741"/>
      <c r="HOF448" s="741"/>
      <c r="HOG448" s="741"/>
      <c r="HOH448" s="741"/>
      <c r="HOI448" s="741"/>
      <c r="HOJ448" s="741"/>
      <c r="HOK448" s="741"/>
      <c r="HOL448" s="741"/>
      <c r="HOM448" s="741"/>
      <c r="HON448" s="741"/>
      <c r="HOO448" s="741"/>
      <c r="HOP448" s="741"/>
      <c r="HOQ448" s="741"/>
      <c r="HOR448" s="741"/>
      <c r="HOS448" s="741"/>
      <c r="HOT448" s="741"/>
      <c r="HOU448" s="741"/>
      <c r="HOV448" s="741"/>
      <c r="HOW448" s="741"/>
      <c r="HOX448" s="741"/>
      <c r="HOY448" s="741"/>
      <c r="HOZ448" s="741"/>
      <c r="HPA448" s="741"/>
      <c r="HPB448" s="741"/>
      <c r="HPC448" s="741"/>
      <c r="HPD448" s="741"/>
      <c r="HPE448" s="741"/>
      <c r="HPF448" s="741"/>
      <c r="HPG448" s="741"/>
      <c r="HPH448" s="741"/>
      <c r="HPI448" s="741"/>
      <c r="HPJ448" s="741"/>
      <c r="HPK448" s="741"/>
      <c r="HPL448" s="741"/>
      <c r="HPM448" s="741"/>
      <c r="HPN448" s="741"/>
      <c r="HPO448" s="741"/>
      <c r="HPP448" s="741"/>
      <c r="HPQ448" s="741"/>
      <c r="HPR448" s="741"/>
      <c r="HPS448" s="741"/>
      <c r="HPT448" s="741"/>
      <c r="HPU448" s="741"/>
      <c r="HPV448" s="741"/>
      <c r="HPW448" s="741"/>
      <c r="HPX448" s="741"/>
      <c r="HPY448" s="741"/>
      <c r="HPZ448" s="741"/>
      <c r="HQA448" s="741"/>
      <c r="HQB448" s="741"/>
      <c r="HQC448" s="741"/>
      <c r="HQD448" s="741"/>
      <c r="HQE448" s="741"/>
      <c r="HQF448" s="741"/>
      <c r="HQG448" s="741"/>
      <c r="HQH448" s="741"/>
      <c r="HQI448" s="741"/>
      <c r="HQJ448" s="741"/>
      <c r="HQK448" s="741"/>
      <c r="HQL448" s="741"/>
      <c r="HQM448" s="741"/>
      <c r="HQN448" s="741"/>
      <c r="HQO448" s="741"/>
      <c r="HQP448" s="741"/>
      <c r="HQQ448" s="741"/>
      <c r="HQR448" s="741"/>
      <c r="HQS448" s="741"/>
      <c r="HQT448" s="741"/>
      <c r="HQU448" s="741"/>
      <c r="HQV448" s="741"/>
      <c r="HQW448" s="741"/>
      <c r="HQX448" s="741"/>
      <c r="HQY448" s="741"/>
      <c r="HQZ448" s="741"/>
      <c r="HRA448" s="741"/>
      <c r="HRB448" s="741"/>
      <c r="HRC448" s="741"/>
      <c r="HRD448" s="741"/>
      <c r="HRE448" s="741"/>
      <c r="HRF448" s="741"/>
      <c r="HRG448" s="741"/>
      <c r="HRH448" s="741"/>
      <c r="HRI448" s="741"/>
      <c r="HRJ448" s="741"/>
      <c r="HRK448" s="741"/>
      <c r="HRL448" s="741"/>
      <c r="HRM448" s="741"/>
      <c r="HRN448" s="741"/>
      <c r="HRO448" s="741"/>
      <c r="HRP448" s="741"/>
      <c r="HRQ448" s="741"/>
      <c r="HRR448" s="741"/>
      <c r="HRS448" s="741"/>
      <c r="HRT448" s="741"/>
      <c r="HRU448" s="741"/>
      <c r="HRV448" s="741"/>
      <c r="HRW448" s="741"/>
      <c r="HRX448" s="741"/>
      <c r="HRY448" s="741"/>
      <c r="HRZ448" s="741"/>
      <c r="HSA448" s="741"/>
      <c r="HSB448" s="741"/>
      <c r="HSC448" s="741"/>
      <c r="HSD448" s="741"/>
      <c r="HSE448" s="741"/>
      <c r="HSF448" s="741"/>
      <c r="HSG448" s="741"/>
      <c r="HSH448" s="741"/>
      <c r="HSI448" s="741"/>
      <c r="HSJ448" s="741"/>
      <c r="HSK448" s="741"/>
      <c r="HSL448" s="741"/>
      <c r="HSM448" s="741"/>
      <c r="HSN448" s="741"/>
      <c r="HSO448" s="741"/>
      <c r="HSP448" s="741"/>
      <c r="HSQ448" s="741"/>
      <c r="HSR448" s="741"/>
      <c r="HSS448" s="741"/>
      <c r="HST448" s="741"/>
      <c r="HSU448" s="741"/>
      <c r="HSV448" s="741"/>
      <c r="HSW448" s="741"/>
      <c r="HSX448" s="741"/>
      <c r="HSY448" s="741"/>
      <c r="HSZ448" s="741"/>
      <c r="HTA448" s="741"/>
      <c r="HTB448" s="741"/>
      <c r="HTC448" s="741"/>
      <c r="HTD448" s="741"/>
      <c r="HTE448" s="741"/>
      <c r="HTF448" s="741"/>
      <c r="HTG448" s="741"/>
      <c r="HTH448" s="741"/>
      <c r="HTI448" s="741"/>
      <c r="HTJ448" s="741"/>
      <c r="HTK448" s="741"/>
      <c r="HTL448" s="741"/>
      <c r="HTM448" s="741"/>
      <c r="HTN448" s="741"/>
      <c r="HTO448" s="741"/>
      <c r="HTP448" s="741"/>
      <c r="HTQ448" s="741"/>
      <c r="HTR448" s="741"/>
      <c r="HTS448" s="741"/>
      <c r="HTT448" s="741"/>
      <c r="HTU448" s="741"/>
      <c r="HTV448" s="741"/>
      <c r="HTW448" s="741"/>
      <c r="HTX448" s="741"/>
      <c r="HTY448" s="741"/>
      <c r="HTZ448" s="741"/>
      <c r="HUA448" s="741"/>
      <c r="HUB448" s="741"/>
      <c r="HUC448" s="741"/>
      <c r="HUD448" s="741"/>
      <c r="HUE448" s="741"/>
      <c r="HUF448" s="741"/>
      <c r="HUG448" s="741"/>
      <c r="HUH448" s="741"/>
      <c r="HUI448" s="741"/>
      <c r="HUJ448" s="741"/>
      <c r="HUK448" s="741"/>
      <c r="HUL448" s="741"/>
      <c r="HUM448" s="741"/>
      <c r="HUN448" s="741"/>
      <c r="HUO448" s="741"/>
      <c r="HUP448" s="741"/>
      <c r="HUQ448" s="741"/>
      <c r="HUR448" s="741"/>
      <c r="HUS448" s="741"/>
      <c r="HUT448" s="741"/>
      <c r="HUU448" s="741"/>
      <c r="HUV448" s="741"/>
      <c r="HUW448" s="741"/>
      <c r="HUX448" s="741"/>
      <c r="HUY448" s="741"/>
      <c r="HUZ448" s="741"/>
      <c r="HVA448" s="741"/>
      <c r="HVB448" s="741"/>
      <c r="HVC448" s="741"/>
      <c r="HVD448" s="741"/>
      <c r="HVE448" s="741"/>
      <c r="HVF448" s="741"/>
      <c r="HVG448" s="741"/>
      <c r="HVH448" s="741"/>
      <c r="HVI448" s="741"/>
      <c r="HVJ448" s="741"/>
      <c r="HVK448" s="741"/>
      <c r="HVL448" s="741"/>
      <c r="HVM448" s="741"/>
      <c r="HVN448" s="741"/>
      <c r="HVO448" s="741"/>
      <c r="HVP448" s="741"/>
      <c r="HVQ448" s="741"/>
      <c r="HVR448" s="741"/>
      <c r="HVS448" s="741"/>
      <c r="HVT448" s="741"/>
      <c r="HVU448" s="741"/>
      <c r="HVV448" s="741"/>
      <c r="HVW448" s="741"/>
      <c r="HVX448" s="741"/>
      <c r="HVY448" s="741"/>
      <c r="HVZ448" s="741"/>
      <c r="HWA448" s="741"/>
      <c r="HWB448" s="741"/>
      <c r="HWC448" s="741"/>
      <c r="HWD448" s="741"/>
      <c r="HWE448" s="741"/>
      <c r="HWF448" s="741"/>
      <c r="HWG448" s="741"/>
      <c r="HWH448" s="741"/>
      <c r="HWI448" s="741"/>
      <c r="HWJ448" s="741"/>
      <c r="HWK448" s="741"/>
      <c r="HWL448" s="741"/>
      <c r="HWM448" s="741"/>
      <c r="HWN448" s="741"/>
      <c r="HWO448" s="741"/>
      <c r="HWP448" s="741"/>
      <c r="HWQ448" s="741"/>
      <c r="HWR448" s="741"/>
      <c r="HWS448" s="741"/>
      <c r="HWT448" s="741"/>
      <c r="HWU448" s="741"/>
      <c r="HWV448" s="741"/>
      <c r="HWW448" s="741"/>
      <c r="HWX448" s="741"/>
      <c r="HWY448" s="741"/>
      <c r="HWZ448" s="741"/>
      <c r="HXA448" s="741"/>
      <c r="HXB448" s="741"/>
      <c r="HXC448" s="741"/>
      <c r="HXD448" s="741"/>
      <c r="HXE448" s="741"/>
      <c r="HXF448" s="741"/>
      <c r="HXG448" s="741"/>
      <c r="HXH448" s="741"/>
      <c r="HXI448" s="741"/>
      <c r="HXJ448" s="741"/>
      <c r="HXK448" s="741"/>
      <c r="HXL448" s="741"/>
      <c r="HXM448" s="741"/>
      <c r="HXN448" s="741"/>
      <c r="HXO448" s="741"/>
      <c r="HXP448" s="741"/>
      <c r="HXQ448" s="741"/>
      <c r="HXR448" s="741"/>
      <c r="HXS448" s="741"/>
      <c r="HXT448" s="741"/>
      <c r="HXU448" s="741"/>
      <c r="HXV448" s="741"/>
      <c r="HXW448" s="741"/>
      <c r="HXX448" s="741"/>
      <c r="HXY448" s="741"/>
      <c r="HXZ448" s="741"/>
      <c r="HYA448" s="741"/>
      <c r="HYB448" s="741"/>
      <c r="HYC448" s="741"/>
      <c r="HYD448" s="741"/>
      <c r="HYE448" s="741"/>
      <c r="HYF448" s="741"/>
      <c r="HYG448" s="741"/>
      <c r="HYH448" s="741"/>
      <c r="HYI448" s="741"/>
      <c r="HYJ448" s="741"/>
      <c r="HYK448" s="741"/>
      <c r="HYL448" s="741"/>
      <c r="HYM448" s="741"/>
      <c r="HYN448" s="741"/>
      <c r="HYO448" s="741"/>
      <c r="HYP448" s="741"/>
      <c r="HYQ448" s="741"/>
      <c r="HYR448" s="741"/>
      <c r="HYS448" s="741"/>
      <c r="HYT448" s="741"/>
      <c r="HYU448" s="741"/>
      <c r="HYV448" s="741"/>
      <c r="HYW448" s="741"/>
      <c r="HYX448" s="741"/>
      <c r="HYY448" s="741"/>
      <c r="HYZ448" s="741"/>
      <c r="HZA448" s="741"/>
      <c r="HZB448" s="741"/>
      <c r="HZC448" s="741"/>
      <c r="HZD448" s="741"/>
      <c r="HZE448" s="741"/>
      <c r="HZF448" s="741"/>
      <c r="HZG448" s="741"/>
      <c r="HZH448" s="741"/>
      <c r="HZI448" s="741"/>
      <c r="HZJ448" s="741"/>
      <c r="HZK448" s="741"/>
      <c r="HZL448" s="741"/>
      <c r="HZM448" s="741"/>
      <c r="HZN448" s="741"/>
      <c r="HZO448" s="741"/>
      <c r="HZP448" s="741"/>
      <c r="HZQ448" s="741"/>
      <c r="HZR448" s="741"/>
      <c r="HZS448" s="741"/>
      <c r="HZT448" s="741"/>
      <c r="HZU448" s="741"/>
      <c r="HZV448" s="741"/>
      <c r="HZW448" s="741"/>
      <c r="HZX448" s="741"/>
      <c r="HZY448" s="741"/>
      <c r="HZZ448" s="741"/>
      <c r="IAA448" s="741"/>
      <c r="IAB448" s="741"/>
      <c r="IAC448" s="741"/>
      <c r="IAD448" s="741"/>
      <c r="IAE448" s="741"/>
      <c r="IAF448" s="741"/>
      <c r="IAG448" s="741"/>
      <c r="IAH448" s="741"/>
      <c r="IAI448" s="741"/>
      <c r="IAJ448" s="741"/>
      <c r="IAK448" s="741"/>
      <c r="IAL448" s="741"/>
      <c r="IAM448" s="741"/>
      <c r="IAN448" s="741"/>
      <c r="IAO448" s="741"/>
      <c r="IAP448" s="741"/>
      <c r="IAQ448" s="741"/>
      <c r="IAR448" s="741"/>
      <c r="IAS448" s="741"/>
      <c r="IAT448" s="741"/>
      <c r="IAU448" s="741"/>
      <c r="IAV448" s="741"/>
      <c r="IAW448" s="741"/>
      <c r="IAX448" s="741"/>
      <c r="IAY448" s="741"/>
      <c r="IAZ448" s="741"/>
      <c r="IBA448" s="741"/>
      <c r="IBB448" s="741"/>
      <c r="IBC448" s="741"/>
      <c r="IBD448" s="741"/>
      <c r="IBE448" s="741"/>
      <c r="IBF448" s="741"/>
      <c r="IBG448" s="741"/>
      <c r="IBH448" s="741"/>
      <c r="IBI448" s="741"/>
      <c r="IBJ448" s="741"/>
      <c r="IBK448" s="741"/>
      <c r="IBL448" s="741"/>
      <c r="IBM448" s="741"/>
      <c r="IBN448" s="741"/>
      <c r="IBO448" s="741"/>
      <c r="IBP448" s="741"/>
      <c r="IBQ448" s="741"/>
      <c r="IBR448" s="741"/>
      <c r="IBS448" s="741"/>
      <c r="IBT448" s="741"/>
      <c r="IBU448" s="741"/>
      <c r="IBV448" s="741"/>
      <c r="IBW448" s="741"/>
      <c r="IBX448" s="741"/>
      <c r="IBY448" s="741"/>
      <c r="IBZ448" s="741"/>
      <c r="ICA448" s="741"/>
      <c r="ICB448" s="741"/>
      <c r="ICC448" s="741"/>
      <c r="ICD448" s="741"/>
      <c r="ICE448" s="741"/>
      <c r="ICF448" s="741"/>
      <c r="ICG448" s="741"/>
      <c r="ICH448" s="741"/>
      <c r="ICI448" s="741"/>
      <c r="ICJ448" s="741"/>
      <c r="ICK448" s="741"/>
      <c r="ICL448" s="741"/>
      <c r="ICM448" s="741"/>
      <c r="ICN448" s="741"/>
      <c r="ICO448" s="741"/>
      <c r="ICP448" s="741"/>
      <c r="ICQ448" s="741"/>
      <c r="ICR448" s="741"/>
      <c r="ICS448" s="741"/>
      <c r="ICT448" s="741"/>
      <c r="ICU448" s="741"/>
      <c r="ICV448" s="741"/>
      <c r="ICW448" s="741"/>
      <c r="ICX448" s="741"/>
      <c r="ICY448" s="741"/>
      <c r="ICZ448" s="741"/>
      <c r="IDA448" s="741"/>
      <c r="IDB448" s="741"/>
      <c r="IDC448" s="741"/>
      <c r="IDD448" s="741"/>
      <c r="IDE448" s="741"/>
      <c r="IDF448" s="741"/>
      <c r="IDG448" s="741"/>
      <c r="IDH448" s="741"/>
      <c r="IDI448" s="741"/>
      <c r="IDJ448" s="741"/>
      <c r="IDK448" s="741"/>
      <c r="IDL448" s="741"/>
      <c r="IDM448" s="741"/>
      <c r="IDN448" s="741"/>
      <c r="IDO448" s="741"/>
      <c r="IDP448" s="741"/>
      <c r="IDQ448" s="741"/>
      <c r="IDR448" s="741"/>
      <c r="IDS448" s="741"/>
      <c r="IDT448" s="741"/>
      <c r="IDU448" s="741"/>
      <c r="IDV448" s="741"/>
      <c r="IDW448" s="741"/>
      <c r="IDX448" s="741"/>
      <c r="IDY448" s="741"/>
      <c r="IDZ448" s="741"/>
      <c r="IEA448" s="741"/>
      <c r="IEB448" s="741"/>
      <c r="IEC448" s="741"/>
      <c r="IED448" s="741"/>
      <c r="IEE448" s="741"/>
      <c r="IEF448" s="741"/>
      <c r="IEG448" s="741"/>
      <c r="IEH448" s="741"/>
      <c r="IEI448" s="741"/>
      <c r="IEJ448" s="741"/>
      <c r="IEK448" s="741"/>
      <c r="IEL448" s="741"/>
      <c r="IEM448" s="741"/>
      <c r="IEN448" s="741"/>
      <c r="IEO448" s="741"/>
      <c r="IEP448" s="741"/>
      <c r="IEQ448" s="741"/>
      <c r="IER448" s="741"/>
      <c r="IES448" s="741"/>
      <c r="IET448" s="741"/>
      <c r="IEU448" s="741"/>
      <c r="IEV448" s="741"/>
      <c r="IEW448" s="741"/>
      <c r="IEX448" s="741"/>
      <c r="IEY448" s="741"/>
      <c r="IEZ448" s="741"/>
      <c r="IFA448" s="741"/>
      <c r="IFB448" s="741"/>
      <c r="IFC448" s="741"/>
      <c r="IFD448" s="741"/>
      <c r="IFE448" s="741"/>
      <c r="IFF448" s="741"/>
      <c r="IFG448" s="741"/>
      <c r="IFH448" s="741"/>
      <c r="IFI448" s="741"/>
      <c r="IFJ448" s="741"/>
      <c r="IFK448" s="741"/>
      <c r="IFL448" s="741"/>
      <c r="IFM448" s="741"/>
      <c r="IFN448" s="741"/>
      <c r="IFO448" s="741"/>
      <c r="IFP448" s="741"/>
      <c r="IFQ448" s="741"/>
      <c r="IFR448" s="741"/>
      <c r="IFS448" s="741"/>
      <c r="IFT448" s="741"/>
      <c r="IFU448" s="741"/>
      <c r="IFV448" s="741"/>
      <c r="IFW448" s="741"/>
      <c r="IFX448" s="741"/>
      <c r="IFY448" s="741"/>
      <c r="IFZ448" s="741"/>
      <c r="IGA448" s="741"/>
      <c r="IGB448" s="741"/>
      <c r="IGC448" s="741"/>
      <c r="IGD448" s="741"/>
      <c r="IGE448" s="741"/>
      <c r="IGF448" s="741"/>
      <c r="IGG448" s="741"/>
      <c r="IGH448" s="741"/>
      <c r="IGI448" s="741"/>
      <c r="IGJ448" s="741"/>
      <c r="IGK448" s="741"/>
      <c r="IGL448" s="741"/>
      <c r="IGM448" s="741"/>
      <c r="IGN448" s="741"/>
      <c r="IGO448" s="741"/>
      <c r="IGP448" s="741"/>
      <c r="IGQ448" s="741"/>
      <c r="IGR448" s="741"/>
      <c r="IGS448" s="741"/>
      <c r="IGT448" s="741"/>
      <c r="IGU448" s="741"/>
      <c r="IGV448" s="741"/>
      <c r="IGW448" s="741"/>
      <c r="IGX448" s="741"/>
      <c r="IGY448" s="741"/>
      <c r="IGZ448" s="741"/>
      <c r="IHA448" s="741"/>
      <c r="IHB448" s="741"/>
      <c r="IHC448" s="741"/>
      <c r="IHD448" s="741"/>
      <c r="IHE448" s="741"/>
      <c r="IHF448" s="741"/>
      <c r="IHG448" s="741"/>
      <c r="IHH448" s="741"/>
      <c r="IHI448" s="741"/>
      <c r="IHJ448" s="741"/>
      <c r="IHK448" s="741"/>
      <c r="IHL448" s="741"/>
      <c r="IHM448" s="741"/>
      <c r="IHN448" s="741"/>
      <c r="IHO448" s="741"/>
      <c r="IHP448" s="741"/>
      <c r="IHQ448" s="741"/>
      <c r="IHR448" s="741"/>
      <c r="IHS448" s="741"/>
      <c r="IHT448" s="741"/>
      <c r="IHU448" s="741"/>
      <c r="IHV448" s="741"/>
      <c r="IHW448" s="741"/>
      <c r="IHX448" s="741"/>
      <c r="IHY448" s="741"/>
      <c r="IHZ448" s="741"/>
      <c r="IIA448" s="741"/>
      <c r="IIB448" s="741"/>
      <c r="IIC448" s="741"/>
      <c r="IID448" s="741"/>
      <c r="IIE448" s="741"/>
      <c r="IIF448" s="741"/>
      <c r="IIG448" s="741"/>
      <c r="IIH448" s="741"/>
      <c r="III448" s="741"/>
      <c r="IIJ448" s="741"/>
      <c r="IIK448" s="741"/>
      <c r="IIL448" s="741"/>
      <c r="IIM448" s="741"/>
      <c r="IIN448" s="741"/>
      <c r="IIO448" s="741"/>
      <c r="IIP448" s="741"/>
      <c r="IIQ448" s="741"/>
      <c r="IIR448" s="741"/>
      <c r="IIS448" s="741"/>
      <c r="IIT448" s="741"/>
      <c r="IIU448" s="741"/>
      <c r="IIV448" s="741"/>
      <c r="IIW448" s="741"/>
      <c r="IIX448" s="741"/>
      <c r="IIY448" s="741"/>
      <c r="IIZ448" s="741"/>
      <c r="IJA448" s="741"/>
      <c r="IJB448" s="741"/>
      <c r="IJC448" s="741"/>
      <c r="IJD448" s="741"/>
      <c r="IJE448" s="741"/>
      <c r="IJF448" s="741"/>
      <c r="IJG448" s="741"/>
      <c r="IJH448" s="741"/>
      <c r="IJI448" s="741"/>
      <c r="IJJ448" s="741"/>
      <c r="IJK448" s="741"/>
      <c r="IJL448" s="741"/>
      <c r="IJM448" s="741"/>
      <c r="IJN448" s="741"/>
      <c r="IJO448" s="741"/>
      <c r="IJP448" s="741"/>
      <c r="IJQ448" s="741"/>
      <c r="IJR448" s="741"/>
      <c r="IJS448" s="741"/>
      <c r="IJT448" s="741"/>
      <c r="IJU448" s="741"/>
      <c r="IJV448" s="741"/>
      <c r="IJW448" s="741"/>
      <c r="IJX448" s="741"/>
      <c r="IJY448" s="741"/>
      <c r="IJZ448" s="741"/>
      <c r="IKA448" s="741"/>
      <c r="IKB448" s="741"/>
      <c r="IKC448" s="741"/>
      <c r="IKD448" s="741"/>
      <c r="IKE448" s="741"/>
      <c r="IKF448" s="741"/>
      <c r="IKG448" s="741"/>
      <c r="IKH448" s="741"/>
      <c r="IKI448" s="741"/>
      <c r="IKJ448" s="741"/>
      <c r="IKK448" s="741"/>
      <c r="IKL448" s="741"/>
      <c r="IKM448" s="741"/>
      <c r="IKN448" s="741"/>
      <c r="IKO448" s="741"/>
      <c r="IKP448" s="741"/>
      <c r="IKQ448" s="741"/>
      <c r="IKR448" s="741"/>
      <c r="IKS448" s="741"/>
      <c r="IKT448" s="741"/>
      <c r="IKU448" s="741"/>
      <c r="IKV448" s="741"/>
      <c r="IKW448" s="741"/>
      <c r="IKX448" s="741"/>
      <c r="IKY448" s="741"/>
      <c r="IKZ448" s="741"/>
      <c r="ILA448" s="741"/>
      <c r="ILB448" s="741"/>
      <c r="ILC448" s="741"/>
      <c r="ILD448" s="741"/>
      <c r="ILE448" s="741"/>
      <c r="ILF448" s="741"/>
      <c r="ILG448" s="741"/>
      <c r="ILH448" s="741"/>
      <c r="ILI448" s="741"/>
      <c r="ILJ448" s="741"/>
      <c r="ILK448" s="741"/>
      <c r="ILL448" s="741"/>
      <c r="ILM448" s="741"/>
      <c r="ILN448" s="741"/>
      <c r="ILO448" s="741"/>
      <c r="ILP448" s="741"/>
      <c r="ILQ448" s="741"/>
      <c r="ILR448" s="741"/>
      <c r="ILS448" s="741"/>
      <c r="ILT448" s="741"/>
      <c r="ILU448" s="741"/>
      <c r="ILV448" s="741"/>
      <c r="ILW448" s="741"/>
      <c r="ILX448" s="741"/>
      <c r="ILY448" s="741"/>
      <c r="ILZ448" s="741"/>
      <c r="IMA448" s="741"/>
      <c r="IMB448" s="741"/>
      <c r="IMC448" s="741"/>
      <c r="IMD448" s="741"/>
      <c r="IME448" s="741"/>
      <c r="IMF448" s="741"/>
      <c r="IMG448" s="741"/>
      <c r="IMH448" s="741"/>
      <c r="IMI448" s="741"/>
      <c r="IMJ448" s="741"/>
      <c r="IMK448" s="741"/>
      <c r="IML448" s="741"/>
      <c r="IMM448" s="741"/>
      <c r="IMN448" s="741"/>
      <c r="IMO448" s="741"/>
      <c r="IMP448" s="741"/>
      <c r="IMQ448" s="741"/>
      <c r="IMR448" s="741"/>
      <c r="IMS448" s="741"/>
      <c r="IMT448" s="741"/>
      <c r="IMU448" s="741"/>
      <c r="IMV448" s="741"/>
      <c r="IMW448" s="741"/>
      <c r="IMX448" s="741"/>
      <c r="IMY448" s="741"/>
      <c r="IMZ448" s="741"/>
      <c r="INA448" s="741"/>
      <c r="INB448" s="741"/>
      <c r="INC448" s="741"/>
      <c r="IND448" s="741"/>
      <c r="INE448" s="741"/>
      <c r="INF448" s="741"/>
      <c r="ING448" s="741"/>
      <c r="INH448" s="741"/>
      <c r="INI448" s="741"/>
      <c r="INJ448" s="741"/>
      <c r="INK448" s="741"/>
      <c r="INL448" s="741"/>
      <c r="INM448" s="741"/>
      <c r="INN448" s="741"/>
      <c r="INO448" s="741"/>
      <c r="INP448" s="741"/>
      <c r="INQ448" s="741"/>
      <c r="INR448" s="741"/>
      <c r="INS448" s="741"/>
      <c r="INT448" s="741"/>
      <c r="INU448" s="741"/>
      <c r="INV448" s="741"/>
      <c r="INW448" s="741"/>
      <c r="INX448" s="741"/>
      <c r="INY448" s="741"/>
      <c r="INZ448" s="741"/>
      <c r="IOA448" s="741"/>
      <c r="IOB448" s="741"/>
      <c r="IOC448" s="741"/>
      <c r="IOD448" s="741"/>
      <c r="IOE448" s="741"/>
      <c r="IOF448" s="741"/>
      <c r="IOG448" s="741"/>
      <c r="IOH448" s="741"/>
      <c r="IOI448" s="741"/>
      <c r="IOJ448" s="741"/>
      <c r="IOK448" s="741"/>
      <c r="IOL448" s="741"/>
      <c r="IOM448" s="741"/>
      <c r="ION448" s="741"/>
      <c r="IOO448" s="741"/>
      <c r="IOP448" s="741"/>
      <c r="IOQ448" s="741"/>
      <c r="IOR448" s="741"/>
      <c r="IOS448" s="741"/>
      <c r="IOT448" s="741"/>
      <c r="IOU448" s="741"/>
      <c r="IOV448" s="741"/>
      <c r="IOW448" s="741"/>
      <c r="IOX448" s="741"/>
      <c r="IOY448" s="741"/>
      <c r="IOZ448" s="741"/>
      <c r="IPA448" s="741"/>
      <c r="IPB448" s="741"/>
      <c r="IPC448" s="741"/>
      <c r="IPD448" s="741"/>
      <c r="IPE448" s="741"/>
      <c r="IPF448" s="741"/>
      <c r="IPG448" s="741"/>
      <c r="IPH448" s="741"/>
      <c r="IPI448" s="741"/>
      <c r="IPJ448" s="741"/>
      <c r="IPK448" s="741"/>
      <c r="IPL448" s="741"/>
      <c r="IPM448" s="741"/>
      <c r="IPN448" s="741"/>
      <c r="IPO448" s="741"/>
      <c r="IPP448" s="741"/>
      <c r="IPQ448" s="741"/>
      <c r="IPR448" s="741"/>
      <c r="IPS448" s="741"/>
      <c r="IPT448" s="741"/>
      <c r="IPU448" s="741"/>
      <c r="IPV448" s="741"/>
      <c r="IPW448" s="741"/>
      <c r="IPX448" s="741"/>
      <c r="IPY448" s="741"/>
      <c r="IPZ448" s="741"/>
      <c r="IQA448" s="741"/>
      <c r="IQB448" s="741"/>
      <c r="IQC448" s="741"/>
      <c r="IQD448" s="741"/>
      <c r="IQE448" s="741"/>
      <c r="IQF448" s="741"/>
      <c r="IQG448" s="741"/>
      <c r="IQH448" s="741"/>
      <c r="IQI448" s="741"/>
      <c r="IQJ448" s="741"/>
      <c r="IQK448" s="741"/>
      <c r="IQL448" s="741"/>
      <c r="IQM448" s="741"/>
      <c r="IQN448" s="741"/>
      <c r="IQO448" s="741"/>
      <c r="IQP448" s="741"/>
      <c r="IQQ448" s="741"/>
      <c r="IQR448" s="741"/>
      <c r="IQS448" s="741"/>
      <c r="IQT448" s="741"/>
      <c r="IQU448" s="741"/>
      <c r="IQV448" s="741"/>
      <c r="IQW448" s="741"/>
      <c r="IQX448" s="741"/>
      <c r="IQY448" s="741"/>
      <c r="IQZ448" s="741"/>
      <c r="IRA448" s="741"/>
      <c r="IRB448" s="741"/>
      <c r="IRC448" s="741"/>
      <c r="IRD448" s="741"/>
      <c r="IRE448" s="741"/>
      <c r="IRF448" s="741"/>
      <c r="IRG448" s="741"/>
      <c r="IRH448" s="741"/>
      <c r="IRI448" s="741"/>
      <c r="IRJ448" s="741"/>
      <c r="IRK448" s="741"/>
      <c r="IRL448" s="741"/>
      <c r="IRM448" s="741"/>
      <c r="IRN448" s="741"/>
      <c r="IRO448" s="741"/>
      <c r="IRP448" s="741"/>
      <c r="IRQ448" s="741"/>
      <c r="IRR448" s="741"/>
      <c r="IRS448" s="741"/>
      <c r="IRT448" s="741"/>
      <c r="IRU448" s="741"/>
      <c r="IRV448" s="741"/>
      <c r="IRW448" s="741"/>
      <c r="IRX448" s="741"/>
      <c r="IRY448" s="741"/>
      <c r="IRZ448" s="741"/>
      <c r="ISA448" s="741"/>
      <c r="ISB448" s="741"/>
      <c r="ISC448" s="741"/>
      <c r="ISD448" s="741"/>
      <c r="ISE448" s="741"/>
      <c r="ISF448" s="741"/>
      <c r="ISG448" s="741"/>
      <c r="ISH448" s="741"/>
      <c r="ISI448" s="741"/>
      <c r="ISJ448" s="741"/>
      <c r="ISK448" s="741"/>
      <c r="ISL448" s="741"/>
      <c r="ISM448" s="741"/>
      <c r="ISN448" s="741"/>
      <c r="ISO448" s="741"/>
      <c r="ISP448" s="741"/>
      <c r="ISQ448" s="741"/>
      <c r="ISR448" s="741"/>
      <c r="ISS448" s="741"/>
      <c r="IST448" s="741"/>
      <c r="ISU448" s="741"/>
      <c r="ISV448" s="741"/>
      <c r="ISW448" s="741"/>
      <c r="ISX448" s="741"/>
      <c r="ISY448" s="741"/>
      <c r="ISZ448" s="741"/>
      <c r="ITA448" s="741"/>
      <c r="ITB448" s="741"/>
      <c r="ITC448" s="741"/>
      <c r="ITD448" s="741"/>
      <c r="ITE448" s="741"/>
      <c r="ITF448" s="741"/>
      <c r="ITG448" s="741"/>
      <c r="ITH448" s="741"/>
      <c r="ITI448" s="741"/>
      <c r="ITJ448" s="741"/>
      <c r="ITK448" s="741"/>
      <c r="ITL448" s="741"/>
      <c r="ITM448" s="741"/>
      <c r="ITN448" s="741"/>
      <c r="ITO448" s="741"/>
      <c r="ITP448" s="741"/>
      <c r="ITQ448" s="741"/>
      <c r="ITR448" s="741"/>
      <c r="ITS448" s="741"/>
      <c r="ITT448" s="741"/>
      <c r="ITU448" s="741"/>
      <c r="ITV448" s="741"/>
      <c r="ITW448" s="741"/>
      <c r="ITX448" s="741"/>
      <c r="ITY448" s="741"/>
      <c r="ITZ448" s="741"/>
      <c r="IUA448" s="741"/>
      <c r="IUB448" s="741"/>
      <c r="IUC448" s="741"/>
      <c r="IUD448" s="741"/>
      <c r="IUE448" s="741"/>
      <c r="IUF448" s="741"/>
      <c r="IUG448" s="741"/>
      <c r="IUH448" s="741"/>
      <c r="IUI448" s="741"/>
      <c r="IUJ448" s="741"/>
      <c r="IUK448" s="741"/>
      <c r="IUL448" s="741"/>
      <c r="IUM448" s="741"/>
      <c r="IUN448" s="741"/>
      <c r="IUO448" s="741"/>
      <c r="IUP448" s="741"/>
      <c r="IUQ448" s="741"/>
      <c r="IUR448" s="741"/>
      <c r="IUS448" s="741"/>
      <c r="IUT448" s="741"/>
      <c r="IUU448" s="741"/>
      <c r="IUV448" s="741"/>
      <c r="IUW448" s="741"/>
      <c r="IUX448" s="741"/>
      <c r="IUY448" s="741"/>
      <c r="IUZ448" s="741"/>
      <c r="IVA448" s="741"/>
      <c r="IVB448" s="741"/>
      <c r="IVC448" s="741"/>
      <c r="IVD448" s="741"/>
      <c r="IVE448" s="741"/>
      <c r="IVF448" s="741"/>
      <c r="IVG448" s="741"/>
      <c r="IVH448" s="741"/>
      <c r="IVI448" s="741"/>
      <c r="IVJ448" s="741"/>
      <c r="IVK448" s="741"/>
      <c r="IVL448" s="741"/>
      <c r="IVM448" s="741"/>
      <c r="IVN448" s="741"/>
      <c r="IVO448" s="741"/>
      <c r="IVP448" s="741"/>
      <c r="IVQ448" s="741"/>
      <c r="IVR448" s="741"/>
      <c r="IVS448" s="741"/>
      <c r="IVT448" s="741"/>
      <c r="IVU448" s="741"/>
      <c r="IVV448" s="741"/>
      <c r="IVW448" s="741"/>
      <c r="IVX448" s="741"/>
      <c r="IVY448" s="741"/>
      <c r="IVZ448" s="741"/>
      <c r="IWA448" s="741"/>
      <c r="IWB448" s="741"/>
      <c r="IWC448" s="741"/>
      <c r="IWD448" s="741"/>
      <c r="IWE448" s="741"/>
      <c r="IWF448" s="741"/>
      <c r="IWG448" s="741"/>
      <c r="IWH448" s="741"/>
      <c r="IWI448" s="741"/>
      <c r="IWJ448" s="741"/>
      <c r="IWK448" s="741"/>
      <c r="IWL448" s="741"/>
      <c r="IWM448" s="741"/>
      <c r="IWN448" s="741"/>
      <c r="IWO448" s="741"/>
      <c r="IWP448" s="741"/>
      <c r="IWQ448" s="741"/>
      <c r="IWR448" s="741"/>
      <c r="IWS448" s="741"/>
      <c r="IWT448" s="741"/>
      <c r="IWU448" s="741"/>
      <c r="IWV448" s="741"/>
      <c r="IWW448" s="741"/>
      <c r="IWX448" s="741"/>
      <c r="IWY448" s="741"/>
      <c r="IWZ448" s="741"/>
      <c r="IXA448" s="741"/>
      <c r="IXB448" s="741"/>
      <c r="IXC448" s="741"/>
      <c r="IXD448" s="741"/>
      <c r="IXE448" s="741"/>
      <c r="IXF448" s="741"/>
      <c r="IXG448" s="741"/>
      <c r="IXH448" s="741"/>
      <c r="IXI448" s="741"/>
      <c r="IXJ448" s="741"/>
      <c r="IXK448" s="741"/>
      <c r="IXL448" s="741"/>
      <c r="IXM448" s="741"/>
      <c r="IXN448" s="741"/>
      <c r="IXO448" s="741"/>
      <c r="IXP448" s="741"/>
      <c r="IXQ448" s="741"/>
      <c r="IXR448" s="741"/>
      <c r="IXS448" s="741"/>
      <c r="IXT448" s="741"/>
      <c r="IXU448" s="741"/>
      <c r="IXV448" s="741"/>
      <c r="IXW448" s="741"/>
      <c r="IXX448" s="741"/>
      <c r="IXY448" s="741"/>
      <c r="IXZ448" s="741"/>
      <c r="IYA448" s="741"/>
      <c r="IYB448" s="741"/>
      <c r="IYC448" s="741"/>
      <c r="IYD448" s="741"/>
      <c r="IYE448" s="741"/>
      <c r="IYF448" s="741"/>
      <c r="IYG448" s="741"/>
      <c r="IYH448" s="741"/>
      <c r="IYI448" s="741"/>
      <c r="IYJ448" s="741"/>
      <c r="IYK448" s="741"/>
      <c r="IYL448" s="741"/>
      <c r="IYM448" s="741"/>
      <c r="IYN448" s="741"/>
      <c r="IYO448" s="741"/>
      <c r="IYP448" s="741"/>
      <c r="IYQ448" s="741"/>
      <c r="IYR448" s="741"/>
      <c r="IYS448" s="741"/>
      <c r="IYT448" s="741"/>
      <c r="IYU448" s="741"/>
      <c r="IYV448" s="741"/>
      <c r="IYW448" s="741"/>
      <c r="IYX448" s="741"/>
      <c r="IYY448" s="741"/>
      <c r="IYZ448" s="741"/>
      <c r="IZA448" s="741"/>
      <c r="IZB448" s="741"/>
      <c r="IZC448" s="741"/>
      <c r="IZD448" s="741"/>
      <c r="IZE448" s="741"/>
      <c r="IZF448" s="741"/>
      <c r="IZG448" s="741"/>
      <c r="IZH448" s="741"/>
      <c r="IZI448" s="741"/>
      <c r="IZJ448" s="741"/>
      <c r="IZK448" s="741"/>
      <c r="IZL448" s="741"/>
      <c r="IZM448" s="741"/>
      <c r="IZN448" s="741"/>
      <c r="IZO448" s="741"/>
      <c r="IZP448" s="741"/>
      <c r="IZQ448" s="741"/>
      <c r="IZR448" s="741"/>
      <c r="IZS448" s="741"/>
      <c r="IZT448" s="741"/>
      <c r="IZU448" s="741"/>
      <c r="IZV448" s="741"/>
      <c r="IZW448" s="741"/>
      <c r="IZX448" s="741"/>
      <c r="IZY448" s="741"/>
      <c r="IZZ448" s="741"/>
      <c r="JAA448" s="741"/>
      <c r="JAB448" s="741"/>
      <c r="JAC448" s="741"/>
      <c r="JAD448" s="741"/>
      <c r="JAE448" s="741"/>
      <c r="JAF448" s="741"/>
      <c r="JAG448" s="741"/>
      <c r="JAH448" s="741"/>
      <c r="JAI448" s="741"/>
      <c r="JAJ448" s="741"/>
      <c r="JAK448" s="741"/>
      <c r="JAL448" s="741"/>
      <c r="JAM448" s="741"/>
      <c r="JAN448" s="741"/>
      <c r="JAO448" s="741"/>
      <c r="JAP448" s="741"/>
      <c r="JAQ448" s="741"/>
      <c r="JAR448" s="741"/>
      <c r="JAS448" s="741"/>
      <c r="JAT448" s="741"/>
      <c r="JAU448" s="741"/>
      <c r="JAV448" s="741"/>
      <c r="JAW448" s="741"/>
      <c r="JAX448" s="741"/>
      <c r="JAY448" s="741"/>
      <c r="JAZ448" s="741"/>
      <c r="JBA448" s="741"/>
      <c r="JBB448" s="741"/>
      <c r="JBC448" s="741"/>
      <c r="JBD448" s="741"/>
      <c r="JBE448" s="741"/>
      <c r="JBF448" s="741"/>
      <c r="JBG448" s="741"/>
      <c r="JBH448" s="741"/>
      <c r="JBI448" s="741"/>
      <c r="JBJ448" s="741"/>
      <c r="JBK448" s="741"/>
      <c r="JBL448" s="741"/>
      <c r="JBM448" s="741"/>
      <c r="JBN448" s="741"/>
      <c r="JBO448" s="741"/>
      <c r="JBP448" s="741"/>
      <c r="JBQ448" s="741"/>
      <c r="JBR448" s="741"/>
      <c r="JBS448" s="741"/>
      <c r="JBT448" s="741"/>
      <c r="JBU448" s="741"/>
      <c r="JBV448" s="741"/>
      <c r="JBW448" s="741"/>
      <c r="JBX448" s="741"/>
      <c r="JBY448" s="741"/>
      <c r="JBZ448" s="741"/>
      <c r="JCA448" s="741"/>
      <c r="JCB448" s="741"/>
      <c r="JCC448" s="741"/>
      <c r="JCD448" s="741"/>
      <c r="JCE448" s="741"/>
      <c r="JCF448" s="741"/>
      <c r="JCG448" s="741"/>
      <c r="JCH448" s="741"/>
      <c r="JCI448" s="741"/>
      <c r="JCJ448" s="741"/>
      <c r="JCK448" s="741"/>
      <c r="JCL448" s="741"/>
      <c r="JCM448" s="741"/>
      <c r="JCN448" s="741"/>
      <c r="JCO448" s="741"/>
      <c r="JCP448" s="741"/>
      <c r="JCQ448" s="741"/>
      <c r="JCR448" s="741"/>
      <c r="JCS448" s="741"/>
      <c r="JCT448" s="741"/>
      <c r="JCU448" s="741"/>
      <c r="JCV448" s="741"/>
      <c r="JCW448" s="741"/>
      <c r="JCX448" s="741"/>
      <c r="JCY448" s="741"/>
      <c r="JCZ448" s="741"/>
      <c r="JDA448" s="741"/>
      <c r="JDB448" s="741"/>
      <c r="JDC448" s="741"/>
      <c r="JDD448" s="741"/>
      <c r="JDE448" s="741"/>
      <c r="JDF448" s="741"/>
      <c r="JDG448" s="741"/>
      <c r="JDH448" s="741"/>
      <c r="JDI448" s="741"/>
      <c r="JDJ448" s="741"/>
      <c r="JDK448" s="741"/>
      <c r="JDL448" s="741"/>
      <c r="JDM448" s="741"/>
      <c r="JDN448" s="741"/>
      <c r="JDO448" s="741"/>
      <c r="JDP448" s="741"/>
      <c r="JDQ448" s="741"/>
      <c r="JDR448" s="741"/>
      <c r="JDS448" s="741"/>
      <c r="JDT448" s="741"/>
      <c r="JDU448" s="741"/>
      <c r="JDV448" s="741"/>
      <c r="JDW448" s="741"/>
      <c r="JDX448" s="741"/>
      <c r="JDY448" s="741"/>
      <c r="JDZ448" s="741"/>
      <c r="JEA448" s="741"/>
      <c r="JEB448" s="741"/>
      <c r="JEC448" s="741"/>
      <c r="JED448" s="741"/>
      <c r="JEE448" s="741"/>
      <c r="JEF448" s="741"/>
      <c r="JEG448" s="741"/>
      <c r="JEH448" s="741"/>
      <c r="JEI448" s="741"/>
      <c r="JEJ448" s="741"/>
      <c r="JEK448" s="741"/>
      <c r="JEL448" s="741"/>
      <c r="JEM448" s="741"/>
      <c r="JEN448" s="741"/>
      <c r="JEO448" s="741"/>
      <c r="JEP448" s="741"/>
      <c r="JEQ448" s="741"/>
      <c r="JER448" s="741"/>
      <c r="JES448" s="741"/>
      <c r="JET448" s="741"/>
      <c r="JEU448" s="741"/>
      <c r="JEV448" s="741"/>
      <c r="JEW448" s="741"/>
      <c r="JEX448" s="741"/>
      <c r="JEY448" s="741"/>
      <c r="JEZ448" s="741"/>
      <c r="JFA448" s="741"/>
      <c r="JFB448" s="741"/>
      <c r="JFC448" s="741"/>
      <c r="JFD448" s="741"/>
      <c r="JFE448" s="741"/>
      <c r="JFF448" s="741"/>
      <c r="JFG448" s="741"/>
      <c r="JFH448" s="741"/>
      <c r="JFI448" s="741"/>
      <c r="JFJ448" s="741"/>
      <c r="JFK448" s="741"/>
      <c r="JFL448" s="741"/>
      <c r="JFM448" s="741"/>
      <c r="JFN448" s="741"/>
      <c r="JFO448" s="741"/>
      <c r="JFP448" s="741"/>
      <c r="JFQ448" s="741"/>
      <c r="JFR448" s="741"/>
      <c r="JFS448" s="741"/>
      <c r="JFT448" s="741"/>
      <c r="JFU448" s="741"/>
      <c r="JFV448" s="741"/>
      <c r="JFW448" s="741"/>
      <c r="JFX448" s="741"/>
      <c r="JFY448" s="741"/>
      <c r="JFZ448" s="741"/>
      <c r="JGA448" s="741"/>
      <c r="JGB448" s="741"/>
      <c r="JGC448" s="741"/>
      <c r="JGD448" s="741"/>
      <c r="JGE448" s="741"/>
      <c r="JGF448" s="741"/>
      <c r="JGG448" s="741"/>
      <c r="JGH448" s="741"/>
      <c r="JGI448" s="741"/>
      <c r="JGJ448" s="741"/>
      <c r="JGK448" s="741"/>
      <c r="JGL448" s="741"/>
      <c r="JGM448" s="741"/>
      <c r="JGN448" s="741"/>
      <c r="JGO448" s="741"/>
      <c r="JGP448" s="741"/>
      <c r="JGQ448" s="741"/>
      <c r="JGR448" s="741"/>
      <c r="JGS448" s="741"/>
      <c r="JGT448" s="741"/>
      <c r="JGU448" s="741"/>
      <c r="JGV448" s="741"/>
      <c r="JGW448" s="741"/>
      <c r="JGX448" s="741"/>
      <c r="JGY448" s="741"/>
      <c r="JGZ448" s="741"/>
      <c r="JHA448" s="741"/>
      <c r="JHB448" s="741"/>
      <c r="JHC448" s="741"/>
      <c r="JHD448" s="741"/>
      <c r="JHE448" s="741"/>
      <c r="JHF448" s="741"/>
      <c r="JHG448" s="741"/>
      <c r="JHH448" s="741"/>
      <c r="JHI448" s="741"/>
      <c r="JHJ448" s="741"/>
      <c r="JHK448" s="741"/>
      <c r="JHL448" s="741"/>
      <c r="JHM448" s="741"/>
      <c r="JHN448" s="741"/>
      <c r="JHO448" s="741"/>
      <c r="JHP448" s="741"/>
      <c r="JHQ448" s="741"/>
      <c r="JHR448" s="741"/>
      <c r="JHS448" s="741"/>
      <c r="JHT448" s="741"/>
      <c r="JHU448" s="741"/>
      <c r="JHV448" s="741"/>
      <c r="JHW448" s="741"/>
      <c r="JHX448" s="741"/>
      <c r="JHY448" s="741"/>
      <c r="JHZ448" s="741"/>
      <c r="JIA448" s="741"/>
      <c r="JIB448" s="741"/>
      <c r="JIC448" s="741"/>
      <c r="JID448" s="741"/>
      <c r="JIE448" s="741"/>
      <c r="JIF448" s="741"/>
      <c r="JIG448" s="741"/>
      <c r="JIH448" s="741"/>
      <c r="JII448" s="741"/>
      <c r="JIJ448" s="741"/>
      <c r="JIK448" s="741"/>
      <c r="JIL448" s="741"/>
      <c r="JIM448" s="741"/>
      <c r="JIN448" s="741"/>
      <c r="JIO448" s="741"/>
      <c r="JIP448" s="741"/>
      <c r="JIQ448" s="741"/>
      <c r="JIR448" s="741"/>
      <c r="JIS448" s="741"/>
      <c r="JIT448" s="741"/>
      <c r="JIU448" s="741"/>
      <c r="JIV448" s="741"/>
      <c r="JIW448" s="741"/>
      <c r="JIX448" s="741"/>
      <c r="JIY448" s="741"/>
      <c r="JIZ448" s="741"/>
      <c r="JJA448" s="741"/>
      <c r="JJB448" s="741"/>
      <c r="JJC448" s="741"/>
      <c r="JJD448" s="741"/>
      <c r="JJE448" s="741"/>
      <c r="JJF448" s="741"/>
      <c r="JJG448" s="741"/>
      <c r="JJH448" s="741"/>
      <c r="JJI448" s="741"/>
      <c r="JJJ448" s="741"/>
      <c r="JJK448" s="741"/>
      <c r="JJL448" s="741"/>
      <c r="JJM448" s="741"/>
      <c r="JJN448" s="741"/>
      <c r="JJO448" s="741"/>
      <c r="JJP448" s="741"/>
      <c r="JJQ448" s="741"/>
      <c r="JJR448" s="741"/>
      <c r="JJS448" s="741"/>
      <c r="JJT448" s="741"/>
      <c r="JJU448" s="741"/>
      <c r="JJV448" s="741"/>
      <c r="JJW448" s="741"/>
      <c r="JJX448" s="741"/>
      <c r="JJY448" s="741"/>
      <c r="JJZ448" s="741"/>
      <c r="JKA448" s="741"/>
      <c r="JKB448" s="741"/>
      <c r="JKC448" s="741"/>
      <c r="JKD448" s="741"/>
      <c r="JKE448" s="741"/>
      <c r="JKF448" s="741"/>
      <c r="JKG448" s="741"/>
      <c r="JKH448" s="741"/>
      <c r="JKI448" s="741"/>
      <c r="JKJ448" s="741"/>
      <c r="JKK448" s="741"/>
      <c r="JKL448" s="741"/>
      <c r="JKM448" s="741"/>
      <c r="JKN448" s="741"/>
      <c r="JKO448" s="741"/>
      <c r="JKP448" s="741"/>
      <c r="JKQ448" s="741"/>
      <c r="JKR448" s="741"/>
      <c r="JKS448" s="741"/>
      <c r="JKT448" s="741"/>
      <c r="JKU448" s="741"/>
      <c r="JKV448" s="741"/>
      <c r="JKW448" s="741"/>
      <c r="JKX448" s="741"/>
      <c r="JKY448" s="741"/>
      <c r="JKZ448" s="741"/>
      <c r="JLA448" s="741"/>
      <c r="JLB448" s="741"/>
      <c r="JLC448" s="741"/>
      <c r="JLD448" s="741"/>
      <c r="JLE448" s="741"/>
      <c r="JLF448" s="741"/>
      <c r="JLG448" s="741"/>
      <c r="JLH448" s="741"/>
      <c r="JLI448" s="741"/>
      <c r="JLJ448" s="741"/>
      <c r="JLK448" s="741"/>
      <c r="JLL448" s="741"/>
      <c r="JLM448" s="741"/>
      <c r="JLN448" s="741"/>
      <c r="JLO448" s="741"/>
      <c r="JLP448" s="741"/>
      <c r="JLQ448" s="741"/>
      <c r="JLR448" s="741"/>
      <c r="JLS448" s="741"/>
      <c r="JLT448" s="741"/>
      <c r="JLU448" s="741"/>
      <c r="JLV448" s="741"/>
      <c r="JLW448" s="741"/>
      <c r="JLX448" s="741"/>
      <c r="JLY448" s="741"/>
      <c r="JLZ448" s="741"/>
      <c r="JMA448" s="741"/>
      <c r="JMB448" s="741"/>
      <c r="JMC448" s="741"/>
      <c r="JMD448" s="741"/>
      <c r="JME448" s="741"/>
      <c r="JMF448" s="741"/>
      <c r="JMG448" s="741"/>
      <c r="JMH448" s="741"/>
      <c r="JMI448" s="741"/>
      <c r="JMJ448" s="741"/>
      <c r="JMK448" s="741"/>
      <c r="JML448" s="741"/>
      <c r="JMM448" s="741"/>
      <c r="JMN448" s="741"/>
      <c r="JMO448" s="741"/>
      <c r="JMP448" s="741"/>
      <c r="JMQ448" s="741"/>
      <c r="JMR448" s="741"/>
      <c r="JMS448" s="741"/>
      <c r="JMT448" s="741"/>
      <c r="JMU448" s="741"/>
      <c r="JMV448" s="741"/>
      <c r="JMW448" s="741"/>
      <c r="JMX448" s="741"/>
      <c r="JMY448" s="741"/>
      <c r="JMZ448" s="741"/>
      <c r="JNA448" s="741"/>
      <c r="JNB448" s="741"/>
      <c r="JNC448" s="741"/>
      <c r="JND448" s="741"/>
      <c r="JNE448" s="741"/>
      <c r="JNF448" s="741"/>
      <c r="JNG448" s="741"/>
      <c r="JNH448" s="741"/>
      <c r="JNI448" s="741"/>
      <c r="JNJ448" s="741"/>
      <c r="JNK448" s="741"/>
      <c r="JNL448" s="741"/>
      <c r="JNM448" s="741"/>
      <c r="JNN448" s="741"/>
      <c r="JNO448" s="741"/>
      <c r="JNP448" s="741"/>
      <c r="JNQ448" s="741"/>
      <c r="JNR448" s="741"/>
      <c r="JNS448" s="741"/>
      <c r="JNT448" s="741"/>
      <c r="JNU448" s="741"/>
      <c r="JNV448" s="741"/>
      <c r="JNW448" s="741"/>
      <c r="JNX448" s="741"/>
      <c r="JNY448" s="741"/>
      <c r="JNZ448" s="741"/>
      <c r="JOA448" s="741"/>
      <c r="JOB448" s="741"/>
      <c r="JOC448" s="741"/>
      <c r="JOD448" s="741"/>
      <c r="JOE448" s="741"/>
      <c r="JOF448" s="741"/>
      <c r="JOG448" s="741"/>
      <c r="JOH448" s="741"/>
      <c r="JOI448" s="741"/>
      <c r="JOJ448" s="741"/>
      <c r="JOK448" s="741"/>
      <c r="JOL448" s="741"/>
      <c r="JOM448" s="741"/>
      <c r="JON448" s="741"/>
      <c r="JOO448" s="741"/>
      <c r="JOP448" s="741"/>
      <c r="JOQ448" s="741"/>
      <c r="JOR448" s="741"/>
      <c r="JOS448" s="741"/>
      <c r="JOT448" s="741"/>
      <c r="JOU448" s="741"/>
      <c r="JOV448" s="741"/>
      <c r="JOW448" s="741"/>
      <c r="JOX448" s="741"/>
      <c r="JOY448" s="741"/>
      <c r="JOZ448" s="741"/>
      <c r="JPA448" s="741"/>
      <c r="JPB448" s="741"/>
      <c r="JPC448" s="741"/>
      <c r="JPD448" s="741"/>
      <c r="JPE448" s="741"/>
      <c r="JPF448" s="741"/>
      <c r="JPG448" s="741"/>
      <c r="JPH448" s="741"/>
      <c r="JPI448" s="741"/>
      <c r="JPJ448" s="741"/>
      <c r="JPK448" s="741"/>
      <c r="JPL448" s="741"/>
      <c r="JPM448" s="741"/>
      <c r="JPN448" s="741"/>
      <c r="JPO448" s="741"/>
      <c r="JPP448" s="741"/>
      <c r="JPQ448" s="741"/>
      <c r="JPR448" s="741"/>
      <c r="JPS448" s="741"/>
      <c r="JPT448" s="741"/>
      <c r="JPU448" s="741"/>
      <c r="JPV448" s="741"/>
      <c r="JPW448" s="741"/>
      <c r="JPX448" s="741"/>
      <c r="JPY448" s="741"/>
      <c r="JPZ448" s="741"/>
      <c r="JQA448" s="741"/>
      <c r="JQB448" s="741"/>
      <c r="JQC448" s="741"/>
      <c r="JQD448" s="741"/>
      <c r="JQE448" s="741"/>
      <c r="JQF448" s="741"/>
      <c r="JQG448" s="741"/>
      <c r="JQH448" s="741"/>
      <c r="JQI448" s="741"/>
      <c r="JQJ448" s="741"/>
      <c r="JQK448" s="741"/>
      <c r="JQL448" s="741"/>
      <c r="JQM448" s="741"/>
      <c r="JQN448" s="741"/>
      <c r="JQO448" s="741"/>
      <c r="JQP448" s="741"/>
      <c r="JQQ448" s="741"/>
      <c r="JQR448" s="741"/>
      <c r="JQS448" s="741"/>
      <c r="JQT448" s="741"/>
      <c r="JQU448" s="741"/>
      <c r="JQV448" s="741"/>
      <c r="JQW448" s="741"/>
      <c r="JQX448" s="741"/>
      <c r="JQY448" s="741"/>
      <c r="JQZ448" s="741"/>
      <c r="JRA448" s="741"/>
      <c r="JRB448" s="741"/>
      <c r="JRC448" s="741"/>
      <c r="JRD448" s="741"/>
      <c r="JRE448" s="741"/>
      <c r="JRF448" s="741"/>
      <c r="JRG448" s="741"/>
      <c r="JRH448" s="741"/>
      <c r="JRI448" s="741"/>
      <c r="JRJ448" s="741"/>
      <c r="JRK448" s="741"/>
      <c r="JRL448" s="741"/>
      <c r="JRM448" s="741"/>
      <c r="JRN448" s="741"/>
      <c r="JRO448" s="741"/>
      <c r="JRP448" s="741"/>
      <c r="JRQ448" s="741"/>
      <c r="JRR448" s="741"/>
      <c r="JRS448" s="741"/>
      <c r="JRT448" s="741"/>
      <c r="JRU448" s="741"/>
      <c r="JRV448" s="741"/>
      <c r="JRW448" s="741"/>
      <c r="JRX448" s="741"/>
      <c r="JRY448" s="741"/>
      <c r="JRZ448" s="741"/>
      <c r="JSA448" s="741"/>
      <c r="JSB448" s="741"/>
      <c r="JSC448" s="741"/>
      <c r="JSD448" s="741"/>
      <c r="JSE448" s="741"/>
      <c r="JSF448" s="741"/>
      <c r="JSG448" s="741"/>
      <c r="JSH448" s="741"/>
      <c r="JSI448" s="741"/>
      <c r="JSJ448" s="741"/>
      <c r="JSK448" s="741"/>
      <c r="JSL448" s="741"/>
      <c r="JSM448" s="741"/>
      <c r="JSN448" s="741"/>
      <c r="JSO448" s="741"/>
      <c r="JSP448" s="741"/>
      <c r="JSQ448" s="741"/>
      <c r="JSR448" s="741"/>
      <c r="JSS448" s="741"/>
      <c r="JST448" s="741"/>
      <c r="JSU448" s="741"/>
      <c r="JSV448" s="741"/>
      <c r="JSW448" s="741"/>
      <c r="JSX448" s="741"/>
      <c r="JSY448" s="741"/>
      <c r="JSZ448" s="741"/>
      <c r="JTA448" s="741"/>
      <c r="JTB448" s="741"/>
      <c r="JTC448" s="741"/>
      <c r="JTD448" s="741"/>
      <c r="JTE448" s="741"/>
      <c r="JTF448" s="741"/>
      <c r="JTG448" s="741"/>
      <c r="JTH448" s="741"/>
      <c r="JTI448" s="741"/>
      <c r="JTJ448" s="741"/>
      <c r="JTK448" s="741"/>
      <c r="JTL448" s="741"/>
      <c r="JTM448" s="741"/>
      <c r="JTN448" s="741"/>
      <c r="JTO448" s="741"/>
      <c r="JTP448" s="741"/>
      <c r="JTQ448" s="741"/>
      <c r="JTR448" s="741"/>
      <c r="JTS448" s="741"/>
      <c r="JTT448" s="741"/>
      <c r="JTU448" s="741"/>
      <c r="JTV448" s="741"/>
      <c r="JTW448" s="741"/>
      <c r="JTX448" s="741"/>
      <c r="JTY448" s="741"/>
      <c r="JTZ448" s="741"/>
      <c r="JUA448" s="741"/>
      <c r="JUB448" s="741"/>
      <c r="JUC448" s="741"/>
      <c r="JUD448" s="741"/>
      <c r="JUE448" s="741"/>
      <c r="JUF448" s="741"/>
      <c r="JUG448" s="741"/>
      <c r="JUH448" s="741"/>
      <c r="JUI448" s="741"/>
      <c r="JUJ448" s="741"/>
      <c r="JUK448" s="741"/>
      <c r="JUL448" s="741"/>
      <c r="JUM448" s="741"/>
      <c r="JUN448" s="741"/>
      <c r="JUO448" s="741"/>
      <c r="JUP448" s="741"/>
      <c r="JUQ448" s="741"/>
      <c r="JUR448" s="741"/>
      <c r="JUS448" s="741"/>
      <c r="JUT448" s="741"/>
      <c r="JUU448" s="741"/>
      <c r="JUV448" s="741"/>
      <c r="JUW448" s="741"/>
      <c r="JUX448" s="741"/>
      <c r="JUY448" s="741"/>
      <c r="JUZ448" s="741"/>
      <c r="JVA448" s="741"/>
      <c r="JVB448" s="741"/>
      <c r="JVC448" s="741"/>
      <c r="JVD448" s="741"/>
      <c r="JVE448" s="741"/>
      <c r="JVF448" s="741"/>
      <c r="JVG448" s="741"/>
      <c r="JVH448" s="741"/>
      <c r="JVI448" s="741"/>
      <c r="JVJ448" s="741"/>
      <c r="JVK448" s="741"/>
      <c r="JVL448" s="741"/>
      <c r="JVM448" s="741"/>
      <c r="JVN448" s="741"/>
      <c r="JVO448" s="741"/>
      <c r="JVP448" s="741"/>
      <c r="JVQ448" s="741"/>
      <c r="JVR448" s="741"/>
      <c r="JVS448" s="741"/>
      <c r="JVT448" s="741"/>
      <c r="JVU448" s="741"/>
      <c r="JVV448" s="741"/>
      <c r="JVW448" s="741"/>
      <c r="JVX448" s="741"/>
      <c r="JVY448" s="741"/>
      <c r="JVZ448" s="741"/>
      <c r="JWA448" s="741"/>
      <c r="JWB448" s="741"/>
      <c r="JWC448" s="741"/>
      <c r="JWD448" s="741"/>
      <c r="JWE448" s="741"/>
      <c r="JWF448" s="741"/>
      <c r="JWG448" s="741"/>
      <c r="JWH448" s="741"/>
      <c r="JWI448" s="741"/>
      <c r="JWJ448" s="741"/>
      <c r="JWK448" s="741"/>
      <c r="JWL448" s="741"/>
      <c r="JWM448" s="741"/>
      <c r="JWN448" s="741"/>
      <c r="JWO448" s="741"/>
      <c r="JWP448" s="741"/>
      <c r="JWQ448" s="741"/>
      <c r="JWR448" s="741"/>
      <c r="JWS448" s="741"/>
      <c r="JWT448" s="741"/>
      <c r="JWU448" s="741"/>
      <c r="JWV448" s="741"/>
      <c r="JWW448" s="741"/>
      <c r="JWX448" s="741"/>
      <c r="JWY448" s="741"/>
      <c r="JWZ448" s="741"/>
      <c r="JXA448" s="741"/>
      <c r="JXB448" s="741"/>
      <c r="JXC448" s="741"/>
      <c r="JXD448" s="741"/>
      <c r="JXE448" s="741"/>
      <c r="JXF448" s="741"/>
      <c r="JXG448" s="741"/>
      <c r="JXH448" s="741"/>
      <c r="JXI448" s="741"/>
      <c r="JXJ448" s="741"/>
      <c r="JXK448" s="741"/>
      <c r="JXL448" s="741"/>
      <c r="JXM448" s="741"/>
      <c r="JXN448" s="741"/>
      <c r="JXO448" s="741"/>
      <c r="JXP448" s="741"/>
      <c r="JXQ448" s="741"/>
      <c r="JXR448" s="741"/>
      <c r="JXS448" s="741"/>
      <c r="JXT448" s="741"/>
      <c r="JXU448" s="741"/>
      <c r="JXV448" s="741"/>
      <c r="JXW448" s="741"/>
      <c r="JXX448" s="741"/>
      <c r="JXY448" s="741"/>
      <c r="JXZ448" s="741"/>
      <c r="JYA448" s="741"/>
      <c r="JYB448" s="741"/>
      <c r="JYC448" s="741"/>
      <c r="JYD448" s="741"/>
      <c r="JYE448" s="741"/>
      <c r="JYF448" s="741"/>
      <c r="JYG448" s="741"/>
      <c r="JYH448" s="741"/>
      <c r="JYI448" s="741"/>
      <c r="JYJ448" s="741"/>
      <c r="JYK448" s="741"/>
      <c r="JYL448" s="741"/>
      <c r="JYM448" s="741"/>
      <c r="JYN448" s="741"/>
      <c r="JYO448" s="741"/>
      <c r="JYP448" s="741"/>
      <c r="JYQ448" s="741"/>
      <c r="JYR448" s="741"/>
      <c r="JYS448" s="741"/>
      <c r="JYT448" s="741"/>
      <c r="JYU448" s="741"/>
      <c r="JYV448" s="741"/>
      <c r="JYW448" s="741"/>
      <c r="JYX448" s="741"/>
      <c r="JYY448" s="741"/>
      <c r="JYZ448" s="741"/>
      <c r="JZA448" s="741"/>
      <c r="JZB448" s="741"/>
      <c r="JZC448" s="741"/>
      <c r="JZD448" s="741"/>
      <c r="JZE448" s="741"/>
      <c r="JZF448" s="741"/>
      <c r="JZG448" s="741"/>
      <c r="JZH448" s="741"/>
      <c r="JZI448" s="741"/>
      <c r="JZJ448" s="741"/>
      <c r="JZK448" s="741"/>
      <c r="JZL448" s="741"/>
      <c r="JZM448" s="741"/>
      <c r="JZN448" s="741"/>
      <c r="JZO448" s="741"/>
      <c r="JZP448" s="741"/>
      <c r="JZQ448" s="741"/>
      <c r="JZR448" s="741"/>
      <c r="JZS448" s="741"/>
      <c r="JZT448" s="741"/>
      <c r="JZU448" s="741"/>
      <c r="JZV448" s="741"/>
      <c r="JZW448" s="741"/>
      <c r="JZX448" s="741"/>
      <c r="JZY448" s="741"/>
      <c r="JZZ448" s="741"/>
      <c r="KAA448" s="741"/>
      <c r="KAB448" s="741"/>
      <c r="KAC448" s="741"/>
      <c r="KAD448" s="741"/>
      <c r="KAE448" s="741"/>
      <c r="KAF448" s="741"/>
      <c r="KAG448" s="741"/>
      <c r="KAH448" s="741"/>
      <c r="KAI448" s="741"/>
      <c r="KAJ448" s="741"/>
      <c r="KAK448" s="741"/>
      <c r="KAL448" s="741"/>
      <c r="KAM448" s="741"/>
      <c r="KAN448" s="741"/>
      <c r="KAO448" s="741"/>
      <c r="KAP448" s="741"/>
      <c r="KAQ448" s="741"/>
      <c r="KAR448" s="741"/>
      <c r="KAS448" s="741"/>
      <c r="KAT448" s="741"/>
      <c r="KAU448" s="741"/>
      <c r="KAV448" s="741"/>
      <c r="KAW448" s="741"/>
      <c r="KAX448" s="741"/>
      <c r="KAY448" s="741"/>
      <c r="KAZ448" s="741"/>
      <c r="KBA448" s="741"/>
      <c r="KBB448" s="741"/>
      <c r="KBC448" s="741"/>
      <c r="KBD448" s="741"/>
      <c r="KBE448" s="741"/>
      <c r="KBF448" s="741"/>
      <c r="KBG448" s="741"/>
      <c r="KBH448" s="741"/>
      <c r="KBI448" s="741"/>
      <c r="KBJ448" s="741"/>
      <c r="KBK448" s="741"/>
      <c r="KBL448" s="741"/>
      <c r="KBM448" s="741"/>
      <c r="KBN448" s="741"/>
      <c r="KBO448" s="741"/>
      <c r="KBP448" s="741"/>
      <c r="KBQ448" s="741"/>
      <c r="KBR448" s="741"/>
      <c r="KBS448" s="741"/>
      <c r="KBT448" s="741"/>
      <c r="KBU448" s="741"/>
      <c r="KBV448" s="741"/>
      <c r="KBW448" s="741"/>
      <c r="KBX448" s="741"/>
      <c r="KBY448" s="741"/>
      <c r="KBZ448" s="741"/>
      <c r="KCA448" s="741"/>
      <c r="KCB448" s="741"/>
      <c r="KCC448" s="741"/>
      <c r="KCD448" s="741"/>
      <c r="KCE448" s="741"/>
      <c r="KCF448" s="741"/>
      <c r="KCG448" s="741"/>
      <c r="KCH448" s="741"/>
      <c r="KCI448" s="741"/>
      <c r="KCJ448" s="741"/>
      <c r="KCK448" s="741"/>
      <c r="KCL448" s="741"/>
      <c r="KCM448" s="741"/>
      <c r="KCN448" s="741"/>
      <c r="KCO448" s="741"/>
      <c r="KCP448" s="741"/>
      <c r="KCQ448" s="741"/>
      <c r="KCR448" s="741"/>
      <c r="KCS448" s="741"/>
      <c r="KCT448" s="741"/>
      <c r="KCU448" s="741"/>
      <c r="KCV448" s="741"/>
      <c r="KCW448" s="741"/>
      <c r="KCX448" s="741"/>
      <c r="KCY448" s="741"/>
      <c r="KCZ448" s="741"/>
      <c r="KDA448" s="741"/>
      <c r="KDB448" s="741"/>
      <c r="KDC448" s="741"/>
      <c r="KDD448" s="741"/>
      <c r="KDE448" s="741"/>
      <c r="KDF448" s="741"/>
      <c r="KDG448" s="741"/>
      <c r="KDH448" s="741"/>
      <c r="KDI448" s="741"/>
      <c r="KDJ448" s="741"/>
      <c r="KDK448" s="741"/>
      <c r="KDL448" s="741"/>
      <c r="KDM448" s="741"/>
      <c r="KDN448" s="741"/>
      <c r="KDO448" s="741"/>
      <c r="KDP448" s="741"/>
      <c r="KDQ448" s="741"/>
      <c r="KDR448" s="741"/>
      <c r="KDS448" s="741"/>
      <c r="KDT448" s="741"/>
      <c r="KDU448" s="741"/>
      <c r="KDV448" s="741"/>
      <c r="KDW448" s="741"/>
      <c r="KDX448" s="741"/>
      <c r="KDY448" s="741"/>
      <c r="KDZ448" s="741"/>
      <c r="KEA448" s="741"/>
      <c r="KEB448" s="741"/>
      <c r="KEC448" s="741"/>
      <c r="KED448" s="741"/>
      <c r="KEE448" s="741"/>
      <c r="KEF448" s="741"/>
      <c r="KEG448" s="741"/>
      <c r="KEH448" s="741"/>
      <c r="KEI448" s="741"/>
      <c r="KEJ448" s="741"/>
      <c r="KEK448" s="741"/>
      <c r="KEL448" s="741"/>
      <c r="KEM448" s="741"/>
      <c r="KEN448" s="741"/>
      <c r="KEO448" s="741"/>
      <c r="KEP448" s="741"/>
      <c r="KEQ448" s="741"/>
      <c r="KER448" s="741"/>
      <c r="KES448" s="741"/>
      <c r="KET448" s="741"/>
      <c r="KEU448" s="741"/>
      <c r="KEV448" s="741"/>
      <c r="KEW448" s="741"/>
      <c r="KEX448" s="741"/>
      <c r="KEY448" s="741"/>
      <c r="KEZ448" s="741"/>
      <c r="KFA448" s="741"/>
      <c r="KFB448" s="741"/>
      <c r="KFC448" s="741"/>
      <c r="KFD448" s="741"/>
      <c r="KFE448" s="741"/>
      <c r="KFF448" s="741"/>
      <c r="KFG448" s="741"/>
      <c r="KFH448" s="741"/>
      <c r="KFI448" s="741"/>
      <c r="KFJ448" s="741"/>
      <c r="KFK448" s="741"/>
      <c r="KFL448" s="741"/>
      <c r="KFM448" s="741"/>
      <c r="KFN448" s="741"/>
      <c r="KFO448" s="741"/>
      <c r="KFP448" s="741"/>
      <c r="KFQ448" s="741"/>
      <c r="KFR448" s="741"/>
      <c r="KFS448" s="741"/>
      <c r="KFT448" s="741"/>
      <c r="KFU448" s="741"/>
      <c r="KFV448" s="741"/>
      <c r="KFW448" s="741"/>
      <c r="KFX448" s="741"/>
      <c r="KFY448" s="741"/>
      <c r="KFZ448" s="741"/>
      <c r="KGA448" s="741"/>
      <c r="KGB448" s="741"/>
      <c r="KGC448" s="741"/>
      <c r="KGD448" s="741"/>
      <c r="KGE448" s="741"/>
      <c r="KGF448" s="741"/>
      <c r="KGG448" s="741"/>
      <c r="KGH448" s="741"/>
      <c r="KGI448" s="741"/>
      <c r="KGJ448" s="741"/>
      <c r="KGK448" s="741"/>
      <c r="KGL448" s="741"/>
      <c r="KGM448" s="741"/>
      <c r="KGN448" s="741"/>
      <c r="KGO448" s="741"/>
      <c r="KGP448" s="741"/>
      <c r="KGQ448" s="741"/>
      <c r="KGR448" s="741"/>
      <c r="KGS448" s="741"/>
      <c r="KGT448" s="741"/>
      <c r="KGU448" s="741"/>
      <c r="KGV448" s="741"/>
      <c r="KGW448" s="741"/>
      <c r="KGX448" s="741"/>
      <c r="KGY448" s="741"/>
      <c r="KGZ448" s="741"/>
      <c r="KHA448" s="741"/>
      <c r="KHB448" s="741"/>
      <c r="KHC448" s="741"/>
      <c r="KHD448" s="741"/>
      <c r="KHE448" s="741"/>
      <c r="KHF448" s="741"/>
      <c r="KHG448" s="741"/>
      <c r="KHH448" s="741"/>
      <c r="KHI448" s="741"/>
      <c r="KHJ448" s="741"/>
      <c r="KHK448" s="741"/>
      <c r="KHL448" s="741"/>
      <c r="KHM448" s="741"/>
      <c r="KHN448" s="741"/>
      <c r="KHO448" s="741"/>
      <c r="KHP448" s="741"/>
      <c r="KHQ448" s="741"/>
      <c r="KHR448" s="741"/>
      <c r="KHS448" s="741"/>
      <c r="KHT448" s="741"/>
      <c r="KHU448" s="741"/>
      <c r="KHV448" s="741"/>
      <c r="KHW448" s="741"/>
      <c r="KHX448" s="741"/>
      <c r="KHY448" s="741"/>
      <c r="KHZ448" s="741"/>
      <c r="KIA448" s="741"/>
      <c r="KIB448" s="741"/>
      <c r="KIC448" s="741"/>
      <c r="KID448" s="741"/>
      <c r="KIE448" s="741"/>
      <c r="KIF448" s="741"/>
      <c r="KIG448" s="741"/>
      <c r="KIH448" s="741"/>
      <c r="KII448" s="741"/>
      <c r="KIJ448" s="741"/>
      <c r="KIK448" s="741"/>
      <c r="KIL448" s="741"/>
      <c r="KIM448" s="741"/>
      <c r="KIN448" s="741"/>
      <c r="KIO448" s="741"/>
      <c r="KIP448" s="741"/>
      <c r="KIQ448" s="741"/>
      <c r="KIR448" s="741"/>
      <c r="KIS448" s="741"/>
      <c r="KIT448" s="741"/>
      <c r="KIU448" s="741"/>
      <c r="KIV448" s="741"/>
      <c r="KIW448" s="741"/>
      <c r="KIX448" s="741"/>
      <c r="KIY448" s="741"/>
      <c r="KIZ448" s="741"/>
      <c r="KJA448" s="741"/>
      <c r="KJB448" s="741"/>
      <c r="KJC448" s="741"/>
      <c r="KJD448" s="741"/>
      <c r="KJE448" s="741"/>
      <c r="KJF448" s="741"/>
      <c r="KJG448" s="741"/>
      <c r="KJH448" s="741"/>
      <c r="KJI448" s="741"/>
      <c r="KJJ448" s="741"/>
      <c r="KJK448" s="741"/>
      <c r="KJL448" s="741"/>
      <c r="KJM448" s="741"/>
      <c r="KJN448" s="741"/>
      <c r="KJO448" s="741"/>
      <c r="KJP448" s="741"/>
      <c r="KJQ448" s="741"/>
      <c r="KJR448" s="741"/>
      <c r="KJS448" s="741"/>
      <c r="KJT448" s="741"/>
      <c r="KJU448" s="741"/>
      <c r="KJV448" s="741"/>
      <c r="KJW448" s="741"/>
      <c r="KJX448" s="741"/>
      <c r="KJY448" s="741"/>
      <c r="KJZ448" s="741"/>
      <c r="KKA448" s="741"/>
      <c r="KKB448" s="741"/>
      <c r="KKC448" s="741"/>
      <c r="KKD448" s="741"/>
      <c r="KKE448" s="741"/>
      <c r="KKF448" s="741"/>
      <c r="KKG448" s="741"/>
      <c r="KKH448" s="741"/>
      <c r="KKI448" s="741"/>
      <c r="KKJ448" s="741"/>
      <c r="KKK448" s="741"/>
      <c r="KKL448" s="741"/>
      <c r="KKM448" s="741"/>
      <c r="KKN448" s="741"/>
      <c r="KKO448" s="741"/>
      <c r="KKP448" s="741"/>
      <c r="KKQ448" s="741"/>
      <c r="KKR448" s="741"/>
      <c r="KKS448" s="741"/>
      <c r="KKT448" s="741"/>
      <c r="KKU448" s="741"/>
      <c r="KKV448" s="741"/>
      <c r="KKW448" s="741"/>
      <c r="KKX448" s="741"/>
      <c r="KKY448" s="741"/>
      <c r="KKZ448" s="741"/>
      <c r="KLA448" s="741"/>
      <c r="KLB448" s="741"/>
      <c r="KLC448" s="741"/>
      <c r="KLD448" s="741"/>
      <c r="KLE448" s="741"/>
      <c r="KLF448" s="741"/>
      <c r="KLG448" s="741"/>
      <c r="KLH448" s="741"/>
      <c r="KLI448" s="741"/>
      <c r="KLJ448" s="741"/>
      <c r="KLK448" s="741"/>
      <c r="KLL448" s="741"/>
      <c r="KLM448" s="741"/>
      <c r="KLN448" s="741"/>
      <c r="KLO448" s="741"/>
      <c r="KLP448" s="741"/>
      <c r="KLQ448" s="741"/>
      <c r="KLR448" s="741"/>
      <c r="KLS448" s="741"/>
      <c r="KLT448" s="741"/>
      <c r="KLU448" s="741"/>
      <c r="KLV448" s="741"/>
      <c r="KLW448" s="741"/>
      <c r="KLX448" s="741"/>
      <c r="KLY448" s="741"/>
      <c r="KLZ448" s="741"/>
      <c r="KMA448" s="741"/>
      <c r="KMB448" s="741"/>
      <c r="KMC448" s="741"/>
      <c r="KMD448" s="741"/>
      <c r="KME448" s="741"/>
      <c r="KMF448" s="741"/>
      <c r="KMG448" s="741"/>
      <c r="KMH448" s="741"/>
      <c r="KMI448" s="741"/>
      <c r="KMJ448" s="741"/>
      <c r="KMK448" s="741"/>
      <c r="KML448" s="741"/>
      <c r="KMM448" s="741"/>
      <c r="KMN448" s="741"/>
      <c r="KMO448" s="741"/>
      <c r="KMP448" s="741"/>
      <c r="KMQ448" s="741"/>
      <c r="KMR448" s="741"/>
      <c r="KMS448" s="741"/>
      <c r="KMT448" s="741"/>
      <c r="KMU448" s="741"/>
      <c r="KMV448" s="741"/>
      <c r="KMW448" s="741"/>
      <c r="KMX448" s="741"/>
      <c r="KMY448" s="741"/>
      <c r="KMZ448" s="741"/>
      <c r="KNA448" s="741"/>
      <c r="KNB448" s="741"/>
      <c r="KNC448" s="741"/>
      <c r="KND448" s="741"/>
      <c r="KNE448" s="741"/>
      <c r="KNF448" s="741"/>
      <c r="KNG448" s="741"/>
      <c r="KNH448" s="741"/>
      <c r="KNI448" s="741"/>
      <c r="KNJ448" s="741"/>
      <c r="KNK448" s="741"/>
      <c r="KNL448" s="741"/>
      <c r="KNM448" s="741"/>
      <c r="KNN448" s="741"/>
      <c r="KNO448" s="741"/>
      <c r="KNP448" s="741"/>
      <c r="KNQ448" s="741"/>
      <c r="KNR448" s="741"/>
      <c r="KNS448" s="741"/>
      <c r="KNT448" s="741"/>
      <c r="KNU448" s="741"/>
      <c r="KNV448" s="741"/>
      <c r="KNW448" s="741"/>
      <c r="KNX448" s="741"/>
      <c r="KNY448" s="741"/>
      <c r="KNZ448" s="741"/>
      <c r="KOA448" s="741"/>
      <c r="KOB448" s="741"/>
      <c r="KOC448" s="741"/>
      <c r="KOD448" s="741"/>
      <c r="KOE448" s="741"/>
      <c r="KOF448" s="741"/>
      <c r="KOG448" s="741"/>
      <c r="KOH448" s="741"/>
      <c r="KOI448" s="741"/>
      <c r="KOJ448" s="741"/>
      <c r="KOK448" s="741"/>
      <c r="KOL448" s="741"/>
      <c r="KOM448" s="741"/>
      <c r="KON448" s="741"/>
      <c r="KOO448" s="741"/>
      <c r="KOP448" s="741"/>
      <c r="KOQ448" s="741"/>
      <c r="KOR448" s="741"/>
      <c r="KOS448" s="741"/>
      <c r="KOT448" s="741"/>
      <c r="KOU448" s="741"/>
      <c r="KOV448" s="741"/>
      <c r="KOW448" s="741"/>
      <c r="KOX448" s="741"/>
      <c r="KOY448" s="741"/>
      <c r="KOZ448" s="741"/>
      <c r="KPA448" s="741"/>
      <c r="KPB448" s="741"/>
      <c r="KPC448" s="741"/>
      <c r="KPD448" s="741"/>
      <c r="KPE448" s="741"/>
      <c r="KPF448" s="741"/>
      <c r="KPG448" s="741"/>
      <c r="KPH448" s="741"/>
      <c r="KPI448" s="741"/>
      <c r="KPJ448" s="741"/>
      <c r="KPK448" s="741"/>
      <c r="KPL448" s="741"/>
      <c r="KPM448" s="741"/>
      <c r="KPN448" s="741"/>
      <c r="KPO448" s="741"/>
      <c r="KPP448" s="741"/>
      <c r="KPQ448" s="741"/>
      <c r="KPR448" s="741"/>
      <c r="KPS448" s="741"/>
      <c r="KPT448" s="741"/>
      <c r="KPU448" s="741"/>
      <c r="KPV448" s="741"/>
      <c r="KPW448" s="741"/>
      <c r="KPX448" s="741"/>
      <c r="KPY448" s="741"/>
      <c r="KPZ448" s="741"/>
      <c r="KQA448" s="741"/>
      <c r="KQB448" s="741"/>
      <c r="KQC448" s="741"/>
      <c r="KQD448" s="741"/>
      <c r="KQE448" s="741"/>
      <c r="KQF448" s="741"/>
      <c r="KQG448" s="741"/>
      <c r="KQH448" s="741"/>
      <c r="KQI448" s="741"/>
      <c r="KQJ448" s="741"/>
      <c r="KQK448" s="741"/>
      <c r="KQL448" s="741"/>
      <c r="KQM448" s="741"/>
      <c r="KQN448" s="741"/>
      <c r="KQO448" s="741"/>
      <c r="KQP448" s="741"/>
      <c r="KQQ448" s="741"/>
      <c r="KQR448" s="741"/>
      <c r="KQS448" s="741"/>
      <c r="KQT448" s="741"/>
      <c r="KQU448" s="741"/>
      <c r="KQV448" s="741"/>
      <c r="KQW448" s="741"/>
      <c r="KQX448" s="741"/>
      <c r="KQY448" s="741"/>
      <c r="KQZ448" s="741"/>
      <c r="KRA448" s="741"/>
      <c r="KRB448" s="741"/>
      <c r="KRC448" s="741"/>
      <c r="KRD448" s="741"/>
      <c r="KRE448" s="741"/>
      <c r="KRF448" s="741"/>
      <c r="KRG448" s="741"/>
      <c r="KRH448" s="741"/>
      <c r="KRI448" s="741"/>
      <c r="KRJ448" s="741"/>
      <c r="KRK448" s="741"/>
      <c r="KRL448" s="741"/>
      <c r="KRM448" s="741"/>
      <c r="KRN448" s="741"/>
      <c r="KRO448" s="741"/>
      <c r="KRP448" s="741"/>
      <c r="KRQ448" s="741"/>
      <c r="KRR448" s="741"/>
      <c r="KRS448" s="741"/>
      <c r="KRT448" s="741"/>
      <c r="KRU448" s="741"/>
      <c r="KRV448" s="741"/>
      <c r="KRW448" s="741"/>
      <c r="KRX448" s="741"/>
      <c r="KRY448" s="741"/>
      <c r="KRZ448" s="741"/>
      <c r="KSA448" s="741"/>
      <c r="KSB448" s="741"/>
      <c r="KSC448" s="741"/>
      <c r="KSD448" s="741"/>
      <c r="KSE448" s="741"/>
      <c r="KSF448" s="741"/>
      <c r="KSG448" s="741"/>
      <c r="KSH448" s="741"/>
      <c r="KSI448" s="741"/>
      <c r="KSJ448" s="741"/>
      <c r="KSK448" s="741"/>
      <c r="KSL448" s="741"/>
      <c r="KSM448" s="741"/>
      <c r="KSN448" s="741"/>
      <c r="KSO448" s="741"/>
      <c r="KSP448" s="741"/>
      <c r="KSQ448" s="741"/>
      <c r="KSR448" s="741"/>
      <c r="KSS448" s="741"/>
      <c r="KST448" s="741"/>
      <c r="KSU448" s="741"/>
      <c r="KSV448" s="741"/>
      <c r="KSW448" s="741"/>
      <c r="KSX448" s="741"/>
      <c r="KSY448" s="741"/>
      <c r="KSZ448" s="741"/>
      <c r="KTA448" s="741"/>
      <c r="KTB448" s="741"/>
      <c r="KTC448" s="741"/>
      <c r="KTD448" s="741"/>
      <c r="KTE448" s="741"/>
      <c r="KTF448" s="741"/>
      <c r="KTG448" s="741"/>
      <c r="KTH448" s="741"/>
      <c r="KTI448" s="741"/>
      <c r="KTJ448" s="741"/>
      <c r="KTK448" s="741"/>
      <c r="KTL448" s="741"/>
      <c r="KTM448" s="741"/>
      <c r="KTN448" s="741"/>
      <c r="KTO448" s="741"/>
      <c r="KTP448" s="741"/>
      <c r="KTQ448" s="741"/>
      <c r="KTR448" s="741"/>
      <c r="KTS448" s="741"/>
      <c r="KTT448" s="741"/>
      <c r="KTU448" s="741"/>
      <c r="KTV448" s="741"/>
      <c r="KTW448" s="741"/>
      <c r="KTX448" s="741"/>
      <c r="KTY448" s="741"/>
      <c r="KTZ448" s="741"/>
      <c r="KUA448" s="741"/>
      <c r="KUB448" s="741"/>
      <c r="KUC448" s="741"/>
      <c r="KUD448" s="741"/>
      <c r="KUE448" s="741"/>
      <c r="KUF448" s="741"/>
      <c r="KUG448" s="741"/>
      <c r="KUH448" s="741"/>
      <c r="KUI448" s="741"/>
      <c r="KUJ448" s="741"/>
      <c r="KUK448" s="741"/>
      <c r="KUL448" s="741"/>
      <c r="KUM448" s="741"/>
      <c r="KUN448" s="741"/>
      <c r="KUO448" s="741"/>
      <c r="KUP448" s="741"/>
      <c r="KUQ448" s="741"/>
      <c r="KUR448" s="741"/>
      <c r="KUS448" s="741"/>
      <c r="KUT448" s="741"/>
      <c r="KUU448" s="741"/>
      <c r="KUV448" s="741"/>
      <c r="KUW448" s="741"/>
      <c r="KUX448" s="741"/>
      <c r="KUY448" s="741"/>
      <c r="KUZ448" s="741"/>
      <c r="KVA448" s="741"/>
      <c r="KVB448" s="741"/>
      <c r="KVC448" s="741"/>
      <c r="KVD448" s="741"/>
      <c r="KVE448" s="741"/>
      <c r="KVF448" s="741"/>
      <c r="KVG448" s="741"/>
      <c r="KVH448" s="741"/>
      <c r="KVI448" s="741"/>
      <c r="KVJ448" s="741"/>
      <c r="KVK448" s="741"/>
      <c r="KVL448" s="741"/>
      <c r="KVM448" s="741"/>
      <c r="KVN448" s="741"/>
      <c r="KVO448" s="741"/>
      <c r="KVP448" s="741"/>
      <c r="KVQ448" s="741"/>
      <c r="KVR448" s="741"/>
      <c r="KVS448" s="741"/>
      <c r="KVT448" s="741"/>
      <c r="KVU448" s="741"/>
      <c r="KVV448" s="741"/>
      <c r="KVW448" s="741"/>
      <c r="KVX448" s="741"/>
      <c r="KVY448" s="741"/>
      <c r="KVZ448" s="741"/>
      <c r="KWA448" s="741"/>
      <c r="KWB448" s="741"/>
      <c r="KWC448" s="741"/>
      <c r="KWD448" s="741"/>
      <c r="KWE448" s="741"/>
      <c r="KWF448" s="741"/>
      <c r="KWG448" s="741"/>
      <c r="KWH448" s="741"/>
      <c r="KWI448" s="741"/>
      <c r="KWJ448" s="741"/>
      <c r="KWK448" s="741"/>
      <c r="KWL448" s="741"/>
      <c r="KWM448" s="741"/>
      <c r="KWN448" s="741"/>
      <c r="KWO448" s="741"/>
      <c r="KWP448" s="741"/>
      <c r="KWQ448" s="741"/>
      <c r="KWR448" s="741"/>
      <c r="KWS448" s="741"/>
      <c r="KWT448" s="741"/>
      <c r="KWU448" s="741"/>
      <c r="KWV448" s="741"/>
      <c r="KWW448" s="741"/>
      <c r="KWX448" s="741"/>
      <c r="KWY448" s="741"/>
      <c r="KWZ448" s="741"/>
      <c r="KXA448" s="741"/>
      <c r="KXB448" s="741"/>
      <c r="KXC448" s="741"/>
      <c r="KXD448" s="741"/>
      <c r="KXE448" s="741"/>
      <c r="KXF448" s="741"/>
      <c r="KXG448" s="741"/>
      <c r="KXH448" s="741"/>
      <c r="KXI448" s="741"/>
      <c r="KXJ448" s="741"/>
      <c r="KXK448" s="741"/>
      <c r="KXL448" s="741"/>
      <c r="KXM448" s="741"/>
      <c r="KXN448" s="741"/>
      <c r="KXO448" s="741"/>
      <c r="KXP448" s="741"/>
      <c r="KXQ448" s="741"/>
      <c r="KXR448" s="741"/>
      <c r="KXS448" s="741"/>
      <c r="KXT448" s="741"/>
      <c r="KXU448" s="741"/>
      <c r="KXV448" s="741"/>
      <c r="KXW448" s="741"/>
      <c r="KXX448" s="741"/>
      <c r="KXY448" s="741"/>
      <c r="KXZ448" s="741"/>
      <c r="KYA448" s="741"/>
      <c r="KYB448" s="741"/>
      <c r="KYC448" s="741"/>
      <c r="KYD448" s="741"/>
      <c r="KYE448" s="741"/>
      <c r="KYF448" s="741"/>
      <c r="KYG448" s="741"/>
      <c r="KYH448" s="741"/>
      <c r="KYI448" s="741"/>
      <c r="KYJ448" s="741"/>
      <c r="KYK448" s="741"/>
      <c r="KYL448" s="741"/>
      <c r="KYM448" s="741"/>
      <c r="KYN448" s="741"/>
      <c r="KYO448" s="741"/>
      <c r="KYP448" s="741"/>
      <c r="KYQ448" s="741"/>
      <c r="KYR448" s="741"/>
      <c r="KYS448" s="741"/>
      <c r="KYT448" s="741"/>
      <c r="KYU448" s="741"/>
      <c r="KYV448" s="741"/>
      <c r="KYW448" s="741"/>
      <c r="KYX448" s="741"/>
      <c r="KYY448" s="741"/>
      <c r="KYZ448" s="741"/>
      <c r="KZA448" s="741"/>
      <c r="KZB448" s="741"/>
      <c r="KZC448" s="741"/>
      <c r="KZD448" s="741"/>
      <c r="KZE448" s="741"/>
      <c r="KZF448" s="741"/>
      <c r="KZG448" s="741"/>
      <c r="KZH448" s="741"/>
      <c r="KZI448" s="741"/>
      <c r="KZJ448" s="741"/>
      <c r="KZK448" s="741"/>
      <c r="KZL448" s="741"/>
      <c r="KZM448" s="741"/>
      <c r="KZN448" s="741"/>
      <c r="KZO448" s="741"/>
      <c r="KZP448" s="741"/>
      <c r="KZQ448" s="741"/>
      <c r="KZR448" s="741"/>
      <c r="KZS448" s="741"/>
      <c r="KZT448" s="741"/>
      <c r="KZU448" s="741"/>
      <c r="KZV448" s="741"/>
      <c r="KZW448" s="741"/>
      <c r="KZX448" s="741"/>
      <c r="KZY448" s="741"/>
      <c r="KZZ448" s="741"/>
      <c r="LAA448" s="741"/>
      <c r="LAB448" s="741"/>
      <c r="LAC448" s="741"/>
      <c r="LAD448" s="741"/>
      <c r="LAE448" s="741"/>
      <c r="LAF448" s="741"/>
      <c r="LAG448" s="741"/>
      <c r="LAH448" s="741"/>
      <c r="LAI448" s="741"/>
      <c r="LAJ448" s="741"/>
      <c r="LAK448" s="741"/>
      <c r="LAL448" s="741"/>
      <c r="LAM448" s="741"/>
      <c r="LAN448" s="741"/>
      <c r="LAO448" s="741"/>
      <c r="LAP448" s="741"/>
      <c r="LAQ448" s="741"/>
      <c r="LAR448" s="741"/>
      <c r="LAS448" s="741"/>
      <c r="LAT448" s="741"/>
      <c r="LAU448" s="741"/>
      <c r="LAV448" s="741"/>
      <c r="LAW448" s="741"/>
      <c r="LAX448" s="741"/>
      <c r="LAY448" s="741"/>
      <c r="LAZ448" s="741"/>
      <c r="LBA448" s="741"/>
      <c r="LBB448" s="741"/>
      <c r="LBC448" s="741"/>
      <c r="LBD448" s="741"/>
      <c r="LBE448" s="741"/>
      <c r="LBF448" s="741"/>
      <c r="LBG448" s="741"/>
      <c r="LBH448" s="741"/>
      <c r="LBI448" s="741"/>
      <c r="LBJ448" s="741"/>
      <c r="LBK448" s="741"/>
      <c r="LBL448" s="741"/>
      <c r="LBM448" s="741"/>
      <c r="LBN448" s="741"/>
      <c r="LBO448" s="741"/>
      <c r="LBP448" s="741"/>
      <c r="LBQ448" s="741"/>
      <c r="LBR448" s="741"/>
      <c r="LBS448" s="741"/>
      <c r="LBT448" s="741"/>
      <c r="LBU448" s="741"/>
      <c r="LBV448" s="741"/>
      <c r="LBW448" s="741"/>
      <c r="LBX448" s="741"/>
      <c r="LBY448" s="741"/>
      <c r="LBZ448" s="741"/>
      <c r="LCA448" s="741"/>
      <c r="LCB448" s="741"/>
      <c r="LCC448" s="741"/>
      <c r="LCD448" s="741"/>
      <c r="LCE448" s="741"/>
      <c r="LCF448" s="741"/>
      <c r="LCG448" s="741"/>
      <c r="LCH448" s="741"/>
      <c r="LCI448" s="741"/>
      <c r="LCJ448" s="741"/>
      <c r="LCK448" s="741"/>
      <c r="LCL448" s="741"/>
      <c r="LCM448" s="741"/>
      <c r="LCN448" s="741"/>
      <c r="LCO448" s="741"/>
      <c r="LCP448" s="741"/>
      <c r="LCQ448" s="741"/>
      <c r="LCR448" s="741"/>
      <c r="LCS448" s="741"/>
      <c r="LCT448" s="741"/>
      <c r="LCU448" s="741"/>
      <c r="LCV448" s="741"/>
      <c r="LCW448" s="741"/>
      <c r="LCX448" s="741"/>
      <c r="LCY448" s="741"/>
      <c r="LCZ448" s="741"/>
      <c r="LDA448" s="741"/>
      <c r="LDB448" s="741"/>
      <c r="LDC448" s="741"/>
      <c r="LDD448" s="741"/>
      <c r="LDE448" s="741"/>
      <c r="LDF448" s="741"/>
      <c r="LDG448" s="741"/>
      <c r="LDH448" s="741"/>
      <c r="LDI448" s="741"/>
      <c r="LDJ448" s="741"/>
      <c r="LDK448" s="741"/>
      <c r="LDL448" s="741"/>
      <c r="LDM448" s="741"/>
      <c r="LDN448" s="741"/>
      <c r="LDO448" s="741"/>
      <c r="LDP448" s="741"/>
      <c r="LDQ448" s="741"/>
      <c r="LDR448" s="741"/>
      <c r="LDS448" s="741"/>
      <c r="LDT448" s="741"/>
      <c r="LDU448" s="741"/>
      <c r="LDV448" s="741"/>
      <c r="LDW448" s="741"/>
      <c r="LDX448" s="741"/>
      <c r="LDY448" s="741"/>
      <c r="LDZ448" s="741"/>
      <c r="LEA448" s="741"/>
      <c r="LEB448" s="741"/>
      <c r="LEC448" s="741"/>
      <c r="LED448" s="741"/>
      <c r="LEE448" s="741"/>
      <c r="LEF448" s="741"/>
      <c r="LEG448" s="741"/>
      <c r="LEH448" s="741"/>
      <c r="LEI448" s="741"/>
      <c r="LEJ448" s="741"/>
      <c r="LEK448" s="741"/>
      <c r="LEL448" s="741"/>
      <c r="LEM448" s="741"/>
      <c r="LEN448" s="741"/>
      <c r="LEO448" s="741"/>
      <c r="LEP448" s="741"/>
      <c r="LEQ448" s="741"/>
      <c r="LER448" s="741"/>
      <c r="LES448" s="741"/>
      <c r="LET448" s="741"/>
      <c r="LEU448" s="741"/>
      <c r="LEV448" s="741"/>
      <c r="LEW448" s="741"/>
      <c r="LEX448" s="741"/>
      <c r="LEY448" s="741"/>
      <c r="LEZ448" s="741"/>
      <c r="LFA448" s="741"/>
      <c r="LFB448" s="741"/>
      <c r="LFC448" s="741"/>
      <c r="LFD448" s="741"/>
      <c r="LFE448" s="741"/>
      <c r="LFF448" s="741"/>
      <c r="LFG448" s="741"/>
      <c r="LFH448" s="741"/>
      <c r="LFI448" s="741"/>
      <c r="LFJ448" s="741"/>
      <c r="LFK448" s="741"/>
      <c r="LFL448" s="741"/>
      <c r="LFM448" s="741"/>
      <c r="LFN448" s="741"/>
      <c r="LFO448" s="741"/>
      <c r="LFP448" s="741"/>
      <c r="LFQ448" s="741"/>
      <c r="LFR448" s="741"/>
      <c r="LFS448" s="741"/>
      <c r="LFT448" s="741"/>
      <c r="LFU448" s="741"/>
      <c r="LFV448" s="741"/>
      <c r="LFW448" s="741"/>
      <c r="LFX448" s="741"/>
      <c r="LFY448" s="741"/>
      <c r="LFZ448" s="741"/>
      <c r="LGA448" s="741"/>
      <c r="LGB448" s="741"/>
      <c r="LGC448" s="741"/>
      <c r="LGD448" s="741"/>
      <c r="LGE448" s="741"/>
      <c r="LGF448" s="741"/>
      <c r="LGG448" s="741"/>
      <c r="LGH448" s="741"/>
      <c r="LGI448" s="741"/>
      <c r="LGJ448" s="741"/>
      <c r="LGK448" s="741"/>
      <c r="LGL448" s="741"/>
      <c r="LGM448" s="741"/>
      <c r="LGN448" s="741"/>
      <c r="LGO448" s="741"/>
      <c r="LGP448" s="741"/>
      <c r="LGQ448" s="741"/>
      <c r="LGR448" s="741"/>
      <c r="LGS448" s="741"/>
      <c r="LGT448" s="741"/>
      <c r="LGU448" s="741"/>
      <c r="LGV448" s="741"/>
      <c r="LGW448" s="741"/>
      <c r="LGX448" s="741"/>
      <c r="LGY448" s="741"/>
      <c r="LGZ448" s="741"/>
      <c r="LHA448" s="741"/>
      <c r="LHB448" s="741"/>
      <c r="LHC448" s="741"/>
      <c r="LHD448" s="741"/>
      <c r="LHE448" s="741"/>
      <c r="LHF448" s="741"/>
      <c r="LHG448" s="741"/>
      <c r="LHH448" s="741"/>
      <c r="LHI448" s="741"/>
      <c r="LHJ448" s="741"/>
      <c r="LHK448" s="741"/>
      <c r="LHL448" s="741"/>
      <c r="LHM448" s="741"/>
      <c r="LHN448" s="741"/>
      <c r="LHO448" s="741"/>
      <c r="LHP448" s="741"/>
      <c r="LHQ448" s="741"/>
      <c r="LHR448" s="741"/>
      <c r="LHS448" s="741"/>
      <c r="LHT448" s="741"/>
      <c r="LHU448" s="741"/>
      <c r="LHV448" s="741"/>
      <c r="LHW448" s="741"/>
      <c r="LHX448" s="741"/>
      <c r="LHY448" s="741"/>
      <c r="LHZ448" s="741"/>
      <c r="LIA448" s="741"/>
      <c r="LIB448" s="741"/>
      <c r="LIC448" s="741"/>
      <c r="LID448" s="741"/>
      <c r="LIE448" s="741"/>
      <c r="LIF448" s="741"/>
      <c r="LIG448" s="741"/>
      <c r="LIH448" s="741"/>
      <c r="LII448" s="741"/>
      <c r="LIJ448" s="741"/>
      <c r="LIK448" s="741"/>
      <c r="LIL448" s="741"/>
      <c r="LIM448" s="741"/>
      <c r="LIN448" s="741"/>
      <c r="LIO448" s="741"/>
      <c r="LIP448" s="741"/>
      <c r="LIQ448" s="741"/>
      <c r="LIR448" s="741"/>
      <c r="LIS448" s="741"/>
      <c r="LIT448" s="741"/>
      <c r="LIU448" s="741"/>
      <c r="LIV448" s="741"/>
      <c r="LIW448" s="741"/>
      <c r="LIX448" s="741"/>
      <c r="LIY448" s="741"/>
      <c r="LIZ448" s="741"/>
      <c r="LJA448" s="741"/>
      <c r="LJB448" s="741"/>
      <c r="LJC448" s="741"/>
      <c r="LJD448" s="741"/>
      <c r="LJE448" s="741"/>
      <c r="LJF448" s="741"/>
      <c r="LJG448" s="741"/>
      <c r="LJH448" s="741"/>
      <c r="LJI448" s="741"/>
      <c r="LJJ448" s="741"/>
      <c r="LJK448" s="741"/>
      <c r="LJL448" s="741"/>
      <c r="LJM448" s="741"/>
      <c r="LJN448" s="741"/>
      <c r="LJO448" s="741"/>
      <c r="LJP448" s="741"/>
      <c r="LJQ448" s="741"/>
      <c r="LJR448" s="741"/>
      <c r="LJS448" s="741"/>
      <c r="LJT448" s="741"/>
      <c r="LJU448" s="741"/>
      <c r="LJV448" s="741"/>
      <c r="LJW448" s="741"/>
      <c r="LJX448" s="741"/>
      <c r="LJY448" s="741"/>
      <c r="LJZ448" s="741"/>
      <c r="LKA448" s="741"/>
      <c r="LKB448" s="741"/>
      <c r="LKC448" s="741"/>
      <c r="LKD448" s="741"/>
      <c r="LKE448" s="741"/>
      <c r="LKF448" s="741"/>
      <c r="LKG448" s="741"/>
      <c r="LKH448" s="741"/>
      <c r="LKI448" s="741"/>
      <c r="LKJ448" s="741"/>
      <c r="LKK448" s="741"/>
      <c r="LKL448" s="741"/>
      <c r="LKM448" s="741"/>
      <c r="LKN448" s="741"/>
      <c r="LKO448" s="741"/>
      <c r="LKP448" s="741"/>
      <c r="LKQ448" s="741"/>
      <c r="LKR448" s="741"/>
      <c r="LKS448" s="741"/>
      <c r="LKT448" s="741"/>
      <c r="LKU448" s="741"/>
      <c r="LKV448" s="741"/>
      <c r="LKW448" s="741"/>
      <c r="LKX448" s="741"/>
      <c r="LKY448" s="741"/>
      <c r="LKZ448" s="741"/>
      <c r="LLA448" s="741"/>
      <c r="LLB448" s="741"/>
      <c r="LLC448" s="741"/>
      <c r="LLD448" s="741"/>
      <c r="LLE448" s="741"/>
      <c r="LLF448" s="741"/>
      <c r="LLG448" s="741"/>
      <c r="LLH448" s="741"/>
      <c r="LLI448" s="741"/>
      <c r="LLJ448" s="741"/>
      <c r="LLK448" s="741"/>
      <c r="LLL448" s="741"/>
      <c r="LLM448" s="741"/>
      <c r="LLN448" s="741"/>
      <c r="LLO448" s="741"/>
      <c r="LLP448" s="741"/>
      <c r="LLQ448" s="741"/>
      <c r="LLR448" s="741"/>
      <c r="LLS448" s="741"/>
      <c r="LLT448" s="741"/>
      <c r="LLU448" s="741"/>
      <c r="LLV448" s="741"/>
      <c r="LLW448" s="741"/>
      <c r="LLX448" s="741"/>
      <c r="LLY448" s="741"/>
      <c r="LLZ448" s="741"/>
      <c r="LMA448" s="741"/>
      <c r="LMB448" s="741"/>
      <c r="LMC448" s="741"/>
      <c r="LMD448" s="741"/>
      <c r="LME448" s="741"/>
      <c r="LMF448" s="741"/>
      <c r="LMG448" s="741"/>
      <c r="LMH448" s="741"/>
      <c r="LMI448" s="741"/>
      <c r="LMJ448" s="741"/>
      <c r="LMK448" s="741"/>
      <c r="LML448" s="741"/>
      <c r="LMM448" s="741"/>
      <c r="LMN448" s="741"/>
      <c r="LMO448" s="741"/>
      <c r="LMP448" s="741"/>
      <c r="LMQ448" s="741"/>
      <c r="LMR448" s="741"/>
      <c r="LMS448" s="741"/>
      <c r="LMT448" s="741"/>
      <c r="LMU448" s="741"/>
      <c r="LMV448" s="741"/>
      <c r="LMW448" s="741"/>
      <c r="LMX448" s="741"/>
      <c r="LMY448" s="741"/>
      <c r="LMZ448" s="741"/>
      <c r="LNA448" s="741"/>
      <c r="LNB448" s="741"/>
      <c r="LNC448" s="741"/>
      <c r="LND448" s="741"/>
      <c r="LNE448" s="741"/>
      <c r="LNF448" s="741"/>
      <c r="LNG448" s="741"/>
      <c r="LNH448" s="741"/>
      <c r="LNI448" s="741"/>
      <c r="LNJ448" s="741"/>
      <c r="LNK448" s="741"/>
      <c r="LNL448" s="741"/>
      <c r="LNM448" s="741"/>
      <c r="LNN448" s="741"/>
      <c r="LNO448" s="741"/>
      <c r="LNP448" s="741"/>
      <c r="LNQ448" s="741"/>
      <c r="LNR448" s="741"/>
      <c r="LNS448" s="741"/>
      <c r="LNT448" s="741"/>
      <c r="LNU448" s="741"/>
      <c r="LNV448" s="741"/>
      <c r="LNW448" s="741"/>
      <c r="LNX448" s="741"/>
      <c r="LNY448" s="741"/>
      <c r="LNZ448" s="741"/>
      <c r="LOA448" s="741"/>
      <c r="LOB448" s="741"/>
      <c r="LOC448" s="741"/>
      <c r="LOD448" s="741"/>
      <c r="LOE448" s="741"/>
      <c r="LOF448" s="741"/>
      <c r="LOG448" s="741"/>
      <c r="LOH448" s="741"/>
      <c r="LOI448" s="741"/>
      <c r="LOJ448" s="741"/>
      <c r="LOK448" s="741"/>
      <c r="LOL448" s="741"/>
      <c r="LOM448" s="741"/>
      <c r="LON448" s="741"/>
      <c r="LOO448" s="741"/>
      <c r="LOP448" s="741"/>
      <c r="LOQ448" s="741"/>
      <c r="LOR448" s="741"/>
      <c r="LOS448" s="741"/>
      <c r="LOT448" s="741"/>
      <c r="LOU448" s="741"/>
      <c r="LOV448" s="741"/>
      <c r="LOW448" s="741"/>
      <c r="LOX448" s="741"/>
      <c r="LOY448" s="741"/>
      <c r="LOZ448" s="741"/>
      <c r="LPA448" s="741"/>
      <c r="LPB448" s="741"/>
      <c r="LPC448" s="741"/>
      <c r="LPD448" s="741"/>
      <c r="LPE448" s="741"/>
      <c r="LPF448" s="741"/>
      <c r="LPG448" s="741"/>
      <c r="LPH448" s="741"/>
      <c r="LPI448" s="741"/>
      <c r="LPJ448" s="741"/>
      <c r="LPK448" s="741"/>
      <c r="LPL448" s="741"/>
      <c r="LPM448" s="741"/>
      <c r="LPN448" s="741"/>
      <c r="LPO448" s="741"/>
      <c r="LPP448" s="741"/>
      <c r="LPQ448" s="741"/>
      <c r="LPR448" s="741"/>
      <c r="LPS448" s="741"/>
      <c r="LPT448" s="741"/>
      <c r="LPU448" s="741"/>
      <c r="LPV448" s="741"/>
      <c r="LPW448" s="741"/>
      <c r="LPX448" s="741"/>
      <c r="LPY448" s="741"/>
      <c r="LPZ448" s="741"/>
      <c r="LQA448" s="741"/>
      <c r="LQB448" s="741"/>
      <c r="LQC448" s="741"/>
      <c r="LQD448" s="741"/>
      <c r="LQE448" s="741"/>
      <c r="LQF448" s="741"/>
      <c r="LQG448" s="741"/>
      <c r="LQH448" s="741"/>
      <c r="LQI448" s="741"/>
      <c r="LQJ448" s="741"/>
      <c r="LQK448" s="741"/>
      <c r="LQL448" s="741"/>
      <c r="LQM448" s="741"/>
      <c r="LQN448" s="741"/>
      <c r="LQO448" s="741"/>
      <c r="LQP448" s="741"/>
      <c r="LQQ448" s="741"/>
      <c r="LQR448" s="741"/>
      <c r="LQS448" s="741"/>
      <c r="LQT448" s="741"/>
      <c r="LQU448" s="741"/>
      <c r="LQV448" s="741"/>
      <c r="LQW448" s="741"/>
      <c r="LQX448" s="741"/>
      <c r="LQY448" s="741"/>
      <c r="LQZ448" s="741"/>
      <c r="LRA448" s="741"/>
      <c r="LRB448" s="741"/>
      <c r="LRC448" s="741"/>
      <c r="LRD448" s="741"/>
      <c r="LRE448" s="741"/>
      <c r="LRF448" s="741"/>
      <c r="LRG448" s="741"/>
      <c r="LRH448" s="741"/>
      <c r="LRI448" s="741"/>
      <c r="LRJ448" s="741"/>
      <c r="LRK448" s="741"/>
      <c r="LRL448" s="741"/>
      <c r="LRM448" s="741"/>
      <c r="LRN448" s="741"/>
      <c r="LRO448" s="741"/>
      <c r="LRP448" s="741"/>
      <c r="LRQ448" s="741"/>
      <c r="LRR448" s="741"/>
      <c r="LRS448" s="741"/>
      <c r="LRT448" s="741"/>
      <c r="LRU448" s="741"/>
      <c r="LRV448" s="741"/>
      <c r="LRW448" s="741"/>
      <c r="LRX448" s="741"/>
      <c r="LRY448" s="741"/>
      <c r="LRZ448" s="741"/>
      <c r="LSA448" s="741"/>
      <c r="LSB448" s="741"/>
      <c r="LSC448" s="741"/>
      <c r="LSD448" s="741"/>
      <c r="LSE448" s="741"/>
      <c r="LSF448" s="741"/>
      <c r="LSG448" s="741"/>
      <c r="LSH448" s="741"/>
      <c r="LSI448" s="741"/>
      <c r="LSJ448" s="741"/>
      <c r="LSK448" s="741"/>
      <c r="LSL448" s="741"/>
      <c r="LSM448" s="741"/>
      <c r="LSN448" s="741"/>
      <c r="LSO448" s="741"/>
      <c r="LSP448" s="741"/>
      <c r="LSQ448" s="741"/>
      <c r="LSR448" s="741"/>
      <c r="LSS448" s="741"/>
      <c r="LST448" s="741"/>
      <c r="LSU448" s="741"/>
      <c r="LSV448" s="741"/>
      <c r="LSW448" s="741"/>
      <c r="LSX448" s="741"/>
      <c r="LSY448" s="741"/>
      <c r="LSZ448" s="741"/>
      <c r="LTA448" s="741"/>
      <c r="LTB448" s="741"/>
      <c r="LTC448" s="741"/>
      <c r="LTD448" s="741"/>
      <c r="LTE448" s="741"/>
      <c r="LTF448" s="741"/>
      <c r="LTG448" s="741"/>
      <c r="LTH448" s="741"/>
      <c r="LTI448" s="741"/>
      <c r="LTJ448" s="741"/>
      <c r="LTK448" s="741"/>
      <c r="LTL448" s="741"/>
      <c r="LTM448" s="741"/>
      <c r="LTN448" s="741"/>
      <c r="LTO448" s="741"/>
      <c r="LTP448" s="741"/>
      <c r="LTQ448" s="741"/>
      <c r="LTR448" s="741"/>
      <c r="LTS448" s="741"/>
      <c r="LTT448" s="741"/>
      <c r="LTU448" s="741"/>
      <c r="LTV448" s="741"/>
      <c r="LTW448" s="741"/>
      <c r="LTX448" s="741"/>
      <c r="LTY448" s="741"/>
      <c r="LTZ448" s="741"/>
      <c r="LUA448" s="741"/>
      <c r="LUB448" s="741"/>
      <c r="LUC448" s="741"/>
      <c r="LUD448" s="741"/>
      <c r="LUE448" s="741"/>
      <c r="LUF448" s="741"/>
      <c r="LUG448" s="741"/>
      <c r="LUH448" s="741"/>
      <c r="LUI448" s="741"/>
      <c r="LUJ448" s="741"/>
      <c r="LUK448" s="741"/>
      <c r="LUL448" s="741"/>
      <c r="LUM448" s="741"/>
      <c r="LUN448" s="741"/>
      <c r="LUO448" s="741"/>
      <c r="LUP448" s="741"/>
      <c r="LUQ448" s="741"/>
      <c r="LUR448" s="741"/>
      <c r="LUS448" s="741"/>
      <c r="LUT448" s="741"/>
      <c r="LUU448" s="741"/>
      <c r="LUV448" s="741"/>
      <c r="LUW448" s="741"/>
      <c r="LUX448" s="741"/>
      <c r="LUY448" s="741"/>
      <c r="LUZ448" s="741"/>
      <c r="LVA448" s="741"/>
      <c r="LVB448" s="741"/>
      <c r="LVC448" s="741"/>
      <c r="LVD448" s="741"/>
      <c r="LVE448" s="741"/>
      <c r="LVF448" s="741"/>
      <c r="LVG448" s="741"/>
      <c r="LVH448" s="741"/>
      <c r="LVI448" s="741"/>
      <c r="LVJ448" s="741"/>
      <c r="LVK448" s="741"/>
      <c r="LVL448" s="741"/>
      <c r="LVM448" s="741"/>
      <c r="LVN448" s="741"/>
      <c r="LVO448" s="741"/>
      <c r="LVP448" s="741"/>
      <c r="LVQ448" s="741"/>
      <c r="LVR448" s="741"/>
      <c r="LVS448" s="741"/>
      <c r="LVT448" s="741"/>
      <c r="LVU448" s="741"/>
      <c r="LVV448" s="741"/>
      <c r="LVW448" s="741"/>
      <c r="LVX448" s="741"/>
      <c r="LVY448" s="741"/>
      <c r="LVZ448" s="741"/>
      <c r="LWA448" s="741"/>
      <c r="LWB448" s="741"/>
      <c r="LWC448" s="741"/>
      <c r="LWD448" s="741"/>
      <c r="LWE448" s="741"/>
      <c r="LWF448" s="741"/>
      <c r="LWG448" s="741"/>
      <c r="LWH448" s="741"/>
      <c r="LWI448" s="741"/>
      <c r="LWJ448" s="741"/>
      <c r="LWK448" s="741"/>
      <c r="LWL448" s="741"/>
      <c r="LWM448" s="741"/>
      <c r="LWN448" s="741"/>
      <c r="LWO448" s="741"/>
      <c r="LWP448" s="741"/>
      <c r="LWQ448" s="741"/>
      <c r="LWR448" s="741"/>
      <c r="LWS448" s="741"/>
      <c r="LWT448" s="741"/>
      <c r="LWU448" s="741"/>
      <c r="LWV448" s="741"/>
      <c r="LWW448" s="741"/>
      <c r="LWX448" s="741"/>
      <c r="LWY448" s="741"/>
      <c r="LWZ448" s="741"/>
      <c r="LXA448" s="741"/>
      <c r="LXB448" s="741"/>
      <c r="LXC448" s="741"/>
      <c r="LXD448" s="741"/>
      <c r="LXE448" s="741"/>
      <c r="LXF448" s="741"/>
      <c r="LXG448" s="741"/>
      <c r="LXH448" s="741"/>
      <c r="LXI448" s="741"/>
      <c r="LXJ448" s="741"/>
      <c r="LXK448" s="741"/>
      <c r="LXL448" s="741"/>
      <c r="LXM448" s="741"/>
      <c r="LXN448" s="741"/>
      <c r="LXO448" s="741"/>
      <c r="LXP448" s="741"/>
      <c r="LXQ448" s="741"/>
      <c r="LXR448" s="741"/>
      <c r="LXS448" s="741"/>
      <c r="LXT448" s="741"/>
      <c r="LXU448" s="741"/>
      <c r="LXV448" s="741"/>
      <c r="LXW448" s="741"/>
      <c r="LXX448" s="741"/>
      <c r="LXY448" s="741"/>
      <c r="LXZ448" s="741"/>
      <c r="LYA448" s="741"/>
      <c r="LYB448" s="741"/>
      <c r="LYC448" s="741"/>
      <c r="LYD448" s="741"/>
      <c r="LYE448" s="741"/>
      <c r="LYF448" s="741"/>
      <c r="LYG448" s="741"/>
      <c r="LYH448" s="741"/>
      <c r="LYI448" s="741"/>
      <c r="LYJ448" s="741"/>
      <c r="LYK448" s="741"/>
      <c r="LYL448" s="741"/>
      <c r="LYM448" s="741"/>
      <c r="LYN448" s="741"/>
      <c r="LYO448" s="741"/>
      <c r="LYP448" s="741"/>
      <c r="LYQ448" s="741"/>
      <c r="LYR448" s="741"/>
      <c r="LYS448" s="741"/>
      <c r="LYT448" s="741"/>
      <c r="LYU448" s="741"/>
      <c r="LYV448" s="741"/>
      <c r="LYW448" s="741"/>
      <c r="LYX448" s="741"/>
      <c r="LYY448" s="741"/>
      <c r="LYZ448" s="741"/>
      <c r="LZA448" s="741"/>
      <c r="LZB448" s="741"/>
      <c r="LZC448" s="741"/>
      <c r="LZD448" s="741"/>
      <c r="LZE448" s="741"/>
      <c r="LZF448" s="741"/>
      <c r="LZG448" s="741"/>
      <c r="LZH448" s="741"/>
      <c r="LZI448" s="741"/>
      <c r="LZJ448" s="741"/>
      <c r="LZK448" s="741"/>
      <c r="LZL448" s="741"/>
      <c r="LZM448" s="741"/>
      <c r="LZN448" s="741"/>
      <c r="LZO448" s="741"/>
      <c r="LZP448" s="741"/>
      <c r="LZQ448" s="741"/>
      <c r="LZR448" s="741"/>
      <c r="LZS448" s="741"/>
      <c r="LZT448" s="741"/>
      <c r="LZU448" s="741"/>
      <c r="LZV448" s="741"/>
      <c r="LZW448" s="741"/>
      <c r="LZX448" s="741"/>
      <c r="LZY448" s="741"/>
      <c r="LZZ448" s="741"/>
      <c r="MAA448" s="741"/>
      <c r="MAB448" s="741"/>
      <c r="MAC448" s="741"/>
      <c r="MAD448" s="741"/>
      <c r="MAE448" s="741"/>
      <c r="MAF448" s="741"/>
      <c r="MAG448" s="741"/>
      <c r="MAH448" s="741"/>
      <c r="MAI448" s="741"/>
      <c r="MAJ448" s="741"/>
      <c r="MAK448" s="741"/>
      <c r="MAL448" s="741"/>
      <c r="MAM448" s="741"/>
      <c r="MAN448" s="741"/>
      <c r="MAO448" s="741"/>
      <c r="MAP448" s="741"/>
      <c r="MAQ448" s="741"/>
      <c r="MAR448" s="741"/>
      <c r="MAS448" s="741"/>
      <c r="MAT448" s="741"/>
      <c r="MAU448" s="741"/>
      <c r="MAV448" s="741"/>
      <c r="MAW448" s="741"/>
      <c r="MAX448" s="741"/>
      <c r="MAY448" s="741"/>
      <c r="MAZ448" s="741"/>
      <c r="MBA448" s="741"/>
      <c r="MBB448" s="741"/>
      <c r="MBC448" s="741"/>
      <c r="MBD448" s="741"/>
      <c r="MBE448" s="741"/>
      <c r="MBF448" s="741"/>
      <c r="MBG448" s="741"/>
      <c r="MBH448" s="741"/>
      <c r="MBI448" s="741"/>
      <c r="MBJ448" s="741"/>
      <c r="MBK448" s="741"/>
      <c r="MBL448" s="741"/>
      <c r="MBM448" s="741"/>
      <c r="MBN448" s="741"/>
      <c r="MBO448" s="741"/>
      <c r="MBP448" s="741"/>
      <c r="MBQ448" s="741"/>
      <c r="MBR448" s="741"/>
      <c r="MBS448" s="741"/>
      <c r="MBT448" s="741"/>
      <c r="MBU448" s="741"/>
      <c r="MBV448" s="741"/>
      <c r="MBW448" s="741"/>
      <c r="MBX448" s="741"/>
      <c r="MBY448" s="741"/>
      <c r="MBZ448" s="741"/>
      <c r="MCA448" s="741"/>
      <c r="MCB448" s="741"/>
      <c r="MCC448" s="741"/>
      <c r="MCD448" s="741"/>
      <c r="MCE448" s="741"/>
      <c r="MCF448" s="741"/>
      <c r="MCG448" s="741"/>
      <c r="MCH448" s="741"/>
      <c r="MCI448" s="741"/>
      <c r="MCJ448" s="741"/>
      <c r="MCK448" s="741"/>
      <c r="MCL448" s="741"/>
      <c r="MCM448" s="741"/>
      <c r="MCN448" s="741"/>
      <c r="MCO448" s="741"/>
      <c r="MCP448" s="741"/>
      <c r="MCQ448" s="741"/>
      <c r="MCR448" s="741"/>
      <c r="MCS448" s="741"/>
      <c r="MCT448" s="741"/>
      <c r="MCU448" s="741"/>
      <c r="MCV448" s="741"/>
      <c r="MCW448" s="741"/>
      <c r="MCX448" s="741"/>
      <c r="MCY448" s="741"/>
      <c r="MCZ448" s="741"/>
      <c r="MDA448" s="741"/>
      <c r="MDB448" s="741"/>
      <c r="MDC448" s="741"/>
      <c r="MDD448" s="741"/>
      <c r="MDE448" s="741"/>
      <c r="MDF448" s="741"/>
      <c r="MDG448" s="741"/>
      <c r="MDH448" s="741"/>
      <c r="MDI448" s="741"/>
      <c r="MDJ448" s="741"/>
      <c r="MDK448" s="741"/>
      <c r="MDL448" s="741"/>
      <c r="MDM448" s="741"/>
      <c r="MDN448" s="741"/>
      <c r="MDO448" s="741"/>
      <c r="MDP448" s="741"/>
      <c r="MDQ448" s="741"/>
      <c r="MDR448" s="741"/>
      <c r="MDS448" s="741"/>
      <c r="MDT448" s="741"/>
      <c r="MDU448" s="741"/>
      <c r="MDV448" s="741"/>
      <c r="MDW448" s="741"/>
      <c r="MDX448" s="741"/>
      <c r="MDY448" s="741"/>
      <c r="MDZ448" s="741"/>
      <c r="MEA448" s="741"/>
      <c r="MEB448" s="741"/>
      <c r="MEC448" s="741"/>
      <c r="MED448" s="741"/>
      <c r="MEE448" s="741"/>
      <c r="MEF448" s="741"/>
      <c r="MEG448" s="741"/>
      <c r="MEH448" s="741"/>
      <c r="MEI448" s="741"/>
      <c r="MEJ448" s="741"/>
      <c r="MEK448" s="741"/>
      <c r="MEL448" s="741"/>
      <c r="MEM448" s="741"/>
      <c r="MEN448" s="741"/>
      <c r="MEO448" s="741"/>
      <c r="MEP448" s="741"/>
      <c r="MEQ448" s="741"/>
      <c r="MER448" s="741"/>
      <c r="MES448" s="741"/>
      <c r="MET448" s="741"/>
      <c r="MEU448" s="741"/>
      <c r="MEV448" s="741"/>
      <c r="MEW448" s="741"/>
      <c r="MEX448" s="741"/>
      <c r="MEY448" s="741"/>
      <c r="MEZ448" s="741"/>
      <c r="MFA448" s="741"/>
      <c r="MFB448" s="741"/>
      <c r="MFC448" s="741"/>
      <c r="MFD448" s="741"/>
      <c r="MFE448" s="741"/>
      <c r="MFF448" s="741"/>
      <c r="MFG448" s="741"/>
      <c r="MFH448" s="741"/>
      <c r="MFI448" s="741"/>
      <c r="MFJ448" s="741"/>
      <c r="MFK448" s="741"/>
      <c r="MFL448" s="741"/>
      <c r="MFM448" s="741"/>
      <c r="MFN448" s="741"/>
      <c r="MFO448" s="741"/>
      <c r="MFP448" s="741"/>
      <c r="MFQ448" s="741"/>
      <c r="MFR448" s="741"/>
      <c r="MFS448" s="741"/>
      <c r="MFT448" s="741"/>
      <c r="MFU448" s="741"/>
      <c r="MFV448" s="741"/>
      <c r="MFW448" s="741"/>
      <c r="MFX448" s="741"/>
      <c r="MFY448" s="741"/>
      <c r="MFZ448" s="741"/>
      <c r="MGA448" s="741"/>
      <c r="MGB448" s="741"/>
      <c r="MGC448" s="741"/>
      <c r="MGD448" s="741"/>
      <c r="MGE448" s="741"/>
      <c r="MGF448" s="741"/>
      <c r="MGG448" s="741"/>
      <c r="MGH448" s="741"/>
      <c r="MGI448" s="741"/>
      <c r="MGJ448" s="741"/>
      <c r="MGK448" s="741"/>
      <c r="MGL448" s="741"/>
      <c r="MGM448" s="741"/>
      <c r="MGN448" s="741"/>
      <c r="MGO448" s="741"/>
      <c r="MGP448" s="741"/>
      <c r="MGQ448" s="741"/>
      <c r="MGR448" s="741"/>
      <c r="MGS448" s="741"/>
      <c r="MGT448" s="741"/>
      <c r="MGU448" s="741"/>
      <c r="MGV448" s="741"/>
      <c r="MGW448" s="741"/>
      <c r="MGX448" s="741"/>
      <c r="MGY448" s="741"/>
      <c r="MGZ448" s="741"/>
      <c r="MHA448" s="741"/>
      <c r="MHB448" s="741"/>
      <c r="MHC448" s="741"/>
      <c r="MHD448" s="741"/>
      <c r="MHE448" s="741"/>
      <c r="MHF448" s="741"/>
      <c r="MHG448" s="741"/>
      <c r="MHH448" s="741"/>
      <c r="MHI448" s="741"/>
      <c r="MHJ448" s="741"/>
      <c r="MHK448" s="741"/>
      <c r="MHL448" s="741"/>
      <c r="MHM448" s="741"/>
      <c r="MHN448" s="741"/>
      <c r="MHO448" s="741"/>
      <c r="MHP448" s="741"/>
      <c r="MHQ448" s="741"/>
      <c r="MHR448" s="741"/>
      <c r="MHS448" s="741"/>
      <c r="MHT448" s="741"/>
      <c r="MHU448" s="741"/>
      <c r="MHV448" s="741"/>
      <c r="MHW448" s="741"/>
      <c r="MHX448" s="741"/>
      <c r="MHY448" s="741"/>
      <c r="MHZ448" s="741"/>
      <c r="MIA448" s="741"/>
      <c r="MIB448" s="741"/>
      <c r="MIC448" s="741"/>
      <c r="MID448" s="741"/>
      <c r="MIE448" s="741"/>
      <c r="MIF448" s="741"/>
      <c r="MIG448" s="741"/>
      <c r="MIH448" s="741"/>
      <c r="MII448" s="741"/>
      <c r="MIJ448" s="741"/>
      <c r="MIK448" s="741"/>
      <c r="MIL448" s="741"/>
      <c r="MIM448" s="741"/>
      <c r="MIN448" s="741"/>
      <c r="MIO448" s="741"/>
      <c r="MIP448" s="741"/>
      <c r="MIQ448" s="741"/>
      <c r="MIR448" s="741"/>
      <c r="MIS448" s="741"/>
      <c r="MIT448" s="741"/>
      <c r="MIU448" s="741"/>
      <c r="MIV448" s="741"/>
      <c r="MIW448" s="741"/>
      <c r="MIX448" s="741"/>
      <c r="MIY448" s="741"/>
      <c r="MIZ448" s="741"/>
      <c r="MJA448" s="741"/>
      <c r="MJB448" s="741"/>
      <c r="MJC448" s="741"/>
      <c r="MJD448" s="741"/>
      <c r="MJE448" s="741"/>
      <c r="MJF448" s="741"/>
      <c r="MJG448" s="741"/>
      <c r="MJH448" s="741"/>
      <c r="MJI448" s="741"/>
      <c r="MJJ448" s="741"/>
      <c r="MJK448" s="741"/>
      <c r="MJL448" s="741"/>
      <c r="MJM448" s="741"/>
      <c r="MJN448" s="741"/>
      <c r="MJO448" s="741"/>
      <c r="MJP448" s="741"/>
      <c r="MJQ448" s="741"/>
      <c r="MJR448" s="741"/>
      <c r="MJS448" s="741"/>
      <c r="MJT448" s="741"/>
      <c r="MJU448" s="741"/>
      <c r="MJV448" s="741"/>
      <c r="MJW448" s="741"/>
      <c r="MJX448" s="741"/>
      <c r="MJY448" s="741"/>
      <c r="MJZ448" s="741"/>
      <c r="MKA448" s="741"/>
      <c r="MKB448" s="741"/>
      <c r="MKC448" s="741"/>
      <c r="MKD448" s="741"/>
      <c r="MKE448" s="741"/>
      <c r="MKF448" s="741"/>
      <c r="MKG448" s="741"/>
      <c r="MKH448" s="741"/>
      <c r="MKI448" s="741"/>
      <c r="MKJ448" s="741"/>
      <c r="MKK448" s="741"/>
      <c r="MKL448" s="741"/>
      <c r="MKM448" s="741"/>
      <c r="MKN448" s="741"/>
      <c r="MKO448" s="741"/>
      <c r="MKP448" s="741"/>
      <c r="MKQ448" s="741"/>
      <c r="MKR448" s="741"/>
      <c r="MKS448" s="741"/>
      <c r="MKT448" s="741"/>
      <c r="MKU448" s="741"/>
      <c r="MKV448" s="741"/>
      <c r="MKW448" s="741"/>
      <c r="MKX448" s="741"/>
      <c r="MKY448" s="741"/>
      <c r="MKZ448" s="741"/>
      <c r="MLA448" s="741"/>
      <c r="MLB448" s="741"/>
      <c r="MLC448" s="741"/>
      <c r="MLD448" s="741"/>
      <c r="MLE448" s="741"/>
      <c r="MLF448" s="741"/>
      <c r="MLG448" s="741"/>
      <c r="MLH448" s="741"/>
      <c r="MLI448" s="741"/>
      <c r="MLJ448" s="741"/>
      <c r="MLK448" s="741"/>
      <c r="MLL448" s="741"/>
      <c r="MLM448" s="741"/>
      <c r="MLN448" s="741"/>
      <c r="MLO448" s="741"/>
      <c r="MLP448" s="741"/>
      <c r="MLQ448" s="741"/>
      <c r="MLR448" s="741"/>
      <c r="MLS448" s="741"/>
      <c r="MLT448" s="741"/>
      <c r="MLU448" s="741"/>
      <c r="MLV448" s="741"/>
      <c r="MLW448" s="741"/>
      <c r="MLX448" s="741"/>
      <c r="MLY448" s="741"/>
      <c r="MLZ448" s="741"/>
      <c r="MMA448" s="741"/>
      <c r="MMB448" s="741"/>
      <c r="MMC448" s="741"/>
      <c r="MMD448" s="741"/>
      <c r="MME448" s="741"/>
      <c r="MMF448" s="741"/>
      <c r="MMG448" s="741"/>
      <c r="MMH448" s="741"/>
      <c r="MMI448" s="741"/>
      <c r="MMJ448" s="741"/>
      <c r="MMK448" s="741"/>
      <c r="MML448" s="741"/>
      <c r="MMM448" s="741"/>
      <c r="MMN448" s="741"/>
      <c r="MMO448" s="741"/>
      <c r="MMP448" s="741"/>
      <c r="MMQ448" s="741"/>
      <c r="MMR448" s="741"/>
      <c r="MMS448" s="741"/>
      <c r="MMT448" s="741"/>
      <c r="MMU448" s="741"/>
      <c r="MMV448" s="741"/>
      <c r="MMW448" s="741"/>
      <c r="MMX448" s="741"/>
      <c r="MMY448" s="741"/>
      <c r="MMZ448" s="741"/>
      <c r="MNA448" s="741"/>
      <c r="MNB448" s="741"/>
      <c r="MNC448" s="741"/>
      <c r="MND448" s="741"/>
      <c r="MNE448" s="741"/>
      <c r="MNF448" s="741"/>
      <c r="MNG448" s="741"/>
      <c r="MNH448" s="741"/>
      <c r="MNI448" s="741"/>
      <c r="MNJ448" s="741"/>
      <c r="MNK448" s="741"/>
      <c r="MNL448" s="741"/>
      <c r="MNM448" s="741"/>
      <c r="MNN448" s="741"/>
      <c r="MNO448" s="741"/>
      <c r="MNP448" s="741"/>
      <c r="MNQ448" s="741"/>
      <c r="MNR448" s="741"/>
      <c r="MNS448" s="741"/>
      <c r="MNT448" s="741"/>
      <c r="MNU448" s="741"/>
      <c r="MNV448" s="741"/>
      <c r="MNW448" s="741"/>
      <c r="MNX448" s="741"/>
      <c r="MNY448" s="741"/>
      <c r="MNZ448" s="741"/>
      <c r="MOA448" s="741"/>
      <c r="MOB448" s="741"/>
      <c r="MOC448" s="741"/>
      <c r="MOD448" s="741"/>
      <c r="MOE448" s="741"/>
      <c r="MOF448" s="741"/>
      <c r="MOG448" s="741"/>
      <c r="MOH448" s="741"/>
      <c r="MOI448" s="741"/>
      <c r="MOJ448" s="741"/>
      <c r="MOK448" s="741"/>
      <c r="MOL448" s="741"/>
      <c r="MOM448" s="741"/>
      <c r="MON448" s="741"/>
      <c r="MOO448" s="741"/>
      <c r="MOP448" s="741"/>
      <c r="MOQ448" s="741"/>
      <c r="MOR448" s="741"/>
      <c r="MOS448" s="741"/>
      <c r="MOT448" s="741"/>
      <c r="MOU448" s="741"/>
      <c r="MOV448" s="741"/>
      <c r="MOW448" s="741"/>
      <c r="MOX448" s="741"/>
      <c r="MOY448" s="741"/>
      <c r="MOZ448" s="741"/>
      <c r="MPA448" s="741"/>
      <c r="MPB448" s="741"/>
      <c r="MPC448" s="741"/>
      <c r="MPD448" s="741"/>
      <c r="MPE448" s="741"/>
      <c r="MPF448" s="741"/>
      <c r="MPG448" s="741"/>
      <c r="MPH448" s="741"/>
      <c r="MPI448" s="741"/>
      <c r="MPJ448" s="741"/>
      <c r="MPK448" s="741"/>
      <c r="MPL448" s="741"/>
      <c r="MPM448" s="741"/>
      <c r="MPN448" s="741"/>
      <c r="MPO448" s="741"/>
      <c r="MPP448" s="741"/>
      <c r="MPQ448" s="741"/>
      <c r="MPR448" s="741"/>
      <c r="MPS448" s="741"/>
      <c r="MPT448" s="741"/>
      <c r="MPU448" s="741"/>
      <c r="MPV448" s="741"/>
      <c r="MPW448" s="741"/>
      <c r="MPX448" s="741"/>
      <c r="MPY448" s="741"/>
      <c r="MPZ448" s="741"/>
      <c r="MQA448" s="741"/>
      <c r="MQB448" s="741"/>
      <c r="MQC448" s="741"/>
      <c r="MQD448" s="741"/>
      <c r="MQE448" s="741"/>
      <c r="MQF448" s="741"/>
      <c r="MQG448" s="741"/>
      <c r="MQH448" s="741"/>
      <c r="MQI448" s="741"/>
      <c r="MQJ448" s="741"/>
      <c r="MQK448" s="741"/>
      <c r="MQL448" s="741"/>
      <c r="MQM448" s="741"/>
      <c r="MQN448" s="741"/>
      <c r="MQO448" s="741"/>
      <c r="MQP448" s="741"/>
      <c r="MQQ448" s="741"/>
      <c r="MQR448" s="741"/>
      <c r="MQS448" s="741"/>
      <c r="MQT448" s="741"/>
      <c r="MQU448" s="741"/>
      <c r="MQV448" s="741"/>
      <c r="MQW448" s="741"/>
      <c r="MQX448" s="741"/>
      <c r="MQY448" s="741"/>
      <c r="MQZ448" s="741"/>
      <c r="MRA448" s="741"/>
      <c r="MRB448" s="741"/>
      <c r="MRC448" s="741"/>
      <c r="MRD448" s="741"/>
      <c r="MRE448" s="741"/>
      <c r="MRF448" s="741"/>
      <c r="MRG448" s="741"/>
      <c r="MRH448" s="741"/>
      <c r="MRI448" s="741"/>
      <c r="MRJ448" s="741"/>
      <c r="MRK448" s="741"/>
      <c r="MRL448" s="741"/>
      <c r="MRM448" s="741"/>
      <c r="MRN448" s="741"/>
      <c r="MRO448" s="741"/>
      <c r="MRP448" s="741"/>
      <c r="MRQ448" s="741"/>
      <c r="MRR448" s="741"/>
      <c r="MRS448" s="741"/>
      <c r="MRT448" s="741"/>
      <c r="MRU448" s="741"/>
      <c r="MRV448" s="741"/>
      <c r="MRW448" s="741"/>
      <c r="MRX448" s="741"/>
      <c r="MRY448" s="741"/>
      <c r="MRZ448" s="741"/>
      <c r="MSA448" s="741"/>
      <c r="MSB448" s="741"/>
      <c r="MSC448" s="741"/>
      <c r="MSD448" s="741"/>
      <c r="MSE448" s="741"/>
      <c r="MSF448" s="741"/>
      <c r="MSG448" s="741"/>
      <c r="MSH448" s="741"/>
      <c r="MSI448" s="741"/>
      <c r="MSJ448" s="741"/>
      <c r="MSK448" s="741"/>
      <c r="MSL448" s="741"/>
      <c r="MSM448" s="741"/>
      <c r="MSN448" s="741"/>
      <c r="MSO448" s="741"/>
      <c r="MSP448" s="741"/>
      <c r="MSQ448" s="741"/>
      <c r="MSR448" s="741"/>
      <c r="MSS448" s="741"/>
      <c r="MST448" s="741"/>
      <c r="MSU448" s="741"/>
      <c r="MSV448" s="741"/>
      <c r="MSW448" s="741"/>
      <c r="MSX448" s="741"/>
      <c r="MSY448" s="741"/>
      <c r="MSZ448" s="741"/>
      <c r="MTA448" s="741"/>
      <c r="MTB448" s="741"/>
      <c r="MTC448" s="741"/>
      <c r="MTD448" s="741"/>
      <c r="MTE448" s="741"/>
      <c r="MTF448" s="741"/>
      <c r="MTG448" s="741"/>
      <c r="MTH448" s="741"/>
      <c r="MTI448" s="741"/>
      <c r="MTJ448" s="741"/>
      <c r="MTK448" s="741"/>
      <c r="MTL448" s="741"/>
      <c r="MTM448" s="741"/>
      <c r="MTN448" s="741"/>
      <c r="MTO448" s="741"/>
      <c r="MTP448" s="741"/>
      <c r="MTQ448" s="741"/>
      <c r="MTR448" s="741"/>
      <c r="MTS448" s="741"/>
      <c r="MTT448" s="741"/>
      <c r="MTU448" s="741"/>
      <c r="MTV448" s="741"/>
      <c r="MTW448" s="741"/>
      <c r="MTX448" s="741"/>
      <c r="MTY448" s="741"/>
      <c r="MTZ448" s="741"/>
      <c r="MUA448" s="741"/>
      <c r="MUB448" s="741"/>
      <c r="MUC448" s="741"/>
      <c r="MUD448" s="741"/>
      <c r="MUE448" s="741"/>
      <c r="MUF448" s="741"/>
      <c r="MUG448" s="741"/>
      <c r="MUH448" s="741"/>
      <c r="MUI448" s="741"/>
      <c r="MUJ448" s="741"/>
      <c r="MUK448" s="741"/>
      <c r="MUL448" s="741"/>
      <c r="MUM448" s="741"/>
      <c r="MUN448" s="741"/>
      <c r="MUO448" s="741"/>
      <c r="MUP448" s="741"/>
      <c r="MUQ448" s="741"/>
      <c r="MUR448" s="741"/>
      <c r="MUS448" s="741"/>
      <c r="MUT448" s="741"/>
      <c r="MUU448" s="741"/>
      <c r="MUV448" s="741"/>
      <c r="MUW448" s="741"/>
      <c r="MUX448" s="741"/>
      <c r="MUY448" s="741"/>
      <c r="MUZ448" s="741"/>
      <c r="MVA448" s="741"/>
      <c r="MVB448" s="741"/>
      <c r="MVC448" s="741"/>
      <c r="MVD448" s="741"/>
      <c r="MVE448" s="741"/>
      <c r="MVF448" s="741"/>
      <c r="MVG448" s="741"/>
      <c r="MVH448" s="741"/>
      <c r="MVI448" s="741"/>
      <c r="MVJ448" s="741"/>
      <c r="MVK448" s="741"/>
      <c r="MVL448" s="741"/>
      <c r="MVM448" s="741"/>
      <c r="MVN448" s="741"/>
      <c r="MVO448" s="741"/>
      <c r="MVP448" s="741"/>
      <c r="MVQ448" s="741"/>
      <c r="MVR448" s="741"/>
      <c r="MVS448" s="741"/>
      <c r="MVT448" s="741"/>
      <c r="MVU448" s="741"/>
      <c r="MVV448" s="741"/>
      <c r="MVW448" s="741"/>
      <c r="MVX448" s="741"/>
      <c r="MVY448" s="741"/>
      <c r="MVZ448" s="741"/>
      <c r="MWA448" s="741"/>
      <c r="MWB448" s="741"/>
      <c r="MWC448" s="741"/>
      <c r="MWD448" s="741"/>
      <c r="MWE448" s="741"/>
      <c r="MWF448" s="741"/>
      <c r="MWG448" s="741"/>
      <c r="MWH448" s="741"/>
      <c r="MWI448" s="741"/>
      <c r="MWJ448" s="741"/>
      <c r="MWK448" s="741"/>
      <c r="MWL448" s="741"/>
      <c r="MWM448" s="741"/>
      <c r="MWN448" s="741"/>
      <c r="MWO448" s="741"/>
      <c r="MWP448" s="741"/>
      <c r="MWQ448" s="741"/>
      <c r="MWR448" s="741"/>
      <c r="MWS448" s="741"/>
      <c r="MWT448" s="741"/>
      <c r="MWU448" s="741"/>
      <c r="MWV448" s="741"/>
      <c r="MWW448" s="741"/>
      <c r="MWX448" s="741"/>
      <c r="MWY448" s="741"/>
      <c r="MWZ448" s="741"/>
      <c r="MXA448" s="741"/>
      <c r="MXB448" s="741"/>
      <c r="MXC448" s="741"/>
      <c r="MXD448" s="741"/>
      <c r="MXE448" s="741"/>
      <c r="MXF448" s="741"/>
      <c r="MXG448" s="741"/>
      <c r="MXH448" s="741"/>
      <c r="MXI448" s="741"/>
      <c r="MXJ448" s="741"/>
      <c r="MXK448" s="741"/>
      <c r="MXL448" s="741"/>
      <c r="MXM448" s="741"/>
      <c r="MXN448" s="741"/>
      <c r="MXO448" s="741"/>
      <c r="MXP448" s="741"/>
      <c r="MXQ448" s="741"/>
      <c r="MXR448" s="741"/>
      <c r="MXS448" s="741"/>
      <c r="MXT448" s="741"/>
      <c r="MXU448" s="741"/>
      <c r="MXV448" s="741"/>
      <c r="MXW448" s="741"/>
      <c r="MXX448" s="741"/>
      <c r="MXY448" s="741"/>
      <c r="MXZ448" s="741"/>
      <c r="MYA448" s="741"/>
      <c r="MYB448" s="741"/>
      <c r="MYC448" s="741"/>
      <c r="MYD448" s="741"/>
      <c r="MYE448" s="741"/>
      <c r="MYF448" s="741"/>
      <c r="MYG448" s="741"/>
      <c r="MYH448" s="741"/>
      <c r="MYI448" s="741"/>
      <c r="MYJ448" s="741"/>
      <c r="MYK448" s="741"/>
      <c r="MYL448" s="741"/>
      <c r="MYM448" s="741"/>
      <c r="MYN448" s="741"/>
      <c r="MYO448" s="741"/>
      <c r="MYP448" s="741"/>
      <c r="MYQ448" s="741"/>
      <c r="MYR448" s="741"/>
      <c r="MYS448" s="741"/>
      <c r="MYT448" s="741"/>
      <c r="MYU448" s="741"/>
      <c r="MYV448" s="741"/>
      <c r="MYW448" s="741"/>
      <c r="MYX448" s="741"/>
      <c r="MYY448" s="741"/>
      <c r="MYZ448" s="741"/>
      <c r="MZA448" s="741"/>
      <c r="MZB448" s="741"/>
      <c r="MZC448" s="741"/>
      <c r="MZD448" s="741"/>
      <c r="MZE448" s="741"/>
      <c r="MZF448" s="741"/>
      <c r="MZG448" s="741"/>
      <c r="MZH448" s="741"/>
      <c r="MZI448" s="741"/>
      <c r="MZJ448" s="741"/>
      <c r="MZK448" s="741"/>
      <c r="MZL448" s="741"/>
      <c r="MZM448" s="741"/>
      <c r="MZN448" s="741"/>
      <c r="MZO448" s="741"/>
      <c r="MZP448" s="741"/>
      <c r="MZQ448" s="741"/>
      <c r="MZR448" s="741"/>
      <c r="MZS448" s="741"/>
      <c r="MZT448" s="741"/>
      <c r="MZU448" s="741"/>
      <c r="MZV448" s="741"/>
      <c r="MZW448" s="741"/>
      <c r="MZX448" s="741"/>
      <c r="MZY448" s="741"/>
      <c r="MZZ448" s="741"/>
      <c r="NAA448" s="741"/>
      <c r="NAB448" s="741"/>
      <c r="NAC448" s="741"/>
      <c r="NAD448" s="741"/>
      <c r="NAE448" s="741"/>
      <c r="NAF448" s="741"/>
      <c r="NAG448" s="741"/>
      <c r="NAH448" s="741"/>
      <c r="NAI448" s="741"/>
      <c r="NAJ448" s="741"/>
      <c r="NAK448" s="741"/>
      <c r="NAL448" s="741"/>
      <c r="NAM448" s="741"/>
      <c r="NAN448" s="741"/>
      <c r="NAO448" s="741"/>
      <c r="NAP448" s="741"/>
      <c r="NAQ448" s="741"/>
      <c r="NAR448" s="741"/>
      <c r="NAS448" s="741"/>
      <c r="NAT448" s="741"/>
      <c r="NAU448" s="741"/>
      <c r="NAV448" s="741"/>
      <c r="NAW448" s="741"/>
      <c r="NAX448" s="741"/>
      <c r="NAY448" s="741"/>
      <c r="NAZ448" s="741"/>
      <c r="NBA448" s="741"/>
      <c r="NBB448" s="741"/>
      <c r="NBC448" s="741"/>
      <c r="NBD448" s="741"/>
      <c r="NBE448" s="741"/>
      <c r="NBF448" s="741"/>
      <c r="NBG448" s="741"/>
      <c r="NBH448" s="741"/>
      <c r="NBI448" s="741"/>
      <c r="NBJ448" s="741"/>
      <c r="NBK448" s="741"/>
      <c r="NBL448" s="741"/>
      <c r="NBM448" s="741"/>
      <c r="NBN448" s="741"/>
      <c r="NBO448" s="741"/>
      <c r="NBP448" s="741"/>
      <c r="NBQ448" s="741"/>
      <c r="NBR448" s="741"/>
      <c r="NBS448" s="741"/>
      <c r="NBT448" s="741"/>
      <c r="NBU448" s="741"/>
      <c r="NBV448" s="741"/>
      <c r="NBW448" s="741"/>
      <c r="NBX448" s="741"/>
      <c r="NBY448" s="741"/>
      <c r="NBZ448" s="741"/>
      <c r="NCA448" s="741"/>
      <c r="NCB448" s="741"/>
      <c r="NCC448" s="741"/>
      <c r="NCD448" s="741"/>
      <c r="NCE448" s="741"/>
      <c r="NCF448" s="741"/>
      <c r="NCG448" s="741"/>
      <c r="NCH448" s="741"/>
      <c r="NCI448" s="741"/>
      <c r="NCJ448" s="741"/>
      <c r="NCK448" s="741"/>
      <c r="NCL448" s="741"/>
      <c r="NCM448" s="741"/>
      <c r="NCN448" s="741"/>
      <c r="NCO448" s="741"/>
      <c r="NCP448" s="741"/>
      <c r="NCQ448" s="741"/>
      <c r="NCR448" s="741"/>
      <c r="NCS448" s="741"/>
      <c r="NCT448" s="741"/>
      <c r="NCU448" s="741"/>
      <c r="NCV448" s="741"/>
      <c r="NCW448" s="741"/>
      <c r="NCX448" s="741"/>
      <c r="NCY448" s="741"/>
      <c r="NCZ448" s="741"/>
      <c r="NDA448" s="741"/>
      <c r="NDB448" s="741"/>
      <c r="NDC448" s="741"/>
      <c r="NDD448" s="741"/>
      <c r="NDE448" s="741"/>
      <c r="NDF448" s="741"/>
      <c r="NDG448" s="741"/>
      <c r="NDH448" s="741"/>
      <c r="NDI448" s="741"/>
      <c r="NDJ448" s="741"/>
      <c r="NDK448" s="741"/>
      <c r="NDL448" s="741"/>
      <c r="NDM448" s="741"/>
      <c r="NDN448" s="741"/>
      <c r="NDO448" s="741"/>
      <c r="NDP448" s="741"/>
      <c r="NDQ448" s="741"/>
      <c r="NDR448" s="741"/>
      <c r="NDS448" s="741"/>
      <c r="NDT448" s="741"/>
      <c r="NDU448" s="741"/>
      <c r="NDV448" s="741"/>
      <c r="NDW448" s="741"/>
      <c r="NDX448" s="741"/>
      <c r="NDY448" s="741"/>
      <c r="NDZ448" s="741"/>
      <c r="NEA448" s="741"/>
      <c r="NEB448" s="741"/>
      <c r="NEC448" s="741"/>
      <c r="NED448" s="741"/>
      <c r="NEE448" s="741"/>
      <c r="NEF448" s="741"/>
      <c r="NEG448" s="741"/>
      <c r="NEH448" s="741"/>
      <c r="NEI448" s="741"/>
      <c r="NEJ448" s="741"/>
      <c r="NEK448" s="741"/>
      <c r="NEL448" s="741"/>
      <c r="NEM448" s="741"/>
      <c r="NEN448" s="741"/>
      <c r="NEO448" s="741"/>
      <c r="NEP448" s="741"/>
      <c r="NEQ448" s="741"/>
      <c r="NER448" s="741"/>
      <c r="NES448" s="741"/>
      <c r="NET448" s="741"/>
      <c r="NEU448" s="741"/>
      <c r="NEV448" s="741"/>
      <c r="NEW448" s="741"/>
      <c r="NEX448" s="741"/>
      <c r="NEY448" s="741"/>
      <c r="NEZ448" s="741"/>
      <c r="NFA448" s="741"/>
      <c r="NFB448" s="741"/>
      <c r="NFC448" s="741"/>
      <c r="NFD448" s="741"/>
      <c r="NFE448" s="741"/>
      <c r="NFF448" s="741"/>
      <c r="NFG448" s="741"/>
      <c r="NFH448" s="741"/>
      <c r="NFI448" s="741"/>
      <c r="NFJ448" s="741"/>
      <c r="NFK448" s="741"/>
      <c r="NFL448" s="741"/>
      <c r="NFM448" s="741"/>
      <c r="NFN448" s="741"/>
      <c r="NFO448" s="741"/>
      <c r="NFP448" s="741"/>
      <c r="NFQ448" s="741"/>
      <c r="NFR448" s="741"/>
      <c r="NFS448" s="741"/>
      <c r="NFT448" s="741"/>
      <c r="NFU448" s="741"/>
      <c r="NFV448" s="741"/>
      <c r="NFW448" s="741"/>
      <c r="NFX448" s="741"/>
      <c r="NFY448" s="741"/>
      <c r="NFZ448" s="741"/>
      <c r="NGA448" s="741"/>
      <c r="NGB448" s="741"/>
      <c r="NGC448" s="741"/>
      <c r="NGD448" s="741"/>
      <c r="NGE448" s="741"/>
      <c r="NGF448" s="741"/>
      <c r="NGG448" s="741"/>
      <c r="NGH448" s="741"/>
      <c r="NGI448" s="741"/>
      <c r="NGJ448" s="741"/>
      <c r="NGK448" s="741"/>
      <c r="NGL448" s="741"/>
      <c r="NGM448" s="741"/>
      <c r="NGN448" s="741"/>
      <c r="NGO448" s="741"/>
      <c r="NGP448" s="741"/>
      <c r="NGQ448" s="741"/>
      <c r="NGR448" s="741"/>
      <c r="NGS448" s="741"/>
      <c r="NGT448" s="741"/>
      <c r="NGU448" s="741"/>
      <c r="NGV448" s="741"/>
      <c r="NGW448" s="741"/>
      <c r="NGX448" s="741"/>
      <c r="NGY448" s="741"/>
      <c r="NGZ448" s="741"/>
      <c r="NHA448" s="741"/>
      <c r="NHB448" s="741"/>
      <c r="NHC448" s="741"/>
      <c r="NHD448" s="741"/>
      <c r="NHE448" s="741"/>
      <c r="NHF448" s="741"/>
      <c r="NHG448" s="741"/>
      <c r="NHH448" s="741"/>
      <c r="NHI448" s="741"/>
      <c r="NHJ448" s="741"/>
      <c r="NHK448" s="741"/>
      <c r="NHL448" s="741"/>
      <c r="NHM448" s="741"/>
      <c r="NHN448" s="741"/>
      <c r="NHO448" s="741"/>
      <c r="NHP448" s="741"/>
      <c r="NHQ448" s="741"/>
      <c r="NHR448" s="741"/>
      <c r="NHS448" s="741"/>
      <c r="NHT448" s="741"/>
      <c r="NHU448" s="741"/>
      <c r="NHV448" s="741"/>
      <c r="NHW448" s="741"/>
      <c r="NHX448" s="741"/>
      <c r="NHY448" s="741"/>
      <c r="NHZ448" s="741"/>
      <c r="NIA448" s="741"/>
      <c r="NIB448" s="741"/>
      <c r="NIC448" s="741"/>
      <c r="NID448" s="741"/>
      <c r="NIE448" s="741"/>
      <c r="NIF448" s="741"/>
      <c r="NIG448" s="741"/>
      <c r="NIH448" s="741"/>
      <c r="NII448" s="741"/>
      <c r="NIJ448" s="741"/>
      <c r="NIK448" s="741"/>
      <c r="NIL448" s="741"/>
      <c r="NIM448" s="741"/>
      <c r="NIN448" s="741"/>
      <c r="NIO448" s="741"/>
      <c r="NIP448" s="741"/>
      <c r="NIQ448" s="741"/>
      <c r="NIR448" s="741"/>
      <c r="NIS448" s="741"/>
      <c r="NIT448" s="741"/>
      <c r="NIU448" s="741"/>
      <c r="NIV448" s="741"/>
      <c r="NIW448" s="741"/>
      <c r="NIX448" s="741"/>
      <c r="NIY448" s="741"/>
      <c r="NIZ448" s="741"/>
      <c r="NJA448" s="741"/>
      <c r="NJB448" s="741"/>
      <c r="NJC448" s="741"/>
      <c r="NJD448" s="741"/>
      <c r="NJE448" s="741"/>
      <c r="NJF448" s="741"/>
      <c r="NJG448" s="741"/>
      <c r="NJH448" s="741"/>
      <c r="NJI448" s="741"/>
      <c r="NJJ448" s="741"/>
      <c r="NJK448" s="741"/>
      <c r="NJL448" s="741"/>
      <c r="NJM448" s="741"/>
      <c r="NJN448" s="741"/>
      <c r="NJO448" s="741"/>
      <c r="NJP448" s="741"/>
      <c r="NJQ448" s="741"/>
      <c r="NJR448" s="741"/>
      <c r="NJS448" s="741"/>
      <c r="NJT448" s="741"/>
      <c r="NJU448" s="741"/>
      <c r="NJV448" s="741"/>
      <c r="NJW448" s="741"/>
      <c r="NJX448" s="741"/>
      <c r="NJY448" s="741"/>
      <c r="NJZ448" s="741"/>
      <c r="NKA448" s="741"/>
      <c r="NKB448" s="741"/>
      <c r="NKC448" s="741"/>
      <c r="NKD448" s="741"/>
      <c r="NKE448" s="741"/>
      <c r="NKF448" s="741"/>
      <c r="NKG448" s="741"/>
      <c r="NKH448" s="741"/>
      <c r="NKI448" s="741"/>
      <c r="NKJ448" s="741"/>
      <c r="NKK448" s="741"/>
      <c r="NKL448" s="741"/>
      <c r="NKM448" s="741"/>
      <c r="NKN448" s="741"/>
      <c r="NKO448" s="741"/>
      <c r="NKP448" s="741"/>
      <c r="NKQ448" s="741"/>
      <c r="NKR448" s="741"/>
      <c r="NKS448" s="741"/>
      <c r="NKT448" s="741"/>
      <c r="NKU448" s="741"/>
      <c r="NKV448" s="741"/>
      <c r="NKW448" s="741"/>
      <c r="NKX448" s="741"/>
      <c r="NKY448" s="741"/>
      <c r="NKZ448" s="741"/>
      <c r="NLA448" s="741"/>
      <c r="NLB448" s="741"/>
      <c r="NLC448" s="741"/>
      <c r="NLD448" s="741"/>
      <c r="NLE448" s="741"/>
      <c r="NLF448" s="741"/>
      <c r="NLG448" s="741"/>
      <c r="NLH448" s="741"/>
      <c r="NLI448" s="741"/>
      <c r="NLJ448" s="741"/>
      <c r="NLK448" s="741"/>
      <c r="NLL448" s="741"/>
      <c r="NLM448" s="741"/>
      <c r="NLN448" s="741"/>
      <c r="NLO448" s="741"/>
      <c r="NLP448" s="741"/>
      <c r="NLQ448" s="741"/>
      <c r="NLR448" s="741"/>
      <c r="NLS448" s="741"/>
      <c r="NLT448" s="741"/>
      <c r="NLU448" s="741"/>
      <c r="NLV448" s="741"/>
      <c r="NLW448" s="741"/>
      <c r="NLX448" s="741"/>
      <c r="NLY448" s="741"/>
      <c r="NLZ448" s="741"/>
      <c r="NMA448" s="741"/>
      <c r="NMB448" s="741"/>
      <c r="NMC448" s="741"/>
      <c r="NMD448" s="741"/>
      <c r="NME448" s="741"/>
      <c r="NMF448" s="741"/>
      <c r="NMG448" s="741"/>
      <c r="NMH448" s="741"/>
      <c r="NMI448" s="741"/>
      <c r="NMJ448" s="741"/>
      <c r="NMK448" s="741"/>
      <c r="NML448" s="741"/>
      <c r="NMM448" s="741"/>
      <c r="NMN448" s="741"/>
      <c r="NMO448" s="741"/>
      <c r="NMP448" s="741"/>
      <c r="NMQ448" s="741"/>
      <c r="NMR448" s="741"/>
      <c r="NMS448" s="741"/>
      <c r="NMT448" s="741"/>
      <c r="NMU448" s="741"/>
      <c r="NMV448" s="741"/>
      <c r="NMW448" s="741"/>
      <c r="NMX448" s="741"/>
      <c r="NMY448" s="741"/>
      <c r="NMZ448" s="741"/>
      <c r="NNA448" s="741"/>
      <c r="NNB448" s="741"/>
      <c r="NNC448" s="741"/>
      <c r="NND448" s="741"/>
      <c r="NNE448" s="741"/>
      <c r="NNF448" s="741"/>
      <c r="NNG448" s="741"/>
      <c r="NNH448" s="741"/>
      <c r="NNI448" s="741"/>
      <c r="NNJ448" s="741"/>
      <c r="NNK448" s="741"/>
      <c r="NNL448" s="741"/>
      <c r="NNM448" s="741"/>
      <c r="NNN448" s="741"/>
      <c r="NNO448" s="741"/>
      <c r="NNP448" s="741"/>
      <c r="NNQ448" s="741"/>
      <c r="NNR448" s="741"/>
      <c r="NNS448" s="741"/>
      <c r="NNT448" s="741"/>
      <c r="NNU448" s="741"/>
      <c r="NNV448" s="741"/>
      <c r="NNW448" s="741"/>
      <c r="NNX448" s="741"/>
      <c r="NNY448" s="741"/>
      <c r="NNZ448" s="741"/>
      <c r="NOA448" s="741"/>
      <c r="NOB448" s="741"/>
      <c r="NOC448" s="741"/>
      <c r="NOD448" s="741"/>
      <c r="NOE448" s="741"/>
      <c r="NOF448" s="741"/>
      <c r="NOG448" s="741"/>
      <c r="NOH448" s="741"/>
      <c r="NOI448" s="741"/>
      <c r="NOJ448" s="741"/>
      <c r="NOK448" s="741"/>
      <c r="NOL448" s="741"/>
      <c r="NOM448" s="741"/>
      <c r="NON448" s="741"/>
      <c r="NOO448" s="741"/>
      <c r="NOP448" s="741"/>
      <c r="NOQ448" s="741"/>
      <c r="NOR448" s="741"/>
      <c r="NOS448" s="741"/>
      <c r="NOT448" s="741"/>
      <c r="NOU448" s="741"/>
      <c r="NOV448" s="741"/>
      <c r="NOW448" s="741"/>
      <c r="NOX448" s="741"/>
      <c r="NOY448" s="741"/>
      <c r="NOZ448" s="741"/>
      <c r="NPA448" s="741"/>
      <c r="NPB448" s="741"/>
      <c r="NPC448" s="741"/>
      <c r="NPD448" s="741"/>
      <c r="NPE448" s="741"/>
      <c r="NPF448" s="741"/>
      <c r="NPG448" s="741"/>
      <c r="NPH448" s="741"/>
      <c r="NPI448" s="741"/>
      <c r="NPJ448" s="741"/>
      <c r="NPK448" s="741"/>
      <c r="NPL448" s="741"/>
      <c r="NPM448" s="741"/>
      <c r="NPN448" s="741"/>
      <c r="NPO448" s="741"/>
      <c r="NPP448" s="741"/>
      <c r="NPQ448" s="741"/>
      <c r="NPR448" s="741"/>
      <c r="NPS448" s="741"/>
      <c r="NPT448" s="741"/>
      <c r="NPU448" s="741"/>
      <c r="NPV448" s="741"/>
      <c r="NPW448" s="741"/>
      <c r="NPX448" s="741"/>
      <c r="NPY448" s="741"/>
      <c r="NPZ448" s="741"/>
      <c r="NQA448" s="741"/>
      <c r="NQB448" s="741"/>
      <c r="NQC448" s="741"/>
      <c r="NQD448" s="741"/>
      <c r="NQE448" s="741"/>
      <c r="NQF448" s="741"/>
      <c r="NQG448" s="741"/>
      <c r="NQH448" s="741"/>
      <c r="NQI448" s="741"/>
      <c r="NQJ448" s="741"/>
      <c r="NQK448" s="741"/>
      <c r="NQL448" s="741"/>
      <c r="NQM448" s="741"/>
      <c r="NQN448" s="741"/>
      <c r="NQO448" s="741"/>
      <c r="NQP448" s="741"/>
      <c r="NQQ448" s="741"/>
      <c r="NQR448" s="741"/>
      <c r="NQS448" s="741"/>
      <c r="NQT448" s="741"/>
      <c r="NQU448" s="741"/>
      <c r="NQV448" s="741"/>
      <c r="NQW448" s="741"/>
      <c r="NQX448" s="741"/>
      <c r="NQY448" s="741"/>
      <c r="NQZ448" s="741"/>
      <c r="NRA448" s="741"/>
      <c r="NRB448" s="741"/>
      <c r="NRC448" s="741"/>
      <c r="NRD448" s="741"/>
      <c r="NRE448" s="741"/>
      <c r="NRF448" s="741"/>
      <c r="NRG448" s="741"/>
      <c r="NRH448" s="741"/>
      <c r="NRI448" s="741"/>
      <c r="NRJ448" s="741"/>
      <c r="NRK448" s="741"/>
      <c r="NRL448" s="741"/>
      <c r="NRM448" s="741"/>
      <c r="NRN448" s="741"/>
      <c r="NRO448" s="741"/>
      <c r="NRP448" s="741"/>
      <c r="NRQ448" s="741"/>
      <c r="NRR448" s="741"/>
      <c r="NRS448" s="741"/>
      <c r="NRT448" s="741"/>
      <c r="NRU448" s="741"/>
      <c r="NRV448" s="741"/>
      <c r="NRW448" s="741"/>
      <c r="NRX448" s="741"/>
      <c r="NRY448" s="741"/>
      <c r="NRZ448" s="741"/>
      <c r="NSA448" s="741"/>
      <c r="NSB448" s="741"/>
      <c r="NSC448" s="741"/>
      <c r="NSD448" s="741"/>
      <c r="NSE448" s="741"/>
      <c r="NSF448" s="741"/>
      <c r="NSG448" s="741"/>
      <c r="NSH448" s="741"/>
      <c r="NSI448" s="741"/>
      <c r="NSJ448" s="741"/>
      <c r="NSK448" s="741"/>
      <c r="NSL448" s="741"/>
      <c r="NSM448" s="741"/>
      <c r="NSN448" s="741"/>
      <c r="NSO448" s="741"/>
      <c r="NSP448" s="741"/>
      <c r="NSQ448" s="741"/>
      <c r="NSR448" s="741"/>
      <c r="NSS448" s="741"/>
      <c r="NST448" s="741"/>
      <c r="NSU448" s="741"/>
      <c r="NSV448" s="741"/>
      <c r="NSW448" s="741"/>
      <c r="NSX448" s="741"/>
      <c r="NSY448" s="741"/>
      <c r="NSZ448" s="741"/>
      <c r="NTA448" s="741"/>
      <c r="NTB448" s="741"/>
      <c r="NTC448" s="741"/>
      <c r="NTD448" s="741"/>
      <c r="NTE448" s="741"/>
      <c r="NTF448" s="741"/>
      <c r="NTG448" s="741"/>
      <c r="NTH448" s="741"/>
      <c r="NTI448" s="741"/>
      <c r="NTJ448" s="741"/>
      <c r="NTK448" s="741"/>
      <c r="NTL448" s="741"/>
      <c r="NTM448" s="741"/>
      <c r="NTN448" s="741"/>
      <c r="NTO448" s="741"/>
      <c r="NTP448" s="741"/>
      <c r="NTQ448" s="741"/>
      <c r="NTR448" s="741"/>
      <c r="NTS448" s="741"/>
      <c r="NTT448" s="741"/>
      <c r="NTU448" s="741"/>
      <c r="NTV448" s="741"/>
      <c r="NTW448" s="741"/>
      <c r="NTX448" s="741"/>
      <c r="NTY448" s="741"/>
      <c r="NTZ448" s="741"/>
      <c r="NUA448" s="741"/>
      <c r="NUB448" s="741"/>
      <c r="NUC448" s="741"/>
      <c r="NUD448" s="741"/>
      <c r="NUE448" s="741"/>
      <c r="NUF448" s="741"/>
      <c r="NUG448" s="741"/>
      <c r="NUH448" s="741"/>
      <c r="NUI448" s="741"/>
      <c r="NUJ448" s="741"/>
      <c r="NUK448" s="741"/>
      <c r="NUL448" s="741"/>
      <c r="NUM448" s="741"/>
      <c r="NUN448" s="741"/>
      <c r="NUO448" s="741"/>
      <c r="NUP448" s="741"/>
      <c r="NUQ448" s="741"/>
      <c r="NUR448" s="741"/>
      <c r="NUS448" s="741"/>
      <c r="NUT448" s="741"/>
      <c r="NUU448" s="741"/>
      <c r="NUV448" s="741"/>
      <c r="NUW448" s="741"/>
      <c r="NUX448" s="741"/>
      <c r="NUY448" s="741"/>
      <c r="NUZ448" s="741"/>
      <c r="NVA448" s="741"/>
      <c r="NVB448" s="741"/>
      <c r="NVC448" s="741"/>
      <c r="NVD448" s="741"/>
      <c r="NVE448" s="741"/>
      <c r="NVF448" s="741"/>
      <c r="NVG448" s="741"/>
      <c r="NVH448" s="741"/>
      <c r="NVI448" s="741"/>
      <c r="NVJ448" s="741"/>
      <c r="NVK448" s="741"/>
      <c r="NVL448" s="741"/>
      <c r="NVM448" s="741"/>
      <c r="NVN448" s="741"/>
      <c r="NVO448" s="741"/>
      <c r="NVP448" s="741"/>
      <c r="NVQ448" s="741"/>
      <c r="NVR448" s="741"/>
      <c r="NVS448" s="741"/>
      <c r="NVT448" s="741"/>
      <c r="NVU448" s="741"/>
      <c r="NVV448" s="741"/>
      <c r="NVW448" s="741"/>
      <c r="NVX448" s="741"/>
      <c r="NVY448" s="741"/>
      <c r="NVZ448" s="741"/>
      <c r="NWA448" s="741"/>
      <c r="NWB448" s="741"/>
      <c r="NWC448" s="741"/>
      <c r="NWD448" s="741"/>
      <c r="NWE448" s="741"/>
      <c r="NWF448" s="741"/>
      <c r="NWG448" s="741"/>
      <c r="NWH448" s="741"/>
      <c r="NWI448" s="741"/>
      <c r="NWJ448" s="741"/>
      <c r="NWK448" s="741"/>
      <c r="NWL448" s="741"/>
      <c r="NWM448" s="741"/>
      <c r="NWN448" s="741"/>
      <c r="NWO448" s="741"/>
      <c r="NWP448" s="741"/>
      <c r="NWQ448" s="741"/>
      <c r="NWR448" s="741"/>
      <c r="NWS448" s="741"/>
      <c r="NWT448" s="741"/>
      <c r="NWU448" s="741"/>
      <c r="NWV448" s="741"/>
      <c r="NWW448" s="741"/>
      <c r="NWX448" s="741"/>
      <c r="NWY448" s="741"/>
      <c r="NWZ448" s="741"/>
      <c r="NXA448" s="741"/>
      <c r="NXB448" s="741"/>
      <c r="NXC448" s="741"/>
      <c r="NXD448" s="741"/>
      <c r="NXE448" s="741"/>
      <c r="NXF448" s="741"/>
      <c r="NXG448" s="741"/>
      <c r="NXH448" s="741"/>
      <c r="NXI448" s="741"/>
      <c r="NXJ448" s="741"/>
      <c r="NXK448" s="741"/>
      <c r="NXL448" s="741"/>
      <c r="NXM448" s="741"/>
      <c r="NXN448" s="741"/>
      <c r="NXO448" s="741"/>
      <c r="NXP448" s="741"/>
      <c r="NXQ448" s="741"/>
      <c r="NXR448" s="741"/>
      <c r="NXS448" s="741"/>
      <c r="NXT448" s="741"/>
      <c r="NXU448" s="741"/>
      <c r="NXV448" s="741"/>
      <c r="NXW448" s="741"/>
      <c r="NXX448" s="741"/>
      <c r="NXY448" s="741"/>
      <c r="NXZ448" s="741"/>
      <c r="NYA448" s="741"/>
      <c r="NYB448" s="741"/>
      <c r="NYC448" s="741"/>
      <c r="NYD448" s="741"/>
      <c r="NYE448" s="741"/>
      <c r="NYF448" s="741"/>
      <c r="NYG448" s="741"/>
      <c r="NYH448" s="741"/>
      <c r="NYI448" s="741"/>
      <c r="NYJ448" s="741"/>
      <c r="NYK448" s="741"/>
      <c r="NYL448" s="741"/>
      <c r="NYM448" s="741"/>
      <c r="NYN448" s="741"/>
      <c r="NYO448" s="741"/>
      <c r="NYP448" s="741"/>
      <c r="NYQ448" s="741"/>
      <c r="NYR448" s="741"/>
      <c r="NYS448" s="741"/>
      <c r="NYT448" s="741"/>
      <c r="NYU448" s="741"/>
      <c r="NYV448" s="741"/>
      <c r="NYW448" s="741"/>
      <c r="NYX448" s="741"/>
      <c r="NYY448" s="741"/>
      <c r="NYZ448" s="741"/>
      <c r="NZA448" s="741"/>
      <c r="NZB448" s="741"/>
      <c r="NZC448" s="741"/>
      <c r="NZD448" s="741"/>
      <c r="NZE448" s="741"/>
      <c r="NZF448" s="741"/>
      <c r="NZG448" s="741"/>
      <c r="NZH448" s="741"/>
      <c r="NZI448" s="741"/>
      <c r="NZJ448" s="741"/>
      <c r="NZK448" s="741"/>
      <c r="NZL448" s="741"/>
      <c r="NZM448" s="741"/>
      <c r="NZN448" s="741"/>
      <c r="NZO448" s="741"/>
      <c r="NZP448" s="741"/>
      <c r="NZQ448" s="741"/>
      <c r="NZR448" s="741"/>
      <c r="NZS448" s="741"/>
      <c r="NZT448" s="741"/>
      <c r="NZU448" s="741"/>
      <c r="NZV448" s="741"/>
      <c r="NZW448" s="741"/>
      <c r="NZX448" s="741"/>
      <c r="NZY448" s="741"/>
      <c r="NZZ448" s="741"/>
      <c r="OAA448" s="741"/>
      <c r="OAB448" s="741"/>
      <c r="OAC448" s="741"/>
      <c r="OAD448" s="741"/>
      <c r="OAE448" s="741"/>
      <c r="OAF448" s="741"/>
      <c r="OAG448" s="741"/>
      <c r="OAH448" s="741"/>
      <c r="OAI448" s="741"/>
      <c r="OAJ448" s="741"/>
      <c r="OAK448" s="741"/>
      <c r="OAL448" s="741"/>
      <c r="OAM448" s="741"/>
      <c r="OAN448" s="741"/>
      <c r="OAO448" s="741"/>
      <c r="OAP448" s="741"/>
      <c r="OAQ448" s="741"/>
      <c r="OAR448" s="741"/>
      <c r="OAS448" s="741"/>
      <c r="OAT448" s="741"/>
      <c r="OAU448" s="741"/>
      <c r="OAV448" s="741"/>
      <c r="OAW448" s="741"/>
      <c r="OAX448" s="741"/>
      <c r="OAY448" s="741"/>
      <c r="OAZ448" s="741"/>
      <c r="OBA448" s="741"/>
      <c r="OBB448" s="741"/>
      <c r="OBC448" s="741"/>
      <c r="OBD448" s="741"/>
      <c r="OBE448" s="741"/>
      <c r="OBF448" s="741"/>
      <c r="OBG448" s="741"/>
      <c r="OBH448" s="741"/>
      <c r="OBI448" s="741"/>
      <c r="OBJ448" s="741"/>
      <c r="OBK448" s="741"/>
      <c r="OBL448" s="741"/>
      <c r="OBM448" s="741"/>
      <c r="OBN448" s="741"/>
      <c r="OBO448" s="741"/>
      <c r="OBP448" s="741"/>
      <c r="OBQ448" s="741"/>
      <c r="OBR448" s="741"/>
      <c r="OBS448" s="741"/>
      <c r="OBT448" s="741"/>
      <c r="OBU448" s="741"/>
      <c r="OBV448" s="741"/>
      <c r="OBW448" s="741"/>
      <c r="OBX448" s="741"/>
      <c r="OBY448" s="741"/>
      <c r="OBZ448" s="741"/>
      <c r="OCA448" s="741"/>
      <c r="OCB448" s="741"/>
      <c r="OCC448" s="741"/>
      <c r="OCD448" s="741"/>
      <c r="OCE448" s="741"/>
      <c r="OCF448" s="741"/>
      <c r="OCG448" s="741"/>
      <c r="OCH448" s="741"/>
      <c r="OCI448" s="741"/>
      <c r="OCJ448" s="741"/>
      <c r="OCK448" s="741"/>
      <c r="OCL448" s="741"/>
      <c r="OCM448" s="741"/>
      <c r="OCN448" s="741"/>
      <c r="OCO448" s="741"/>
      <c r="OCP448" s="741"/>
      <c r="OCQ448" s="741"/>
      <c r="OCR448" s="741"/>
      <c r="OCS448" s="741"/>
      <c r="OCT448" s="741"/>
      <c r="OCU448" s="741"/>
      <c r="OCV448" s="741"/>
      <c r="OCW448" s="741"/>
      <c r="OCX448" s="741"/>
      <c r="OCY448" s="741"/>
      <c r="OCZ448" s="741"/>
      <c r="ODA448" s="741"/>
      <c r="ODB448" s="741"/>
      <c r="ODC448" s="741"/>
      <c r="ODD448" s="741"/>
      <c r="ODE448" s="741"/>
      <c r="ODF448" s="741"/>
      <c r="ODG448" s="741"/>
      <c r="ODH448" s="741"/>
      <c r="ODI448" s="741"/>
      <c r="ODJ448" s="741"/>
      <c r="ODK448" s="741"/>
      <c r="ODL448" s="741"/>
      <c r="ODM448" s="741"/>
      <c r="ODN448" s="741"/>
      <c r="ODO448" s="741"/>
      <c r="ODP448" s="741"/>
      <c r="ODQ448" s="741"/>
      <c r="ODR448" s="741"/>
      <c r="ODS448" s="741"/>
      <c r="ODT448" s="741"/>
      <c r="ODU448" s="741"/>
      <c r="ODV448" s="741"/>
      <c r="ODW448" s="741"/>
      <c r="ODX448" s="741"/>
      <c r="ODY448" s="741"/>
      <c r="ODZ448" s="741"/>
      <c r="OEA448" s="741"/>
      <c r="OEB448" s="741"/>
      <c r="OEC448" s="741"/>
      <c r="OED448" s="741"/>
      <c r="OEE448" s="741"/>
      <c r="OEF448" s="741"/>
      <c r="OEG448" s="741"/>
      <c r="OEH448" s="741"/>
      <c r="OEI448" s="741"/>
      <c r="OEJ448" s="741"/>
      <c r="OEK448" s="741"/>
      <c r="OEL448" s="741"/>
      <c r="OEM448" s="741"/>
      <c r="OEN448" s="741"/>
      <c r="OEO448" s="741"/>
      <c r="OEP448" s="741"/>
      <c r="OEQ448" s="741"/>
      <c r="OER448" s="741"/>
      <c r="OES448" s="741"/>
      <c r="OET448" s="741"/>
      <c r="OEU448" s="741"/>
      <c r="OEV448" s="741"/>
      <c r="OEW448" s="741"/>
      <c r="OEX448" s="741"/>
      <c r="OEY448" s="741"/>
      <c r="OEZ448" s="741"/>
      <c r="OFA448" s="741"/>
      <c r="OFB448" s="741"/>
      <c r="OFC448" s="741"/>
      <c r="OFD448" s="741"/>
      <c r="OFE448" s="741"/>
      <c r="OFF448" s="741"/>
      <c r="OFG448" s="741"/>
      <c r="OFH448" s="741"/>
      <c r="OFI448" s="741"/>
      <c r="OFJ448" s="741"/>
      <c r="OFK448" s="741"/>
      <c r="OFL448" s="741"/>
      <c r="OFM448" s="741"/>
      <c r="OFN448" s="741"/>
      <c r="OFO448" s="741"/>
      <c r="OFP448" s="741"/>
      <c r="OFQ448" s="741"/>
      <c r="OFR448" s="741"/>
      <c r="OFS448" s="741"/>
      <c r="OFT448" s="741"/>
      <c r="OFU448" s="741"/>
      <c r="OFV448" s="741"/>
      <c r="OFW448" s="741"/>
      <c r="OFX448" s="741"/>
      <c r="OFY448" s="741"/>
      <c r="OFZ448" s="741"/>
      <c r="OGA448" s="741"/>
      <c r="OGB448" s="741"/>
      <c r="OGC448" s="741"/>
      <c r="OGD448" s="741"/>
      <c r="OGE448" s="741"/>
      <c r="OGF448" s="741"/>
      <c r="OGG448" s="741"/>
      <c r="OGH448" s="741"/>
      <c r="OGI448" s="741"/>
      <c r="OGJ448" s="741"/>
      <c r="OGK448" s="741"/>
      <c r="OGL448" s="741"/>
      <c r="OGM448" s="741"/>
      <c r="OGN448" s="741"/>
      <c r="OGO448" s="741"/>
      <c r="OGP448" s="741"/>
      <c r="OGQ448" s="741"/>
      <c r="OGR448" s="741"/>
      <c r="OGS448" s="741"/>
      <c r="OGT448" s="741"/>
      <c r="OGU448" s="741"/>
      <c r="OGV448" s="741"/>
      <c r="OGW448" s="741"/>
      <c r="OGX448" s="741"/>
      <c r="OGY448" s="741"/>
      <c r="OGZ448" s="741"/>
      <c r="OHA448" s="741"/>
      <c r="OHB448" s="741"/>
      <c r="OHC448" s="741"/>
      <c r="OHD448" s="741"/>
      <c r="OHE448" s="741"/>
      <c r="OHF448" s="741"/>
      <c r="OHG448" s="741"/>
      <c r="OHH448" s="741"/>
      <c r="OHI448" s="741"/>
      <c r="OHJ448" s="741"/>
      <c r="OHK448" s="741"/>
      <c r="OHL448" s="741"/>
      <c r="OHM448" s="741"/>
      <c r="OHN448" s="741"/>
      <c r="OHO448" s="741"/>
      <c r="OHP448" s="741"/>
      <c r="OHQ448" s="741"/>
      <c r="OHR448" s="741"/>
      <c r="OHS448" s="741"/>
      <c r="OHT448" s="741"/>
      <c r="OHU448" s="741"/>
      <c r="OHV448" s="741"/>
      <c r="OHW448" s="741"/>
      <c r="OHX448" s="741"/>
      <c r="OHY448" s="741"/>
      <c r="OHZ448" s="741"/>
      <c r="OIA448" s="741"/>
      <c r="OIB448" s="741"/>
      <c r="OIC448" s="741"/>
      <c r="OID448" s="741"/>
      <c r="OIE448" s="741"/>
      <c r="OIF448" s="741"/>
      <c r="OIG448" s="741"/>
      <c r="OIH448" s="741"/>
      <c r="OII448" s="741"/>
      <c r="OIJ448" s="741"/>
      <c r="OIK448" s="741"/>
      <c r="OIL448" s="741"/>
      <c r="OIM448" s="741"/>
      <c r="OIN448" s="741"/>
      <c r="OIO448" s="741"/>
      <c r="OIP448" s="741"/>
      <c r="OIQ448" s="741"/>
      <c r="OIR448" s="741"/>
      <c r="OIS448" s="741"/>
      <c r="OIT448" s="741"/>
      <c r="OIU448" s="741"/>
      <c r="OIV448" s="741"/>
      <c r="OIW448" s="741"/>
      <c r="OIX448" s="741"/>
      <c r="OIY448" s="741"/>
      <c r="OIZ448" s="741"/>
      <c r="OJA448" s="741"/>
      <c r="OJB448" s="741"/>
      <c r="OJC448" s="741"/>
      <c r="OJD448" s="741"/>
      <c r="OJE448" s="741"/>
      <c r="OJF448" s="741"/>
      <c r="OJG448" s="741"/>
      <c r="OJH448" s="741"/>
      <c r="OJI448" s="741"/>
      <c r="OJJ448" s="741"/>
      <c r="OJK448" s="741"/>
      <c r="OJL448" s="741"/>
      <c r="OJM448" s="741"/>
      <c r="OJN448" s="741"/>
      <c r="OJO448" s="741"/>
      <c r="OJP448" s="741"/>
      <c r="OJQ448" s="741"/>
      <c r="OJR448" s="741"/>
      <c r="OJS448" s="741"/>
      <c r="OJT448" s="741"/>
      <c r="OJU448" s="741"/>
      <c r="OJV448" s="741"/>
      <c r="OJW448" s="741"/>
      <c r="OJX448" s="741"/>
      <c r="OJY448" s="741"/>
      <c r="OJZ448" s="741"/>
      <c r="OKA448" s="741"/>
      <c r="OKB448" s="741"/>
      <c r="OKC448" s="741"/>
      <c r="OKD448" s="741"/>
      <c r="OKE448" s="741"/>
      <c r="OKF448" s="741"/>
      <c r="OKG448" s="741"/>
      <c r="OKH448" s="741"/>
      <c r="OKI448" s="741"/>
      <c r="OKJ448" s="741"/>
      <c r="OKK448" s="741"/>
      <c r="OKL448" s="741"/>
      <c r="OKM448" s="741"/>
      <c r="OKN448" s="741"/>
      <c r="OKO448" s="741"/>
      <c r="OKP448" s="741"/>
      <c r="OKQ448" s="741"/>
      <c r="OKR448" s="741"/>
      <c r="OKS448" s="741"/>
      <c r="OKT448" s="741"/>
      <c r="OKU448" s="741"/>
      <c r="OKV448" s="741"/>
      <c r="OKW448" s="741"/>
      <c r="OKX448" s="741"/>
      <c r="OKY448" s="741"/>
      <c r="OKZ448" s="741"/>
      <c r="OLA448" s="741"/>
      <c r="OLB448" s="741"/>
      <c r="OLC448" s="741"/>
      <c r="OLD448" s="741"/>
      <c r="OLE448" s="741"/>
      <c r="OLF448" s="741"/>
      <c r="OLG448" s="741"/>
      <c r="OLH448" s="741"/>
      <c r="OLI448" s="741"/>
      <c r="OLJ448" s="741"/>
      <c r="OLK448" s="741"/>
      <c r="OLL448" s="741"/>
      <c r="OLM448" s="741"/>
      <c r="OLN448" s="741"/>
      <c r="OLO448" s="741"/>
      <c r="OLP448" s="741"/>
      <c r="OLQ448" s="741"/>
      <c r="OLR448" s="741"/>
      <c r="OLS448" s="741"/>
      <c r="OLT448" s="741"/>
      <c r="OLU448" s="741"/>
      <c r="OLV448" s="741"/>
      <c r="OLW448" s="741"/>
      <c r="OLX448" s="741"/>
      <c r="OLY448" s="741"/>
      <c r="OLZ448" s="741"/>
      <c r="OMA448" s="741"/>
      <c r="OMB448" s="741"/>
      <c r="OMC448" s="741"/>
      <c r="OMD448" s="741"/>
      <c r="OME448" s="741"/>
      <c r="OMF448" s="741"/>
      <c r="OMG448" s="741"/>
      <c r="OMH448" s="741"/>
      <c r="OMI448" s="741"/>
      <c r="OMJ448" s="741"/>
      <c r="OMK448" s="741"/>
      <c r="OML448" s="741"/>
      <c r="OMM448" s="741"/>
      <c r="OMN448" s="741"/>
      <c r="OMO448" s="741"/>
      <c r="OMP448" s="741"/>
      <c r="OMQ448" s="741"/>
      <c r="OMR448" s="741"/>
      <c r="OMS448" s="741"/>
      <c r="OMT448" s="741"/>
      <c r="OMU448" s="741"/>
      <c r="OMV448" s="741"/>
      <c r="OMW448" s="741"/>
      <c r="OMX448" s="741"/>
      <c r="OMY448" s="741"/>
      <c r="OMZ448" s="741"/>
      <c r="ONA448" s="741"/>
      <c r="ONB448" s="741"/>
      <c r="ONC448" s="741"/>
      <c r="OND448" s="741"/>
      <c r="ONE448" s="741"/>
      <c r="ONF448" s="741"/>
      <c r="ONG448" s="741"/>
      <c r="ONH448" s="741"/>
      <c r="ONI448" s="741"/>
      <c r="ONJ448" s="741"/>
      <c r="ONK448" s="741"/>
      <c r="ONL448" s="741"/>
      <c r="ONM448" s="741"/>
      <c r="ONN448" s="741"/>
      <c r="ONO448" s="741"/>
      <c r="ONP448" s="741"/>
      <c r="ONQ448" s="741"/>
      <c r="ONR448" s="741"/>
      <c r="ONS448" s="741"/>
      <c r="ONT448" s="741"/>
      <c r="ONU448" s="741"/>
      <c r="ONV448" s="741"/>
      <c r="ONW448" s="741"/>
      <c r="ONX448" s="741"/>
      <c r="ONY448" s="741"/>
      <c r="ONZ448" s="741"/>
      <c r="OOA448" s="741"/>
      <c r="OOB448" s="741"/>
      <c r="OOC448" s="741"/>
      <c r="OOD448" s="741"/>
      <c r="OOE448" s="741"/>
      <c r="OOF448" s="741"/>
      <c r="OOG448" s="741"/>
      <c r="OOH448" s="741"/>
      <c r="OOI448" s="741"/>
      <c r="OOJ448" s="741"/>
      <c r="OOK448" s="741"/>
      <c r="OOL448" s="741"/>
      <c r="OOM448" s="741"/>
      <c r="OON448" s="741"/>
      <c r="OOO448" s="741"/>
      <c r="OOP448" s="741"/>
      <c r="OOQ448" s="741"/>
      <c r="OOR448" s="741"/>
      <c r="OOS448" s="741"/>
      <c r="OOT448" s="741"/>
      <c r="OOU448" s="741"/>
      <c r="OOV448" s="741"/>
      <c r="OOW448" s="741"/>
      <c r="OOX448" s="741"/>
      <c r="OOY448" s="741"/>
      <c r="OOZ448" s="741"/>
      <c r="OPA448" s="741"/>
      <c r="OPB448" s="741"/>
      <c r="OPC448" s="741"/>
      <c r="OPD448" s="741"/>
      <c r="OPE448" s="741"/>
      <c r="OPF448" s="741"/>
      <c r="OPG448" s="741"/>
      <c r="OPH448" s="741"/>
      <c r="OPI448" s="741"/>
      <c r="OPJ448" s="741"/>
      <c r="OPK448" s="741"/>
      <c r="OPL448" s="741"/>
      <c r="OPM448" s="741"/>
      <c r="OPN448" s="741"/>
      <c r="OPO448" s="741"/>
      <c r="OPP448" s="741"/>
      <c r="OPQ448" s="741"/>
      <c r="OPR448" s="741"/>
      <c r="OPS448" s="741"/>
      <c r="OPT448" s="741"/>
      <c r="OPU448" s="741"/>
      <c r="OPV448" s="741"/>
      <c r="OPW448" s="741"/>
      <c r="OPX448" s="741"/>
      <c r="OPY448" s="741"/>
      <c r="OPZ448" s="741"/>
      <c r="OQA448" s="741"/>
      <c r="OQB448" s="741"/>
      <c r="OQC448" s="741"/>
      <c r="OQD448" s="741"/>
      <c r="OQE448" s="741"/>
      <c r="OQF448" s="741"/>
      <c r="OQG448" s="741"/>
      <c r="OQH448" s="741"/>
      <c r="OQI448" s="741"/>
      <c r="OQJ448" s="741"/>
      <c r="OQK448" s="741"/>
      <c r="OQL448" s="741"/>
      <c r="OQM448" s="741"/>
      <c r="OQN448" s="741"/>
      <c r="OQO448" s="741"/>
      <c r="OQP448" s="741"/>
      <c r="OQQ448" s="741"/>
      <c r="OQR448" s="741"/>
      <c r="OQS448" s="741"/>
      <c r="OQT448" s="741"/>
      <c r="OQU448" s="741"/>
      <c r="OQV448" s="741"/>
      <c r="OQW448" s="741"/>
      <c r="OQX448" s="741"/>
      <c r="OQY448" s="741"/>
      <c r="OQZ448" s="741"/>
      <c r="ORA448" s="741"/>
      <c r="ORB448" s="741"/>
      <c r="ORC448" s="741"/>
      <c r="ORD448" s="741"/>
      <c r="ORE448" s="741"/>
      <c r="ORF448" s="741"/>
      <c r="ORG448" s="741"/>
      <c r="ORH448" s="741"/>
      <c r="ORI448" s="741"/>
      <c r="ORJ448" s="741"/>
      <c r="ORK448" s="741"/>
      <c r="ORL448" s="741"/>
      <c r="ORM448" s="741"/>
      <c r="ORN448" s="741"/>
      <c r="ORO448" s="741"/>
      <c r="ORP448" s="741"/>
      <c r="ORQ448" s="741"/>
      <c r="ORR448" s="741"/>
      <c r="ORS448" s="741"/>
      <c r="ORT448" s="741"/>
      <c r="ORU448" s="741"/>
      <c r="ORV448" s="741"/>
      <c r="ORW448" s="741"/>
      <c r="ORX448" s="741"/>
      <c r="ORY448" s="741"/>
      <c r="ORZ448" s="741"/>
      <c r="OSA448" s="741"/>
      <c r="OSB448" s="741"/>
      <c r="OSC448" s="741"/>
      <c r="OSD448" s="741"/>
      <c r="OSE448" s="741"/>
      <c r="OSF448" s="741"/>
      <c r="OSG448" s="741"/>
      <c r="OSH448" s="741"/>
      <c r="OSI448" s="741"/>
      <c r="OSJ448" s="741"/>
      <c r="OSK448" s="741"/>
      <c r="OSL448" s="741"/>
      <c r="OSM448" s="741"/>
      <c r="OSN448" s="741"/>
      <c r="OSO448" s="741"/>
      <c r="OSP448" s="741"/>
      <c r="OSQ448" s="741"/>
      <c r="OSR448" s="741"/>
      <c r="OSS448" s="741"/>
      <c r="OST448" s="741"/>
      <c r="OSU448" s="741"/>
      <c r="OSV448" s="741"/>
      <c r="OSW448" s="741"/>
      <c r="OSX448" s="741"/>
      <c r="OSY448" s="741"/>
      <c r="OSZ448" s="741"/>
      <c r="OTA448" s="741"/>
      <c r="OTB448" s="741"/>
      <c r="OTC448" s="741"/>
      <c r="OTD448" s="741"/>
      <c r="OTE448" s="741"/>
      <c r="OTF448" s="741"/>
      <c r="OTG448" s="741"/>
      <c r="OTH448" s="741"/>
      <c r="OTI448" s="741"/>
      <c r="OTJ448" s="741"/>
      <c r="OTK448" s="741"/>
      <c r="OTL448" s="741"/>
      <c r="OTM448" s="741"/>
      <c r="OTN448" s="741"/>
      <c r="OTO448" s="741"/>
      <c r="OTP448" s="741"/>
      <c r="OTQ448" s="741"/>
      <c r="OTR448" s="741"/>
      <c r="OTS448" s="741"/>
      <c r="OTT448" s="741"/>
      <c r="OTU448" s="741"/>
      <c r="OTV448" s="741"/>
      <c r="OTW448" s="741"/>
      <c r="OTX448" s="741"/>
      <c r="OTY448" s="741"/>
      <c r="OTZ448" s="741"/>
      <c r="OUA448" s="741"/>
      <c r="OUB448" s="741"/>
      <c r="OUC448" s="741"/>
      <c r="OUD448" s="741"/>
      <c r="OUE448" s="741"/>
      <c r="OUF448" s="741"/>
      <c r="OUG448" s="741"/>
      <c r="OUH448" s="741"/>
      <c r="OUI448" s="741"/>
      <c r="OUJ448" s="741"/>
      <c r="OUK448" s="741"/>
      <c r="OUL448" s="741"/>
      <c r="OUM448" s="741"/>
      <c r="OUN448" s="741"/>
      <c r="OUO448" s="741"/>
      <c r="OUP448" s="741"/>
      <c r="OUQ448" s="741"/>
      <c r="OUR448" s="741"/>
      <c r="OUS448" s="741"/>
      <c r="OUT448" s="741"/>
      <c r="OUU448" s="741"/>
      <c r="OUV448" s="741"/>
      <c r="OUW448" s="741"/>
      <c r="OUX448" s="741"/>
      <c r="OUY448" s="741"/>
      <c r="OUZ448" s="741"/>
      <c r="OVA448" s="741"/>
      <c r="OVB448" s="741"/>
      <c r="OVC448" s="741"/>
      <c r="OVD448" s="741"/>
      <c r="OVE448" s="741"/>
      <c r="OVF448" s="741"/>
      <c r="OVG448" s="741"/>
      <c r="OVH448" s="741"/>
      <c r="OVI448" s="741"/>
      <c r="OVJ448" s="741"/>
      <c r="OVK448" s="741"/>
      <c r="OVL448" s="741"/>
      <c r="OVM448" s="741"/>
      <c r="OVN448" s="741"/>
      <c r="OVO448" s="741"/>
      <c r="OVP448" s="741"/>
      <c r="OVQ448" s="741"/>
      <c r="OVR448" s="741"/>
      <c r="OVS448" s="741"/>
      <c r="OVT448" s="741"/>
      <c r="OVU448" s="741"/>
      <c r="OVV448" s="741"/>
      <c r="OVW448" s="741"/>
      <c r="OVX448" s="741"/>
      <c r="OVY448" s="741"/>
      <c r="OVZ448" s="741"/>
      <c r="OWA448" s="741"/>
      <c r="OWB448" s="741"/>
      <c r="OWC448" s="741"/>
      <c r="OWD448" s="741"/>
      <c r="OWE448" s="741"/>
      <c r="OWF448" s="741"/>
      <c r="OWG448" s="741"/>
      <c r="OWH448" s="741"/>
      <c r="OWI448" s="741"/>
      <c r="OWJ448" s="741"/>
      <c r="OWK448" s="741"/>
      <c r="OWL448" s="741"/>
      <c r="OWM448" s="741"/>
      <c r="OWN448" s="741"/>
      <c r="OWO448" s="741"/>
      <c r="OWP448" s="741"/>
      <c r="OWQ448" s="741"/>
      <c r="OWR448" s="741"/>
      <c r="OWS448" s="741"/>
      <c r="OWT448" s="741"/>
      <c r="OWU448" s="741"/>
      <c r="OWV448" s="741"/>
      <c r="OWW448" s="741"/>
      <c r="OWX448" s="741"/>
      <c r="OWY448" s="741"/>
      <c r="OWZ448" s="741"/>
      <c r="OXA448" s="741"/>
      <c r="OXB448" s="741"/>
      <c r="OXC448" s="741"/>
      <c r="OXD448" s="741"/>
      <c r="OXE448" s="741"/>
      <c r="OXF448" s="741"/>
      <c r="OXG448" s="741"/>
      <c r="OXH448" s="741"/>
      <c r="OXI448" s="741"/>
      <c r="OXJ448" s="741"/>
      <c r="OXK448" s="741"/>
      <c r="OXL448" s="741"/>
      <c r="OXM448" s="741"/>
      <c r="OXN448" s="741"/>
      <c r="OXO448" s="741"/>
      <c r="OXP448" s="741"/>
      <c r="OXQ448" s="741"/>
      <c r="OXR448" s="741"/>
      <c r="OXS448" s="741"/>
      <c r="OXT448" s="741"/>
      <c r="OXU448" s="741"/>
      <c r="OXV448" s="741"/>
      <c r="OXW448" s="741"/>
      <c r="OXX448" s="741"/>
      <c r="OXY448" s="741"/>
      <c r="OXZ448" s="741"/>
      <c r="OYA448" s="741"/>
      <c r="OYB448" s="741"/>
      <c r="OYC448" s="741"/>
      <c r="OYD448" s="741"/>
      <c r="OYE448" s="741"/>
      <c r="OYF448" s="741"/>
      <c r="OYG448" s="741"/>
      <c r="OYH448" s="741"/>
      <c r="OYI448" s="741"/>
      <c r="OYJ448" s="741"/>
      <c r="OYK448" s="741"/>
      <c r="OYL448" s="741"/>
      <c r="OYM448" s="741"/>
      <c r="OYN448" s="741"/>
      <c r="OYO448" s="741"/>
      <c r="OYP448" s="741"/>
      <c r="OYQ448" s="741"/>
      <c r="OYR448" s="741"/>
      <c r="OYS448" s="741"/>
      <c r="OYT448" s="741"/>
      <c r="OYU448" s="741"/>
      <c r="OYV448" s="741"/>
      <c r="OYW448" s="741"/>
      <c r="OYX448" s="741"/>
      <c r="OYY448" s="741"/>
      <c r="OYZ448" s="741"/>
      <c r="OZA448" s="741"/>
      <c r="OZB448" s="741"/>
      <c r="OZC448" s="741"/>
      <c r="OZD448" s="741"/>
      <c r="OZE448" s="741"/>
      <c r="OZF448" s="741"/>
      <c r="OZG448" s="741"/>
      <c r="OZH448" s="741"/>
      <c r="OZI448" s="741"/>
      <c r="OZJ448" s="741"/>
      <c r="OZK448" s="741"/>
      <c r="OZL448" s="741"/>
      <c r="OZM448" s="741"/>
      <c r="OZN448" s="741"/>
      <c r="OZO448" s="741"/>
      <c r="OZP448" s="741"/>
      <c r="OZQ448" s="741"/>
      <c r="OZR448" s="741"/>
      <c r="OZS448" s="741"/>
      <c r="OZT448" s="741"/>
      <c r="OZU448" s="741"/>
      <c r="OZV448" s="741"/>
      <c r="OZW448" s="741"/>
      <c r="OZX448" s="741"/>
      <c r="OZY448" s="741"/>
      <c r="OZZ448" s="741"/>
      <c r="PAA448" s="741"/>
      <c r="PAB448" s="741"/>
      <c r="PAC448" s="741"/>
      <c r="PAD448" s="741"/>
      <c r="PAE448" s="741"/>
      <c r="PAF448" s="741"/>
      <c r="PAG448" s="741"/>
      <c r="PAH448" s="741"/>
      <c r="PAI448" s="741"/>
      <c r="PAJ448" s="741"/>
      <c r="PAK448" s="741"/>
      <c r="PAL448" s="741"/>
      <c r="PAM448" s="741"/>
      <c r="PAN448" s="741"/>
      <c r="PAO448" s="741"/>
      <c r="PAP448" s="741"/>
      <c r="PAQ448" s="741"/>
      <c r="PAR448" s="741"/>
      <c r="PAS448" s="741"/>
      <c r="PAT448" s="741"/>
      <c r="PAU448" s="741"/>
      <c r="PAV448" s="741"/>
      <c r="PAW448" s="741"/>
      <c r="PAX448" s="741"/>
      <c r="PAY448" s="741"/>
      <c r="PAZ448" s="741"/>
      <c r="PBA448" s="741"/>
      <c r="PBB448" s="741"/>
      <c r="PBC448" s="741"/>
      <c r="PBD448" s="741"/>
      <c r="PBE448" s="741"/>
      <c r="PBF448" s="741"/>
      <c r="PBG448" s="741"/>
      <c r="PBH448" s="741"/>
      <c r="PBI448" s="741"/>
      <c r="PBJ448" s="741"/>
      <c r="PBK448" s="741"/>
      <c r="PBL448" s="741"/>
      <c r="PBM448" s="741"/>
      <c r="PBN448" s="741"/>
      <c r="PBO448" s="741"/>
      <c r="PBP448" s="741"/>
      <c r="PBQ448" s="741"/>
      <c r="PBR448" s="741"/>
      <c r="PBS448" s="741"/>
      <c r="PBT448" s="741"/>
      <c r="PBU448" s="741"/>
      <c r="PBV448" s="741"/>
      <c r="PBW448" s="741"/>
      <c r="PBX448" s="741"/>
      <c r="PBY448" s="741"/>
      <c r="PBZ448" s="741"/>
      <c r="PCA448" s="741"/>
      <c r="PCB448" s="741"/>
      <c r="PCC448" s="741"/>
      <c r="PCD448" s="741"/>
      <c r="PCE448" s="741"/>
      <c r="PCF448" s="741"/>
      <c r="PCG448" s="741"/>
      <c r="PCH448" s="741"/>
      <c r="PCI448" s="741"/>
      <c r="PCJ448" s="741"/>
      <c r="PCK448" s="741"/>
      <c r="PCL448" s="741"/>
      <c r="PCM448" s="741"/>
      <c r="PCN448" s="741"/>
      <c r="PCO448" s="741"/>
      <c r="PCP448" s="741"/>
      <c r="PCQ448" s="741"/>
      <c r="PCR448" s="741"/>
      <c r="PCS448" s="741"/>
      <c r="PCT448" s="741"/>
      <c r="PCU448" s="741"/>
      <c r="PCV448" s="741"/>
      <c r="PCW448" s="741"/>
      <c r="PCX448" s="741"/>
      <c r="PCY448" s="741"/>
      <c r="PCZ448" s="741"/>
      <c r="PDA448" s="741"/>
      <c r="PDB448" s="741"/>
      <c r="PDC448" s="741"/>
      <c r="PDD448" s="741"/>
      <c r="PDE448" s="741"/>
      <c r="PDF448" s="741"/>
      <c r="PDG448" s="741"/>
      <c r="PDH448" s="741"/>
      <c r="PDI448" s="741"/>
      <c r="PDJ448" s="741"/>
      <c r="PDK448" s="741"/>
      <c r="PDL448" s="741"/>
      <c r="PDM448" s="741"/>
      <c r="PDN448" s="741"/>
      <c r="PDO448" s="741"/>
      <c r="PDP448" s="741"/>
      <c r="PDQ448" s="741"/>
      <c r="PDR448" s="741"/>
      <c r="PDS448" s="741"/>
      <c r="PDT448" s="741"/>
      <c r="PDU448" s="741"/>
      <c r="PDV448" s="741"/>
      <c r="PDW448" s="741"/>
      <c r="PDX448" s="741"/>
      <c r="PDY448" s="741"/>
      <c r="PDZ448" s="741"/>
      <c r="PEA448" s="741"/>
      <c r="PEB448" s="741"/>
      <c r="PEC448" s="741"/>
      <c r="PED448" s="741"/>
      <c r="PEE448" s="741"/>
      <c r="PEF448" s="741"/>
      <c r="PEG448" s="741"/>
      <c r="PEH448" s="741"/>
      <c r="PEI448" s="741"/>
      <c r="PEJ448" s="741"/>
      <c r="PEK448" s="741"/>
      <c r="PEL448" s="741"/>
      <c r="PEM448" s="741"/>
      <c r="PEN448" s="741"/>
      <c r="PEO448" s="741"/>
      <c r="PEP448" s="741"/>
      <c r="PEQ448" s="741"/>
      <c r="PER448" s="741"/>
      <c r="PES448" s="741"/>
      <c r="PET448" s="741"/>
      <c r="PEU448" s="741"/>
      <c r="PEV448" s="741"/>
      <c r="PEW448" s="741"/>
      <c r="PEX448" s="741"/>
      <c r="PEY448" s="741"/>
      <c r="PEZ448" s="741"/>
      <c r="PFA448" s="741"/>
      <c r="PFB448" s="741"/>
      <c r="PFC448" s="741"/>
      <c r="PFD448" s="741"/>
      <c r="PFE448" s="741"/>
      <c r="PFF448" s="741"/>
      <c r="PFG448" s="741"/>
      <c r="PFH448" s="741"/>
      <c r="PFI448" s="741"/>
      <c r="PFJ448" s="741"/>
      <c r="PFK448" s="741"/>
      <c r="PFL448" s="741"/>
      <c r="PFM448" s="741"/>
      <c r="PFN448" s="741"/>
      <c r="PFO448" s="741"/>
      <c r="PFP448" s="741"/>
      <c r="PFQ448" s="741"/>
      <c r="PFR448" s="741"/>
      <c r="PFS448" s="741"/>
      <c r="PFT448" s="741"/>
      <c r="PFU448" s="741"/>
      <c r="PFV448" s="741"/>
      <c r="PFW448" s="741"/>
      <c r="PFX448" s="741"/>
      <c r="PFY448" s="741"/>
      <c r="PFZ448" s="741"/>
      <c r="PGA448" s="741"/>
      <c r="PGB448" s="741"/>
      <c r="PGC448" s="741"/>
      <c r="PGD448" s="741"/>
      <c r="PGE448" s="741"/>
      <c r="PGF448" s="741"/>
      <c r="PGG448" s="741"/>
      <c r="PGH448" s="741"/>
      <c r="PGI448" s="741"/>
      <c r="PGJ448" s="741"/>
      <c r="PGK448" s="741"/>
      <c r="PGL448" s="741"/>
      <c r="PGM448" s="741"/>
      <c r="PGN448" s="741"/>
      <c r="PGO448" s="741"/>
      <c r="PGP448" s="741"/>
      <c r="PGQ448" s="741"/>
      <c r="PGR448" s="741"/>
      <c r="PGS448" s="741"/>
      <c r="PGT448" s="741"/>
      <c r="PGU448" s="741"/>
      <c r="PGV448" s="741"/>
      <c r="PGW448" s="741"/>
      <c r="PGX448" s="741"/>
      <c r="PGY448" s="741"/>
      <c r="PGZ448" s="741"/>
      <c r="PHA448" s="741"/>
      <c r="PHB448" s="741"/>
      <c r="PHC448" s="741"/>
      <c r="PHD448" s="741"/>
      <c r="PHE448" s="741"/>
      <c r="PHF448" s="741"/>
      <c r="PHG448" s="741"/>
      <c r="PHH448" s="741"/>
      <c r="PHI448" s="741"/>
      <c r="PHJ448" s="741"/>
      <c r="PHK448" s="741"/>
      <c r="PHL448" s="741"/>
      <c r="PHM448" s="741"/>
      <c r="PHN448" s="741"/>
      <c r="PHO448" s="741"/>
      <c r="PHP448" s="741"/>
      <c r="PHQ448" s="741"/>
      <c r="PHR448" s="741"/>
      <c r="PHS448" s="741"/>
      <c r="PHT448" s="741"/>
      <c r="PHU448" s="741"/>
      <c r="PHV448" s="741"/>
      <c r="PHW448" s="741"/>
      <c r="PHX448" s="741"/>
      <c r="PHY448" s="741"/>
      <c r="PHZ448" s="741"/>
      <c r="PIA448" s="741"/>
      <c r="PIB448" s="741"/>
      <c r="PIC448" s="741"/>
      <c r="PID448" s="741"/>
      <c r="PIE448" s="741"/>
      <c r="PIF448" s="741"/>
      <c r="PIG448" s="741"/>
      <c r="PIH448" s="741"/>
      <c r="PII448" s="741"/>
      <c r="PIJ448" s="741"/>
      <c r="PIK448" s="741"/>
      <c r="PIL448" s="741"/>
      <c r="PIM448" s="741"/>
      <c r="PIN448" s="741"/>
      <c r="PIO448" s="741"/>
      <c r="PIP448" s="741"/>
      <c r="PIQ448" s="741"/>
      <c r="PIR448" s="741"/>
      <c r="PIS448" s="741"/>
      <c r="PIT448" s="741"/>
      <c r="PIU448" s="741"/>
      <c r="PIV448" s="741"/>
      <c r="PIW448" s="741"/>
      <c r="PIX448" s="741"/>
      <c r="PIY448" s="741"/>
      <c r="PIZ448" s="741"/>
      <c r="PJA448" s="741"/>
      <c r="PJB448" s="741"/>
      <c r="PJC448" s="741"/>
      <c r="PJD448" s="741"/>
      <c r="PJE448" s="741"/>
      <c r="PJF448" s="741"/>
      <c r="PJG448" s="741"/>
      <c r="PJH448" s="741"/>
      <c r="PJI448" s="741"/>
      <c r="PJJ448" s="741"/>
      <c r="PJK448" s="741"/>
      <c r="PJL448" s="741"/>
      <c r="PJM448" s="741"/>
      <c r="PJN448" s="741"/>
      <c r="PJO448" s="741"/>
      <c r="PJP448" s="741"/>
      <c r="PJQ448" s="741"/>
      <c r="PJR448" s="741"/>
      <c r="PJS448" s="741"/>
      <c r="PJT448" s="741"/>
      <c r="PJU448" s="741"/>
      <c r="PJV448" s="741"/>
      <c r="PJW448" s="741"/>
      <c r="PJX448" s="741"/>
      <c r="PJY448" s="741"/>
      <c r="PJZ448" s="741"/>
      <c r="PKA448" s="741"/>
      <c r="PKB448" s="741"/>
      <c r="PKC448" s="741"/>
      <c r="PKD448" s="741"/>
      <c r="PKE448" s="741"/>
      <c r="PKF448" s="741"/>
      <c r="PKG448" s="741"/>
      <c r="PKH448" s="741"/>
      <c r="PKI448" s="741"/>
      <c r="PKJ448" s="741"/>
      <c r="PKK448" s="741"/>
      <c r="PKL448" s="741"/>
      <c r="PKM448" s="741"/>
      <c r="PKN448" s="741"/>
      <c r="PKO448" s="741"/>
      <c r="PKP448" s="741"/>
      <c r="PKQ448" s="741"/>
      <c r="PKR448" s="741"/>
      <c r="PKS448" s="741"/>
      <c r="PKT448" s="741"/>
      <c r="PKU448" s="741"/>
      <c r="PKV448" s="741"/>
      <c r="PKW448" s="741"/>
      <c r="PKX448" s="741"/>
      <c r="PKY448" s="741"/>
      <c r="PKZ448" s="741"/>
      <c r="PLA448" s="741"/>
      <c r="PLB448" s="741"/>
      <c r="PLC448" s="741"/>
      <c r="PLD448" s="741"/>
      <c r="PLE448" s="741"/>
      <c r="PLF448" s="741"/>
      <c r="PLG448" s="741"/>
      <c r="PLH448" s="741"/>
      <c r="PLI448" s="741"/>
      <c r="PLJ448" s="741"/>
      <c r="PLK448" s="741"/>
      <c r="PLL448" s="741"/>
      <c r="PLM448" s="741"/>
      <c r="PLN448" s="741"/>
      <c r="PLO448" s="741"/>
      <c r="PLP448" s="741"/>
      <c r="PLQ448" s="741"/>
      <c r="PLR448" s="741"/>
      <c r="PLS448" s="741"/>
      <c r="PLT448" s="741"/>
      <c r="PLU448" s="741"/>
      <c r="PLV448" s="741"/>
      <c r="PLW448" s="741"/>
      <c r="PLX448" s="741"/>
      <c r="PLY448" s="741"/>
      <c r="PLZ448" s="741"/>
      <c r="PMA448" s="741"/>
      <c r="PMB448" s="741"/>
      <c r="PMC448" s="741"/>
      <c r="PMD448" s="741"/>
      <c r="PME448" s="741"/>
      <c r="PMF448" s="741"/>
      <c r="PMG448" s="741"/>
      <c r="PMH448" s="741"/>
      <c r="PMI448" s="741"/>
      <c r="PMJ448" s="741"/>
      <c r="PMK448" s="741"/>
      <c r="PML448" s="741"/>
      <c r="PMM448" s="741"/>
      <c r="PMN448" s="741"/>
      <c r="PMO448" s="741"/>
      <c r="PMP448" s="741"/>
      <c r="PMQ448" s="741"/>
      <c r="PMR448" s="741"/>
      <c r="PMS448" s="741"/>
      <c r="PMT448" s="741"/>
      <c r="PMU448" s="741"/>
      <c r="PMV448" s="741"/>
      <c r="PMW448" s="741"/>
      <c r="PMX448" s="741"/>
      <c r="PMY448" s="741"/>
      <c r="PMZ448" s="741"/>
      <c r="PNA448" s="741"/>
      <c r="PNB448" s="741"/>
      <c r="PNC448" s="741"/>
      <c r="PND448" s="741"/>
      <c r="PNE448" s="741"/>
      <c r="PNF448" s="741"/>
      <c r="PNG448" s="741"/>
      <c r="PNH448" s="741"/>
      <c r="PNI448" s="741"/>
      <c r="PNJ448" s="741"/>
      <c r="PNK448" s="741"/>
      <c r="PNL448" s="741"/>
      <c r="PNM448" s="741"/>
      <c r="PNN448" s="741"/>
      <c r="PNO448" s="741"/>
      <c r="PNP448" s="741"/>
      <c r="PNQ448" s="741"/>
      <c r="PNR448" s="741"/>
      <c r="PNS448" s="741"/>
      <c r="PNT448" s="741"/>
      <c r="PNU448" s="741"/>
      <c r="PNV448" s="741"/>
      <c r="PNW448" s="741"/>
      <c r="PNX448" s="741"/>
      <c r="PNY448" s="741"/>
      <c r="PNZ448" s="741"/>
      <c r="POA448" s="741"/>
      <c r="POB448" s="741"/>
      <c r="POC448" s="741"/>
      <c r="POD448" s="741"/>
      <c r="POE448" s="741"/>
      <c r="POF448" s="741"/>
      <c r="POG448" s="741"/>
      <c r="POH448" s="741"/>
      <c r="POI448" s="741"/>
      <c r="POJ448" s="741"/>
      <c r="POK448" s="741"/>
      <c r="POL448" s="741"/>
      <c r="POM448" s="741"/>
      <c r="PON448" s="741"/>
      <c r="POO448" s="741"/>
      <c r="POP448" s="741"/>
      <c r="POQ448" s="741"/>
      <c r="POR448" s="741"/>
      <c r="POS448" s="741"/>
      <c r="POT448" s="741"/>
      <c r="POU448" s="741"/>
      <c r="POV448" s="741"/>
      <c r="POW448" s="741"/>
      <c r="POX448" s="741"/>
      <c r="POY448" s="741"/>
      <c r="POZ448" s="741"/>
      <c r="PPA448" s="741"/>
      <c r="PPB448" s="741"/>
      <c r="PPC448" s="741"/>
      <c r="PPD448" s="741"/>
      <c r="PPE448" s="741"/>
      <c r="PPF448" s="741"/>
      <c r="PPG448" s="741"/>
      <c r="PPH448" s="741"/>
      <c r="PPI448" s="741"/>
      <c r="PPJ448" s="741"/>
      <c r="PPK448" s="741"/>
      <c r="PPL448" s="741"/>
      <c r="PPM448" s="741"/>
      <c r="PPN448" s="741"/>
      <c r="PPO448" s="741"/>
      <c r="PPP448" s="741"/>
      <c r="PPQ448" s="741"/>
      <c r="PPR448" s="741"/>
      <c r="PPS448" s="741"/>
      <c r="PPT448" s="741"/>
      <c r="PPU448" s="741"/>
      <c r="PPV448" s="741"/>
      <c r="PPW448" s="741"/>
      <c r="PPX448" s="741"/>
      <c r="PPY448" s="741"/>
      <c r="PPZ448" s="741"/>
      <c r="PQA448" s="741"/>
      <c r="PQB448" s="741"/>
      <c r="PQC448" s="741"/>
      <c r="PQD448" s="741"/>
      <c r="PQE448" s="741"/>
      <c r="PQF448" s="741"/>
      <c r="PQG448" s="741"/>
      <c r="PQH448" s="741"/>
      <c r="PQI448" s="741"/>
      <c r="PQJ448" s="741"/>
      <c r="PQK448" s="741"/>
      <c r="PQL448" s="741"/>
      <c r="PQM448" s="741"/>
      <c r="PQN448" s="741"/>
      <c r="PQO448" s="741"/>
      <c r="PQP448" s="741"/>
      <c r="PQQ448" s="741"/>
      <c r="PQR448" s="741"/>
      <c r="PQS448" s="741"/>
      <c r="PQT448" s="741"/>
      <c r="PQU448" s="741"/>
      <c r="PQV448" s="741"/>
      <c r="PQW448" s="741"/>
      <c r="PQX448" s="741"/>
      <c r="PQY448" s="741"/>
      <c r="PQZ448" s="741"/>
      <c r="PRA448" s="741"/>
      <c r="PRB448" s="741"/>
      <c r="PRC448" s="741"/>
      <c r="PRD448" s="741"/>
      <c r="PRE448" s="741"/>
      <c r="PRF448" s="741"/>
      <c r="PRG448" s="741"/>
      <c r="PRH448" s="741"/>
      <c r="PRI448" s="741"/>
      <c r="PRJ448" s="741"/>
      <c r="PRK448" s="741"/>
      <c r="PRL448" s="741"/>
      <c r="PRM448" s="741"/>
      <c r="PRN448" s="741"/>
      <c r="PRO448" s="741"/>
      <c r="PRP448" s="741"/>
      <c r="PRQ448" s="741"/>
      <c r="PRR448" s="741"/>
      <c r="PRS448" s="741"/>
      <c r="PRT448" s="741"/>
      <c r="PRU448" s="741"/>
      <c r="PRV448" s="741"/>
      <c r="PRW448" s="741"/>
      <c r="PRX448" s="741"/>
      <c r="PRY448" s="741"/>
      <c r="PRZ448" s="741"/>
      <c r="PSA448" s="741"/>
      <c r="PSB448" s="741"/>
      <c r="PSC448" s="741"/>
      <c r="PSD448" s="741"/>
      <c r="PSE448" s="741"/>
      <c r="PSF448" s="741"/>
      <c r="PSG448" s="741"/>
      <c r="PSH448" s="741"/>
      <c r="PSI448" s="741"/>
      <c r="PSJ448" s="741"/>
      <c r="PSK448" s="741"/>
      <c r="PSL448" s="741"/>
      <c r="PSM448" s="741"/>
      <c r="PSN448" s="741"/>
      <c r="PSO448" s="741"/>
      <c r="PSP448" s="741"/>
      <c r="PSQ448" s="741"/>
      <c r="PSR448" s="741"/>
      <c r="PSS448" s="741"/>
      <c r="PST448" s="741"/>
      <c r="PSU448" s="741"/>
      <c r="PSV448" s="741"/>
      <c r="PSW448" s="741"/>
      <c r="PSX448" s="741"/>
      <c r="PSY448" s="741"/>
      <c r="PSZ448" s="741"/>
      <c r="PTA448" s="741"/>
      <c r="PTB448" s="741"/>
      <c r="PTC448" s="741"/>
      <c r="PTD448" s="741"/>
      <c r="PTE448" s="741"/>
      <c r="PTF448" s="741"/>
      <c r="PTG448" s="741"/>
      <c r="PTH448" s="741"/>
      <c r="PTI448" s="741"/>
      <c r="PTJ448" s="741"/>
      <c r="PTK448" s="741"/>
      <c r="PTL448" s="741"/>
      <c r="PTM448" s="741"/>
      <c r="PTN448" s="741"/>
      <c r="PTO448" s="741"/>
      <c r="PTP448" s="741"/>
      <c r="PTQ448" s="741"/>
      <c r="PTR448" s="741"/>
      <c r="PTS448" s="741"/>
      <c r="PTT448" s="741"/>
      <c r="PTU448" s="741"/>
      <c r="PTV448" s="741"/>
      <c r="PTW448" s="741"/>
      <c r="PTX448" s="741"/>
      <c r="PTY448" s="741"/>
      <c r="PTZ448" s="741"/>
      <c r="PUA448" s="741"/>
      <c r="PUB448" s="741"/>
      <c r="PUC448" s="741"/>
      <c r="PUD448" s="741"/>
      <c r="PUE448" s="741"/>
      <c r="PUF448" s="741"/>
      <c r="PUG448" s="741"/>
      <c r="PUH448" s="741"/>
      <c r="PUI448" s="741"/>
      <c r="PUJ448" s="741"/>
      <c r="PUK448" s="741"/>
      <c r="PUL448" s="741"/>
      <c r="PUM448" s="741"/>
      <c r="PUN448" s="741"/>
      <c r="PUO448" s="741"/>
      <c r="PUP448" s="741"/>
      <c r="PUQ448" s="741"/>
      <c r="PUR448" s="741"/>
      <c r="PUS448" s="741"/>
      <c r="PUT448" s="741"/>
      <c r="PUU448" s="741"/>
      <c r="PUV448" s="741"/>
      <c r="PUW448" s="741"/>
      <c r="PUX448" s="741"/>
      <c r="PUY448" s="741"/>
      <c r="PUZ448" s="741"/>
      <c r="PVA448" s="741"/>
      <c r="PVB448" s="741"/>
      <c r="PVC448" s="741"/>
      <c r="PVD448" s="741"/>
      <c r="PVE448" s="741"/>
      <c r="PVF448" s="741"/>
      <c r="PVG448" s="741"/>
      <c r="PVH448" s="741"/>
      <c r="PVI448" s="741"/>
      <c r="PVJ448" s="741"/>
      <c r="PVK448" s="741"/>
      <c r="PVL448" s="741"/>
      <c r="PVM448" s="741"/>
      <c r="PVN448" s="741"/>
      <c r="PVO448" s="741"/>
      <c r="PVP448" s="741"/>
      <c r="PVQ448" s="741"/>
      <c r="PVR448" s="741"/>
      <c r="PVS448" s="741"/>
      <c r="PVT448" s="741"/>
      <c r="PVU448" s="741"/>
      <c r="PVV448" s="741"/>
      <c r="PVW448" s="741"/>
      <c r="PVX448" s="741"/>
      <c r="PVY448" s="741"/>
      <c r="PVZ448" s="741"/>
      <c r="PWA448" s="741"/>
      <c r="PWB448" s="741"/>
      <c r="PWC448" s="741"/>
      <c r="PWD448" s="741"/>
      <c r="PWE448" s="741"/>
      <c r="PWF448" s="741"/>
      <c r="PWG448" s="741"/>
      <c r="PWH448" s="741"/>
      <c r="PWI448" s="741"/>
      <c r="PWJ448" s="741"/>
      <c r="PWK448" s="741"/>
      <c r="PWL448" s="741"/>
      <c r="PWM448" s="741"/>
      <c r="PWN448" s="741"/>
      <c r="PWO448" s="741"/>
      <c r="PWP448" s="741"/>
      <c r="PWQ448" s="741"/>
      <c r="PWR448" s="741"/>
      <c r="PWS448" s="741"/>
      <c r="PWT448" s="741"/>
      <c r="PWU448" s="741"/>
      <c r="PWV448" s="741"/>
      <c r="PWW448" s="741"/>
      <c r="PWX448" s="741"/>
      <c r="PWY448" s="741"/>
      <c r="PWZ448" s="741"/>
      <c r="PXA448" s="741"/>
      <c r="PXB448" s="741"/>
      <c r="PXC448" s="741"/>
      <c r="PXD448" s="741"/>
      <c r="PXE448" s="741"/>
      <c r="PXF448" s="741"/>
      <c r="PXG448" s="741"/>
      <c r="PXH448" s="741"/>
      <c r="PXI448" s="741"/>
      <c r="PXJ448" s="741"/>
      <c r="PXK448" s="741"/>
      <c r="PXL448" s="741"/>
      <c r="PXM448" s="741"/>
      <c r="PXN448" s="741"/>
      <c r="PXO448" s="741"/>
      <c r="PXP448" s="741"/>
      <c r="PXQ448" s="741"/>
      <c r="PXR448" s="741"/>
      <c r="PXS448" s="741"/>
      <c r="PXT448" s="741"/>
      <c r="PXU448" s="741"/>
      <c r="PXV448" s="741"/>
      <c r="PXW448" s="741"/>
      <c r="PXX448" s="741"/>
      <c r="PXY448" s="741"/>
      <c r="PXZ448" s="741"/>
      <c r="PYA448" s="741"/>
      <c r="PYB448" s="741"/>
      <c r="PYC448" s="741"/>
      <c r="PYD448" s="741"/>
      <c r="PYE448" s="741"/>
      <c r="PYF448" s="741"/>
      <c r="PYG448" s="741"/>
      <c r="PYH448" s="741"/>
      <c r="PYI448" s="741"/>
      <c r="PYJ448" s="741"/>
      <c r="PYK448" s="741"/>
      <c r="PYL448" s="741"/>
      <c r="PYM448" s="741"/>
      <c r="PYN448" s="741"/>
      <c r="PYO448" s="741"/>
      <c r="PYP448" s="741"/>
      <c r="PYQ448" s="741"/>
      <c r="PYR448" s="741"/>
      <c r="PYS448" s="741"/>
      <c r="PYT448" s="741"/>
      <c r="PYU448" s="741"/>
      <c r="PYV448" s="741"/>
      <c r="PYW448" s="741"/>
      <c r="PYX448" s="741"/>
      <c r="PYY448" s="741"/>
      <c r="PYZ448" s="741"/>
      <c r="PZA448" s="741"/>
      <c r="PZB448" s="741"/>
      <c r="PZC448" s="741"/>
      <c r="PZD448" s="741"/>
      <c r="PZE448" s="741"/>
      <c r="PZF448" s="741"/>
      <c r="PZG448" s="741"/>
      <c r="PZH448" s="741"/>
      <c r="PZI448" s="741"/>
      <c r="PZJ448" s="741"/>
      <c r="PZK448" s="741"/>
      <c r="PZL448" s="741"/>
      <c r="PZM448" s="741"/>
      <c r="PZN448" s="741"/>
      <c r="PZO448" s="741"/>
      <c r="PZP448" s="741"/>
      <c r="PZQ448" s="741"/>
      <c r="PZR448" s="741"/>
      <c r="PZS448" s="741"/>
      <c r="PZT448" s="741"/>
      <c r="PZU448" s="741"/>
      <c r="PZV448" s="741"/>
      <c r="PZW448" s="741"/>
      <c r="PZX448" s="741"/>
      <c r="PZY448" s="741"/>
      <c r="PZZ448" s="741"/>
      <c r="QAA448" s="741"/>
      <c r="QAB448" s="741"/>
      <c r="QAC448" s="741"/>
      <c r="QAD448" s="741"/>
      <c r="QAE448" s="741"/>
      <c r="QAF448" s="741"/>
      <c r="QAG448" s="741"/>
      <c r="QAH448" s="741"/>
      <c r="QAI448" s="741"/>
      <c r="QAJ448" s="741"/>
      <c r="QAK448" s="741"/>
      <c r="QAL448" s="741"/>
      <c r="QAM448" s="741"/>
      <c r="QAN448" s="741"/>
      <c r="QAO448" s="741"/>
      <c r="QAP448" s="741"/>
      <c r="QAQ448" s="741"/>
      <c r="QAR448" s="741"/>
      <c r="QAS448" s="741"/>
      <c r="QAT448" s="741"/>
      <c r="QAU448" s="741"/>
      <c r="QAV448" s="741"/>
      <c r="QAW448" s="741"/>
      <c r="QAX448" s="741"/>
      <c r="QAY448" s="741"/>
      <c r="QAZ448" s="741"/>
      <c r="QBA448" s="741"/>
      <c r="QBB448" s="741"/>
      <c r="QBC448" s="741"/>
      <c r="QBD448" s="741"/>
      <c r="QBE448" s="741"/>
      <c r="QBF448" s="741"/>
      <c r="QBG448" s="741"/>
      <c r="QBH448" s="741"/>
      <c r="QBI448" s="741"/>
      <c r="QBJ448" s="741"/>
      <c r="QBK448" s="741"/>
      <c r="QBL448" s="741"/>
      <c r="QBM448" s="741"/>
      <c r="QBN448" s="741"/>
      <c r="QBO448" s="741"/>
      <c r="QBP448" s="741"/>
      <c r="QBQ448" s="741"/>
      <c r="QBR448" s="741"/>
      <c r="QBS448" s="741"/>
      <c r="QBT448" s="741"/>
      <c r="QBU448" s="741"/>
      <c r="QBV448" s="741"/>
      <c r="QBW448" s="741"/>
      <c r="QBX448" s="741"/>
      <c r="QBY448" s="741"/>
      <c r="QBZ448" s="741"/>
      <c r="QCA448" s="741"/>
      <c r="QCB448" s="741"/>
      <c r="QCC448" s="741"/>
      <c r="QCD448" s="741"/>
      <c r="QCE448" s="741"/>
      <c r="QCF448" s="741"/>
      <c r="QCG448" s="741"/>
      <c r="QCH448" s="741"/>
      <c r="QCI448" s="741"/>
      <c r="QCJ448" s="741"/>
      <c r="QCK448" s="741"/>
      <c r="QCL448" s="741"/>
      <c r="QCM448" s="741"/>
      <c r="QCN448" s="741"/>
      <c r="QCO448" s="741"/>
      <c r="QCP448" s="741"/>
      <c r="QCQ448" s="741"/>
      <c r="QCR448" s="741"/>
      <c r="QCS448" s="741"/>
      <c r="QCT448" s="741"/>
      <c r="QCU448" s="741"/>
      <c r="QCV448" s="741"/>
      <c r="QCW448" s="741"/>
      <c r="QCX448" s="741"/>
      <c r="QCY448" s="741"/>
      <c r="QCZ448" s="741"/>
      <c r="QDA448" s="741"/>
      <c r="QDB448" s="741"/>
      <c r="QDC448" s="741"/>
      <c r="QDD448" s="741"/>
      <c r="QDE448" s="741"/>
      <c r="QDF448" s="741"/>
      <c r="QDG448" s="741"/>
      <c r="QDH448" s="741"/>
      <c r="QDI448" s="741"/>
      <c r="QDJ448" s="741"/>
      <c r="QDK448" s="741"/>
      <c r="QDL448" s="741"/>
      <c r="QDM448" s="741"/>
      <c r="QDN448" s="741"/>
      <c r="QDO448" s="741"/>
      <c r="QDP448" s="741"/>
      <c r="QDQ448" s="741"/>
      <c r="QDR448" s="741"/>
      <c r="QDS448" s="741"/>
      <c r="QDT448" s="741"/>
      <c r="QDU448" s="741"/>
      <c r="QDV448" s="741"/>
      <c r="QDW448" s="741"/>
      <c r="QDX448" s="741"/>
      <c r="QDY448" s="741"/>
      <c r="QDZ448" s="741"/>
      <c r="QEA448" s="741"/>
      <c r="QEB448" s="741"/>
      <c r="QEC448" s="741"/>
      <c r="QED448" s="741"/>
      <c r="QEE448" s="741"/>
      <c r="QEF448" s="741"/>
      <c r="QEG448" s="741"/>
      <c r="QEH448" s="741"/>
      <c r="QEI448" s="741"/>
      <c r="QEJ448" s="741"/>
      <c r="QEK448" s="741"/>
      <c r="QEL448" s="741"/>
      <c r="QEM448" s="741"/>
      <c r="QEN448" s="741"/>
      <c r="QEO448" s="741"/>
      <c r="QEP448" s="741"/>
      <c r="QEQ448" s="741"/>
      <c r="QER448" s="741"/>
      <c r="QES448" s="741"/>
      <c r="QET448" s="741"/>
      <c r="QEU448" s="741"/>
      <c r="QEV448" s="741"/>
      <c r="QEW448" s="741"/>
      <c r="QEX448" s="741"/>
      <c r="QEY448" s="741"/>
      <c r="QEZ448" s="741"/>
      <c r="QFA448" s="741"/>
      <c r="QFB448" s="741"/>
      <c r="QFC448" s="741"/>
      <c r="QFD448" s="741"/>
      <c r="QFE448" s="741"/>
      <c r="QFF448" s="741"/>
      <c r="QFG448" s="741"/>
      <c r="QFH448" s="741"/>
      <c r="QFI448" s="741"/>
      <c r="QFJ448" s="741"/>
      <c r="QFK448" s="741"/>
      <c r="QFL448" s="741"/>
      <c r="QFM448" s="741"/>
      <c r="QFN448" s="741"/>
      <c r="QFO448" s="741"/>
      <c r="QFP448" s="741"/>
      <c r="QFQ448" s="741"/>
      <c r="QFR448" s="741"/>
      <c r="QFS448" s="741"/>
      <c r="QFT448" s="741"/>
      <c r="QFU448" s="741"/>
      <c r="QFV448" s="741"/>
      <c r="QFW448" s="741"/>
      <c r="QFX448" s="741"/>
      <c r="QFY448" s="741"/>
      <c r="QFZ448" s="741"/>
      <c r="QGA448" s="741"/>
      <c r="QGB448" s="741"/>
      <c r="QGC448" s="741"/>
      <c r="QGD448" s="741"/>
      <c r="QGE448" s="741"/>
      <c r="QGF448" s="741"/>
      <c r="QGG448" s="741"/>
      <c r="QGH448" s="741"/>
      <c r="QGI448" s="741"/>
      <c r="QGJ448" s="741"/>
      <c r="QGK448" s="741"/>
      <c r="QGL448" s="741"/>
      <c r="QGM448" s="741"/>
      <c r="QGN448" s="741"/>
      <c r="QGO448" s="741"/>
      <c r="QGP448" s="741"/>
      <c r="QGQ448" s="741"/>
      <c r="QGR448" s="741"/>
      <c r="QGS448" s="741"/>
      <c r="QGT448" s="741"/>
      <c r="QGU448" s="741"/>
      <c r="QGV448" s="741"/>
      <c r="QGW448" s="741"/>
      <c r="QGX448" s="741"/>
      <c r="QGY448" s="741"/>
      <c r="QGZ448" s="741"/>
      <c r="QHA448" s="741"/>
      <c r="QHB448" s="741"/>
      <c r="QHC448" s="741"/>
      <c r="QHD448" s="741"/>
      <c r="QHE448" s="741"/>
      <c r="QHF448" s="741"/>
      <c r="QHG448" s="741"/>
      <c r="QHH448" s="741"/>
      <c r="QHI448" s="741"/>
      <c r="QHJ448" s="741"/>
      <c r="QHK448" s="741"/>
      <c r="QHL448" s="741"/>
      <c r="QHM448" s="741"/>
      <c r="QHN448" s="741"/>
      <c r="QHO448" s="741"/>
      <c r="QHP448" s="741"/>
      <c r="QHQ448" s="741"/>
      <c r="QHR448" s="741"/>
      <c r="QHS448" s="741"/>
      <c r="QHT448" s="741"/>
      <c r="QHU448" s="741"/>
      <c r="QHV448" s="741"/>
      <c r="QHW448" s="741"/>
      <c r="QHX448" s="741"/>
      <c r="QHY448" s="741"/>
      <c r="QHZ448" s="741"/>
      <c r="QIA448" s="741"/>
      <c r="QIB448" s="741"/>
      <c r="QIC448" s="741"/>
      <c r="QID448" s="741"/>
      <c r="QIE448" s="741"/>
      <c r="QIF448" s="741"/>
      <c r="QIG448" s="741"/>
      <c r="QIH448" s="741"/>
      <c r="QII448" s="741"/>
      <c r="QIJ448" s="741"/>
      <c r="QIK448" s="741"/>
      <c r="QIL448" s="741"/>
      <c r="QIM448" s="741"/>
      <c r="QIN448" s="741"/>
      <c r="QIO448" s="741"/>
      <c r="QIP448" s="741"/>
      <c r="QIQ448" s="741"/>
      <c r="QIR448" s="741"/>
      <c r="QIS448" s="741"/>
      <c r="QIT448" s="741"/>
      <c r="QIU448" s="741"/>
      <c r="QIV448" s="741"/>
      <c r="QIW448" s="741"/>
      <c r="QIX448" s="741"/>
      <c r="QIY448" s="741"/>
      <c r="QIZ448" s="741"/>
      <c r="QJA448" s="741"/>
      <c r="QJB448" s="741"/>
      <c r="QJC448" s="741"/>
      <c r="QJD448" s="741"/>
      <c r="QJE448" s="741"/>
      <c r="QJF448" s="741"/>
      <c r="QJG448" s="741"/>
      <c r="QJH448" s="741"/>
      <c r="QJI448" s="741"/>
      <c r="QJJ448" s="741"/>
      <c r="QJK448" s="741"/>
      <c r="QJL448" s="741"/>
      <c r="QJM448" s="741"/>
      <c r="QJN448" s="741"/>
      <c r="QJO448" s="741"/>
      <c r="QJP448" s="741"/>
      <c r="QJQ448" s="741"/>
      <c r="QJR448" s="741"/>
      <c r="QJS448" s="741"/>
      <c r="QJT448" s="741"/>
      <c r="QJU448" s="741"/>
      <c r="QJV448" s="741"/>
      <c r="QJW448" s="741"/>
      <c r="QJX448" s="741"/>
      <c r="QJY448" s="741"/>
      <c r="QJZ448" s="741"/>
      <c r="QKA448" s="741"/>
      <c r="QKB448" s="741"/>
      <c r="QKC448" s="741"/>
      <c r="QKD448" s="741"/>
      <c r="QKE448" s="741"/>
      <c r="QKF448" s="741"/>
      <c r="QKG448" s="741"/>
      <c r="QKH448" s="741"/>
      <c r="QKI448" s="741"/>
      <c r="QKJ448" s="741"/>
      <c r="QKK448" s="741"/>
      <c r="QKL448" s="741"/>
      <c r="QKM448" s="741"/>
      <c r="QKN448" s="741"/>
      <c r="QKO448" s="741"/>
      <c r="QKP448" s="741"/>
      <c r="QKQ448" s="741"/>
      <c r="QKR448" s="741"/>
      <c r="QKS448" s="741"/>
      <c r="QKT448" s="741"/>
      <c r="QKU448" s="741"/>
      <c r="QKV448" s="741"/>
      <c r="QKW448" s="741"/>
      <c r="QKX448" s="741"/>
      <c r="QKY448" s="741"/>
      <c r="QKZ448" s="741"/>
      <c r="QLA448" s="741"/>
      <c r="QLB448" s="741"/>
      <c r="QLC448" s="741"/>
      <c r="QLD448" s="741"/>
      <c r="QLE448" s="741"/>
      <c r="QLF448" s="741"/>
      <c r="QLG448" s="741"/>
      <c r="QLH448" s="741"/>
      <c r="QLI448" s="741"/>
      <c r="QLJ448" s="741"/>
      <c r="QLK448" s="741"/>
      <c r="QLL448" s="741"/>
      <c r="QLM448" s="741"/>
      <c r="QLN448" s="741"/>
      <c r="QLO448" s="741"/>
      <c r="QLP448" s="741"/>
      <c r="QLQ448" s="741"/>
      <c r="QLR448" s="741"/>
      <c r="QLS448" s="741"/>
      <c r="QLT448" s="741"/>
      <c r="QLU448" s="741"/>
      <c r="QLV448" s="741"/>
      <c r="QLW448" s="741"/>
      <c r="QLX448" s="741"/>
      <c r="QLY448" s="741"/>
      <c r="QLZ448" s="741"/>
      <c r="QMA448" s="741"/>
      <c r="QMB448" s="741"/>
      <c r="QMC448" s="741"/>
      <c r="QMD448" s="741"/>
      <c r="QME448" s="741"/>
      <c r="QMF448" s="741"/>
      <c r="QMG448" s="741"/>
      <c r="QMH448" s="741"/>
      <c r="QMI448" s="741"/>
      <c r="QMJ448" s="741"/>
      <c r="QMK448" s="741"/>
      <c r="QML448" s="741"/>
      <c r="QMM448" s="741"/>
      <c r="QMN448" s="741"/>
      <c r="QMO448" s="741"/>
      <c r="QMP448" s="741"/>
      <c r="QMQ448" s="741"/>
      <c r="QMR448" s="741"/>
      <c r="QMS448" s="741"/>
      <c r="QMT448" s="741"/>
      <c r="QMU448" s="741"/>
      <c r="QMV448" s="741"/>
      <c r="QMW448" s="741"/>
      <c r="QMX448" s="741"/>
      <c r="QMY448" s="741"/>
      <c r="QMZ448" s="741"/>
      <c r="QNA448" s="741"/>
      <c r="QNB448" s="741"/>
      <c r="QNC448" s="741"/>
      <c r="QND448" s="741"/>
      <c r="QNE448" s="741"/>
      <c r="QNF448" s="741"/>
      <c r="QNG448" s="741"/>
      <c r="QNH448" s="741"/>
      <c r="QNI448" s="741"/>
      <c r="QNJ448" s="741"/>
      <c r="QNK448" s="741"/>
      <c r="QNL448" s="741"/>
      <c r="QNM448" s="741"/>
      <c r="QNN448" s="741"/>
      <c r="QNO448" s="741"/>
      <c r="QNP448" s="741"/>
      <c r="QNQ448" s="741"/>
      <c r="QNR448" s="741"/>
      <c r="QNS448" s="741"/>
      <c r="QNT448" s="741"/>
      <c r="QNU448" s="741"/>
      <c r="QNV448" s="741"/>
      <c r="QNW448" s="741"/>
      <c r="QNX448" s="741"/>
      <c r="QNY448" s="741"/>
      <c r="QNZ448" s="741"/>
      <c r="QOA448" s="741"/>
      <c r="QOB448" s="741"/>
      <c r="QOC448" s="741"/>
      <c r="QOD448" s="741"/>
      <c r="QOE448" s="741"/>
      <c r="QOF448" s="741"/>
      <c r="QOG448" s="741"/>
      <c r="QOH448" s="741"/>
      <c r="QOI448" s="741"/>
      <c r="QOJ448" s="741"/>
      <c r="QOK448" s="741"/>
      <c r="QOL448" s="741"/>
      <c r="QOM448" s="741"/>
      <c r="QON448" s="741"/>
      <c r="QOO448" s="741"/>
      <c r="QOP448" s="741"/>
      <c r="QOQ448" s="741"/>
      <c r="QOR448" s="741"/>
      <c r="QOS448" s="741"/>
      <c r="QOT448" s="741"/>
      <c r="QOU448" s="741"/>
      <c r="QOV448" s="741"/>
      <c r="QOW448" s="741"/>
      <c r="QOX448" s="741"/>
      <c r="QOY448" s="741"/>
      <c r="QOZ448" s="741"/>
      <c r="QPA448" s="741"/>
      <c r="QPB448" s="741"/>
      <c r="QPC448" s="741"/>
      <c r="QPD448" s="741"/>
      <c r="QPE448" s="741"/>
      <c r="QPF448" s="741"/>
      <c r="QPG448" s="741"/>
      <c r="QPH448" s="741"/>
      <c r="QPI448" s="741"/>
      <c r="QPJ448" s="741"/>
      <c r="QPK448" s="741"/>
      <c r="QPL448" s="741"/>
      <c r="QPM448" s="741"/>
      <c r="QPN448" s="741"/>
      <c r="QPO448" s="741"/>
      <c r="QPP448" s="741"/>
      <c r="QPQ448" s="741"/>
      <c r="QPR448" s="741"/>
      <c r="QPS448" s="741"/>
      <c r="QPT448" s="741"/>
      <c r="QPU448" s="741"/>
      <c r="QPV448" s="741"/>
      <c r="QPW448" s="741"/>
      <c r="QPX448" s="741"/>
      <c r="QPY448" s="741"/>
      <c r="QPZ448" s="741"/>
      <c r="QQA448" s="741"/>
      <c r="QQB448" s="741"/>
      <c r="QQC448" s="741"/>
      <c r="QQD448" s="741"/>
      <c r="QQE448" s="741"/>
      <c r="QQF448" s="741"/>
      <c r="QQG448" s="741"/>
      <c r="QQH448" s="741"/>
      <c r="QQI448" s="741"/>
      <c r="QQJ448" s="741"/>
      <c r="QQK448" s="741"/>
      <c r="QQL448" s="741"/>
      <c r="QQM448" s="741"/>
      <c r="QQN448" s="741"/>
      <c r="QQO448" s="741"/>
      <c r="QQP448" s="741"/>
      <c r="QQQ448" s="741"/>
      <c r="QQR448" s="741"/>
      <c r="QQS448" s="741"/>
      <c r="QQT448" s="741"/>
      <c r="QQU448" s="741"/>
      <c r="QQV448" s="741"/>
      <c r="QQW448" s="741"/>
      <c r="QQX448" s="741"/>
      <c r="QQY448" s="741"/>
      <c r="QQZ448" s="741"/>
      <c r="QRA448" s="741"/>
      <c r="QRB448" s="741"/>
      <c r="QRC448" s="741"/>
      <c r="QRD448" s="741"/>
      <c r="QRE448" s="741"/>
      <c r="QRF448" s="741"/>
      <c r="QRG448" s="741"/>
      <c r="QRH448" s="741"/>
      <c r="QRI448" s="741"/>
      <c r="QRJ448" s="741"/>
      <c r="QRK448" s="741"/>
      <c r="QRL448" s="741"/>
      <c r="QRM448" s="741"/>
      <c r="QRN448" s="741"/>
      <c r="QRO448" s="741"/>
      <c r="QRP448" s="741"/>
      <c r="QRQ448" s="741"/>
      <c r="QRR448" s="741"/>
      <c r="QRS448" s="741"/>
      <c r="QRT448" s="741"/>
      <c r="QRU448" s="741"/>
      <c r="QRV448" s="741"/>
      <c r="QRW448" s="741"/>
      <c r="QRX448" s="741"/>
      <c r="QRY448" s="741"/>
      <c r="QRZ448" s="741"/>
      <c r="QSA448" s="741"/>
      <c r="QSB448" s="741"/>
      <c r="QSC448" s="741"/>
      <c r="QSD448" s="741"/>
      <c r="QSE448" s="741"/>
      <c r="QSF448" s="741"/>
      <c r="QSG448" s="741"/>
      <c r="QSH448" s="741"/>
      <c r="QSI448" s="741"/>
      <c r="QSJ448" s="741"/>
      <c r="QSK448" s="741"/>
      <c r="QSL448" s="741"/>
      <c r="QSM448" s="741"/>
      <c r="QSN448" s="741"/>
      <c r="QSO448" s="741"/>
      <c r="QSP448" s="741"/>
      <c r="QSQ448" s="741"/>
      <c r="QSR448" s="741"/>
      <c r="QSS448" s="741"/>
      <c r="QST448" s="741"/>
      <c r="QSU448" s="741"/>
      <c r="QSV448" s="741"/>
      <c r="QSW448" s="741"/>
      <c r="QSX448" s="741"/>
      <c r="QSY448" s="741"/>
      <c r="QSZ448" s="741"/>
      <c r="QTA448" s="741"/>
      <c r="QTB448" s="741"/>
      <c r="QTC448" s="741"/>
      <c r="QTD448" s="741"/>
      <c r="QTE448" s="741"/>
      <c r="QTF448" s="741"/>
      <c r="QTG448" s="741"/>
      <c r="QTH448" s="741"/>
      <c r="QTI448" s="741"/>
      <c r="QTJ448" s="741"/>
      <c r="QTK448" s="741"/>
      <c r="QTL448" s="741"/>
      <c r="QTM448" s="741"/>
      <c r="QTN448" s="741"/>
      <c r="QTO448" s="741"/>
      <c r="QTP448" s="741"/>
      <c r="QTQ448" s="741"/>
      <c r="QTR448" s="741"/>
      <c r="QTS448" s="741"/>
      <c r="QTT448" s="741"/>
      <c r="QTU448" s="741"/>
      <c r="QTV448" s="741"/>
      <c r="QTW448" s="741"/>
      <c r="QTX448" s="741"/>
      <c r="QTY448" s="741"/>
      <c r="QTZ448" s="741"/>
      <c r="QUA448" s="741"/>
      <c r="QUB448" s="741"/>
      <c r="QUC448" s="741"/>
      <c r="QUD448" s="741"/>
      <c r="QUE448" s="741"/>
      <c r="QUF448" s="741"/>
      <c r="QUG448" s="741"/>
      <c r="QUH448" s="741"/>
      <c r="QUI448" s="741"/>
      <c r="QUJ448" s="741"/>
      <c r="QUK448" s="741"/>
      <c r="QUL448" s="741"/>
      <c r="QUM448" s="741"/>
      <c r="QUN448" s="741"/>
      <c r="QUO448" s="741"/>
      <c r="QUP448" s="741"/>
      <c r="QUQ448" s="741"/>
      <c r="QUR448" s="741"/>
      <c r="QUS448" s="741"/>
      <c r="QUT448" s="741"/>
      <c r="QUU448" s="741"/>
      <c r="QUV448" s="741"/>
      <c r="QUW448" s="741"/>
      <c r="QUX448" s="741"/>
      <c r="QUY448" s="741"/>
      <c r="QUZ448" s="741"/>
      <c r="QVA448" s="741"/>
      <c r="QVB448" s="741"/>
      <c r="QVC448" s="741"/>
      <c r="QVD448" s="741"/>
      <c r="QVE448" s="741"/>
      <c r="QVF448" s="741"/>
      <c r="QVG448" s="741"/>
      <c r="QVH448" s="741"/>
      <c r="QVI448" s="741"/>
      <c r="QVJ448" s="741"/>
      <c r="QVK448" s="741"/>
      <c r="QVL448" s="741"/>
      <c r="QVM448" s="741"/>
      <c r="QVN448" s="741"/>
      <c r="QVO448" s="741"/>
      <c r="QVP448" s="741"/>
      <c r="QVQ448" s="741"/>
      <c r="QVR448" s="741"/>
      <c r="QVS448" s="741"/>
      <c r="QVT448" s="741"/>
      <c r="QVU448" s="741"/>
      <c r="QVV448" s="741"/>
      <c r="QVW448" s="741"/>
      <c r="QVX448" s="741"/>
      <c r="QVY448" s="741"/>
      <c r="QVZ448" s="741"/>
      <c r="QWA448" s="741"/>
      <c r="QWB448" s="741"/>
      <c r="QWC448" s="741"/>
      <c r="QWD448" s="741"/>
      <c r="QWE448" s="741"/>
      <c r="QWF448" s="741"/>
      <c r="QWG448" s="741"/>
      <c r="QWH448" s="741"/>
      <c r="QWI448" s="741"/>
      <c r="QWJ448" s="741"/>
      <c r="QWK448" s="741"/>
      <c r="QWL448" s="741"/>
      <c r="QWM448" s="741"/>
      <c r="QWN448" s="741"/>
      <c r="QWO448" s="741"/>
      <c r="QWP448" s="741"/>
      <c r="QWQ448" s="741"/>
      <c r="QWR448" s="741"/>
      <c r="QWS448" s="741"/>
      <c r="QWT448" s="741"/>
      <c r="QWU448" s="741"/>
      <c r="QWV448" s="741"/>
      <c r="QWW448" s="741"/>
      <c r="QWX448" s="741"/>
      <c r="QWY448" s="741"/>
      <c r="QWZ448" s="741"/>
      <c r="QXA448" s="741"/>
      <c r="QXB448" s="741"/>
      <c r="QXC448" s="741"/>
      <c r="QXD448" s="741"/>
      <c r="QXE448" s="741"/>
      <c r="QXF448" s="741"/>
      <c r="QXG448" s="741"/>
      <c r="QXH448" s="741"/>
      <c r="QXI448" s="741"/>
      <c r="QXJ448" s="741"/>
      <c r="QXK448" s="741"/>
      <c r="QXL448" s="741"/>
      <c r="QXM448" s="741"/>
      <c r="QXN448" s="741"/>
      <c r="QXO448" s="741"/>
      <c r="QXP448" s="741"/>
      <c r="QXQ448" s="741"/>
      <c r="QXR448" s="741"/>
      <c r="QXS448" s="741"/>
      <c r="QXT448" s="741"/>
      <c r="QXU448" s="741"/>
      <c r="QXV448" s="741"/>
      <c r="QXW448" s="741"/>
      <c r="QXX448" s="741"/>
      <c r="QXY448" s="741"/>
      <c r="QXZ448" s="741"/>
      <c r="QYA448" s="741"/>
      <c r="QYB448" s="741"/>
      <c r="QYC448" s="741"/>
      <c r="QYD448" s="741"/>
      <c r="QYE448" s="741"/>
      <c r="QYF448" s="741"/>
      <c r="QYG448" s="741"/>
      <c r="QYH448" s="741"/>
      <c r="QYI448" s="741"/>
      <c r="QYJ448" s="741"/>
      <c r="QYK448" s="741"/>
      <c r="QYL448" s="741"/>
      <c r="QYM448" s="741"/>
      <c r="QYN448" s="741"/>
      <c r="QYO448" s="741"/>
      <c r="QYP448" s="741"/>
      <c r="QYQ448" s="741"/>
      <c r="QYR448" s="741"/>
      <c r="QYS448" s="741"/>
      <c r="QYT448" s="741"/>
      <c r="QYU448" s="741"/>
      <c r="QYV448" s="741"/>
      <c r="QYW448" s="741"/>
      <c r="QYX448" s="741"/>
      <c r="QYY448" s="741"/>
      <c r="QYZ448" s="741"/>
      <c r="QZA448" s="741"/>
      <c r="QZB448" s="741"/>
      <c r="QZC448" s="741"/>
      <c r="QZD448" s="741"/>
      <c r="QZE448" s="741"/>
      <c r="QZF448" s="741"/>
      <c r="QZG448" s="741"/>
      <c r="QZH448" s="741"/>
      <c r="QZI448" s="741"/>
      <c r="QZJ448" s="741"/>
      <c r="QZK448" s="741"/>
      <c r="QZL448" s="741"/>
      <c r="QZM448" s="741"/>
      <c r="QZN448" s="741"/>
      <c r="QZO448" s="741"/>
      <c r="QZP448" s="741"/>
      <c r="QZQ448" s="741"/>
      <c r="QZR448" s="741"/>
      <c r="QZS448" s="741"/>
      <c r="QZT448" s="741"/>
      <c r="QZU448" s="741"/>
      <c r="QZV448" s="741"/>
      <c r="QZW448" s="741"/>
      <c r="QZX448" s="741"/>
      <c r="QZY448" s="741"/>
      <c r="QZZ448" s="741"/>
      <c r="RAA448" s="741"/>
      <c r="RAB448" s="741"/>
      <c r="RAC448" s="741"/>
      <c r="RAD448" s="741"/>
      <c r="RAE448" s="741"/>
      <c r="RAF448" s="741"/>
      <c r="RAG448" s="741"/>
      <c r="RAH448" s="741"/>
      <c r="RAI448" s="741"/>
      <c r="RAJ448" s="741"/>
      <c r="RAK448" s="741"/>
      <c r="RAL448" s="741"/>
      <c r="RAM448" s="741"/>
      <c r="RAN448" s="741"/>
      <c r="RAO448" s="741"/>
      <c r="RAP448" s="741"/>
      <c r="RAQ448" s="741"/>
      <c r="RAR448" s="741"/>
      <c r="RAS448" s="741"/>
      <c r="RAT448" s="741"/>
      <c r="RAU448" s="741"/>
      <c r="RAV448" s="741"/>
      <c r="RAW448" s="741"/>
      <c r="RAX448" s="741"/>
      <c r="RAY448" s="741"/>
      <c r="RAZ448" s="741"/>
      <c r="RBA448" s="741"/>
      <c r="RBB448" s="741"/>
      <c r="RBC448" s="741"/>
      <c r="RBD448" s="741"/>
      <c r="RBE448" s="741"/>
      <c r="RBF448" s="741"/>
      <c r="RBG448" s="741"/>
      <c r="RBH448" s="741"/>
      <c r="RBI448" s="741"/>
      <c r="RBJ448" s="741"/>
      <c r="RBK448" s="741"/>
      <c r="RBL448" s="741"/>
      <c r="RBM448" s="741"/>
      <c r="RBN448" s="741"/>
      <c r="RBO448" s="741"/>
      <c r="RBP448" s="741"/>
      <c r="RBQ448" s="741"/>
      <c r="RBR448" s="741"/>
      <c r="RBS448" s="741"/>
      <c r="RBT448" s="741"/>
      <c r="RBU448" s="741"/>
      <c r="RBV448" s="741"/>
      <c r="RBW448" s="741"/>
      <c r="RBX448" s="741"/>
      <c r="RBY448" s="741"/>
      <c r="RBZ448" s="741"/>
      <c r="RCA448" s="741"/>
      <c r="RCB448" s="741"/>
      <c r="RCC448" s="741"/>
      <c r="RCD448" s="741"/>
      <c r="RCE448" s="741"/>
      <c r="RCF448" s="741"/>
      <c r="RCG448" s="741"/>
      <c r="RCH448" s="741"/>
      <c r="RCI448" s="741"/>
      <c r="RCJ448" s="741"/>
      <c r="RCK448" s="741"/>
      <c r="RCL448" s="741"/>
      <c r="RCM448" s="741"/>
      <c r="RCN448" s="741"/>
      <c r="RCO448" s="741"/>
      <c r="RCP448" s="741"/>
      <c r="RCQ448" s="741"/>
      <c r="RCR448" s="741"/>
      <c r="RCS448" s="741"/>
      <c r="RCT448" s="741"/>
      <c r="RCU448" s="741"/>
      <c r="RCV448" s="741"/>
      <c r="RCW448" s="741"/>
      <c r="RCX448" s="741"/>
      <c r="RCY448" s="741"/>
      <c r="RCZ448" s="741"/>
      <c r="RDA448" s="741"/>
      <c r="RDB448" s="741"/>
      <c r="RDC448" s="741"/>
      <c r="RDD448" s="741"/>
      <c r="RDE448" s="741"/>
      <c r="RDF448" s="741"/>
      <c r="RDG448" s="741"/>
      <c r="RDH448" s="741"/>
      <c r="RDI448" s="741"/>
      <c r="RDJ448" s="741"/>
      <c r="RDK448" s="741"/>
      <c r="RDL448" s="741"/>
      <c r="RDM448" s="741"/>
      <c r="RDN448" s="741"/>
      <c r="RDO448" s="741"/>
      <c r="RDP448" s="741"/>
      <c r="RDQ448" s="741"/>
      <c r="RDR448" s="741"/>
      <c r="RDS448" s="741"/>
      <c r="RDT448" s="741"/>
      <c r="RDU448" s="741"/>
      <c r="RDV448" s="741"/>
      <c r="RDW448" s="741"/>
      <c r="RDX448" s="741"/>
      <c r="RDY448" s="741"/>
      <c r="RDZ448" s="741"/>
      <c r="REA448" s="741"/>
      <c r="REB448" s="741"/>
      <c r="REC448" s="741"/>
      <c r="RED448" s="741"/>
      <c r="REE448" s="741"/>
      <c r="REF448" s="741"/>
      <c r="REG448" s="741"/>
      <c r="REH448" s="741"/>
      <c r="REI448" s="741"/>
      <c r="REJ448" s="741"/>
      <c r="REK448" s="741"/>
      <c r="REL448" s="741"/>
      <c r="REM448" s="741"/>
      <c r="REN448" s="741"/>
      <c r="REO448" s="741"/>
      <c r="REP448" s="741"/>
      <c r="REQ448" s="741"/>
      <c r="RER448" s="741"/>
      <c r="RES448" s="741"/>
      <c r="RET448" s="741"/>
      <c r="REU448" s="741"/>
      <c r="REV448" s="741"/>
      <c r="REW448" s="741"/>
      <c r="REX448" s="741"/>
      <c r="REY448" s="741"/>
      <c r="REZ448" s="741"/>
      <c r="RFA448" s="741"/>
      <c r="RFB448" s="741"/>
      <c r="RFC448" s="741"/>
      <c r="RFD448" s="741"/>
      <c r="RFE448" s="741"/>
      <c r="RFF448" s="741"/>
      <c r="RFG448" s="741"/>
      <c r="RFH448" s="741"/>
      <c r="RFI448" s="741"/>
      <c r="RFJ448" s="741"/>
      <c r="RFK448" s="741"/>
      <c r="RFL448" s="741"/>
      <c r="RFM448" s="741"/>
      <c r="RFN448" s="741"/>
      <c r="RFO448" s="741"/>
      <c r="RFP448" s="741"/>
      <c r="RFQ448" s="741"/>
      <c r="RFR448" s="741"/>
      <c r="RFS448" s="741"/>
      <c r="RFT448" s="741"/>
      <c r="RFU448" s="741"/>
      <c r="RFV448" s="741"/>
      <c r="RFW448" s="741"/>
      <c r="RFX448" s="741"/>
      <c r="RFY448" s="741"/>
      <c r="RFZ448" s="741"/>
      <c r="RGA448" s="741"/>
      <c r="RGB448" s="741"/>
      <c r="RGC448" s="741"/>
      <c r="RGD448" s="741"/>
      <c r="RGE448" s="741"/>
      <c r="RGF448" s="741"/>
      <c r="RGG448" s="741"/>
      <c r="RGH448" s="741"/>
      <c r="RGI448" s="741"/>
      <c r="RGJ448" s="741"/>
      <c r="RGK448" s="741"/>
      <c r="RGL448" s="741"/>
      <c r="RGM448" s="741"/>
      <c r="RGN448" s="741"/>
      <c r="RGO448" s="741"/>
      <c r="RGP448" s="741"/>
      <c r="RGQ448" s="741"/>
      <c r="RGR448" s="741"/>
      <c r="RGS448" s="741"/>
      <c r="RGT448" s="741"/>
      <c r="RGU448" s="741"/>
      <c r="RGV448" s="741"/>
      <c r="RGW448" s="741"/>
      <c r="RGX448" s="741"/>
      <c r="RGY448" s="741"/>
      <c r="RGZ448" s="741"/>
      <c r="RHA448" s="741"/>
      <c r="RHB448" s="741"/>
      <c r="RHC448" s="741"/>
      <c r="RHD448" s="741"/>
      <c r="RHE448" s="741"/>
      <c r="RHF448" s="741"/>
      <c r="RHG448" s="741"/>
      <c r="RHH448" s="741"/>
      <c r="RHI448" s="741"/>
      <c r="RHJ448" s="741"/>
      <c r="RHK448" s="741"/>
      <c r="RHL448" s="741"/>
      <c r="RHM448" s="741"/>
      <c r="RHN448" s="741"/>
      <c r="RHO448" s="741"/>
      <c r="RHP448" s="741"/>
      <c r="RHQ448" s="741"/>
      <c r="RHR448" s="741"/>
      <c r="RHS448" s="741"/>
      <c r="RHT448" s="741"/>
      <c r="RHU448" s="741"/>
      <c r="RHV448" s="741"/>
      <c r="RHW448" s="741"/>
      <c r="RHX448" s="741"/>
      <c r="RHY448" s="741"/>
      <c r="RHZ448" s="741"/>
      <c r="RIA448" s="741"/>
      <c r="RIB448" s="741"/>
      <c r="RIC448" s="741"/>
      <c r="RID448" s="741"/>
      <c r="RIE448" s="741"/>
      <c r="RIF448" s="741"/>
      <c r="RIG448" s="741"/>
      <c r="RIH448" s="741"/>
      <c r="RII448" s="741"/>
      <c r="RIJ448" s="741"/>
      <c r="RIK448" s="741"/>
      <c r="RIL448" s="741"/>
      <c r="RIM448" s="741"/>
      <c r="RIN448" s="741"/>
      <c r="RIO448" s="741"/>
      <c r="RIP448" s="741"/>
      <c r="RIQ448" s="741"/>
      <c r="RIR448" s="741"/>
      <c r="RIS448" s="741"/>
      <c r="RIT448" s="741"/>
      <c r="RIU448" s="741"/>
      <c r="RIV448" s="741"/>
      <c r="RIW448" s="741"/>
      <c r="RIX448" s="741"/>
      <c r="RIY448" s="741"/>
      <c r="RIZ448" s="741"/>
      <c r="RJA448" s="741"/>
      <c r="RJB448" s="741"/>
      <c r="RJC448" s="741"/>
      <c r="RJD448" s="741"/>
      <c r="RJE448" s="741"/>
      <c r="RJF448" s="741"/>
      <c r="RJG448" s="741"/>
      <c r="RJH448" s="741"/>
      <c r="RJI448" s="741"/>
      <c r="RJJ448" s="741"/>
      <c r="RJK448" s="741"/>
      <c r="RJL448" s="741"/>
      <c r="RJM448" s="741"/>
      <c r="RJN448" s="741"/>
      <c r="RJO448" s="741"/>
      <c r="RJP448" s="741"/>
      <c r="RJQ448" s="741"/>
      <c r="RJR448" s="741"/>
      <c r="RJS448" s="741"/>
      <c r="RJT448" s="741"/>
      <c r="RJU448" s="741"/>
      <c r="RJV448" s="741"/>
      <c r="RJW448" s="741"/>
      <c r="RJX448" s="741"/>
      <c r="RJY448" s="741"/>
      <c r="RJZ448" s="741"/>
      <c r="RKA448" s="741"/>
      <c r="RKB448" s="741"/>
      <c r="RKC448" s="741"/>
      <c r="RKD448" s="741"/>
      <c r="RKE448" s="741"/>
      <c r="RKF448" s="741"/>
      <c r="RKG448" s="741"/>
      <c r="RKH448" s="741"/>
      <c r="RKI448" s="741"/>
      <c r="RKJ448" s="741"/>
      <c r="RKK448" s="741"/>
      <c r="RKL448" s="741"/>
      <c r="RKM448" s="741"/>
      <c r="RKN448" s="741"/>
      <c r="RKO448" s="741"/>
      <c r="RKP448" s="741"/>
      <c r="RKQ448" s="741"/>
      <c r="RKR448" s="741"/>
      <c r="RKS448" s="741"/>
      <c r="RKT448" s="741"/>
      <c r="RKU448" s="741"/>
      <c r="RKV448" s="741"/>
      <c r="RKW448" s="741"/>
      <c r="RKX448" s="741"/>
      <c r="RKY448" s="741"/>
      <c r="RKZ448" s="741"/>
      <c r="RLA448" s="741"/>
      <c r="RLB448" s="741"/>
      <c r="RLC448" s="741"/>
      <c r="RLD448" s="741"/>
      <c r="RLE448" s="741"/>
      <c r="RLF448" s="741"/>
      <c r="RLG448" s="741"/>
      <c r="RLH448" s="741"/>
      <c r="RLI448" s="741"/>
      <c r="RLJ448" s="741"/>
      <c r="RLK448" s="741"/>
      <c r="RLL448" s="741"/>
      <c r="RLM448" s="741"/>
      <c r="RLN448" s="741"/>
      <c r="RLO448" s="741"/>
      <c r="RLP448" s="741"/>
      <c r="RLQ448" s="741"/>
      <c r="RLR448" s="741"/>
      <c r="RLS448" s="741"/>
      <c r="RLT448" s="741"/>
      <c r="RLU448" s="741"/>
      <c r="RLV448" s="741"/>
      <c r="RLW448" s="741"/>
      <c r="RLX448" s="741"/>
      <c r="RLY448" s="741"/>
      <c r="RLZ448" s="741"/>
      <c r="RMA448" s="741"/>
      <c r="RMB448" s="741"/>
      <c r="RMC448" s="741"/>
      <c r="RMD448" s="741"/>
      <c r="RME448" s="741"/>
      <c r="RMF448" s="741"/>
      <c r="RMG448" s="741"/>
      <c r="RMH448" s="741"/>
      <c r="RMI448" s="741"/>
      <c r="RMJ448" s="741"/>
      <c r="RMK448" s="741"/>
      <c r="RML448" s="741"/>
      <c r="RMM448" s="741"/>
      <c r="RMN448" s="741"/>
      <c r="RMO448" s="741"/>
      <c r="RMP448" s="741"/>
      <c r="RMQ448" s="741"/>
      <c r="RMR448" s="741"/>
      <c r="RMS448" s="741"/>
      <c r="RMT448" s="741"/>
      <c r="RMU448" s="741"/>
      <c r="RMV448" s="741"/>
      <c r="RMW448" s="741"/>
      <c r="RMX448" s="741"/>
      <c r="RMY448" s="741"/>
      <c r="RMZ448" s="741"/>
      <c r="RNA448" s="741"/>
      <c r="RNB448" s="741"/>
      <c r="RNC448" s="741"/>
      <c r="RND448" s="741"/>
      <c r="RNE448" s="741"/>
      <c r="RNF448" s="741"/>
      <c r="RNG448" s="741"/>
      <c r="RNH448" s="741"/>
      <c r="RNI448" s="741"/>
      <c r="RNJ448" s="741"/>
      <c r="RNK448" s="741"/>
      <c r="RNL448" s="741"/>
      <c r="RNM448" s="741"/>
      <c r="RNN448" s="741"/>
      <c r="RNO448" s="741"/>
      <c r="RNP448" s="741"/>
      <c r="RNQ448" s="741"/>
      <c r="RNR448" s="741"/>
      <c r="RNS448" s="741"/>
      <c r="RNT448" s="741"/>
      <c r="RNU448" s="741"/>
      <c r="RNV448" s="741"/>
      <c r="RNW448" s="741"/>
      <c r="RNX448" s="741"/>
      <c r="RNY448" s="741"/>
      <c r="RNZ448" s="741"/>
      <c r="ROA448" s="741"/>
      <c r="ROB448" s="741"/>
      <c r="ROC448" s="741"/>
      <c r="ROD448" s="741"/>
      <c r="ROE448" s="741"/>
      <c r="ROF448" s="741"/>
      <c r="ROG448" s="741"/>
      <c r="ROH448" s="741"/>
      <c r="ROI448" s="741"/>
      <c r="ROJ448" s="741"/>
      <c r="ROK448" s="741"/>
      <c r="ROL448" s="741"/>
      <c r="ROM448" s="741"/>
      <c r="RON448" s="741"/>
      <c r="ROO448" s="741"/>
      <c r="ROP448" s="741"/>
      <c r="ROQ448" s="741"/>
      <c r="ROR448" s="741"/>
      <c r="ROS448" s="741"/>
      <c r="ROT448" s="741"/>
      <c r="ROU448" s="741"/>
      <c r="ROV448" s="741"/>
      <c r="ROW448" s="741"/>
      <c r="ROX448" s="741"/>
      <c r="ROY448" s="741"/>
      <c r="ROZ448" s="741"/>
      <c r="RPA448" s="741"/>
      <c r="RPB448" s="741"/>
      <c r="RPC448" s="741"/>
      <c r="RPD448" s="741"/>
      <c r="RPE448" s="741"/>
      <c r="RPF448" s="741"/>
      <c r="RPG448" s="741"/>
      <c r="RPH448" s="741"/>
      <c r="RPI448" s="741"/>
      <c r="RPJ448" s="741"/>
      <c r="RPK448" s="741"/>
      <c r="RPL448" s="741"/>
      <c r="RPM448" s="741"/>
      <c r="RPN448" s="741"/>
      <c r="RPO448" s="741"/>
      <c r="RPP448" s="741"/>
      <c r="RPQ448" s="741"/>
      <c r="RPR448" s="741"/>
      <c r="RPS448" s="741"/>
      <c r="RPT448" s="741"/>
      <c r="RPU448" s="741"/>
      <c r="RPV448" s="741"/>
      <c r="RPW448" s="741"/>
      <c r="RPX448" s="741"/>
      <c r="RPY448" s="741"/>
      <c r="RPZ448" s="741"/>
      <c r="RQA448" s="741"/>
      <c r="RQB448" s="741"/>
      <c r="RQC448" s="741"/>
      <c r="RQD448" s="741"/>
      <c r="RQE448" s="741"/>
      <c r="RQF448" s="741"/>
      <c r="RQG448" s="741"/>
      <c r="RQH448" s="741"/>
      <c r="RQI448" s="741"/>
      <c r="RQJ448" s="741"/>
      <c r="RQK448" s="741"/>
      <c r="RQL448" s="741"/>
      <c r="RQM448" s="741"/>
      <c r="RQN448" s="741"/>
      <c r="RQO448" s="741"/>
      <c r="RQP448" s="741"/>
      <c r="RQQ448" s="741"/>
      <c r="RQR448" s="741"/>
      <c r="RQS448" s="741"/>
      <c r="RQT448" s="741"/>
      <c r="RQU448" s="741"/>
      <c r="RQV448" s="741"/>
      <c r="RQW448" s="741"/>
      <c r="RQX448" s="741"/>
      <c r="RQY448" s="741"/>
      <c r="RQZ448" s="741"/>
      <c r="RRA448" s="741"/>
      <c r="RRB448" s="741"/>
      <c r="RRC448" s="741"/>
      <c r="RRD448" s="741"/>
      <c r="RRE448" s="741"/>
      <c r="RRF448" s="741"/>
      <c r="RRG448" s="741"/>
      <c r="RRH448" s="741"/>
      <c r="RRI448" s="741"/>
      <c r="RRJ448" s="741"/>
      <c r="RRK448" s="741"/>
      <c r="RRL448" s="741"/>
      <c r="RRM448" s="741"/>
      <c r="RRN448" s="741"/>
      <c r="RRO448" s="741"/>
      <c r="RRP448" s="741"/>
      <c r="RRQ448" s="741"/>
      <c r="RRR448" s="741"/>
      <c r="RRS448" s="741"/>
      <c r="RRT448" s="741"/>
      <c r="RRU448" s="741"/>
      <c r="RRV448" s="741"/>
      <c r="RRW448" s="741"/>
      <c r="RRX448" s="741"/>
      <c r="RRY448" s="741"/>
      <c r="RRZ448" s="741"/>
      <c r="RSA448" s="741"/>
      <c r="RSB448" s="741"/>
      <c r="RSC448" s="741"/>
      <c r="RSD448" s="741"/>
      <c r="RSE448" s="741"/>
      <c r="RSF448" s="741"/>
      <c r="RSG448" s="741"/>
      <c r="RSH448" s="741"/>
      <c r="RSI448" s="741"/>
      <c r="RSJ448" s="741"/>
      <c r="RSK448" s="741"/>
      <c r="RSL448" s="741"/>
      <c r="RSM448" s="741"/>
      <c r="RSN448" s="741"/>
      <c r="RSO448" s="741"/>
      <c r="RSP448" s="741"/>
      <c r="RSQ448" s="741"/>
      <c r="RSR448" s="741"/>
      <c r="RSS448" s="741"/>
      <c r="RST448" s="741"/>
      <c r="RSU448" s="741"/>
      <c r="RSV448" s="741"/>
      <c r="RSW448" s="741"/>
      <c r="RSX448" s="741"/>
      <c r="RSY448" s="741"/>
      <c r="RSZ448" s="741"/>
      <c r="RTA448" s="741"/>
      <c r="RTB448" s="741"/>
      <c r="RTC448" s="741"/>
      <c r="RTD448" s="741"/>
      <c r="RTE448" s="741"/>
      <c r="RTF448" s="741"/>
      <c r="RTG448" s="741"/>
      <c r="RTH448" s="741"/>
      <c r="RTI448" s="741"/>
      <c r="RTJ448" s="741"/>
      <c r="RTK448" s="741"/>
      <c r="RTL448" s="741"/>
      <c r="RTM448" s="741"/>
      <c r="RTN448" s="741"/>
      <c r="RTO448" s="741"/>
      <c r="RTP448" s="741"/>
      <c r="RTQ448" s="741"/>
      <c r="RTR448" s="741"/>
      <c r="RTS448" s="741"/>
      <c r="RTT448" s="741"/>
      <c r="RTU448" s="741"/>
      <c r="RTV448" s="741"/>
      <c r="RTW448" s="741"/>
      <c r="RTX448" s="741"/>
      <c r="RTY448" s="741"/>
      <c r="RTZ448" s="741"/>
      <c r="RUA448" s="741"/>
      <c r="RUB448" s="741"/>
      <c r="RUC448" s="741"/>
      <c r="RUD448" s="741"/>
      <c r="RUE448" s="741"/>
      <c r="RUF448" s="741"/>
      <c r="RUG448" s="741"/>
      <c r="RUH448" s="741"/>
      <c r="RUI448" s="741"/>
      <c r="RUJ448" s="741"/>
      <c r="RUK448" s="741"/>
      <c r="RUL448" s="741"/>
      <c r="RUM448" s="741"/>
      <c r="RUN448" s="741"/>
      <c r="RUO448" s="741"/>
      <c r="RUP448" s="741"/>
      <c r="RUQ448" s="741"/>
      <c r="RUR448" s="741"/>
      <c r="RUS448" s="741"/>
      <c r="RUT448" s="741"/>
      <c r="RUU448" s="741"/>
      <c r="RUV448" s="741"/>
      <c r="RUW448" s="741"/>
      <c r="RUX448" s="741"/>
      <c r="RUY448" s="741"/>
      <c r="RUZ448" s="741"/>
      <c r="RVA448" s="741"/>
      <c r="RVB448" s="741"/>
      <c r="RVC448" s="741"/>
      <c r="RVD448" s="741"/>
      <c r="RVE448" s="741"/>
      <c r="RVF448" s="741"/>
      <c r="RVG448" s="741"/>
      <c r="RVH448" s="741"/>
      <c r="RVI448" s="741"/>
      <c r="RVJ448" s="741"/>
      <c r="RVK448" s="741"/>
      <c r="RVL448" s="741"/>
      <c r="RVM448" s="741"/>
      <c r="RVN448" s="741"/>
      <c r="RVO448" s="741"/>
      <c r="RVP448" s="741"/>
      <c r="RVQ448" s="741"/>
      <c r="RVR448" s="741"/>
      <c r="RVS448" s="741"/>
      <c r="RVT448" s="741"/>
      <c r="RVU448" s="741"/>
      <c r="RVV448" s="741"/>
      <c r="RVW448" s="741"/>
      <c r="RVX448" s="741"/>
      <c r="RVY448" s="741"/>
      <c r="RVZ448" s="741"/>
      <c r="RWA448" s="741"/>
      <c r="RWB448" s="741"/>
      <c r="RWC448" s="741"/>
      <c r="RWD448" s="741"/>
      <c r="RWE448" s="741"/>
      <c r="RWF448" s="741"/>
      <c r="RWG448" s="741"/>
      <c r="RWH448" s="741"/>
      <c r="RWI448" s="741"/>
      <c r="RWJ448" s="741"/>
      <c r="RWK448" s="741"/>
      <c r="RWL448" s="741"/>
      <c r="RWM448" s="741"/>
      <c r="RWN448" s="741"/>
      <c r="RWO448" s="741"/>
      <c r="RWP448" s="741"/>
      <c r="RWQ448" s="741"/>
      <c r="RWR448" s="741"/>
      <c r="RWS448" s="741"/>
      <c r="RWT448" s="741"/>
      <c r="RWU448" s="741"/>
      <c r="RWV448" s="741"/>
      <c r="RWW448" s="741"/>
      <c r="RWX448" s="741"/>
      <c r="RWY448" s="741"/>
      <c r="RWZ448" s="741"/>
      <c r="RXA448" s="741"/>
      <c r="RXB448" s="741"/>
      <c r="RXC448" s="741"/>
      <c r="RXD448" s="741"/>
      <c r="RXE448" s="741"/>
      <c r="RXF448" s="741"/>
      <c r="RXG448" s="741"/>
      <c r="RXH448" s="741"/>
      <c r="RXI448" s="741"/>
      <c r="RXJ448" s="741"/>
      <c r="RXK448" s="741"/>
      <c r="RXL448" s="741"/>
      <c r="RXM448" s="741"/>
      <c r="RXN448" s="741"/>
      <c r="RXO448" s="741"/>
      <c r="RXP448" s="741"/>
      <c r="RXQ448" s="741"/>
      <c r="RXR448" s="741"/>
      <c r="RXS448" s="741"/>
      <c r="RXT448" s="741"/>
      <c r="RXU448" s="741"/>
      <c r="RXV448" s="741"/>
      <c r="RXW448" s="741"/>
      <c r="RXX448" s="741"/>
      <c r="RXY448" s="741"/>
      <c r="RXZ448" s="741"/>
      <c r="RYA448" s="741"/>
      <c r="RYB448" s="741"/>
      <c r="RYC448" s="741"/>
      <c r="RYD448" s="741"/>
      <c r="RYE448" s="741"/>
      <c r="RYF448" s="741"/>
      <c r="RYG448" s="741"/>
      <c r="RYH448" s="741"/>
      <c r="RYI448" s="741"/>
      <c r="RYJ448" s="741"/>
      <c r="RYK448" s="741"/>
      <c r="RYL448" s="741"/>
      <c r="RYM448" s="741"/>
      <c r="RYN448" s="741"/>
      <c r="RYO448" s="741"/>
      <c r="RYP448" s="741"/>
      <c r="RYQ448" s="741"/>
      <c r="RYR448" s="741"/>
      <c r="RYS448" s="741"/>
      <c r="RYT448" s="741"/>
      <c r="RYU448" s="741"/>
      <c r="RYV448" s="741"/>
      <c r="RYW448" s="741"/>
      <c r="RYX448" s="741"/>
      <c r="RYY448" s="741"/>
      <c r="RYZ448" s="741"/>
      <c r="RZA448" s="741"/>
      <c r="RZB448" s="741"/>
      <c r="RZC448" s="741"/>
      <c r="RZD448" s="741"/>
      <c r="RZE448" s="741"/>
      <c r="RZF448" s="741"/>
      <c r="RZG448" s="741"/>
      <c r="RZH448" s="741"/>
      <c r="RZI448" s="741"/>
      <c r="RZJ448" s="741"/>
      <c r="RZK448" s="741"/>
      <c r="RZL448" s="741"/>
      <c r="RZM448" s="741"/>
      <c r="RZN448" s="741"/>
      <c r="RZO448" s="741"/>
      <c r="RZP448" s="741"/>
      <c r="RZQ448" s="741"/>
      <c r="RZR448" s="741"/>
      <c r="RZS448" s="741"/>
      <c r="RZT448" s="741"/>
      <c r="RZU448" s="741"/>
      <c r="RZV448" s="741"/>
      <c r="RZW448" s="741"/>
      <c r="RZX448" s="741"/>
      <c r="RZY448" s="741"/>
      <c r="RZZ448" s="741"/>
      <c r="SAA448" s="741"/>
      <c r="SAB448" s="741"/>
      <c r="SAC448" s="741"/>
      <c r="SAD448" s="741"/>
      <c r="SAE448" s="741"/>
      <c r="SAF448" s="741"/>
      <c r="SAG448" s="741"/>
      <c r="SAH448" s="741"/>
      <c r="SAI448" s="741"/>
      <c r="SAJ448" s="741"/>
      <c r="SAK448" s="741"/>
      <c r="SAL448" s="741"/>
      <c r="SAM448" s="741"/>
      <c r="SAN448" s="741"/>
      <c r="SAO448" s="741"/>
      <c r="SAP448" s="741"/>
      <c r="SAQ448" s="741"/>
      <c r="SAR448" s="741"/>
      <c r="SAS448" s="741"/>
      <c r="SAT448" s="741"/>
      <c r="SAU448" s="741"/>
      <c r="SAV448" s="741"/>
      <c r="SAW448" s="741"/>
      <c r="SAX448" s="741"/>
      <c r="SAY448" s="741"/>
      <c r="SAZ448" s="741"/>
      <c r="SBA448" s="741"/>
      <c r="SBB448" s="741"/>
      <c r="SBC448" s="741"/>
      <c r="SBD448" s="741"/>
      <c r="SBE448" s="741"/>
      <c r="SBF448" s="741"/>
      <c r="SBG448" s="741"/>
      <c r="SBH448" s="741"/>
      <c r="SBI448" s="741"/>
      <c r="SBJ448" s="741"/>
      <c r="SBK448" s="741"/>
      <c r="SBL448" s="741"/>
      <c r="SBM448" s="741"/>
      <c r="SBN448" s="741"/>
      <c r="SBO448" s="741"/>
      <c r="SBP448" s="741"/>
      <c r="SBQ448" s="741"/>
      <c r="SBR448" s="741"/>
      <c r="SBS448" s="741"/>
      <c r="SBT448" s="741"/>
      <c r="SBU448" s="741"/>
      <c r="SBV448" s="741"/>
      <c r="SBW448" s="741"/>
      <c r="SBX448" s="741"/>
      <c r="SBY448" s="741"/>
      <c r="SBZ448" s="741"/>
      <c r="SCA448" s="741"/>
      <c r="SCB448" s="741"/>
      <c r="SCC448" s="741"/>
      <c r="SCD448" s="741"/>
      <c r="SCE448" s="741"/>
      <c r="SCF448" s="741"/>
      <c r="SCG448" s="741"/>
      <c r="SCH448" s="741"/>
      <c r="SCI448" s="741"/>
      <c r="SCJ448" s="741"/>
      <c r="SCK448" s="741"/>
      <c r="SCL448" s="741"/>
      <c r="SCM448" s="741"/>
      <c r="SCN448" s="741"/>
      <c r="SCO448" s="741"/>
      <c r="SCP448" s="741"/>
      <c r="SCQ448" s="741"/>
      <c r="SCR448" s="741"/>
      <c r="SCS448" s="741"/>
      <c r="SCT448" s="741"/>
      <c r="SCU448" s="741"/>
      <c r="SCV448" s="741"/>
      <c r="SCW448" s="741"/>
      <c r="SCX448" s="741"/>
      <c r="SCY448" s="741"/>
      <c r="SCZ448" s="741"/>
      <c r="SDA448" s="741"/>
      <c r="SDB448" s="741"/>
      <c r="SDC448" s="741"/>
      <c r="SDD448" s="741"/>
      <c r="SDE448" s="741"/>
      <c r="SDF448" s="741"/>
      <c r="SDG448" s="741"/>
      <c r="SDH448" s="741"/>
      <c r="SDI448" s="741"/>
      <c r="SDJ448" s="741"/>
      <c r="SDK448" s="741"/>
      <c r="SDL448" s="741"/>
      <c r="SDM448" s="741"/>
      <c r="SDN448" s="741"/>
      <c r="SDO448" s="741"/>
      <c r="SDP448" s="741"/>
      <c r="SDQ448" s="741"/>
      <c r="SDR448" s="741"/>
      <c r="SDS448" s="741"/>
      <c r="SDT448" s="741"/>
      <c r="SDU448" s="741"/>
      <c r="SDV448" s="741"/>
      <c r="SDW448" s="741"/>
      <c r="SDX448" s="741"/>
      <c r="SDY448" s="741"/>
      <c r="SDZ448" s="741"/>
      <c r="SEA448" s="741"/>
      <c r="SEB448" s="741"/>
      <c r="SEC448" s="741"/>
      <c r="SED448" s="741"/>
      <c r="SEE448" s="741"/>
      <c r="SEF448" s="741"/>
      <c r="SEG448" s="741"/>
      <c r="SEH448" s="741"/>
      <c r="SEI448" s="741"/>
      <c r="SEJ448" s="741"/>
      <c r="SEK448" s="741"/>
      <c r="SEL448" s="741"/>
      <c r="SEM448" s="741"/>
      <c r="SEN448" s="741"/>
      <c r="SEO448" s="741"/>
      <c r="SEP448" s="741"/>
      <c r="SEQ448" s="741"/>
      <c r="SER448" s="741"/>
      <c r="SES448" s="741"/>
      <c r="SET448" s="741"/>
      <c r="SEU448" s="741"/>
      <c r="SEV448" s="741"/>
      <c r="SEW448" s="741"/>
      <c r="SEX448" s="741"/>
      <c r="SEY448" s="741"/>
      <c r="SEZ448" s="741"/>
      <c r="SFA448" s="741"/>
      <c r="SFB448" s="741"/>
      <c r="SFC448" s="741"/>
      <c r="SFD448" s="741"/>
      <c r="SFE448" s="741"/>
      <c r="SFF448" s="741"/>
      <c r="SFG448" s="741"/>
      <c r="SFH448" s="741"/>
      <c r="SFI448" s="741"/>
      <c r="SFJ448" s="741"/>
      <c r="SFK448" s="741"/>
      <c r="SFL448" s="741"/>
      <c r="SFM448" s="741"/>
      <c r="SFN448" s="741"/>
      <c r="SFO448" s="741"/>
      <c r="SFP448" s="741"/>
      <c r="SFQ448" s="741"/>
      <c r="SFR448" s="741"/>
      <c r="SFS448" s="741"/>
      <c r="SFT448" s="741"/>
      <c r="SFU448" s="741"/>
      <c r="SFV448" s="741"/>
      <c r="SFW448" s="741"/>
      <c r="SFX448" s="741"/>
      <c r="SFY448" s="741"/>
      <c r="SFZ448" s="741"/>
      <c r="SGA448" s="741"/>
      <c r="SGB448" s="741"/>
      <c r="SGC448" s="741"/>
      <c r="SGD448" s="741"/>
      <c r="SGE448" s="741"/>
      <c r="SGF448" s="741"/>
      <c r="SGG448" s="741"/>
      <c r="SGH448" s="741"/>
      <c r="SGI448" s="741"/>
      <c r="SGJ448" s="741"/>
      <c r="SGK448" s="741"/>
      <c r="SGL448" s="741"/>
      <c r="SGM448" s="741"/>
      <c r="SGN448" s="741"/>
      <c r="SGO448" s="741"/>
      <c r="SGP448" s="741"/>
      <c r="SGQ448" s="741"/>
      <c r="SGR448" s="741"/>
      <c r="SGS448" s="741"/>
      <c r="SGT448" s="741"/>
      <c r="SGU448" s="741"/>
      <c r="SGV448" s="741"/>
      <c r="SGW448" s="741"/>
      <c r="SGX448" s="741"/>
      <c r="SGY448" s="741"/>
      <c r="SGZ448" s="741"/>
      <c r="SHA448" s="741"/>
      <c r="SHB448" s="741"/>
      <c r="SHC448" s="741"/>
      <c r="SHD448" s="741"/>
      <c r="SHE448" s="741"/>
      <c r="SHF448" s="741"/>
      <c r="SHG448" s="741"/>
      <c r="SHH448" s="741"/>
      <c r="SHI448" s="741"/>
      <c r="SHJ448" s="741"/>
      <c r="SHK448" s="741"/>
      <c r="SHL448" s="741"/>
      <c r="SHM448" s="741"/>
      <c r="SHN448" s="741"/>
      <c r="SHO448" s="741"/>
      <c r="SHP448" s="741"/>
      <c r="SHQ448" s="741"/>
      <c r="SHR448" s="741"/>
      <c r="SHS448" s="741"/>
      <c r="SHT448" s="741"/>
      <c r="SHU448" s="741"/>
      <c r="SHV448" s="741"/>
      <c r="SHW448" s="741"/>
      <c r="SHX448" s="741"/>
      <c r="SHY448" s="741"/>
      <c r="SHZ448" s="741"/>
      <c r="SIA448" s="741"/>
      <c r="SIB448" s="741"/>
      <c r="SIC448" s="741"/>
      <c r="SID448" s="741"/>
      <c r="SIE448" s="741"/>
      <c r="SIF448" s="741"/>
      <c r="SIG448" s="741"/>
      <c r="SIH448" s="741"/>
      <c r="SII448" s="741"/>
      <c r="SIJ448" s="741"/>
      <c r="SIK448" s="741"/>
      <c r="SIL448" s="741"/>
      <c r="SIM448" s="741"/>
      <c r="SIN448" s="741"/>
      <c r="SIO448" s="741"/>
      <c r="SIP448" s="741"/>
      <c r="SIQ448" s="741"/>
      <c r="SIR448" s="741"/>
      <c r="SIS448" s="741"/>
      <c r="SIT448" s="741"/>
      <c r="SIU448" s="741"/>
      <c r="SIV448" s="741"/>
      <c r="SIW448" s="741"/>
      <c r="SIX448" s="741"/>
      <c r="SIY448" s="741"/>
      <c r="SIZ448" s="741"/>
      <c r="SJA448" s="741"/>
      <c r="SJB448" s="741"/>
      <c r="SJC448" s="741"/>
      <c r="SJD448" s="741"/>
      <c r="SJE448" s="741"/>
      <c r="SJF448" s="741"/>
      <c r="SJG448" s="741"/>
      <c r="SJH448" s="741"/>
      <c r="SJI448" s="741"/>
      <c r="SJJ448" s="741"/>
      <c r="SJK448" s="741"/>
      <c r="SJL448" s="741"/>
      <c r="SJM448" s="741"/>
      <c r="SJN448" s="741"/>
      <c r="SJO448" s="741"/>
      <c r="SJP448" s="741"/>
      <c r="SJQ448" s="741"/>
      <c r="SJR448" s="741"/>
      <c r="SJS448" s="741"/>
      <c r="SJT448" s="741"/>
      <c r="SJU448" s="741"/>
      <c r="SJV448" s="741"/>
      <c r="SJW448" s="741"/>
      <c r="SJX448" s="741"/>
      <c r="SJY448" s="741"/>
      <c r="SJZ448" s="741"/>
      <c r="SKA448" s="741"/>
      <c r="SKB448" s="741"/>
      <c r="SKC448" s="741"/>
      <c r="SKD448" s="741"/>
      <c r="SKE448" s="741"/>
      <c r="SKF448" s="741"/>
      <c r="SKG448" s="741"/>
      <c r="SKH448" s="741"/>
      <c r="SKI448" s="741"/>
      <c r="SKJ448" s="741"/>
      <c r="SKK448" s="741"/>
      <c r="SKL448" s="741"/>
      <c r="SKM448" s="741"/>
      <c r="SKN448" s="741"/>
      <c r="SKO448" s="741"/>
      <c r="SKP448" s="741"/>
      <c r="SKQ448" s="741"/>
      <c r="SKR448" s="741"/>
      <c r="SKS448" s="741"/>
      <c r="SKT448" s="741"/>
      <c r="SKU448" s="741"/>
      <c r="SKV448" s="741"/>
      <c r="SKW448" s="741"/>
      <c r="SKX448" s="741"/>
      <c r="SKY448" s="741"/>
      <c r="SKZ448" s="741"/>
      <c r="SLA448" s="741"/>
      <c r="SLB448" s="741"/>
      <c r="SLC448" s="741"/>
      <c r="SLD448" s="741"/>
      <c r="SLE448" s="741"/>
      <c r="SLF448" s="741"/>
      <c r="SLG448" s="741"/>
      <c r="SLH448" s="741"/>
      <c r="SLI448" s="741"/>
      <c r="SLJ448" s="741"/>
      <c r="SLK448" s="741"/>
      <c r="SLL448" s="741"/>
      <c r="SLM448" s="741"/>
      <c r="SLN448" s="741"/>
      <c r="SLO448" s="741"/>
      <c r="SLP448" s="741"/>
      <c r="SLQ448" s="741"/>
      <c r="SLR448" s="741"/>
      <c r="SLS448" s="741"/>
      <c r="SLT448" s="741"/>
      <c r="SLU448" s="741"/>
      <c r="SLV448" s="741"/>
      <c r="SLW448" s="741"/>
      <c r="SLX448" s="741"/>
      <c r="SLY448" s="741"/>
      <c r="SLZ448" s="741"/>
      <c r="SMA448" s="741"/>
      <c r="SMB448" s="741"/>
      <c r="SMC448" s="741"/>
      <c r="SMD448" s="741"/>
      <c r="SME448" s="741"/>
      <c r="SMF448" s="741"/>
      <c r="SMG448" s="741"/>
      <c r="SMH448" s="741"/>
      <c r="SMI448" s="741"/>
      <c r="SMJ448" s="741"/>
      <c r="SMK448" s="741"/>
      <c r="SML448" s="741"/>
      <c r="SMM448" s="741"/>
      <c r="SMN448" s="741"/>
      <c r="SMO448" s="741"/>
      <c r="SMP448" s="741"/>
      <c r="SMQ448" s="741"/>
      <c r="SMR448" s="741"/>
      <c r="SMS448" s="741"/>
      <c r="SMT448" s="741"/>
      <c r="SMU448" s="741"/>
      <c r="SMV448" s="741"/>
      <c r="SMW448" s="741"/>
      <c r="SMX448" s="741"/>
      <c r="SMY448" s="741"/>
      <c r="SMZ448" s="741"/>
      <c r="SNA448" s="741"/>
      <c r="SNB448" s="741"/>
      <c r="SNC448" s="741"/>
      <c r="SND448" s="741"/>
      <c r="SNE448" s="741"/>
      <c r="SNF448" s="741"/>
      <c r="SNG448" s="741"/>
      <c r="SNH448" s="741"/>
      <c r="SNI448" s="741"/>
      <c r="SNJ448" s="741"/>
      <c r="SNK448" s="741"/>
      <c r="SNL448" s="741"/>
      <c r="SNM448" s="741"/>
      <c r="SNN448" s="741"/>
      <c r="SNO448" s="741"/>
      <c r="SNP448" s="741"/>
      <c r="SNQ448" s="741"/>
      <c r="SNR448" s="741"/>
      <c r="SNS448" s="741"/>
      <c r="SNT448" s="741"/>
      <c r="SNU448" s="741"/>
      <c r="SNV448" s="741"/>
      <c r="SNW448" s="741"/>
      <c r="SNX448" s="741"/>
      <c r="SNY448" s="741"/>
      <c r="SNZ448" s="741"/>
      <c r="SOA448" s="741"/>
      <c r="SOB448" s="741"/>
      <c r="SOC448" s="741"/>
      <c r="SOD448" s="741"/>
      <c r="SOE448" s="741"/>
      <c r="SOF448" s="741"/>
      <c r="SOG448" s="741"/>
      <c r="SOH448" s="741"/>
      <c r="SOI448" s="741"/>
      <c r="SOJ448" s="741"/>
      <c r="SOK448" s="741"/>
      <c r="SOL448" s="741"/>
      <c r="SOM448" s="741"/>
      <c r="SON448" s="741"/>
      <c r="SOO448" s="741"/>
      <c r="SOP448" s="741"/>
      <c r="SOQ448" s="741"/>
      <c r="SOR448" s="741"/>
      <c r="SOS448" s="741"/>
      <c r="SOT448" s="741"/>
      <c r="SOU448" s="741"/>
      <c r="SOV448" s="741"/>
      <c r="SOW448" s="741"/>
      <c r="SOX448" s="741"/>
      <c r="SOY448" s="741"/>
      <c r="SOZ448" s="741"/>
      <c r="SPA448" s="741"/>
      <c r="SPB448" s="741"/>
      <c r="SPC448" s="741"/>
      <c r="SPD448" s="741"/>
      <c r="SPE448" s="741"/>
      <c r="SPF448" s="741"/>
      <c r="SPG448" s="741"/>
      <c r="SPH448" s="741"/>
      <c r="SPI448" s="741"/>
      <c r="SPJ448" s="741"/>
      <c r="SPK448" s="741"/>
      <c r="SPL448" s="741"/>
      <c r="SPM448" s="741"/>
      <c r="SPN448" s="741"/>
      <c r="SPO448" s="741"/>
      <c r="SPP448" s="741"/>
      <c r="SPQ448" s="741"/>
      <c r="SPR448" s="741"/>
      <c r="SPS448" s="741"/>
      <c r="SPT448" s="741"/>
      <c r="SPU448" s="741"/>
      <c r="SPV448" s="741"/>
      <c r="SPW448" s="741"/>
      <c r="SPX448" s="741"/>
      <c r="SPY448" s="741"/>
      <c r="SPZ448" s="741"/>
      <c r="SQA448" s="741"/>
      <c r="SQB448" s="741"/>
      <c r="SQC448" s="741"/>
      <c r="SQD448" s="741"/>
      <c r="SQE448" s="741"/>
      <c r="SQF448" s="741"/>
      <c r="SQG448" s="741"/>
      <c r="SQH448" s="741"/>
      <c r="SQI448" s="741"/>
      <c r="SQJ448" s="741"/>
      <c r="SQK448" s="741"/>
      <c r="SQL448" s="741"/>
      <c r="SQM448" s="741"/>
      <c r="SQN448" s="741"/>
      <c r="SQO448" s="741"/>
      <c r="SQP448" s="741"/>
      <c r="SQQ448" s="741"/>
      <c r="SQR448" s="741"/>
      <c r="SQS448" s="741"/>
      <c r="SQT448" s="741"/>
      <c r="SQU448" s="741"/>
      <c r="SQV448" s="741"/>
      <c r="SQW448" s="741"/>
      <c r="SQX448" s="741"/>
      <c r="SQY448" s="741"/>
      <c r="SQZ448" s="741"/>
      <c r="SRA448" s="741"/>
      <c r="SRB448" s="741"/>
      <c r="SRC448" s="741"/>
      <c r="SRD448" s="741"/>
      <c r="SRE448" s="741"/>
      <c r="SRF448" s="741"/>
      <c r="SRG448" s="741"/>
      <c r="SRH448" s="741"/>
      <c r="SRI448" s="741"/>
      <c r="SRJ448" s="741"/>
      <c r="SRK448" s="741"/>
      <c r="SRL448" s="741"/>
      <c r="SRM448" s="741"/>
      <c r="SRN448" s="741"/>
      <c r="SRO448" s="741"/>
      <c r="SRP448" s="741"/>
      <c r="SRQ448" s="741"/>
      <c r="SRR448" s="741"/>
      <c r="SRS448" s="741"/>
      <c r="SRT448" s="741"/>
      <c r="SRU448" s="741"/>
      <c r="SRV448" s="741"/>
      <c r="SRW448" s="741"/>
      <c r="SRX448" s="741"/>
      <c r="SRY448" s="741"/>
      <c r="SRZ448" s="741"/>
      <c r="SSA448" s="741"/>
      <c r="SSB448" s="741"/>
      <c r="SSC448" s="741"/>
      <c r="SSD448" s="741"/>
      <c r="SSE448" s="741"/>
      <c r="SSF448" s="741"/>
      <c r="SSG448" s="741"/>
      <c r="SSH448" s="741"/>
      <c r="SSI448" s="741"/>
      <c r="SSJ448" s="741"/>
      <c r="SSK448" s="741"/>
      <c r="SSL448" s="741"/>
      <c r="SSM448" s="741"/>
      <c r="SSN448" s="741"/>
      <c r="SSO448" s="741"/>
      <c r="SSP448" s="741"/>
      <c r="SSQ448" s="741"/>
      <c r="SSR448" s="741"/>
      <c r="SSS448" s="741"/>
      <c r="SST448" s="741"/>
      <c r="SSU448" s="741"/>
      <c r="SSV448" s="741"/>
      <c r="SSW448" s="741"/>
      <c r="SSX448" s="741"/>
      <c r="SSY448" s="741"/>
      <c r="SSZ448" s="741"/>
      <c r="STA448" s="741"/>
      <c r="STB448" s="741"/>
      <c r="STC448" s="741"/>
      <c r="STD448" s="741"/>
      <c r="STE448" s="741"/>
      <c r="STF448" s="741"/>
      <c r="STG448" s="741"/>
      <c r="STH448" s="741"/>
      <c r="STI448" s="741"/>
      <c r="STJ448" s="741"/>
      <c r="STK448" s="741"/>
      <c r="STL448" s="741"/>
      <c r="STM448" s="741"/>
      <c r="STN448" s="741"/>
      <c r="STO448" s="741"/>
      <c r="STP448" s="741"/>
      <c r="STQ448" s="741"/>
      <c r="STR448" s="741"/>
      <c r="STS448" s="741"/>
      <c r="STT448" s="741"/>
      <c r="STU448" s="741"/>
      <c r="STV448" s="741"/>
      <c r="STW448" s="741"/>
      <c r="STX448" s="741"/>
      <c r="STY448" s="741"/>
      <c r="STZ448" s="741"/>
      <c r="SUA448" s="741"/>
      <c r="SUB448" s="741"/>
      <c r="SUC448" s="741"/>
      <c r="SUD448" s="741"/>
      <c r="SUE448" s="741"/>
      <c r="SUF448" s="741"/>
      <c r="SUG448" s="741"/>
      <c r="SUH448" s="741"/>
      <c r="SUI448" s="741"/>
      <c r="SUJ448" s="741"/>
      <c r="SUK448" s="741"/>
      <c r="SUL448" s="741"/>
      <c r="SUM448" s="741"/>
      <c r="SUN448" s="741"/>
      <c r="SUO448" s="741"/>
      <c r="SUP448" s="741"/>
      <c r="SUQ448" s="741"/>
      <c r="SUR448" s="741"/>
      <c r="SUS448" s="741"/>
      <c r="SUT448" s="741"/>
      <c r="SUU448" s="741"/>
      <c r="SUV448" s="741"/>
      <c r="SUW448" s="741"/>
      <c r="SUX448" s="741"/>
      <c r="SUY448" s="741"/>
      <c r="SUZ448" s="741"/>
      <c r="SVA448" s="741"/>
      <c r="SVB448" s="741"/>
      <c r="SVC448" s="741"/>
      <c r="SVD448" s="741"/>
      <c r="SVE448" s="741"/>
      <c r="SVF448" s="741"/>
      <c r="SVG448" s="741"/>
      <c r="SVH448" s="741"/>
      <c r="SVI448" s="741"/>
      <c r="SVJ448" s="741"/>
      <c r="SVK448" s="741"/>
      <c r="SVL448" s="741"/>
      <c r="SVM448" s="741"/>
      <c r="SVN448" s="741"/>
      <c r="SVO448" s="741"/>
      <c r="SVP448" s="741"/>
      <c r="SVQ448" s="741"/>
      <c r="SVR448" s="741"/>
      <c r="SVS448" s="741"/>
      <c r="SVT448" s="741"/>
      <c r="SVU448" s="741"/>
      <c r="SVV448" s="741"/>
      <c r="SVW448" s="741"/>
      <c r="SVX448" s="741"/>
      <c r="SVY448" s="741"/>
      <c r="SVZ448" s="741"/>
      <c r="SWA448" s="741"/>
      <c r="SWB448" s="741"/>
      <c r="SWC448" s="741"/>
      <c r="SWD448" s="741"/>
      <c r="SWE448" s="741"/>
      <c r="SWF448" s="741"/>
      <c r="SWG448" s="741"/>
      <c r="SWH448" s="741"/>
      <c r="SWI448" s="741"/>
      <c r="SWJ448" s="741"/>
      <c r="SWK448" s="741"/>
      <c r="SWL448" s="741"/>
      <c r="SWM448" s="741"/>
      <c r="SWN448" s="741"/>
      <c r="SWO448" s="741"/>
      <c r="SWP448" s="741"/>
      <c r="SWQ448" s="741"/>
      <c r="SWR448" s="741"/>
      <c r="SWS448" s="741"/>
      <c r="SWT448" s="741"/>
      <c r="SWU448" s="741"/>
      <c r="SWV448" s="741"/>
      <c r="SWW448" s="741"/>
      <c r="SWX448" s="741"/>
      <c r="SWY448" s="741"/>
      <c r="SWZ448" s="741"/>
      <c r="SXA448" s="741"/>
      <c r="SXB448" s="741"/>
      <c r="SXC448" s="741"/>
      <c r="SXD448" s="741"/>
      <c r="SXE448" s="741"/>
      <c r="SXF448" s="741"/>
      <c r="SXG448" s="741"/>
      <c r="SXH448" s="741"/>
      <c r="SXI448" s="741"/>
      <c r="SXJ448" s="741"/>
      <c r="SXK448" s="741"/>
      <c r="SXL448" s="741"/>
      <c r="SXM448" s="741"/>
      <c r="SXN448" s="741"/>
      <c r="SXO448" s="741"/>
      <c r="SXP448" s="741"/>
      <c r="SXQ448" s="741"/>
      <c r="SXR448" s="741"/>
      <c r="SXS448" s="741"/>
      <c r="SXT448" s="741"/>
      <c r="SXU448" s="741"/>
      <c r="SXV448" s="741"/>
      <c r="SXW448" s="741"/>
      <c r="SXX448" s="741"/>
      <c r="SXY448" s="741"/>
      <c r="SXZ448" s="741"/>
      <c r="SYA448" s="741"/>
      <c r="SYB448" s="741"/>
      <c r="SYC448" s="741"/>
      <c r="SYD448" s="741"/>
      <c r="SYE448" s="741"/>
      <c r="SYF448" s="741"/>
      <c r="SYG448" s="741"/>
      <c r="SYH448" s="741"/>
      <c r="SYI448" s="741"/>
      <c r="SYJ448" s="741"/>
      <c r="SYK448" s="741"/>
      <c r="SYL448" s="741"/>
      <c r="SYM448" s="741"/>
      <c r="SYN448" s="741"/>
      <c r="SYO448" s="741"/>
      <c r="SYP448" s="741"/>
      <c r="SYQ448" s="741"/>
      <c r="SYR448" s="741"/>
      <c r="SYS448" s="741"/>
      <c r="SYT448" s="741"/>
      <c r="SYU448" s="741"/>
      <c r="SYV448" s="741"/>
      <c r="SYW448" s="741"/>
      <c r="SYX448" s="741"/>
      <c r="SYY448" s="741"/>
      <c r="SYZ448" s="741"/>
      <c r="SZA448" s="741"/>
      <c r="SZB448" s="741"/>
      <c r="SZC448" s="741"/>
      <c r="SZD448" s="741"/>
      <c r="SZE448" s="741"/>
      <c r="SZF448" s="741"/>
      <c r="SZG448" s="741"/>
      <c r="SZH448" s="741"/>
      <c r="SZI448" s="741"/>
      <c r="SZJ448" s="741"/>
      <c r="SZK448" s="741"/>
      <c r="SZL448" s="741"/>
      <c r="SZM448" s="741"/>
      <c r="SZN448" s="741"/>
      <c r="SZO448" s="741"/>
      <c r="SZP448" s="741"/>
      <c r="SZQ448" s="741"/>
      <c r="SZR448" s="741"/>
      <c r="SZS448" s="741"/>
      <c r="SZT448" s="741"/>
      <c r="SZU448" s="741"/>
      <c r="SZV448" s="741"/>
      <c r="SZW448" s="741"/>
      <c r="SZX448" s="741"/>
      <c r="SZY448" s="741"/>
      <c r="SZZ448" s="741"/>
      <c r="TAA448" s="741"/>
      <c r="TAB448" s="741"/>
      <c r="TAC448" s="741"/>
      <c r="TAD448" s="741"/>
      <c r="TAE448" s="741"/>
      <c r="TAF448" s="741"/>
      <c r="TAG448" s="741"/>
      <c r="TAH448" s="741"/>
      <c r="TAI448" s="741"/>
      <c r="TAJ448" s="741"/>
      <c r="TAK448" s="741"/>
      <c r="TAL448" s="741"/>
      <c r="TAM448" s="741"/>
      <c r="TAN448" s="741"/>
      <c r="TAO448" s="741"/>
      <c r="TAP448" s="741"/>
      <c r="TAQ448" s="741"/>
      <c r="TAR448" s="741"/>
      <c r="TAS448" s="741"/>
      <c r="TAT448" s="741"/>
      <c r="TAU448" s="741"/>
      <c r="TAV448" s="741"/>
      <c r="TAW448" s="741"/>
      <c r="TAX448" s="741"/>
      <c r="TAY448" s="741"/>
      <c r="TAZ448" s="741"/>
      <c r="TBA448" s="741"/>
      <c r="TBB448" s="741"/>
      <c r="TBC448" s="741"/>
      <c r="TBD448" s="741"/>
      <c r="TBE448" s="741"/>
      <c r="TBF448" s="741"/>
      <c r="TBG448" s="741"/>
      <c r="TBH448" s="741"/>
      <c r="TBI448" s="741"/>
      <c r="TBJ448" s="741"/>
      <c r="TBK448" s="741"/>
      <c r="TBL448" s="741"/>
      <c r="TBM448" s="741"/>
      <c r="TBN448" s="741"/>
      <c r="TBO448" s="741"/>
      <c r="TBP448" s="741"/>
      <c r="TBQ448" s="741"/>
      <c r="TBR448" s="741"/>
      <c r="TBS448" s="741"/>
      <c r="TBT448" s="741"/>
      <c r="TBU448" s="741"/>
      <c r="TBV448" s="741"/>
      <c r="TBW448" s="741"/>
      <c r="TBX448" s="741"/>
      <c r="TBY448" s="741"/>
      <c r="TBZ448" s="741"/>
      <c r="TCA448" s="741"/>
      <c r="TCB448" s="741"/>
      <c r="TCC448" s="741"/>
      <c r="TCD448" s="741"/>
      <c r="TCE448" s="741"/>
      <c r="TCF448" s="741"/>
      <c r="TCG448" s="741"/>
      <c r="TCH448" s="741"/>
      <c r="TCI448" s="741"/>
      <c r="TCJ448" s="741"/>
      <c r="TCK448" s="741"/>
      <c r="TCL448" s="741"/>
      <c r="TCM448" s="741"/>
      <c r="TCN448" s="741"/>
      <c r="TCO448" s="741"/>
      <c r="TCP448" s="741"/>
      <c r="TCQ448" s="741"/>
      <c r="TCR448" s="741"/>
      <c r="TCS448" s="741"/>
      <c r="TCT448" s="741"/>
      <c r="TCU448" s="741"/>
      <c r="TCV448" s="741"/>
      <c r="TCW448" s="741"/>
      <c r="TCX448" s="741"/>
      <c r="TCY448" s="741"/>
      <c r="TCZ448" s="741"/>
      <c r="TDA448" s="741"/>
      <c r="TDB448" s="741"/>
      <c r="TDC448" s="741"/>
      <c r="TDD448" s="741"/>
      <c r="TDE448" s="741"/>
      <c r="TDF448" s="741"/>
      <c r="TDG448" s="741"/>
      <c r="TDH448" s="741"/>
      <c r="TDI448" s="741"/>
      <c r="TDJ448" s="741"/>
      <c r="TDK448" s="741"/>
      <c r="TDL448" s="741"/>
      <c r="TDM448" s="741"/>
      <c r="TDN448" s="741"/>
      <c r="TDO448" s="741"/>
      <c r="TDP448" s="741"/>
      <c r="TDQ448" s="741"/>
      <c r="TDR448" s="741"/>
      <c r="TDS448" s="741"/>
      <c r="TDT448" s="741"/>
      <c r="TDU448" s="741"/>
      <c r="TDV448" s="741"/>
      <c r="TDW448" s="741"/>
      <c r="TDX448" s="741"/>
      <c r="TDY448" s="741"/>
      <c r="TDZ448" s="741"/>
      <c r="TEA448" s="741"/>
      <c r="TEB448" s="741"/>
      <c r="TEC448" s="741"/>
      <c r="TED448" s="741"/>
      <c r="TEE448" s="741"/>
      <c r="TEF448" s="741"/>
      <c r="TEG448" s="741"/>
      <c r="TEH448" s="741"/>
      <c r="TEI448" s="741"/>
      <c r="TEJ448" s="741"/>
      <c r="TEK448" s="741"/>
      <c r="TEL448" s="741"/>
      <c r="TEM448" s="741"/>
      <c r="TEN448" s="741"/>
      <c r="TEO448" s="741"/>
      <c r="TEP448" s="741"/>
      <c r="TEQ448" s="741"/>
      <c r="TER448" s="741"/>
      <c r="TES448" s="741"/>
      <c r="TET448" s="741"/>
      <c r="TEU448" s="741"/>
      <c r="TEV448" s="741"/>
      <c r="TEW448" s="741"/>
      <c r="TEX448" s="741"/>
      <c r="TEY448" s="741"/>
      <c r="TEZ448" s="741"/>
      <c r="TFA448" s="741"/>
      <c r="TFB448" s="741"/>
      <c r="TFC448" s="741"/>
      <c r="TFD448" s="741"/>
      <c r="TFE448" s="741"/>
      <c r="TFF448" s="741"/>
      <c r="TFG448" s="741"/>
      <c r="TFH448" s="741"/>
      <c r="TFI448" s="741"/>
      <c r="TFJ448" s="741"/>
      <c r="TFK448" s="741"/>
      <c r="TFL448" s="741"/>
      <c r="TFM448" s="741"/>
      <c r="TFN448" s="741"/>
      <c r="TFO448" s="741"/>
      <c r="TFP448" s="741"/>
      <c r="TFQ448" s="741"/>
      <c r="TFR448" s="741"/>
      <c r="TFS448" s="741"/>
      <c r="TFT448" s="741"/>
      <c r="TFU448" s="741"/>
      <c r="TFV448" s="741"/>
      <c r="TFW448" s="741"/>
      <c r="TFX448" s="741"/>
      <c r="TFY448" s="741"/>
      <c r="TFZ448" s="741"/>
      <c r="TGA448" s="741"/>
      <c r="TGB448" s="741"/>
      <c r="TGC448" s="741"/>
      <c r="TGD448" s="741"/>
      <c r="TGE448" s="741"/>
      <c r="TGF448" s="741"/>
      <c r="TGG448" s="741"/>
      <c r="TGH448" s="741"/>
      <c r="TGI448" s="741"/>
      <c r="TGJ448" s="741"/>
      <c r="TGK448" s="741"/>
      <c r="TGL448" s="741"/>
      <c r="TGM448" s="741"/>
      <c r="TGN448" s="741"/>
      <c r="TGO448" s="741"/>
      <c r="TGP448" s="741"/>
      <c r="TGQ448" s="741"/>
      <c r="TGR448" s="741"/>
      <c r="TGS448" s="741"/>
      <c r="TGT448" s="741"/>
      <c r="TGU448" s="741"/>
      <c r="TGV448" s="741"/>
      <c r="TGW448" s="741"/>
      <c r="TGX448" s="741"/>
      <c r="TGY448" s="741"/>
      <c r="TGZ448" s="741"/>
      <c r="THA448" s="741"/>
      <c r="THB448" s="741"/>
      <c r="THC448" s="741"/>
      <c r="THD448" s="741"/>
      <c r="THE448" s="741"/>
      <c r="THF448" s="741"/>
      <c r="THG448" s="741"/>
      <c r="THH448" s="741"/>
      <c r="THI448" s="741"/>
      <c r="THJ448" s="741"/>
      <c r="THK448" s="741"/>
      <c r="THL448" s="741"/>
      <c r="THM448" s="741"/>
      <c r="THN448" s="741"/>
      <c r="THO448" s="741"/>
      <c r="THP448" s="741"/>
      <c r="THQ448" s="741"/>
      <c r="THR448" s="741"/>
      <c r="THS448" s="741"/>
      <c r="THT448" s="741"/>
      <c r="THU448" s="741"/>
      <c r="THV448" s="741"/>
      <c r="THW448" s="741"/>
      <c r="THX448" s="741"/>
      <c r="THY448" s="741"/>
      <c r="THZ448" s="741"/>
      <c r="TIA448" s="741"/>
      <c r="TIB448" s="741"/>
      <c r="TIC448" s="741"/>
      <c r="TID448" s="741"/>
      <c r="TIE448" s="741"/>
      <c r="TIF448" s="741"/>
      <c r="TIG448" s="741"/>
      <c r="TIH448" s="741"/>
      <c r="TII448" s="741"/>
      <c r="TIJ448" s="741"/>
      <c r="TIK448" s="741"/>
      <c r="TIL448" s="741"/>
      <c r="TIM448" s="741"/>
      <c r="TIN448" s="741"/>
      <c r="TIO448" s="741"/>
      <c r="TIP448" s="741"/>
      <c r="TIQ448" s="741"/>
      <c r="TIR448" s="741"/>
      <c r="TIS448" s="741"/>
      <c r="TIT448" s="741"/>
      <c r="TIU448" s="741"/>
      <c r="TIV448" s="741"/>
      <c r="TIW448" s="741"/>
      <c r="TIX448" s="741"/>
      <c r="TIY448" s="741"/>
      <c r="TIZ448" s="741"/>
      <c r="TJA448" s="741"/>
      <c r="TJB448" s="741"/>
      <c r="TJC448" s="741"/>
      <c r="TJD448" s="741"/>
      <c r="TJE448" s="741"/>
      <c r="TJF448" s="741"/>
      <c r="TJG448" s="741"/>
      <c r="TJH448" s="741"/>
      <c r="TJI448" s="741"/>
      <c r="TJJ448" s="741"/>
      <c r="TJK448" s="741"/>
      <c r="TJL448" s="741"/>
      <c r="TJM448" s="741"/>
      <c r="TJN448" s="741"/>
      <c r="TJO448" s="741"/>
      <c r="TJP448" s="741"/>
      <c r="TJQ448" s="741"/>
      <c r="TJR448" s="741"/>
      <c r="TJS448" s="741"/>
      <c r="TJT448" s="741"/>
      <c r="TJU448" s="741"/>
      <c r="TJV448" s="741"/>
      <c r="TJW448" s="741"/>
      <c r="TJX448" s="741"/>
      <c r="TJY448" s="741"/>
      <c r="TJZ448" s="741"/>
      <c r="TKA448" s="741"/>
      <c r="TKB448" s="741"/>
      <c r="TKC448" s="741"/>
      <c r="TKD448" s="741"/>
      <c r="TKE448" s="741"/>
      <c r="TKF448" s="741"/>
      <c r="TKG448" s="741"/>
      <c r="TKH448" s="741"/>
      <c r="TKI448" s="741"/>
      <c r="TKJ448" s="741"/>
      <c r="TKK448" s="741"/>
      <c r="TKL448" s="741"/>
      <c r="TKM448" s="741"/>
      <c r="TKN448" s="741"/>
      <c r="TKO448" s="741"/>
      <c r="TKP448" s="741"/>
      <c r="TKQ448" s="741"/>
      <c r="TKR448" s="741"/>
      <c r="TKS448" s="741"/>
      <c r="TKT448" s="741"/>
      <c r="TKU448" s="741"/>
      <c r="TKV448" s="741"/>
      <c r="TKW448" s="741"/>
      <c r="TKX448" s="741"/>
      <c r="TKY448" s="741"/>
      <c r="TKZ448" s="741"/>
      <c r="TLA448" s="741"/>
      <c r="TLB448" s="741"/>
      <c r="TLC448" s="741"/>
      <c r="TLD448" s="741"/>
      <c r="TLE448" s="741"/>
      <c r="TLF448" s="741"/>
      <c r="TLG448" s="741"/>
      <c r="TLH448" s="741"/>
      <c r="TLI448" s="741"/>
      <c r="TLJ448" s="741"/>
      <c r="TLK448" s="741"/>
      <c r="TLL448" s="741"/>
      <c r="TLM448" s="741"/>
      <c r="TLN448" s="741"/>
      <c r="TLO448" s="741"/>
      <c r="TLP448" s="741"/>
      <c r="TLQ448" s="741"/>
      <c r="TLR448" s="741"/>
      <c r="TLS448" s="741"/>
      <c r="TLT448" s="741"/>
      <c r="TLU448" s="741"/>
      <c r="TLV448" s="741"/>
      <c r="TLW448" s="741"/>
      <c r="TLX448" s="741"/>
      <c r="TLY448" s="741"/>
      <c r="TLZ448" s="741"/>
      <c r="TMA448" s="741"/>
      <c r="TMB448" s="741"/>
      <c r="TMC448" s="741"/>
      <c r="TMD448" s="741"/>
      <c r="TME448" s="741"/>
      <c r="TMF448" s="741"/>
      <c r="TMG448" s="741"/>
      <c r="TMH448" s="741"/>
      <c r="TMI448" s="741"/>
      <c r="TMJ448" s="741"/>
      <c r="TMK448" s="741"/>
      <c r="TML448" s="741"/>
      <c r="TMM448" s="741"/>
      <c r="TMN448" s="741"/>
      <c r="TMO448" s="741"/>
      <c r="TMP448" s="741"/>
      <c r="TMQ448" s="741"/>
      <c r="TMR448" s="741"/>
      <c r="TMS448" s="741"/>
      <c r="TMT448" s="741"/>
      <c r="TMU448" s="741"/>
      <c r="TMV448" s="741"/>
      <c r="TMW448" s="741"/>
      <c r="TMX448" s="741"/>
      <c r="TMY448" s="741"/>
      <c r="TMZ448" s="741"/>
      <c r="TNA448" s="741"/>
      <c r="TNB448" s="741"/>
      <c r="TNC448" s="741"/>
      <c r="TND448" s="741"/>
      <c r="TNE448" s="741"/>
      <c r="TNF448" s="741"/>
      <c r="TNG448" s="741"/>
      <c r="TNH448" s="741"/>
      <c r="TNI448" s="741"/>
      <c r="TNJ448" s="741"/>
      <c r="TNK448" s="741"/>
      <c r="TNL448" s="741"/>
      <c r="TNM448" s="741"/>
      <c r="TNN448" s="741"/>
      <c r="TNO448" s="741"/>
      <c r="TNP448" s="741"/>
      <c r="TNQ448" s="741"/>
      <c r="TNR448" s="741"/>
      <c r="TNS448" s="741"/>
      <c r="TNT448" s="741"/>
      <c r="TNU448" s="741"/>
      <c r="TNV448" s="741"/>
      <c r="TNW448" s="741"/>
      <c r="TNX448" s="741"/>
      <c r="TNY448" s="741"/>
      <c r="TNZ448" s="741"/>
      <c r="TOA448" s="741"/>
      <c r="TOB448" s="741"/>
      <c r="TOC448" s="741"/>
      <c r="TOD448" s="741"/>
      <c r="TOE448" s="741"/>
      <c r="TOF448" s="741"/>
      <c r="TOG448" s="741"/>
      <c r="TOH448" s="741"/>
      <c r="TOI448" s="741"/>
      <c r="TOJ448" s="741"/>
      <c r="TOK448" s="741"/>
      <c r="TOL448" s="741"/>
      <c r="TOM448" s="741"/>
      <c r="TON448" s="741"/>
      <c r="TOO448" s="741"/>
      <c r="TOP448" s="741"/>
      <c r="TOQ448" s="741"/>
      <c r="TOR448" s="741"/>
      <c r="TOS448" s="741"/>
      <c r="TOT448" s="741"/>
      <c r="TOU448" s="741"/>
      <c r="TOV448" s="741"/>
      <c r="TOW448" s="741"/>
      <c r="TOX448" s="741"/>
      <c r="TOY448" s="741"/>
      <c r="TOZ448" s="741"/>
      <c r="TPA448" s="741"/>
      <c r="TPB448" s="741"/>
      <c r="TPC448" s="741"/>
      <c r="TPD448" s="741"/>
      <c r="TPE448" s="741"/>
      <c r="TPF448" s="741"/>
      <c r="TPG448" s="741"/>
      <c r="TPH448" s="741"/>
      <c r="TPI448" s="741"/>
      <c r="TPJ448" s="741"/>
      <c r="TPK448" s="741"/>
      <c r="TPL448" s="741"/>
      <c r="TPM448" s="741"/>
      <c r="TPN448" s="741"/>
      <c r="TPO448" s="741"/>
      <c r="TPP448" s="741"/>
      <c r="TPQ448" s="741"/>
      <c r="TPR448" s="741"/>
      <c r="TPS448" s="741"/>
      <c r="TPT448" s="741"/>
      <c r="TPU448" s="741"/>
      <c r="TPV448" s="741"/>
      <c r="TPW448" s="741"/>
      <c r="TPX448" s="741"/>
      <c r="TPY448" s="741"/>
      <c r="TPZ448" s="741"/>
      <c r="TQA448" s="741"/>
      <c r="TQB448" s="741"/>
      <c r="TQC448" s="741"/>
      <c r="TQD448" s="741"/>
      <c r="TQE448" s="741"/>
      <c r="TQF448" s="741"/>
      <c r="TQG448" s="741"/>
      <c r="TQH448" s="741"/>
      <c r="TQI448" s="741"/>
      <c r="TQJ448" s="741"/>
      <c r="TQK448" s="741"/>
      <c r="TQL448" s="741"/>
      <c r="TQM448" s="741"/>
      <c r="TQN448" s="741"/>
      <c r="TQO448" s="741"/>
      <c r="TQP448" s="741"/>
      <c r="TQQ448" s="741"/>
      <c r="TQR448" s="741"/>
      <c r="TQS448" s="741"/>
      <c r="TQT448" s="741"/>
      <c r="TQU448" s="741"/>
      <c r="TQV448" s="741"/>
      <c r="TQW448" s="741"/>
      <c r="TQX448" s="741"/>
      <c r="TQY448" s="741"/>
      <c r="TQZ448" s="741"/>
      <c r="TRA448" s="741"/>
      <c r="TRB448" s="741"/>
      <c r="TRC448" s="741"/>
      <c r="TRD448" s="741"/>
      <c r="TRE448" s="741"/>
      <c r="TRF448" s="741"/>
      <c r="TRG448" s="741"/>
      <c r="TRH448" s="741"/>
      <c r="TRI448" s="741"/>
      <c r="TRJ448" s="741"/>
      <c r="TRK448" s="741"/>
      <c r="TRL448" s="741"/>
      <c r="TRM448" s="741"/>
      <c r="TRN448" s="741"/>
      <c r="TRO448" s="741"/>
      <c r="TRP448" s="741"/>
      <c r="TRQ448" s="741"/>
      <c r="TRR448" s="741"/>
      <c r="TRS448" s="741"/>
      <c r="TRT448" s="741"/>
      <c r="TRU448" s="741"/>
      <c r="TRV448" s="741"/>
      <c r="TRW448" s="741"/>
      <c r="TRX448" s="741"/>
      <c r="TRY448" s="741"/>
      <c r="TRZ448" s="741"/>
      <c r="TSA448" s="741"/>
      <c r="TSB448" s="741"/>
      <c r="TSC448" s="741"/>
      <c r="TSD448" s="741"/>
      <c r="TSE448" s="741"/>
      <c r="TSF448" s="741"/>
      <c r="TSG448" s="741"/>
      <c r="TSH448" s="741"/>
      <c r="TSI448" s="741"/>
      <c r="TSJ448" s="741"/>
      <c r="TSK448" s="741"/>
      <c r="TSL448" s="741"/>
      <c r="TSM448" s="741"/>
      <c r="TSN448" s="741"/>
      <c r="TSO448" s="741"/>
      <c r="TSP448" s="741"/>
      <c r="TSQ448" s="741"/>
      <c r="TSR448" s="741"/>
      <c r="TSS448" s="741"/>
      <c r="TST448" s="741"/>
      <c r="TSU448" s="741"/>
      <c r="TSV448" s="741"/>
      <c r="TSW448" s="741"/>
      <c r="TSX448" s="741"/>
      <c r="TSY448" s="741"/>
      <c r="TSZ448" s="741"/>
      <c r="TTA448" s="741"/>
      <c r="TTB448" s="741"/>
      <c r="TTC448" s="741"/>
      <c r="TTD448" s="741"/>
      <c r="TTE448" s="741"/>
      <c r="TTF448" s="741"/>
      <c r="TTG448" s="741"/>
      <c r="TTH448" s="741"/>
      <c r="TTI448" s="741"/>
      <c r="TTJ448" s="741"/>
      <c r="TTK448" s="741"/>
      <c r="TTL448" s="741"/>
      <c r="TTM448" s="741"/>
      <c r="TTN448" s="741"/>
      <c r="TTO448" s="741"/>
      <c r="TTP448" s="741"/>
      <c r="TTQ448" s="741"/>
      <c r="TTR448" s="741"/>
      <c r="TTS448" s="741"/>
      <c r="TTT448" s="741"/>
      <c r="TTU448" s="741"/>
      <c r="TTV448" s="741"/>
      <c r="TTW448" s="741"/>
      <c r="TTX448" s="741"/>
      <c r="TTY448" s="741"/>
      <c r="TTZ448" s="741"/>
      <c r="TUA448" s="741"/>
      <c r="TUB448" s="741"/>
      <c r="TUC448" s="741"/>
      <c r="TUD448" s="741"/>
      <c r="TUE448" s="741"/>
      <c r="TUF448" s="741"/>
      <c r="TUG448" s="741"/>
      <c r="TUH448" s="741"/>
      <c r="TUI448" s="741"/>
      <c r="TUJ448" s="741"/>
      <c r="TUK448" s="741"/>
      <c r="TUL448" s="741"/>
      <c r="TUM448" s="741"/>
      <c r="TUN448" s="741"/>
      <c r="TUO448" s="741"/>
      <c r="TUP448" s="741"/>
      <c r="TUQ448" s="741"/>
      <c r="TUR448" s="741"/>
      <c r="TUS448" s="741"/>
      <c r="TUT448" s="741"/>
      <c r="TUU448" s="741"/>
      <c r="TUV448" s="741"/>
      <c r="TUW448" s="741"/>
      <c r="TUX448" s="741"/>
      <c r="TUY448" s="741"/>
      <c r="TUZ448" s="741"/>
      <c r="TVA448" s="741"/>
      <c r="TVB448" s="741"/>
      <c r="TVC448" s="741"/>
      <c r="TVD448" s="741"/>
      <c r="TVE448" s="741"/>
      <c r="TVF448" s="741"/>
      <c r="TVG448" s="741"/>
      <c r="TVH448" s="741"/>
      <c r="TVI448" s="741"/>
      <c r="TVJ448" s="741"/>
      <c r="TVK448" s="741"/>
      <c r="TVL448" s="741"/>
      <c r="TVM448" s="741"/>
      <c r="TVN448" s="741"/>
      <c r="TVO448" s="741"/>
      <c r="TVP448" s="741"/>
      <c r="TVQ448" s="741"/>
      <c r="TVR448" s="741"/>
      <c r="TVS448" s="741"/>
      <c r="TVT448" s="741"/>
      <c r="TVU448" s="741"/>
      <c r="TVV448" s="741"/>
      <c r="TVW448" s="741"/>
      <c r="TVX448" s="741"/>
      <c r="TVY448" s="741"/>
      <c r="TVZ448" s="741"/>
      <c r="TWA448" s="741"/>
      <c r="TWB448" s="741"/>
      <c r="TWC448" s="741"/>
      <c r="TWD448" s="741"/>
      <c r="TWE448" s="741"/>
      <c r="TWF448" s="741"/>
      <c r="TWG448" s="741"/>
      <c r="TWH448" s="741"/>
      <c r="TWI448" s="741"/>
      <c r="TWJ448" s="741"/>
      <c r="TWK448" s="741"/>
      <c r="TWL448" s="741"/>
      <c r="TWM448" s="741"/>
      <c r="TWN448" s="741"/>
      <c r="TWO448" s="741"/>
      <c r="TWP448" s="741"/>
      <c r="TWQ448" s="741"/>
      <c r="TWR448" s="741"/>
      <c r="TWS448" s="741"/>
      <c r="TWT448" s="741"/>
      <c r="TWU448" s="741"/>
      <c r="TWV448" s="741"/>
      <c r="TWW448" s="741"/>
      <c r="TWX448" s="741"/>
      <c r="TWY448" s="741"/>
      <c r="TWZ448" s="741"/>
      <c r="TXA448" s="741"/>
      <c r="TXB448" s="741"/>
      <c r="TXC448" s="741"/>
      <c r="TXD448" s="741"/>
      <c r="TXE448" s="741"/>
      <c r="TXF448" s="741"/>
      <c r="TXG448" s="741"/>
      <c r="TXH448" s="741"/>
      <c r="TXI448" s="741"/>
      <c r="TXJ448" s="741"/>
      <c r="TXK448" s="741"/>
      <c r="TXL448" s="741"/>
      <c r="TXM448" s="741"/>
      <c r="TXN448" s="741"/>
      <c r="TXO448" s="741"/>
      <c r="TXP448" s="741"/>
      <c r="TXQ448" s="741"/>
      <c r="TXR448" s="741"/>
      <c r="TXS448" s="741"/>
      <c r="TXT448" s="741"/>
      <c r="TXU448" s="741"/>
      <c r="TXV448" s="741"/>
      <c r="TXW448" s="741"/>
      <c r="TXX448" s="741"/>
      <c r="TXY448" s="741"/>
      <c r="TXZ448" s="741"/>
      <c r="TYA448" s="741"/>
      <c r="TYB448" s="741"/>
      <c r="TYC448" s="741"/>
      <c r="TYD448" s="741"/>
      <c r="TYE448" s="741"/>
      <c r="TYF448" s="741"/>
      <c r="TYG448" s="741"/>
      <c r="TYH448" s="741"/>
      <c r="TYI448" s="741"/>
      <c r="TYJ448" s="741"/>
      <c r="TYK448" s="741"/>
      <c r="TYL448" s="741"/>
      <c r="TYM448" s="741"/>
      <c r="TYN448" s="741"/>
      <c r="TYO448" s="741"/>
      <c r="TYP448" s="741"/>
      <c r="TYQ448" s="741"/>
      <c r="TYR448" s="741"/>
      <c r="TYS448" s="741"/>
      <c r="TYT448" s="741"/>
      <c r="TYU448" s="741"/>
      <c r="TYV448" s="741"/>
      <c r="TYW448" s="741"/>
      <c r="TYX448" s="741"/>
      <c r="TYY448" s="741"/>
      <c r="TYZ448" s="741"/>
      <c r="TZA448" s="741"/>
      <c r="TZB448" s="741"/>
      <c r="TZC448" s="741"/>
      <c r="TZD448" s="741"/>
      <c r="TZE448" s="741"/>
      <c r="TZF448" s="741"/>
      <c r="TZG448" s="741"/>
      <c r="TZH448" s="741"/>
      <c r="TZI448" s="741"/>
      <c r="TZJ448" s="741"/>
      <c r="TZK448" s="741"/>
      <c r="TZL448" s="741"/>
      <c r="TZM448" s="741"/>
      <c r="TZN448" s="741"/>
      <c r="TZO448" s="741"/>
      <c r="TZP448" s="741"/>
      <c r="TZQ448" s="741"/>
      <c r="TZR448" s="741"/>
      <c r="TZS448" s="741"/>
      <c r="TZT448" s="741"/>
      <c r="TZU448" s="741"/>
      <c r="TZV448" s="741"/>
      <c r="TZW448" s="741"/>
      <c r="TZX448" s="741"/>
      <c r="TZY448" s="741"/>
      <c r="TZZ448" s="741"/>
      <c r="UAA448" s="741"/>
      <c r="UAB448" s="741"/>
      <c r="UAC448" s="741"/>
      <c r="UAD448" s="741"/>
      <c r="UAE448" s="741"/>
      <c r="UAF448" s="741"/>
      <c r="UAG448" s="741"/>
      <c r="UAH448" s="741"/>
      <c r="UAI448" s="741"/>
      <c r="UAJ448" s="741"/>
      <c r="UAK448" s="741"/>
      <c r="UAL448" s="741"/>
      <c r="UAM448" s="741"/>
      <c r="UAN448" s="741"/>
      <c r="UAO448" s="741"/>
      <c r="UAP448" s="741"/>
      <c r="UAQ448" s="741"/>
      <c r="UAR448" s="741"/>
      <c r="UAS448" s="741"/>
      <c r="UAT448" s="741"/>
      <c r="UAU448" s="741"/>
      <c r="UAV448" s="741"/>
      <c r="UAW448" s="741"/>
      <c r="UAX448" s="741"/>
      <c r="UAY448" s="741"/>
      <c r="UAZ448" s="741"/>
      <c r="UBA448" s="741"/>
      <c r="UBB448" s="741"/>
      <c r="UBC448" s="741"/>
      <c r="UBD448" s="741"/>
      <c r="UBE448" s="741"/>
      <c r="UBF448" s="741"/>
      <c r="UBG448" s="741"/>
      <c r="UBH448" s="741"/>
      <c r="UBI448" s="741"/>
      <c r="UBJ448" s="741"/>
      <c r="UBK448" s="741"/>
      <c r="UBL448" s="741"/>
      <c r="UBM448" s="741"/>
      <c r="UBN448" s="741"/>
      <c r="UBO448" s="741"/>
      <c r="UBP448" s="741"/>
      <c r="UBQ448" s="741"/>
      <c r="UBR448" s="741"/>
      <c r="UBS448" s="741"/>
      <c r="UBT448" s="741"/>
      <c r="UBU448" s="741"/>
      <c r="UBV448" s="741"/>
      <c r="UBW448" s="741"/>
      <c r="UBX448" s="741"/>
      <c r="UBY448" s="741"/>
      <c r="UBZ448" s="741"/>
      <c r="UCA448" s="741"/>
      <c r="UCB448" s="741"/>
      <c r="UCC448" s="741"/>
      <c r="UCD448" s="741"/>
      <c r="UCE448" s="741"/>
      <c r="UCF448" s="741"/>
      <c r="UCG448" s="741"/>
      <c r="UCH448" s="741"/>
      <c r="UCI448" s="741"/>
      <c r="UCJ448" s="741"/>
      <c r="UCK448" s="741"/>
      <c r="UCL448" s="741"/>
      <c r="UCM448" s="741"/>
      <c r="UCN448" s="741"/>
      <c r="UCO448" s="741"/>
      <c r="UCP448" s="741"/>
      <c r="UCQ448" s="741"/>
      <c r="UCR448" s="741"/>
      <c r="UCS448" s="741"/>
      <c r="UCT448" s="741"/>
      <c r="UCU448" s="741"/>
      <c r="UCV448" s="741"/>
      <c r="UCW448" s="741"/>
      <c r="UCX448" s="741"/>
      <c r="UCY448" s="741"/>
      <c r="UCZ448" s="741"/>
      <c r="UDA448" s="741"/>
      <c r="UDB448" s="741"/>
      <c r="UDC448" s="741"/>
      <c r="UDD448" s="741"/>
      <c r="UDE448" s="741"/>
      <c r="UDF448" s="741"/>
      <c r="UDG448" s="741"/>
      <c r="UDH448" s="741"/>
      <c r="UDI448" s="741"/>
      <c r="UDJ448" s="741"/>
      <c r="UDK448" s="741"/>
      <c r="UDL448" s="741"/>
      <c r="UDM448" s="741"/>
      <c r="UDN448" s="741"/>
      <c r="UDO448" s="741"/>
      <c r="UDP448" s="741"/>
      <c r="UDQ448" s="741"/>
      <c r="UDR448" s="741"/>
      <c r="UDS448" s="741"/>
      <c r="UDT448" s="741"/>
      <c r="UDU448" s="741"/>
      <c r="UDV448" s="741"/>
      <c r="UDW448" s="741"/>
      <c r="UDX448" s="741"/>
      <c r="UDY448" s="741"/>
      <c r="UDZ448" s="741"/>
      <c r="UEA448" s="741"/>
      <c r="UEB448" s="741"/>
      <c r="UEC448" s="741"/>
      <c r="UED448" s="741"/>
      <c r="UEE448" s="741"/>
      <c r="UEF448" s="741"/>
      <c r="UEG448" s="741"/>
      <c r="UEH448" s="741"/>
      <c r="UEI448" s="741"/>
      <c r="UEJ448" s="741"/>
      <c r="UEK448" s="741"/>
      <c r="UEL448" s="741"/>
      <c r="UEM448" s="741"/>
      <c r="UEN448" s="741"/>
      <c r="UEO448" s="741"/>
      <c r="UEP448" s="741"/>
      <c r="UEQ448" s="741"/>
      <c r="UER448" s="741"/>
      <c r="UES448" s="741"/>
      <c r="UET448" s="741"/>
      <c r="UEU448" s="741"/>
      <c r="UEV448" s="741"/>
      <c r="UEW448" s="741"/>
      <c r="UEX448" s="741"/>
      <c r="UEY448" s="741"/>
      <c r="UEZ448" s="741"/>
      <c r="UFA448" s="741"/>
      <c r="UFB448" s="741"/>
      <c r="UFC448" s="741"/>
      <c r="UFD448" s="741"/>
      <c r="UFE448" s="741"/>
      <c r="UFF448" s="741"/>
      <c r="UFG448" s="741"/>
      <c r="UFH448" s="741"/>
      <c r="UFI448" s="741"/>
      <c r="UFJ448" s="741"/>
      <c r="UFK448" s="741"/>
      <c r="UFL448" s="741"/>
      <c r="UFM448" s="741"/>
      <c r="UFN448" s="741"/>
      <c r="UFO448" s="741"/>
      <c r="UFP448" s="741"/>
      <c r="UFQ448" s="741"/>
      <c r="UFR448" s="741"/>
      <c r="UFS448" s="741"/>
      <c r="UFT448" s="741"/>
      <c r="UFU448" s="741"/>
      <c r="UFV448" s="741"/>
      <c r="UFW448" s="741"/>
      <c r="UFX448" s="741"/>
      <c r="UFY448" s="741"/>
      <c r="UFZ448" s="741"/>
      <c r="UGA448" s="741"/>
      <c r="UGB448" s="741"/>
      <c r="UGC448" s="741"/>
      <c r="UGD448" s="741"/>
      <c r="UGE448" s="741"/>
      <c r="UGF448" s="741"/>
      <c r="UGG448" s="741"/>
      <c r="UGH448" s="741"/>
      <c r="UGI448" s="741"/>
      <c r="UGJ448" s="741"/>
      <c r="UGK448" s="741"/>
      <c r="UGL448" s="741"/>
      <c r="UGM448" s="741"/>
      <c r="UGN448" s="741"/>
      <c r="UGO448" s="741"/>
      <c r="UGP448" s="741"/>
      <c r="UGQ448" s="741"/>
      <c r="UGR448" s="741"/>
      <c r="UGS448" s="741"/>
      <c r="UGT448" s="741"/>
      <c r="UGU448" s="741"/>
      <c r="UGV448" s="741"/>
      <c r="UGW448" s="741"/>
      <c r="UGX448" s="741"/>
      <c r="UGY448" s="741"/>
      <c r="UGZ448" s="741"/>
      <c r="UHA448" s="741"/>
      <c r="UHB448" s="741"/>
      <c r="UHC448" s="741"/>
      <c r="UHD448" s="741"/>
      <c r="UHE448" s="741"/>
      <c r="UHF448" s="741"/>
      <c r="UHG448" s="741"/>
      <c r="UHH448" s="741"/>
      <c r="UHI448" s="741"/>
      <c r="UHJ448" s="741"/>
      <c r="UHK448" s="741"/>
      <c r="UHL448" s="741"/>
      <c r="UHM448" s="741"/>
      <c r="UHN448" s="741"/>
      <c r="UHO448" s="741"/>
      <c r="UHP448" s="741"/>
      <c r="UHQ448" s="741"/>
      <c r="UHR448" s="741"/>
      <c r="UHS448" s="741"/>
      <c r="UHT448" s="741"/>
      <c r="UHU448" s="741"/>
      <c r="UHV448" s="741"/>
      <c r="UHW448" s="741"/>
      <c r="UHX448" s="741"/>
      <c r="UHY448" s="741"/>
      <c r="UHZ448" s="741"/>
      <c r="UIA448" s="741"/>
      <c r="UIB448" s="741"/>
      <c r="UIC448" s="741"/>
      <c r="UID448" s="741"/>
      <c r="UIE448" s="741"/>
      <c r="UIF448" s="741"/>
      <c r="UIG448" s="741"/>
      <c r="UIH448" s="741"/>
      <c r="UII448" s="741"/>
      <c r="UIJ448" s="741"/>
      <c r="UIK448" s="741"/>
      <c r="UIL448" s="741"/>
      <c r="UIM448" s="741"/>
      <c r="UIN448" s="741"/>
      <c r="UIO448" s="741"/>
      <c r="UIP448" s="741"/>
      <c r="UIQ448" s="741"/>
      <c r="UIR448" s="741"/>
      <c r="UIS448" s="741"/>
      <c r="UIT448" s="741"/>
      <c r="UIU448" s="741"/>
      <c r="UIV448" s="741"/>
      <c r="UIW448" s="741"/>
      <c r="UIX448" s="741"/>
      <c r="UIY448" s="741"/>
      <c r="UIZ448" s="741"/>
      <c r="UJA448" s="741"/>
      <c r="UJB448" s="741"/>
      <c r="UJC448" s="741"/>
      <c r="UJD448" s="741"/>
      <c r="UJE448" s="741"/>
      <c r="UJF448" s="741"/>
      <c r="UJG448" s="741"/>
      <c r="UJH448" s="741"/>
      <c r="UJI448" s="741"/>
      <c r="UJJ448" s="741"/>
      <c r="UJK448" s="741"/>
      <c r="UJL448" s="741"/>
      <c r="UJM448" s="741"/>
      <c r="UJN448" s="741"/>
      <c r="UJO448" s="741"/>
      <c r="UJP448" s="741"/>
      <c r="UJQ448" s="741"/>
      <c r="UJR448" s="741"/>
      <c r="UJS448" s="741"/>
      <c r="UJT448" s="741"/>
      <c r="UJU448" s="741"/>
      <c r="UJV448" s="741"/>
      <c r="UJW448" s="741"/>
      <c r="UJX448" s="741"/>
      <c r="UJY448" s="741"/>
      <c r="UJZ448" s="741"/>
      <c r="UKA448" s="741"/>
      <c r="UKB448" s="741"/>
      <c r="UKC448" s="741"/>
      <c r="UKD448" s="741"/>
      <c r="UKE448" s="741"/>
      <c r="UKF448" s="741"/>
      <c r="UKG448" s="741"/>
      <c r="UKH448" s="741"/>
      <c r="UKI448" s="741"/>
      <c r="UKJ448" s="741"/>
      <c r="UKK448" s="741"/>
      <c r="UKL448" s="741"/>
      <c r="UKM448" s="741"/>
      <c r="UKN448" s="741"/>
      <c r="UKO448" s="741"/>
      <c r="UKP448" s="741"/>
      <c r="UKQ448" s="741"/>
      <c r="UKR448" s="741"/>
      <c r="UKS448" s="741"/>
      <c r="UKT448" s="741"/>
      <c r="UKU448" s="741"/>
      <c r="UKV448" s="741"/>
      <c r="UKW448" s="741"/>
      <c r="UKX448" s="741"/>
      <c r="UKY448" s="741"/>
      <c r="UKZ448" s="741"/>
      <c r="ULA448" s="741"/>
      <c r="ULB448" s="741"/>
      <c r="ULC448" s="741"/>
      <c r="ULD448" s="741"/>
      <c r="ULE448" s="741"/>
      <c r="ULF448" s="741"/>
      <c r="ULG448" s="741"/>
      <c r="ULH448" s="741"/>
      <c r="ULI448" s="741"/>
      <c r="ULJ448" s="741"/>
      <c r="ULK448" s="741"/>
      <c r="ULL448" s="741"/>
      <c r="ULM448" s="741"/>
      <c r="ULN448" s="741"/>
      <c r="ULO448" s="741"/>
      <c r="ULP448" s="741"/>
      <c r="ULQ448" s="741"/>
      <c r="ULR448" s="741"/>
      <c r="ULS448" s="741"/>
      <c r="ULT448" s="741"/>
      <c r="ULU448" s="741"/>
      <c r="ULV448" s="741"/>
      <c r="ULW448" s="741"/>
      <c r="ULX448" s="741"/>
      <c r="ULY448" s="741"/>
      <c r="ULZ448" s="741"/>
      <c r="UMA448" s="741"/>
      <c r="UMB448" s="741"/>
      <c r="UMC448" s="741"/>
      <c r="UMD448" s="741"/>
      <c r="UME448" s="741"/>
      <c r="UMF448" s="741"/>
      <c r="UMG448" s="741"/>
      <c r="UMH448" s="741"/>
      <c r="UMI448" s="741"/>
      <c r="UMJ448" s="741"/>
      <c r="UMK448" s="741"/>
      <c r="UML448" s="741"/>
      <c r="UMM448" s="741"/>
      <c r="UMN448" s="741"/>
      <c r="UMO448" s="741"/>
      <c r="UMP448" s="741"/>
      <c r="UMQ448" s="741"/>
      <c r="UMR448" s="741"/>
      <c r="UMS448" s="741"/>
      <c r="UMT448" s="741"/>
      <c r="UMU448" s="741"/>
      <c r="UMV448" s="741"/>
      <c r="UMW448" s="741"/>
      <c r="UMX448" s="741"/>
      <c r="UMY448" s="741"/>
      <c r="UMZ448" s="741"/>
      <c r="UNA448" s="741"/>
      <c r="UNB448" s="741"/>
      <c r="UNC448" s="741"/>
      <c r="UND448" s="741"/>
      <c r="UNE448" s="741"/>
      <c r="UNF448" s="741"/>
      <c r="UNG448" s="741"/>
      <c r="UNH448" s="741"/>
      <c r="UNI448" s="741"/>
      <c r="UNJ448" s="741"/>
      <c r="UNK448" s="741"/>
      <c r="UNL448" s="741"/>
      <c r="UNM448" s="741"/>
      <c r="UNN448" s="741"/>
      <c r="UNO448" s="741"/>
      <c r="UNP448" s="741"/>
      <c r="UNQ448" s="741"/>
      <c r="UNR448" s="741"/>
      <c r="UNS448" s="741"/>
      <c r="UNT448" s="741"/>
      <c r="UNU448" s="741"/>
      <c r="UNV448" s="741"/>
      <c r="UNW448" s="741"/>
      <c r="UNX448" s="741"/>
      <c r="UNY448" s="741"/>
      <c r="UNZ448" s="741"/>
      <c r="UOA448" s="741"/>
      <c r="UOB448" s="741"/>
      <c r="UOC448" s="741"/>
      <c r="UOD448" s="741"/>
      <c r="UOE448" s="741"/>
      <c r="UOF448" s="741"/>
      <c r="UOG448" s="741"/>
      <c r="UOH448" s="741"/>
      <c r="UOI448" s="741"/>
      <c r="UOJ448" s="741"/>
      <c r="UOK448" s="741"/>
      <c r="UOL448" s="741"/>
      <c r="UOM448" s="741"/>
      <c r="UON448" s="741"/>
      <c r="UOO448" s="741"/>
      <c r="UOP448" s="741"/>
      <c r="UOQ448" s="741"/>
      <c r="UOR448" s="741"/>
      <c r="UOS448" s="741"/>
      <c r="UOT448" s="741"/>
      <c r="UOU448" s="741"/>
      <c r="UOV448" s="741"/>
      <c r="UOW448" s="741"/>
      <c r="UOX448" s="741"/>
      <c r="UOY448" s="741"/>
      <c r="UOZ448" s="741"/>
      <c r="UPA448" s="741"/>
      <c r="UPB448" s="741"/>
      <c r="UPC448" s="741"/>
      <c r="UPD448" s="741"/>
      <c r="UPE448" s="741"/>
      <c r="UPF448" s="741"/>
      <c r="UPG448" s="741"/>
      <c r="UPH448" s="741"/>
      <c r="UPI448" s="741"/>
      <c r="UPJ448" s="741"/>
      <c r="UPK448" s="741"/>
      <c r="UPL448" s="741"/>
      <c r="UPM448" s="741"/>
      <c r="UPN448" s="741"/>
      <c r="UPO448" s="741"/>
      <c r="UPP448" s="741"/>
      <c r="UPQ448" s="741"/>
      <c r="UPR448" s="741"/>
      <c r="UPS448" s="741"/>
      <c r="UPT448" s="741"/>
      <c r="UPU448" s="741"/>
      <c r="UPV448" s="741"/>
      <c r="UPW448" s="741"/>
      <c r="UPX448" s="741"/>
      <c r="UPY448" s="741"/>
      <c r="UPZ448" s="741"/>
      <c r="UQA448" s="741"/>
      <c r="UQB448" s="741"/>
      <c r="UQC448" s="741"/>
      <c r="UQD448" s="741"/>
      <c r="UQE448" s="741"/>
      <c r="UQF448" s="741"/>
      <c r="UQG448" s="741"/>
      <c r="UQH448" s="741"/>
      <c r="UQI448" s="741"/>
      <c r="UQJ448" s="741"/>
      <c r="UQK448" s="741"/>
      <c r="UQL448" s="741"/>
      <c r="UQM448" s="741"/>
      <c r="UQN448" s="741"/>
      <c r="UQO448" s="741"/>
      <c r="UQP448" s="741"/>
      <c r="UQQ448" s="741"/>
      <c r="UQR448" s="741"/>
      <c r="UQS448" s="741"/>
      <c r="UQT448" s="741"/>
      <c r="UQU448" s="741"/>
      <c r="UQV448" s="741"/>
      <c r="UQW448" s="741"/>
      <c r="UQX448" s="741"/>
      <c r="UQY448" s="741"/>
      <c r="UQZ448" s="741"/>
      <c r="URA448" s="741"/>
      <c r="URB448" s="741"/>
      <c r="URC448" s="741"/>
      <c r="URD448" s="741"/>
      <c r="URE448" s="741"/>
      <c r="URF448" s="741"/>
      <c r="URG448" s="741"/>
      <c r="URH448" s="741"/>
      <c r="URI448" s="741"/>
      <c r="URJ448" s="741"/>
      <c r="URK448" s="741"/>
      <c r="URL448" s="741"/>
      <c r="URM448" s="741"/>
      <c r="URN448" s="741"/>
      <c r="URO448" s="741"/>
      <c r="URP448" s="741"/>
      <c r="URQ448" s="741"/>
      <c r="URR448" s="741"/>
      <c r="URS448" s="741"/>
      <c r="URT448" s="741"/>
      <c r="URU448" s="741"/>
      <c r="URV448" s="741"/>
      <c r="URW448" s="741"/>
      <c r="URX448" s="741"/>
      <c r="URY448" s="741"/>
      <c r="URZ448" s="741"/>
      <c r="USA448" s="741"/>
      <c r="USB448" s="741"/>
      <c r="USC448" s="741"/>
      <c r="USD448" s="741"/>
      <c r="USE448" s="741"/>
      <c r="USF448" s="741"/>
      <c r="USG448" s="741"/>
      <c r="USH448" s="741"/>
      <c r="USI448" s="741"/>
      <c r="USJ448" s="741"/>
      <c r="USK448" s="741"/>
      <c r="USL448" s="741"/>
      <c r="USM448" s="741"/>
      <c r="USN448" s="741"/>
      <c r="USO448" s="741"/>
      <c r="USP448" s="741"/>
      <c r="USQ448" s="741"/>
      <c r="USR448" s="741"/>
      <c r="USS448" s="741"/>
      <c r="UST448" s="741"/>
      <c r="USU448" s="741"/>
      <c r="USV448" s="741"/>
      <c r="USW448" s="741"/>
      <c r="USX448" s="741"/>
      <c r="USY448" s="741"/>
      <c r="USZ448" s="741"/>
      <c r="UTA448" s="741"/>
      <c r="UTB448" s="741"/>
      <c r="UTC448" s="741"/>
      <c r="UTD448" s="741"/>
      <c r="UTE448" s="741"/>
      <c r="UTF448" s="741"/>
      <c r="UTG448" s="741"/>
      <c r="UTH448" s="741"/>
      <c r="UTI448" s="741"/>
      <c r="UTJ448" s="741"/>
      <c r="UTK448" s="741"/>
      <c r="UTL448" s="741"/>
      <c r="UTM448" s="741"/>
      <c r="UTN448" s="741"/>
      <c r="UTO448" s="741"/>
      <c r="UTP448" s="741"/>
      <c r="UTQ448" s="741"/>
      <c r="UTR448" s="741"/>
      <c r="UTS448" s="741"/>
      <c r="UTT448" s="741"/>
      <c r="UTU448" s="741"/>
      <c r="UTV448" s="741"/>
      <c r="UTW448" s="741"/>
      <c r="UTX448" s="741"/>
      <c r="UTY448" s="741"/>
      <c r="UTZ448" s="741"/>
      <c r="UUA448" s="741"/>
      <c r="UUB448" s="741"/>
      <c r="UUC448" s="741"/>
      <c r="UUD448" s="741"/>
      <c r="UUE448" s="741"/>
      <c r="UUF448" s="741"/>
      <c r="UUG448" s="741"/>
      <c r="UUH448" s="741"/>
      <c r="UUI448" s="741"/>
      <c r="UUJ448" s="741"/>
      <c r="UUK448" s="741"/>
      <c r="UUL448" s="741"/>
      <c r="UUM448" s="741"/>
      <c r="UUN448" s="741"/>
      <c r="UUO448" s="741"/>
      <c r="UUP448" s="741"/>
      <c r="UUQ448" s="741"/>
      <c r="UUR448" s="741"/>
      <c r="UUS448" s="741"/>
      <c r="UUT448" s="741"/>
      <c r="UUU448" s="741"/>
      <c r="UUV448" s="741"/>
      <c r="UUW448" s="741"/>
      <c r="UUX448" s="741"/>
      <c r="UUY448" s="741"/>
      <c r="UUZ448" s="741"/>
      <c r="UVA448" s="741"/>
      <c r="UVB448" s="741"/>
      <c r="UVC448" s="741"/>
      <c r="UVD448" s="741"/>
      <c r="UVE448" s="741"/>
      <c r="UVF448" s="741"/>
      <c r="UVG448" s="741"/>
      <c r="UVH448" s="741"/>
      <c r="UVI448" s="741"/>
      <c r="UVJ448" s="741"/>
      <c r="UVK448" s="741"/>
      <c r="UVL448" s="741"/>
      <c r="UVM448" s="741"/>
      <c r="UVN448" s="741"/>
      <c r="UVO448" s="741"/>
      <c r="UVP448" s="741"/>
      <c r="UVQ448" s="741"/>
      <c r="UVR448" s="741"/>
      <c r="UVS448" s="741"/>
      <c r="UVT448" s="741"/>
      <c r="UVU448" s="741"/>
      <c r="UVV448" s="741"/>
      <c r="UVW448" s="741"/>
      <c r="UVX448" s="741"/>
      <c r="UVY448" s="741"/>
      <c r="UVZ448" s="741"/>
      <c r="UWA448" s="741"/>
      <c r="UWB448" s="741"/>
      <c r="UWC448" s="741"/>
      <c r="UWD448" s="741"/>
      <c r="UWE448" s="741"/>
      <c r="UWF448" s="741"/>
      <c r="UWG448" s="741"/>
      <c r="UWH448" s="741"/>
      <c r="UWI448" s="741"/>
      <c r="UWJ448" s="741"/>
      <c r="UWK448" s="741"/>
      <c r="UWL448" s="741"/>
      <c r="UWM448" s="741"/>
      <c r="UWN448" s="741"/>
      <c r="UWO448" s="741"/>
      <c r="UWP448" s="741"/>
      <c r="UWQ448" s="741"/>
      <c r="UWR448" s="741"/>
      <c r="UWS448" s="741"/>
      <c r="UWT448" s="741"/>
      <c r="UWU448" s="741"/>
      <c r="UWV448" s="741"/>
      <c r="UWW448" s="741"/>
      <c r="UWX448" s="741"/>
      <c r="UWY448" s="741"/>
      <c r="UWZ448" s="741"/>
      <c r="UXA448" s="741"/>
      <c r="UXB448" s="741"/>
      <c r="UXC448" s="741"/>
      <c r="UXD448" s="741"/>
      <c r="UXE448" s="741"/>
      <c r="UXF448" s="741"/>
      <c r="UXG448" s="741"/>
      <c r="UXH448" s="741"/>
      <c r="UXI448" s="741"/>
      <c r="UXJ448" s="741"/>
      <c r="UXK448" s="741"/>
      <c r="UXL448" s="741"/>
      <c r="UXM448" s="741"/>
      <c r="UXN448" s="741"/>
      <c r="UXO448" s="741"/>
      <c r="UXP448" s="741"/>
      <c r="UXQ448" s="741"/>
      <c r="UXR448" s="741"/>
      <c r="UXS448" s="741"/>
      <c r="UXT448" s="741"/>
      <c r="UXU448" s="741"/>
      <c r="UXV448" s="741"/>
      <c r="UXW448" s="741"/>
      <c r="UXX448" s="741"/>
      <c r="UXY448" s="741"/>
      <c r="UXZ448" s="741"/>
      <c r="UYA448" s="741"/>
      <c r="UYB448" s="741"/>
      <c r="UYC448" s="741"/>
      <c r="UYD448" s="741"/>
      <c r="UYE448" s="741"/>
      <c r="UYF448" s="741"/>
      <c r="UYG448" s="741"/>
      <c r="UYH448" s="741"/>
      <c r="UYI448" s="741"/>
      <c r="UYJ448" s="741"/>
      <c r="UYK448" s="741"/>
      <c r="UYL448" s="741"/>
      <c r="UYM448" s="741"/>
      <c r="UYN448" s="741"/>
      <c r="UYO448" s="741"/>
      <c r="UYP448" s="741"/>
      <c r="UYQ448" s="741"/>
      <c r="UYR448" s="741"/>
      <c r="UYS448" s="741"/>
      <c r="UYT448" s="741"/>
      <c r="UYU448" s="741"/>
      <c r="UYV448" s="741"/>
      <c r="UYW448" s="741"/>
      <c r="UYX448" s="741"/>
      <c r="UYY448" s="741"/>
      <c r="UYZ448" s="741"/>
      <c r="UZA448" s="741"/>
      <c r="UZB448" s="741"/>
      <c r="UZC448" s="741"/>
      <c r="UZD448" s="741"/>
      <c r="UZE448" s="741"/>
      <c r="UZF448" s="741"/>
      <c r="UZG448" s="741"/>
      <c r="UZH448" s="741"/>
      <c r="UZI448" s="741"/>
      <c r="UZJ448" s="741"/>
      <c r="UZK448" s="741"/>
      <c r="UZL448" s="741"/>
      <c r="UZM448" s="741"/>
      <c r="UZN448" s="741"/>
      <c r="UZO448" s="741"/>
      <c r="UZP448" s="741"/>
      <c r="UZQ448" s="741"/>
      <c r="UZR448" s="741"/>
      <c r="UZS448" s="741"/>
      <c r="UZT448" s="741"/>
      <c r="UZU448" s="741"/>
      <c r="UZV448" s="741"/>
      <c r="UZW448" s="741"/>
      <c r="UZX448" s="741"/>
      <c r="UZY448" s="741"/>
      <c r="UZZ448" s="741"/>
      <c r="VAA448" s="741"/>
      <c r="VAB448" s="741"/>
      <c r="VAC448" s="741"/>
      <c r="VAD448" s="741"/>
      <c r="VAE448" s="741"/>
      <c r="VAF448" s="741"/>
      <c r="VAG448" s="741"/>
      <c r="VAH448" s="741"/>
      <c r="VAI448" s="741"/>
      <c r="VAJ448" s="741"/>
      <c r="VAK448" s="741"/>
      <c r="VAL448" s="741"/>
      <c r="VAM448" s="741"/>
      <c r="VAN448" s="741"/>
      <c r="VAO448" s="741"/>
      <c r="VAP448" s="741"/>
      <c r="VAQ448" s="741"/>
      <c r="VAR448" s="741"/>
      <c r="VAS448" s="741"/>
      <c r="VAT448" s="741"/>
      <c r="VAU448" s="741"/>
      <c r="VAV448" s="741"/>
      <c r="VAW448" s="741"/>
      <c r="VAX448" s="741"/>
      <c r="VAY448" s="741"/>
      <c r="VAZ448" s="741"/>
      <c r="VBA448" s="741"/>
      <c r="VBB448" s="741"/>
      <c r="VBC448" s="741"/>
      <c r="VBD448" s="741"/>
      <c r="VBE448" s="741"/>
      <c r="VBF448" s="741"/>
      <c r="VBG448" s="741"/>
      <c r="VBH448" s="741"/>
      <c r="VBI448" s="741"/>
      <c r="VBJ448" s="741"/>
      <c r="VBK448" s="741"/>
      <c r="VBL448" s="741"/>
      <c r="VBM448" s="741"/>
      <c r="VBN448" s="741"/>
      <c r="VBO448" s="741"/>
      <c r="VBP448" s="741"/>
      <c r="VBQ448" s="741"/>
      <c r="VBR448" s="741"/>
      <c r="VBS448" s="741"/>
      <c r="VBT448" s="741"/>
      <c r="VBU448" s="741"/>
      <c r="VBV448" s="741"/>
      <c r="VBW448" s="741"/>
      <c r="VBX448" s="741"/>
      <c r="VBY448" s="741"/>
      <c r="VBZ448" s="741"/>
      <c r="VCA448" s="741"/>
      <c r="VCB448" s="741"/>
      <c r="VCC448" s="741"/>
      <c r="VCD448" s="741"/>
      <c r="VCE448" s="741"/>
      <c r="VCF448" s="741"/>
      <c r="VCG448" s="741"/>
      <c r="VCH448" s="741"/>
      <c r="VCI448" s="741"/>
      <c r="VCJ448" s="741"/>
      <c r="VCK448" s="741"/>
      <c r="VCL448" s="741"/>
      <c r="VCM448" s="741"/>
      <c r="VCN448" s="741"/>
      <c r="VCO448" s="741"/>
      <c r="VCP448" s="741"/>
      <c r="VCQ448" s="741"/>
      <c r="VCR448" s="741"/>
      <c r="VCS448" s="741"/>
      <c r="VCT448" s="741"/>
      <c r="VCU448" s="741"/>
      <c r="VCV448" s="741"/>
      <c r="VCW448" s="741"/>
      <c r="VCX448" s="741"/>
      <c r="VCY448" s="741"/>
      <c r="VCZ448" s="741"/>
      <c r="VDA448" s="741"/>
      <c r="VDB448" s="741"/>
      <c r="VDC448" s="741"/>
      <c r="VDD448" s="741"/>
      <c r="VDE448" s="741"/>
      <c r="VDF448" s="741"/>
      <c r="VDG448" s="741"/>
      <c r="VDH448" s="741"/>
      <c r="VDI448" s="741"/>
      <c r="VDJ448" s="741"/>
      <c r="VDK448" s="741"/>
      <c r="VDL448" s="741"/>
      <c r="VDM448" s="741"/>
      <c r="VDN448" s="741"/>
      <c r="VDO448" s="741"/>
      <c r="VDP448" s="741"/>
      <c r="VDQ448" s="741"/>
      <c r="VDR448" s="741"/>
      <c r="VDS448" s="741"/>
      <c r="VDT448" s="741"/>
      <c r="VDU448" s="741"/>
      <c r="VDV448" s="741"/>
      <c r="VDW448" s="741"/>
      <c r="VDX448" s="741"/>
      <c r="VDY448" s="741"/>
      <c r="VDZ448" s="741"/>
      <c r="VEA448" s="741"/>
      <c r="VEB448" s="741"/>
      <c r="VEC448" s="741"/>
      <c r="VED448" s="741"/>
      <c r="VEE448" s="741"/>
      <c r="VEF448" s="741"/>
      <c r="VEG448" s="741"/>
      <c r="VEH448" s="741"/>
      <c r="VEI448" s="741"/>
      <c r="VEJ448" s="741"/>
      <c r="VEK448" s="741"/>
      <c r="VEL448" s="741"/>
      <c r="VEM448" s="741"/>
      <c r="VEN448" s="741"/>
      <c r="VEO448" s="741"/>
      <c r="VEP448" s="741"/>
      <c r="VEQ448" s="741"/>
      <c r="VER448" s="741"/>
      <c r="VES448" s="741"/>
      <c r="VET448" s="741"/>
      <c r="VEU448" s="741"/>
      <c r="VEV448" s="741"/>
      <c r="VEW448" s="741"/>
      <c r="VEX448" s="741"/>
      <c r="VEY448" s="741"/>
      <c r="VEZ448" s="741"/>
      <c r="VFA448" s="741"/>
      <c r="VFB448" s="741"/>
      <c r="VFC448" s="741"/>
      <c r="VFD448" s="741"/>
      <c r="VFE448" s="741"/>
      <c r="VFF448" s="741"/>
      <c r="VFG448" s="741"/>
      <c r="VFH448" s="741"/>
      <c r="VFI448" s="741"/>
      <c r="VFJ448" s="741"/>
      <c r="VFK448" s="741"/>
      <c r="VFL448" s="741"/>
      <c r="VFM448" s="741"/>
      <c r="VFN448" s="741"/>
      <c r="VFO448" s="741"/>
      <c r="VFP448" s="741"/>
      <c r="VFQ448" s="741"/>
      <c r="VFR448" s="741"/>
      <c r="VFS448" s="741"/>
      <c r="VFT448" s="741"/>
      <c r="VFU448" s="741"/>
      <c r="VFV448" s="741"/>
      <c r="VFW448" s="741"/>
      <c r="VFX448" s="741"/>
      <c r="VFY448" s="741"/>
      <c r="VFZ448" s="741"/>
      <c r="VGA448" s="741"/>
      <c r="VGB448" s="741"/>
      <c r="VGC448" s="741"/>
      <c r="VGD448" s="741"/>
      <c r="VGE448" s="741"/>
      <c r="VGF448" s="741"/>
      <c r="VGG448" s="741"/>
      <c r="VGH448" s="741"/>
      <c r="VGI448" s="741"/>
      <c r="VGJ448" s="741"/>
      <c r="VGK448" s="741"/>
      <c r="VGL448" s="741"/>
      <c r="VGM448" s="741"/>
      <c r="VGN448" s="741"/>
      <c r="VGO448" s="741"/>
      <c r="VGP448" s="741"/>
      <c r="VGQ448" s="741"/>
      <c r="VGR448" s="741"/>
      <c r="VGS448" s="741"/>
      <c r="VGT448" s="741"/>
      <c r="VGU448" s="741"/>
      <c r="VGV448" s="741"/>
      <c r="VGW448" s="741"/>
      <c r="VGX448" s="741"/>
      <c r="VGY448" s="741"/>
      <c r="VGZ448" s="741"/>
      <c r="VHA448" s="741"/>
      <c r="VHB448" s="741"/>
      <c r="VHC448" s="741"/>
      <c r="VHD448" s="741"/>
      <c r="VHE448" s="741"/>
      <c r="VHF448" s="741"/>
      <c r="VHG448" s="741"/>
      <c r="VHH448" s="741"/>
      <c r="VHI448" s="741"/>
      <c r="VHJ448" s="741"/>
      <c r="VHK448" s="741"/>
      <c r="VHL448" s="741"/>
      <c r="VHM448" s="741"/>
      <c r="VHN448" s="741"/>
      <c r="VHO448" s="741"/>
      <c r="VHP448" s="741"/>
      <c r="VHQ448" s="741"/>
      <c r="VHR448" s="741"/>
      <c r="VHS448" s="741"/>
      <c r="VHT448" s="741"/>
      <c r="VHU448" s="741"/>
      <c r="VHV448" s="741"/>
      <c r="VHW448" s="741"/>
      <c r="VHX448" s="741"/>
      <c r="VHY448" s="741"/>
      <c r="VHZ448" s="741"/>
      <c r="VIA448" s="741"/>
      <c r="VIB448" s="741"/>
      <c r="VIC448" s="741"/>
      <c r="VID448" s="741"/>
      <c r="VIE448" s="741"/>
      <c r="VIF448" s="741"/>
      <c r="VIG448" s="741"/>
      <c r="VIH448" s="741"/>
      <c r="VII448" s="741"/>
      <c r="VIJ448" s="741"/>
      <c r="VIK448" s="741"/>
      <c r="VIL448" s="741"/>
      <c r="VIM448" s="741"/>
      <c r="VIN448" s="741"/>
      <c r="VIO448" s="741"/>
      <c r="VIP448" s="741"/>
      <c r="VIQ448" s="741"/>
      <c r="VIR448" s="741"/>
      <c r="VIS448" s="741"/>
      <c r="VIT448" s="741"/>
      <c r="VIU448" s="741"/>
      <c r="VIV448" s="741"/>
      <c r="VIW448" s="741"/>
      <c r="VIX448" s="741"/>
      <c r="VIY448" s="741"/>
      <c r="VIZ448" s="741"/>
      <c r="VJA448" s="741"/>
      <c r="VJB448" s="741"/>
      <c r="VJC448" s="741"/>
      <c r="VJD448" s="741"/>
      <c r="VJE448" s="741"/>
      <c r="VJF448" s="741"/>
      <c r="VJG448" s="741"/>
      <c r="VJH448" s="741"/>
      <c r="VJI448" s="741"/>
      <c r="VJJ448" s="741"/>
      <c r="VJK448" s="741"/>
      <c r="VJL448" s="741"/>
      <c r="VJM448" s="741"/>
      <c r="VJN448" s="741"/>
      <c r="VJO448" s="741"/>
      <c r="VJP448" s="741"/>
      <c r="VJQ448" s="741"/>
      <c r="VJR448" s="741"/>
      <c r="VJS448" s="741"/>
      <c r="VJT448" s="741"/>
      <c r="VJU448" s="741"/>
      <c r="VJV448" s="741"/>
      <c r="VJW448" s="741"/>
      <c r="VJX448" s="741"/>
      <c r="VJY448" s="741"/>
      <c r="VJZ448" s="741"/>
      <c r="VKA448" s="741"/>
      <c r="VKB448" s="741"/>
      <c r="VKC448" s="741"/>
      <c r="VKD448" s="741"/>
      <c r="VKE448" s="741"/>
      <c r="VKF448" s="741"/>
      <c r="VKG448" s="741"/>
      <c r="VKH448" s="741"/>
      <c r="VKI448" s="741"/>
      <c r="VKJ448" s="741"/>
      <c r="VKK448" s="741"/>
      <c r="VKL448" s="741"/>
      <c r="VKM448" s="741"/>
      <c r="VKN448" s="741"/>
      <c r="VKO448" s="741"/>
      <c r="VKP448" s="741"/>
      <c r="VKQ448" s="741"/>
      <c r="VKR448" s="741"/>
      <c r="VKS448" s="741"/>
      <c r="VKT448" s="741"/>
      <c r="VKU448" s="741"/>
      <c r="VKV448" s="741"/>
      <c r="VKW448" s="741"/>
      <c r="VKX448" s="741"/>
      <c r="VKY448" s="741"/>
      <c r="VKZ448" s="741"/>
      <c r="VLA448" s="741"/>
      <c r="VLB448" s="741"/>
      <c r="VLC448" s="741"/>
      <c r="VLD448" s="741"/>
      <c r="VLE448" s="741"/>
      <c r="VLF448" s="741"/>
      <c r="VLG448" s="741"/>
      <c r="VLH448" s="741"/>
      <c r="VLI448" s="741"/>
      <c r="VLJ448" s="741"/>
      <c r="VLK448" s="741"/>
      <c r="VLL448" s="741"/>
      <c r="VLM448" s="741"/>
      <c r="VLN448" s="741"/>
      <c r="VLO448" s="741"/>
      <c r="VLP448" s="741"/>
      <c r="VLQ448" s="741"/>
      <c r="VLR448" s="741"/>
      <c r="VLS448" s="741"/>
      <c r="VLT448" s="741"/>
      <c r="VLU448" s="741"/>
      <c r="VLV448" s="741"/>
      <c r="VLW448" s="741"/>
      <c r="VLX448" s="741"/>
      <c r="VLY448" s="741"/>
      <c r="VLZ448" s="741"/>
      <c r="VMA448" s="741"/>
      <c r="VMB448" s="741"/>
      <c r="VMC448" s="741"/>
      <c r="VMD448" s="741"/>
      <c r="VME448" s="741"/>
      <c r="VMF448" s="741"/>
      <c r="VMG448" s="741"/>
      <c r="VMH448" s="741"/>
      <c r="VMI448" s="741"/>
      <c r="VMJ448" s="741"/>
      <c r="VMK448" s="741"/>
      <c r="VML448" s="741"/>
      <c r="VMM448" s="741"/>
      <c r="VMN448" s="741"/>
      <c r="VMO448" s="741"/>
      <c r="VMP448" s="741"/>
      <c r="VMQ448" s="741"/>
      <c r="VMR448" s="741"/>
      <c r="VMS448" s="741"/>
      <c r="VMT448" s="741"/>
      <c r="VMU448" s="741"/>
      <c r="VMV448" s="741"/>
      <c r="VMW448" s="741"/>
      <c r="VMX448" s="741"/>
      <c r="VMY448" s="741"/>
      <c r="VMZ448" s="741"/>
      <c r="VNA448" s="741"/>
      <c r="VNB448" s="741"/>
      <c r="VNC448" s="741"/>
      <c r="VND448" s="741"/>
      <c r="VNE448" s="741"/>
      <c r="VNF448" s="741"/>
      <c r="VNG448" s="741"/>
      <c r="VNH448" s="741"/>
      <c r="VNI448" s="741"/>
      <c r="VNJ448" s="741"/>
      <c r="VNK448" s="741"/>
      <c r="VNL448" s="741"/>
      <c r="VNM448" s="741"/>
      <c r="VNN448" s="741"/>
      <c r="VNO448" s="741"/>
      <c r="VNP448" s="741"/>
      <c r="VNQ448" s="741"/>
      <c r="VNR448" s="741"/>
      <c r="VNS448" s="741"/>
      <c r="VNT448" s="741"/>
      <c r="VNU448" s="741"/>
      <c r="VNV448" s="741"/>
      <c r="VNW448" s="741"/>
      <c r="VNX448" s="741"/>
      <c r="VNY448" s="741"/>
      <c r="VNZ448" s="741"/>
      <c r="VOA448" s="741"/>
      <c r="VOB448" s="741"/>
      <c r="VOC448" s="741"/>
      <c r="VOD448" s="741"/>
      <c r="VOE448" s="741"/>
      <c r="VOF448" s="741"/>
      <c r="VOG448" s="741"/>
      <c r="VOH448" s="741"/>
      <c r="VOI448" s="741"/>
      <c r="VOJ448" s="741"/>
      <c r="VOK448" s="741"/>
      <c r="VOL448" s="741"/>
      <c r="VOM448" s="741"/>
      <c r="VON448" s="741"/>
      <c r="VOO448" s="741"/>
      <c r="VOP448" s="741"/>
      <c r="VOQ448" s="741"/>
      <c r="VOR448" s="741"/>
      <c r="VOS448" s="741"/>
      <c r="VOT448" s="741"/>
      <c r="VOU448" s="741"/>
      <c r="VOV448" s="741"/>
      <c r="VOW448" s="741"/>
      <c r="VOX448" s="741"/>
      <c r="VOY448" s="741"/>
      <c r="VOZ448" s="741"/>
      <c r="VPA448" s="741"/>
      <c r="VPB448" s="741"/>
      <c r="VPC448" s="741"/>
      <c r="VPD448" s="741"/>
      <c r="VPE448" s="741"/>
      <c r="VPF448" s="741"/>
      <c r="VPG448" s="741"/>
      <c r="VPH448" s="741"/>
      <c r="VPI448" s="741"/>
      <c r="VPJ448" s="741"/>
      <c r="VPK448" s="741"/>
      <c r="VPL448" s="741"/>
      <c r="VPM448" s="741"/>
      <c r="VPN448" s="741"/>
      <c r="VPO448" s="741"/>
      <c r="VPP448" s="741"/>
      <c r="VPQ448" s="741"/>
      <c r="VPR448" s="741"/>
      <c r="VPS448" s="741"/>
      <c r="VPT448" s="741"/>
      <c r="VPU448" s="741"/>
      <c r="VPV448" s="741"/>
      <c r="VPW448" s="741"/>
      <c r="VPX448" s="741"/>
      <c r="VPY448" s="741"/>
      <c r="VPZ448" s="741"/>
      <c r="VQA448" s="741"/>
      <c r="VQB448" s="741"/>
      <c r="VQC448" s="741"/>
      <c r="VQD448" s="741"/>
      <c r="VQE448" s="741"/>
      <c r="VQF448" s="741"/>
      <c r="VQG448" s="741"/>
      <c r="VQH448" s="741"/>
      <c r="VQI448" s="741"/>
      <c r="VQJ448" s="741"/>
      <c r="VQK448" s="741"/>
      <c r="VQL448" s="741"/>
      <c r="VQM448" s="741"/>
      <c r="VQN448" s="741"/>
      <c r="VQO448" s="741"/>
      <c r="VQP448" s="741"/>
      <c r="VQQ448" s="741"/>
      <c r="VQR448" s="741"/>
      <c r="VQS448" s="741"/>
      <c r="VQT448" s="741"/>
      <c r="VQU448" s="741"/>
      <c r="VQV448" s="741"/>
      <c r="VQW448" s="741"/>
      <c r="VQX448" s="741"/>
      <c r="VQY448" s="741"/>
      <c r="VQZ448" s="741"/>
      <c r="VRA448" s="741"/>
      <c r="VRB448" s="741"/>
      <c r="VRC448" s="741"/>
      <c r="VRD448" s="741"/>
      <c r="VRE448" s="741"/>
      <c r="VRF448" s="741"/>
      <c r="VRG448" s="741"/>
      <c r="VRH448" s="741"/>
      <c r="VRI448" s="741"/>
      <c r="VRJ448" s="741"/>
      <c r="VRK448" s="741"/>
      <c r="VRL448" s="741"/>
      <c r="VRM448" s="741"/>
      <c r="VRN448" s="741"/>
      <c r="VRO448" s="741"/>
      <c r="VRP448" s="741"/>
      <c r="VRQ448" s="741"/>
      <c r="VRR448" s="741"/>
      <c r="VRS448" s="741"/>
      <c r="VRT448" s="741"/>
      <c r="VRU448" s="741"/>
      <c r="VRV448" s="741"/>
      <c r="VRW448" s="741"/>
      <c r="VRX448" s="741"/>
      <c r="VRY448" s="741"/>
      <c r="VRZ448" s="741"/>
      <c r="VSA448" s="741"/>
      <c r="VSB448" s="741"/>
      <c r="VSC448" s="741"/>
      <c r="VSD448" s="741"/>
      <c r="VSE448" s="741"/>
      <c r="VSF448" s="741"/>
      <c r="VSG448" s="741"/>
      <c r="VSH448" s="741"/>
      <c r="VSI448" s="741"/>
      <c r="VSJ448" s="741"/>
      <c r="VSK448" s="741"/>
      <c r="VSL448" s="741"/>
      <c r="VSM448" s="741"/>
      <c r="VSN448" s="741"/>
      <c r="VSO448" s="741"/>
      <c r="VSP448" s="741"/>
      <c r="VSQ448" s="741"/>
      <c r="VSR448" s="741"/>
      <c r="VSS448" s="741"/>
      <c r="VST448" s="741"/>
      <c r="VSU448" s="741"/>
      <c r="VSV448" s="741"/>
      <c r="VSW448" s="741"/>
      <c r="VSX448" s="741"/>
      <c r="VSY448" s="741"/>
      <c r="VSZ448" s="741"/>
      <c r="VTA448" s="741"/>
      <c r="VTB448" s="741"/>
      <c r="VTC448" s="741"/>
      <c r="VTD448" s="741"/>
      <c r="VTE448" s="741"/>
      <c r="VTF448" s="741"/>
      <c r="VTG448" s="741"/>
      <c r="VTH448" s="741"/>
      <c r="VTI448" s="741"/>
      <c r="VTJ448" s="741"/>
      <c r="VTK448" s="741"/>
      <c r="VTL448" s="741"/>
      <c r="VTM448" s="741"/>
      <c r="VTN448" s="741"/>
      <c r="VTO448" s="741"/>
      <c r="VTP448" s="741"/>
      <c r="VTQ448" s="741"/>
      <c r="VTR448" s="741"/>
      <c r="VTS448" s="741"/>
      <c r="VTT448" s="741"/>
      <c r="VTU448" s="741"/>
      <c r="VTV448" s="741"/>
      <c r="VTW448" s="741"/>
      <c r="VTX448" s="741"/>
      <c r="VTY448" s="741"/>
      <c r="VTZ448" s="741"/>
      <c r="VUA448" s="741"/>
      <c r="VUB448" s="741"/>
      <c r="VUC448" s="741"/>
      <c r="VUD448" s="741"/>
      <c r="VUE448" s="741"/>
      <c r="VUF448" s="741"/>
      <c r="VUG448" s="741"/>
      <c r="VUH448" s="741"/>
      <c r="VUI448" s="741"/>
      <c r="VUJ448" s="741"/>
      <c r="VUK448" s="741"/>
      <c r="VUL448" s="741"/>
      <c r="VUM448" s="741"/>
      <c r="VUN448" s="741"/>
      <c r="VUO448" s="741"/>
      <c r="VUP448" s="741"/>
      <c r="VUQ448" s="741"/>
      <c r="VUR448" s="741"/>
      <c r="VUS448" s="741"/>
      <c r="VUT448" s="741"/>
      <c r="VUU448" s="741"/>
      <c r="VUV448" s="741"/>
      <c r="VUW448" s="741"/>
      <c r="VUX448" s="741"/>
      <c r="VUY448" s="741"/>
      <c r="VUZ448" s="741"/>
      <c r="VVA448" s="741"/>
      <c r="VVB448" s="741"/>
      <c r="VVC448" s="741"/>
      <c r="VVD448" s="741"/>
      <c r="VVE448" s="741"/>
      <c r="VVF448" s="741"/>
      <c r="VVG448" s="741"/>
      <c r="VVH448" s="741"/>
      <c r="VVI448" s="741"/>
      <c r="VVJ448" s="741"/>
      <c r="VVK448" s="741"/>
      <c r="VVL448" s="741"/>
      <c r="VVM448" s="741"/>
      <c r="VVN448" s="741"/>
      <c r="VVO448" s="741"/>
      <c r="VVP448" s="741"/>
      <c r="VVQ448" s="741"/>
      <c r="VVR448" s="741"/>
      <c r="VVS448" s="741"/>
      <c r="VVT448" s="741"/>
      <c r="VVU448" s="741"/>
      <c r="VVV448" s="741"/>
      <c r="VVW448" s="741"/>
      <c r="VVX448" s="741"/>
      <c r="VVY448" s="741"/>
      <c r="VVZ448" s="741"/>
      <c r="VWA448" s="741"/>
      <c r="VWB448" s="741"/>
      <c r="VWC448" s="741"/>
      <c r="VWD448" s="741"/>
      <c r="VWE448" s="741"/>
      <c r="VWF448" s="741"/>
      <c r="VWG448" s="741"/>
      <c r="VWH448" s="741"/>
      <c r="VWI448" s="741"/>
      <c r="VWJ448" s="741"/>
      <c r="VWK448" s="741"/>
      <c r="VWL448" s="741"/>
      <c r="VWM448" s="741"/>
      <c r="VWN448" s="741"/>
      <c r="VWO448" s="741"/>
      <c r="VWP448" s="741"/>
      <c r="VWQ448" s="741"/>
      <c r="VWR448" s="741"/>
      <c r="VWS448" s="741"/>
      <c r="VWT448" s="741"/>
      <c r="VWU448" s="741"/>
      <c r="VWV448" s="741"/>
      <c r="VWW448" s="741"/>
      <c r="VWX448" s="741"/>
      <c r="VWY448" s="741"/>
      <c r="VWZ448" s="741"/>
      <c r="VXA448" s="741"/>
      <c r="VXB448" s="741"/>
      <c r="VXC448" s="741"/>
      <c r="VXD448" s="741"/>
      <c r="VXE448" s="741"/>
      <c r="VXF448" s="741"/>
      <c r="VXG448" s="741"/>
      <c r="VXH448" s="741"/>
      <c r="VXI448" s="741"/>
      <c r="VXJ448" s="741"/>
      <c r="VXK448" s="741"/>
      <c r="VXL448" s="741"/>
      <c r="VXM448" s="741"/>
      <c r="VXN448" s="741"/>
      <c r="VXO448" s="741"/>
      <c r="VXP448" s="741"/>
      <c r="VXQ448" s="741"/>
      <c r="VXR448" s="741"/>
      <c r="VXS448" s="741"/>
      <c r="VXT448" s="741"/>
      <c r="VXU448" s="741"/>
      <c r="VXV448" s="741"/>
      <c r="VXW448" s="741"/>
      <c r="VXX448" s="741"/>
      <c r="VXY448" s="741"/>
      <c r="VXZ448" s="741"/>
      <c r="VYA448" s="741"/>
      <c r="VYB448" s="741"/>
      <c r="VYC448" s="741"/>
      <c r="VYD448" s="741"/>
      <c r="VYE448" s="741"/>
      <c r="VYF448" s="741"/>
      <c r="VYG448" s="741"/>
      <c r="VYH448" s="741"/>
      <c r="VYI448" s="741"/>
      <c r="VYJ448" s="741"/>
      <c r="VYK448" s="741"/>
      <c r="VYL448" s="741"/>
      <c r="VYM448" s="741"/>
      <c r="VYN448" s="741"/>
      <c r="VYO448" s="741"/>
      <c r="VYP448" s="741"/>
      <c r="VYQ448" s="741"/>
      <c r="VYR448" s="741"/>
      <c r="VYS448" s="741"/>
      <c r="VYT448" s="741"/>
      <c r="VYU448" s="741"/>
      <c r="VYV448" s="741"/>
      <c r="VYW448" s="741"/>
      <c r="VYX448" s="741"/>
      <c r="VYY448" s="741"/>
      <c r="VYZ448" s="741"/>
      <c r="VZA448" s="741"/>
      <c r="VZB448" s="741"/>
      <c r="VZC448" s="741"/>
      <c r="VZD448" s="741"/>
      <c r="VZE448" s="741"/>
      <c r="VZF448" s="741"/>
      <c r="VZG448" s="741"/>
      <c r="VZH448" s="741"/>
      <c r="VZI448" s="741"/>
      <c r="VZJ448" s="741"/>
      <c r="VZK448" s="741"/>
      <c r="VZL448" s="741"/>
      <c r="VZM448" s="741"/>
      <c r="VZN448" s="741"/>
      <c r="VZO448" s="741"/>
      <c r="VZP448" s="741"/>
      <c r="VZQ448" s="741"/>
      <c r="VZR448" s="741"/>
      <c r="VZS448" s="741"/>
      <c r="VZT448" s="741"/>
      <c r="VZU448" s="741"/>
      <c r="VZV448" s="741"/>
      <c r="VZW448" s="741"/>
      <c r="VZX448" s="741"/>
      <c r="VZY448" s="741"/>
      <c r="VZZ448" s="741"/>
      <c r="WAA448" s="741"/>
      <c r="WAB448" s="741"/>
      <c r="WAC448" s="741"/>
      <c r="WAD448" s="741"/>
      <c r="WAE448" s="741"/>
      <c r="WAF448" s="741"/>
      <c r="WAG448" s="741"/>
      <c r="WAH448" s="741"/>
      <c r="WAI448" s="741"/>
      <c r="WAJ448" s="741"/>
      <c r="WAK448" s="741"/>
      <c r="WAL448" s="741"/>
      <c r="WAM448" s="741"/>
      <c r="WAN448" s="741"/>
      <c r="WAO448" s="741"/>
      <c r="WAP448" s="741"/>
      <c r="WAQ448" s="741"/>
      <c r="WAR448" s="741"/>
      <c r="WAS448" s="741"/>
      <c r="WAT448" s="741"/>
      <c r="WAU448" s="741"/>
      <c r="WAV448" s="741"/>
      <c r="WAW448" s="741"/>
      <c r="WAX448" s="741"/>
      <c r="WAY448" s="741"/>
      <c r="WAZ448" s="741"/>
      <c r="WBA448" s="741"/>
      <c r="WBB448" s="741"/>
      <c r="WBC448" s="741"/>
      <c r="WBD448" s="741"/>
      <c r="WBE448" s="741"/>
      <c r="WBF448" s="741"/>
      <c r="WBG448" s="741"/>
      <c r="WBH448" s="741"/>
      <c r="WBI448" s="741"/>
      <c r="WBJ448" s="741"/>
      <c r="WBK448" s="741"/>
      <c r="WBL448" s="741"/>
      <c r="WBM448" s="741"/>
      <c r="WBN448" s="741"/>
      <c r="WBO448" s="741"/>
      <c r="WBP448" s="741"/>
      <c r="WBQ448" s="741"/>
      <c r="WBR448" s="741"/>
      <c r="WBS448" s="741"/>
      <c r="WBT448" s="741"/>
      <c r="WBU448" s="741"/>
      <c r="WBV448" s="741"/>
      <c r="WBW448" s="741"/>
      <c r="WBX448" s="741"/>
      <c r="WBY448" s="741"/>
      <c r="WBZ448" s="741"/>
      <c r="WCA448" s="741"/>
      <c r="WCB448" s="741"/>
      <c r="WCC448" s="741"/>
      <c r="WCD448" s="741"/>
      <c r="WCE448" s="741"/>
      <c r="WCF448" s="741"/>
      <c r="WCG448" s="741"/>
      <c r="WCH448" s="741"/>
      <c r="WCI448" s="741"/>
      <c r="WCJ448" s="741"/>
      <c r="WCK448" s="741"/>
      <c r="WCL448" s="741"/>
      <c r="WCM448" s="741"/>
      <c r="WCN448" s="741"/>
      <c r="WCO448" s="741"/>
      <c r="WCP448" s="741"/>
      <c r="WCQ448" s="741"/>
      <c r="WCR448" s="741"/>
      <c r="WCS448" s="741"/>
      <c r="WCT448" s="741"/>
      <c r="WCU448" s="741"/>
      <c r="WCV448" s="741"/>
      <c r="WCW448" s="741"/>
      <c r="WCX448" s="741"/>
      <c r="WCY448" s="741"/>
      <c r="WCZ448" s="741"/>
      <c r="WDA448" s="741"/>
      <c r="WDB448" s="741"/>
      <c r="WDC448" s="741"/>
      <c r="WDD448" s="741"/>
      <c r="WDE448" s="741"/>
      <c r="WDF448" s="741"/>
      <c r="WDG448" s="741"/>
      <c r="WDH448" s="741"/>
      <c r="WDI448" s="741"/>
      <c r="WDJ448" s="741"/>
      <c r="WDK448" s="741"/>
      <c r="WDL448" s="741"/>
      <c r="WDM448" s="741"/>
      <c r="WDN448" s="741"/>
      <c r="WDO448" s="741"/>
      <c r="WDP448" s="741"/>
      <c r="WDQ448" s="741"/>
      <c r="WDR448" s="741"/>
      <c r="WDS448" s="741"/>
      <c r="WDT448" s="741"/>
      <c r="WDU448" s="741"/>
      <c r="WDV448" s="741"/>
      <c r="WDW448" s="741"/>
      <c r="WDX448" s="741"/>
      <c r="WDY448" s="741"/>
      <c r="WDZ448" s="741"/>
      <c r="WEA448" s="741"/>
      <c r="WEB448" s="741"/>
      <c r="WEC448" s="741"/>
      <c r="WED448" s="741"/>
      <c r="WEE448" s="741"/>
      <c r="WEF448" s="741"/>
      <c r="WEG448" s="741"/>
      <c r="WEH448" s="741"/>
      <c r="WEI448" s="741"/>
      <c r="WEJ448" s="741"/>
      <c r="WEK448" s="741"/>
      <c r="WEL448" s="741"/>
      <c r="WEM448" s="741"/>
      <c r="WEN448" s="741"/>
      <c r="WEO448" s="741"/>
      <c r="WEP448" s="741"/>
      <c r="WEQ448" s="741"/>
      <c r="WER448" s="741"/>
      <c r="WES448" s="741"/>
      <c r="WET448" s="741"/>
      <c r="WEU448" s="741"/>
      <c r="WEV448" s="741"/>
      <c r="WEW448" s="741"/>
      <c r="WEX448" s="741"/>
      <c r="WEY448" s="741"/>
      <c r="WEZ448" s="741"/>
      <c r="WFA448" s="741"/>
      <c r="WFB448" s="741"/>
      <c r="WFC448" s="741"/>
      <c r="WFD448" s="741"/>
      <c r="WFE448" s="741"/>
      <c r="WFF448" s="741"/>
      <c r="WFG448" s="741"/>
      <c r="WFH448" s="741"/>
      <c r="WFI448" s="741"/>
      <c r="WFJ448" s="741"/>
      <c r="WFK448" s="741"/>
      <c r="WFL448" s="741"/>
      <c r="WFM448" s="741"/>
      <c r="WFN448" s="741"/>
      <c r="WFO448" s="741"/>
      <c r="WFP448" s="741"/>
      <c r="WFQ448" s="741"/>
      <c r="WFR448" s="741"/>
      <c r="WFS448" s="741"/>
      <c r="WFT448" s="741"/>
      <c r="WFU448" s="741"/>
      <c r="WFV448" s="741"/>
      <c r="WFW448" s="741"/>
      <c r="WFX448" s="741"/>
      <c r="WFY448" s="741"/>
      <c r="WFZ448" s="741"/>
      <c r="WGA448" s="741"/>
      <c r="WGB448" s="741"/>
      <c r="WGC448" s="741"/>
      <c r="WGD448" s="741"/>
      <c r="WGE448" s="741"/>
      <c r="WGF448" s="741"/>
      <c r="WGG448" s="741"/>
      <c r="WGH448" s="741"/>
      <c r="WGI448" s="741"/>
      <c r="WGJ448" s="741"/>
      <c r="WGK448" s="741"/>
      <c r="WGL448" s="741"/>
      <c r="WGM448" s="741"/>
      <c r="WGN448" s="741"/>
      <c r="WGO448" s="741"/>
      <c r="WGP448" s="741"/>
      <c r="WGQ448" s="741"/>
      <c r="WGR448" s="741"/>
      <c r="WGS448" s="741"/>
      <c r="WGT448" s="741"/>
      <c r="WGU448" s="741"/>
      <c r="WGV448" s="741"/>
      <c r="WGW448" s="741"/>
      <c r="WGX448" s="741"/>
      <c r="WGY448" s="741"/>
      <c r="WGZ448" s="741"/>
      <c r="WHA448" s="741"/>
      <c r="WHB448" s="741"/>
      <c r="WHC448" s="741"/>
      <c r="WHD448" s="741"/>
      <c r="WHE448" s="741"/>
      <c r="WHF448" s="741"/>
      <c r="WHG448" s="741"/>
      <c r="WHH448" s="741"/>
      <c r="WHI448" s="741"/>
      <c r="WHJ448" s="741"/>
      <c r="WHK448" s="741"/>
      <c r="WHL448" s="741"/>
      <c r="WHM448" s="741"/>
      <c r="WHN448" s="741"/>
      <c r="WHO448" s="741"/>
      <c r="WHP448" s="741"/>
      <c r="WHQ448" s="741"/>
      <c r="WHR448" s="741"/>
      <c r="WHS448" s="741"/>
      <c r="WHT448" s="741"/>
      <c r="WHU448" s="741"/>
      <c r="WHV448" s="741"/>
      <c r="WHW448" s="741"/>
      <c r="WHX448" s="741"/>
      <c r="WHY448" s="741"/>
      <c r="WHZ448" s="741"/>
      <c r="WIA448" s="741"/>
      <c r="WIB448" s="741"/>
      <c r="WIC448" s="741"/>
      <c r="WID448" s="741"/>
      <c r="WIE448" s="741"/>
      <c r="WIF448" s="741"/>
      <c r="WIG448" s="741"/>
      <c r="WIH448" s="741"/>
      <c r="WII448" s="741"/>
      <c r="WIJ448" s="741"/>
      <c r="WIK448" s="741"/>
      <c r="WIL448" s="741"/>
      <c r="WIM448" s="741"/>
      <c r="WIN448" s="741"/>
      <c r="WIO448" s="741"/>
      <c r="WIP448" s="741"/>
      <c r="WIQ448" s="741"/>
      <c r="WIR448" s="741"/>
      <c r="WIS448" s="741"/>
      <c r="WIT448" s="741"/>
      <c r="WIU448" s="741"/>
      <c r="WIV448" s="741"/>
      <c r="WIW448" s="741"/>
      <c r="WIX448" s="741"/>
      <c r="WIY448" s="741"/>
      <c r="WIZ448" s="741"/>
      <c r="WJA448" s="741"/>
      <c r="WJB448" s="741"/>
      <c r="WJC448" s="741"/>
      <c r="WJD448" s="741"/>
      <c r="WJE448" s="741"/>
      <c r="WJF448" s="741"/>
      <c r="WJG448" s="741"/>
      <c r="WJH448" s="741"/>
      <c r="WJI448" s="741"/>
      <c r="WJJ448" s="741"/>
      <c r="WJK448" s="741"/>
      <c r="WJL448" s="741"/>
      <c r="WJM448" s="741"/>
      <c r="WJN448" s="741"/>
      <c r="WJO448" s="741"/>
      <c r="WJP448" s="741"/>
      <c r="WJQ448" s="741"/>
      <c r="WJR448" s="741"/>
      <c r="WJS448" s="741"/>
      <c r="WJT448" s="741"/>
      <c r="WJU448" s="741"/>
      <c r="WJV448" s="741"/>
      <c r="WJW448" s="741"/>
      <c r="WJX448" s="741"/>
      <c r="WJY448" s="741"/>
      <c r="WJZ448" s="741"/>
      <c r="WKA448" s="741"/>
      <c r="WKB448" s="741"/>
      <c r="WKC448" s="741"/>
      <c r="WKD448" s="741"/>
      <c r="WKE448" s="741"/>
      <c r="WKF448" s="741"/>
      <c r="WKG448" s="741"/>
      <c r="WKH448" s="741"/>
      <c r="WKI448" s="741"/>
      <c r="WKJ448" s="741"/>
      <c r="WKK448" s="741"/>
      <c r="WKL448" s="741"/>
      <c r="WKM448" s="741"/>
      <c r="WKN448" s="741"/>
      <c r="WKO448" s="741"/>
      <c r="WKP448" s="741"/>
      <c r="WKQ448" s="741"/>
      <c r="WKR448" s="741"/>
      <c r="WKS448" s="741"/>
      <c r="WKT448" s="741"/>
      <c r="WKU448" s="741"/>
      <c r="WKV448" s="741"/>
      <c r="WKW448" s="741"/>
      <c r="WKX448" s="741"/>
      <c r="WKY448" s="741"/>
      <c r="WKZ448" s="741"/>
      <c r="WLA448" s="741"/>
      <c r="WLB448" s="741"/>
      <c r="WLC448" s="741"/>
      <c r="WLD448" s="741"/>
      <c r="WLE448" s="741"/>
      <c r="WLF448" s="741"/>
      <c r="WLG448" s="741"/>
      <c r="WLH448" s="741"/>
      <c r="WLI448" s="741"/>
      <c r="WLJ448" s="741"/>
      <c r="WLK448" s="741"/>
      <c r="WLL448" s="741"/>
      <c r="WLM448" s="741"/>
      <c r="WLN448" s="741"/>
      <c r="WLO448" s="741"/>
      <c r="WLP448" s="741"/>
      <c r="WLQ448" s="741"/>
      <c r="WLR448" s="741"/>
      <c r="WLS448" s="741"/>
      <c r="WLT448" s="741"/>
      <c r="WLU448" s="741"/>
      <c r="WLV448" s="741"/>
      <c r="WLW448" s="741"/>
      <c r="WLX448" s="741"/>
      <c r="WLY448" s="741"/>
      <c r="WLZ448" s="741"/>
      <c r="WMA448" s="741"/>
      <c r="WMB448" s="741"/>
      <c r="WMC448" s="741"/>
      <c r="WMD448" s="741"/>
      <c r="WME448" s="741"/>
      <c r="WMF448" s="741"/>
      <c r="WMG448" s="741"/>
      <c r="WMH448" s="741"/>
      <c r="WMI448" s="741"/>
      <c r="WMJ448" s="741"/>
      <c r="WMK448" s="741"/>
      <c r="WML448" s="741"/>
      <c r="WMM448" s="741"/>
      <c r="WMN448" s="741"/>
      <c r="WMO448" s="741"/>
      <c r="WMP448" s="741"/>
      <c r="WMQ448" s="741"/>
      <c r="WMR448" s="741"/>
      <c r="WMS448" s="741"/>
      <c r="WMT448" s="741"/>
      <c r="WMU448" s="741"/>
      <c r="WMV448" s="741"/>
      <c r="WMW448" s="741"/>
      <c r="WMX448" s="741"/>
      <c r="WMY448" s="741"/>
      <c r="WMZ448" s="741"/>
      <c r="WNA448" s="741"/>
      <c r="WNB448" s="741"/>
      <c r="WNC448" s="741"/>
      <c r="WND448" s="741"/>
      <c r="WNE448" s="741"/>
      <c r="WNF448" s="741"/>
      <c r="WNG448" s="741"/>
      <c r="WNH448" s="741"/>
      <c r="WNI448" s="741"/>
      <c r="WNJ448" s="741"/>
      <c r="WNK448" s="741"/>
      <c r="WNL448" s="741"/>
      <c r="WNM448" s="741"/>
      <c r="WNN448" s="741"/>
      <c r="WNO448" s="741"/>
      <c r="WNP448" s="741"/>
      <c r="WNQ448" s="741"/>
      <c r="WNR448" s="741"/>
      <c r="WNS448" s="741"/>
      <c r="WNT448" s="741"/>
      <c r="WNU448" s="741"/>
      <c r="WNV448" s="741"/>
      <c r="WNW448" s="741"/>
      <c r="WNX448" s="741"/>
      <c r="WNY448" s="741"/>
      <c r="WNZ448" s="741"/>
      <c r="WOA448" s="741"/>
      <c r="WOB448" s="741"/>
      <c r="WOC448" s="741"/>
      <c r="WOD448" s="741"/>
      <c r="WOE448" s="741"/>
      <c r="WOF448" s="741"/>
      <c r="WOG448" s="741"/>
      <c r="WOH448" s="741"/>
      <c r="WOI448" s="741"/>
      <c r="WOJ448" s="741"/>
      <c r="WOK448" s="741"/>
      <c r="WOL448" s="741"/>
      <c r="WOM448" s="741"/>
      <c r="WON448" s="741"/>
      <c r="WOO448" s="741"/>
      <c r="WOP448" s="741"/>
      <c r="WOQ448" s="741"/>
      <c r="WOR448" s="741"/>
      <c r="WOS448" s="741"/>
      <c r="WOT448" s="741"/>
      <c r="WOU448" s="741"/>
      <c r="WOV448" s="741"/>
      <c r="WOW448" s="741"/>
      <c r="WOX448" s="741"/>
      <c r="WOY448" s="741"/>
      <c r="WOZ448" s="741"/>
      <c r="WPA448" s="741"/>
      <c r="WPB448" s="741"/>
      <c r="WPC448" s="741"/>
      <c r="WPD448" s="741"/>
      <c r="WPE448" s="741"/>
      <c r="WPF448" s="741"/>
      <c r="WPG448" s="741"/>
      <c r="WPH448" s="741"/>
      <c r="WPI448" s="741"/>
      <c r="WPJ448" s="741"/>
      <c r="WPK448" s="741"/>
      <c r="WPL448" s="741"/>
      <c r="WPM448" s="741"/>
      <c r="WPN448" s="741"/>
      <c r="WPO448" s="741"/>
      <c r="WPP448" s="741"/>
      <c r="WPQ448" s="741"/>
      <c r="WPR448" s="741"/>
      <c r="WPS448" s="741"/>
      <c r="WPT448" s="741"/>
      <c r="WPU448" s="741"/>
      <c r="WPV448" s="741"/>
      <c r="WPW448" s="741"/>
      <c r="WPX448" s="741"/>
      <c r="WPY448" s="741"/>
      <c r="WPZ448" s="741"/>
      <c r="WQA448" s="741"/>
      <c r="WQB448" s="741"/>
      <c r="WQC448" s="741"/>
      <c r="WQD448" s="741"/>
      <c r="WQE448" s="741"/>
      <c r="WQF448" s="741"/>
      <c r="WQG448" s="741"/>
      <c r="WQH448" s="741"/>
      <c r="WQI448" s="741"/>
      <c r="WQJ448" s="741"/>
      <c r="WQK448" s="741"/>
      <c r="WQL448" s="741"/>
      <c r="WQM448" s="741"/>
      <c r="WQN448" s="741"/>
      <c r="WQO448" s="741"/>
      <c r="WQP448" s="741"/>
      <c r="WQQ448" s="741"/>
      <c r="WQR448" s="741"/>
      <c r="WQS448" s="741"/>
      <c r="WQT448" s="741"/>
      <c r="WQU448" s="741"/>
      <c r="WQV448" s="741"/>
      <c r="WQW448" s="741"/>
      <c r="WQX448" s="741"/>
      <c r="WQY448" s="741"/>
      <c r="WQZ448" s="741"/>
      <c r="WRA448" s="741"/>
      <c r="WRB448" s="741"/>
      <c r="WRC448" s="741"/>
      <c r="WRD448" s="741"/>
      <c r="WRE448" s="741"/>
      <c r="WRF448" s="741"/>
      <c r="WRG448" s="741"/>
      <c r="WRH448" s="741"/>
      <c r="WRI448" s="741"/>
      <c r="WRJ448" s="741"/>
      <c r="WRK448" s="741"/>
      <c r="WRL448" s="741"/>
      <c r="WRM448" s="741"/>
      <c r="WRN448" s="741"/>
      <c r="WRO448" s="741"/>
      <c r="WRP448" s="741"/>
      <c r="WRQ448" s="741"/>
      <c r="WRR448" s="741"/>
      <c r="WRS448" s="741"/>
      <c r="WRT448" s="741"/>
      <c r="WRU448" s="741"/>
      <c r="WRV448" s="741"/>
      <c r="WRW448" s="741"/>
      <c r="WRX448" s="741"/>
      <c r="WRY448" s="741"/>
      <c r="WRZ448" s="741"/>
      <c r="WSA448" s="741"/>
      <c r="WSB448" s="741"/>
      <c r="WSC448" s="741"/>
      <c r="WSD448" s="741"/>
      <c r="WSE448" s="741"/>
      <c r="WSF448" s="741"/>
      <c r="WSG448" s="741"/>
      <c r="WSH448" s="741"/>
      <c r="WSI448" s="741"/>
      <c r="WSJ448" s="741"/>
      <c r="WSK448" s="741"/>
      <c r="WSL448" s="741"/>
      <c r="WSM448" s="741"/>
      <c r="WSN448" s="741"/>
      <c r="WSO448" s="741"/>
      <c r="WSP448" s="741"/>
      <c r="WSQ448" s="741"/>
      <c r="WSR448" s="741"/>
      <c r="WSS448" s="741"/>
      <c r="WST448" s="741"/>
      <c r="WSU448" s="741"/>
      <c r="WSV448" s="741"/>
      <c r="WSW448" s="741"/>
      <c r="WSX448" s="741"/>
      <c r="WSY448" s="741"/>
      <c r="WSZ448" s="741"/>
      <c r="WTA448" s="741"/>
      <c r="WTB448" s="741"/>
      <c r="WTC448" s="741"/>
      <c r="WTD448" s="741"/>
      <c r="WTE448" s="741"/>
      <c r="WTF448" s="741"/>
      <c r="WTG448" s="741"/>
      <c r="WTH448" s="741"/>
      <c r="WTI448" s="741"/>
      <c r="WTJ448" s="741"/>
      <c r="WTK448" s="741"/>
      <c r="WTL448" s="741"/>
      <c r="WTM448" s="741"/>
      <c r="WTN448" s="741"/>
      <c r="WTO448" s="741"/>
      <c r="WTP448" s="741"/>
      <c r="WTQ448" s="741"/>
      <c r="WTR448" s="741"/>
      <c r="WTS448" s="741"/>
      <c r="WTT448" s="741"/>
      <c r="WTU448" s="741"/>
      <c r="WTV448" s="741"/>
      <c r="WTW448" s="741"/>
      <c r="WTX448" s="741"/>
      <c r="WTY448" s="741"/>
      <c r="WTZ448" s="741"/>
      <c r="WUA448" s="741"/>
      <c r="WUB448" s="741"/>
      <c r="WUC448" s="741"/>
      <c r="WUD448" s="741"/>
      <c r="WUE448" s="741"/>
      <c r="WUF448" s="741"/>
      <c r="WUG448" s="741"/>
      <c r="WUH448" s="741"/>
      <c r="WUI448" s="741"/>
      <c r="WUJ448" s="741"/>
      <c r="WUK448" s="741"/>
      <c r="WUL448" s="741"/>
      <c r="WUM448" s="741"/>
      <c r="WUN448" s="741"/>
      <c r="WUO448" s="741"/>
      <c r="WUP448" s="741"/>
      <c r="WUQ448" s="741"/>
      <c r="WUR448" s="741"/>
      <c r="WUS448" s="741"/>
      <c r="WUT448" s="741"/>
      <c r="WUU448" s="741"/>
      <c r="WUV448" s="741"/>
      <c r="WUW448" s="741"/>
      <c r="WUX448" s="741"/>
      <c r="WUY448" s="741"/>
      <c r="WUZ448" s="741"/>
      <c r="WVA448" s="741"/>
      <c r="WVB448" s="741"/>
      <c r="WVC448" s="741"/>
      <c r="WVD448" s="741"/>
      <c r="WVE448" s="741"/>
      <c r="WVF448" s="741"/>
      <c r="WVG448" s="741"/>
      <c r="WVH448" s="741"/>
      <c r="WVI448" s="741"/>
      <c r="WVJ448" s="741"/>
      <c r="WVK448" s="741"/>
      <c r="WVL448" s="741"/>
      <c r="WVM448" s="741"/>
      <c r="WVN448" s="741"/>
      <c r="WVO448" s="741"/>
      <c r="WVP448" s="741"/>
      <c r="WVQ448" s="741"/>
      <c r="WVR448" s="741"/>
      <c r="WVS448" s="741"/>
      <c r="WVT448" s="741"/>
      <c r="WVU448" s="741"/>
      <c r="WVV448" s="741"/>
      <c r="WVW448" s="741"/>
      <c r="WVX448" s="741"/>
      <c r="WVY448" s="741"/>
      <c r="WVZ448" s="741"/>
      <c r="WWA448" s="741"/>
      <c r="WWB448" s="741"/>
      <c r="WWC448" s="741"/>
      <c r="WWD448" s="741"/>
      <c r="WWE448" s="741"/>
      <c r="WWF448" s="741"/>
      <c r="WWG448" s="741"/>
      <c r="WWH448" s="741"/>
      <c r="WWI448" s="741"/>
      <c r="WWJ448" s="741"/>
      <c r="WWK448" s="741"/>
      <c r="WWL448" s="741"/>
      <c r="WWM448" s="741"/>
      <c r="WWN448" s="741"/>
      <c r="WWO448" s="741"/>
      <c r="WWP448" s="741"/>
      <c r="WWQ448" s="741"/>
      <c r="WWR448" s="741"/>
      <c r="WWS448" s="741"/>
      <c r="WWT448" s="741"/>
      <c r="WWU448" s="741"/>
      <c r="WWV448" s="741"/>
      <c r="WWW448" s="741"/>
      <c r="WWX448" s="741"/>
      <c r="WWY448" s="741"/>
      <c r="WWZ448" s="741"/>
      <c r="WXA448" s="741"/>
      <c r="WXB448" s="741"/>
      <c r="WXC448" s="741"/>
      <c r="WXD448" s="741"/>
      <c r="WXE448" s="741"/>
      <c r="WXF448" s="741"/>
      <c r="WXG448" s="741"/>
      <c r="WXH448" s="741"/>
      <c r="WXI448" s="741"/>
      <c r="WXJ448" s="741"/>
      <c r="WXK448" s="741"/>
      <c r="WXL448" s="741"/>
      <c r="WXM448" s="741"/>
      <c r="WXN448" s="741"/>
      <c r="WXO448" s="741"/>
      <c r="WXP448" s="741"/>
      <c r="WXQ448" s="741"/>
      <c r="WXR448" s="741"/>
      <c r="WXS448" s="741"/>
      <c r="WXT448" s="741"/>
      <c r="WXU448" s="741"/>
      <c r="WXV448" s="741"/>
      <c r="WXW448" s="741"/>
      <c r="WXX448" s="741"/>
      <c r="WXY448" s="741"/>
      <c r="WXZ448" s="741"/>
      <c r="WYA448" s="741"/>
      <c r="WYB448" s="741"/>
      <c r="WYC448" s="741"/>
      <c r="WYD448" s="741"/>
      <c r="WYE448" s="741"/>
      <c r="WYF448" s="741"/>
      <c r="WYG448" s="741"/>
      <c r="WYH448" s="741"/>
      <c r="WYI448" s="741"/>
      <c r="WYJ448" s="741"/>
      <c r="WYK448" s="741"/>
      <c r="WYL448" s="741"/>
      <c r="WYM448" s="741"/>
      <c r="WYN448" s="741"/>
      <c r="WYO448" s="741"/>
      <c r="WYP448" s="741"/>
      <c r="WYQ448" s="741"/>
      <c r="WYR448" s="741"/>
      <c r="WYS448" s="741"/>
      <c r="WYT448" s="741"/>
      <c r="WYU448" s="741"/>
      <c r="WYV448" s="741"/>
      <c r="WYW448" s="741"/>
      <c r="WYX448" s="741"/>
      <c r="WYY448" s="741"/>
      <c r="WYZ448" s="741"/>
      <c r="WZA448" s="741"/>
      <c r="WZB448" s="741"/>
      <c r="WZC448" s="741"/>
      <c r="WZD448" s="741"/>
      <c r="WZE448" s="741"/>
      <c r="WZF448" s="741"/>
      <c r="WZG448" s="741"/>
      <c r="WZH448" s="741"/>
      <c r="WZI448" s="741"/>
      <c r="WZJ448" s="741"/>
      <c r="WZK448" s="741"/>
      <c r="WZL448" s="741"/>
      <c r="WZM448" s="741"/>
      <c r="WZN448" s="741"/>
      <c r="WZO448" s="741"/>
      <c r="WZP448" s="741"/>
      <c r="WZQ448" s="741"/>
      <c r="WZR448" s="741"/>
      <c r="WZS448" s="741"/>
      <c r="WZT448" s="741"/>
      <c r="WZU448" s="741"/>
      <c r="WZV448" s="741"/>
      <c r="WZW448" s="741"/>
      <c r="WZX448" s="741"/>
      <c r="WZY448" s="741"/>
      <c r="WZZ448" s="741"/>
      <c r="XAA448" s="741"/>
      <c r="XAB448" s="741"/>
      <c r="XAC448" s="741"/>
      <c r="XAD448" s="741"/>
      <c r="XAE448" s="741"/>
      <c r="XAF448" s="741"/>
      <c r="XAG448" s="741"/>
      <c r="XAH448" s="741"/>
      <c r="XAI448" s="741"/>
      <c r="XAJ448" s="741"/>
      <c r="XAK448" s="741"/>
      <c r="XAL448" s="741"/>
      <c r="XAM448" s="741"/>
      <c r="XAN448" s="741"/>
      <c r="XAO448" s="741"/>
      <c r="XAP448" s="741"/>
      <c r="XAQ448" s="741"/>
      <c r="XAR448" s="741"/>
      <c r="XAS448" s="741"/>
      <c r="XAT448" s="741"/>
      <c r="XAU448" s="741"/>
      <c r="XAV448" s="741"/>
      <c r="XAW448" s="741"/>
      <c r="XAX448" s="741"/>
      <c r="XAY448" s="741"/>
      <c r="XAZ448" s="741"/>
      <c r="XBA448" s="741"/>
      <c r="XBB448" s="741"/>
      <c r="XBC448" s="741"/>
      <c r="XBD448" s="741"/>
      <c r="XBE448" s="741"/>
      <c r="XBF448" s="741"/>
      <c r="XBG448" s="741"/>
      <c r="XBH448" s="741"/>
      <c r="XBI448" s="741"/>
      <c r="XBJ448" s="741"/>
      <c r="XBK448" s="741"/>
      <c r="XBL448" s="741"/>
      <c r="XBM448" s="741"/>
      <c r="XBN448" s="741"/>
      <c r="XBO448" s="741"/>
      <c r="XBP448" s="741"/>
      <c r="XBQ448" s="741"/>
      <c r="XBR448" s="741"/>
      <c r="XBS448" s="741"/>
      <c r="XBT448" s="741"/>
      <c r="XBU448" s="741"/>
      <c r="XBV448" s="741"/>
      <c r="XBW448" s="741"/>
      <c r="XBX448" s="741"/>
      <c r="XBY448" s="741"/>
      <c r="XBZ448" s="741"/>
      <c r="XCA448" s="741"/>
      <c r="XCB448" s="741"/>
      <c r="XCC448" s="741"/>
      <c r="XCD448" s="741"/>
      <c r="XCE448" s="741"/>
      <c r="XCF448" s="741"/>
      <c r="XCG448" s="741"/>
      <c r="XCH448" s="741"/>
      <c r="XCI448" s="741"/>
      <c r="XCJ448" s="741"/>
      <c r="XCK448" s="741"/>
      <c r="XCL448" s="741"/>
      <c r="XCM448" s="741"/>
      <c r="XCN448" s="741"/>
      <c r="XCO448" s="770"/>
      <c r="XCP448" s="781"/>
      <c r="XCQ448" s="217"/>
      <c r="XCR448" s="751"/>
      <c r="XCS448" s="782"/>
      <c r="XCT448" s="751"/>
      <c r="XCU448" s="217"/>
      <c r="XCV448" s="217"/>
      <c r="XCW448" s="217"/>
      <c r="XDK448" s="741"/>
      <c r="XDL448" s="770"/>
      <c r="XDM448" s="781"/>
      <c r="XDN448" s="751"/>
      <c r="XDO448" s="217"/>
      <c r="XDP448" s="217"/>
      <c r="XDQ448" s="217"/>
      <c r="XDR448" s="232"/>
      <c r="XDS448" s="786"/>
      <c r="XDT448" s="770"/>
      <c r="XEH448" s="741"/>
      <c r="XEI448" s="770"/>
      <c r="XEJ448" s="781"/>
      <c r="XEK448" s="217"/>
      <c r="XEL448" s="230"/>
      <c r="XEM448" s="786"/>
      <c r="XEN448" s="783"/>
      <c r="XEO448" s="741"/>
      <c r="XEP448" s="741"/>
      <c r="XEQ448" s="741"/>
    </row>
    <row r="449" spans="1:16371" s="792" customFormat="1" ht="43.2" x14ac:dyDescent="0.3">
      <c r="A449" s="741" t="s">
        <v>264</v>
      </c>
      <c r="B449" s="770" t="s">
        <v>280</v>
      </c>
      <c r="C449" s="781" t="s">
        <v>741</v>
      </c>
      <c r="D449" s="751" t="s">
        <v>34</v>
      </c>
      <c r="E449" s="217" t="s">
        <v>282</v>
      </c>
      <c r="F449" s="1353" t="s">
        <v>285</v>
      </c>
      <c r="G449" s="217">
        <v>41.999600000000001</v>
      </c>
      <c r="H449" s="323">
        <v>705005.87</v>
      </c>
      <c r="I449" s="786" t="s">
        <v>267</v>
      </c>
      <c r="J449" s="783">
        <v>705005.87</v>
      </c>
      <c r="K449" s="1613">
        <v>0</v>
      </c>
      <c r="L449" s="1612">
        <v>0</v>
      </c>
      <c r="M449" s="741" t="s">
        <v>57</v>
      </c>
      <c r="N449" s="741" t="s">
        <v>742</v>
      </c>
      <c r="O449" s="741" t="s">
        <v>703</v>
      </c>
      <c r="P449" s="741" t="s">
        <v>40</v>
      </c>
      <c r="Q449" s="741"/>
      <c r="R449" s="741" t="s">
        <v>64</v>
      </c>
      <c r="S449" s="741"/>
      <c r="T449" s="741"/>
      <c r="U449" s="741"/>
      <c r="V449" s="741" t="s">
        <v>40</v>
      </c>
      <c r="W449" s="741"/>
      <c r="X449" s="741" t="s">
        <v>40</v>
      </c>
      <c r="Y449" s="741"/>
      <c r="Z449" s="741" t="s">
        <v>64</v>
      </c>
      <c r="AA449" s="741"/>
      <c r="AB449" s="741" t="s">
        <v>40</v>
      </c>
      <c r="AC449" s="741"/>
      <c r="AD449" s="741"/>
      <c r="AE449" s="1530">
        <v>46203</v>
      </c>
      <c r="AF449" s="741" t="s">
        <v>247</v>
      </c>
      <c r="AG449" s="741">
        <v>2023</v>
      </c>
      <c r="AH449" s="790">
        <v>3488439.56</v>
      </c>
      <c r="AI449" s="791">
        <v>46581696</v>
      </c>
      <c r="AJ449" s="741"/>
      <c r="AK449" s="741" t="s">
        <v>43</v>
      </c>
      <c r="AL449" s="741" t="s">
        <v>41</v>
      </c>
      <c r="AM449" s="787">
        <v>0</v>
      </c>
      <c r="AN449" s="741" t="s">
        <v>40</v>
      </c>
      <c r="AO449" s="741"/>
      <c r="AP449" s="741"/>
      <c r="AQ449" s="741"/>
      <c r="AR449" s="741"/>
      <c r="AS449" s="741"/>
      <c r="AT449" s="741"/>
      <c r="AU449" s="741"/>
      <c r="AV449" s="741"/>
      <c r="AW449" s="741"/>
      <c r="AX449" s="741"/>
      <c r="AY449" s="741"/>
      <c r="AZ449" s="741"/>
      <c r="BA449" s="741"/>
      <c r="BB449" s="741"/>
      <c r="BC449" s="741"/>
      <c r="BD449" s="741"/>
      <c r="BE449" s="741"/>
      <c r="BF449" s="741"/>
      <c r="BG449" s="741"/>
      <c r="BH449" s="741"/>
      <c r="BI449" s="741"/>
      <c r="BJ449" s="741"/>
      <c r="BK449" s="741"/>
      <c r="BL449" s="741"/>
      <c r="BM449" s="741"/>
      <c r="BN449" s="741"/>
      <c r="BO449" s="741"/>
      <c r="BP449" s="741"/>
      <c r="BQ449" s="741"/>
      <c r="BR449" s="741"/>
      <c r="BS449" s="741"/>
      <c r="BT449" s="741"/>
      <c r="BU449" s="741"/>
      <c r="BV449" s="741"/>
      <c r="BW449" s="741"/>
      <c r="BX449" s="741"/>
      <c r="BY449" s="741"/>
      <c r="BZ449" s="741"/>
      <c r="CA449" s="741"/>
      <c r="CB449" s="741"/>
      <c r="CC449" s="741"/>
      <c r="CD449" s="741"/>
      <c r="CE449" s="741"/>
      <c r="CF449" s="741"/>
      <c r="CG449" s="741"/>
      <c r="CH449" s="741"/>
      <c r="CI449" s="741"/>
      <c r="CJ449" s="741"/>
      <c r="CK449" s="741"/>
      <c r="CL449" s="741"/>
      <c r="CM449" s="741"/>
      <c r="CN449" s="741"/>
      <c r="CO449" s="741"/>
      <c r="CP449" s="741"/>
      <c r="CQ449" s="741"/>
      <c r="CR449" s="741"/>
      <c r="CS449" s="741"/>
      <c r="CT449" s="741"/>
      <c r="CU449" s="741"/>
      <c r="CV449" s="741"/>
      <c r="CW449" s="741"/>
      <c r="CX449" s="741"/>
      <c r="CY449" s="741"/>
      <c r="CZ449" s="741"/>
      <c r="DA449" s="741"/>
      <c r="DB449" s="741"/>
      <c r="DC449" s="741"/>
      <c r="DD449" s="741"/>
      <c r="DE449" s="741"/>
      <c r="DF449" s="741"/>
      <c r="DG449" s="741"/>
      <c r="DH449" s="741"/>
      <c r="DI449" s="741"/>
      <c r="DJ449" s="741"/>
      <c r="DK449" s="741"/>
      <c r="DL449" s="741"/>
      <c r="DM449" s="741"/>
      <c r="DN449" s="741"/>
      <c r="DO449" s="741"/>
      <c r="DP449" s="741"/>
      <c r="DQ449" s="741"/>
      <c r="DR449" s="741"/>
      <c r="DS449" s="741"/>
      <c r="DT449" s="741"/>
      <c r="DU449" s="741"/>
      <c r="DV449" s="741"/>
      <c r="DW449" s="741"/>
      <c r="DX449" s="741"/>
      <c r="DY449" s="741"/>
      <c r="DZ449" s="741"/>
      <c r="EA449" s="741"/>
      <c r="EB449" s="741"/>
      <c r="EC449" s="741"/>
      <c r="ED449" s="741"/>
      <c r="EE449" s="741"/>
      <c r="EF449" s="741"/>
      <c r="EG449" s="741"/>
      <c r="EH449" s="741"/>
      <c r="EI449" s="741"/>
      <c r="EJ449" s="741"/>
      <c r="EK449" s="741"/>
      <c r="EL449" s="741"/>
      <c r="EM449" s="741"/>
      <c r="EN449" s="741"/>
      <c r="EO449" s="741"/>
      <c r="EP449" s="741"/>
      <c r="EQ449" s="741"/>
      <c r="ER449" s="741"/>
      <c r="ES449" s="741"/>
      <c r="ET449" s="741"/>
      <c r="EU449" s="741"/>
      <c r="EV449" s="741"/>
      <c r="EW449" s="741"/>
      <c r="EX449" s="741"/>
      <c r="EY449" s="741"/>
      <c r="EZ449" s="741"/>
      <c r="FA449" s="741"/>
      <c r="FB449" s="741"/>
      <c r="FC449" s="741"/>
      <c r="FD449" s="741"/>
      <c r="FE449" s="741"/>
      <c r="FF449" s="741"/>
      <c r="FG449" s="741"/>
      <c r="FH449" s="741"/>
      <c r="FI449" s="741"/>
      <c r="FJ449" s="741"/>
      <c r="FK449" s="741"/>
      <c r="FL449" s="741"/>
      <c r="FM449" s="741"/>
      <c r="FN449" s="741"/>
      <c r="FO449" s="741"/>
      <c r="FP449" s="741"/>
      <c r="FQ449" s="741"/>
      <c r="FR449" s="741"/>
      <c r="FS449" s="741"/>
      <c r="FT449" s="741"/>
      <c r="FU449" s="741"/>
      <c r="FV449" s="741"/>
      <c r="FW449" s="741"/>
      <c r="FX449" s="741"/>
      <c r="FY449" s="741"/>
      <c r="FZ449" s="741"/>
      <c r="GA449" s="741"/>
      <c r="GB449" s="741"/>
      <c r="GC449" s="741"/>
      <c r="GD449" s="741"/>
      <c r="GE449" s="741"/>
      <c r="GF449" s="741"/>
      <c r="GG449" s="741"/>
      <c r="GH449" s="741"/>
      <c r="GI449" s="741"/>
      <c r="GJ449" s="741"/>
      <c r="GK449" s="741"/>
      <c r="GL449" s="741"/>
      <c r="GM449" s="741"/>
      <c r="GN449" s="741"/>
      <c r="GO449" s="741"/>
      <c r="GP449" s="741"/>
      <c r="GQ449" s="741"/>
      <c r="GR449" s="741"/>
      <c r="GS449" s="741"/>
      <c r="GT449" s="741"/>
      <c r="GU449" s="741"/>
      <c r="GV449" s="741"/>
      <c r="GW449" s="741"/>
      <c r="GX449" s="741"/>
      <c r="GY449" s="741"/>
      <c r="GZ449" s="741"/>
      <c r="HA449" s="741"/>
      <c r="HB449" s="741"/>
      <c r="HC449" s="741"/>
      <c r="HD449" s="741"/>
      <c r="HE449" s="741"/>
      <c r="HF449" s="741"/>
      <c r="HG449" s="741"/>
      <c r="HH449" s="741"/>
      <c r="HI449" s="741"/>
      <c r="HJ449" s="741"/>
      <c r="HK449" s="741"/>
      <c r="HL449" s="741"/>
      <c r="HM449" s="741"/>
      <c r="HN449" s="741"/>
      <c r="HO449" s="741"/>
      <c r="HP449" s="741"/>
      <c r="HQ449" s="741"/>
      <c r="HR449" s="741"/>
      <c r="HS449" s="741"/>
      <c r="HT449" s="741"/>
      <c r="HU449" s="741"/>
      <c r="HV449" s="741"/>
      <c r="HW449" s="741"/>
      <c r="HX449" s="741"/>
      <c r="HY449" s="741"/>
      <c r="HZ449" s="741"/>
      <c r="IA449" s="741"/>
      <c r="IB449" s="741"/>
      <c r="IC449" s="741"/>
      <c r="ID449" s="741"/>
      <c r="IE449" s="741"/>
      <c r="IF449" s="741"/>
      <c r="IG449" s="741"/>
      <c r="IH449" s="741"/>
      <c r="II449" s="741"/>
      <c r="IJ449" s="741"/>
      <c r="IK449" s="741"/>
      <c r="IL449" s="741"/>
      <c r="IM449" s="741"/>
      <c r="IN449" s="741"/>
      <c r="IO449" s="741"/>
      <c r="IP449" s="741"/>
      <c r="IQ449" s="741"/>
      <c r="IR449" s="741"/>
      <c r="IS449" s="741"/>
      <c r="IT449" s="741"/>
      <c r="IU449" s="741"/>
      <c r="IV449" s="741"/>
      <c r="IW449" s="741"/>
      <c r="IX449" s="741"/>
      <c r="IY449" s="741"/>
      <c r="IZ449" s="741"/>
      <c r="JA449" s="741"/>
      <c r="JB449" s="741"/>
      <c r="JC449" s="741"/>
      <c r="JD449" s="741"/>
      <c r="JE449" s="741"/>
      <c r="JF449" s="741"/>
      <c r="JG449" s="741"/>
      <c r="JH449" s="741"/>
      <c r="JI449" s="741"/>
      <c r="JJ449" s="741"/>
      <c r="JK449" s="741"/>
      <c r="JL449" s="741"/>
      <c r="JM449" s="741"/>
      <c r="JN449" s="741"/>
      <c r="JO449" s="741"/>
      <c r="JP449" s="741"/>
      <c r="JQ449" s="741"/>
      <c r="JR449" s="741"/>
      <c r="JS449" s="741"/>
      <c r="JT449" s="741"/>
      <c r="JU449" s="741"/>
      <c r="JV449" s="741"/>
      <c r="JW449" s="741"/>
      <c r="JX449" s="741"/>
      <c r="JY449" s="741"/>
      <c r="JZ449" s="741"/>
      <c r="KA449" s="741"/>
      <c r="KB449" s="741"/>
      <c r="KC449" s="741"/>
      <c r="KD449" s="741"/>
      <c r="KE449" s="741"/>
      <c r="KF449" s="741"/>
      <c r="KG449" s="741"/>
      <c r="KH449" s="741"/>
      <c r="KI449" s="741"/>
      <c r="KJ449" s="741"/>
      <c r="KK449" s="741"/>
      <c r="KL449" s="741"/>
      <c r="KM449" s="741"/>
      <c r="KN449" s="741"/>
      <c r="KO449" s="741"/>
      <c r="KP449" s="741"/>
      <c r="KQ449" s="741"/>
      <c r="KR449" s="741"/>
      <c r="KS449" s="741"/>
      <c r="KT449" s="741"/>
      <c r="KU449" s="741"/>
      <c r="KV449" s="741"/>
      <c r="KW449" s="741"/>
      <c r="KX449" s="741"/>
      <c r="KY449" s="741"/>
      <c r="KZ449" s="741"/>
      <c r="LA449" s="741"/>
      <c r="LB449" s="741"/>
      <c r="LC449" s="741"/>
      <c r="LD449" s="741"/>
      <c r="LE449" s="741"/>
      <c r="LF449" s="741"/>
      <c r="LG449" s="741"/>
      <c r="LH449" s="741"/>
      <c r="LI449" s="741"/>
      <c r="LJ449" s="741"/>
      <c r="LK449" s="741"/>
      <c r="LL449" s="741"/>
      <c r="LM449" s="741"/>
      <c r="LN449" s="741"/>
      <c r="LO449" s="741"/>
      <c r="LP449" s="741"/>
      <c r="LQ449" s="741"/>
      <c r="LR449" s="741"/>
      <c r="LS449" s="741"/>
      <c r="LT449" s="741"/>
      <c r="LU449" s="741"/>
      <c r="LV449" s="741"/>
      <c r="LW449" s="741"/>
      <c r="LX449" s="741"/>
      <c r="LY449" s="741"/>
      <c r="LZ449" s="741"/>
      <c r="MA449" s="741"/>
      <c r="MB449" s="741"/>
      <c r="MC449" s="741"/>
      <c r="MD449" s="741"/>
      <c r="ME449" s="741"/>
      <c r="MF449" s="741"/>
      <c r="MG449" s="741"/>
      <c r="MH449" s="741"/>
      <c r="MI449" s="741"/>
      <c r="MJ449" s="741"/>
      <c r="MK449" s="741"/>
      <c r="ML449" s="741"/>
      <c r="MM449" s="741"/>
      <c r="MN449" s="741"/>
      <c r="MO449" s="741"/>
      <c r="MP449" s="741"/>
      <c r="MQ449" s="741"/>
      <c r="MR449" s="741"/>
      <c r="MS449" s="741"/>
      <c r="MT449" s="741"/>
      <c r="MU449" s="741"/>
      <c r="MV449" s="741"/>
      <c r="MW449" s="741"/>
      <c r="MX449" s="741"/>
      <c r="MY449" s="741"/>
      <c r="MZ449" s="741"/>
      <c r="NA449" s="741"/>
      <c r="NB449" s="741"/>
      <c r="NC449" s="741"/>
      <c r="ND449" s="741"/>
      <c r="NE449" s="741"/>
      <c r="NF449" s="741"/>
      <c r="NG449" s="741"/>
      <c r="NH449" s="741"/>
      <c r="NI449" s="741"/>
      <c r="NJ449" s="741"/>
      <c r="NK449" s="741"/>
      <c r="NL449" s="741"/>
      <c r="NM449" s="741"/>
      <c r="NN449" s="741"/>
      <c r="NO449" s="741"/>
      <c r="NP449" s="741"/>
      <c r="NQ449" s="741"/>
      <c r="NR449" s="741"/>
      <c r="NS449" s="741"/>
      <c r="NT449" s="741"/>
      <c r="NU449" s="741"/>
      <c r="NV449" s="741"/>
      <c r="NW449" s="741"/>
      <c r="NX449" s="741"/>
      <c r="NY449" s="741"/>
      <c r="NZ449" s="741"/>
      <c r="OA449" s="741"/>
      <c r="OB449" s="741"/>
      <c r="OC449" s="741"/>
      <c r="OD449" s="741"/>
      <c r="OE449" s="741"/>
      <c r="OF449" s="741"/>
      <c r="OG449" s="741"/>
      <c r="OH449" s="741"/>
      <c r="OI449" s="741"/>
      <c r="OJ449" s="741"/>
      <c r="OK449" s="741"/>
      <c r="OL449" s="741"/>
      <c r="OM449" s="741"/>
      <c r="ON449" s="741"/>
      <c r="OO449" s="741"/>
      <c r="OP449" s="741"/>
      <c r="OQ449" s="741"/>
      <c r="OR449" s="741"/>
      <c r="OS449" s="741"/>
      <c r="OT449" s="741"/>
      <c r="OU449" s="741"/>
      <c r="OV449" s="741"/>
      <c r="OW449" s="741"/>
      <c r="OX449" s="741"/>
      <c r="OY449" s="741"/>
      <c r="OZ449" s="741"/>
      <c r="PA449" s="741"/>
      <c r="PB449" s="741"/>
      <c r="PC449" s="741"/>
      <c r="PD449" s="741"/>
      <c r="PE449" s="741"/>
      <c r="PF449" s="741"/>
      <c r="PG449" s="741"/>
      <c r="PH449" s="741"/>
      <c r="PI449" s="741"/>
      <c r="PJ449" s="741"/>
      <c r="PK449" s="741"/>
      <c r="PL449" s="741"/>
      <c r="PM449" s="741"/>
      <c r="PN449" s="741"/>
      <c r="PO449" s="741"/>
      <c r="PP449" s="741"/>
      <c r="PQ449" s="741"/>
      <c r="PR449" s="741"/>
      <c r="PS449" s="741"/>
      <c r="PT449" s="741"/>
      <c r="PU449" s="741"/>
      <c r="PV449" s="741"/>
      <c r="PW449" s="741"/>
      <c r="PX449" s="741"/>
      <c r="PY449" s="741"/>
      <c r="PZ449" s="741"/>
      <c r="QA449" s="741"/>
      <c r="QB449" s="741"/>
      <c r="QC449" s="741"/>
      <c r="QD449" s="741"/>
      <c r="QE449" s="741"/>
      <c r="QF449" s="741"/>
      <c r="QG449" s="741"/>
      <c r="QH449" s="741"/>
      <c r="QI449" s="741"/>
      <c r="QJ449" s="741"/>
      <c r="QK449" s="741"/>
      <c r="QL449" s="741"/>
      <c r="QM449" s="741"/>
      <c r="QN449" s="741"/>
      <c r="QO449" s="741"/>
      <c r="QP449" s="741"/>
      <c r="QQ449" s="741"/>
      <c r="QR449" s="741"/>
      <c r="QS449" s="741"/>
      <c r="QT449" s="741"/>
      <c r="QU449" s="741"/>
      <c r="QV449" s="741"/>
      <c r="QW449" s="741"/>
      <c r="QX449" s="741"/>
      <c r="QY449" s="741"/>
      <c r="QZ449" s="741"/>
      <c r="RA449" s="741"/>
      <c r="RB449" s="741"/>
      <c r="RC449" s="741"/>
      <c r="RD449" s="741"/>
      <c r="RE449" s="741"/>
      <c r="RF449" s="741"/>
      <c r="RG449" s="741"/>
      <c r="RH449" s="741"/>
      <c r="RI449" s="741"/>
      <c r="RJ449" s="741"/>
      <c r="RK449" s="741"/>
      <c r="RL449" s="741"/>
      <c r="RM449" s="741"/>
      <c r="RN449" s="741"/>
      <c r="RO449" s="741"/>
      <c r="RP449" s="741"/>
      <c r="RQ449" s="741"/>
      <c r="RR449" s="741"/>
      <c r="RS449" s="741"/>
      <c r="RT449" s="741"/>
      <c r="RU449" s="741"/>
      <c r="RV449" s="741"/>
      <c r="RW449" s="741"/>
      <c r="RX449" s="741"/>
      <c r="RY449" s="741"/>
      <c r="RZ449" s="741"/>
      <c r="SA449" s="741"/>
      <c r="SB449" s="741"/>
      <c r="SC449" s="741"/>
      <c r="SD449" s="741"/>
      <c r="SE449" s="741"/>
      <c r="SF449" s="741"/>
      <c r="SG449" s="741"/>
      <c r="SH449" s="741"/>
      <c r="SI449" s="741"/>
      <c r="SJ449" s="741"/>
      <c r="SK449" s="741"/>
      <c r="SL449" s="741"/>
      <c r="SM449" s="741"/>
      <c r="SN449" s="741"/>
      <c r="SO449" s="741"/>
      <c r="SP449" s="741"/>
      <c r="SQ449" s="741"/>
      <c r="SR449" s="741"/>
      <c r="SS449" s="741"/>
      <c r="ST449" s="741"/>
      <c r="SU449" s="741"/>
      <c r="SV449" s="741"/>
      <c r="SW449" s="741"/>
      <c r="SX449" s="741"/>
      <c r="SY449" s="741"/>
      <c r="SZ449" s="741"/>
      <c r="TA449" s="741"/>
      <c r="TB449" s="741"/>
      <c r="TC449" s="741"/>
      <c r="TD449" s="741"/>
      <c r="TE449" s="741"/>
      <c r="TF449" s="741"/>
      <c r="TG449" s="741"/>
      <c r="TH449" s="741"/>
      <c r="TI449" s="741"/>
      <c r="TJ449" s="741"/>
      <c r="TK449" s="741"/>
      <c r="TL449" s="741"/>
      <c r="TM449" s="741"/>
      <c r="TN449" s="741"/>
      <c r="TO449" s="741"/>
      <c r="TP449" s="741"/>
      <c r="TQ449" s="741"/>
      <c r="TR449" s="741"/>
      <c r="TS449" s="741"/>
      <c r="TT449" s="741"/>
      <c r="TU449" s="741"/>
      <c r="TV449" s="741"/>
      <c r="TW449" s="741"/>
      <c r="TX449" s="741"/>
      <c r="TY449" s="741"/>
      <c r="TZ449" s="741"/>
      <c r="UA449" s="741"/>
      <c r="UB449" s="741"/>
      <c r="UC449" s="741"/>
      <c r="UD449" s="741"/>
      <c r="UE449" s="741"/>
      <c r="UF449" s="741"/>
      <c r="UG449" s="741"/>
      <c r="UH449" s="741"/>
      <c r="UI449" s="741"/>
      <c r="UJ449" s="741"/>
      <c r="UK449" s="741"/>
      <c r="UL449" s="741"/>
      <c r="UM449" s="741"/>
      <c r="UN449" s="741"/>
      <c r="UO449" s="741"/>
      <c r="UP449" s="741"/>
      <c r="UQ449" s="741"/>
      <c r="UR449" s="741"/>
      <c r="US449" s="741"/>
      <c r="UT449" s="741"/>
      <c r="UU449" s="741"/>
      <c r="UV449" s="741"/>
      <c r="UW449" s="741"/>
      <c r="UX449" s="741"/>
      <c r="UY449" s="741"/>
      <c r="UZ449" s="741"/>
      <c r="VA449" s="741"/>
      <c r="VB449" s="741"/>
      <c r="VC449" s="741"/>
      <c r="VD449" s="741"/>
      <c r="VE449" s="741"/>
      <c r="VF449" s="741"/>
      <c r="VG449" s="741"/>
      <c r="VH449" s="741"/>
      <c r="VI449" s="741"/>
      <c r="VJ449" s="741"/>
      <c r="VK449" s="741"/>
      <c r="VL449" s="741"/>
      <c r="VM449" s="741"/>
      <c r="VN449" s="741"/>
      <c r="VO449" s="741"/>
      <c r="VP449" s="741"/>
      <c r="VQ449" s="741"/>
      <c r="VR449" s="741"/>
      <c r="VS449" s="741"/>
      <c r="VT449" s="741"/>
      <c r="VU449" s="741"/>
      <c r="VV449" s="741"/>
      <c r="VW449" s="741"/>
      <c r="VX449" s="741"/>
      <c r="VY449" s="741"/>
      <c r="VZ449" s="741"/>
      <c r="WA449" s="741"/>
      <c r="WB449" s="741"/>
      <c r="WC449" s="741"/>
      <c r="WD449" s="741"/>
      <c r="WE449" s="741"/>
      <c r="WF449" s="741"/>
      <c r="WG449" s="741"/>
      <c r="WH449" s="741"/>
      <c r="WI449" s="741"/>
      <c r="WJ449" s="741"/>
      <c r="WK449" s="741"/>
      <c r="WL449" s="741"/>
      <c r="WM449" s="741"/>
      <c r="WN449" s="741"/>
      <c r="WO449" s="741"/>
      <c r="WP449" s="741"/>
      <c r="WQ449" s="741"/>
      <c r="WR449" s="741"/>
      <c r="WS449" s="741"/>
      <c r="WT449" s="741"/>
      <c r="WU449" s="741"/>
      <c r="WV449" s="741"/>
      <c r="WW449" s="741"/>
      <c r="WX449" s="741"/>
      <c r="WY449" s="741"/>
      <c r="WZ449" s="741"/>
      <c r="XA449" s="741"/>
      <c r="XB449" s="741"/>
      <c r="XC449" s="741"/>
      <c r="XD449" s="741"/>
      <c r="XE449" s="741"/>
      <c r="XF449" s="741"/>
      <c r="XG449" s="741"/>
      <c r="XH449" s="741"/>
      <c r="XI449" s="741"/>
      <c r="XJ449" s="741"/>
      <c r="XK449" s="741"/>
      <c r="XL449" s="741"/>
      <c r="XM449" s="741"/>
      <c r="XN449" s="741"/>
      <c r="XO449" s="741"/>
      <c r="XP449" s="741"/>
      <c r="XQ449" s="741"/>
      <c r="XR449" s="741"/>
      <c r="XS449" s="741"/>
      <c r="XT449" s="741"/>
      <c r="XU449" s="741"/>
      <c r="XV449" s="741"/>
      <c r="XW449" s="741"/>
      <c r="XX449" s="741"/>
      <c r="XY449" s="741"/>
      <c r="XZ449" s="741"/>
      <c r="YA449" s="741"/>
      <c r="YB449" s="741"/>
      <c r="YC449" s="741"/>
      <c r="YD449" s="741"/>
      <c r="YE449" s="741"/>
      <c r="YF449" s="741"/>
      <c r="YG449" s="741"/>
      <c r="YH449" s="741"/>
      <c r="YI449" s="741"/>
      <c r="YJ449" s="741"/>
      <c r="YK449" s="741"/>
      <c r="YL449" s="741"/>
      <c r="YM449" s="741"/>
      <c r="YN449" s="741"/>
      <c r="YO449" s="741"/>
      <c r="YP449" s="741"/>
      <c r="YQ449" s="741"/>
      <c r="YR449" s="741"/>
      <c r="YS449" s="741"/>
      <c r="YT449" s="741"/>
      <c r="YU449" s="741"/>
      <c r="YV449" s="741"/>
      <c r="YW449" s="741"/>
      <c r="YX449" s="741"/>
      <c r="YY449" s="741"/>
      <c r="YZ449" s="741"/>
      <c r="ZA449" s="741"/>
      <c r="ZB449" s="741"/>
      <c r="ZC449" s="741"/>
      <c r="ZD449" s="741"/>
      <c r="ZE449" s="741"/>
      <c r="ZF449" s="741"/>
      <c r="ZG449" s="741"/>
      <c r="ZH449" s="741"/>
      <c r="ZI449" s="741"/>
      <c r="ZJ449" s="741"/>
      <c r="ZK449" s="741"/>
      <c r="ZL449" s="741"/>
      <c r="ZM449" s="741"/>
      <c r="ZN449" s="741"/>
      <c r="ZO449" s="741"/>
      <c r="ZP449" s="741"/>
      <c r="ZQ449" s="741"/>
      <c r="ZR449" s="741"/>
      <c r="ZS449" s="741"/>
      <c r="ZT449" s="741"/>
      <c r="ZU449" s="741"/>
      <c r="ZV449" s="741"/>
      <c r="ZW449" s="741"/>
      <c r="ZX449" s="741"/>
      <c r="ZY449" s="741"/>
      <c r="ZZ449" s="741"/>
      <c r="AAA449" s="741"/>
      <c r="AAB449" s="741"/>
      <c r="AAC449" s="741"/>
      <c r="AAD449" s="741"/>
      <c r="AAE449" s="741"/>
      <c r="AAF449" s="741"/>
      <c r="AAG449" s="741"/>
      <c r="AAH449" s="741"/>
      <c r="AAI449" s="741"/>
      <c r="AAJ449" s="741"/>
      <c r="AAK449" s="741"/>
      <c r="AAL449" s="741"/>
      <c r="AAM449" s="741"/>
      <c r="AAN449" s="741"/>
      <c r="AAO449" s="741"/>
      <c r="AAP449" s="741"/>
      <c r="AAQ449" s="741"/>
      <c r="AAR449" s="741"/>
      <c r="AAS449" s="741"/>
      <c r="AAT449" s="741"/>
      <c r="AAU449" s="741"/>
      <c r="AAV449" s="741"/>
      <c r="AAW449" s="741"/>
      <c r="AAX449" s="741"/>
      <c r="AAY449" s="741"/>
      <c r="AAZ449" s="741"/>
      <c r="ABA449" s="741"/>
      <c r="ABB449" s="741"/>
      <c r="ABC449" s="741"/>
      <c r="ABD449" s="741"/>
      <c r="ABE449" s="741"/>
      <c r="ABF449" s="741"/>
      <c r="ABG449" s="741"/>
      <c r="ABH449" s="741"/>
      <c r="ABI449" s="741"/>
      <c r="ABJ449" s="741"/>
      <c r="ABK449" s="741"/>
      <c r="ABL449" s="741"/>
      <c r="ABM449" s="741"/>
      <c r="ABN449" s="741"/>
      <c r="ABO449" s="741"/>
      <c r="ABP449" s="741"/>
      <c r="ABQ449" s="741"/>
      <c r="ABR449" s="741"/>
      <c r="ABS449" s="741"/>
      <c r="ABT449" s="741"/>
      <c r="ABU449" s="741"/>
      <c r="ABV449" s="741"/>
      <c r="ABW449" s="741"/>
      <c r="ABX449" s="741"/>
      <c r="ABY449" s="741"/>
      <c r="ABZ449" s="741"/>
      <c r="ACA449" s="741"/>
      <c r="ACB449" s="741"/>
      <c r="ACC449" s="741"/>
      <c r="ACD449" s="741"/>
      <c r="ACE449" s="741"/>
      <c r="ACF449" s="741"/>
      <c r="ACG449" s="741"/>
      <c r="ACH449" s="741"/>
      <c r="ACI449" s="741"/>
      <c r="ACJ449" s="741"/>
      <c r="ACK449" s="741"/>
      <c r="ACL449" s="741"/>
      <c r="ACM449" s="741"/>
      <c r="ACN449" s="741"/>
      <c r="ACO449" s="741"/>
      <c r="ACP449" s="741"/>
      <c r="ACQ449" s="741"/>
      <c r="ACR449" s="741"/>
      <c r="ACS449" s="741"/>
      <c r="ACT449" s="741"/>
      <c r="ACU449" s="741"/>
      <c r="ACV449" s="741"/>
      <c r="ACW449" s="741"/>
      <c r="ACX449" s="741"/>
      <c r="ACY449" s="741"/>
      <c r="ACZ449" s="741"/>
      <c r="ADA449" s="741"/>
      <c r="ADB449" s="741"/>
      <c r="ADC449" s="741"/>
      <c r="ADD449" s="741"/>
      <c r="ADE449" s="741"/>
      <c r="ADF449" s="741"/>
      <c r="ADG449" s="741"/>
      <c r="ADH449" s="741"/>
      <c r="ADI449" s="741"/>
      <c r="ADJ449" s="741"/>
      <c r="ADK449" s="741"/>
      <c r="ADL449" s="741"/>
      <c r="ADM449" s="741"/>
      <c r="ADN449" s="741"/>
      <c r="ADO449" s="741"/>
      <c r="ADP449" s="741"/>
      <c r="ADQ449" s="741"/>
      <c r="ADR449" s="741"/>
      <c r="ADS449" s="741"/>
      <c r="ADT449" s="741"/>
      <c r="ADU449" s="741"/>
      <c r="ADV449" s="741"/>
      <c r="ADW449" s="741"/>
      <c r="ADX449" s="741"/>
      <c r="ADY449" s="741"/>
      <c r="ADZ449" s="741"/>
      <c r="AEA449" s="741"/>
      <c r="AEB449" s="741"/>
      <c r="AEC449" s="741"/>
      <c r="AED449" s="741"/>
      <c r="AEE449" s="741"/>
      <c r="AEF449" s="741"/>
      <c r="AEG449" s="741"/>
      <c r="AEH449" s="741"/>
      <c r="AEI449" s="741"/>
      <c r="AEJ449" s="741"/>
      <c r="AEK449" s="741"/>
      <c r="AEL449" s="741"/>
      <c r="AEM449" s="741"/>
      <c r="AEN449" s="741"/>
      <c r="AEO449" s="741"/>
      <c r="AEP449" s="741"/>
      <c r="AEQ449" s="741"/>
      <c r="AER449" s="741"/>
      <c r="AES449" s="741"/>
      <c r="AET449" s="741"/>
      <c r="AEU449" s="741"/>
      <c r="AEV449" s="741"/>
      <c r="AEW449" s="741"/>
      <c r="AEX449" s="741"/>
      <c r="AEY449" s="741"/>
      <c r="AEZ449" s="741"/>
      <c r="AFA449" s="741"/>
      <c r="AFB449" s="741"/>
      <c r="AFC449" s="741"/>
      <c r="AFD449" s="741"/>
      <c r="AFE449" s="741"/>
      <c r="AFF449" s="741"/>
      <c r="AFG449" s="741"/>
      <c r="AFH449" s="741"/>
      <c r="AFI449" s="741"/>
      <c r="AFJ449" s="741"/>
      <c r="AFK449" s="741"/>
      <c r="AFL449" s="741"/>
      <c r="AFM449" s="741"/>
      <c r="AFN449" s="741"/>
      <c r="AFO449" s="741"/>
      <c r="AFP449" s="741"/>
      <c r="AFQ449" s="741"/>
      <c r="AFR449" s="741"/>
      <c r="AFS449" s="741"/>
      <c r="AFT449" s="741"/>
      <c r="AFU449" s="741"/>
      <c r="AFV449" s="741"/>
      <c r="AFW449" s="741"/>
      <c r="AFX449" s="741"/>
      <c r="AFY449" s="741"/>
      <c r="AFZ449" s="741"/>
      <c r="AGA449" s="741"/>
      <c r="AGB449" s="741"/>
      <c r="AGC449" s="741"/>
      <c r="AGD449" s="741"/>
      <c r="AGE449" s="741"/>
      <c r="AGF449" s="741"/>
      <c r="AGG449" s="741"/>
      <c r="AGH449" s="741"/>
      <c r="AGI449" s="741"/>
      <c r="AGJ449" s="741"/>
      <c r="AGK449" s="741"/>
      <c r="AGL449" s="741"/>
      <c r="AGM449" s="741"/>
      <c r="AGN449" s="741"/>
      <c r="AGO449" s="741"/>
      <c r="AGP449" s="741"/>
      <c r="AGQ449" s="741"/>
      <c r="AGR449" s="741"/>
      <c r="AGS449" s="741"/>
      <c r="AGT449" s="741"/>
      <c r="AGU449" s="741"/>
      <c r="AGV449" s="741"/>
      <c r="AGW449" s="741"/>
      <c r="AGX449" s="741"/>
      <c r="AGY449" s="741"/>
      <c r="AGZ449" s="741"/>
      <c r="AHA449" s="741"/>
      <c r="AHB449" s="741"/>
      <c r="AHC449" s="741"/>
      <c r="AHD449" s="741"/>
      <c r="AHE449" s="741"/>
      <c r="AHF449" s="741"/>
      <c r="AHG449" s="741"/>
      <c r="AHH449" s="741"/>
      <c r="AHI449" s="741"/>
      <c r="AHJ449" s="741"/>
      <c r="AHK449" s="741"/>
      <c r="AHL449" s="741"/>
      <c r="AHM449" s="741"/>
      <c r="AHN449" s="741"/>
      <c r="AHO449" s="741"/>
      <c r="AHP449" s="741"/>
      <c r="AHQ449" s="741"/>
      <c r="AHR449" s="741"/>
      <c r="AHS449" s="741"/>
      <c r="AHT449" s="741"/>
      <c r="AHU449" s="741"/>
      <c r="AHV449" s="741"/>
      <c r="AHW449" s="741"/>
      <c r="AHX449" s="741"/>
      <c r="AHY449" s="741"/>
      <c r="AHZ449" s="741"/>
      <c r="AIA449" s="741"/>
      <c r="AIB449" s="741"/>
      <c r="AIC449" s="741"/>
      <c r="AID449" s="741"/>
      <c r="AIE449" s="741"/>
      <c r="AIF449" s="741"/>
      <c r="AIG449" s="741"/>
      <c r="AIH449" s="741"/>
      <c r="AII449" s="741"/>
      <c r="AIJ449" s="741"/>
      <c r="AIK449" s="741"/>
      <c r="AIL449" s="741"/>
      <c r="AIM449" s="741"/>
      <c r="AIN449" s="741"/>
      <c r="AIO449" s="741"/>
      <c r="AIP449" s="741"/>
      <c r="AIQ449" s="741"/>
      <c r="AIR449" s="741"/>
      <c r="AIS449" s="741"/>
      <c r="AIT449" s="741"/>
      <c r="AIU449" s="741"/>
      <c r="AIV449" s="741"/>
      <c r="AIW449" s="741"/>
      <c r="AIX449" s="741"/>
      <c r="AIY449" s="741"/>
      <c r="AIZ449" s="741"/>
      <c r="AJA449" s="741"/>
      <c r="AJB449" s="741"/>
      <c r="AJC449" s="741"/>
      <c r="AJD449" s="741"/>
      <c r="AJE449" s="741"/>
      <c r="AJF449" s="741"/>
      <c r="AJG449" s="741"/>
      <c r="AJH449" s="741"/>
      <c r="AJI449" s="741"/>
      <c r="AJJ449" s="741"/>
      <c r="AJK449" s="741"/>
      <c r="AJL449" s="741"/>
      <c r="AJM449" s="741"/>
      <c r="AJN449" s="741"/>
      <c r="AJO449" s="741"/>
      <c r="AJP449" s="741"/>
      <c r="AJQ449" s="741"/>
      <c r="AJR449" s="741"/>
      <c r="AJS449" s="741"/>
      <c r="AJT449" s="741"/>
      <c r="AJU449" s="741"/>
      <c r="AJV449" s="741"/>
      <c r="AJW449" s="741"/>
      <c r="AJX449" s="741"/>
      <c r="AJY449" s="741"/>
      <c r="AJZ449" s="741"/>
      <c r="AKA449" s="741"/>
      <c r="AKB449" s="741"/>
      <c r="AKC449" s="741"/>
      <c r="AKD449" s="741"/>
      <c r="AKE449" s="741"/>
      <c r="AKF449" s="741"/>
      <c r="AKG449" s="741"/>
      <c r="AKH449" s="741"/>
      <c r="AKI449" s="741"/>
      <c r="AKJ449" s="741"/>
      <c r="AKK449" s="741"/>
      <c r="AKL449" s="741"/>
      <c r="AKM449" s="741"/>
      <c r="AKN449" s="741"/>
      <c r="AKO449" s="741"/>
      <c r="AKP449" s="741"/>
      <c r="AKQ449" s="741"/>
      <c r="AKR449" s="741"/>
      <c r="AKS449" s="741"/>
      <c r="AKT449" s="741"/>
      <c r="AKU449" s="741"/>
      <c r="AKV449" s="741"/>
      <c r="AKW449" s="741"/>
      <c r="AKX449" s="741"/>
      <c r="AKY449" s="741"/>
      <c r="AKZ449" s="741"/>
      <c r="ALA449" s="741"/>
      <c r="ALB449" s="741"/>
      <c r="ALC449" s="741"/>
      <c r="ALD449" s="741"/>
      <c r="ALE449" s="741"/>
      <c r="ALF449" s="741"/>
      <c r="ALG449" s="741"/>
      <c r="ALH449" s="741"/>
      <c r="ALI449" s="741"/>
      <c r="ALJ449" s="741"/>
      <c r="ALK449" s="741"/>
      <c r="ALL449" s="741"/>
      <c r="ALM449" s="741"/>
      <c r="ALN449" s="741"/>
      <c r="ALO449" s="741"/>
      <c r="ALP449" s="741"/>
      <c r="ALQ449" s="741"/>
      <c r="ALR449" s="741"/>
      <c r="ALS449" s="741"/>
      <c r="ALT449" s="741"/>
      <c r="ALU449" s="741"/>
      <c r="ALV449" s="741"/>
      <c r="ALW449" s="741"/>
      <c r="ALX449" s="741"/>
      <c r="ALY449" s="741"/>
      <c r="ALZ449" s="741"/>
      <c r="AMA449" s="741"/>
      <c r="AMB449" s="741"/>
      <c r="AMC449" s="741"/>
      <c r="AMD449" s="741"/>
      <c r="AME449" s="741"/>
      <c r="AMF449" s="741"/>
      <c r="AMG449" s="741"/>
      <c r="AMH449" s="741"/>
      <c r="AMI449" s="741"/>
      <c r="AMJ449" s="741"/>
      <c r="AMK449" s="741"/>
      <c r="AML449" s="741"/>
      <c r="AMM449" s="741"/>
      <c r="AMN449" s="741"/>
      <c r="AMO449" s="741"/>
      <c r="AMP449" s="741"/>
      <c r="AMQ449" s="741"/>
      <c r="AMR449" s="741"/>
      <c r="AMS449" s="741"/>
      <c r="AMT449" s="741"/>
      <c r="AMU449" s="741"/>
      <c r="AMV449" s="741"/>
      <c r="AMW449" s="741"/>
      <c r="AMX449" s="741"/>
      <c r="AMY449" s="741"/>
      <c r="AMZ449" s="741"/>
      <c r="ANA449" s="741"/>
      <c r="ANB449" s="741"/>
      <c r="ANC449" s="741"/>
      <c r="AND449" s="741"/>
      <c r="ANE449" s="741"/>
      <c r="ANF449" s="741"/>
      <c r="ANG449" s="741"/>
      <c r="ANH449" s="741"/>
      <c r="ANI449" s="741"/>
      <c r="ANJ449" s="741"/>
      <c r="ANK449" s="741"/>
      <c r="ANL449" s="741"/>
      <c r="ANM449" s="741"/>
      <c r="ANN449" s="741"/>
      <c r="ANO449" s="741"/>
      <c r="ANP449" s="741"/>
      <c r="ANQ449" s="741"/>
      <c r="ANR449" s="741"/>
      <c r="ANS449" s="741"/>
      <c r="ANT449" s="741"/>
      <c r="ANU449" s="741"/>
      <c r="ANV449" s="741"/>
      <c r="ANW449" s="741"/>
      <c r="ANX449" s="741"/>
      <c r="ANY449" s="741"/>
      <c r="ANZ449" s="741"/>
      <c r="AOA449" s="741"/>
      <c r="AOB449" s="741"/>
      <c r="AOC449" s="741"/>
      <c r="AOD449" s="741"/>
      <c r="AOE449" s="741"/>
      <c r="AOF449" s="741"/>
      <c r="AOG449" s="741"/>
      <c r="AOH449" s="741"/>
      <c r="AOI449" s="741"/>
      <c r="AOJ449" s="741"/>
      <c r="AOK449" s="741"/>
      <c r="AOL449" s="741"/>
      <c r="AOM449" s="741"/>
      <c r="AON449" s="741"/>
      <c r="AOO449" s="741"/>
      <c r="AOP449" s="741"/>
      <c r="AOQ449" s="741"/>
      <c r="AOR449" s="741"/>
      <c r="AOS449" s="741"/>
      <c r="AOT449" s="741"/>
      <c r="AOU449" s="741"/>
      <c r="AOV449" s="741"/>
      <c r="AOW449" s="741"/>
      <c r="AOX449" s="741"/>
      <c r="AOY449" s="741"/>
      <c r="AOZ449" s="741"/>
      <c r="APA449" s="741"/>
      <c r="APB449" s="741"/>
      <c r="APC449" s="741"/>
      <c r="APD449" s="741"/>
      <c r="APE449" s="741"/>
      <c r="APF449" s="741"/>
      <c r="APG449" s="741"/>
      <c r="APH449" s="741"/>
      <c r="API449" s="741"/>
      <c r="APJ449" s="741"/>
      <c r="APK449" s="741"/>
      <c r="APL449" s="741"/>
      <c r="APM449" s="741"/>
      <c r="APN449" s="741"/>
      <c r="APO449" s="741"/>
      <c r="APP449" s="741"/>
      <c r="APQ449" s="741"/>
      <c r="APR449" s="741"/>
      <c r="APS449" s="741"/>
      <c r="APT449" s="741"/>
      <c r="APU449" s="741"/>
      <c r="APV449" s="741"/>
      <c r="APW449" s="741"/>
      <c r="APX449" s="741"/>
      <c r="APY449" s="741"/>
      <c r="APZ449" s="741"/>
      <c r="AQA449" s="741"/>
      <c r="AQB449" s="741"/>
      <c r="AQC449" s="741"/>
      <c r="AQD449" s="741"/>
      <c r="AQE449" s="741"/>
      <c r="AQF449" s="741"/>
      <c r="AQG449" s="741"/>
      <c r="AQH449" s="741"/>
      <c r="AQI449" s="741"/>
      <c r="AQJ449" s="741"/>
      <c r="AQK449" s="741"/>
      <c r="AQL449" s="741"/>
      <c r="AQM449" s="741"/>
      <c r="AQN449" s="741"/>
      <c r="AQO449" s="741"/>
      <c r="AQP449" s="741"/>
      <c r="AQQ449" s="741"/>
      <c r="AQR449" s="741"/>
      <c r="AQS449" s="741"/>
      <c r="AQT449" s="741"/>
      <c r="AQU449" s="741"/>
      <c r="AQV449" s="741"/>
      <c r="AQW449" s="741"/>
      <c r="AQX449" s="741"/>
      <c r="AQY449" s="741"/>
      <c r="AQZ449" s="741"/>
      <c r="ARA449" s="741"/>
      <c r="ARB449" s="741"/>
      <c r="ARC449" s="741"/>
      <c r="ARD449" s="741"/>
      <c r="ARE449" s="741"/>
      <c r="ARF449" s="741"/>
      <c r="ARG449" s="741"/>
      <c r="ARH449" s="741"/>
      <c r="ARI449" s="741"/>
      <c r="ARJ449" s="741"/>
      <c r="ARK449" s="741"/>
      <c r="ARL449" s="741"/>
      <c r="ARM449" s="741"/>
      <c r="ARN449" s="741"/>
      <c r="ARO449" s="741"/>
      <c r="ARP449" s="741"/>
      <c r="ARQ449" s="741"/>
      <c r="ARR449" s="741"/>
      <c r="ARS449" s="741"/>
      <c r="ART449" s="741"/>
      <c r="ARU449" s="741"/>
      <c r="ARV449" s="741"/>
      <c r="ARW449" s="741"/>
      <c r="ARX449" s="741"/>
      <c r="ARY449" s="741"/>
      <c r="ARZ449" s="741"/>
      <c r="ASA449" s="741"/>
      <c r="ASB449" s="741"/>
      <c r="ASC449" s="741"/>
      <c r="ASD449" s="741"/>
      <c r="ASE449" s="741"/>
      <c r="ASF449" s="741"/>
      <c r="ASG449" s="741"/>
      <c r="ASH449" s="741"/>
      <c r="ASI449" s="741"/>
      <c r="ASJ449" s="741"/>
      <c r="ASK449" s="741"/>
      <c r="ASL449" s="741"/>
      <c r="ASM449" s="741"/>
      <c r="ASN449" s="741"/>
      <c r="ASO449" s="741"/>
      <c r="ASP449" s="741"/>
      <c r="ASQ449" s="741"/>
      <c r="ASR449" s="741"/>
      <c r="ASS449" s="741"/>
      <c r="AST449" s="741"/>
      <c r="ASU449" s="741"/>
      <c r="ASV449" s="741"/>
      <c r="ASW449" s="741"/>
      <c r="ASX449" s="741"/>
      <c r="ASY449" s="741"/>
      <c r="ASZ449" s="741"/>
      <c r="ATA449" s="741"/>
      <c r="ATB449" s="741"/>
      <c r="ATC449" s="741"/>
      <c r="ATD449" s="741"/>
      <c r="ATE449" s="741"/>
      <c r="ATF449" s="741"/>
      <c r="ATG449" s="741"/>
      <c r="ATH449" s="741"/>
      <c r="ATI449" s="741"/>
      <c r="ATJ449" s="741"/>
      <c r="ATK449" s="741"/>
      <c r="ATL449" s="741"/>
      <c r="ATM449" s="741"/>
      <c r="ATN449" s="741"/>
      <c r="ATO449" s="741"/>
      <c r="ATP449" s="741"/>
      <c r="ATQ449" s="741"/>
      <c r="ATR449" s="741"/>
      <c r="ATS449" s="741"/>
      <c r="ATT449" s="741"/>
      <c r="ATU449" s="741"/>
      <c r="ATV449" s="741"/>
      <c r="ATW449" s="741"/>
      <c r="ATX449" s="741"/>
      <c r="ATY449" s="741"/>
      <c r="ATZ449" s="741"/>
      <c r="AUA449" s="741"/>
      <c r="AUB449" s="741"/>
      <c r="AUC449" s="741"/>
      <c r="AUD449" s="741"/>
      <c r="AUE449" s="741"/>
      <c r="AUF449" s="741"/>
      <c r="AUG449" s="741"/>
      <c r="AUH449" s="741"/>
      <c r="AUI449" s="741"/>
      <c r="AUJ449" s="741"/>
      <c r="AUK449" s="741"/>
      <c r="AUL449" s="741"/>
      <c r="AUM449" s="741"/>
      <c r="AUN449" s="741"/>
      <c r="AUO449" s="741"/>
      <c r="AUP449" s="741"/>
      <c r="AUQ449" s="741"/>
      <c r="AUR449" s="741"/>
      <c r="AUS449" s="741"/>
      <c r="AUT449" s="741"/>
      <c r="AUU449" s="741"/>
      <c r="AUV449" s="741"/>
      <c r="AUW449" s="741"/>
      <c r="AUX449" s="741"/>
      <c r="AUY449" s="741"/>
      <c r="AUZ449" s="741"/>
      <c r="AVA449" s="741"/>
      <c r="AVB449" s="741"/>
      <c r="AVC449" s="741"/>
      <c r="AVD449" s="741"/>
      <c r="AVE449" s="741"/>
      <c r="AVF449" s="741"/>
      <c r="AVG449" s="741"/>
      <c r="AVH449" s="741"/>
      <c r="AVI449" s="741"/>
      <c r="AVJ449" s="741"/>
      <c r="AVK449" s="741"/>
      <c r="AVL449" s="741"/>
      <c r="AVM449" s="741"/>
      <c r="AVN449" s="741"/>
      <c r="AVO449" s="741"/>
      <c r="AVP449" s="741"/>
      <c r="AVQ449" s="741"/>
      <c r="AVR449" s="741"/>
      <c r="AVS449" s="741"/>
      <c r="AVT449" s="741"/>
      <c r="AVU449" s="741"/>
      <c r="AVV449" s="741"/>
      <c r="AVW449" s="741"/>
      <c r="AVX449" s="741"/>
      <c r="AVY449" s="741"/>
      <c r="AVZ449" s="741"/>
      <c r="AWA449" s="741"/>
      <c r="AWB449" s="741"/>
      <c r="AWC449" s="741"/>
      <c r="AWD449" s="741"/>
      <c r="AWE449" s="741"/>
      <c r="AWF449" s="741"/>
      <c r="AWG449" s="741"/>
      <c r="AWH449" s="741"/>
      <c r="AWI449" s="741"/>
      <c r="AWJ449" s="741"/>
      <c r="AWK449" s="741"/>
      <c r="AWL449" s="741"/>
      <c r="AWM449" s="741"/>
      <c r="AWN449" s="741"/>
      <c r="AWO449" s="741"/>
      <c r="AWP449" s="741"/>
      <c r="AWQ449" s="741"/>
      <c r="AWR449" s="741"/>
      <c r="AWS449" s="741"/>
      <c r="AWT449" s="741"/>
      <c r="AWU449" s="741"/>
      <c r="AWV449" s="741"/>
      <c r="AWW449" s="741"/>
      <c r="AWX449" s="741"/>
      <c r="AWY449" s="741"/>
      <c r="AWZ449" s="741"/>
      <c r="AXA449" s="741"/>
      <c r="AXB449" s="741"/>
      <c r="AXC449" s="741"/>
      <c r="AXD449" s="741"/>
      <c r="AXE449" s="741"/>
      <c r="AXF449" s="741"/>
      <c r="AXG449" s="741"/>
      <c r="AXH449" s="741"/>
      <c r="AXI449" s="741"/>
      <c r="AXJ449" s="741"/>
      <c r="AXK449" s="741"/>
      <c r="AXL449" s="741"/>
      <c r="AXM449" s="741"/>
      <c r="AXN449" s="741"/>
      <c r="AXO449" s="741"/>
      <c r="AXP449" s="741"/>
      <c r="AXQ449" s="741"/>
      <c r="AXR449" s="741"/>
      <c r="AXS449" s="741"/>
      <c r="AXT449" s="741"/>
      <c r="AXU449" s="741"/>
      <c r="AXV449" s="741"/>
      <c r="AXW449" s="741"/>
      <c r="AXX449" s="741"/>
      <c r="AXY449" s="741"/>
      <c r="AXZ449" s="741"/>
      <c r="AYA449" s="741"/>
      <c r="AYB449" s="741"/>
      <c r="AYC449" s="741"/>
      <c r="AYD449" s="741"/>
      <c r="AYE449" s="741"/>
      <c r="AYF449" s="741"/>
      <c r="AYG449" s="741"/>
      <c r="AYH449" s="741"/>
      <c r="AYI449" s="741"/>
      <c r="AYJ449" s="741"/>
      <c r="AYK449" s="741"/>
      <c r="AYL449" s="741"/>
      <c r="AYM449" s="741"/>
      <c r="AYN449" s="741"/>
      <c r="AYO449" s="741"/>
      <c r="AYP449" s="741"/>
      <c r="AYQ449" s="741"/>
      <c r="AYR449" s="741"/>
      <c r="AYS449" s="741"/>
      <c r="AYT449" s="741"/>
      <c r="AYU449" s="741"/>
      <c r="AYV449" s="741"/>
      <c r="AYW449" s="741"/>
      <c r="AYX449" s="741"/>
      <c r="AYY449" s="741"/>
      <c r="AYZ449" s="741"/>
      <c r="AZA449" s="741"/>
      <c r="AZB449" s="741"/>
      <c r="AZC449" s="741"/>
      <c r="AZD449" s="741"/>
      <c r="AZE449" s="741"/>
      <c r="AZF449" s="741"/>
      <c r="AZG449" s="741"/>
      <c r="AZH449" s="741"/>
      <c r="AZI449" s="741"/>
      <c r="AZJ449" s="741"/>
      <c r="AZK449" s="741"/>
      <c r="AZL449" s="741"/>
      <c r="AZM449" s="741"/>
      <c r="AZN449" s="741"/>
      <c r="AZO449" s="741"/>
      <c r="AZP449" s="741"/>
      <c r="AZQ449" s="741"/>
      <c r="AZR449" s="741"/>
      <c r="AZS449" s="741"/>
      <c r="AZT449" s="741"/>
      <c r="AZU449" s="741"/>
      <c r="AZV449" s="741"/>
      <c r="AZW449" s="741"/>
      <c r="AZX449" s="741"/>
      <c r="AZY449" s="741"/>
      <c r="AZZ449" s="741"/>
      <c r="BAA449" s="741"/>
      <c r="BAB449" s="741"/>
      <c r="BAC449" s="741"/>
      <c r="BAD449" s="741"/>
      <c r="BAE449" s="741"/>
      <c r="BAF449" s="741"/>
      <c r="BAG449" s="741"/>
      <c r="BAH449" s="741"/>
      <c r="BAI449" s="741"/>
      <c r="BAJ449" s="741"/>
      <c r="BAK449" s="741"/>
      <c r="BAL449" s="741"/>
      <c r="BAM449" s="741"/>
      <c r="BAN449" s="741"/>
      <c r="BAO449" s="741"/>
      <c r="BAP449" s="741"/>
      <c r="BAQ449" s="741"/>
      <c r="BAR449" s="741"/>
      <c r="BAS449" s="741"/>
      <c r="BAT449" s="741"/>
      <c r="BAU449" s="741"/>
      <c r="BAV449" s="741"/>
      <c r="BAW449" s="741"/>
      <c r="BAX449" s="741"/>
      <c r="BAY449" s="741"/>
      <c r="BAZ449" s="741"/>
      <c r="BBA449" s="741"/>
      <c r="BBB449" s="741"/>
      <c r="BBC449" s="741"/>
      <c r="BBD449" s="741"/>
      <c r="BBE449" s="741"/>
      <c r="BBF449" s="741"/>
      <c r="BBG449" s="741"/>
      <c r="BBH449" s="741"/>
      <c r="BBI449" s="741"/>
      <c r="BBJ449" s="741"/>
      <c r="BBK449" s="741"/>
      <c r="BBL449" s="741"/>
      <c r="BBM449" s="741"/>
      <c r="BBN449" s="741"/>
      <c r="BBO449" s="741"/>
      <c r="BBP449" s="741"/>
      <c r="BBQ449" s="741"/>
      <c r="BBR449" s="741"/>
      <c r="BBS449" s="741"/>
      <c r="BBT449" s="741"/>
      <c r="BBU449" s="741"/>
      <c r="BBV449" s="741"/>
      <c r="BBW449" s="741"/>
      <c r="BBX449" s="741"/>
      <c r="BBY449" s="741"/>
      <c r="BBZ449" s="741"/>
      <c r="BCA449" s="741"/>
      <c r="BCB449" s="741"/>
      <c r="BCC449" s="741"/>
      <c r="BCD449" s="741"/>
      <c r="BCE449" s="741"/>
      <c r="BCF449" s="741"/>
      <c r="BCG449" s="741"/>
      <c r="BCH449" s="741"/>
      <c r="BCI449" s="741"/>
      <c r="BCJ449" s="741"/>
      <c r="BCK449" s="741"/>
      <c r="BCL449" s="741"/>
      <c r="BCM449" s="741"/>
      <c r="BCN449" s="741"/>
      <c r="BCO449" s="741"/>
      <c r="BCP449" s="741"/>
      <c r="BCQ449" s="741"/>
      <c r="BCR449" s="741"/>
      <c r="BCS449" s="741"/>
      <c r="BCT449" s="741"/>
      <c r="BCU449" s="741"/>
      <c r="BCV449" s="741"/>
      <c r="BCW449" s="741"/>
      <c r="BCX449" s="741"/>
      <c r="BCY449" s="741"/>
      <c r="BCZ449" s="741"/>
      <c r="BDA449" s="741"/>
      <c r="BDB449" s="741"/>
      <c r="BDC449" s="741"/>
      <c r="BDD449" s="741"/>
      <c r="BDE449" s="741"/>
      <c r="BDF449" s="741"/>
      <c r="BDG449" s="741"/>
      <c r="BDH449" s="741"/>
      <c r="BDI449" s="741"/>
      <c r="BDJ449" s="741"/>
      <c r="BDK449" s="741"/>
      <c r="BDL449" s="741"/>
      <c r="BDM449" s="741"/>
      <c r="BDN449" s="741"/>
      <c r="BDO449" s="741"/>
      <c r="BDP449" s="741"/>
      <c r="BDQ449" s="741"/>
      <c r="BDR449" s="741"/>
      <c r="BDS449" s="741"/>
      <c r="BDT449" s="741"/>
      <c r="BDU449" s="741"/>
      <c r="BDV449" s="741"/>
      <c r="BDW449" s="741"/>
      <c r="BDX449" s="741"/>
      <c r="BDY449" s="741"/>
      <c r="BDZ449" s="741"/>
      <c r="BEA449" s="741"/>
      <c r="BEB449" s="741"/>
      <c r="BEC449" s="741"/>
      <c r="BED449" s="741"/>
      <c r="BEE449" s="741"/>
      <c r="BEF449" s="741"/>
      <c r="BEG449" s="741"/>
      <c r="BEH449" s="741"/>
      <c r="BEI449" s="741"/>
      <c r="BEJ449" s="741"/>
      <c r="BEK449" s="741"/>
      <c r="BEL449" s="741"/>
      <c r="BEM449" s="741"/>
      <c r="BEN449" s="741"/>
      <c r="BEO449" s="741"/>
      <c r="BEP449" s="741"/>
      <c r="BEQ449" s="741"/>
      <c r="BER449" s="741"/>
      <c r="BES449" s="741"/>
      <c r="BET449" s="741"/>
      <c r="BEU449" s="741"/>
      <c r="BEV449" s="741"/>
      <c r="BEW449" s="741"/>
      <c r="BEX449" s="741"/>
      <c r="BEY449" s="741"/>
      <c r="BEZ449" s="741"/>
      <c r="BFA449" s="741"/>
      <c r="BFB449" s="741"/>
      <c r="BFC449" s="741"/>
      <c r="BFD449" s="741"/>
      <c r="BFE449" s="741"/>
      <c r="BFF449" s="741"/>
      <c r="BFG449" s="741"/>
      <c r="BFH449" s="741"/>
      <c r="BFI449" s="741"/>
      <c r="BFJ449" s="741"/>
      <c r="BFK449" s="741"/>
      <c r="BFL449" s="741"/>
      <c r="BFM449" s="741"/>
      <c r="BFN449" s="741"/>
      <c r="BFO449" s="741"/>
      <c r="BFP449" s="741"/>
      <c r="BFQ449" s="741"/>
      <c r="BFR449" s="741"/>
      <c r="BFS449" s="741"/>
      <c r="BFT449" s="741"/>
      <c r="BFU449" s="741"/>
      <c r="BFV449" s="741"/>
      <c r="BFW449" s="741"/>
      <c r="BFX449" s="741"/>
      <c r="BFY449" s="741"/>
      <c r="BFZ449" s="741"/>
      <c r="BGA449" s="741"/>
      <c r="BGB449" s="741"/>
      <c r="BGC449" s="741"/>
      <c r="BGD449" s="741"/>
      <c r="BGE449" s="741"/>
      <c r="BGF449" s="741"/>
      <c r="BGG449" s="741"/>
      <c r="BGH449" s="741"/>
      <c r="BGI449" s="741"/>
      <c r="BGJ449" s="741"/>
      <c r="BGK449" s="741"/>
      <c r="BGL449" s="741"/>
      <c r="BGM449" s="741"/>
      <c r="BGN449" s="741"/>
      <c r="BGO449" s="741"/>
      <c r="BGP449" s="741"/>
      <c r="BGQ449" s="741"/>
      <c r="BGR449" s="741"/>
      <c r="BGS449" s="741"/>
      <c r="BGT449" s="741"/>
      <c r="BGU449" s="741"/>
      <c r="BGV449" s="741"/>
      <c r="BGW449" s="741"/>
      <c r="BGX449" s="741"/>
      <c r="BGY449" s="741"/>
      <c r="BGZ449" s="741"/>
      <c r="BHA449" s="741"/>
      <c r="BHB449" s="741"/>
      <c r="BHC449" s="741"/>
      <c r="BHD449" s="741"/>
      <c r="BHE449" s="741"/>
      <c r="BHF449" s="741"/>
      <c r="BHG449" s="741"/>
      <c r="BHH449" s="741"/>
      <c r="BHI449" s="741"/>
      <c r="BHJ449" s="741"/>
      <c r="BHK449" s="741"/>
      <c r="BHL449" s="741"/>
      <c r="BHM449" s="741"/>
      <c r="BHN449" s="741"/>
      <c r="BHO449" s="741"/>
      <c r="BHP449" s="741"/>
      <c r="BHQ449" s="741"/>
      <c r="BHR449" s="741"/>
      <c r="BHS449" s="741"/>
      <c r="BHT449" s="741"/>
      <c r="BHU449" s="741"/>
      <c r="BHV449" s="741"/>
      <c r="BHW449" s="741"/>
      <c r="BHX449" s="741"/>
      <c r="BHY449" s="741"/>
      <c r="BHZ449" s="741"/>
      <c r="BIA449" s="741"/>
      <c r="BIB449" s="741"/>
      <c r="BIC449" s="741"/>
      <c r="BID449" s="741"/>
      <c r="BIE449" s="741"/>
      <c r="BIF449" s="741"/>
      <c r="BIG449" s="741"/>
      <c r="BIH449" s="741"/>
      <c r="BII449" s="741"/>
      <c r="BIJ449" s="741"/>
      <c r="BIK449" s="741"/>
      <c r="BIL449" s="741"/>
      <c r="BIM449" s="741"/>
      <c r="BIN449" s="741"/>
      <c r="BIO449" s="741"/>
      <c r="BIP449" s="741"/>
      <c r="BIQ449" s="741"/>
      <c r="BIR449" s="741"/>
      <c r="BIS449" s="741"/>
      <c r="BIT449" s="741"/>
      <c r="BIU449" s="741"/>
      <c r="BIV449" s="741"/>
      <c r="BIW449" s="741"/>
      <c r="BIX449" s="741"/>
      <c r="BIY449" s="741"/>
      <c r="BIZ449" s="741"/>
      <c r="BJA449" s="741"/>
      <c r="BJB449" s="741"/>
      <c r="BJC449" s="741"/>
      <c r="BJD449" s="741"/>
      <c r="BJE449" s="741"/>
      <c r="BJF449" s="741"/>
      <c r="BJG449" s="741"/>
      <c r="BJH449" s="741"/>
      <c r="BJI449" s="741"/>
      <c r="BJJ449" s="741"/>
      <c r="BJK449" s="741"/>
      <c r="BJL449" s="741"/>
      <c r="BJM449" s="741"/>
      <c r="BJN449" s="741"/>
      <c r="BJO449" s="741"/>
      <c r="BJP449" s="741"/>
      <c r="BJQ449" s="741"/>
      <c r="BJR449" s="741"/>
      <c r="BJS449" s="741"/>
      <c r="BJT449" s="741"/>
      <c r="BJU449" s="741"/>
      <c r="BJV449" s="741"/>
      <c r="BJW449" s="741"/>
      <c r="BJX449" s="741"/>
      <c r="BJY449" s="741"/>
      <c r="BJZ449" s="741"/>
      <c r="BKA449" s="741"/>
      <c r="BKB449" s="741"/>
      <c r="BKC449" s="741"/>
      <c r="BKD449" s="741"/>
      <c r="BKE449" s="741"/>
      <c r="BKF449" s="741"/>
      <c r="BKG449" s="741"/>
      <c r="BKH449" s="741"/>
      <c r="BKI449" s="741"/>
      <c r="BKJ449" s="741"/>
      <c r="BKK449" s="741"/>
      <c r="BKL449" s="741"/>
      <c r="BKM449" s="741"/>
      <c r="BKN449" s="741"/>
      <c r="BKO449" s="741"/>
      <c r="BKP449" s="741"/>
      <c r="BKQ449" s="741"/>
      <c r="BKR449" s="741"/>
      <c r="BKS449" s="741"/>
      <c r="BKT449" s="741"/>
      <c r="BKU449" s="741"/>
      <c r="BKV449" s="741"/>
      <c r="BKW449" s="741"/>
      <c r="BKX449" s="741"/>
      <c r="BKY449" s="741"/>
      <c r="BKZ449" s="741"/>
      <c r="BLA449" s="741"/>
      <c r="BLB449" s="741"/>
      <c r="BLC449" s="741"/>
      <c r="BLD449" s="741"/>
      <c r="BLE449" s="741"/>
      <c r="BLF449" s="741"/>
      <c r="BLG449" s="741"/>
      <c r="BLH449" s="741"/>
      <c r="BLI449" s="741"/>
      <c r="BLJ449" s="741"/>
      <c r="BLK449" s="741"/>
      <c r="BLL449" s="741"/>
      <c r="BLM449" s="741"/>
      <c r="BLN449" s="741"/>
      <c r="BLO449" s="741"/>
      <c r="BLP449" s="741"/>
      <c r="BLQ449" s="741"/>
      <c r="BLR449" s="741"/>
      <c r="BLS449" s="741"/>
      <c r="BLT449" s="741"/>
      <c r="BLU449" s="741"/>
      <c r="BLV449" s="741"/>
      <c r="BLW449" s="741"/>
      <c r="BLX449" s="741"/>
      <c r="BLY449" s="741"/>
      <c r="BLZ449" s="741"/>
      <c r="BMA449" s="741"/>
      <c r="BMB449" s="741"/>
      <c r="BMC449" s="741"/>
      <c r="BMD449" s="741"/>
      <c r="BME449" s="741"/>
      <c r="BMF449" s="741"/>
      <c r="BMG449" s="741"/>
      <c r="BMH449" s="741"/>
      <c r="BMI449" s="741"/>
      <c r="BMJ449" s="741"/>
      <c r="BMK449" s="741"/>
      <c r="BML449" s="741"/>
      <c r="BMM449" s="741"/>
      <c r="BMN449" s="741"/>
      <c r="BMO449" s="741"/>
      <c r="BMP449" s="741"/>
      <c r="BMQ449" s="741"/>
      <c r="BMR449" s="741"/>
      <c r="BMS449" s="741"/>
      <c r="BMT449" s="741"/>
      <c r="BMU449" s="741"/>
      <c r="BMV449" s="741"/>
      <c r="BMW449" s="741"/>
      <c r="BMX449" s="741"/>
      <c r="BMY449" s="741"/>
      <c r="BMZ449" s="741"/>
      <c r="BNA449" s="741"/>
      <c r="BNB449" s="741"/>
      <c r="BNC449" s="741"/>
      <c r="BND449" s="741"/>
      <c r="BNE449" s="741"/>
      <c r="BNF449" s="741"/>
      <c r="BNG449" s="741"/>
      <c r="BNH449" s="741"/>
      <c r="BNI449" s="741"/>
      <c r="BNJ449" s="741"/>
      <c r="BNK449" s="741"/>
      <c r="BNL449" s="741"/>
      <c r="BNM449" s="741"/>
      <c r="BNN449" s="741"/>
      <c r="BNO449" s="741"/>
      <c r="BNP449" s="741"/>
      <c r="BNQ449" s="741"/>
      <c r="BNR449" s="741"/>
      <c r="BNS449" s="741"/>
      <c r="BNT449" s="741"/>
      <c r="BNU449" s="741"/>
      <c r="BNV449" s="741"/>
      <c r="BNW449" s="741"/>
      <c r="BNX449" s="741"/>
      <c r="BNY449" s="741"/>
      <c r="BNZ449" s="741"/>
      <c r="BOA449" s="741"/>
      <c r="BOB449" s="741"/>
      <c r="BOC449" s="741"/>
      <c r="BOD449" s="741"/>
      <c r="BOE449" s="741"/>
      <c r="BOF449" s="741"/>
      <c r="BOG449" s="741"/>
      <c r="BOH449" s="741"/>
      <c r="BOI449" s="741"/>
      <c r="BOJ449" s="741"/>
      <c r="BOK449" s="741"/>
      <c r="BOL449" s="741"/>
      <c r="BOM449" s="741"/>
      <c r="BON449" s="741"/>
      <c r="BOO449" s="741"/>
      <c r="BOP449" s="741"/>
      <c r="BOQ449" s="741"/>
      <c r="BOR449" s="741"/>
      <c r="BOS449" s="741"/>
      <c r="BOT449" s="741"/>
      <c r="BOU449" s="741"/>
      <c r="BOV449" s="741"/>
      <c r="BOW449" s="741"/>
      <c r="BOX449" s="741"/>
      <c r="BOY449" s="741"/>
      <c r="BOZ449" s="741"/>
      <c r="BPA449" s="741"/>
      <c r="BPB449" s="741"/>
      <c r="BPC449" s="741"/>
      <c r="BPD449" s="741"/>
      <c r="BPE449" s="741"/>
      <c r="BPF449" s="741"/>
      <c r="BPG449" s="741"/>
      <c r="BPH449" s="741"/>
      <c r="BPI449" s="741"/>
      <c r="BPJ449" s="741"/>
      <c r="BPK449" s="741"/>
      <c r="BPL449" s="741"/>
      <c r="BPM449" s="741"/>
      <c r="BPN449" s="741"/>
      <c r="BPO449" s="741"/>
      <c r="BPP449" s="741"/>
      <c r="BPQ449" s="741"/>
      <c r="BPR449" s="741"/>
      <c r="BPS449" s="741"/>
      <c r="BPT449" s="741"/>
      <c r="BPU449" s="741"/>
      <c r="BPV449" s="741"/>
      <c r="BPW449" s="741"/>
      <c r="BPX449" s="741"/>
      <c r="BPY449" s="741"/>
      <c r="BPZ449" s="741"/>
      <c r="BQA449" s="741"/>
      <c r="BQB449" s="741"/>
      <c r="BQC449" s="741"/>
      <c r="BQD449" s="741"/>
      <c r="BQE449" s="741"/>
      <c r="BQF449" s="741"/>
      <c r="BQG449" s="741"/>
      <c r="BQH449" s="741"/>
      <c r="BQI449" s="741"/>
      <c r="BQJ449" s="741"/>
      <c r="BQK449" s="741"/>
      <c r="BQL449" s="741"/>
      <c r="BQM449" s="741"/>
      <c r="BQN449" s="741"/>
      <c r="BQO449" s="741"/>
      <c r="BQP449" s="741"/>
      <c r="BQQ449" s="741"/>
      <c r="BQR449" s="741"/>
      <c r="BQS449" s="741"/>
      <c r="BQT449" s="741"/>
      <c r="BQU449" s="741"/>
      <c r="BQV449" s="741"/>
      <c r="BQW449" s="741"/>
      <c r="BQX449" s="741"/>
      <c r="BQY449" s="741"/>
      <c r="BQZ449" s="741"/>
      <c r="BRA449" s="741"/>
      <c r="BRB449" s="741"/>
      <c r="BRC449" s="741"/>
      <c r="BRD449" s="741"/>
      <c r="BRE449" s="741"/>
      <c r="BRF449" s="741"/>
      <c r="BRG449" s="741"/>
      <c r="BRH449" s="741"/>
      <c r="BRI449" s="741"/>
      <c r="BRJ449" s="741"/>
      <c r="BRK449" s="741"/>
      <c r="BRL449" s="741"/>
      <c r="BRM449" s="741"/>
      <c r="BRN449" s="741"/>
      <c r="BRO449" s="741"/>
      <c r="BRP449" s="741"/>
      <c r="BRQ449" s="741"/>
      <c r="BRR449" s="741"/>
      <c r="BRS449" s="741"/>
      <c r="BRT449" s="741"/>
      <c r="BRU449" s="741"/>
      <c r="BRV449" s="741"/>
      <c r="BRW449" s="741"/>
      <c r="BRX449" s="741"/>
      <c r="BRY449" s="741"/>
      <c r="BRZ449" s="741"/>
      <c r="BSA449" s="741"/>
      <c r="BSB449" s="741"/>
      <c r="BSC449" s="741"/>
      <c r="BSD449" s="741"/>
      <c r="BSE449" s="741"/>
      <c r="BSF449" s="741"/>
      <c r="BSG449" s="741"/>
      <c r="BSH449" s="741"/>
      <c r="BSI449" s="741"/>
      <c r="BSJ449" s="741"/>
      <c r="BSK449" s="741"/>
      <c r="BSL449" s="741"/>
      <c r="BSM449" s="741"/>
      <c r="BSN449" s="741"/>
      <c r="BSO449" s="741"/>
      <c r="BSP449" s="741"/>
      <c r="BSQ449" s="741"/>
      <c r="BSR449" s="741"/>
      <c r="BSS449" s="741"/>
      <c r="BST449" s="741"/>
      <c r="BSU449" s="741"/>
      <c r="BSV449" s="741"/>
      <c r="BSW449" s="741"/>
      <c r="BSX449" s="741"/>
      <c r="BSY449" s="741"/>
      <c r="BSZ449" s="741"/>
      <c r="BTA449" s="741"/>
      <c r="BTB449" s="741"/>
      <c r="BTC449" s="741"/>
      <c r="BTD449" s="741"/>
      <c r="BTE449" s="741"/>
      <c r="BTF449" s="741"/>
      <c r="BTG449" s="741"/>
      <c r="BTH449" s="741"/>
      <c r="BTI449" s="741"/>
      <c r="BTJ449" s="741"/>
      <c r="BTK449" s="741"/>
      <c r="BTL449" s="741"/>
      <c r="BTM449" s="741"/>
      <c r="BTN449" s="741"/>
      <c r="BTO449" s="741"/>
      <c r="BTP449" s="741"/>
      <c r="BTQ449" s="741"/>
      <c r="BTR449" s="741"/>
      <c r="BTS449" s="741"/>
      <c r="BTT449" s="741"/>
      <c r="BTU449" s="741"/>
      <c r="BTV449" s="741"/>
      <c r="BTW449" s="741"/>
      <c r="BTX449" s="741"/>
      <c r="BTY449" s="741"/>
      <c r="BTZ449" s="741"/>
      <c r="BUA449" s="741"/>
      <c r="BUB449" s="741"/>
      <c r="BUC449" s="741"/>
      <c r="BUD449" s="741"/>
      <c r="BUE449" s="741"/>
      <c r="BUF449" s="741"/>
      <c r="BUG449" s="741"/>
      <c r="BUH449" s="741"/>
      <c r="BUI449" s="741"/>
      <c r="BUJ449" s="741"/>
      <c r="BUK449" s="741"/>
      <c r="BUL449" s="741"/>
      <c r="BUM449" s="741"/>
      <c r="BUN449" s="741"/>
      <c r="BUO449" s="741"/>
      <c r="BUP449" s="741"/>
      <c r="BUQ449" s="741"/>
      <c r="BUR449" s="741"/>
      <c r="BUS449" s="741"/>
      <c r="BUT449" s="741"/>
      <c r="BUU449" s="741"/>
      <c r="BUV449" s="741"/>
      <c r="BUW449" s="741"/>
      <c r="BUX449" s="741"/>
      <c r="BUY449" s="741"/>
      <c r="BUZ449" s="741"/>
      <c r="BVA449" s="741"/>
      <c r="BVB449" s="741"/>
      <c r="BVC449" s="741"/>
      <c r="BVD449" s="741"/>
      <c r="BVE449" s="741"/>
      <c r="BVF449" s="741"/>
      <c r="BVG449" s="741"/>
      <c r="BVH449" s="741"/>
      <c r="BVI449" s="741"/>
      <c r="BVJ449" s="741"/>
      <c r="BVK449" s="741"/>
      <c r="BVL449" s="741"/>
      <c r="BVM449" s="741"/>
      <c r="BVN449" s="741"/>
      <c r="BVO449" s="741"/>
      <c r="BVP449" s="741"/>
      <c r="BVQ449" s="741"/>
      <c r="BVR449" s="741"/>
      <c r="BVS449" s="741"/>
      <c r="BVT449" s="741"/>
      <c r="BVU449" s="741"/>
      <c r="BVV449" s="741"/>
      <c r="BVW449" s="741"/>
      <c r="BVX449" s="741"/>
      <c r="BVY449" s="741"/>
      <c r="BVZ449" s="741"/>
      <c r="BWA449" s="741"/>
      <c r="BWB449" s="741"/>
      <c r="BWC449" s="741"/>
      <c r="BWD449" s="741"/>
      <c r="BWE449" s="741"/>
      <c r="BWF449" s="741"/>
      <c r="BWG449" s="741"/>
      <c r="BWH449" s="741"/>
      <c r="BWI449" s="741"/>
      <c r="BWJ449" s="741"/>
      <c r="BWK449" s="741"/>
      <c r="BWL449" s="741"/>
      <c r="BWM449" s="741"/>
      <c r="BWN449" s="741"/>
      <c r="BWO449" s="741"/>
      <c r="BWP449" s="741"/>
      <c r="BWQ449" s="741"/>
      <c r="BWR449" s="741"/>
      <c r="BWS449" s="741"/>
      <c r="BWT449" s="741"/>
      <c r="BWU449" s="741"/>
      <c r="BWV449" s="741"/>
      <c r="BWW449" s="741"/>
      <c r="BWX449" s="741"/>
      <c r="BWY449" s="741"/>
      <c r="BWZ449" s="741"/>
      <c r="BXA449" s="741"/>
      <c r="BXB449" s="741"/>
      <c r="BXC449" s="741"/>
      <c r="BXD449" s="741"/>
      <c r="BXE449" s="741"/>
      <c r="BXF449" s="741"/>
      <c r="BXG449" s="741"/>
      <c r="BXH449" s="741"/>
      <c r="BXI449" s="741"/>
      <c r="BXJ449" s="741"/>
      <c r="BXK449" s="741"/>
      <c r="BXL449" s="741"/>
      <c r="BXM449" s="741"/>
      <c r="BXN449" s="741"/>
      <c r="BXO449" s="741"/>
      <c r="BXP449" s="741"/>
      <c r="BXQ449" s="741"/>
      <c r="BXR449" s="741"/>
      <c r="BXS449" s="741"/>
      <c r="BXT449" s="741"/>
      <c r="BXU449" s="741"/>
      <c r="BXV449" s="741"/>
      <c r="BXW449" s="741"/>
      <c r="BXX449" s="741"/>
      <c r="BXY449" s="741"/>
      <c r="BXZ449" s="741"/>
      <c r="BYA449" s="741"/>
      <c r="BYB449" s="741"/>
      <c r="BYC449" s="741"/>
      <c r="BYD449" s="741"/>
      <c r="BYE449" s="741"/>
      <c r="BYF449" s="741"/>
      <c r="BYG449" s="741"/>
      <c r="BYH449" s="741"/>
      <c r="BYI449" s="741"/>
      <c r="BYJ449" s="741"/>
      <c r="BYK449" s="741"/>
      <c r="BYL449" s="741"/>
      <c r="BYM449" s="741"/>
      <c r="BYN449" s="741"/>
      <c r="BYO449" s="741"/>
      <c r="BYP449" s="741"/>
      <c r="BYQ449" s="741"/>
      <c r="BYR449" s="741"/>
      <c r="BYS449" s="741"/>
      <c r="BYT449" s="741"/>
      <c r="BYU449" s="741"/>
      <c r="BYV449" s="741"/>
      <c r="BYW449" s="741"/>
      <c r="BYX449" s="741"/>
      <c r="BYY449" s="741"/>
      <c r="BYZ449" s="741"/>
      <c r="BZA449" s="741"/>
      <c r="BZB449" s="741"/>
      <c r="BZC449" s="741"/>
      <c r="BZD449" s="741"/>
      <c r="BZE449" s="741"/>
      <c r="BZF449" s="741"/>
      <c r="BZG449" s="741"/>
      <c r="BZH449" s="741"/>
      <c r="BZI449" s="741"/>
      <c r="BZJ449" s="741"/>
      <c r="BZK449" s="741"/>
      <c r="BZL449" s="741"/>
      <c r="BZM449" s="741"/>
      <c r="BZN449" s="741"/>
      <c r="BZO449" s="741"/>
      <c r="BZP449" s="741"/>
      <c r="BZQ449" s="741"/>
      <c r="BZR449" s="741"/>
      <c r="BZS449" s="741"/>
      <c r="BZT449" s="741"/>
      <c r="BZU449" s="741"/>
      <c r="BZV449" s="741"/>
      <c r="BZW449" s="741"/>
      <c r="BZX449" s="741"/>
      <c r="BZY449" s="741"/>
      <c r="BZZ449" s="741"/>
      <c r="CAA449" s="741"/>
      <c r="CAB449" s="741"/>
      <c r="CAC449" s="741"/>
      <c r="CAD449" s="741"/>
      <c r="CAE449" s="741"/>
      <c r="CAF449" s="741"/>
      <c r="CAG449" s="741"/>
      <c r="CAH449" s="741"/>
      <c r="CAI449" s="741"/>
      <c r="CAJ449" s="741"/>
      <c r="CAK449" s="741"/>
      <c r="CAL449" s="741"/>
      <c r="CAM449" s="741"/>
      <c r="CAN449" s="741"/>
      <c r="CAO449" s="741"/>
      <c r="CAP449" s="741"/>
      <c r="CAQ449" s="741"/>
      <c r="CAR449" s="741"/>
      <c r="CAS449" s="741"/>
      <c r="CAT449" s="741"/>
      <c r="CAU449" s="741"/>
      <c r="CAV449" s="741"/>
      <c r="CAW449" s="741"/>
      <c r="CAX449" s="741"/>
      <c r="CAY449" s="741"/>
      <c r="CAZ449" s="741"/>
      <c r="CBA449" s="741"/>
      <c r="CBB449" s="741"/>
      <c r="CBC449" s="741"/>
      <c r="CBD449" s="741"/>
      <c r="CBE449" s="741"/>
      <c r="CBF449" s="741"/>
      <c r="CBG449" s="741"/>
      <c r="CBH449" s="741"/>
      <c r="CBI449" s="741"/>
      <c r="CBJ449" s="741"/>
      <c r="CBK449" s="741"/>
      <c r="CBL449" s="741"/>
      <c r="CBM449" s="741"/>
      <c r="CBN449" s="741"/>
      <c r="CBO449" s="741"/>
      <c r="CBP449" s="741"/>
      <c r="CBQ449" s="741"/>
      <c r="CBR449" s="741"/>
      <c r="CBS449" s="741"/>
      <c r="CBT449" s="741"/>
      <c r="CBU449" s="741"/>
      <c r="CBV449" s="741"/>
      <c r="CBW449" s="741"/>
      <c r="CBX449" s="741"/>
      <c r="CBY449" s="741"/>
      <c r="CBZ449" s="741"/>
      <c r="CCA449" s="741"/>
      <c r="CCB449" s="741"/>
      <c r="CCC449" s="741"/>
      <c r="CCD449" s="741"/>
      <c r="CCE449" s="741"/>
      <c r="CCF449" s="741"/>
      <c r="CCG449" s="741"/>
      <c r="CCH449" s="741"/>
      <c r="CCI449" s="741"/>
      <c r="CCJ449" s="741"/>
      <c r="CCK449" s="741"/>
      <c r="CCL449" s="741"/>
      <c r="CCM449" s="741"/>
      <c r="CCN449" s="741"/>
      <c r="CCO449" s="741"/>
      <c r="CCP449" s="741"/>
      <c r="CCQ449" s="741"/>
      <c r="CCR449" s="741"/>
      <c r="CCS449" s="741"/>
      <c r="CCT449" s="741"/>
      <c r="CCU449" s="741"/>
      <c r="CCV449" s="741"/>
      <c r="CCW449" s="741"/>
      <c r="CCX449" s="741"/>
      <c r="CCY449" s="741"/>
      <c r="CCZ449" s="741"/>
      <c r="CDA449" s="741"/>
      <c r="CDB449" s="741"/>
      <c r="CDC449" s="741"/>
      <c r="CDD449" s="741"/>
      <c r="CDE449" s="741"/>
      <c r="CDF449" s="741"/>
      <c r="CDG449" s="741"/>
      <c r="CDH449" s="741"/>
      <c r="CDI449" s="741"/>
      <c r="CDJ449" s="741"/>
      <c r="CDK449" s="741"/>
      <c r="CDL449" s="741"/>
      <c r="CDM449" s="741"/>
      <c r="CDN449" s="741"/>
      <c r="CDO449" s="741"/>
      <c r="CDP449" s="741"/>
      <c r="CDQ449" s="741"/>
      <c r="CDR449" s="741"/>
      <c r="CDS449" s="741"/>
      <c r="CDT449" s="741"/>
      <c r="CDU449" s="741"/>
      <c r="CDV449" s="741"/>
      <c r="CDW449" s="741"/>
      <c r="CDX449" s="741"/>
      <c r="CDY449" s="741"/>
      <c r="CDZ449" s="741"/>
      <c r="CEA449" s="741"/>
      <c r="CEB449" s="741"/>
      <c r="CEC449" s="741"/>
      <c r="CED449" s="741"/>
      <c r="CEE449" s="741"/>
      <c r="CEF449" s="741"/>
      <c r="CEG449" s="741"/>
      <c r="CEH449" s="741"/>
      <c r="CEI449" s="741"/>
      <c r="CEJ449" s="741"/>
      <c r="CEK449" s="741"/>
      <c r="CEL449" s="741"/>
      <c r="CEM449" s="741"/>
      <c r="CEN449" s="741"/>
      <c r="CEO449" s="741"/>
      <c r="CEP449" s="741"/>
      <c r="CEQ449" s="741"/>
      <c r="CER449" s="741"/>
      <c r="CES449" s="741"/>
      <c r="CET449" s="741"/>
      <c r="CEU449" s="741"/>
      <c r="CEV449" s="741"/>
      <c r="CEW449" s="741"/>
      <c r="CEX449" s="741"/>
      <c r="CEY449" s="741"/>
      <c r="CEZ449" s="741"/>
      <c r="CFA449" s="741"/>
      <c r="CFB449" s="741"/>
      <c r="CFC449" s="741"/>
      <c r="CFD449" s="741"/>
      <c r="CFE449" s="741"/>
      <c r="CFF449" s="741"/>
      <c r="CFG449" s="741"/>
      <c r="CFH449" s="741"/>
      <c r="CFI449" s="741"/>
      <c r="CFJ449" s="741"/>
      <c r="CFK449" s="741"/>
      <c r="CFL449" s="741"/>
      <c r="CFM449" s="741"/>
      <c r="CFN449" s="741"/>
      <c r="CFO449" s="741"/>
      <c r="CFP449" s="741"/>
      <c r="CFQ449" s="741"/>
      <c r="CFR449" s="741"/>
      <c r="CFS449" s="741"/>
      <c r="CFT449" s="741"/>
      <c r="CFU449" s="741"/>
      <c r="CFV449" s="741"/>
      <c r="CFW449" s="741"/>
      <c r="CFX449" s="741"/>
      <c r="CFY449" s="741"/>
      <c r="CFZ449" s="741"/>
      <c r="CGA449" s="741"/>
      <c r="CGB449" s="741"/>
      <c r="CGC449" s="741"/>
      <c r="CGD449" s="741"/>
      <c r="CGE449" s="741"/>
      <c r="CGF449" s="741"/>
      <c r="CGG449" s="741"/>
      <c r="CGH449" s="741"/>
      <c r="CGI449" s="741"/>
      <c r="CGJ449" s="741"/>
      <c r="CGK449" s="741"/>
      <c r="CGL449" s="741"/>
      <c r="CGM449" s="741"/>
      <c r="CGN449" s="741"/>
      <c r="CGO449" s="741"/>
      <c r="CGP449" s="741"/>
      <c r="CGQ449" s="741"/>
      <c r="CGR449" s="741"/>
      <c r="CGS449" s="741"/>
      <c r="CGT449" s="741"/>
      <c r="CGU449" s="741"/>
      <c r="CGV449" s="741"/>
      <c r="CGW449" s="741"/>
      <c r="CGX449" s="741"/>
      <c r="CGY449" s="741"/>
      <c r="CGZ449" s="741"/>
      <c r="CHA449" s="741"/>
      <c r="CHB449" s="741"/>
      <c r="CHC449" s="741"/>
      <c r="CHD449" s="741"/>
      <c r="CHE449" s="741"/>
      <c r="CHF449" s="741"/>
      <c r="CHG449" s="741"/>
      <c r="CHH449" s="741"/>
      <c r="CHI449" s="741"/>
      <c r="CHJ449" s="741"/>
      <c r="CHK449" s="741"/>
      <c r="CHL449" s="741"/>
      <c r="CHM449" s="741"/>
      <c r="CHN449" s="741"/>
      <c r="CHO449" s="741"/>
      <c r="CHP449" s="741"/>
      <c r="CHQ449" s="741"/>
      <c r="CHR449" s="741"/>
      <c r="CHS449" s="741"/>
      <c r="CHT449" s="741"/>
      <c r="CHU449" s="741"/>
      <c r="CHV449" s="741"/>
      <c r="CHW449" s="741"/>
      <c r="CHX449" s="741"/>
      <c r="CHY449" s="741"/>
      <c r="CHZ449" s="741"/>
      <c r="CIA449" s="741"/>
      <c r="CIB449" s="741"/>
      <c r="CIC449" s="741"/>
      <c r="CID449" s="741"/>
      <c r="CIE449" s="741"/>
      <c r="CIF449" s="741"/>
      <c r="CIG449" s="741"/>
      <c r="CIH449" s="741"/>
      <c r="CII449" s="741"/>
      <c r="CIJ449" s="741"/>
      <c r="CIK449" s="741"/>
      <c r="CIL449" s="741"/>
      <c r="CIM449" s="741"/>
      <c r="CIN449" s="741"/>
      <c r="CIO449" s="741"/>
      <c r="CIP449" s="741"/>
      <c r="CIQ449" s="741"/>
      <c r="CIR449" s="741"/>
      <c r="CIS449" s="741"/>
      <c r="CIT449" s="741"/>
      <c r="CIU449" s="741"/>
      <c r="CIV449" s="741"/>
      <c r="CIW449" s="741"/>
      <c r="CIX449" s="741"/>
      <c r="CIY449" s="741"/>
      <c r="CIZ449" s="741"/>
      <c r="CJA449" s="741"/>
      <c r="CJB449" s="741"/>
      <c r="CJC449" s="741"/>
      <c r="CJD449" s="741"/>
      <c r="CJE449" s="741"/>
      <c r="CJF449" s="741"/>
      <c r="CJG449" s="741"/>
      <c r="CJH449" s="741"/>
      <c r="CJI449" s="741"/>
      <c r="CJJ449" s="741"/>
      <c r="CJK449" s="741"/>
      <c r="CJL449" s="741"/>
      <c r="CJM449" s="741"/>
      <c r="CJN449" s="741"/>
      <c r="CJO449" s="741"/>
      <c r="CJP449" s="741"/>
      <c r="CJQ449" s="741"/>
      <c r="CJR449" s="741"/>
      <c r="CJS449" s="741"/>
      <c r="CJT449" s="741"/>
      <c r="CJU449" s="741"/>
      <c r="CJV449" s="741"/>
      <c r="CJW449" s="741"/>
      <c r="CJX449" s="741"/>
      <c r="CJY449" s="741"/>
      <c r="CJZ449" s="741"/>
      <c r="CKA449" s="741"/>
      <c r="CKB449" s="741"/>
      <c r="CKC449" s="741"/>
      <c r="CKD449" s="741"/>
      <c r="CKE449" s="741"/>
      <c r="CKF449" s="741"/>
      <c r="CKG449" s="741"/>
      <c r="CKH449" s="741"/>
      <c r="CKI449" s="741"/>
      <c r="CKJ449" s="741"/>
      <c r="CKK449" s="741"/>
      <c r="CKL449" s="741"/>
      <c r="CKM449" s="741"/>
      <c r="CKN449" s="741"/>
      <c r="CKO449" s="741"/>
      <c r="CKP449" s="741"/>
      <c r="CKQ449" s="741"/>
      <c r="CKR449" s="741"/>
      <c r="CKS449" s="741"/>
      <c r="CKT449" s="741"/>
      <c r="CKU449" s="741"/>
      <c r="CKV449" s="741"/>
      <c r="CKW449" s="741"/>
      <c r="CKX449" s="741"/>
      <c r="CKY449" s="741"/>
      <c r="CKZ449" s="741"/>
      <c r="CLA449" s="741"/>
      <c r="CLB449" s="741"/>
      <c r="CLC449" s="741"/>
      <c r="CLD449" s="741"/>
      <c r="CLE449" s="741"/>
      <c r="CLF449" s="741"/>
      <c r="CLG449" s="741"/>
      <c r="CLH449" s="741"/>
      <c r="CLI449" s="741"/>
      <c r="CLJ449" s="741"/>
      <c r="CLK449" s="741"/>
      <c r="CLL449" s="741"/>
      <c r="CLM449" s="741"/>
      <c r="CLN449" s="741"/>
      <c r="CLO449" s="741"/>
      <c r="CLP449" s="741"/>
      <c r="CLQ449" s="741"/>
      <c r="CLR449" s="741"/>
      <c r="CLS449" s="741"/>
      <c r="CLT449" s="741"/>
      <c r="CLU449" s="741"/>
      <c r="CLV449" s="741"/>
      <c r="CLW449" s="741"/>
      <c r="CLX449" s="741"/>
      <c r="CLY449" s="741"/>
      <c r="CLZ449" s="741"/>
      <c r="CMA449" s="741"/>
      <c r="CMB449" s="741"/>
      <c r="CMC449" s="741"/>
      <c r="CMD449" s="741"/>
      <c r="CME449" s="741"/>
      <c r="CMF449" s="741"/>
      <c r="CMG449" s="741"/>
      <c r="CMH449" s="741"/>
      <c r="CMI449" s="741"/>
      <c r="CMJ449" s="741"/>
      <c r="CMK449" s="741"/>
      <c r="CML449" s="741"/>
      <c r="CMM449" s="741"/>
      <c r="CMN449" s="741"/>
      <c r="CMO449" s="741"/>
      <c r="CMP449" s="741"/>
      <c r="CMQ449" s="741"/>
      <c r="CMR449" s="741"/>
      <c r="CMS449" s="741"/>
      <c r="CMT449" s="741"/>
      <c r="CMU449" s="741"/>
      <c r="CMV449" s="741"/>
      <c r="CMW449" s="741"/>
      <c r="CMX449" s="741"/>
      <c r="CMY449" s="741"/>
      <c r="CMZ449" s="741"/>
      <c r="CNA449" s="741"/>
      <c r="CNB449" s="741"/>
      <c r="CNC449" s="741"/>
      <c r="CND449" s="741"/>
      <c r="CNE449" s="741"/>
      <c r="CNF449" s="741"/>
      <c r="CNG449" s="741"/>
      <c r="CNH449" s="741"/>
      <c r="CNI449" s="741"/>
      <c r="CNJ449" s="741"/>
      <c r="CNK449" s="741"/>
      <c r="CNL449" s="741"/>
      <c r="CNM449" s="741"/>
      <c r="CNN449" s="741"/>
      <c r="CNO449" s="741"/>
      <c r="CNP449" s="741"/>
      <c r="CNQ449" s="741"/>
      <c r="CNR449" s="741"/>
      <c r="CNS449" s="741"/>
      <c r="CNT449" s="741"/>
      <c r="CNU449" s="741"/>
      <c r="CNV449" s="741"/>
      <c r="CNW449" s="741"/>
      <c r="CNX449" s="741"/>
      <c r="CNY449" s="741"/>
      <c r="CNZ449" s="741"/>
      <c r="COA449" s="741"/>
      <c r="COB449" s="741"/>
      <c r="COC449" s="741"/>
      <c r="COD449" s="741"/>
      <c r="COE449" s="741"/>
      <c r="COF449" s="741"/>
      <c r="COG449" s="741"/>
      <c r="COH449" s="741"/>
      <c r="COI449" s="741"/>
      <c r="COJ449" s="741"/>
      <c r="COK449" s="741"/>
      <c r="COL449" s="741"/>
      <c r="COM449" s="741"/>
      <c r="CON449" s="741"/>
      <c r="COO449" s="741"/>
      <c r="COP449" s="741"/>
      <c r="COQ449" s="741"/>
      <c r="COR449" s="741"/>
      <c r="COS449" s="741"/>
      <c r="COT449" s="741"/>
      <c r="COU449" s="741"/>
      <c r="COV449" s="741"/>
      <c r="COW449" s="741"/>
      <c r="COX449" s="741"/>
      <c r="COY449" s="741"/>
      <c r="COZ449" s="741"/>
      <c r="CPA449" s="741"/>
      <c r="CPB449" s="741"/>
      <c r="CPC449" s="741"/>
      <c r="CPD449" s="741"/>
      <c r="CPE449" s="741"/>
      <c r="CPF449" s="741"/>
      <c r="CPG449" s="741"/>
      <c r="CPH449" s="741"/>
      <c r="CPI449" s="741"/>
      <c r="CPJ449" s="741"/>
      <c r="CPK449" s="741"/>
      <c r="CPL449" s="741"/>
      <c r="CPM449" s="741"/>
      <c r="CPN449" s="741"/>
      <c r="CPO449" s="741"/>
      <c r="CPP449" s="741"/>
      <c r="CPQ449" s="741"/>
      <c r="CPR449" s="741"/>
      <c r="CPS449" s="741"/>
      <c r="CPT449" s="741"/>
      <c r="CPU449" s="741"/>
      <c r="CPV449" s="741"/>
      <c r="CPW449" s="741"/>
      <c r="CPX449" s="741"/>
      <c r="CPY449" s="741"/>
      <c r="CPZ449" s="741"/>
      <c r="CQA449" s="741"/>
      <c r="CQB449" s="741"/>
      <c r="CQC449" s="741"/>
      <c r="CQD449" s="741"/>
      <c r="CQE449" s="741"/>
      <c r="CQF449" s="741"/>
      <c r="CQG449" s="741"/>
      <c r="CQH449" s="741"/>
      <c r="CQI449" s="741"/>
      <c r="CQJ449" s="741"/>
      <c r="CQK449" s="741"/>
      <c r="CQL449" s="741"/>
      <c r="CQM449" s="741"/>
      <c r="CQN449" s="741"/>
      <c r="CQO449" s="741"/>
      <c r="CQP449" s="741"/>
      <c r="CQQ449" s="741"/>
      <c r="CQR449" s="741"/>
      <c r="CQS449" s="741"/>
      <c r="CQT449" s="741"/>
      <c r="CQU449" s="741"/>
      <c r="CQV449" s="741"/>
      <c r="CQW449" s="741"/>
      <c r="CQX449" s="741"/>
      <c r="CQY449" s="741"/>
      <c r="CQZ449" s="741"/>
      <c r="CRA449" s="741"/>
      <c r="CRB449" s="741"/>
      <c r="CRC449" s="741"/>
      <c r="CRD449" s="741"/>
      <c r="CRE449" s="741"/>
      <c r="CRF449" s="741"/>
      <c r="CRG449" s="741"/>
      <c r="CRH449" s="741"/>
      <c r="CRI449" s="741"/>
      <c r="CRJ449" s="741"/>
      <c r="CRK449" s="741"/>
      <c r="CRL449" s="741"/>
      <c r="CRM449" s="741"/>
      <c r="CRN449" s="741"/>
      <c r="CRO449" s="741"/>
      <c r="CRP449" s="741"/>
      <c r="CRQ449" s="741"/>
      <c r="CRR449" s="741"/>
      <c r="CRS449" s="741"/>
      <c r="CRT449" s="741"/>
      <c r="CRU449" s="741"/>
      <c r="CRV449" s="741"/>
      <c r="CRW449" s="741"/>
      <c r="CRX449" s="741"/>
      <c r="CRY449" s="741"/>
      <c r="CRZ449" s="741"/>
      <c r="CSA449" s="741"/>
      <c r="CSB449" s="741"/>
      <c r="CSC449" s="741"/>
      <c r="CSD449" s="741"/>
      <c r="CSE449" s="741"/>
      <c r="CSF449" s="741"/>
      <c r="CSG449" s="741"/>
      <c r="CSH449" s="741"/>
      <c r="CSI449" s="741"/>
      <c r="CSJ449" s="741"/>
      <c r="CSK449" s="741"/>
      <c r="CSL449" s="741"/>
      <c r="CSM449" s="741"/>
      <c r="CSN449" s="741"/>
      <c r="CSO449" s="741"/>
      <c r="CSP449" s="741"/>
      <c r="CSQ449" s="741"/>
      <c r="CSR449" s="741"/>
      <c r="CSS449" s="741"/>
      <c r="CST449" s="741"/>
      <c r="CSU449" s="741"/>
      <c r="CSV449" s="741"/>
      <c r="CSW449" s="741"/>
      <c r="CSX449" s="741"/>
      <c r="CSY449" s="741"/>
      <c r="CSZ449" s="741"/>
      <c r="CTA449" s="741"/>
      <c r="CTB449" s="741"/>
      <c r="CTC449" s="741"/>
      <c r="CTD449" s="741"/>
      <c r="CTE449" s="741"/>
      <c r="CTF449" s="741"/>
      <c r="CTG449" s="741"/>
      <c r="CTH449" s="741"/>
      <c r="CTI449" s="741"/>
      <c r="CTJ449" s="741"/>
      <c r="CTK449" s="741"/>
      <c r="CTL449" s="741"/>
      <c r="CTM449" s="741"/>
      <c r="CTN449" s="741"/>
      <c r="CTO449" s="741"/>
      <c r="CTP449" s="741"/>
      <c r="CTQ449" s="741"/>
      <c r="CTR449" s="741"/>
      <c r="CTS449" s="741"/>
      <c r="CTT449" s="741"/>
      <c r="CTU449" s="741"/>
      <c r="CTV449" s="741"/>
      <c r="CTW449" s="741"/>
      <c r="CTX449" s="741"/>
      <c r="CTY449" s="741"/>
      <c r="CTZ449" s="741"/>
      <c r="CUA449" s="741"/>
      <c r="CUB449" s="741"/>
      <c r="CUC449" s="741"/>
      <c r="CUD449" s="741"/>
      <c r="CUE449" s="741"/>
      <c r="CUF449" s="741"/>
      <c r="CUG449" s="741"/>
      <c r="CUH449" s="741"/>
      <c r="CUI449" s="741"/>
      <c r="CUJ449" s="741"/>
      <c r="CUK449" s="741"/>
      <c r="CUL449" s="741"/>
      <c r="CUM449" s="741"/>
      <c r="CUN449" s="741"/>
      <c r="CUO449" s="741"/>
      <c r="CUP449" s="741"/>
      <c r="CUQ449" s="741"/>
      <c r="CUR449" s="741"/>
      <c r="CUS449" s="741"/>
      <c r="CUT449" s="741"/>
      <c r="CUU449" s="741"/>
      <c r="CUV449" s="741"/>
      <c r="CUW449" s="741"/>
      <c r="CUX449" s="741"/>
      <c r="CUY449" s="741"/>
      <c r="CUZ449" s="741"/>
      <c r="CVA449" s="741"/>
      <c r="CVB449" s="741"/>
      <c r="CVC449" s="741"/>
      <c r="CVD449" s="741"/>
      <c r="CVE449" s="741"/>
      <c r="CVF449" s="741"/>
      <c r="CVG449" s="741"/>
      <c r="CVH449" s="741"/>
      <c r="CVI449" s="741"/>
      <c r="CVJ449" s="741"/>
      <c r="CVK449" s="741"/>
      <c r="CVL449" s="741"/>
      <c r="CVM449" s="741"/>
      <c r="CVN449" s="741"/>
      <c r="CVO449" s="741"/>
      <c r="CVP449" s="741"/>
      <c r="CVQ449" s="741"/>
      <c r="CVR449" s="741"/>
      <c r="CVS449" s="741"/>
      <c r="CVT449" s="741"/>
      <c r="CVU449" s="741"/>
      <c r="CVV449" s="741"/>
      <c r="CVW449" s="741"/>
      <c r="CVX449" s="741"/>
      <c r="CVY449" s="741"/>
      <c r="CVZ449" s="741"/>
      <c r="CWA449" s="741"/>
      <c r="CWB449" s="741"/>
      <c r="CWC449" s="741"/>
      <c r="CWD449" s="741"/>
      <c r="CWE449" s="741"/>
      <c r="CWF449" s="741"/>
      <c r="CWG449" s="741"/>
      <c r="CWH449" s="741"/>
      <c r="CWI449" s="741"/>
      <c r="CWJ449" s="741"/>
      <c r="CWK449" s="741"/>
      <c r="CWL449" s="741"/>
      <c r="CWM449" s="741"/>
      <c r="CWN449" s="741"/>
      <c r="CWO449" s="741"/>
      <c r="CWP449" s="741"/>
      <c r="CWQ449" s="741"/>
      <c r="CWR449" s="741"/>
      <c r="CWS449" s="741"/>
      <c r="CWT449" s="741"/>
      <c r="CWU449" s="741"/>
      <c r="CWV449" s="741"/>
      <c r="CWW449" s="741"/>
      <c r="CWX449" s="741"/>
      <c r="CWY449" s="741"/>
      <c r="CWZ449" s="741"/>
      <c r="CXA449" s="741"/>
      <c r="CXB449" s="741"/>
      <c r="CXC449" s="741"/>
      <c r="CXD449" s="741"/>
      <c r="CXE449" s="741"/>
      <c r="CXF449" s="741"/>
      <c r="CXG449" s="741"/>
      <c r="CXH449" s="741"/>
      <c r="CXI449" s="741"/>
      <c r="CXJ449" s="741"/>
      <c r="CXK449" s="741"/>
      <c r="CXL449" s="741"/>
      <c r="CXM449" s="741"/>
      <c r="CXN449" s="741"/>
      <c r="CXO449" s="741"/>
      <c r="CXP449" s="741"/>
      <c r="CXQ449" s="741"/>
      <c r="CXR449" s="741"/>
      <c r="CXS449" s="741"/>
      <c r="CXT449" s="741"/>
      <c r="CXU449" s="741"/>
      <c r="CXV449" s="741"/>
      <c r="CXW449" s="741"/>
      <c r="CXX449" s="741"/>
      <c r="CXY449" s="741"/>
      <c r="CXZ449" s="741"/>
      <c r="CYA449" s="741"/>
      <c r="CYB449" s="741"/>
      <c r="CYC449" s="741"/>
      <c r="CYD449" s="741"/>
      <c r="CYE449" s="741"/>
      <c r="CYF449" s="741"/>
      <c r="CYG449" s="741"/>
      <c r="CYH449" s="741"/>
      <c r="CYI449" s="741"/>
      <c r="CYJ449" s="741"/>
      <c r="CYK449" s="741"/>
      <c r="CYL449" s="741"/>
      <c r="CYM449" s="741"/>
      <c r="CYN449" s="741"/>
      <c r="CYO449" s="741"/>
      <c r="CYP449" s="741"/>
      <c r="CYQ449" s="741"/>
      <c r="CYR449" s="741"/>
      <c r="CYS449" s="741"/>
      <c r="CYT449" s="741"/>
      <c r="CYU449" s="741"/>
      <c r="CYV449" s="741"/>
      <c r="CYW449" s="741"/>
      <c r="CYX449" s="741"/>
      <c r="CYY449" s="741"/>
      <c r="CYZ449" s="741"/>
      <c r="CZA449" s="741"/>
      <c r="CZB449" s="741"/>
      <c r="CZC449" s="741"/>
      <c r="CZD449" s="741"/>
      <c r="CZE449" s="741"/>
      <c r="CZF449" s="741"/>
      <c r="CZG449" s="741"/>
      <c r="CZH449" s="741"/>
      <c r="CZI449" s="741"/>
      <c r="CZJ449" s="741"/>
      <c r="CZK449" s="741"/>
      <c r="CZL449" s="741"/>
      <c r="CZM449" s="741"/>
      <c r="CZN449" s="741"/>
      <c r="CZO449" s="741"/>
      <c r="CZP449" s="741"/>
      <c r="CZQ449" s="741"/>
      <c r="CZR449" s="741"/>
      <c r="CZS449" s="741"/>
      <c r="CZT449" s="741"/>
      <c r="CZU449" s="741"/>
      <c r="CZV449" s="741"/>
      <c r="CZW449" s="741"/>
      <c r="CZX449" s="741"/>
      <c r="CZY449" s="741"/>
      <c r="CZZ449" s="741"/>
      <c r="DAA449" s="741"/>
      <c r="DAB449" s="741"/>
      <c r="DAC449" s="741"/>
      <c r="DAD449" s="741"/>
      <c r="DAE449" s="741"/>
      <c r="DAF449" s="741"/>
      <c r="DAG449" s="741"/>
      <c r="DAH449" s="741"/>
      <c r="DAI449" s="741"/>
      <c r="DAJ449" s="741"/>
      <c r="DAK449" s="741"/>
      <c r="DAL449" s="741"/>
      <c r="DAM449" s="741"/>
      <c r="DAN449" s="741"/>
      <c r="DAO449" s="741"/>
      <c r="DAP449" s="741"/>
      <c r="DAQ449" s="741"/>
      <c r="DAR449" s="741"/>
      <c r="DAS449" s="741"/>
      <c r="DAT449" s="741"/>
      <c r="DAU449" s="741"/>
      <c r="DAV449" s="741"/>
      <c r="DAW449" s="741"/>
      <c r="DAX449" s="741"/>
      <c r="DAY449" s="741"/>
      <c r="DAZ449" s="741"/>
      <c r="DBA449" s="741"/>
      <c r="DBB449" s="741"/>
      <c r="DBC449" s="741"/>
      <c r="DBD449" s="741"/>
      <c r="DBE449" s="741"/>
      <c r="DBF449" s="741"/>
      <c r="DBG449" s="741"/>
      <c r="DBH449" s="741"/>
      <c r="DBI449" s="741"/>
      <c r="DBJ449" s="741"/>
      <c r="DBK449" s="741"/>
      <c r="DBL449" s="741"/>
      <c r="DBM449" s="741"/>
      <c r="DBN449" s="741"/>
      <c r="DBO449" s="741"/>
      <c r="DBP449" s="741"/>
      <c r="DBQ449" s="741"/>
      <c r="DBR449" s="741"/>
      <c r="DBS449" s="741"/>
      <c r="DBT449" s="741"/>
      <c r="DBU449" s="741"/>
      <c r="DBV449" s="741"/>
      <c r="DBW449" s="741"/>
      <c r="DBX449" s="741"/>
      <c r="DBY449" s="741"/>
      <c r="DBZ449" s="741"/>
      <c r="DCA449" s="741"/>
      <c r="DCB449" s="741"/>
      <c r="DCC449" s="741"/>
      <c r="DCD449" s="741"/>
      <c r="DCE449" s="741"/>
      <c r="DCF449" s="741"/>
      <c r="DCG449" s="741"/>
      <c r="DCH449" s="741"/>
      <c r="DCI449" s="741"/>
      <c r="DCJ449" s="741"/>
      <c r="DCK449" s="741"/>
      <c r="DCL449" s="741"/>
      <c r="DCM449" s="741"/>
      <c r="DCN449" s="741"/>
      <c r="DCO449" s="741"/>
      <c r="DCP449" s="741"/>
      <c r="DCQ449" s="741"/>
      <c r="DCR449" s="741"/>
      <c r="DCS449" s="741"/>
      <c r="DCT449" s="741"/>
      <c r="DCU449" s="741"/>
      <c r="DCV449" s="741"/>
      <c r="DCW449" s="741"/>
      <c r="DCX449" s="741"/>
      <c r="DCY449" s="741"/>
      <c r="DCZ449" s="741"/>
      <c r="DDA449" s="741"/>
      <c r="DDB449" s="741"/>
      <c r="DDC449" s="741"/>
      <c r="DDD449" s="741"/>
      <c r="DDE449" s="741"/>
      <c r="DDF449" s="741"/>
      <c r="DDG449" s="741"/>
      <c r="DDH449" s="741"/>
      <c r="DDI449" s="741"/>
      <c r="DDJ449" s="741"/>
      <c r="DDK449" s="741"/>
      <c r="DDL449" s="741"/>
      <c r="DDM449" s="741"/>
      <c r="DDN449" s="741"/>
      <c r="DDO449" s="741"/>
      <c r="DDP449" s="741"/>
      <c r="DDQ449" s="741"/>
      <c r="DDR449" s="741"/>
      <c r="DDS449" s="741"/>
      <c r="DDT449" s="741"/>
      <c r="DDU449" s="741"/>
      <c r="DDV449" s="741"/>
      <c r="DDW449" s="741"/>
      <c r="DDX449" s="741"/>
      <c r="DDY449" s="741"/>
      <c r="DDZ449" s="741"/>
      <c r="DEA449" s="741"/>
      <c r="DEB449" s="741"/>
      <c r="DEC449" s="741"/>
      <c r="DED449" s="741"/>
      <c r="DEE449" s="741"/>
      <c r="DEF449" s="741"/>
      <c r="DEG449" s="741"/>
      <c r="DEH449" s="741"/>
      <c r="DEI449" s="741"/>
      <c r="DEJ449" s="741"/>
      <c r="DEK449" s="741"/>
      <c r="DEL449" s="741"/>
      <c r="DEM449" s="741"/>
      <c r="DEN449" s="741"/>
      <c r="DEO449" s="741"/>
      <c r="DEP449" s="741"/>
      <c r="DEQ449" s="741"/>
      <c r="DER449" s="741"/>
      <c r="DES449" s="741"/>
      <c r="DET449" s="741"/>
      <c r="DEU449" s="741"/>
      <c r="DEV449" s="741"/>
      <c r="DEW449" s="741"/>
      <c r="DEX449" s="741"/>
      <c r="DEY449" s="741"/>
      <c r="DEZ449" s="741"/>
      <c r="DFA449" s="741"/>
      <c r="DFB449" s="741"/>
      <c r="DFC449" s="741"/>
      <c r="DFD449" s="741"/>
      <c r="DFE449" s="741"/>
      <c r="DFF449" s="741"/>
      <c r="DFG449" s="741"/>
      <c r="DFH449" s="741"/>
      <c r="DFI449" s="741"/>
      <c r="DFJ449" s="741"/>
      <c r="DFK449" s="741"/>
      <c r="DFL449" s="741"/>
      <c r="DFM449" s="741"/>
      <c r="DFN449" s="741"/>
      <c r="DFO449" s="741"/>
      <c r="DFP449" s="741"/>
      <c r="DFQ449" s="741"/>
      <c r="DFR449" s="741"/>
      <c r="DFS449" s="741"/>
      <c r="DFT449" s="741"/>
      <c r="DFU449" s="741"/>
      <c r="DFV449" s="741"/>
      <c r="DFW449" s="741"/>
      <c r="DFX449" s="741"/>
      <c r="DFY449" s="741"/>
      <c r="DFZ449" s="741"/>
      <c r="DGA449" s="741"/>
      <c r="DGB449" s="741"/>
      <c r="DGC449" s="741"/>
      <c r="DGD449" s="741"/>
      <c r="DGE449" s="741"/>
      <c r="DGF449" s="741"/>
      <c r="DGG449" s="741"/>
      <c r="DGH449" s="741"/>
      <c r="DGI449" s="741"/>
      <c r="DGJ449" s="741"/>
      <c r="DGK449" s="741"/>
      <c r="DGL449" s="741"/>
      <c r="DGM449" s="741"/>
      <c r="DGN449" s="741"/>
      <c r="DGO449" s="741"/>
      <c r="DGP449" s="741"/>
      <c r="DGQ449" s="741"/>
      <c r="DGR449" s="741"/>
      <c r="DGS449" s="741"/>
      <c r="DGT449" s="741"/>
      <c r="DGU449" s="741"/>
      <c r="DGV449" s="741"/>
      <c r="DGW449" s="741"/>
      <c r="DGX449" s="741"/>
      <c r="DGY449" s="741"/>
      <c r="DGZ449" s="741"/>
      <c r="DHA449" s="741"/>
      <c r="DHB449" s="741"/>
      <c r="DHC449" s="741"/>
      <c r="DHD449" s="741"/>
      <c r="DHE449" s="741"/>
      <c r="DHF449" s="741"/>
      <c r="DHG449" s="741"/>
      <c r="DHH449" s="741"/>
      <c r="DHI449" s="741"/>
      <c r="DHJ449" s="741"/>
      <c r="DHK449" s="741"/>
      <c r="DHL449" s="741"/>
      <c r="DHM449" s="741"/>
      <c r="DHN449" s="741"/>
      <c r="DHO449" s="741"/>
      <c r="DHP449" s="741"/>
      <c r="DHQ449" s="741"/>
      <c r="DHR449" s="741"/>
      <c r="DHS449" s="741"/>
      <c r="DHT449" s="741"/>
      <c r="DHU449" s="741"/>
      <c r="DHV449" s="741"/>
      <c r="DHW449" s="741"/>
      <c r="DHX449" s="741"/>
      <c r="DHY449" s="741"/>
      <c r="DHZ449" s="741"/>
      <c r="DIA449" s="741"/>
      <c r="DIB449" s="741"/>
      <c r="DIC449" s="741"/>
      <c r="DID449" s="741"/>
      <c r="DIE449" s="741"/>
      <c r="DIF449" s="741"/>
      <c r="DIG449" s="741"/>
      <c r="DIH449" s="741"/>
      <c r="DII449" s="741"/>
      <c r="DIJ449" s="741"/>
      <c r="DIK449" s="741"/>
      <c r="DIL449" s="741"/>
      <c r="DIM449" s="741"/>
      <c r="DIN449" s="741"/>
      <c r="DIO449" s="741"/>
      <c r="DIP449" s="741"/>
      <c r="DIQ449" s="741"/>
      <c r="DIR449" s="741"/>
      <c r="DIS449" s="741"/>
      <c r="DIT449" s="741"/>
      <c r="DIU449" s="741"/>
      <c r="DIV449" s="741"/>
      <c r="DIW449" s="741"/>
      <c r="DIX449" s="741"/>
      <c r="DIY449" s="741"/>
      <c r="DIZ449" s="741"/>
      <c r="DJA449" s="741"/>
      <c r="DJB449" s="741"/>
      <c r="DJC449" s="741"/>
      <c r="DJD449" s="741"/>
      <c r="DJE449" s="741"/>
      <c r="DJF449" s="741"/>
      <c r="DJG449" s="741"/>
      <c r="DJH449" s="741"/>
      <c r="DJI449" s="741"/>
      <c r="DJJ449" s="741"/>
      <c r="DJK449" s="741"/>
      <c r="DJL449" s="741"/>
      <c r="DJM449" s="741"/>
      <c r="DJN449" s="741"/>
      <c r="DJO449" s="741"/>
      <c r="DJP449" s="741"/>
      <c r="DJQ449" s="741"/>
      <c r="DJR449" s="741"/>
      <c r="DJS449" s="741"/>
      <c r="DJT449" s="741"/>
      <c r="DJU449" s="741"/>
      <c r="DJV449" s="741"/>
      <c r="DJW449" s="741"/>
      <c r="DJX449" s="741"/>
      <c r="DJY449" s="741"/>
      <c r="DJZ449" s="741"/>
      <c r="DKA449" s="741"/>
      <c r="DKB449" s="741"/>
      <c r="DKC449" s="741"/>
      <c r="DKD449" s="741"/>
      <c r="DKE449" s="741"/>
      <c r="DKF449" s="741"/>
      <c r="DKG449" s="741"/>
      <c r="DKH449" s="741"/>
      <c r="DKI449" s="741"/>
      <c r="DKJ449" s="741"/>
      <c r="DKK449" s="741"/>
      <c r="DKL449" s="741"/>
      <c r="DKM449" s="741"/>
      <c r="DKN449" s="741"/>
      <c r="DKO449" s="741"/>
      <c r="DKP449" s="741"/>
      <c r="DKQ449" s="741"/>
      <c r="DKR449" s="741"/>
      <c r="DKS449" s="741"/>
      <c r="DKT449" s="741"/>
      <c r="DKU449" s="741"/>
      <c r="DKV449" s="741"/>
      <c r="DKW449" s="741"/>
      <c r="DKX449" s="741"/>
      <c r="DKY449" s="741"/>
      <c r="DKZ449" s="741"/>
      <c r="DLA449" s="741"/>
      <c r="DLB449" s="741"/>
      <c r="DLC449" s="741"/>
      <c r="DLD449" s="741"/>
      <c r="DLE449" s="741"/>
      <c r="DLF449" s="741"/>
      <c r="DLG449" s="741"/>
      <c r="DLH449" s="741"/>
      <c r="DLI449" s="741"/>
      <c r="DLJ449" s="741"/>
      <c r="DLK449" s="741"/>
      <c r="DLL449" s="741"/>
      <c r="DLM449" s="741"/>
      <c r="DLN449" s="741"/>
      <c r="DLO449" s="741"/>
      <c r="DLP449" s="741"/>
      <c r="DLQ449" s="741"/>
      <c r="DLR449" s="741"/>
      <c r="DLS449" s="741"/>
      <c r="DLT449" s="741"/>
      <c r="DLU449" s="741"/>
      <c r="DLV449" s="741"/>
      <c r="DLW449" s="741"/>
      <c r="DLX449" s="741"/>
      <c r="DLY449" s="741"/>
      <c r="DLZ449" s="741"/>
      <c r="DMA449" s="741"/>
      <c r="DMB449" s="741"/>
      <c r="DMC449" s="741"/>
      <c r="DMD449" s="741"/>
      <c r="DME449" s="741"/>
      <c r="DMF449" s="741"/>
      <c r="DMG449" s="741"/>
      <c r="DMH449" s="741"/>
      <c r="DMI449" s="741"/>
      <c r="DMJ449" s="741"/>
      <c r="DMK449" s="741"/>
      <c r="DML449" s="741"/>
      <c r="DMM449" s="741"/>
      <c r="DMN449" s="741"/>
      <c r="DMO449" s="741"/>
      <c r="DMP449" s="741"/>
      <c r="DMQ449" s="741"/>
      <c r="DMR449" s="741"/>
      <c r="DMS449" s="741"/>
      <c r="DMT449" s="741"/>
      <c r="DMU449" s="741"/>
      <c r="DMV449" s="741"/>
      <c r="DMW449" s="741"/>
      <c r="DMX449" s="741"/>
      <c r="DMY449" s="741"/>
      <c r="DMZ449" s="741"/>
      <c r="DNA449" s="741"/>
      <c r="DNB449" s="741"/>
      <c r="DNC449" s="741"/>
      <c r="DND449" s="741"/>
      <c r="DNE449" s="741"/>
      <c r="DNF449" s="741"/>
      <c r="DNG449" s="741"/>
      <c r="DNH449" s="741"/>
      <c r="DNI449" s="741"/>
      <c r="DNJ449" s="741"/>
      <c r="DNK449" s="741"/>
      <c r="DNL449" s="741"/>
      <c r="DNM449" s="741"/>
      <c r="DNN449" s="741"/>
      <c r="DNO449" s="741"/>
      <c r="DNP449" s="741"/>
      <c r="DNQ449" s="741"/>
      <c r="DNR449" s="741"/>
      <c r="DNS449" s="741"/>
      <c r="DNT449" s="741"/>
      <c r="DNU449" s="741"/>
      <c r="DNV449" s="741"/>
      <c r="DNW449" s="741"/>
      <c r="DNX449" s="741"/>
      <c r="DNY449" s="741"/>
      <c r="DNZ449" s="741"/>
      <c r="DOA449" s="741"/>
      <c r="DOB449" s="741"/>
      <c r="DOC449" s="741"/>
      <c r="DOD449" s="741"/>
      <c r="DOE449" s="741"/>
      <c r="DOF449" s="741"/>
      <c r="DOG449" s="741"/>
      <c r="DOH449" s="741"/>
      <c r="DOI449" s="741"/>
      <c r="DOJ449" s="741"/>
      <c r="DOK449" s="741"/>
      <c r="DOL449" s="741"/>
      <c r="DOM449" s="741"/>
      <c r="DON449" s="741"/>
      <c r="DOO449" s="741"/>
      <c r="DOP449" s="741"/>
      <c r="DOQ449" s="741"/>
      <c r="DOR449" s="741"/>
      <c r="DOS449" s="741"/>
      <c r="DOT449" s="741"/>
      <c r="DOU449" s="741"/>
      <c r="DOV449" s="741"/>
      <c r="DOW449" s="741"/>
      <c r="DOX449" s="741"/>
      <c r="DOY449" s="741"/>
      <c r="DOZ449" s="741"/>
      <c r="DPA449" s="741"/>
      <c r="DPB449" s="741"/>
      <c r="DPC449" s="741"/>
      <c r="DPD449" s="741"/>
      <c r="DPE449" s="741"/>
      <c r="DPF449" s="741"/>
      <c r="DPG449" s="741"/>
      <c r="DPH449" s="741"/>
      <c r="DPI449" s="741"/>
      <c r="DPJ449" s="741"/>
      <c r="DPK449" s="741"/>
      <c r="DPL449" s="741"/>
      <c r="DPM449" s="741"/>
      <c r="DPN449" s="741"/>
      <c r="DPO449" s="741"/>
      <c r="DPP449" s="741"/>
      <c r="DPQ449" s="741"/>
      <c r="DPR449" s="741"/>
      <c r="DPS449" s="741"/>
      <c r="DPT449" s="741"/>
      <c r="DPU449" s="741"/>
      <c r="DPV449" s="741"/>
      <c r="DPW449" s="741"/>
      <c r="DPX449" s="741"/>
      <c r="DPY449" s="741"/>
      <c r="DPZ449" s="741"/>
      <c r="DQA449" s="741"/>
      <c r="DQB449" s="741"/>
      <c r="DQC449" s="741"/>
      <c r="DQD449" s="741"/>
      <c r="DQE449" s="741"/>
      <c r="DQF449" s="741"/>
      <c r="DQG449" s="741"/>
      <c r="DQH449" s="741"/>
      <c r="DQI449" s="741"/>
      <c r="DQJ449" s="741"/>
      <c r="DQK449" s="741"/>
      <c r="DQL449" s="741"/>
      <c r="DQM449" s="741"/>
      <c r="DQN449" s="741"/>
      <c r="DQO449" s="741"/>
      <c r="DQP449" s="741"/>
      <c r="DQQ449" s="741"/>
      <c r="DQR449" s="741"/>
      <c r="DQS449" s="741"/>
      <c r="DQT449" s="741"/>
      <c r="DQU449" s="741"/>
      <c r="DQV449" s="741"/>
      <c r="DQW449" s="741"/>
      <c r="DQX449" s="741"/>
      <c r="DQY449" s="741"/>
      <c r="DQZ449" s="741"/>
      <c r="DRA449" s="741"/>
      <c r="DRB449" s="741"/>
      <c r="DRC449" s="741"/>
      <c r="DRD449" s="741"/>
      <c r="DRE449" s="741"/>
      <c r="DRF449" s="741"/>
      <c r="DRG449" s="741"/>
      <c r="DRH449" s="741"/>
      <c r="DRI449" s="741"/>
      <c r="DRJ449" s="741"/>
      <c r="DRK449" s="741"/>
      <c r="DRL449" s="741"/>
      <c r="DRM449" s="741"/>
      <c r="DRN449" s="741"/>
      <c r="DRO449" s="741"/>
      <c r="DRP449" s="741"/>
      <c r="DRQ449" s="741"/>
      <c r="DRR449" s="741"/>
      <c r="DRS449" s="741"/>
      <c r="DRT449" s="741"/>
      <c r="DRU449" s="741"/>
      <c r="DRV449" s="741"/>
      <c r="DRW449" s="741"/>
      <c r="DRX449" s="741"/>
      <c r="DRY449" s="741"/>
      <c r="DRZ449" s="741"/>
      <c r="DSA449" s="741"/>
      <c r="DSB449" s="741"/>
      <c r="DSC449" s="741"/>
      <c r="DSD449" s="741"/>
      <c r="DSE449" s="741"/>
      <c r="DSF449" s="741"/>
      <c r="DSG449" s="741"/>
      <c r="DSH449" s="741"/>
      <c r="DSI449" s="741"/>
      <c r="DSJ449" s="741"/>
      <c r="DSK449" s="741"/>
      <c r="DSL449" s="741"/>
      <c r="DSM449" s="741"/>
      <c r="DSN449" s="741"/>
      <c r="DSO449" s="741"/>
      <c r="DSP449" s="741"/>
      <c r="DSQ449" s="741"/>
      <c r="DSR449" s="741"/>
      <c r="DSS449" s="741"/>
      <c r="DST449" s="741"/>
      <c r="DSU449" s="741"/>
      <c r="DSV449" s="741"/>
      <c r="DSW449" s="741"/>
      <c r="DSX449" s="741"/>
      <c r="DSY449" s="741"/>
      <c r="DSZ449" s="741"/>
      <c r="DTA449" s="741"/>
      <c r="DTB449" s="741"/>
      <c r="DTC449" s="741"/>
      <c r="DTD449" s="741"/>
      <c r="DTE449" s="741"/>
      <c r="DTF449" s="741"/>
      <c r="DTG449" s="741"/>
      <c r="DTH449" s="741"/>
      <c r="DTI449" s="741"/>
      <c r="DTJ449" s="741"/>
      <c r="DTK449" s="741"/>
      <c r="DTL449" s="741"/>
      <c r="DTM449" s="741"/>
      <c r="DTN449" s="741"/>
      <c r="DTO449" s="741"/>
      <c r="DTP449" s="741"/>
      <c r="DTQ449" s="741"/>
      <c r="DTR449" s="741"/>
      <c r="DTS449" s="741"/>
      <c r="DTT449" s="741"/>
      <c r="DTU449" s="741"/>
      <c r="DTV449" s="741"/>
      <c r="DTW449" s="741"/>
      <c r="DTX449" s="741"/>
      <c r="DTY449" s="741"/>
      <c r="DTZ449" s="741"/>
      <c r="DUA449" s="741"/>
      <c r="DUB449" s="741"/>
      <c r="DUC449" s="741"/>
      <c r="DUD449" s="741"/>
      <c r="DUE449" s="741"/>
      <c r="DUF449" s="741"/>
      <c r="DUG449" s="741"/>
      <c r="DUH449" s="741"/>
      <c r="DUI449" s="741"/>
      <c r="DUJ449" s="741"/>
      <c r="DUK449" s="741"/>
      <c r="DUL449" s="741"/>
      <c r="DUM449" s="741"/>
      <c r="DUN449" s="741"/>
      <c r="DUO449" s="741"/>
      <c r="DUP449" s="741"/>
      <c r="DUQ449" s="741"/>
      <c r="DUR449" s="741"/>
      <c r="DUS449" s="741"/>
      <c r="DUT449" s="741"/>
      <c r="DUU449" s="741"/>
      <c r="DUV449" s="741"/>
      <c r="DUW449" s="741"/>
      <c r="DUX449" s="741"/>
      <c r="DUY449" s="741"/>
      <c r="DUZ449" s="741"/>
      <c r="DVA449" s="741"/>
      <c r="DVB449" s="741"/>
      <c r="DVC449" s="741"/>
      <c r="DVD449" s="741"/>
      <c r="DVE449" s="741"/>
      <c r="DVF449" s="741"/>
      <c r="DVG449" s="741"/>
      <c r="DVH449" s="741"/>
      <c r="DVI449" s="741"/>
      <c r="DVJ449" s="741"/>
      <c r="DVK449" s="741"/>
      <c r="DVL449" s="741"/>
      <c r="DVM449" s="741"/>
      <c r="DVN449" s="741"/>
      <c r="DVO449" s="741"/>
      <c r="DVP449" s="741"/>
      <c r="DVQ449" s="741"/>
      <c r="DVR449" s="741"/>
      <c r="DVS449" s="741"/>
      <c r="DVT449" s="741"/>
      <c r="DVU449" s="741"/>
      <c r="DVV449" s="741"/>
      <c r="DVW449" s="741"/>
      <c r="DVX449" s="741"/>
      <c r="DVY449" s="741"/>
      <c r="DVZ449" s="741"/>
      <c r="DWA449" s="741"/>
      <c r="DWB449" s="741"/>
      <c r="DWC449" s="741"/>
      <c r="DWD449" s="741"/>
      <c r="DWE449" s="741"/>
      <c r="DWF449" s="741"/>
      <c r="DWG449" s="741"/>
      <c r="DWH449" s="741"/>
      <c r="DWI449" s="741"/>
      <c r="DWJ449" s="741"/>
      <c r="DWK449" s="741"/>
      <c r="DWL449" s="741"/>
      <c r="DWM449" s="741"/>
      <c r="DWN449" s="741"/>
      <c r="DWO449" s="741"/>
      <c r="DWP449" s="741"/>
      <c r="DWQ449" s="741"/>
      <c r="DWR449" s="741"/>
      <c r="DWS449" s="741"/>
      <c r="DWT449" s="741"/>
      <c r="DWU449" s="741"/>
      <c r="DWV449" s="741"/>
      <c r="DWW449" s="741"/>
      <c r="DWX449" s="741"/>
      <c r="DWY449" s="741"/>
      <c r="DWZ449" s="741"/>
      <c r="DXA449" s="741"/>
      <c r="DXB449" s="741"/>
      <c r="DXC449" s="741"/>
      <c r="DXD449" s="741"/>
      <c r="DXE449" s="741"/>
      <c r="DXF449" s="741"/>
      <c r="DXG449" s="741"/>
      <c r="DXH449" s="741"/>
      <c r="DXI449" s="741"/>
      <c r="DXJ449" s="741"/>
      <c r="DXK449" s="741"/>
      <c r="DXL449" s="741"/>
      <c r="DXM449" s="741"/>
      <c r="DXN449" s="741"/>
      <c r="DXO449" s="741"/>
      <c r="DXP449" s="741"/>
      <c r="DXQ449" s="741"/>
      <c r="DXR449" s="741"/>
      <c r="DXS449" s="741"/>
      <c r="DXT449" s="741"/>
      <c r="DXU449" s="741"/>
      <c r="DXV449" s="741"/>
      <c r="DXW449" s="741"/>
      <c r="DXX449" s="741"/>
      <c r="DXY449" s="741"/>
      <c r="DXZ449" s="741"/>
      <c r="DYA449" s="741"/>
      <c r="DYB449" s="741"/>
      <c r="DYC449" s="741"/>
      <c r="DYD449" s="741"/>
      <c r="DYE449" s="741"/>
      <c r="DYF449" s="741"/>
      <c r="DYG449" s="741"/>
      <c r="DYH449" s="741"/>
      <c r="DYI449" s="741"/>
      <c r="DYJ449" s="741"/>
      <c r="DYK449" s="741"/>
      <c r="DYL449" s="741"/>
      <c r="DYM449" s="741"/>
      <c r="DYN449" s="741"/>
      <c r="DYO449" s="741"/>
      <c r="DYP449" s="741"/>
      <c r="DYQ449" s="741"/>
      <c r="DYR449" s="741"/>
      <c r="DYS449" s="741"/>
      <c r="DYT449" s="741"/>
      <c r="DYU449" s="741"/>
      <c r="DYV449" s="741"/>
      <c r="DYW449" s="741"/>
      <c r="DYX449" s="741"/>
      <c r="DYY449" s="741"/>
      <c r="DYZ449" s="741"/>
      <c r="DZA449" s="741"/>
      <c r="DZB449" s="741"/>
      <c r="DZC449" s="741"/>
      <c r="DZD449" s="741"/>
      <c r="DZE449" s="741"/>
      <c r="DZF449" s="741"/>
      <c r="DZG449" s="741"/>
      <c r="DZH449" s="741"/>
      <c r="DZI449" s="741"/>
      <c r="DZJ449" s="741"/>
      <c r="DZK449" s="741"/>
      <c r="DZL449" s="741"/>
      <c r="DZM449" s="741"/>
      <c r="DZN449" s="741"/>
      <c r="DZO449" s="741"/>
      <c r="DZP449" s="741"/>
      <c r="DZQ449" s="741"/>
      <c r="DZR449" s="741"/>
      <c r="DZS449" s="741"/>
      <c r="DZT449" s="741"/>
      <c r="DZU449" s="741"/>
      <c r="DZV449" s="741"/>
      <c r="DZW449" s="741"/>
      <c r="DZX449" s="741"/>
      <c r="DZY449" s="741"/>
      <c r="DZZ449" s="741"/>
      <c r="EAA449" s="741"/>
      <c r="EAB449" s="741"/>
      <c r="EAC449" s="741"/>
      <c r="EAD449" s="741"/>
      <c r="EAE449" s="741"/>
      <c r="EAF449" s="741"/>
      <c r="EAG449" s="741"/>
      <c r="EAH449" s="741"/>
      <c r="EAI449" s="741"/>
      <c r="EAJ449" s="741"/>
      <c r="EAK449" s="741"/>
      <c r="EAL449" s="741"/>
      <c r="EAM449" s="741"/>
      <c r="EAN449" s="741"/>
      <c r="EAO449" s="741"/>
      <c r="EAP449" s="741"/>
      <c r="EAQ449" s="741"/>
      <c r="EAR449" s="741"/>
      <c r="EAS449" s="741"/>
      <c r="EAT449" s="741"/>
      <c r="EAU449" s="741"/>
      <c r="EAV449" s="741"/>
      <c r="EAW449" s="741"/>
      <c r="EAX449" s="741"/>
      <c r="EAY449" s="741"/>
      <c r="EAZ449" s="741"/>
      <c r="EBA449" s="741"/>
      <c r="EBB449" s="741"/>
      <c r="EBC449" s="741"/>
      <c r="EBD449" s="741"/>
      <c r="EBE449" s="741"/>
      <c r="EBF449" s="741"/>
      <c r="EBG449" s="741"/>
      <c r="EBH449" s="741"/>
      <c r="EBI449" s="741"/>
      <c r="EBJ449" s="741"/>
      <c r="EBK449" s="741"/>
      <c r="EBL449" s="741"/>
      <c r="EBM449" s="741"/>
      <c r="EBN449" s="741"/>
      <c r="EBO449" s="741"/>
      <c r="EBP449" s="741"/>
      <c r="EBQ449" s="741"/>
      <c r="EBR449" s="741"/>
      <c r="EBS449" s="741"/>
      <c r="EBT449" s="741"/>
      <c r="EBU449" s="741"/>
      <c r="EBV449" s="741"/>
      <c r="EBW449" s="741"/>
      <c r="EBX449" s="741"/>
      <c r="EBY449" s="741"/>
      <c r="EBZ449" s="741"/>
      <c r="ECA449" s="741"/>
      <c r="ECB449" s="741"/>
      <c r="ECC449" s="741"/>
      <c r="ECD449" s="741"/>
      <c r="ECE449" s="741"/>
      <c r="ECF449" s="741"/>
      <c r="ECG449" s="741"/>
      <c r="ECH449" s="741"/>
      <c r="ECI449" s="741"/>
      <c r="ECJ449" s="741"/>
      <c r="ECK449" s="741"/>
      <c r="ECL449" s="741"/>
      <c r="ECM449" s="741"/>
      <c r="ECN449" s="741"/>
      <c r="ECO449" s="741"/>
      <c r="ECP449" s="741"/>
      <c r="ECQ449" s="741"/>
      <c r="ECR449" s="741"/>
      <c r="ECS449" s="741"/>
      <c r="ECT449" s="741"/>
      <c r="ECU449" s="741"/>
      <c r="ECV449" s="741"/>
      <c r="ECW449" s="741"/>
      <c r="ECX449" s="741"/>
      <c r="ECY449" s="741"/>
      <c r="ECZ449" s="741"/>
      <c r="EDA449" s="741"/>
      <c r="EDB449" s="741"/>
      <c r="EDC449" s="741"/>
      <c r="EDD449" s="741"/>
      <c r="EDE449" s="741"/>
      <c r="EDF449" s="741"/>
      <c r="EDG449" s="741"/>
      <c r="EDH449" s="741"/>
      <c r="EDI449" s="741"/>
      <c r="EDJ449" s="741"/>
      <c r="EDK449" s="741"/>
      <c r="EDL449" s="741"/>
      <c r="EDM449" s="741"/>
      <c r="EDN449" s="741"/>
      <c r="EDO449" s="741"/>
      <c r="EDP449" s="741"/>
      <c r="EDQ449" s="741"/>
      <c r="EDR449" s="741"/>
      <c r="EDS449" s="741"/>
      <c r="EDT449" s="741"/>
      <c r="EDU449" s="741"/>
      <c r="EDV449" s="741"/>
      <c r="EDW449" s="741"/>
      <c r="EDX449" s="741"/>
      <c r="EDY449" s="741"/>
      <c r="EDZ449" s="741"/>
      <c r="EEA449" s="741"/>
      <c r="EEB449" s="741"/>
      <c r="EEC449" s="741"/>
      <c r="EED449" s="741"/>
      <c r="EEE449" s="741"/>
      <c r="EEF449" s="741"/>
      <c r="EEG449" s="741"/>
      <c r="EEH449" s="741"/>
      <c r="EEI449" s="741"/>
      <c r="EEJ449" s="741"/>
      <c r="EEK449" s="741"/>
      <c r="EEL449" s="741"/>
      <c r="EEM449" s="741"/>
      <c r="EEN449" s="741"/>
      <c r="EEO449" s="741"/>
      <c r="EEP449" s="741"/>
      <c r="EEQ449" s="741"/>
      <c r="EER449" s="741"/>
      <c r="EES449" s="741"/>
      <c r="EET449" s="741"/>
      <c r="EEU449" s="741"/>
      <c r="EEV449" s="741"/>
      <c r="EEW449" s="741"/>
      <c r="EEX449" s="741"/>
      <c r="EEY449" s="741"/>
      <c r="EEZ449" s="741"/>
      <c r="EFA449" s="741"/>
      <c r="EFB449" s="741"/>
      <c r="EFC449" s="741"/>
      <c r="EFD449" s="741"/>
      <c r="EFE449" s="741"/>
      <c r="EFF449" s="741"/>
      <c r="EFG449" s="741"/>
      <c r="EFH449" s="741"/>
      <c r="EFI449" s="741"/>
      <c r="EFJ449" s="741"/>
      <c r="EFK449" s="741"/>
      <c r="EFL449" s="741"/>
      <c r="EFM449" s="741"/>
      <c r="EFN449" s="741"/>
      <c r="EFO449" s="741"/>
      <c r="EFP449" s="741"/>
      <c r="EFQ449" s="741"/>
      <c r="EFR449" s="741"/>
      <c r="EFS449" s="741"/>
      <c r="EFT449" s="741"/>
      <c r="EFU449" s="741"/>
      <c r="EFV449" s="741"/>
      <c r="EFW449" s="741"/>
      <c r="EFX449" s="741"/>
      <c r="EFY449" s="741"/>
      <c r="EFZ449" s="741"/>
      <c r="EGA449" s="741"/>
      <c r="EGB449" s="741"/>
      <c r="EGC449" s="741"/>
      <c r="EGD449" s="741"/>
      <c r="EGE449" s="741"/>
      <c r="EGF449" s="741"/>
      <c r="EGG449" s="741"/>
      <c r="EGH449" s="741"/>
      <c r="EGI449" s="741"/>
      <c r="EGJ449" s="741"/>
      <c r="EGK449" s="741"/>
      <c r="EGL449" s="741"/>
      <c r="EGM449" s="741"/>
      <c r="EGN449" s="741"/>
      <c r="EGO449" s="741"/>
      <c r="EGP449" s="741"/>
      <c r="EGQ449" s="741"/>
      <c r="EGR449" s="741"/>
      <c r="EGS449" s="741"/>
      <c r="EGT449" s="741"/>
      <c r="EGU449" s="741"/>
      <c r="EGV449" s="741"/>
      <c r="EGW449" s="741"/>
      <c r="EGX449" s="741"/>
      <c r="EGY449" s="741"/>
      <c r="EGZ449" s="741"/>
      <c r="EHA449" s="741"/>
      <c r="EHB449" s="741"/>
      <c r="EHC449" s="741"/>
      <c r="EHD449" s="741"/>
      <c r="EHE449" s="741"/>
      <c r="EHF449" s="741"/>
      <c r="EHG449" s="741"/>
      <c r="EHH449" s="741"/>
      <c r="EHI449" s="741"/>
      <c r="EHJ449" s="741"/>
      <c r="EHK449" s="741"/>
      <c r="EHL449" s="741"/>
      <c r="EHM449" s="741"/>
      <c r="EHN449" s="741"/>
      <c r="EHO449" s="741"/>
      <c r="EHP449" s="741"/>
      <c r="EHQ449" s="741"/>
      <c r="EHR449" s="741"/>
      <c r="EHS449" s="741"/>
      <c r="EHT449" s="741"/>
      <c r="EHU449" s="741"/>
      <c r="EHV449" s="741"/>
      <c r="EHW449" s="741"/>
      <c r="EHX449" s="741"/>
      <c r="EHY449" s="741"/>
      <c r="EHZ449" s="741"/>
      <c r="EIA449" s="741"/>
      <c r="EIB449" s="741"/>
      <c r="EIC449" s="741"/>
      <c r="EID449" s="741"/>
      <c r="EIE449" s="741"/>
      <c r="EIF449" s="741"/>
      <c r="EIG449" s="741"/>
      <c r="EIH449" s="741"/>
      <c r="EII449" s="741"/>
      <c r="EIJ449" s="741"/>
      <c r="EIK449" s="741"/>
      <c r="EIL449" s="741"/>
      <c r="EIM449" s="741"/>
      <c r="EIN449" s="741"/>
      <c r="EIO449" s="741"/>
      <c r="EIP449" s="741"/>
      <c r="EIQ449" s="741"/>
      <c r="EIR449" s="741"/>
      <c r="EIS449" s="741"/>
      <c r="EIT449" s="741"/>
      <c r="EIU449" s="741"/>
      <c r="EIV449" s="741"/>
      <c r="EIW449" s="741"/>
      <c r="EIX449" s="741"/>
      <c r="EIY449" s="741"/>
      <c r="EIZ449" s="741"/>
      <c r="EJA449" s="741"/>
      <c r="EJB449" s="741"/>
      <c r="EJC449" s="741"/>
      <c r="EJD449" s="741"/>
      <c r="EJE449" s="741"/>
      <c r="EJF449" s="741"/>
      <c r="EJG449" s="741"/>
      <c r="EJH449" s="741"/>
      <c r="EJI449" s="741"/>
      <c r="EJJ449" s="741"/>
      <c r="EJK449" s="741"/>
      <c r="EJL449" s="741"/>
      <c r="EJM449" s="741"/>
      <c r="EJN449" s="741"/>
      <c r="EJO449" s="741"/>
      <c r="EJP449" s="741"/>
      <c r="EJQ449" s="741"/>
      <c r="EJR449" s="741"/>
      <c r="EJS449" s="741"/>
      <c r="EJT449" s="741"/>
      <c r="EJU449" s="741"/>
      <c r="EJV449" s="741"/>
      <c r="EJW449" s="741"/>
      <c r="EJX449" s="741"/>
      <c r="EJY449" s="741"/>
      <c r="EJZ449" s="741"/>
      <c r="EKA449" s="741"/>
      <c r="EKB449" s="741"/>
      <c r="EKC449" s="741"/>
      <c r="EKD449" s="741"/>
      <c r="EKE449" s="741"/>
      <c r="EKF449" s="741"/>
      <c r="EKG449" s="741"/>
      <c r="EKH449" s="741"/>
      <c r="EKI449" s="741"/>
      <c r="EKJ449" s="741"/>
      <c r="EKK449" s="741"/>
      <c r="EKL449" s="741"/>
      <c r="EKM449" s="741"/>
      <c r="EKN449" s="741"/>
      <c r="EKO449" s="741"/>
      <c r="EKP449" s="741"/>
      <c r="EKQ449" s="741"/>
      <c r="EKR449" s="741"/>
      <c r="EKS449" s="741"/>
      <c r="EKT449" s="741"/>
      <c r="EKU449" s="741"/>
      <c r="EKV449" s="741"/>
      <c r="EKW449" s="741"/>
      <c r="EKX449" s="741"/>
      <c r="EKY449" s="741"/>
      <c r="EKZ449" s="741"/>
      <c r="ELA449" s="741"/>
      <c r="ELB449" s="741"/>
      <c r="ELC449" s="741"/>
      <c r="ELD449" s="741"/>
      <c r="ELE449" s="741"/>
      <c r="ELF449" s="741"/>
      <c r="ELG449" s="741"/>
      <c r="ELH449" s="741"/>
      <c r="ELI449" s="741"/>
      <c r="ELJ449" s="741"/>
      <c r="ELK449" s="741"/>
      <c r="ELL449" s="741"/>
      <c r="ELM449" s="741"/>
      <c r="ELN449" s="741"/>
      <c r="ELO449" s="741"/>
      <c r="ELP449" s="741"/>
      <c r="ELQ449" s="741"/>
      <c r="ELR449" s="741"/>
      <c r="ELS449" s="741"/>
      <c r="ELT449" s="741"/>
      <c r="ELU449" s="741"/>
      <c r="ELV449" s="741"/>
      <c r="ELW449" s="741"/>
      <c r="ELX449" s="741"/>
      <c r="ELY449" s="741"/>
      <c r="ELZ449" s="741"/>
      <c r="EMA449" s="741"/>
      <c r="EMB449" s="741"/>
      <c r="EMC449" s="741"/>
      <c r="EMD449" s="741"/>
      <c r="EME449" s="741"/>
      <c r="EMF449" s="741"/>
      <c r="EMG449" s="741"/>
      <c r="EMH449" s="741"/>
      <c r="EMI449" s="741"/>
      <c r="EMJ449" s="741"/>
      <c r="EMK449" s="741"/>
      <c r="EML449" s="741"/>
      <c r="EMM449" s="741"/>
      <c r="EMN449" s="741"/>
      <c r="EMO449" s="741"/>
      <c r="EMP449" s="741"/>
      <c r="EMQ449" s="741"/>
      <c r="EMR449" s="741"/>
      <c r="EMS449" s="741"/>
      <c r="EMT449" s="741"/>
      <c r="EMU449" s="741"/>
      <c r="EMV449" s="741"/>
      <c r="EMW449" s="741"/>
      <c r="EMX449" s="741"/>
      <c r="EMY449" s="741"/>
      <c r="EMZ449" s="741"/>
      <c r="ENA449" s="741"/>
      <c r="ENB449" s="741"/>
      <c r="ENC449" s="741"/>
      <c r="END449" s="741"/>
      <c r="ENE449" s="741"/>
      <c r="ENF449" s="741"/>
      <c r="ENG449" s="741"/>
      <c r="ENH449" s="741"/>
      <c r="ENI449" s="741"/>
      <c r="ENJ449" s="741"/>
      <c r="ENK449" s="741"/>
      <c r="ENL449" s="741"/>
      <c r="ENM449" s="741"/>
      <c r="ENN449" s="741"/>
      <c r="ENO449" s="741"/>
      <c r="ENP449" s="741"/>
      <c r="ENQ449" s="741"/>
      <c r="ENR449" s="741"/>
      <c r="ENS449" s="741"/>
      <c r="ENT449" s="741"/>
      <c r="ENU449" s="741"/>
      <c r="ENV449" s="741"/>
      <c r="ENW449" s="741"/>
      <c r="ENX449" s="741"/>
      <c r="ENY449" s="741"/>
      <c r="ENZ449" s="741"/>
      <c r="EOA449" s="741"/>
      <c r="EOB449" s="741"/>
      <c r="EOC449" s="741"/>
      <c r="EOD449" s="741"/>
      <c r="EOE449" s="741"/>
      <c r="EOF449" s="741"/>
      <c r="EOG449" s="741"/>
      <c r="EOH449" s="741"/>
      <c r="EOI449" s="741"/>
      <c r="EOJ449" s="741"/>
      <c r="EOK449" s="741"/>
      <c r="EOL449" s="741"/>
      <c r="EOM449" s="741"/>
      <c r="EON449" s="741"/>
      <c r="EOO449" s="741"/>
      <c r="EOP449" s="741"/>
      <c r="EOQ449" s="741"/>
      <c r="EOR449" s="741"/>
      <c r="EOS449" s="741"/>
      <c r="EOT449" s="741"/>
      <c r="EOU449" s="741"/>
      <c r="EOV449" s="741"/>
      <c r="EOW449" s="741"/>
      <c r="EOX449" s="741"/>
      <c r="EOY449" s="741"/>
      <c r="EOZ449" s="741"/>
      <c r="EPA449" s="741"/>
      <c r="EPB449" s="741"/>
      <c r="EPC449" s="741"/>
      <c r="EPD449" s="741"/>
      <c r="EPE449" s="741"/>
      <c r="EPF449" s="741"/>
      <c r="EPG449" s="741"/>
      <c r="EPH449" s="741"/>
      <c r="EPI449" s="741"/>
      <c r="EPJ449" s="741"/>
      <c r="EPK449" s="741"/>
      <c r="EPL449" s="741"/>
      <c r="EPM449" s="741"/>
      <c r="EPN449" s="741"/>
      <c r="EPO449" s="741"/>
      <c r="EPP449" s="741"/>
      <c r="EPQ449" s="741"/>
      <c r="EPR449" s="741"/>
      <c r="EPS449" s="741"/>
      <c r="EPT449" s="741"/>
      <c r="EPU449" s="741"/>
      <c r="EPV449" s="741"/>
      <c r="EPW449" s="741"/>
      <c r="EPX449" s="741"/>
      <c r="EPY449" s="741"/>
      <c r="EPZ449" s="741"/>
      <c r="EQA449" s="741"/>
      <c r="EQB449" s="741"/>
      <c r="EQC449" s="741"/>
      <c r="EQD449" s="741"/>
      <c r="EQE449" s="741"/>
      <c r="EQF449" s="741"/>
      <c r="EQG449" s="741"/>
      <c r="EQH449" s="741"/>
      <c r="EQI449" s="741"/>
      <c r="EQJ449" s="741"/>
      <c r="EQK449" s="741"/>
      <c r="EQL449" s="741"/>
      <c r="EQM449" s="741"/>
      <c r="EQN449" s="741"/>
      <c r="EQO449" s="741"/>
      <c r="EQP449" s="741"/>
      <c r="EQQ449" s="741"/>
      <c r="EQR449" s="741"/>
      <c r="EQS449" s="741"/>
      <c r="EQT449" s="741"/>
      <c r="EQU449" s="741"/>
      <c r="EQV449" s="741"/>
      <c r="EQW449" s="741"/>
      <c r="EQX449" s="741"/>
      <c r="EQY449" s="741"/>
      <c r="EQZ449" s="741"/>
      <c r="ERA449" s="741"/>
      <c r="ERB449" s="741"/>
      <c r="ERC449" s="741"/>
      <c r="ERD449" s="741"/>
      <c r="ERE449" s="741"/>
      <c r="ERF449" s="741"/>
      <c r="ERG449" s="741"/>
      <c r="ERH449" s="741"/>
      <c r="ERI449" s="741"/>
      <c r="ERJ449" s="741"/>
      <c r="ERK449" s="741"/>
      <c r="ERL449" s="741"/>
      <c r="ERM449" s="741"/>
      <c r="ERN449" s="741"/>
      <c r="ERO449" s="741"/>
      <c r="ERP449" s="741"/>
      <c r="ERQ449" s="741"/>
      <c r="ERR449" s="741"/>
      <c r="ERS449" s="741"/>
      <c r="ERT449" s="741"/>
      <c r="ERU449" s="741"/>
      <c r="ERV449" s="741"/>
      <c r="ERW449" s="741"/>
      <c r="ERX449" s="741"/>
      <c r="ERY449" s="741"/>
      <c r="ERZ449" s="741"/>
      <c r="ESA449" s="741"/>
      <c r="ESB449" s="741"/>
      <c r="ESC449" s="741"/>
      <c r="ESD449" s="741"/>
      <c r="ESE449" s="741"/>
      <c r="ESF449" s="741"/>
      <c r="ESG449" s="741"/>
      <c r="ESH449" s="741"/>
      <c r="ESI449" s="741"/>
      <c r="ESJ449" s="741"/>
      <c r="ESK449" s="741"/>
      <c r="ESL449" s="741"/>
      <c r="ESM449" s="741"/>
      <c r="ESN449" s="741"/>
      <c r="ESO449" s="741"/>
      <c r="ESP449" s="741"/>
      <c r="ESQ449" s="741"/>
      <c r="ESR449" s="741"/>
      <c r="ESS449" s="741"/>
      <c r="EST449" s="741"/>
      <c r="ESU449" s="741"/>
      <c r="ESV449" s="741"/>
      <c r="ESW449" s="741"/>
      <c r="ESX449" s="741"/>
      <c r="ESY449" s="741"/>
      <c r="ESZ449" s="741"/>
      <c r="ETA449" s="741"/>
      <c r="ETB449" s="741"/>
      <c r="ETC449" s="741"/>
      <c r="ETD449" s="741"/>
      <c r="ETE449" s="741"/>
      <c r="ETF449" s="741"/>
      <c r="ETG449" s="741"/>
      <c r="ETH449" s="741"/>
      <c r="ETI449" s="741"/>
      <c r="ETJ449" s="741"/>
      <c r="ETK449" s="741"/>
      <c r="ETL449" s="741"/>
      <c r="ETM449" s="741"/>
      <c r="ETN449" s="741"/>
      <c r="ETO449" s="741"/>
      <c r="ETP449" s="741"/>
      <c r="ETQ449" s="741"/>
      <c r="ETR449" s="741"/>
      <c r="ETS449" s="741"/>
      <c r="ETT449" s="741"/>
      <c r="ETU449" s="741"/>
      <c r="ETV449" s="741"/>
      <c r="ETW449" s="741"/>
      <c r="ETX449" s="741"/>
      <c r="ETY449" s="741"/>
      <c r="ETZ449" s="741"/>
      <c r="EUA449" s="741"/>
      <c r="EUB449" s="741"/>
      <c r="EUC449" s="741"/>
      <c r="EUD449" s="741"/>
      <c r="EUE449" s="741"/>
      <c r="EUF449" s="741"/>
      <c r="EUG449" s="741"/>
      <c r="EUH449" s="741"/>
      <c r="EUI449" s="741"/>
      <c r="EUJ449" s="741"/>
      <c r="EUK449" s="741"/>
      <c r="EUL449" s="741"/>
      <c r="EUM449" s="741"/>
      <c r="EUN449" s="741"/>
      <c r="EUO449" s="741"/>
      <c r="EUP449" s="741"/>
      <c r="EUQ449" s="741"/>
      <c r="EUR449" s="741"/>
      <c r="EUS449" s="741"/>
      <c r="EUT449" s="741"/>
      <c r="EUU449" s="741"/>
      <c r="EUV449" s="741"/>
      <c r="EUW449" s="741"/>
      <c r="EUX449" s="741"/>
      <c r="EUY449" s="741"/>
      <c r="EUZ449" s="741"/>
      <c r="EVA449" s="741"/>
      <c r="EVB449" s="741"/>
      <c r="EVC449" s="741"/>
      <c r="EVD449" s="741"/>
      <c r="EVE449" s="741"/>
      <c r="EVF449" s="741"/>
      <c r="EVG449" s="741"/>
      <c r="EVH449" s="741"/>
      <c r="EVI449" s="741"/>
      <c r="EVJ449" s="741"/>
      <c r="EVK449" s="741"/>
      <c r="EVL449" s="741"/>
      <c r="EVM449" s="741"/>
      <c r="EVN449" s="741"/>
      <c r="EVO449" s="741"/>
      <c r="EVP449" s="741"/>
      <c r="EVQ449" s="741"/>
      <c r="EVR449" s="741"/>
      <c r="EVS449" s="741"/>
      <c r="EVT449" s="741"/>
      <c r="EVU449" s="741"/>
      <c r="EVV449" s="741"/>
      <c r="EVW449" s="741"/>
      <c r="EVX449" s="741"/>
      <c r="EVY449" s="741"/>
      <c r="EVZ449" s="741"/>
      <c r="EWA449" s="741"/>
      <c r="EWB449" s="741"/>
      <c r="EWC449" s="741"/>
      <c r="EWD449" s="741"/>
      <c r="EWE449" s="741"/>
      <c r="EWF449" s="741"/>
      <c r="EWG449" s="741"/>
      <c r="EWH449" s="741"/>
      <c r="EWI449" s="741"/>
      <c r="EWJ449" s="741"/>
      <c r="EWK449" s="741"/>
      <c r="EWL449" s="741"/>
      <c r="EWM449" s="741"/>
      <c r="EWN449" s="741"/>
      <c r="EWO449" s="741"/>
      <c r="EWP449" s="741"/>
      <c r="EWQ449" s="741"/>
      <c r="EWR449" s="741"/>
      <c r="EWS449" s="741"/>
      <c r="EWT449" s="741"/>
      <c r="EWU449" s="741"/>
      <c r="EWV449" s="741"/>
      <c r="EWW449" s="741"/>
      <c r="EWX449" s="741"/>
      <c r="EWY449" s="741"/>
      <c r="EWZ449" s="741"/>
      <c r="EXA449" s="741"/>
      <c r="EXB449" s="741"/>
      <c r="EXC449" s="741"/>
      <c r="EXD449" s="741"/>
      <c r="EXE449" s="741"/>
      <c r="EXF449" s="741"/>
      <c r="EXG449" s="741"/>
      <c r="EXH449" s="741"/>
      <c r="EXI449" s="741"/>
      <c r="EXJ449" s="741"/>
      <c r="EXK449" s="741"/>
      <c r="EXL449" s="741"/>
      <c r="EXM449" s="741"/>
      <c r="EXN449" s="741"/>
      <c r="EXO449" s="741"/>
      <c r="EXP449" s="741"/>
      <c r="EXQ449" s="741"/>
      <c r="EXR449" s="741"/>
      <c r="EXS449" s="741"/>
      <c r="EXT449" s="741"/>
      <c r="EXU449" s="741"/>
      <c r="EXV449" s="741"/>
      <c r="EXW449" s="741"/>
      <c r="EXX449" s="741"/>
      <c r="EXY449" s="741"/>
      <c r="EXZ449" s="741"/>
      <c r="EYA449" s="741"/>
      <c r="EYB449" s="741"/>
      <c r="EYC449" s="741"/>
      <c r="EYD449" s="741"/>
      <c r="EYE449" s="741"/>
      <c r="EYF449" s="741"/>
      <c r="EYG449" s="741"/>
      <c r="EYH449" s="741"/>
      <c r="EYI449" s="741"/>
      <c r="EYJ449" s="741"/>
      <c r="EYK449" s="741"/>
      <c r="EYL449" s="741"/>
      <c r="EYM449" s="741"/>
      <c r="EYN449" s="741"/>
      <c r="EYO449" s="741"/>
      <c r="EYP449" s="741"/>
      <c r="EYQ449" s="741"/>
      <c r="EYR449" s="741"/>
      <c r="EYS449" s="741"/>
      <c r="EYT449" s="741"/>
      <c r="EYU449" s="741"/>
      <c r="EYV449" s="741"/>
      <c r="EYW449" s="741"/>
      <c r="EYX449" s="741"/>
      <c r="EYY449" s="741"/>
      <c r="EYZ449" s="741"/>
      <c r="EZA449" s="741"/>
      <c r="EZB449" s="741"/>
      <c r="EZC449" s="741"/>
      <c r="EZD449" s="741"/>
      <c r="EZE449" s="741"/>
      <c r="EZF449" s="741"/>
      <c r="EZG449" s="741"/>
      <c r="EZH449" s="741"/>
      <c r="EZI449" s="741"/>
      <c r="EZJ449" s="741"/>
      <c r="EZK449" s="741"/>
      <c r="EZL449" s="741"/>
      <c r="EZM449" s="741"/>
      <c r="EZN449" s="741"/>
      <c r="EZO449" s="741"/>
      <c r="EZP449" s="741"/>
      <c r="EZQ449" s="741"/>
      <c r="EZR449" s="741"/>
      <c r="EZS449" s="741"/>
      <c r="EZT449" s="741"/>
      <c r="EZU449" s="741"/>
      <c r="EZV449" s="741"/>
      <c r="EZW449" s="741"/>
      <c r="EZX449" s="741"/>
      <c r="EZY449" s="741"/>
      <c r="EZZ449" s="741"/>
      <c r="FAA449" s="741"/>
      <c r="FAB449" s="741"/>
      <c r="FAC449" s="741"/>
      <c r="FAD449" s="741"/>
      <c r="FAE449" s="741"/>
      <c r="FAF449" s="741"/>
      <c r="FAG449" s="741"/>
      <c r="FAH449" s="741"/>
      <c r="FAI449" s="741"/>
      <c r="FAJ449" s="741"/>
      <c r="FAK449" s="741"/>
      <c r="FAL449" s="741"/>
      <c r="FAM449" s="741"/>
      <c r="FAN449" s="741"/>
      <c r="FAO449" s="741"/>
      <c r="FAP449" s="741"/>
      <c r="FAQ449" s="741"/>
      <c r="FAR449" s="741"/>
      <c r="FAS449" s="741"/>
      <c r="FAT449" s="741"/>
      <c r="FAU449" s="741"/>
      <c r="FAV449" s="741"/>
      <c r="FAW449" s="741"/>
      <c r="FAX449" s="741"/>
      <c r="FAY449" s="741"/>
      <c r="FAZ449" s="741"/>
      <c r="FBA449" s="741"/>
      <c r="FBB449" s="741"/>
      <c r="FBC449" s="741"/>
      <c r="FBD449" s="741"/>
      <c r="FBE449" s="741"/>
      <c r="FBF449" s="741"/>
      <c r="FBG449" s="741"/>
      <c r="FBH449" s="741"/>
      <c r="FBI449" s="741"/>
      <c r="FBJ449" s="741"/>
      <c r="FBK449" s="741"/>
      <c r="FBL449" s="741"/>
      <c r="FBM449" s="741"/>
      <c r="FBN449" s="741"/>
      <c r="FBO449" s="741"/>
      <c r="FBP449" s="741"/>
      <c r="FBQ449" s="741"/>
      <c r="FBR449" s="741"/>
      <c r="FBS449" s="741"/>
      <c r="FBT449" s="741"/>
      <c r="FBU449" s="741"/>
      <c r="FBV449" s="741"/>
      <c r="FBW449" s="741"/>
      <c r="FBX449" s="741"/>
      <c r="FBY449" s="741"/>
      <c r="FBZ449" s="741"/>
      <c r="FCA449" s="741"/>
      <c r="FCB449" s="741"/>
      <c r="FCC449" s="741"/>
      <c r="FCD449" s="741"/>
      <c r="FCE449" s="741"/>
      <c r="FCF449" s="741"/>
      <c r="FCG449" s="741"/>
      <c r="FCH449" s="741"/>
      <c r="FCI449" s="741"/>
      <c r="FCJ449" s="741"/>
      <c r="FCK449" s="741"/>
      <c r="FCL449" s="741"/>
      <c r="FCM449" s="741"/>
      <c r="FCN449" s="741"/>
      <c r="FCO449" s="741"/>
      <c r="FCP449" s="741"/>
      <c r="FCQ449" s="741"/>
      <c r="FCR449" s="741"/>
      <c r="FCS449" s="741"/>
      <c r="FCT449" s="741"/>
      <c r="FCU449" s="741"/>
      <c r="FCV449" s="741"/>
      <c r="FCW449" s="741"/>
      <c r="FCX449" s="741"/>
      <c r="FCY449" s="741"/>
      <c r="FCZ449" s="741"/>
      <c r="FDA449" s="741"/>
      <c r="FDB449" s="741"/>
      <c r="FDC449" s="741"/>
      <c r="FDD449" s="741"/>
      <c r="FDE449" s="741"/>
      <c r="FDF449" s="741"/>
      <c r="FDG449" s="741"/>
      <c r="FDH449" s="741"/>
      <c r="FDI449" s="741"/>
      <c r="FDJ449" s="741"/>
      <c r="FDK449" s="741"/>
      <c r="FDL449" s="741"/>
      <c r="FDM449" s="741"/>
      <c r="FDN449" s="741"/>
      <c r="FDO449" s="741"/>
      <c r="FDP449" s="741"/>
      <c r="FDQ449" s="741"/>
      <c r="FDR449" s="741"/>
      <c r="FDS449" s="741"/>
      <c r="FDT449" s="741"/>
      <c r="FDU449" s="741"/>
      <c r="FDV449" s="741"/>
      <c r="FDW449" s="741"/>
      <c r="FDX449" s="741"/>
      <c r="FDY449" s="741"/>
      <c r="FDZ449" s="741"/>
      <c r="FEA449" s="741"/>
      <c r="FEB449" s="741"/>
      <c r="FEC449" s="741"/>
      <c r="FED449" s="741"/>
      <c r="FEE449" s="741"/>
      <c r="FEF449" s="741"/>
      <c r="FEG449" s="741"/>
      <c r="FEH449" s="741"/>
      <c r="FEI449" s="741"/>
      <c r="FEJ449" s="741"/>
      <c r="FEK449" s="741"/>
      <c r="FEL449" s="741"/>
      <c r="FEM449" s="741"/>
      <c r="FEN449" s="741"/>
      <c r="FEO449" s="741"/>
      <c r="FEP449" s="741"/>
      <c r="FEQ449" s="741"/>
      <c r="FER449" s="741"/>
      <c r="FES449" s="741"/>
      <c r="FET449" s="741"/>
      <c r="FEU449" s="741"/>
      <c r="FEV449" s="741"/>
      <c r="FEW449" s="741"/>
      <c r="FEX449" s="741"/>
      <c r="FEY449" s="741"/>
      <c r="FEZ449" s="741"/>
      <c r="FFA449" s="741"/>
      <c r="FFB449" s="741"/>
      <c r="FFC449" s="741"/>
      <c r="FFD449" s="741"/>
      <c r="FFE449" s="741"/>
      <c r="FFF449" s="741"/>
      <c r="FFG449" s="741"/>
      <c r="FFH449" s="741"/>
      <c r="FFI449" s="741"/>
      <c r="FFJ449" s="741"/>
      <c r="FFK449" s="741"/>
      <c r="FFL449" s="741"/>
      <c r="FFM449" s="741"/>
      <c r="FFN449" s="741"/>
      <c r="FFO449" s="741"/>
      <c r="FFP449" s="741"/>
      <c r="FFQ449" s="741"/>
      <c r="FFR449" s="741"/>
      <c r="FFS449" s="741"/>
      <c r="FFT449" s="741"/>
      <c r="FFU449" s="741"/>
      <c r="FFV449" s="741"/>
      <c r="FFW449" s="741"/>
      <c r="FFX449" s="741"/>
      <c r="FFY449" s="741"/>
      <c r="FFZ449" s="741"/>
      <c r="FGA449" s="741"/>
      <c r="FGB449" s="741"/>
      <c r="FGC449" s="741"/>
      <c r="FGD449" s="741"/>
      <c r="FGE449" s="741"/>
      <c r="FGF449" s="741"/>
      <c r="FGG449" s="741"/>
      <c r="FGH449" s="741"/>
      <c r="FGI449" s="741"/>
      <c r="FGJ449" s="741"/>
      <c r="FGK449" s="741"/>
      <c r="FGL449" s="741"/>
      <c r="FGM449" s="741"/>
      <c r="FGN449" s="741"/>
      <c r="FGO449" s="741"/>
      <c r="FGP449" s="741"/>
      <c r="FGQ449" s="741"/>
      <c r="FGR449" s="741"/>
      <c r="FGS449" s="741"/>
      <c r="FGT449" s="741"/>
      <c r="FGU449" s="741"/>
      <c r="FGV449" s="741"/>
      <c r="FGW449" s="741"/>
      <c r="FGX449" s="741"/>
      <c r="FGY449" s="741"/>
      <c r="FGZ449" s="741"/>
      <c r="FHA449" s="741"/>
      <c r="FHB449" s="741"/>
      <c r="FHC449" s="741"/>
      <c r="FHD449" s="741"/>
      <c r="FHE449" s="741"/>
      <c r="FHF449" s="741"/>
      <c r="FHG449" s="741"/>
      <c r="FHH449" s="741"/>
      <c r="FHI449" s="741"/>
      <c r="FHJ449" s="741"/>
      <c r="FHK449" s="741"/>
      <c r="FHL449" s="741"/>
      <c r="FHM449" s="741"/>
      <c r="FHN449" s="741"/>
      <c r="FHO449" s="741"/>
      <c r="FHP449" s="741"/>
      <c r="FHQ449" s="741"/>
      <c r="FHR449" s="741"/>
      <c r="FHS449" s="741"/>
      <c r="FHT449" s="741"/>
      <c r="FHU449" s="741"/>
      <c r="FHV449" s="741"/>
      <c r="FHW449" s="741"/>
      <c r="FHX449" s="741"/>
      <c r="FHY449" s="741"/>
      <c r="FHZ449" s="741"/>
      <c r="FIA449" s="741"/>
      <c r="FIB449" s="741"/>
      <c r="FIC449" s="741"/>
      <c r="FID449" s="741"/>
      <c r="FIE449" s="741"/>
      <c r="FIF449" s="741"/>
      <c r="FIG449" s="741"/>
      <c r="FIH449" s="741"/>
      <c r="FII449" s="741"/>
      <c r="FIJ449" s="741"/>
      <c r="FIK449" s="741"/>
      <c r="FIL449" s="741"/>
      <c r="FIM449" s="741"/>
      <c r="FIN449" s="741"/>
      <c r="FIO449" s="741"/>
      <c r="FIP449" s="741"/>
      <c r="FIQ449" s="741"/>
      <c r="FIR449" s="741"/>
      <c r="FIS449" s="741"/>
      <c r="FIT449" s="741"/>
      <c r="FIU449" s="741"/>
      <c r="FIV449" s="741"/>
      <c r="FIW449" s="741"/>
      <c r="FIX449" s="741"/>
      <c r="FIY449" s="741"/>
      <c r="FIZ449" s="741"/>
      <c r="FJA449" s="741"/>
      <c r="FJB449" s="741"/>
      <c r="FJC449" s="741"/>
      <c r="FJD449" s="741"/>
      <c r="FJE449" s="741"/>
      <c r="FJF449" s="741"/>
      <c r="FJG449" s="741"/>
      <c r="FJH449" s="741"/>
      <c r="FJI449" s="741"/>
      <c r="FJJ449" s="741"/>
      <c r="FJK449" s="741"/>
      <c r="FJL449" s="741"/>
      <c r="FJM449" s="741"/>
      <c r="FJN449" s="741"/>
      <c r="FJO449" s="741"/>
      <c r="FJP449" s="741"/>
      <c r="FJQ449" s="741"/>
      <c r="FJR449" s="741"/>
      <c r="FJS449" s="741"/>
      <c r="FJT449" s="741"/>
      <c r="FJU449" s="741"/>
      <c r="FJV449" s="741"/>
      <c r="FJW449" s="741"/>
      <c r="FJX449" s="741"/>
      <c r="FJY449" s="741"/>
      <c r="FJZ449" s="741"/>
      <c r="FKA449" s="741"/>
      <c r="FKB449" s="741"/>
      <c r="FKC449" s="741"/>
      <c r="FKD449" s="741"/>
      <c r="FKE449" s="741"/>
      <c r="FKF449" s="741"/>
      <c r="FKG449" s="741"/>
      <c r="FKH449" s="741"/>
      <c r="FKI449" s="741"/>
      <c r="FKJ449" s="741"/>
      <c r="FKK449" s="741"/>
      <c r="FKL449" s="741"/>
      <c r="FKM449" s="741"/>
      <c r="FKN449" s="741"/>
      <c r="FKO449" s="741"/>
      <c r="FKP449" s="741"/>
      <c r="FKQ449" s="741"/>
      <c r="FKR449" s="741"/>
      <c r="FKS449" s="741"/>
      <c r="FKT449" s="741"/>
      <c r="FKU449" s="741"/>
      <c r="FKV449" s="741"/>
      <c r="FKW449" s="741"/>
      <c r="FKX449" s="741"/>
      <c r="FKY449" s="741"/>
      <c r="FKZ449" s="741"/>
      <c r="FLA449" s="741"/>
      <c r="FLB449" s="741"/>
      <c r="FLC449" s="741"/>
      <c r="FLD449" s="741"/>
      <c r="FLE449" s="741"/>
      <c r="FLF449" s="741"/>
      <c r="FLG449" s="741"/>
      <c r="FLH449" s="741"/>
      <c r="FLI449" s="741"/>
      <c r="FLJ449" s="741"/>
      <c r="FLK449" s="741"/>
      <c r="FLL449" s="741"/>
      <c r="FLM449" s="741"/>
      <c r="FLN449" s="741"/>
      <c r="FLO449" s="741"/>
      <c r="FLP449" s="741"/>
      <c r="FLQ449" s="741"/>
      <c r="FLR449" s="741"/>
      <c r="FLS449" s="741"/>
      <c r="FLT449" s="741"/>
      <c r="FLU449" s="741"/>
      <c r="FLV449" s="741"/>
      <c r="FLW449" s="741"/>
      <c r="FLX449" s="741"/>
      <c r="FLY449" s="741"/>
      <c r="FLZ449" s="741"/>
      <c r="FMA449" s="741"/>
      <c r="FMB449" s="741"/>
      <c r="FMC449" s="741"/>
      <c r="FMD449" s="741"/>
      <c r="FME449" s="741"/>
      <c r="FMF449" s="741"/>
      <c r="FMG449" s="741"/>
      <c r="FMH449" s="741"/>
      <c r="FMI449" s="741"/>
      <c r="FMJ449" s="741"/>
      <c r="FMK449" s="741"/>
      <c r="FML449" s="741"/>
      <c r="FMM449" s="741"/>
      <c r="FMN449" s="741"/>
      <c r="FMO449" s="741"/>
      <c r="FMP449" s="741"/>
      <c r="FMQ449" s="741"/>
      <c r="FMR449" s="741"/>
      <c r="FMS449" s="741"/>
      <c r="FMT449" s="741"/>
      <c r="FMU449" s="741"/>
      <c r="FMV449" s="741"/>
      <c r="FMW449" s="741"/>
      <c r="FMX449" s="741"/>
      <c r="FMY449" s="741"/>
      <c r="FMZ449" s="741"/>
      <c r="FNA449" s="741"/>
      <c r="FNB449" s="741"/>
      <c r="FNC449" s="741"/>
      <c r="FND449" s="741"/>
      <c r="FNE449" s="741"/>
      <c r="FNF449" s="741"/>
      <c r="FNG449" s="741"/>
      <c r="FNH449" s="741"/>
      <c r="FNI449" s="741"/>
      <c r="FNJ449" s="741"/>
      <c r="FNK449" s="741"/>
      <c r="FNL449" s="741"/>
      <c r="FNM449" s="741"/>
      <c r="FNN449" s="741"/>
      <c r="FNO449" s="741"/>
      <c r="FNP449" s="741"/>
      <c r="FNQ449" s="741"/>
      <c r="FNR449" s="741"/>
      <c r="FNS449" s="741"/>
      <c r="FNT449" s="741"/>
      <c r="FNU449" s="741"/>
      <c r="FNV449" s="741"/>
      <c r="FNW449" s="741"/>
      <c r="FNX449" s="741"/>
      <c r="FNY449" s="741"/>
      <c r="FNZ449" s="741"/>
      <c r="FOA449" s="741"/>
      <c r="FOB449" s="741"/>
      <c r="FOC449" s="741"/>
      <c r="FOD449" s="741"/>
      <c r="FOE449" s="741"/>
      <c r="FOF449" s="741"/>
      <c r="FOG449" s="741"/>
      <c r="FOH449" s="741"/>
      <c r="FOI449" s="741"/>
      <c r="FOJ449" s="741"/>
      <c r="FOK449" s="741"/>
      <c r="FOL449" s="741"/>
      <c r="FOM449" s="741"/>
      <c r="FON449" s="741"/>
      <c r="FOO449" s="741"/>
      <c r="FOP449" s="741"/>
      <c r="FOQ449" s="741"/>
      <c r="FOR449" s="741"/>
      <c r="FOS449" s="741"/>
      <c r="FOT449" s="741"/>
      <c r="FOU449" s="741"/>
      <c r="FOV449" s="741"/>
      <c r="FOW449" s="741"/>
      <c r="FOX449" s="741"/>
      <c r="FOY449" s="741"/>
      <c r="FOZ449" s="741"/>
      <c r="FPA449" s="741"/>
      <c r="FPB449" s="741"/>
      <c r="FPC449" s="741"/>
      <c r="FPD449" s="741"/>
      <c r="FPE449" s="741"/>
      <c r="FPF449" s="741"/>
      <c r="FPG449" s="741"/>
      <c r="FPH449" s="741"/>
      <c r="FPI449" s="741"/>
      <c r="FPJ449" s="741"/>
      <c r="FPK449" s="741"/>
      <c r="FPL449" s="741"/>
      <c r="FPM449" s="741"/>
      <c r="FPN449" s="741"/>
      <c r="FPO449" s="741"/>
      <c r="FPP449" s="741"/>
      <c r="FPQ449" s="741"/>
      <c r="FPR449" s="741"/>
      <c r="FPS449" s="741"/>
      <c r="FPT449" s="741"/>
      <c r="FPU449" s="741"/>
      <c r="FPV449" s="741"/>
      <c r="FPW449" s="741"/>
      <c r="FPX449" s="741"/>
      <c r="FPY449" s="741"/>
      <c r="FPZ449" s="741"/>
      <c r="FQA449" s="741"/>
      <c r="FQB449" s="741"/>
      <c r="FQC449" s="741"/>
      <c r="FQD449" s="741"/>
      <c r="FQE449" s="741"/>
      <c r="FQF449" s="741"/>
      <c r="FQG449" s="741"/>
      <c r="FQH449" s="741"/>
      <c r="FQI449" s="741"/>
      <c r="FQJ449" s="741"/>
      <c r="FQK449" s="741"/>
      <c r="FQL449" s="741"/>
      <c r="FQM449" s="741"/>
      <c r="FQN449" s="741"/>
      <c r="FQO449" s="741"/>
      <c r="FQP449" s="741"/>
      <c r="FQQ449" s="741"/>
      <c r="FQR449" s="741"/>
      <c r="FQS449" s="741"/>
      <c r="FQT449" s="741"/>
      <c r="FQU449" s="741"/>
      <c r="FQV449" s="741"/>
      <c r="FQW449" s="741"/>
      <c r="FQX449" s="741"/>
      <c r="FQY449" s="741"/>
      <c r="FQZ449" s="741"/>
      <c r="FRA449" s="741"/>
      <c r="FRB449" s="741"/>
      <c r="FRC449" s="741"/>
      <c r="FRD449" s="741"/>
      <c r="FRE449" s="741"/>
      <c r="FRF449" s="741"/>
      <c r="FRG449" s="741"/>
      <c r="FRH449" s="741"/>
      <c r="FRI449" s="741"/>
      <c r="FRJ449" s="741"/>
      <c r="FRK449" s="741"/>
      <c r="FRL449" s="741"/>
      <c r="FRM449" s="741"/>
      <c r="FRN449" s="741"/>
      <c r="FRO449" s="741"/>
      <c r="FRP449" s="741"/>
      <c r="FRQ449" s="741"/>
      <c r="FRR449" s="741"/>
      <c r="FRS449" s="741"/>
      <c r="FRT449" s="741"/>
      <c r="FRU449" s="741"/>
      <c r="FRV449" s="741"/>
      <c r="FRW449" s="741"/>
      <c r="FRX449" s="741"/>
      <c r="FRY449" s="741"/>
      <c r="FRZ449" s="741"/>
      <c r="FSA449" s="741"/>
      <c r="FSB449" s="741"/>
      <c r="FSC449" s="741"/>
      <c r="FSD449" s="741"/>
      <c r="FSE449" s="741"/>
      <c r="FSF449" s="741"/>
      <c r="FSG449" s="741"/>
      <c r="FSH449" s="741"/>
      <c r="FSI449" s="741"/>
      <c r="FSJ449" s="741"/>
      <c r="FSK449" s="741"/>
      <c r="FSL449" s="741"/>
      <c r="FSM449" s="741"/>
      <c r="FSN449" s="741"/>
      <c r="FSO449" s="741"/>
      <c r="FSP449" s="741"/>
      <c r="FSQ449" s="741"/>
      <c r="FSR449" s="741"/>
      <c r="FSS449" s="741"/>
      <c r="FST449" s="741"/>
      <c r="FSU449" s="741"/>
      <c r="FSV449" s="741"/>
      <c r="FSW449" s="741"/>
      <c r="FSX449" s="741"/>
      <c r="FSY449" s="741"/>
      <c r="FSZ449" s="741"/>
      <c r="FTA449" s="741"/>
      <c r="FTB449" s="741"/>
      <c r="FTC449" s="741"/>
      <c r="FTD449" s="741"/>
      <c r="FTE449" s="741"/>
      <c r="FTF449" s="741"/>
      <c r="FTG449" s="741"/>
      <c r="FTH449" s="741"/>
      <c r="FTI449" s="741"/>
      <c r="FTJ449" s="741"/>
      <c r="FTK449" s="741"/>
      <c r="FTL449" s="741"/>
      <c r="FTM449" s="741"/>
      <c r="FTN449" s="741"/>
      <c r="FTO449" s="741"/>
      <c r="FTP449" s="741"/>
      <c r="FTQ449" s="741"/>
      <c r="FTR449" s="741"/>
      <c r="FTS449" s="741"/>
      <c r="FTT449" s="741"/>
      <c r="FTU449" s="741"/>
      <c r="FTV449" s="741"/>
      <c r="FTW449" s="741"/>
      <c r="FTX449" s="741"/>
      <c r="FTY449" s="741"/>
      <c r="FTZ449" s="741"/>
      <c r="FUA449" s="741"/>
      <c r="FUB449" s="741"/>
      <c r="FUC449" s="741"/>
      <c r="FUD449" s="741"/>
      <c r="FUE449" s="741"/>
      <c r="FUF449" s="741"/>
      <c r="FUG449" s="741"/>
      <c r="FUH449" s="741"/>
      <c r="FUI449" s="741"/>
      <c r="FUJ449" s="741"/>
      <c r="FUK449" s="741"/>
      <c r="FUL449" s="741"/>
      <c r="FUM449" s="741"/>
      <c r="FUN449" s="741"/>
      <c r="FUO449" s="741"/>
      <c r="FUP449" s="741"/>
      <c r="FUQ449" s="741"/>
      <c r="FUR449" s="741"/>
      <c r="FUS449" s="741"/>
      <c r="FUT449" s="741"/>
      <c r="FUU449" s="741"/>
      <c r="FUV449" s="741"/>
      <c r="FUW449" s="741"/>
      <c r="FUX449" s="741"/>
      <c r="FUY449" s="741"/>
      <c r="FUZ449" s="741"/>
      <c r="FVA449" s="741"/>
      <c r="FVB449" s="741"/>
      <c r="FVC449" s="741"/>
      <c r="FVD449" s="741"/>
      <c r="FVE449" s="741"/>
      <c r="FVF449" s="741"/>
      <c r="FVG449" s="741"/>
      <c r="FVH449" s="741"/>
      <c r="FVI449" s="741"/>
      <c r="FVJ449" s="741"/>
      <c r="FVK449" s="741"/>
      <c r="FVL449" s="741"/>
      <c r="FVM449" s="741"/>
      <c r="FVN449" s="741"/>
      <c r="FVO449" s="741"/>
      <c r="FVP449" s="741"/>
      <c r="FVQ449" s="741"/>
      <c r="FVR449" s="741"/>
      <c r="FVS449" s="741"/>
      <c r="FVT449" s="741"/>
      <c r="FVU449" s="741"/>
      <c r="FVV449" s="741"/>
      <c r="FVW449" s="741"/>
      <c r="FVX449" s="741"/>
      <c r="FVY449" s="741"/>
      <c r="FVZ449" s="741"/>
      <c r="FWA449" s="741"/>
      <c r="FWB449" s="741"/>
      <c r="FWC449" s="741"/>
      <c r="FWD449" s="741"/>
      <c r="FWE449" s="741"/>
      <c r="FWF449" s="741"/>
      <c r="FWG449" s="741"/>
      <c r="FWH449" s="741"/>
      <c r="FWI449" s="741"/>
      <c r="FWJ449" s="741"/>
      <c r="FWK449" s="741"/>
      <c r="FWL449" s="741"/>
      <c r="FWM449" s="741"/>
      <c r="FWN449" s="741"/>
      <c r="FWO449" s="741"/>
      <c r="FWP449" s="741"/>
      <c r="FWQ449" s="741"/>
      <c r="FWR449" s="741"/>
      <c r="FWS449" s="741"/>
      <c r="FWT449" s="741"/>
      <c r="FWU449" s="741"/>
      <c r="FWV449" s="741"/>
      <c r="FWW449" s="741"/>
      <c r="FWX449" s="741"/>
      <c r="FWY449" s="741"/>
      <c r="FWZ449" s="741"/>
      <c r="FXA449" s="741"/>
      <c r="FXB449" s="741"/>
      <c r="FXC449" s="741"/>
      <c r="FXD449" s="741"/>
      <c r="FXE449" s="741"/>
      <c r="FXF449" s="741"/>
      <c r="FXG449" s="741"/>
      <c r="FXH449" s="741"/>
      <c r="FXI449" s="741"/>
      <c r="FXJ449" s="741"/>
      <c r="FXK449" s="741"/>
      <c r="FXL449" s="741"/>
      <c r="FXM449" s="741"/>
      <c r="FXN449" s="741"/>
      <c r="FXO449" s="741"/>
      <c r="FXP449" s="741"/>
      <c r="FXQ449" s="741"/>
      <c r="FXR449" s="741"/>
      <c r="FXS449" s="741"/>
      <c r="FXT449" s="741"/>
      <c r="FXU449" s="741"/>
      <c r="FXV449" s="741"/>
      <c r="FXW449" s="741"/>
      <c r="FXX449" s="741"/>
      <c r="FXY449" s="741"/>
      <c r="FXZ449" s="741"/>
      <c r="FYA449" s="741"/>
      <c r="FYB449" s="741"/>
      <c r="FYC449" s="741"/>
      <c r="FYD449" s="741"/>
      <c r="FYE449" s="741"/>
      <c r="FYF449" s="741"/>
      <c r="FYG449" s="741"/>
      <c r="FYH449" s="741"/>
      <c r="FYI449" s="741"/>
      <c r="FYJ449" s="741"/>
      <c r="FYK449" s="741"/>
      <c r="FYL449" s="741"/>
      <c r="FYM449" s="741"/>
      <c r="FYN449" s="741"/>
      <c r="FYO449" s="741"/>
      <c r="FYP449" s="741"/>
      <c r="FYQ449" s="741"/>
      <c r="FYR449" s="741"/>
      <c r="FYS449" s="741"/>
      <c r="FYT449" s="741"/>
      <c r="FYU449" s="741"/>
      <c r="FYV449" s="741"/>
      <c r="FYW449" s="741"/>
      <c r="FYX449" s="741"/>
      <c r="FYY449" s="741"/>
      <c r="FYZ449" s="741"/>
      <c r="FZA449" s="741"/>
      <c r="FZB449" s="741"/>
      <c r="FZC449" s="741"/>
      <c r="FZD449" s="741"/>
      <c r="FZE449" s="741"/>
      <c r="FZF449" s="741"/>
      <c r="FZG449" s="741"/>
      <c r="FZH449" s="741"/>
      <c r="FZI449" s="741"/>
      <c r="FZJ449" s="741"/>
      <c r="FZK449" s="741"/>
      <c r="FZL449" s="741"/>
      <c r="FZM449" s="741"/>
      <c r="FZN449" s="741"/>
      <c r="FZO449" s="741"/>
      <c r="FZP449" s="741"/>
      <c r="FZQ449" s="741"/>
      <c r="FZR449" s="741"/>
      <c r="FZS449" s="741"/>
      <c r="FZT449" s="741"/>
      <c r="FZU449" s="741"/>
      <c r="FZV449" s="741"/>
      <c r="FZW449" s="741"/>
      <c r="FZX449" s="741"/>
      <c r="FZY449" s="741"/>
      <c r="FZZ449" s="741"/>
      <c r="GAA449" s="741"/>
      <c r="GAB449" s="741"/>
      <c r="GAC449" s="741"/>
      <c r="GAD449" s="741"/>
      <c r="GAE449" s="741"/>
      <c r="GAF449" s="741"/>
      <c r="GAG449" s="741"/>
      <c r="GAH449" s="741"/>
      <c r="GAI449" s="741"/>
      <c r="GAJ449" s="741"/>
      <c r="GAK449" s="741"/>
      <c r="GAL449" s="741"/>
      <c r="GAM449" s="741"/>
      <c r="GAN449" s="741"/>
      <c r="GAO449" s="741"/>
      <c r="GAP449" s="741"/>
      <c r="GAQ449" s="741"/>
      <c r="GAR449" s="741"/>
      <c r="GAS449" s="741"/>
      <c r="GAT449" s="741"/>
      <c r="GAU449" s="741"/>
      <c r="GAV449" s="741"/>
      <c r="GAW449" s="741"/>
      <c r="GAX449" s="741"/>
      <c r="GAY449" s="741"/>
      <c r="GAZ449" s="741"/>
      <c r="GBA449" s="741"/>
      <c r="GBB449" s="741"/>
      <c r="GBC449" s="741"/>
      <c r="GBD449" s="741"/>
      <c r="GBE449" s="741"/>
      <c r="GBF449" s="741"/>
      <c r="GBG449" s="741"/>
      <c r="GBH449" s="741"/>
      <c r="GBI449" s="741"/>
      <c r="GBJ449" s="741"/>
      <c r="GBK449" s="741"/>
      <c r="GBL449" s="741"/>
      <c r="GBM449" s="741"/>
      <c r="GBN449" s="741"/>
      <c r="GBO449" s="741"/>
      <c r="GBP449" s="741"/>
      <c r="GBQ449" s="741"/>
      <c r="GBR449" s="741"/>
      <c r="GBS449" s="741"/>
      <c r="GBT449" s="741"/>
      <c r="GBU449" s="741"/>
      <c r="GBV449" s="741"/>
      <c r="GBW449" s="741"/>
      <c r="GBX449" s="741"/>
      <c r="GBY449" s="741"/>
      <c r="GBZ449" s="741"/>
      <c r="GCA449" s="741"/>
      <c r="GCB449" s="741"/>
      <c r="GCC449" s="741"/>
      <c r="GCD449" s="741"/>
      <c r="GCE449" s="741"/>
      <c r="GCF449" s="741"/>
      <c r="GCG449" s="741"/>
      <c r="GCH449" s="741"/>
      <c r="GCI449" s="741"/>
      <c r="GCJ449" s="741"/>
      <c r="GCK449" s="741"/>
      <c r="GCL449" s="741"/>
      <c r="GCM449" s="741"/>
      <c r="GCN449" s="741"/>
      <c r="GCO449" s="741"/>
      <c r="GCP449" s="741"/>
      <c r="GCQ449" s="741"/>
      <c r="GCR449" s="741"/>
      <c r="GCS449" s="741"/>
      <c r="GCT449" s="741"/>
      <c r="GCU449" s="741"/>
      <c r="GCV449" s="741"/>
      <c r="GCW449" s="741"/>
      <c r="GCX449" s="741"/>
      <c r="GCY449" s="741"/>
      <c r="GCZ449" s="741"/>
      <c r="GDA449" s="741"/>
      <c r="GDB449" s="741"/>
      <c r="GDC449" s="741"/>
      <c r="GDD449" s="741"/>
      <c r="GDE449" s="741"/>
      <c r="GDF449" s="741"/>
      <c r="GDG449" s="741"/>
      <c r="GDH449" s="741"/>
      <c r="GDI449" s="741"/>
      <c r="GDJ449" s="741"/>
      <c r="GDK449" s="741"/>
      <c r="GDL449" s="741"/>
      <c r="GDM449" s="741"/>
      <c r="GDN449" s="741"/>
      <c r="GDO449" s="741"/>
      <c r="GDP449" s="741"/>
      <c r="GDQ449" s="741"/>
      <c r="GDR449" s="741"/>
      <c r="GDS449" s="741"/>
      <c r="GDT449" s="741"/>
      <c r="GDU449" s="741"/>
      <c r="GDV449" s="741"/>
      <c r="GDW449" s="741"/>
      <c r="GDX449" s="741"/>
      <c r="GDY449" s="741"/>
      <c r="GDZ449" s="741"/>
      <c r="GEA449" s="741"/>
      <c r="GEB449" s="741"/>
      <c r="GEC449" s="741"/>
      <c r="GED449" s="741"/>
      <c r="GEE449" s="741"/>
      <c r="GEF449" s="741"/>
      <c r="GEG449" s="741"/>
      <c r="GEH449" s="741"/>
      <c r="GEI449" s="741"/>
      <c r="GEJ449" s="741"/>
      <c r="GEK449" s="741"/>
      <c r="GEL449" s="741"/>
      <c r="GEM449" s="741"/>
      <c r="GEN449" s="741"/>
      <c r="GEO449" s="741"/>
      <c r="GEP449" s="741"/>
      <c r="GEQ449" s="741"/>
      <c r="GER449" s="741"/>
      <c r="GES449" s="741"/>
      <c r="GET449" s="741"/>
      <c r="GEU449" s="741"/>
      <c r="GEV449" s="741"/>
      <c r="GEW449" s="741"/>
      <c r="GEX449" s="741"/>
      <c r="GEY449" s="741"/>
      <c r="GEZ449" s="741"/>
      <c r="GFA449" s="741"/>
      <c r="GFB449" s="741"/>
      <c r="GFC449" s="741"/>
      <c r="GFD449" s="741"/>
      <c r="GFE449" s="741"/>
      <c r="GFF449" s="741"/>
      <c r="GFG449" s="741"/>
      <c r="GFH449" s="741"/>
      <c r="GFI449" s="741"/>
      <c r="GFJ449" s="741"/>
      <c r="GFK449" s="741"/>
      <c r="GFL449" s="741"/>
      <c r="GFM449" s="741"/>
      <c r="GFN449" s="741"/>
      <c r="GFO449" s="741"/>
      <c r="GFP449" s="741"/>
      <c r="GFQ449" s="741"/>
      <c r="GFR449" s="741"/>
      <c r="GFS449" s="741"/>
      <c r="GFT449" s="741"/>
      <c r="GFU449" s="741"/>
      <c r="GFV449" s="741"/>
      <c r="GFW449" s="741"/>
      <c r="GFX449" s="741"/>
      <c r="GFY449" s="741"/>
      <c r="GFZ449" s="741"/>
      <c r="GGA449" s="741"/>
      <c r="GGB449" s="741"/>
      <c r="GGC449" s="741"/>
      <c r="GGD449" s="741"/>
      <c r="GGE449" s="741"/>
      <c r="GGF449" s="741"/>
      <c r="GGG449" s="741"/>
      <c r="GGH449" s="741"/>
      <c r="GGI449" s="741"/>
      <c r="GGJ449" s="741"/>
      <c r="GGK449" s="741"/>
      <c r="GGL449" s="741"/>
      <c r="GGM449" s="741"/>
      <c r="GGN449" s="741"/>
      <c r="GGO449" s="741"/>
      <c r="GGP449" s="741"/>
      <c r="GGQ449" s="741"/>
      <c r="GGR449" s="741"/>
      <c r="GGS449" s="741"/>
      <c r="GGT449" s="741"/>
      <c r="GGU449" s="741"/>
      <c r="GGV449" s="741"/>
      <c r="GGW449" s="741"/>
      <c r="GGX449" s="741"/>
      <c r="GGY449" s="741"/>
      <c r="GGZ449" s="741"/>
      <c r="GHA449" s="741"/>
      <c r="GHB449" s="741"/>
      <c r="GHC449" s="741"/>
      <c r="GHD449" s="741"/>
      <c r="GHE449" s="741"/>
      <c r="GHF449" s="741"/>
      <c r="GHG449" s="741"/>
      <c r="GHH449" s="741"/>
      <c r="GHI449" s="741"/>
      <c r="GHJ449" s="741"/>
      <c r="GHK449" s="741"/>
      <c r="GHL449" s="741"/>
      <c r="GHM449" s="741"/>
      <c r="GHN449" s="741"/>
      <c r="GHO449" s="741"/>
      <c r="GHP449" s="741"/>
      <c r="GHQ449" s="741"/>
      <c r="GHR449" s="741"/>
      <c r="GHS449" s="741"/>
      <c r="GHT449" s="741"/>
      <c r="GHU449" s="741"/>
      <c r="GHV449" s="741"/>
      <c r="GHW449" s="741"/>
      <c r="GHX449" s="741"/>
      <c r="GHY449" s="741"/>
      <c r="GHZ449" s="741"/>
      <c r="GIA449" s="741"/>
      <c r="GIB449" s="741"/>
      <c r="GIC449" s="741"/>
      <c r="GID449" s="741"/>
      <c r="GIE449" s="741"/>
      <c r="GIF449" s="741"/>
      <c r="GIG449" s="741"/>
      <c r="GIH449" s="741"/>
      <c r="GII449" s="741"/>
      <c r="GIJ449" s="741"/>
      <c r="GIK449" s="741"/>
      <c r="GIL449" s="741"/>
      <c r="GIM449" s="741"/>
      <c r="GIN449" s="741"/>
      <c r="GIO449" s="741"/>
      <c r="GIP449" s="741"/>
      <c r="GIQ449" s="741"/>
      <c r="GIR449" s="741"/>
      <c r="GIS449" s="741"/>
      <c r="GIT449" s="741"/>
      <c r="GIU449" s="741"/>
      <c r="GIV449" s="741"/>
      <c r="GIW449" s="741"/>
      <c r="GIX449" s="741"/>
      <c r="GIY449" s="741"/>
      <c r="GIZ449" s="741"/>
      <c r="GJA449" s="741"/>
      <c r="GJB449" s="741"/>
      <c r="GJC449" s="741"/>
      <c r="GJD449" s="741"/>
      <c r="GJE449" s="741"/>
      <c r="GJF449" s="741"/>
      <c r="GJG449" s="741"/>
      <c r="GJH449" s="741"/>
      <c r="GJI449" s="741"/>
      <c r="GJJ449" s="741"/>
      <c r="GJK449" s="741"/>
      <c r="GJL449" s="741"/>
      <c r="GJM449" s="741"/>
      <c r="GJN449" s="741"/>
      <c r="GJO449" s="741"/>
      <c r="GJP449" s="741"/>
      <c r="GJQ449" s="741"/>
      <c r="GJR449" s="741"/>
      <c r="GJS449" s="741"/>
      <c r="GJT449" s="741"/>
      <c r="GJU449" s="741"/>
      <c r="GJV449" s="741"/>
      <c r="GJW449" s="741"/>
      <c r="GJX449" s="741"/>
      <c r="GJY449" s="741"/>
      <c r="GJZ449" s="741"/>
      <c r="GKA449" s="741"/>
      <c r="GKB449" s="741"/>
      <c r="GKC449" s="741"/>
      <c r="GKD449" s="741"/>
      <c r="GKE449" s="741"/>
      <c r="GKF449" s="741"/>
      <c r="GKG449" s="741"/>
      <c r="GKH449" s="741"/>
      <c r="GKI449" s="741"/>
      <c r="GKJ449" s="741"/>
      <c r="GKK449" s="741"/>
      <c r="GKL449" s="741"/>
      <c r="GKM449" s="741"/>
      <c r="GKN449" s="741"/>
      <c r="GKO449" s="741"/>
      <c r="GKP449" s="741"/>
      <c r="GKQ449" s="741"/>
      <c r="GKR449" s="741"/>
      <c r="GKS449" s="741"/>
      <c r="GKT449" s="741"/>
      <c r="GKU449" s="741"/>
      <c r="GKV449" s="741"/>
      <c r="GKW449" s="741"/>
      <c r="GKX449" s="741"/>
      <c r="GKY449" s="741"/>
      <c r="GKZ449" s="741"/>
      <c r="GLA449" s="741"/>
      <c r="GLB449" s="741"/>
      <c r="GLC449" s="741"/>
      <c r="GLD449" s="741"/>
      <c r="GLE449" s="741"/>
      <c r="GLF449" s="741"/>
      <c r="GLG449" s="741"/>
      <c r="GLH449" s="741"/>
      <c r="GLI449" s="741"/>
      <c r="GLJ449" s="741"/>
      <c r="GLK449" s="741"/>
      <c r="GLL449" s="741"/>
      <c r="GLM449" s="741"/>
      <c r="GLN449" s="741"/>
      <c r="GLO449" s="741"/>
      <c r="GLP449" s="741"/>
      <c r="GLQ449" s="741"/>
      <c r="GLR449" s="741"/>
      <c r="GLS449" s="741"/>
      <c r="GLT449" s="741"/>
      <c r="GLU449" s="741"/>
      <c r="GLV449" s="741"/>
      <c r="GLW449" s="741"/>
      <c r="GLX449" s="741"/>
      <c r="GLY449" s="741"/>
      <c r="GLZ449" s="741"/>
      <c r="GMA449" s="741"/>
      <c r="GMB449" s="741"/>
      <c r="GMC449" s="741"/>
      <c r="GMD449" s="741"/>
      <c r="GME449" s="741"/>
      <c r="GMF449" s="741"/>
      <c r="GMG449" s="741"/>
      <c r="GMH449" s="741"/>
      <c r="GMI449" s="741"/>
      <c r="GMJ449" s="741"/>
      <c r="GMK449" s="741"/>
      <c r="GML449" s="741"/>
      <c r="GMM449" s="741"/>
      <c r="GMN449" s="741"/>
      <c r="GMO449" s="741"/>
      <c r="GMP449" s="741"/>
      <c r="GMQ449" s="741"/>
      <c r="GMR449" s="741"/>
      <c r="GMS449" s="741"/>
      <c r="GMT449" s="741"/>
      <c r="GMU449" s="741"/>
      <c r="GMV449" s="741"/>
      <c r="GMW449" s="741"/>
      <c r="GMX449" s="741"/>
      <c r="GMY449" s="741"/>
      <c r="GMZ449" s="741"/>
      <c r="GNA449" s="741"/>
      <c r="GNB449" s="741"/>
      <c r="GNC449" s="741"/>
      <c r="GND449" s="741"/>
      <c r="GNE449" s="741"/>
      <c r="GNF449" s="741"/>
      <c r="GNG449" s="741"/>
      <c r="GNH449" s="741"/>
      <c r="GNI449" s="741"/>
      <c r="GNJ449" s="741"/>
      <c r="GNK449" s="741"/>
      <c r="GNL449" s="741"/>
      <c r="GNM449" s="741"/>
      <c r="GNN449" s="741"/>
      <c r="GNO449" s="741"/>
      <c r="GNP449" s="741"/>
      <c r="GNQ449" s="741"/>
      <c r="GNR449" s="741"/>
      <c r="GNS449" s="741"/>
      <c r="GNT449" s="741"/>
      <c r="GNU449" s="741"/>
      <c r="GNV449" s="741"/>
      <c r="GNW449" s="741"/>
      <c r="GNX449" s="741"/>
      <c r="GNY449" s="741"/>
      <c r="GNZ449" s="741"/>
      <c r="GOA449" s="741"/>
      <c r="GOB449" s="741"/>
      <c r="GOC449" s="741"/>
      <c r="GOD449" s="741"/>
      <c r="GOE449" s="741"/>
      <c r="GOF449" s="741"/>
      <c r="GOG449" s="741"/>
      <c r="GOH449" s="741"/>
      <c r="GOI449" s="741"/>
      <c r="GOJ449" s="741"/>
      <c r="GOK449" s="741"/>
      <c r="GOL449" s="741"/>
      <c r="GOM449" s="741"/>
      <c r="GON449" s="741"/>
      <c r="GOO449" s="741"/>
      <c r="GOP449" s="741"/>
      <c r="GOQ449" s="741"/>
      <c r="GOR449" s="741"/>
      <c r="GOS449" s="741"/>
      <c r="GOT449" s="741"/>
      <c r="GOU449" s="741"/>
      <c r="GOV449" s="741"/>
      <c r="GOW449" s="741"/>
      <c r="GOX449" s="741"/>
      <c r="GOY449" s="741"/>
      <c r="GOZ449" s="741"/>
      <c r="GPA449" s="741"/>
      <c r="GPB449" s="741"/>
      <c r="GPC449" s="741"/>
      <c r="GPD449" s="741"/>
      <c r="GPE449" s="741"/>
      <c r="GPF449" s="741"/>
      <c r="GPG449" s="741"/>
      <c r="GPH449" s="741"/>
      <c r="GPI449" s="741"/>
      <c r="GPJ449" s="741"/>
      <c r="GPK449" s="741"/>
      <c r="GPL449" s="741"/>
      <c r="GPM449" s="741"/>
      <c r="GPN449" s="741"/>
      <c r="GPO449" s="741"/>
      <c r="GPP449" s="741"/>
      <c r="GPQ449" s="741"/>
      <c r="GPR449" s="741"/>
      <c r="GPS449" s="741"/>
      <c r="GPT449" s="741"/>
      <c r="GPU449" s="741"/>
      <c r="GPV449" s="741"/>
      <c r="GPW449" s="741"/>
      <c r="GPX449" s="741"/>
      <c r="GPY449" s="741"/>
      <c r="GPZ449" s="741"/>
      <c r="GQA449" s="741"/>
      <c r="GQB449" s="741"/>
      <c r="GQC449" s="741"/>
      <c r="GQD449" s="741"/>
      <c r="GQE449" s="741"/>
      <c r="GQF449" s="741"/>
      <c r="GQG449" s="741"/>
      <c r="GQH449" s="741"/>
      <c r="GQI449" s="741"/>
      <c r="GQJ449" s="741"/>
      <c r="GQK449" s="741"/>
      <c r="GQL449" s="741"/>
      <c r="GQM449" s="741"/>
      <c r="GQN449" s="741"/>
      <c r="GQO449" s="741"/>
      <c r="GQP449" s="741"/>
      <c r="GQQ449" s="741"/>
      <c r="GQR449" s="741"/>
      <c r="GQS449" s="741"/>
      <c r="GQT449" s="741"/>
      <c r="GQU449" s="741"/>
      <c r="GQV449" s="741"/>
      <c r="GQW449" s="741"/>
      <c r="GQX449" s="741"/>
      <c r="GQY449" s="741"/>
      <c r="GQZ449" s="741"/>
      <c r="GRA449" s="741"/>
      <c r="GRB449" s="741"/>
      <c r="GRC449" s="741"/>
      <c r="GRD449" s="741"/>
      <c r="GRE449" s="741"/>
      <c r="GRF449" s="741"/>
      <c r="GRG449" s="741"/>
      <c r="GRH449" s="741"/>
      <c r="GRI449" s="741"/>
      <c r="GRJ449" s="741"/>
      <c r="GRK449" s="741"/>
      <c r="GRL449" s="741"/>
      <c r="GRM449" s="741"/>
      <c r="GRN449" s="741"/>
      <c r="GRO449" s="741"/>
      <c r="GRP449" s="741"/>
      <c r="GRQ449" s="741"/>
      <c r="GRR449" s="741"/>
      <c r="GRS449" s="741"/>
      <c r="GRT449" s="741"/>
      <c r="GRU449" s="741"/>
      <c r="GRV449" s="741"/>
      <c r="GRW449" s="741"/>
      <c r="GRX449" s="741"/>
      <c r="GRY449" s="741"/>
      <c r="GRZ449" s="741"/>
      <c r="GSA449" s="741"/>
      <c r="GSB449" s="741"/>
      <c r="GSC449" s="741"/>
      <c r="GSD449" s="741"/>
      <c r="GSE449" s="741"/>
      <c r="GSF449" s="741"/>
      <c r="GSG449" s="741"/>
      <c r="GSH449" s="741"/>
      <c r="GSI449" s="741"/>
      <c r="GSJ449" s="741"/>
      <c r="GSK449" s="741"/>
      <c r="GSL449" s="741"/>
      <c r="GSM449" s="741"/>
      <c r="GSN449" s="741"/>
      <c r="GSO449" s="741"/>
      <c r="GSP449" s="741"/>
      <c r="GSQ449" s="741"/>
      <c r="GSR449" s="741"/>
      <c r="GSS449" s="741"/>
      <c r="GST449" s="741"/>
      <c r="GSU449" s="741"/>
      <c r="GSV449" s="741"/>
      <c r="GSW449" s="741"/>
      <c r="GSX449" s="741"/>
      <c r="GSY449" s="741"/>
      <c r="GSZ449" s="741"/>
      <c r="GTA449" s="741"/>
      <c r="GTB449" s="741"/>
      <c r="GTC449" s="741"/>
      <c r="GTD449" s="741"/>
      <c r="GTE449" s="741"/>
      <c r="GTF449" s="741"/>
      <c r="GTG449" s="741"/>
      <c r="GTH449" s="741"/>
      <c r="GTI449" s="741"/>
      <c r="GTJ449" s="741"/>
      <c r="GTK449" s="741"/>
      <c r="GTL449" s="741"/>
      <c r="GTM449" s="741"/>
      <c r="GTN449" s="741"/>
      <c r="GTO449" s="741"/>
      <c r="GTP449" s="741"/>
      <c r="GTQ449" s="741"/>
      <c r="GTR449" s="741"/>
      <c r="GTS449" s="741"/>
      <c r="GTT449" s="741"/>
      <c r="GTU449" s="741"/>
      <c r="GTV449" s="741"/>
      <c r="GTW449" s="741"/>
      <c r="GTX449" s="741"/>
      <c r="GTY449" s="741"/>
      <c r="GTZ449" s="741"/>
      <c r="GUA449" s="741"/>
      <c r="GUB449" s="741"/>
      <c r="GUC449" s="741"/>
      <c r="GUD449" s="741"/>
      <c r="GUE449" s="741"/>
      <c r="GUF449" s="741"/>
      <c r="GUG449" s="741"/>
      <c r="GUH449" s="741"/>
      <c r="GUI449" s="741"/>
      <c r="GUJ449" s="741"/>
      <c r="GUK449" s="741"/>
      <c r="GUL449" s="741"/>
      <c r="GUM449" s="741"/>
      <c r="GUN449" s="741"/>
      <c r="GUO449" s="741"/>
      <c r="GUP449" s="741"/>
      <c r="GUQ449" s="741"/>
      <c r="GUR449" s="741"/>
      <c r="GUS449" s="741"/>
      <c r="GUT449" s="741"/>
      <c r="GUU449" s="741"/>
      <c r="GUV449" s="741"/>
      <c r="GUW449" s="741"/>
      <c r="GUX449" s="741"/>
      <c r="GUY449" s="741"/>
      <c r="GUZ449" s="741"/>
      <c r="GVA449" s="741"/>
      <c r="GVB449" s="741"/>
      <c r="GVC449" s="741"/>
      <c r="GVD449" s="741"/>
      <c r="GVE449" s="741"/>
      <c r="GVF449" s="741"/>
      <c r="GVG449" s="741"/>
      <c r="GVH449" s="741"/>
      <c r="GVI449" s="741"/>
      <c r="GVJ449" s="741"/>
      <c r="GVK449" s="741"/>
      <c r="GVL449" s="741"/>
      <c r="GVM449" s="741"/>
      <c r="GVN449" s="741"/>
      <c r="GVO449" s="741"/>
      <c r="GVP449" s="741"/>
      <c r="GVQ449" s="741"/>
      <c r="GVR449" s="741"/>
      <c r="GVS449" s="741"/>
      <c r="GVT449" s="741"/>
      <c r="GVU449" s="741"/>
      <c r="GVV449" s="741"/>
      <c r="GVW449" s="741"/>
      <c r="GVX449" s="741"/>
      <c r="GVY449" s="741"/>
      <c r="GVZ449" s="741"/>
      <c r="GWA449" s="741"/>
      <c r="GWB449" s="741"/>
      <c r="GWC449" s="741"/>
      <c r="GWD449" s="741"/>
      <c r="GWE449" s="741"/>
      <c r="GWF449" s="741"/>
      <c r="GWG449" s="741"/>
      <c r="GWH449" s="741"/>
      <c r="GWI449" s="741"/>
      <c r="GWJ449" s="741"/>
      <c r="GWK449" s="741"/>
      <c r="GWL449" s="741"/>
      <c r="GWM449" s="741"/>
      <c r="GWN449" s="741"/>
      <c r="GWO449" s="741"/>
      <c r="GWP449" s="741"/>
      <c r="GWQ449" s="741"/>
      <c r="GWR449" s="741"/>
      <c r="GWS449" s="741"/>
      <c r="GWT449" s="741"/>
      <c r="GWU449" s="741"/>
      <c r="GWV449" s="741"/>
      <c r="GWW449" s="741"/>
      <c r="GWX449" s="741"/>
      <c r="GWY449" s="741"/>
      <c r="GWZ449" s="741"/>
      <c r="GXA449" s="741"/>
      <c r="GXB449" s="741"/>
      <c r="GXC449" s="741"/>
      <c r="GXD449" s="741"/>
      <c r="GXE449" s="741"/>
      <c r="GXF449" s="741"/>
      <c r="GXG449" s="741"/>
      <c r="GXH449" s="741"/>
      <c r="GXI449" s="741"/>
      <c r="GXJ449" s="741"/>
      <c r="GXK449" s="741"/>
      <c r="GXL449" s="741"/>
      <c r="GXM449" s="741"/>
      <c r="GXN449" s="741"/>
      <c r="GXO449" s="741"/>
      <c r="GXP449" s="741"/>
      <c r="GXQ449" s="741"/>
      <c r="GXR449" s="741"/>
      <c r="GXS449" s="741"/>
      <c r="GXT449" s="741"/>
      <c r="GXU449" s="741"/>
      <c r="GXV449" s="741"/>
      <c r="GXW449" s="741"/>
      <c r="GXX449" s="741"/>
      <c r="GXY449" s="741"/>
      <c r="GXZ449" s="741"/>
      <c r="GYA449" s="741"/>
      <c r="GYB449" s="741"/>
      <c r="GYC449" s="741"/>
      <c r="GYD449" s="741"/>
      <c r="GYE449" s="741"/>
      <c r="GYF449" s="741"/>
      <c r="GYG449" s="741"/>
      <c r="GYH449" s="741"/>
      <c r="GYI449" s="741"/>
      <c r="GYJ449" s="741"/>
      <c r="GYK449" s="741"/>
      <c r="GYL449" s="741"/>
      <c r="GYM449" s="741"/>
      <c r="GYN449" s="741"/>
      <c r="GYO449" s="741"/>
      <c r="GYP449" s="741"/>
      <c r="GYQ449" s="741"/>
      <c r="GYR449" s="741"/>
      <c r="GYS449" s="741"/>
      <c r="GYT449" s="741"/>
      <c r="GYU449" s="741"/>
      <c r="GYV449" s="741"/>
      <c r="GYW449" s="741"/>
      <c r="GYX449" s="741"/>
      <c r="GYY449" s="741"/>
      <c r="GYZ449" s="741"/>
      <c r="GZA449" s="741"/>
      <c r="GZB449" s="741"/>
      <c r="GZC449" s="741"/>
      <c r="GZD449" s="741"/>
      <c r="GZE449" s="741"/>
      <c r="GZF449" s="741"/>
      <c r="GZG449" s="741"/>
      <c r="GZH449" s="741"/>
      <c r="GZI449" s="741"/>
      <c r="GZJ449" s="741"/>
      <c r="GZK449" s="741"/>
      <c r="GZL449" s="741"/>
      <c r="GZM449" s="741"/>
      <c r="GZN449" s="741"/>
      <c r="GZO449" s="741"/>
      <c r="GZP449" s="741"/>
      <c r="GZQ449" s="741"/>
      <c r="GZR449" s="741"/>
      <c r="GZS449" s="741"/>
      <c r="GZT449" s="741"/>
      <c r="GZU449" s="741"/>
      <c r="GZV449" s="741"/>
      <c r="GZW449" s="741"/>
      <c r="GZX449" s="741"/>
      <c r="GZY449" s="741"/>
      <c r="GZZ449" s="741"/>
      <c r="HAA449" s="741"/>
      <c r="HAB449" s="741"/>
      <c r="HAC449" s="741"/>
      <c r="HAD449" s="741"/>
      <c r="HAE449" s="741"/>
      <c r="HAF449" s="741"/>
      <c r="HAG449" s="741"/>
      <c r="HAH449" s="741"/>
      <c r="HAI449" s="741"/>
      <c r="HAJ449" s="741"/>
      <c r="HAK449" s="741"/>
      <c r="HAL449" s="741"/>
      <c r="HAM449" s="741"/>
      <c r="HAN449" s="741"/>
      <c r="HAO449" s="741"/>
      <c r="HAP449" s="741"/>
      <c r="HAQ449" s="741"/>
      <c r="HAR449" s="741"/>
      <c r="HAS449" s="741"/>
      <c r="HAT449" s="741"/>
      <c r="HAU449" s="741"/>
      <c r="HAV449" s="741"/>
      <c r="HAW449" s="741"/>
      <c r="HAX449" s="741"/>
      <c r="HAY449" s="741"/>
      <c r="HAZ449" s="741"/>
      <c r="HBA449" s="741"/>
      <c r="HBB449" s="741"/>
      <c r="HBC449" s="741"/>
      <c r="HBD449" s="741"/>
      <c r="HBE449" s="741"/>
      <c r="HBF449" s="741"/>
      <c r="HBG449" s="741"/>
      <c r="HBH449" s="741"/>
      <c r="HBI449" s="741"/>
      <c r="HBJ449" s="741"/>
      <c r="HBK449" s="741"/>
      <c r="HBL449" s="741"/>
      <c r="HBM449" s="741"/>
      <c r="HBN449" s="741"/>
      <c r="HBO449" s="741"/>
      <c r="HBP449" s="741"/>
      <c r="HBQ449" s="741"/>
      <c r="HBR449" s="741"/>
      <c r="HBS449" s="741"/>
      <c r="HBT449" s="741"/>
      <c r="HBU449" s="741"/>
      <c r="HBV449" s="741"/>
      <c r="HBW449" s="741"/>
      <c r="HBX449" s="741"/>
      <c r="HBY449" s="741"/>
      <c r="HBZ449" s="741"/>
      <c r="HCA449" s="741"/>
      <c r="HCB449" s="741"/>
      <c r="HCC449" s="741"/>
      <c r="HCD449" s="741"/>
      <c r="HCE449" s="741"/>
      <c r="HCF449" s="741"/>
      <c r="HCG449" s="741"/>
      <c r="HCH449" s="741"/>
      <c r="HCI449" s="741"/>
      <c r="HCJ449" s="741"/>
      <c r="HCK449" s="741"/>
      <c r="HCL449" s="741"/>
      <c r="HCM449" s="741"/>
      <c r="HCN449" s="741"/>
      <c r="HCO449" s="741"/>
      <c r="HCP449" s="741"/>
      <c r="HCQ449" s="741"/>
      <c r="HCR449" s="741"/>
      <c r="HCS449" s="741"/>
      <c r="HCT449" s="741"/>
      <c r="HCU449" s="741"/>
      <c r="HCV449" s="741"/>
      <c r="HCW449" s="741"/>
      <c r="HCX449" s="741"/>
      <c r="HCY449" s="741"/>
      <c r="HCZ449" s="741"/>
      <c r="HDA449" s="741"/>
      <c r="HDB449" s="741"/>
      <c r="HDC449" s="741"/>
      <c r="HDD449" s="741"/>
      <c r="HDE449" s="741"/>
      <c r="HDF449" s="741"/>
      <c r="HDG449" s="741"/>
      <c r="HDH449" s="741"/>
      <c r="HDI449" s="741"/>
      <c r="HDJ449" s="741"/>
      <c r="HDK449" s="741"/>
      <c r="HDL449" s="741"/>
      <c r="HDM449" s="741"/>
      <c r="HDN449" s="741"/>
      <c r="HDO449" s="741"/>
      <c r="HDP449" s="741"/>
      <c r="HDQ449" s="741"/>
      <c r="HDR449" s="741"/>
      <c r="HDS449" s="741"/>
      <c r="HDT449" s="741"/>
      <c r="HDU449" s="741"/>
      <c r="HDV449" s="741"/>
      <c r="HDW449" s="741"/>
      <c r="HDX449" s="741"/>
      <c r="HDY449" s="741"/>
      <c r="HDZ449" s="741"/>
      <c r="HEA449" s="741"/>
      <c r="HEB449" s="741"/>
      <c r="HEC449" s="741"/>
      <c r="HED449" s="741"/>
      <c r="HEE449" s="741"/>
      <c r="HEF449" s="741"/>
      <c r="HEG449" s="741"/>
      <c r="HEH449" s="741"/>
      <c r="HEI449" s="741"/>
      <c r="HEJ449" s="741"/>
      <c r="HEK449" s="741"/>
      <c r="HEL449" s="741"/>
      <c r="HEM449" s="741"/>
      <c r="HEN449" s="741"/>
      <c r="HEO449" s="741"/>
      <c r="HEP449" s="741"/>
      <c r="HEQ449" s="741"/>
      <c r="HER449" s="741"/>
      <c r="HES449" s="741"/>
      <c r="HET449" s="741"/>
      <c r="HEU449" s="741"/>
      <c r="HEV449" s="741"/>
      <c r="HEW449" s="741"/>
      <c r="HEX449" s="741"/>
      <c r="HEY449" s="741"/>
      <c r="HEZ449" s="741"/>
      <c r="HFA449" s="741"/>
      <c r="HFB449" s="741"/>
      <c r="HFC449" s="741"/>
      <c r="HFD449" s="741"/>
      <c r="HFE449" s="741"/>
      <c r="HFF449" s="741"/>
      <c r="HFG449" s="741"/>
      <c r="HFH449" s="741"/>
      <c r="HFI449" s="741"/>
      <c r="HFJ449" s="741"/>
      <c r="HFK449" s="741"/>
      <c r="HFL449" s="741"/>
      <c r="HFM449" s="741"/>
      <c r="HFN449" s="741"/>
      <c r="HFO449" s="741"/>
      <c r="HFP449" s="741"/>
      <c r="HFQ449" s="741"/>
      <c r="HFR449" s="741"/>
      <c r="HFS449" s="741"/>
      <c r="HFT449" s="741"/>
      <c r="HFU449" s="741"/>
      <c r="HFV449" s="741"/>
      <c r="HFW449" s="741"/>
      <c r="HFX449" s="741"/>
      <c r="HFY449" s="741"/>
      <c r="HFZ449" s="741"/>
      <c r="HGA449" s="741"/>
      <c r="HGB449" s="741"/>
      <c r="HGC449" s="741"/>
      <c r="HGD449" s="741"/>
      <c r="HGE449" s="741"/>
      <c r="HGF449" s="741"/>
      <c r="HGG449" s="741"/>
      <c r="HGH449" s="741"/>
      <c r="HGI449" s="741"/>
      <c r="HGJ449" s="741"/>
      <c r="HGK449" s="741"/>
      <c r="HGL449" s="741"/>
      <c r="HGM449" s="741"/>
      <c r="HGN449" s="741"/>
      <c r="HGO449" s="741"/>
      <c r="HGP449" s="741"/>
      <c r="HGQ449" s="741"/>
      <c r="HGR449" s="741"/>
      <c r="HGS449" s="741"/>
      <c r="HGT449" s="741"/>
      <c r="HGU449" s="741"/>
      <c r="HGV449" s="741"/>
      <c r="HGW449" s="741"/>
      <c r="HGX449" s="741"/>
      <c r="HGY449" s="741"/>
      <c r="HGZ449" s="741"/>
      <c r="HHA449" s="741"/>
      <c r="HHB449" s="741"/>
      <c r="HHC449" s="741"/>
      <c r="HHD449" s="741"/>
      <c r="HHE449" s="741"/>
      <c r="HHF449" s="741"/>
      <c r="HHG449" s="741"/>
      <c r="HHH449" s="741"/>
      <c r="HHI449" s="741"/>
      <c r="HHJ449" s="741"/>
      <c r="HHK449" s="741"/>
      <c r="HHL449" s="741"/>
      <c r="HHM449" s="741"/>
      <c r="HHN449" s="741"/>
      <c r="HHO449" s="741"/>
      <c r="HHP449" s="741"/>
      <c r="HHQ449" s="741"/>
      <c r="HHR449" s="741"/>
      <c r="HHS449" s="741"/>
      <c r="HHT449" s="741"/>
      <c r="HHU449" s="741"/>
      <c r="HHV449" s="741"/>
      <c r="HHW449" s="741"/>
      <c r="HHX449" s="741"/>
      <c r="HHY449" s="741"/>
      <c r="HHZ449" s="741"/>
      <c r="HIA449" s="741"/>
      <c r="HIB449" s="741"/>
      <c r="HIC449" s="741"/>
      <c r="HID449" s="741"/>
      <c r="HIE449" s="741"/>
      <c r="HIF449" s="741"/>
      <c r="HIG449" s="741"/>
      <c r="HIH449" s="741"/>
      <c r="HII449" s="741"/>
      <c r="HIJ449" s="741"/>
      <c r="HIK449" s="741"/>
      <c r="HIL449" s="741"/>
      <c r="HIM449" s="741"/>
      <c r="HIN449" s="741"/>
      <c r="HIO449" s="741"/>
      <c r="HIP449" s="741"/>
      <c r="HIQ449" s="741"/>
      <c r="HIR449" s="741"/>
      <c r="HIS449" s="741"/>
      <c r="HIT449" s="741"/>
      <c r="HIU449" s="741"/>
      <c r="HIV449" s="741"/>
      <c r="HIW449" s="741"/>
      <c r="HIX449" s="741"/>
      <c r="HIY449" s="741"/>
      <c r="HIZ449" s="741"/>
      <c r="HJA449" s="741"/>
      <c r="HJB449" s="741"/>
      <c r="HJC449" s="741"/>
      <c r="HJD449" s="741"/>
      <c r="HJE449" s="741"/>
      <c r="HJF449" s="741"/>
      <c r="HJG449" s="741"/>
      <c r="HJH449" s="741"/>
      <c r="HJI449" s="741"/>
      <c r="HJJ449" s="741"/>
      <c r="HJK449" s="741"/>
      <c r="HJL449" s="741"/>
      <c r="HJM449" s="741"/>
      <c r="HJN449" s="741"/>
      <c r="HJO449" s="741"/>
      <c r="HJP449" s="741"/>
      <c r="HJQ449" s="741"/>
      <c r="HJR449" s="741"/>
      <c r="HJS449" s="741"/>
      <c r="HJT449" s="741"/>
      <c r="HJU449" s="741"/>
      <c r="HJV449" s="741"/>
      <c r="HJW449" s="741"/>
      <c r="HJX449" s="741"/>
      <c r="HJY449" s="741"/>
      <c r="HJZ449" s="741"/>
      <c r="HKA449" s="741"/>
      <c r="HKB449" s="741"/>
      <c r="HKC449" s="741"/>
      <c r="HKD449" s="741"/>
      <c r="HKE449" s="741"/>
      <c r="HKF449" s="741"/>
      <c r="HKG449" s="741"/>
      <c r="HKH449" s="741"/>
      <c r="HKI449" s="741"/>
      <c r="HKJ449" s="741"/>
      <c r="HKK449" s="741"/>
      <c r="HKL449" s="741"/>
      <c r="HKM449" s="741"/>
      <c r="HKN449" s="741"/>
      <c r="HKO449" s="741"/>
      <c r="HKP449" s="741"/>
      <c r="HKQ449" s="741"/>
      <c r="HKR449" s="741"/>
      <c r="HKS449" s="741"/>
      <c r="HKT449" s="741"/>
      <c r="HKU449" s="741"/>
      <c r="HKV449" s="741"/>
      <c r="HKW449" s="741"/>
      <c r="HKX449" s="741"/>
      <c r="HKY449" s="741"/>
      <c r="HKZ449" s="741"/>
      <c r="HLA449" s="741"/>
      <c r="HLB449" s="741"/>
      <c r="HLC449" s="741"/>
      <c r="HLD449" s="741"/>
      <c r="HLE449" s="741"/>
      <c r="HLF449" s="741"/>
      <c r="HLG449" s="741"/>
      <c r="HLH449" s="741"/>
      <c r="HLI449" s="741"/>
      <c r="HLJ449" s="741"/>
      <c r="HLK449" s="741"/>
      <c r="HLL449" s="741"/>
      <c r="HLM449" s="741"/>
      <c r="HLN449" s="741"/>
      <c r="HLO449" s="741"/>
      <c r="HLP449" s="741"/>
      <c r="HLQ449" s="741"/>
      <c r="HLR449" s="741"/>
      <c r="HLS449" s="741"/>
      <c r="HLT449" s="741"/>
      <c r="HLU449" s="741"/>
      <c r="HLV449" s="741"/>
      <c r="HLW449" s="741"/>
      <c r="HLX449" s="741"/>
      <c r="HLY449" s="741"/>
      <c r="HLZ449" s="741"/>
      <c r="HMA449" s="741"/>
      <c r="HMB449" s="741"/>
      <c r="HMC449" s="741"/>
      <c r="HMD449" s="741"/>
      <c r="HME449" s="741"/>
      <c r="HMF449" s="741"/>
      <c r="HMG449" s="741"/>
      <c r="HMH449" s="741"/>
      <c r="HMI449" s="741"/>
      <c r="HMJ449" s="741"/>
      <c r="HMK449" s="741"/>
      <c r="HML449" s="741"/>
      <c r="HMM449" s="741"/>
      <c r="HMN449" s="741"/>
      <c r="HMO449" s="741"/>
      <c r="HMP449" s="741"/>
      <c r="HMQ449" s="741"/>
      <c r="HMR449" s="741"/>
      <c r="HMS449" s="741"/>
      <c r="HMT449" s="741"/>
      <c r="HMU449" s="741"/>
      <c r="HMV449" s="741"/>
      <c r="HMW449" s="741"/>
      <c r="HMX449" s="741"/>
      <c r="HMY449" s="741"/>
      <c r="HMZ449" s="741"/>
      <c r="HNA449" s="741"/>
      <c r="HNB449" s="741"/>
      <c r="HNC449" s="741"/>
      <c r="HND449" s="741"/>
      <c r="HNE449" s="741"/>
      <c r="HNF449" s="741"/>
      <c r="HNG449" s="741"/>
      <c r="HNH449" s="741"/>
      <c r="HNI449" s="741"/>
      <c r="HNJ449" s="741"/>
      <c r="HNK449" s="741"/>
      <c r="HNL449" s="741"/>
      <c r="HNM449" s="741"/>
      <c r="HNN449" s="741"/>
      <c r="HNO449" s="741"/>
      <c r="HNP449" s="741"/>
      <c r="HNQ449" s="741"/>
      <c r="HNR449" s="741"/>
      <c r="HNS449" s="741"/>
      <c r="HNT449" s="741"/>
      <c r="HNU449" s="741"/>
      <c r="HNV449" s="741"/>
      <c r="HNW449" s="741"/>
      <c r="HNX449" s="741"/>
      <c r="HNY449" s="741"/>
      <c r="HNZ449" s="741"/>
      <c r="HOA449" s="741"/>
      <c r="HOB449" s="741"/>
      <c r="HOC449" s="741"/>
      <c r="HOD449" s="741"/>
      <c r="HOE449" s="741"/>
      <c r="HOF449" s="741"/>
      <c r="HOG449" s="741"/>
      <c r="HOH449" s="741"/>
      <c r="HOI449" s="741"/>
      <c r="HOJ449" s="741"/>
      <c r="HOK449" s="741"/>
      <c r="HOL449" s="741"/>
      <c r="HOM449" s="741"/>
      <c r="HON449" s="741"/>
      <c r="HOO449" s="741"/>
      <c r="HOP449" s="741"/>
      <c r="HOQ449" s="741"/>
      <c r="HOR449" s="741"/>
      <c r="HOS449" s="741"/>
      <c r="HOT449" s="741"/>
      <c r="HOU449" s="741"/>
      <c r="HOV449" s="741"/>
      <c r="HOW449" s="741"/>
      <c r="HOX449" s="741"/>
      <c r="HOY449" s="741"/>
      <c r="HOZ449" s="741"/>
      <c r="HPA449" s="741"/>
      <c r="HPB449" s="741"/>
      <c r="HPC449" s="741"/>
      <c r="HPD449" s="741"/>
      <c r="HPE449" s="741"/>
      <c r="HPF449" s="741"/>
      <c r="HPG449" s="741"/>
      <c r="HPH449" s="741"/>
      <c r="HPI449" s="741"/>
      <c r="HPJ449" s="741"/>
      <c r="HPK449" s="741"/>
      <c r="HPL449" s="741"/>
      <c r="HPM449" s="741"/>
      <c r="HPN449" s="741"/>
      <c r="HPO449" s="741"/>
      <c r="HPP449" s="741"/>
      <c r="HPQ449" s="741"/>
      <c r="HPR449" s="741"/>
      <c r="HPS449" s="741"/>
      <c r="HPT449" s="741"/>
      <c r="HPU449" s="741"/>
      <c r="HPV449" s="741"/>
      <c r="HPW449" s="741"/>
      <c r="HPX449" s="741"/>
      <c r="HPY449" s="741"/>
      <c r="HPZ449" s="741"/>
      <c r="HQA449" s="741"/>
      <c r="HQB449" s="741"/>
      <c r="HQC449" s="741"/>
      <c r="HQD449" s="741"/>
      <c r="HQE449" s="741"/>
      <c r="HQF449" s="741"/>
      <c r="HQG449" s="741"/>
      <c r="HQH449" s="741"/>
      <c r="HQI449" s="741"/>
      <c r="HQJ449" s="741"/>
      <c r="HQK449" s="741"/>
      <c r="HQL449" s="741"/>
      <c r="HQM449" s="741"/>
      <c r="HQN449" s="741"/>
      <c r="HQO449" s="741"/>
      <c r="HQP449" s="741"/>
      <c r="HQQ449" s="741"/>
      <c r="HQR449" s="741"/>
      <c r="HQS449" s="741"/>
      <c r="HQT449" s="741"/>
      <c r="HQU449" s="741"/>
      <c r="HQV449" s="741"/>
      <c r="HQW449" s="741"/>
      <c r="HQX449" s="741"/>
      <c r="HQY449" s="741"/>
      <c r="HQZ449" s="741"/>
      <c r="HRA449" s="741"/>
      <c r="HRB449" s="741"/>
      <c r="HRC449" s="741"/>
      <c r="HRD449" s="741"/>
      <c r="HRE449" s="741"/>
      <c r="HRF449" s="741"/>
      <c r="HRG449" s="741"/>
      <c r="HRH449" s="741"/>
      <c r="HRI449" s="741"/>
      <c r="HRJ449" s="741"/>
      <c r="HRK449" s="741"/>
      <c r="HRL449" s="741"/>
      <c r="HRM449" s="741"/>
      <c r="HRN449" s="741"/>
      <c r="HRO449" s="741"/>
      <c r="HRP449" s="741"/>
      <c r="HRQ449" s="741"/>
      <c r="HRR449" s="741"/>
      <c r="HRS449" s="741"/>
      <c r="HRT449" s="741"/>
      <c r="HRU449" s="741"/>
      <c r="HRV449" s="741"/>
      <c r="HRW449" s="741"/>
      <c r="HRX449" s="741"/>
      <c r="HRY449" s="741"/>
      <c r="HRZ449" s="741"/>
      <c r="HSA449" s="741"/>
      <c r="HSB449" s="741"/>
      <c r="HSC449" s="741"/>
      <c r="HSD449" s="741"/>
      <c r="HSE449" s="741"/>
      <c r="HSF449" s="741"/>
      <c r="HSG449" s="741"/>
      <c r="HSH449" s="741"/>
      <c r="HSI449" s="741"/>
      <c r="HSJ449" s="741"/>
      <c r="HSK449" s="741"/>
      <c r="HSL449" s="741"/>
      <c r="HSM449" s="741"/>
      <c r="HSN449" s="741"/>
      <c r="HSO449" s="741"/>
      <c r="HSP449" s="741"/>
      <c r="HSQ449" s="741"/>
      <c r="HSR449" s="741"/>
      <c r="HSS449" s="741"/>
      <c r="HST449" s="741"/>
      <c r="HSU449" s="741"/>
      <c r="HSV449" s="741"/>
      <c r="HSW449" s="741"/>
      <c r="HSX449" s="741"/>
      <c r="HSY449" s="741"/>
      <c r="HSZ449" s="741"/>
      <c r="HTA449" s="741"/>
      <c r="HTB449" s="741"/>
      <c r="HTC449" s="741"/>
      <c r="HTD449" s="741"/>
      <c r="HTE449" s="741"/>
      <c r="HTF449" s="741"/>
      <c r="HTG449" s="741"/>
      <c r="HTH449" s="741"/>
      <c r="HTI449" s="741"/>
      <c r="HTJ449" s="741"/>
      <c r="HTK449" s="741"/>
      <c r="HTL449" s="741"/>
      <c r="HTM449" s="741"/>
      <c r="HTN449" s="741"/>
      <c r="HTO449" s="741"/>
      <c r="HTP449" s="741"/>
      <c r="HTQ449" s="741"/>
      <c r="HTR449" s="741"/>
      <c r="HTS449" s="741"/>
      <c r="HTT449" s="741"/>
      <c r="HTU449" s="741"/>
      <c r="HTV449" s="741"/>
      <c r="HTW449" s="741"/>
      <c r="HTX449" s="741"/>
      <c r="HTY449" s="741"/>
      <c r="HTZ449" s="741"/>
      <c r="HUA449" s="741"/>
      <c r="HUB449" s="741"/>
      <c r="HUC449" s="741"/>
      <c r="HUD449" s="741"/>
      <c r="HUE449" s="741"/>
      <c r="HUF449" s="741"/>
      <c r="HUG449" s="741"/>
      <c r="HUH449" s="741"/>
      <c r="HUI449" s="741"/>
      <c r="HUJ449" s="741"/>
      <c r="HUK449" s="741"/>
      <c r="HUL449" s="741"/>
      <c r="HUM449" s="741"/>
      <c r="HUN449" s="741"/>
      <c r="HUO449" s="741"/>
      <c r="HUP449" s="741"/>
      <c r="HUQ449" s="741"/>
      <c r="HUR449" s="741"/>
      <c r="HUS449" s="741"/>
      <c r="HUT449" s="741"/>
      <c r="HUU449" s="741"/>
      <c r="HUV449" s="741"/>
      <c r="HUW449" s="741"/>
      <c r="HUX449" s="741"/>
      <c r="HUY449" s="741"/>
      <c r="HUZ449" s="741"/>
      <c r="HVA449" s="741"/>
      <c r="HVB449" s="741"/>
      <c r="HVC449" s="741"/>
      <c r="HVD449" s="741"/>
      <c r="HVE449" s="741"/>
      <c r="HVF449" s="741"/>
      <c r="HVG449" s="741"/>
      <c r="HVH449" s="741"/>
      <c r="HVI449" s="741"/>
      <c r="HVJ449" s="741"/>
      <c r="HVK449" s="741"/>
      <c r="HVL449" s="741"/>
      <c r="HVM449" s="741"/>
      <c r="HVN449" s="741"/>
      <c r="HVO449" s="741"/>
      <c r="HVP449" s="741"/>
      <c r="HVQ449" s="741"/>
      <c r="HVR449" s="741"/>
      <c r="HVS449" s="741"/>
      <c r="HVT449" s="741"/>
      <c r="HVU449" s="741"/>
      <c r="HVV449" s="741"/>
      <c r="HVW449" s="741"/>
      <c r="HVX449" s="741"/>
      <c r="HVY449" s="741"/>
      <c r="HVZ449" s="741"/>
      <c r="HWA449" s="741"/>
      <c r="HWB449" s="741"/>
      <c r="HWC449" s="741"/>
      <c r="HWD449" s="741"/>
      <c r="HWE449" s="741"/>
      <c r="HWF449" s="741"/>
      <c r="HWG449" s="741"/>
      <c r="HWH449" s="741"/>
      <c r="HWI449" s="741"/>
      <c r="HWJ449" s="741"/>
      <c r="HWK449" s="741"/>
      <c r="HWL449" s="741"/>
      <c r="HWM449" s="741"/>
      <c r="HWN449" s="741"/>
      <c r="HWO449" s="741"/>
      <c r="HWP449" s="741"/>
      <c r="HWQ449" s="741"/>
      <c r="HWR449" s="741"/>
      <c r="HWS449" s="741"/>
      <c r="HWT449" s="741"/>
      <c r="HWU449" s="741"/>
      <c r="HWV449" s="741"/>
      <c r="HWW449" s="741"/>
      <c r="HWX449" s="741"/>
      <c r="HWY449" s="741"/>
      <c r="HWZ449" s="741"/>
      <c r="HXA449" s="741"/>
      <c r="HXB449" s="741"/>
      <c r="HXC449" s="741"/>
      <c r="HXD449" s="741"/>
      <c r="HXE449" s="741"/>
      <c r="HXF449" s="741"/>
      <c r="HXG449" s="741"/>
      <c r="HXH449" s="741"/>
      <c r="HXI449" s="741"/>
      <c r="HXJ449" s="741"/>
      <c r="HXK449" s="741"/>
      <c r="HXL449" s="741"/>
      <c r="HXM449" s="741"/>
      <c r="HXN449" s="741"/>
      <c r="HXO449" s="741"/>
      <c r="HXP449" s="741"/>
      <c r="HXQ449" s="741"/>
      <c r="HXR449" s="741"/>
      <c r="HXS449" s="741"/>
      <c r="HXT449" s="741"/>
      <c r="HXU449" s="741"/>
      <c r="HXV449" s="741"/>
      <c r="HXW449" s="741"/>
      <c r="HXX449" s="741"/>
      <c r="HXY449" s="741"/>
      <c r="HXZ449" s="741"/>
      <c r="HYA449" s="741"/>
      <c r="HYB449" s="741"/>
      <c r="HYC449" s="741"/>
      <c r="HYD449" s="741"/>
      <c r="HYE449" s="741"/>
      <c r="HYF449" s="741"/>
      <c r="HYG449" s="741"/>
      <c r="HYH449" s="741"/>
      <c r="HYI449" s="741"/>
      <c r="HYJ449" s="741"/>
      <c r="HYK449" s="741"/>
      <c r="HYL449" s="741"/>
      <c r="HYM449" s="741"/>
      <c r="HYN449" s="741"/>
      <c r="HYO449" s="741"/>
      <c r="HYP449" s="741"/>
      <c r="HYQ449" s="741"/>
      <c r="HYR449" s="741"/>
      <c r="HYS449" s="741"/>
      <c r="HYT449" s="741"/>
      <c r="HYU449" s="741"/>
      <c r="HYV449" s="741"/>
      <c r="HYW449" s="741"/>
      <c r="HYX449" s="741"/>
      <c r="HYY449" s="741"/>
      <c r="HYZ449" s="741"/>
      <c r="HZA449" s="741"/>
      <c r="HZB449" s="741"/>
      <c r="HZC449" s="741"/>
      <c r="HZD449" s="741"/>
      <c r="HZE449" s="741"/>
      <c r="HZF449" s="741"/>
      <c r="HZG449" s="741"/>
      <c r="HZH449" s="741"/>
      <c r="HZI449" s="741"/>
      <c r="HZJ449" s="741"/>
      <c r="HZK449" s="741"/>
      <c r="HZL449" s="741"/>
      <c r="HZM449" s="741"/>
      <c r="HZN449" s="741"/>
      <c r="HZO449" s="741"/>
      <c r="HZP449" s="741"/>
      <c r="HZQ449" s="741"/>
      <c r="HZR449" s="741"/>
      <c r="HZS449" s="741"/>
      <c r="HZT449" s="741"/>
      <c r="HZU449" s="741"/>
      <c r="HZV449" s="741"/>
      <c r="HZW449" s="741"/>
      <c r="HZX449" s="741"/>
      <c r="HZY449" s="741"/>
      <c r="HZZ449" s="741"/>
      <c r="IAA449" s="741"/>
      <c r="IAB449" s="741"/>
      <c r="IAC449" s="741"/>
      <c r="IAD449" s="741"/>
      <c r="IAE449" s="741"/>
      <c r="IAF449" s="741"/>
      <c r="IAG449" s="741"/>
      <c r="IAH449" s="741"/>
      <c r="IAI449" s="741"/>
      <c r="IAJ449" s="741"/>
      <c r="IAK449" s="741"/>
      <c r="IAL449" s="741"/>
      <c r="IAM449" s="741"/>
      <c r="IAN449" s="741"/>
      <c r="IAO449" s="741"/>
      <c r="IAP449" s="741"/>
      <c r="IAQ449" s="741"/>
      <c r="IAR449" s="741"/>
      <c r="IAS449" s="741"/>
      <c r="IAT449" s="741"/>
      <c r="IAU449" s="741"/>
      <c r="IAV449" s="741"/>
      <c r="IAW449" s="741"/>
      <c r="IAX449" s="741"/>
      <c r="IAY449" s="741"/>
      <c r="IAZ449" s="741"/>
      <c r="IBA449" s="741"/>
      <c r="IBB449" s="741"/>
      <c r="IBC449" s="741"/>
      <c r="IBD449" s="741"/>
      <c r="IBE449" s="741"/>
      <c r="IBF449" s="741"/>
      <c r="IBG449" s="741"/>
      <c r="IBH449" s="741"/>
      <c r="IBI449" s="741"/>
      <c r="IBJ449" s="741"/>
      <c r="IBK449" s="741"/>
      <c r="IBL449" s="741"/>
      <c r="IBM449" s="741"/>
      <c r="IBN449" s="741"/>
      <c r="IBO449" s="741"/>
      <c r="IBP449" s="741"/>
      <c r="IBQ449" s="741"/>
      <c r="IBR449" s="741"/>
      <c r="IBS449" s="741"/>
      <c r="IBT449" s="741"/>
      <c r="IBU449" s="741"/>
      <c r="IBV449" s="741"/>
      <c r="IBW449" s="741"/>
      <c r="IBX449" s="741"/>
      <c r="IBY449" s="741"/>
      <c r="IBZ449" s="741"/>
      <c r="ICA449" s="741"/>
      <c r="ICB449" s="741"/>
      <c r="ICC449" s="741"/>
      <c r="ICD449" s="741"/>
      <c r="ICE449" s="741"/>
      <c r="ICF449" s="741"/>
      <c r="ICG449" s="741"/>
      <c r="ICH449" s="741"/>
      <c r="ICI449" s="741"/>
      <c r="ICJ449" s="741"/>
      <c r="ICK449" s="741"/>
      <c r="ICL449" s="741"/>
      <c r="ICM449" s="741"/>
      <c r="ICN449" s="741"/>
      <c r="ICO449" s="741"/>
      <c r="ICP449" s="741"/>
      <c r="ICQ449" s="741"/>
      <c r="ICR449" s="741"/>
      <c r="ICS449" s="741"/>
      <c r="ICT449" s="741"/>
      <c r="ICU449" s="741"/>
      <c r="ICV449" s="741"/>
      <c r="ICW449" s="741"/>
      <c r="ICX449" s="741"/>
      <c r="ICY449" s="741"/>
      <c r="ICZ449" s="741"/>
      <c r="IDA449" s="741"/>
      <c r="IDB449" s="741"/>
      <c r="IDC449" s="741"/>
      <c r="IDD449" s="741"/>
      <c r="IDE449" s="741"/>
      <c r="IDF449" s="741"/>
      <c r="IDG449" s="741"/>
      <c r="IDH449" s="741"/>
      <c r="IDI449" s="741"/>
      <c r="IDJ449" s="741"/>
      <c r="IDK449" s="741"/>
      <c r="IDL449" s="741"/>
      <c r="IDM449" s="741"/>
      <c r="IDN449" s="741"/>
      <c r="IDO449" s="741"/>
      <c r="IDP449" s="741"/>
      <c r="IDQ449" s="741"/>
      <c r="IDR449" s="741"/>
      <c r="IDS449" s="741"/>
      <c r="IDT449" s="741"/>
      <c r="IDU449" s="741"/>
      <c r="IDV449" s="741"/>
      <c r="IDW449" s="741"/>
      <c r="IDX449" s="741"/>
      <c r="IDY449" s="741"/>
      <c r="IDZ449" s="741"/>
      <c r="IEA449" s="741"/>
      <c r="IEB449" s="741"/>
      <c r="IEC449" s="741"/>
      <c r="IED449" s="741"/>
      <c r="IEE449" s="741"/>
      <c r="IEF449" s="741"/>
      <c r="IEG449" s="741"/>
      <c r="IEH449" s="741"/>
      <c r="IEI449" s="741"/>
      <c r="IEJ449" s="741"/>
      <c r="IEK449" s="741"/>
      <c r="IEL449" s="741"/>
      <c r="IEM449" s="741"/>
      <c r="IEN449" s="741"/>
      <c r="IEO449" s="741"/>
      <c r="IEP449" s="741"/>
      <c r="IEQ449" s="741"/>
      <c r="IER449" s="741"/>
      <c r="IES449" s="741"/>
      <c r="IET449" s="741"/>
      <c r="IEU449" s="741"/>
      <c r="IEV449" s="741"/>
      <c r="IEW449" s="741"/>
      <c r="IEX449" s="741"/>
      <c r="IEY449" s="741"/>
      <c r="IEZ449" s="741"/>
      <c r="IFA449" s="741"/>
      <c r="IFB449" s="741"/>
      <c r="IFC449" s="741"/>
      <c r="IFD449" s="741"/>
      <c r="IFE449" s="741"/>
      <c r="IFF449" s="741"/>
      <c r="IFG449" s="741"/>
      <c r="IFH449" s="741"/>
      <c r="IFI449" s="741"/>
      <c r="IFJ449" s="741"/>
      <c r="IFK449" s="741"/>
      <c r="IFL449" s="741"/>
      <c r="IFM449" s="741"/>
      <c r="IFN449" s="741"/>
      <c r="IFO449" s="741"/>
      <c r="IFP449" s="741"/>
      <c r="IFQ449" s="741"/>
      <c r="IFR449" s="741"/>
      <c r="IFS449" s="741"/>
      <c r="IFT449" s="741"/>
      <c r="IFU449" s="741"/>
      <c r="IFV449" s="741"/>
      <c r="IFW449" s="741"/>
      <c r="IFX449" s="741"/>
      <c r="IFY449" s="741"/>
      <c r="IFZ449" s="741"/>
      <c r="IGA449" s="741"/>
      <c r="IGB449" s="741"/>
      <c r="IGC449" s="741"/>
      <c r="IGD449" s="741"/>
      <c r="IGE449" s="741"/>
      <c r="IGF449" s="741"/>
      <c r="IGG449" s="741"/>
      <c r="IGH449" s="741"/>
      <c r="IGI449" s="741"/>
      <c r="IGJ449" s="741"/>
      <c r="IGK449" s="741"/>
      <c r="IGL449" s="741"/>
      <c r="IGM449" s="741"/>
      <c r="IGN449" s="741"/>
      <c r="IGO449" s="741"/>
      <c r="IGP449" s="741"/>
      <c r="IGQ449" s="741"/>
      <c r="IGR449" s="741"/>
      <c r="IGS449" s="741"/>
      <c r="IGT449" s="741"/>
      <c r="IGU449" s="741"/>
      <c r="IGV449" s="741"/>
      <c r="IGW449" s="741"/>
      <c r="IGX449" s="741"/>
      <c r="IGY449" s="741"/>
      <c r="IGZ449" s="741"/>
      <c r="IHA449" s="741"/>
      <c r="IHB449" s="741"/>
      <c r="IHC449" s="741"/>
      <c r="IHD449" s="741"/>
      <c r="IHE449" s="741"/>
      <c r="IHF449" s="741"/>
      <c r="IHG449" s="741"/>
      <c r="IHH449" s="741"/>
      <c r="IHI449" s="741"/>
      <c r="IHJ449" s="741"/>
      <c r="IHK449" s="741"/>
      <c r="IHL449" s="741"/>
      <c r="IHM449" s="741"/>
      <c r="IHN449" s="741"/>
      <c r="IHO449" s="741"/>
      <c r="IHP449" s="741"/>
      <c r="IHQ449" s="741"/>
      <c r="IHR449" s="741"/>
      <c r="IHS449" s="741"/>
      <c r="IHT449" s="741"/>
      <c r="IHU449" s="741"/>
      <c r="IHV449" s="741"/>
      <c r="IHW449" s="741"/>
      <c r="IHX449" s="741"/>
      <c r="IHY449" s="741"/>
      <c r="IHZ449" s="741"/>
      <c r="IIA449" s="741"/>
      <c r="IIB449" s="741"/>
      <c r="IIC449" s="741"/>
      <c r="IID449" s="741"/>
      <c r="IIE449" s="741"/>
      <c r="IIF449" s="741"/>
      <c r="IIG449" s="741"/>
      <c r="IIH449" s="741"/>
      <c r="III449" s="741"/>
      <c r="IIJ449" s="741"/>
      <c r="IIK449" s="741"/>
      <c r="IIL449" s="741"/>
      <c r="IIM449" s="741"/>
      <c r="IIN449" s="741"/>
      <c r="IIO449" s="741"/>
      <c r="IIP449" s="741"/>
      <c r="IIQ449" s="741"/>
      <c r="IIR449" s="741"/>
      <c r="IIS449" s="741"/>
      <c r="IIT449" s="741"/>
      <c r="IIU449" s="741"/>
      <c r="IIV449" s="741"/>
      <c r="IIW449" s="741"/>
      <c r="IIX449" s="741"/>
      <c r="IIY449" s="741"/>
      <c r="IIZ449" s="741"/>
      <c r="IJA449" s="741"/>
      <c r="IJB449" s="741"/>
      <c r="IJC449" s="741"/>
      <c r="IJD449" s="741"/>
      <c r="IJE449" s="741"/>
      <c r="IJF449" s="741"/>
      <c r="IJG449" s="741"/>
      <c r="IJH449" s="741"/>
      <c r="IJI449" s="741"/>
      <c r="IJJ449" s="741"/>
      <c r="IJK449" s="741"/>
      <c r="IJL449" s="741"/>
      <c r="IJM449" s="741"/>
      <c r="IJN449" s="741"/>
      <c r="IJO449" s="741"/>
      <c r="IJP449" s="741"/>
      <c r="IJQ449" s="741"/>
      <c r="IJR449" s="741"/>
      <c r="IJS449" s="741"/>
      <c r="IJT449" s="741"/>
      <c r="IJU449" s="741"/>
      <c r="IJV449" s="741"/>
      <c r="IJW449" s="741"/>
      <c r="IJX449" s="741"/>
      <c r="IJY449" s="741"/>
      <c r="IJZ449" s="741"/>
      <c r="IKA449" s="741"/>
      <c r="IKB449" s="741"/>
      <c r="IKC449" s="741"/>
      <c r="IKD449" s="741"/>
      <c r="IKE449" s="741"/>
      <c r="IKF449" s="741"/>
      <c r="IKG449" s="741"/>
      <c r="IKH449" s="741"/>
      <c r="IKI449" s="741"/>
      <c r="IKJ449" s="741"/>
      <c r="IKK449" s="741"/>
      <c r="IKL449" s="741"/>
      <c r="IKM449" s="741"/>
      <c r="IKN449" s="741"/>
      <c r="IKO449" s="741"/>
      <c r="IKP449" s="741"/>
      <c r="IKQ449" s="741"/>
      <c r="IKR449" s="741"/>
      <c r="IKS449" s="741"/>
      <c r="IKT449" s="741"/>
      <c r="IKU449" s="741"/>
      <c r="IKV449" s="741"/>
      <c r="IKW449" s="741"/>
      <c r="IKX449" s="741"/>
      <c r="IKY449" s="741"/>
      <c r="IKZ449" s="741"/>
      <c r="ILA449" s="741"/>
      <c r="ILB449" s="741"/>
      <c r="ILC449" s="741"/>
      <c r="ILD449" s="741"/>
      <c r="ILE449" s="741"/>
      <c r="ILF449" s="741"/>
      <c r="ILG449" s="741"/>
      <c r="ILH449" s="741"/>
      <c r="ILI449" s="741"/>
      <c r="ILJ449" s="741"/>
      <c r="ILK449" s="741"/>
      <c r="ILL449" s="741"/>
      <c r="ILM449" s="741"/>
      <c r="ILN449" s="741"/>
      <c r="ILO449" s="741"/>
      <c r="ILP449" s="741"/>
      <c r="ILQ449" s="741"/>
      <c r="ILR449" s="741"/>
      <c r="ILS449" s="741"/>
      <c r="ILT449" s="741"/>
      <c r="ILU449" s="741"/>
      <c r="ILV449" s="741"/>
      <c r="ILW449" s="741"/>
      <c r="ILX449" s="741"/>
      <c r="ILY449" s="741"/>
      <c r="ILZ449" s="741"/>
      <c r="IMA449" s="741"/>
      <c r="IMB449" s="741"/>
      <c r="IMC449" s="741"/>
      <c r="IMD449" s="741"/>
      <c r="IME449" s="741"/>
      <c r="IMF449" s="741"/>
      <c r="IMG449" s="741"/>
      <c r="IMH449" s="741"/>
      <c r="IMI449" s="741"/>
      <c r="IMJ449" s="741"/>
      <c r="IMK449" s="741"/>
      <c r="IML449" s="741"/>
      <c r="IMM449" s="741"/>
      <c r="IMN449" s="741"/>
      <c r="IMO449" s="741"/>
      <c r="IMP449" s="741"/>
      <c r="IMQ449" s="741"/>
      <c r="IMR449" s="741"/>
      <c r="IMS449" s="741"/>
      <c r="IMT449" s="741"/>
      <c r="IMU449" s="741"/>
      <c r="IMV449" s="741"/>
      <c r="IMW449" s="741"/>
      <c r="IMX449" s="741"/>
      <c r="IMY449" s="741"/>
      <c r="IMZ449" s="741"/>
      <c r="INA449" s="741"/>
      <c r="INB449" s="741"/>
      <c r="INC449" s="741"/>
      <c r="IND449" s="741"/>
      <c r="INE449" s="741"/>
      <c r="INF449" s="741"/>
      <c r="ING449" s="741"/>
      <c r="INH449" s="741"/>
      <c r="INI449" s="741"/>
      <c r="INJ449" s="741"/>
      <c r="INK449" s="741"/>
      <c r="INL449" s="741"/>
      <c r="INM449" s="741"/>
      <c r="INN449" s="741"/>
      <c r="INO449" s="741"/>
      <c r="INP449" s="741"/>
      <c r="INQ449" s="741"/>
      <c r="INR449" s="741"/>
      <c r="INS449" s="741"/>
      <c r="INT449" s="741"/>
      <c r="INU449" s="741"/>
      <c r="INV449" s="741"/>
      <c r="INW449" s="741"/>
      <c r="INX449" s="741"/>
      <c r="INY449" s="741"/>
      <c r="INZ449" s="741"/>
      <c r="IOA449" s="741"/>
      <c r="IOB449" s="741"/>
      <c r="IOC449" s="741"/>
      <c r="IOD449" s="741"/>
      <c r="IOE449" s="741"/>
      <c r="IOF449" s="741"/>
      <c r="IOG449" s="741"/>
      <c r="IOH449" s="741"/>
      <c r="IOI449" s="741"/>
      <c r="IOJ449" s="741"/>
      <c r="IOK449" s="741"/>
      <c r="IOL449" s="741"/>
      <c r="IOM449" s="741"/>
      <c r="ION449" s="741"/>
      <c r="IOO449" s="741"/>
      <c r="IOP449" s="741"/>
      <c r="IOQ449" s="741"/>
      <c r="IOR449" s="741"/>
      <c r="IOS449" s="741"/>
      <c r="IOT449" s="741"/>
      <c r="IOU449" s="741"/>
      <c r="IOV449" s="741"/>
      <c r="IOW449" s="741"/>
      <c r="IOX449" s="741"/>
      <c r="IOY449" s="741"/>
      <c r="IOZ449" s="741"/>
      <c r="IPA449" s="741"/>
      <c r="IPB449" s="741"/>
      <c r="IPC449" s="741"/>
      <c r="IPD449" s="741"/>
      <c r="IPE449" s="741"/>
      <c r="IPF449" s="741"/>
      <c r="IPG449" s="741"/>
      <c r="IPH449" s="741"/>
      <c r="IPI449" s="741"/>
      <c r="IPJ449" s="741"/>
      <c r="IPK449" s="741"/>
      <c r="IPL449" s="741"/>
      <c r="IPM449" s="741"/>
      <c r="IPN449" s="741"/>
      <c r="IPO449" s="741"/>
      <c r="IPP449" s="741"/>
      <c r="IPQ449" s="741"/>
      <c r="IPR449" s="741"/>
      <c r="IPS449" s="741"/>
      <c r="IPT449" s="741"/>
      <c r="IPU449" s="741"/>
      <c r="IPV449" s="741"/>
      <c r="IPW449" s="741"/>
      <c r="IPX449" s="741"/>
      <c r="IPY449" s="741"/>
      <c r="IPZ449" s="741"/>
      <c r="IQA449" s="741"/>
      <c r="IQB449" s="741"/>
      <c r="IQC449" s="741"/>
      <c r="IQD449" s="741"/>
      <c r="IQE449" s="741"/>
      <c r="IQF449" s="741"/>
      <c r="IQG449" s="741"/>
      <c r="IQH449" s="741"/>
      <c r="IQI449" s="741"/>
      <c r="IQJ449" s="741"/>
      <c r="IQK449" s="741"/>
      <c r="IQL449" s="741"/>
      <c r="IQM449" s="741"/>
      <c r="IQN449" s="741"/>
      <c r="IQO449" s="741"/>
      <c r="IQP449" s="741"/>
      <c r="IQQ449" s="741"/>
      <c r="IQR449" s="741"/>
      <c r="IQS449" s="741"/>
      <c r="IQT449" s="741"/>
      <c r="IQU449" s="741"/>
      <c r="IQV449" s="741"/>
      <c r="IQW449" s="741"/>
      <c r="IQX449" s="741"/>
      <c r="IQY449" s="741"/>
      <c r="IQZ449" s="741"/>
      <c r="IRA449" s="741"/>
      <c r="IRB449" s="741"/>
      <c r="IRC449" s="741"/>
      <c r="IRD449" s="741"/>
      <c r="IRE449" s="741"/>
      <c r="IRF449" s="741"/>
      <c r="IRG449" s="741"/>
      <c r="IRH449" s="741"/>
      <c r="IRI449" s="741"/>
      <c r="IRJ449" s="741"/>
      <c r="IRK449" s="741"/>
      <c r="IRL449" s="741"/>
      <c r="IRM449" s="741"/>
      <c r="IRN449" s="741"/>
      <c r="IRO449" s="741"/>
      <c r="IRP449" s="741"/>
      <c r="IRQ449" s="741"/>
      <c r="IRR449" s="741"/>
      <c r="IRS449" s="741"/>
      <c r="IRT449" s="741"/>
      <c r="IRU449" s="741"/>
      <c r="IRV449" s="741"/>
      <c r="IRW449" s="741"/>
      <c r="IRX449" s="741"/>
      <c r="IRY449" s="741"/>
      <c r="IRZ449" s="741"/>
      <c r="ISA449" s="741"/>
      <c r="ISB449" s="741"/>
      <c r="ISC449" s="741"/>
      <c r="ISD449" s="741"/>
      <c r="ISE449" s="741"/>
      <c r="ISF449" s="741"/>
      <c r="ISG449" s="741"/>
      <c r="ISH449" s="741"/>
      <c r="ISI449" s="741"/>
      <c r="ISJ449" s="741"/>
      <c r="ISK449" s="741"/>
      <c r="ISL449" s="741"/>
      <c r="ISM449" s="741"/>
      <c r="ISN449" s="741"/>
      <c r="ISO449" s="741"/>
      <c r="ISP449" s="741"/>
      <c r="ISQ449" s="741"/>
      <c r="ISR449" s="741"/>
      <c r="ISS449" s="741"/>
      <c r="IST449" s="741"/>
      <c r="ISU449" s="741"/>
      <c r="ISV449" s="741"/>
      <c r="ISW449" s="741"/>
      <c r="ISX449" s="741"/>
      <c r="ISY449" s="741"/>
      <c r="ISZ449" s="741"/>
      <c r="ITA449" s="741"/>
      <c r="ITB449" s="741"/>
      <c r="ITC449" s="741"/>
      <c r="ITD449" s="741"/>
      <c r="ITE449" s="741"/>
      <c r="ITF449" s="741"/>
      <c r="ITG449" s="741"/>
      <c r="ITH449" s="741"/>
      <c r="ITI449" s="741"/>
      <c r="ITJ449" s="741"/>
      <c r="ITK449" s="741"/>
      <c r="ITL449" s="741"/>
      <c r="ITM449" s="741"/>
      <c r="ITN449" s="741"/>
      <c r="ITO449" s="741"/>
      <c r="ITP449" s="741"/>
      <c r="ITQ449" s="741"/>
      <c r="ITR449" s="741"/>
      <c r="ITS449" s="741"/>
      <c r="ITT449" s="741"/>
      <c r="ITU449" s="741"/>
      <c r="ITV449" s="741"/>
      <c r="ITW449" s="741"/>
      <c r="ITX449" s="741"/>
      <c r="ITY449" s="741"/>
      <c r="ITZ449" s="741"/>
      <c r="IUA449" s="741"/>
      <c r="IUB449" s="741"/>
      <c r="IUC449" s="741"/>
      <c r="IUD449" s="741"/>
      <c r="IUE449" s="741"/>
      <c r="IUF449" s="741"/>
      <c r="IUG449" s="741"/>
      <c r="IUH449" s="741"/>
      <c r="IUI449" s="741"/>
      <c r="IUJ449" s="741"/>
      <c r="IUK449" s="741"/>
      <c r="IUL449" s="741"/>
      <c r="IUM449" s="741"/>
      <c r="IUN449" s="741"/>
      <c r="IUO449" s="741"/>
      <c r="IUP449" s="741"/>
      <c r="IUQ449" s="741"/>
      <c r="IUR449" s="741"/>
      <c r="IUS449" s="741"/>
      <c r="IUT449" s="741"/>
      <c r="IUU449" s="741"/>
      <c r="IUV449" s="741"/>
      <c r="IUW449" s="741"/>
      <c r="IUX449" s="741"/>
      <c r="IUY449" s="741"/>
      <c r="IUZ449" s="741"/>
      <c r="IVA449" s="741"/>
      <c r="IVB449" s="741"/>
      <c r="IVC449" s="741"/>
      <c r="IVD449" s="741"/>
      <c r="IVE449" s="741"/>
      <c r="IVF449" s="741"/>
      <c r="IVG449" s="741"/>
      <c r="IVH449" s="741"/>
      <c r="IVI449" s="741"/>
      <c r="IVJ449" s="741"/>
      <c r="IVK449" s="741"/>
      <c r="IVL449" s="741"/>
      <c r="IVM449" s="741"/>
      <c r="IVN449" s="741"/>
      <c r="IVO449" s="741"/>
      <c r="IVP449" s="741"/>
      <c r="IVQ449" s="741"/>
      <c r="IVR449" s="741"/>
      <c r="IVS449" s="741"/>
      <c r="IVT449" s="741"/>
      <c r="IVU449" s="741"/>
      <c r="IVV449" s="741"/>
      <c r="IVW449" s="741"/>
      <c r="IVX449" s="741"/>
      <c r="IVY449" s="741"/>
      <c r="IVZ449" s="741"/>
      <c r="IWA449" s="741"/>
      <c r="IWB449" s="741"/>
      <c r="IWC449" s="741"/>
      <c r="IWD449" s="741"/>
      <c r="IWE449" s="741"/>
      <c r="IWF449" s="741"/>
      <c r="IWG449" s="741"/>
      <c r="IWH449" s="741"/>
      <c r="IWI449" s="741"/>
      <c r="IWJ449" s="741"/>
      <c r="IWK449" s="741"/>
      <c r="IWL449" s="741"/>
      <c r="IWM449" s="741"/>
      <c r="IWN449" s="741"/>
      <c r="IWO449" s="741"/>
      <c r="IWP449" s="741"/>
      <c r="IWQ449" s="741"/>
      <c r="IWR449" s="741"/>
      <c r="IWS449" s="741"/>
      <c r="IWT449" s="741"/>
      <c r="IWU449" s="741"/>
      <c r="IWV449" s="741"/>
      <c r="IWW449" s="741"/>
      <c r="IWX449" s="741"/>
      <c r="IWY449" s="741"/>
      <c r="IWZ449" s="741"/>
      <c r="IXA449" s="741"/>
      <c r="IXB449" s="741"/>
      <c r="IXC449" s="741"/>
      <c r="IXD449" s="741"/>
      <c r="IXE449" s="741"/>
      <c r="IXF449" s="741"/>
      <c r="IXG449" s="741"/>
      <c r="IXH449" s="741"/>
      <c r="IXI449" s="741"/>
      <c r="IXJ449" s="741"/>
      <c r="IXK449" s="741"/>
      <c r="IXL449" s="741"/>
      <c r="IXM449" s="741"/>
      <c r="IXN449" s="741"/>
      <c r="IXO449" s="741"/>
      <c r="IXP449" s="741"/>
      <c r="IXQ449" s="741"/>
      <c r="IXR449" s="741"/>
      <c r="IXS449" s="741"/>
      <c r="IXT449" s="741"/>
      <c r="IXU449" s="741"/>
      <c r="IXV449" s="741"/>
      <c r="IXW449" s="741"/>
      <c r="IXX449" s="741"/>
      <c r="IXY449" s="741"/>
      <c r="IXZ449" s="741"/>
      <c r="IYA449" s="741"/>
      <c r="IYB449" s="741"/>
      <c r="IYC449" s="741"/>
      <c r="IYD449" s="741"/>
      <c r="IYE449" s="741"/>
      <c r="IYF449" s="741"/>
      <c r="IYG449" s="741"/>
      <c r="IYH449" s="741"/>
      <c r="IYI449" s="741"/>
      <c r="IYJ449" s="741"/>
      <c r="IYK449" s="741"/>
      <c r="IYL449" s="741"/>
      <c r="IYM449" s="741"/>
      <c r="IYN449" s="741"/>
      <c r="IYO449" s="741"/>
      <c r="IYP449" s="741"/>
      <c r="IYQ449" s="741"/>
      <c r="IYR449" s="741"/>
      <c r="IYS449" s="741"/>
      <c r="IYT449" s="741"/>
      <c r="IYU449" s="741"/>
      <c r="IYV449" s="741"/>
      <c r="IYW449" s="741"/>
      <c r="IYX449" s="741"/>
      <c r="IYY449" s="741"/>
      <c r="IYZ449" s="741"/>
      <c r="IZA449" s="741"/>
      <c r="IZB449" s="741"/>
      <c r="IZC449" s="741"/>
      <c r="IZD449" s="741"/>
      <c r="IZE449" s="741"/>
      <c r="IZF449" s="741"/>
      <c r="IZG449" s="741"/>
      <c r="IZH449" s="741"/>
      <c r="IZI449" s="741"/>
      <c r="IZJ449" s="741"/>
      <c r="IZK449" s="741"/>
      <c r="IZL449" s="741"/>
      <c r="IZM449" s="741"/>
      <c r="IZN449" s="741"/>
      <c r="IZO449" s="741"/>
      <c r="IZP449" s="741"/>
      <c r="IZQ449" s="741"/>
      <c r="IZR449" s="741"/>
      <c r="IZS449" s="741"/>
      <c r="IZT449" s="741"/>
      <c r="IZU449" s="741"/>
      <c r="IZV449" s="741"/>
      <c r="IZW449" s="741"/>
      <c r="IZX449" s="741"/>
      <c r="IZY449" s="741"/>
      <c r="IZZ449" s="741"/>
      <c r="JAA449" s="741"/>
      <c r="JAB449" s="741"/>
      <c r="JAC449" s="741"/>
      <c r="JAD449" s="741"/>
      <c r="JAE449" s="741"/>
      <c r="JAF449" s="741"/>
      <c r="JAG449" s="741"/>
      <c r="JAH449" s="741"/>
      <c r="JAI449" s="741"/>
      <c r="JAJ449" s="741"/>
      <c r="JAK449" s="741"/>
      <c r="JAL449" s="741"/>
      <c r="JAM449" s="741"/>
      <c r="JAN449" s="741"/>
      <c r="JAO449" s="741"/>
      <c r="JAP449" s="741"/>
      <c r="JAQ449" s="741"/>
      <c r="JAR449" s="741"/>
      <c r="JAS449" s="741"/>
      <c r="JAT449" s="741"/>
      <c r="JAU449" s="741"/>
      <c r="JAV449" s="741"/>
      <c r="JAW449" s="741"/>
      <c r="JAX449" s="741"/>
      <c r="JAY449" s="741"/>
      <c r="JAZ449" s="741"/>
      <c r="JBA449" s="741"/>
      <c r="JBB449" s="741"/>
      <c r="JBC449" s="741"/>
      <c r="JBD449" s="741"/>
      <c r="JBE449" s="741"/>
      <c r="JBF449" s="741"/>
      <c r="JBG449" s="741"/>
      <c r="JBH449" s="741"/>
      <c r="JBI449" s="741"/>
      <c r="JBJ449" s="741"/>
      <c r="JBK449" s="741"/>
      <c r="JBL449" s="741"/>
      <c r="JBM449" s="741"/>
      <c r="JBN449" s="741"/>
      <c r="JBO449" s="741"/>
      <c r="JBP449" s="741"/>
      <c r="JBQ449" s="741"/>
      <c r="JBR449" s="741"/>
      <c r="JBS449" s="741"/>
      <c r="JBT449" s="741"/>
      <c r="JBU449" s="741"/>
      <c r="JBV449" s="741"/>
      <c r="JBW449" s="741"/>
      <c r="JBX449" s="741"/>
      <c r="JBY449" s="741"/>
      <c r="JBZ449" s="741"/>
      <c r="JCA449" s="741"/>
      <c r="JCB449" s="741"/>
      <c r="JCC449" s="741"/>
      <c r="JCD449" s="741"/>
      <c r="JCE449" s="741"/>
      <c r="JCF449" s="741"/>
      <c r="JCG449" s="741"/>
      <c r="JCH449" s="741"/>
      <c r="JCI449" s="741"/>
      <c r="JCJ449" s="741"/>
      <c r="JCK449" s="741"/>
      <c r="JCL449" s="741"/>
      <c r="JCM449" s="741"/>
      <c r="JCN449" s="741"/>
      <c r="JCO449" s="741"/>
      <c r="JCP449" s="741"/>
      <c r="JCQ449" s="741"/>
      <c r="JCR449" s="741"/>
      <c r="JCS449" s="741"/>
      <c r="JCT449" s="741"/>
      <c r="JCU449" s="741"/>
      <c r="JCV449" s="741"/>
      <c r="JCW449" s="741"/>
      <c r="JCX449" s="741"/>
      <c r="JCY449" s="741"/>
      <c r="JCZ449" s="741"/>
      <c r="JDA449" s="741"/>
      <c r="JDB449" s="741"/>
      <c r="JDC449" s="741"/>
      <c r="JDD449" s="741"/>
      <c r="JDE449" s="741"/>
      <c r="JDF449" s="741"/>
      <c r="JDG449" s="741"/>
      <c r="JDH449" s="741"/>
      <c r="JDI449" s="741"/>
      <c r="JDJ449" s="741"/>
      <c r="JDK449" s="741"/>
      <c r="JDL449" s="741"/>
      <c r="JDM449" s="741"/>
      <c r="JDN449" s="741"/>
      <c r="JDO449" s="741"/>
      <c r="JDP449" s="741"/>
      <c r="JDQ449" s="741"/>
      <c r="JDR449" s="741"/>
      <c r="JDS449" s="741"/>
      <c r="JDT449" s="741"/>
      <c r="JDU449" s="741"/>
      <c r="JDV449" s="741"/>
      <c r="JDW449" s="741"/>
      <c r="JDX449" s="741"/>
      <c r="JDY449" s="741"/>
      <c r="JDZ449" s="741"/>
      <c r="JEA449" s="741"/>
      <c r="JEB449" s="741"/>
      <c r="JEC449" s="741"/>
      <c r="JED449" s="741"/>
      <c r="JEE449" s="741"/>
      <c r="JEF449" s="741"/>
      <c r="JEG449" s="741"/>
      <c r="JEH449" s="741"/>
      <c r="JEI449" s="741"/>
      <c r="JEJ449" s="741"/>
      <c r="JEK449" s="741"/>
      <c r="JEL449" s="741"/>
      <c r="JEM449" s="741"/>
      <c r="JEN449" s="741"/>
      <c r="JEO449" s="741"/>
      <c r="JEP449" s="741"/>
      <c r="JEQ449" s="741"/>
      <c r="JER449" s="741"/>
      <c r="JES449" s="741"/>
      <c r="JET449" s="741"/>
      <c r="JEU449" s="741"/>
      <c r="JEV449" s="741"/>
      <c r="JEW449" s="741"/>
      <c r="JEX449" s="741"/>
      <c r="JEY449" s="741"/>
      <c r="JEZ449" s="741"/>
      <c r="JFA449" s="741"/>
      <c r="JFB449" s="741"/>
      <c r="JFC449" s="741"/>
      <c r="JFD449" s="741"/>
      <c r="JFE449" s="741"/>
      <c r="JFF449" s="741"/>
      <c r="JFG449" s="741"/>
      <c r="JFH449" s="741"/>
      <c r="JFI449" s="741"/>
      <c r="JFJ449" s="741"/>
      <c r="JFK449" s="741"/>
      <c r="JFL449" s="741"/>
      <c r="JFM449" s="741"/>
      <c r="JFN449" s="741"/>
      <c r="JFO449" s="741"/>
      <c r="JFP449" s="741"/>
      <c r="JFQ449" s="741"/>
      <c r="JFR449" s="741"/>
      <c r="JFS449" s="741"/>
      <c r="JFT449" s="741"/>
      <c r="JFU449" s="741"/>
      <c r="JFV449" s="741"/>
      <c r="JFW449" s="741"/>
      <c r="JFX449" s="741"/>
      <c r="JFY449" s="741"/>
      <c r="JFZ449" s="741"/>
      <c r="JGA449" s="741"/>
      <c r="JGB449" s="741"/>
      <c r="JGC449" s="741"/>
      <c r="JGD449" s="741"/>
      <c r="JGE449" s="741"/>
      <c r="JGF449" s="741"/>
      <c r="JGG449" s="741"/>
      <c r="JGH449" s="741"/>
      <c r="JGI449" s="741"/>
      <c r="JGJ449" s="741"/>
      <c r="JGK449" s="741"/>
      <c r="JGL449" s="741"/>
      <c r="JGM449" s="741"/>
      <c r="JGN449" s="741"/>
      <c r="JGO449" s="741"/>
      <c r="JGP449" s="741"/>
      <c r="JGQ449" s="741"/>
      <c r="JGR449" s="741"/>
      <c r="JGS449" s="741"/>
      <c r="JGT449" s="741"/>
      <c r="JGU449" s="741"/>
      <c r="JGV449" s="741"/>
      <c r="JGW449" s="741"/>
      <c r="JGX449" s="741"/>
      <c r="JGY449" s="741"/>
      <c r="JGZ449" s="741"/>
      <c r="JHA449" s="741"/>
      <c r="JHB449" s="741"/>
      <c r="JHC449" s="741"/>
      <c r="JHD449" s="741"/>
      <c r="JHE449" s="741"/>
      <c r="JHF449" s="741"/>
      <c r="JHG449" s="741"/>
      <c r="JHH449" s="741"/>
      <c r="JHI449" s="741"/>
      <c r="JHJ449" s="741"/>
      <c r="JHK449" s="741"/>
      <c r="JHL449" s="741"/>
      <c r="JHM449" s="741"/>
      <c r="JHN449" s="741"/>
      <c r="JHO449" s="741"/>
      <c r="JHP449" s="741"/>
      <c r="JHQ449" s="741"/>
      <c r="JHR449" s="741"/>
      <c r="JHS449" s="741"/>
      <c r="JHT449" s="741"/>
      <c r="JHU449" s="741"/>
      <c r="JHV449" s="741"/>
      <c r="JHW449" s="741"/>
      <c r="JHX449" s="741"/>
      <c r="JHY449" s="741"/>
      <c r="JHZ449" s="741"/>
      <c r="JIA449" s="741"/>
      <c r="JIB449" s="741"/>
      <c r="JIC449" s="741"/>
      <c r="JID449" s="741"/>
      <c r="JIE449" s="741"/>
      <c r="JIF449" s="741"/>
      <c r="JIG449" s="741"/>
      <c r="JIH449" s="741"/>
      <c r="JII449" s="741"/>
      <c r="JIJ449" s="741"/>
      <c r="JIK449" s="741"/>
      <c r="JIL449" s="741"/>
      <c r="JIM449" s="741"/>
      <c r="JIN449" s="741"/>
      <c r="JIO449" s="741"/>
      <c r="JIP449" s="741"/>
      <c r="JIQ449" s="741"/>
      <c r="JIR449" s="741"/>
      <c r="JIS449" s="741"/>
      <c r="JIT449" s="741"/>
      <c r="JIU449" s="741"/>
      <c r="JIV449" s="741"/>
      <c r="JIW449" s="741"/>
      <c r="JIX449" s="741"/>
      <c r="JIY449" s="741"/>
      <c r="JIZ449" s="741"/>
      <c r="JJA449" s="741"/>
      <c r="JJB449" s="741"/>
      <c r="JJC449" s="741"/>
      <c r="JJD449" s="741"/>
      <c r="JJE449" s="741"/>
      <c r="JJF449" s="741"/>
      <c r="JJG449" s="741"/>
      <c r="JJH449" s="741"/>
      <c r="JJI449" s="741"/>
      <c r="JJJ449" s="741"/>
      <c r="JJK449" s="741"/>
      <c r="JJL449" s="741"/>
      <c r="JJM449" s="741"/>
      <c r="JJN449" s="741"/>
      <c r="JJO449" s="741"/>
      <c r="JJP449" s="741"/>
      <c r="JJQ449" s="741"/>
      <c r="JJR449" s="741"/>
      <c r="JJS449" s="741"/>
      <c r="JJT449" s="741"/>
      <c r="JJU449" s="741"/>
      <c r="JJV449" s="741"/>
      <c r="JJW449" s="741"/>
      <c r="JJX449" s="741"/>
      <c r="JJY449" s="741"/>
      <c r="JJZ449" s="741"/>
      <c r="JKA449" s="741"/>
      <c r="JKB449" s="741"/>
      <c r="JKC449" s="741"/>
      <c r="JKD449" s="741"/>
      <c r="JKE449" s="741"/>
      <c r="JKF449" s="741"/>
      <c r="JKG449" s="741"/>
      <c r="JKH449" s="741"/>
      <c r="JKI449" s="741"/>
      <c r="JKJ449" s="741"/>
      <c r="JKK449" s="741"/>
      <c r="JKL449" s="741"/>
      <c r="JKM449" s="741"/>
      <c r="JKN449" s="741"/>
      <c r="JKO449" s="741"/>
      <c r="JKP449" s="741"/>
      <c r="JKQ449" s="741"/>
      <c r="JKR449" s="741"/>
      <c r="JKS449" s="741"/>
      <c r="JKT449" s="741"/>
      <c r="JKU449" s="741"/>
      <c r="JKV449" s="741"/>
      <c r="JKW449" s="741"/>
      <c r="JKX449" s="741"/>
      <c r="JKY449" s="741"/>
      <c r="JKZ449" s="741"/>
      <c r="JLA449" s="741"/>
      <c r="JLB449" s="741"/>
      <c r="JLC449" s="741"/>
      <c r="JLD449" s="741"/>
      <c r="JLE449" s="741"/>
      <c r="JLF449" s="741"/>
      <c r="JLG449" s="741"/>
      <c r="JLH449" s="741"/>
      <c r="JLI449" s="741"/>
      <c r="JLJ449" s="741"/>
      <c r="JLK449" s="741"/>
      <c r="JLL449" s="741"/>
      <c r="JLM449" s="741"/>
      <c r="JLN449" s="741"/>
      <c r="JLO449" s="741"/>
      <c r="JLP449" s="741"/>
      <c r="JLQ449" s="741"/>
      <c r="JLR449" s="741"/>
      <c r="JLS449" s="741"/>
      <c r="JLT449" s="741"/>
      <c r="JLU449" s="741"/>
      <c r="JLV449" s="741"/>
      <c r="JLW449" s="741"/>
      <c r="JLX449" s="741"/>
      <c r="JLY449" s="741"/>
      <c r="JLZ449" s="741"/>
      <c r="JMA449" s="741"/>
      <c r="JMB449" s="741"/>
      <c r="JMC449" s="741"/>
      <c r="JMD449" s="741"/>
      <c r="JME449" s="741"/>
      <c r="JMF449" s="741"/>
      <c r="JMG449" s="741"/>
      <c r="JMH449" s="741"/>
      <c r="JMI449" s="741"/>
      <c r="JMJ449" s="741"/>
      <c r="JMK449" s="741"/>
      <c r="JML449" s="741"/>
      <c r="JMM449" s="741"/>
      <c r="JMN449" s="741"/>
      <c r="JMO449" s="741"/>
      <c r="JMP449" s="741"/>
      <c r="JMQ449" s="741"/>
      <c r="JMR449" s="741"/>
      <c r="JMS449" s="741"/>
      <c r="JMT449" s="741"/>
      <c r="JMU449" s="741"/>
      <c r="JMV449" s="741"/>
      <c r="JMW449" s="741"/>
      <c r="JMX449" s="741"/>
      <c r="JMY449" s="741"/>
      <c r="JMZ449" s="741"/>
      <c r="JNA449" s="741"/>
      <c r="JNB449" s="741"/>
      <c r="JNC449" s="741"/>
      <c r="JND449" s="741"/>
      <c r="JNE449" s="741"/>
      <c r="JNF449" s="741"/>
      <c r="JNG449" s="741"/>
      <c r="JNH449" s="741"/>
      <c r="JNI449" s="741"/>
      <c r="JNJ449" s="741"/>
      <c r="JNK449" s="741"/>
      <c r="JNL449" s="741"/>
      <c r="JNM449" s="741"/>
      <c r="JNN449" s="741"/>
      <c r="JNO449" s="741"/>
      <c r="JNP449" s="741"/>
      <c r="JNQ449" s="741"/>
      <c r="JNR449" s="741"/>
      <c r="JNS449" s="741"/>
      <c r="JNT449" s="741"/>
      <c r="JNU449" s="741"/>
      <c r="JNV449" s="741"/>
      <c r="JNW449" s="741"/>
      <c r="JNX449" s="741"/>
      <c r="JNY449" s="741"/>
      <c r="JNZ449" s="741"/>
      <c r="JOA449" s="741"/>
      <c r="JOB449" s="741"/>
      <c r="JOC449" s="741"/>
      <c r="JOD449" s="741"/>
      <c r="JOE449" s="741"/>
      <c r="JOF449" s="741"/>
      <c r="JOG449" s="741"/>
      <c r="JOH449" s="741"/>
      <c r="JOI449" s="741"/>
      <c r="JOJ449" s="741"/>
      <c r="JOK449" s="741"/>
      <c r="JOL449" s="741"/>
      <c r="JOM449" s="741"/>
      <c r="JON449" s="741"/>
      <c r="JOO449" s="741"/>
      <c r="JOP449" s="741"/>
      <c r="JOQ449" s="741"/>
      <c r="JOR449" s="741"/>
      <c r="JOS449" s="741"/>
      <c r="JOT449" s="741"/>
      <c r="JOU449" s="741"/>
      <c r="JOV449" s="741"/>
      <c r="JOW449" s="741"/>
      <c r="JOX449" s="741"/>
      <c r="JOY449" s="741"/>
      <c r="JOZ449" s="741"/>
      <c r="JPA449" s="741"/>
      <c r="JPB449" s="741"/>
      <c r="JPC449" s="741"/>
      <c r="JPD449" s="741"/>
      <c r="JPE449" s="741"/>
      <c r="JPF449" s="741"/>
      <c r="JPG449" s="741"/>
      <c r="JPH449" s="741"/>
      <c r="JPI449" s="741"/>
      <c r="JPJ449" s="741"/>
      <c r="JPK449" s="741"/>
      <c r="JPL449" s="741"/>
      <c r="JPM449" s="741"/>
      <c r="JPN449" s="741"/>
      <c r="JPO449" s="741"/>
      <c r="JPP449" s="741"/>
      <c r="JPQ449" s="741"/>
      <c r="JPR449" s="741"/>
      <c r="JPS449" s="741"/>
      <c r="JPT449" s="741"/>
      <c r="JPU449" s="741"/>
      <c r="JPV449" s="741"/>
      <c r="JPW449" s="741"/>
      <c r="JPX449" s="741"/>
      <c r="JPY449" s="741"/>
      <c r="JPZ449" s="741"/>
      <c r="JQA449" s="741"/>
      <c r="JQB449" s="741"/>
      <c r="JQC449" s="741"/>
      <c r="JQD449" s="741"/>
      <c r="JQE449" s="741"/>
      <c r="JQF449" s="741"/>
      <c r="JQG449" s="741"/>
      <c r="JQH449" s="741"/>
      <c r="JQI449" s="741"/>
      <c r="JQJ449" s="741"/>
      <c r="JQK449" s="741"/>
      <c r="JQL449" s="741"/>
      <c r="JQM449" s="741"/>
      <c r="JQN449" s="741"/>
      <c r="JQO449" s="741"/>
      <c r="JQP449" s="741"/>
      <c r="JQQ449" s="741"/>
      <c r="JQR449" s="741"/>
      <c r="JQS449" s="741"/>
      <c r="JQT449" s="741"/>
      <c r="JQU449" s="741"/>
      <c r="JQV449" s="741"/>
      <c r="JQW449" s="741"/>
      <c r="JQX449" s="741"/>
      <c r="JQY449" s="741"/>
      <c r="JQZ449" s="741"/>
      <c r="JRA449" s="741"/>
      <c r="JRB449" s="741"/>
      <c r="JRC449" s="741"/>
      <c r="JRD449" s="741"/>
      <c r="JRE449" s="741"/>
      <c r="JRF449" s="741"/>
      <c r="JRG449" s="741"/>
      <c r="JRH449" s="741"/>
      <c r="JRI449" s="741"/>
      <c r="JRJ449" s="741"/>
      <c r="JRK449" s="741"/>
      <c r="JRL449" s="741"/>
      <c r="JRM449" s="741"/>
      <c r="JRN449" s="741"/>
      <c r="JRO449" s="741"/>
      <c r="JRP449" s="741"/>
      <c r="JRQ449" s="741"/>
      <c r="JRR449" s="741"/>
      <c r="JRS449" s="741"/>
      <c r="JRT449" s="741"/>
      <c r="JRU449" s="741"/>
      <c r="JRV449" s="741"/>
      <c r="JRW449" s="741"/>
      <c r="JRX449" s="741"/>
      <c r="JRY449" s="741"/>
      <c r="JRZ449" s="741"/>
      <c r="JSA449" s="741"/>
      <c r="JSB449" s="741"/>
      <c r="JSC449" s="741"/>
      <c r="JSD449" s="741"/>
      <c r="JSE449" s="741"/>
      <c r="JSF449" s="741"/>
      <c r="JSG449" s="741"/>
      <c r="JSH449" s="741"/>
      <c r="JSI449" s="741"/>
      <c r="JSJ449" s="741"/>
      <c r="JSK449" s="741"/>
      <c r="JSL449" s="741"/>
      <c r="JSM449" s="741"/>
      <c r="JSN449" s="741"/>
      <c r="JSO449" s="741"/>
      <c r="JSP449" s="741"/>
      <c r="JSQ449" s="741"/>
      <c r="JSR449" s="741"/>
      <c r="JSS449" s="741"/>
      <c r="JST449" s="741"/>
      <c r="JSU449" s="741"/>
      <c r="JSV449" s="741"/>
      <c r="JSW449" s="741"/>
      <c r="JSX449" s="741"/>
      <c r="JSY449" s="741"/>
      <c r="JSZ449" s="741"/>
      <c r="JTA449" s="741"/>
      <c r="JTB449" s="741"/>
      <c r="JTC449" s="741"/>
      <c r="JTD449" s="741"/>
      <c r="JTE449" s="741"/>
      <c r="JTF449" s="741"/>
      <c r="JTG449" s="741"/>
      <c r="JTH449" s="741"/>
      <c r="JTI449" s="741"/>
      <c r="JTJ449" s="741"/>
      <c r="JTK449" s="741"/>
      <c r="JTL449" s="741"/>
      <c r="JTM449" s="741"/>
      <c r="JTN449" s="741"/>
      <c r="JTO449" s="741"/>
      <c r="JTP449" s="741"/>
      <c r="JTQ449" s="741"/>
      <c r="JTR449" s="741"/>
      <c r="JTS449" s="741"/>
      <c r="JTT449" s="741"/>
      <c r="JTU449" s="741"/>
      <c r="JTV449" s="741"/>
      <c r="JTW449" s="741"/>
      <c r="JTX449" s="741"/>
      <c r="JTY449" s="741"/>
      <c r="JTZ449" s="741"/>
      <c r="JUA449" s="741"/>
      <c r="JUB449" s="741"/>
      <c r="JUC449" s="741"/>
      <c r="JUD449" s="741"/>
      <c r="JUE449" s="741"/>
      <c r="JUF449" s="741"/>
      <c r="JUG449" s="741"/>
      <c r="JUH449" s="741"/>
      <c r="JUI449" s="741"/>
      <c r="JUJ449" s="741"/>
      <c r="JUK449" s="741"/>
      <c r="JUL449" s="741"/>
      <c r="JUM449" s="741"/>
      <c r="JUN449" s="741"/>
      <c r="JUO449" s="741"/>
      <c r="JUP449" s="741"/>
      <c r="JUQ449" s="741"/>
      <c r="JUR449" s="741"/>
      <c r="JUS449" s="741"/>
      <c r="JUT449" s="741"/>
      <c r="JUU449" s="741"/>
      <c r="JUV449" s="741"/>
      <c r="JUW449" s="741"/>
      <c r="JUX449" s="741"/>
      <c r="JUY449" s="741"/>
      <c r="JUZ449" s="741"/>
      <c r="JVA449" s="741"/>
      <c r="JVB449" s="741"/>
      <c r="JVC449" s="741"/>
      <c r="JVD449" s="741"/>
      <c r="JVE449" s="741"/>
      <c r="JVF449" s="741"/>
      <c r="JVG449" s="741"/>
      <c r="JVH449" s="741"/>
      <c r="JVI449" s="741"/>
      <c r="JVJ449" s="741"/>
      <c r="JVK449" s="741"/>
      <c r="JVL449" s="741"/>
      <c r="JVM449" s="741"/>
      <c r="JVN449" s="741"/>
      <c r="JVO449" s="741"/>
      <c r="JVP449" s="741"/>
      <c r="JVQ449" s="741"/>
      <c r="JVR449" s="741"/>
      <c r="JVS449" s="741"/>
      <c r="JVT449" s="741"/>
      <c r="JVU449" s="741"/>
      <c r="JVV449" s="741"/>
      <c r="JVW449" s="741"/>
      <c r="JVX449" s="741"/>
      <c r="JVY449" s="741"/>
      <c r="JVZ449" s="741"/>
      <c r="JWA449" s="741"/>
      <c r="JWB449" s="741"/>
      <c r="JWC449" s="741"/>
      <c r="JWD449" s="741"/>
      <c r="JWE449" s="741"/>
      <c r="JWF449" s="741"/>
      <c r="JWG449" s="741"/>
      <c r="JWH449" s="741"/>
      <c r="JWI449" s="741"/>
      <c r="JWJ449" s="741"/>
      <c r="JWK449" s="741"/>
      <c r="JWL449" s="741"/>
      <c r="JWM449" s="741"/>
      <c r="JWN449" s="741"/>
      <c r="JWO449" s="741"/>
      <c r="JWP449" s="741"/>
      <c r="JWQ449" s="741"/>
      <c r="JWR449" s="741"/>
      <c r="JWS449" s="741"/>
      <c r="JWT449" s="741"/>
      <c r="JWU449" s="741"/>
      <c r="JWV449" s="741"/>
      <c r="JWW449" s="741"/>
      <c r="JWX449" s="741"/>
      <c r="JWY449" s="741"/>
      <c r="JWZ449" s="741"/>
      <c r="JXA449" s="741"/>
      <c r="JXB449" s="741"/>
      <c r="JXC449" s="741"/>
      <c r="JXD449" s="741"/>
      <c r="JXE449" s="741"/>
      <c r="JXF449" s="741"/>
      <c r="JXG449" s="741"/>
      <c r="JXH449" s="741"/>
      <c r="JXI449" s="741"/>
      <c r="JXJ449" s="741"/>
      <c r="JXK449" s="741"/>
      <c r="JXL449" s="741"/>
      <c r="JXM449" s="741"/>
      <c r="JXN449" s="741"/>
      <c r="JXO449" s="741"/>
      <c r="JXP449" s="741"/>
      <c r="JXQ449" s="741"/>
      <c r="JXR449" s="741"/>
      <c r="JXS449" s="741"/>
      <c r="JXT449" s="741"/>
      <c r="JXU449" s="741"/>
      <c r="JXV449" s="741"/>
      <c r="JXW449" s="741"/>
      <c r="JXX449" s="741"/>
      <c r="JXY449" s="741"/>
      <c r="JXZ449" s="741"/>
      <c r="JYA449" s="741"/>
      <c r="JYB449" s="741"/>
      <c r="JYC449" s="741"/>
      <c r="JYD449" s="741"/>
      <c r="JYE449" s="741"/>
      <c r="JYF449" s="741"/>
      <c r="JYG449" s="741"/>
      <c r="JYH449" s="741"/>
      <c r="JYI449" s="741"/>
      <c r="JYJ449" s="741"/>
      <c r="JYK449" s="741"/>
      <c r="JYL449" s="741"/>
      <c r="JYM449" s="741"/>
      <c r="JYN449" s="741"/>
      <c r="JYO449" s="741"/>
      <c r="JYP449" s="741"/>
      <c r="JYQ449" s="741"/>
      <c r="JYR449" s="741"/>
      <c r="JYS449" s="741"/>
      <c r="JYT449" s="741"/>
      <c r="JYU449" s="741"/>
      <c r="JYV449" s="741"/>
      <c r="JYW449" s="741"/>
      <c r="JYX449" s="741"/>
      <c r="JYY449" s="741"/>
      <c r="JYZ449" s="741"/>
      <c r="JZA449" s="741"/>
      <c r="JZB449" s="741"/>
      <c r="JZC449" s="741"/>
      <c r="JZD449" s="741"/>
      <c r="JZE449" s="741"/>
      <c r="JZF449" s="741"/>
      <c r="JZG449" s="741"/>
      <c r="JZH449" s="741"/>
      <c r="JZI449" s="741"/>
      <c r="JZJ449" s="741"/>
      <c r="JZK449" s="741"/>
      <c r="JZL449" s="741"/>
      <c r="JZM449" s="741"/>
      <c r="JZN449" s="741"/>
      <c r="JZO449" s="741"/>
      <c r="JZP449" s="741"/>
      <c r="JZQ449" s="741"/>
      <c r="JZR449" s="741"/>
      <c r="JZS449" s="741"/>
      <c r="JZT449" s="741"/>
      <c r="JZU449" s="741"/>
      <c r="JZV449" s="741"/>
      <c r="JZW449" s="741"/>
      <c r="JZX449" s="741"/>
      <c r="JZY449" s="741"/>
      <c r="JZZ449" s="741"/>
      <c r="KAA449" s="741"/>
      <c r="KAB449" s="741"/>
      <c r="KAC449" s="741"/>
      <c r="KAD449" s="741"/>
      <c r="KAE449" s="741"/>
      <c r="KAF449" s="741"/>
      <c r="KAG449" s="741"/>
      <c r="KAH449" s="741"/>
      <c r="KAI449" s="741"/>
      <c r="KAJ449" s="741"/>
      <c r="KAK449" s="741"/>
      <c r="KAL449" s="741"/>
      <c r="KAM449" s="741"/>
      <c r="KAN449" s="741"/>
      <c r="KAO449" s="741"/>
      <c r="KAP449" s="741"/>
      <c r="KAQ449" s="741"/>
      <c r="KAR449" s="741"/>
      <c r="KAS449" s="741"/>
      <c r="KAT449" s="741"/>
      <c r="KAU449" s="741"/>
      <c r="KAV449" s="741"/>
      <c r="KAW449" s="741"/>
      <c r="KAX449" s="741"/>
      <c r="KAY449" s="741"/>
      <c r="KAZ449" s="741"/>
      <c r="KBA449" s="741"/>
      <c r="KBB449" s="741"/>
      <c r="KBC449" s="741"/>
      <c r="KBD449" s="741"/>
      <c r="KBE449" s="741"/>
      <c r="KBF449" s="741"/>
      <c r="KBG449" s="741"/>
      <c r="KBH449" s="741"/>
      <c r="KBI449" s="741"/>
      <c r="KBJ449" s="741"/>
      <c r="KBK449" s="741"/>
      <c r="KBL449" s="741"/>
      <c r="KBM449" s="741"/>
      <c r="KBN449" s="741"/>
      <c r="KBO449" s="741"/>
      <c r="KBP449" s="741"/>
      <c r="KBQ449" s="741"/>
      <c r="KBR449" s="741"/>
      <c r="KBS449" s="741"/>
      <c r="KBT449" s="741"/>
      <c r="KBU449" s="741"/>
      <c r="KBV449" s="741"/>
      <c r="KBW449" s="741"/>
      <c r="KBX449" s="741"/>
      <c r="KBY449" s="741"/>
      <c r="KBZ449" s="741"/>
      <c r="KCA449" s="741"/>
      <c r="KCB449" s="741"/>
      <c r="KCC449" s="741"/>
      <c r="KCD449" s="741"/>
      <c r="KCE449" s="741"/>
      <c r="KCF449" s="741"/>
      <c r="KCG449" s="741"/>
      <c r="KCH449" s="741"/>
      <c r="KCI449" s="741"/>
      <c r="KCJ449" s="741"/>
      <c r="KCK449" s="741"/>
      <c r="KCL449" s="741"/>
      <c r="KCM449" s="741"/>
      <c r="KCN449" s="741"/>
      <c r="KCO449" s="741"/>
      <c r="KCP449" s="741"/>
      <c r="KCQ449" s="741"/>
      <c r="KCR449" s="741"/>
      <c r="KCS449" s="741"/>
      <c r="KCT449" s="741"/>
      <c r="KCU449" s="741"/>
      <c r="KCV449" s="741"/>
      <c r="KCW449" s="741"/>
      <c r="KCX449" s="741"/>
      <c r="KCY449" s="741"/>
      <c r="KCZ449" s="741"/>
      <c r="KDA449" s="741"/>
      <c r="KDB449" s="741"/>
      <c r="KDC449" s="741"/>
      <c r="KDD449" s="741"/>
      <c r="KDE449" s="741"/>
      <c r="KDF449" s="741"/>
      <c r="KDG449" s="741"/>
      <c r="KDH449" s="741"/>
      <c r="KDI449" s="741"/>
      <c r="KDJ449" s="741"/>
      <c r="KDK449" s="741"/>
      <c r="KDL449" s="741"/>
      <c r="KDM449" s="741"/>
      <c r="KDN449" s="741"/>
      <c r="KDO449" s="741"/>
      <c r="KDP449" s="741"/>
      <c r="KDQ449" s="741"/>
      <c r="KDR449" s="741"/>
      <c r="KDS449" s="741"/>
      <c r="KDT449" s="741"/>
      <c r="KDU449" s="741"/>
      <c r="KDV449" s="741"/>
      <c r="KDW449" s="741"/>
      <c r="KDX449" s="741"/>
      <c r="KDY449" s="741"/>
      <c r="KDZ449" s="741"/>
      <c r="KEA449" s="741"/>
      <c r="KEB449" s="741"/>
      <c r="KEC449" s="741"/>
      <c r="KED449" s="741"/>
      <c r="KEE449" s="741"/>
      <c r="KEF449" s="741"/>
      <c r="KEG449" s="741"/>
      <c r="KEH449" s="741"/>
      <c r="KEI449" s="741"/>
      <c r="KEJ449" s="741"/>
      <c r="KEK449" s="741"/>
      <c r="KEL449" s="741"/>
      <c r="KEM449" s="741"/>
      <c r="KEN449" s="741"/>
      <c r="KEO449" s="741"/>
      <c r="KEP449" s="741"/>
      <c r="KEQ449" s="741"/>
      <c r="KER449" s="741"/>
      <c r="KES449" s="741"/>
      <c r="KET449" s="741"/>
      <c r="KEU449" s="741"/>
      <c r="KEV449" s="741"/>
      <c r="KEW449" s="741"/>
      <c r="KEX449" s="741"/>
      <c r="KEY449" s="741"/>
      <c r="KEZ449" s="741"/>
      <c r="KFA449" s="741"/>
      <c r="KFB449" s="741"/>
      <c r="KFC449" s="741"/>
      <c r="KFD449" s="741"/>
      <c r="KFE449" s="741"/>
      <c r="KFF449" s="741"/>
      <c r="KFG449" s="741"/>
      <c r="KFH449" s="741"/>
      <c r="KFI449" s="741"/>
      <c r="KFJ449" s="741"/>
      <c r="KFK449" s="741"/>
      <c r="KFL449" s="741"/>
      <c r="KFM449" s="741"/>
      <c r="KFN449" s="741"/>
      <c r="KFO449" s="741"/>
      <c r="KFP449" s="741"/>
      <c r="KFQ449" s="741"/>
      <c r="KFR449" s="741"/>
      <c r="KFS449" s="741"/>
      <c r="KFT449" s="741"/>
      <c r="KFU449" s="741"/>
      <c r="KFV449" s="741"/>
      <c r="KFW449" s="741"/>
      <c r="KFX449" s="741"/>
      <c r="KFY449" s="741"/>
      <c r="KFZ449" s="741"/>
      <c r="KGA449" s="741"/>
      <c r="KGB449" s="741"/>
      <c r="KGC449" s="741"/>
      <c r="KGD449" s="741"/>
      <c r="KGE449" s="741"/>
      <c r="KGF449" s="741"/>
      <c r="KGG449" s="741"/>
      <c r="KGH449" s="741"/>
      <c r="KGI449" s="741"/>
      <c r="KGJ449" s="741"/>
      <c r="KGK449" s="741"/>
      <c r="KGL449" s="741"/>
      <c r="KGM449" s="741"/>
      <c r="KGN449" s="741"/>
      <c r="KGO449" s="741"/>
      <c r="KGP449" s="741"/>
      <c r="KGQ449" s="741"/>
      <c r="KGR449" s="741"/>
      <c r="KGS449" s="741"/>
      <c r="KGT449" s="741"/>
      <c r="KGU449" s="741"/>
      <c r="KGV449" s="741"/>
      <c r="KGW449" s="741"/>
      <c r="KGX449" s="741"/>
      <c r="KGY449" s="741"/>
      <c r="KGZ449" s="741"/>
      <c r="KHA449" s="741"/>
      <c r="KHB449" s="741"/>
      <c r="KHC449" s="741"/>
      <c r="KHD449" s="741"/>
      <c r="KHE449" s="741"/>
      <c r="KHF449" s="741"/>
      <c r="KHG449" s="741"/>
      <c r="KHH449" s="741"/>
      <c r="KHI449" s="741"/>
      <c r="KHJ449" s="741"/>
      <c r="KHK449" s="741"/>
      <c r="KHL449" s="741"/>
      <c r="KHM449" s="741"/>
      <c r="KHN449" s="741"/>
      <c r="KHO449" s="741"/>
      <c r="KHP449" s="741"/>
      <c r="KHQ449" s="741"/>
      <c r="KHR449" s="741"/>
      <c r="KHS449" s="741"/>
      <c r="KHT449" s="741"/>
      <c r="KHU449" s="741"/>
      <c r="KHV449" s="741"/>
      <c r="KHW449" s="741"/>
      <c r="KHX449" s="741"/>
      <c r="KHY449" s="741"/>
      <c r="KHZ449" s="741"/>
      <c r="KIA449" s="741"/>
      <c r="KIB449" s="741"/>
      <c r="KIC449" s="741"/>
      <c r="KID449" s="741"/>
      <c r="KIE449" s="741"/>
      <c r="KIF449" s="741"/>
      <c r="KIG449" s="741"/>
      <c r="KIH449" s="741"/>
      <c r="KII449" s="741"/>
      <c r="KIJ449" s="741"/>
      <c r="KIK449" s="741"/>
      <c r="KIL449" s="741"/>
      <c r="KIM449" s="741"/>
      <c r="KIN449" s="741"/>
      <c r="KIO449" s="741"/>
      <c r="KIP449" s="741"/>
      <c r="KIQ449" s="741"/>
      <c r="KIR449" s="741"/>
      <c r="KIS449" s="741"/>
      <c r="KIT449" s="741"/>
      <c r="KIU449" s="741"/>
      <c r="KIV449" s="741"/>
      <c r="KIW449" s="741"/>
      <c r="KIX449" s="741"/>
      <c r="KIY449" s="741"/>
      <c r="KIZ449" s="741"/>
      <c r="KJA449" s="741"/>
      <c r="KJB449" s="741"/>
      <c r="KJC449" s="741"/>
      <c r="KJD449" s="741"/>
      <c r="KJE449" s="741"/>
      <c r="KJF449" s="741"/>
      <c r="KJG449" s="741"/>
      <c r="KJH449" s="741"/>
      <c r="KJI449" s="741"/>
      <c r="KJJ449" s="741"/>
      <c r="KJK449" s="741"/>
      <c r="KJL449" s="741"/>
      <c r="KJM449" s="741"/>
      <c r="KJN449" s="741"/>
      <c r="KJO449" s="741"/>
      <c r="KJP449" s="741"/>
      <c r="KJQ449" s="741"/>
      <c r="KJR449" s="741"/>
      <c r="KJS449" s="741"/>
      <c r="KJT449" s="741"/>
      <c r="KJU449" s="741"/>
      <c r="KJV449" s="741"/>
      <c r="KJW449" s="741"/>
      <c r="KJX449" s="741"/>
      <c r="KJY449" s="741"/>
      <c r="KJZ449" s="741"/>
      <c r="KKA449" s="741"/>
      <c r="KKB449" s="741"/>
      <c r="KKC449" s="741"/>
      <c r="KKD449" s="741"/>
      <c r="KKE449" s="741"/>
      <c r="KKF449" s="741"/>
      <c r="KKG449" s="741"/>
      <c r="KKH449" s="741"/>
      <c r="KKI449" s="741"/>
      <c r="KKJ449" s="741"/>
      <c r="KKK449" s="741"/>
      <c r="KKL449" s="741"/>
      <c r="KKM449" s="741"/>
      <c r="KKN449" s="741"/>
      <c r="KKO449" s="741"/>
      <c r="KKP449" s="741"/>
      <c r="KKQ449" s="741"/>
      <c r="KKR449" s="741"/>
      <c r="KKS449" s="741"/>
      <c r="KKT449" s="741"/>
      <c r="KKU449" s="741"/>
      <c r="KKV449" s="741"/>
      <c r="KKW449" s="741"/>
      <c r="KKX449" s="741"/>
      <c r="KKY449" s="741"/>
      <c r="KKZ449" s="741"/>
      <c r="KLA449" s="741"/>
      <c r="KLB449" s="741"/>
      <c r="KLC449" s="741"/>
      <c r="KLD449" s="741"/>
      <c r="KLE449" s="741"/>
      <c r="KLF449" s="741"/>
      <c r="KLG449" s="741"/>
      <c r="KLH449" s="741"/>
      <c r="KLI449" s="741"/>
      <c r="KLJ449" s="741"/>
      <c r="KLK449" s="741"/>
      <c r="KLL449" s="741"/>
      <c r="KLM449" s="741"/>
      <c r="KLN449" s="741"/>
      <c r="KLO449" s="741"/>
      <c r="KLP449" s="741"/>
      <c r="KLQ449" s="741"/>
      <c r="KLR449" s="741"/>
      <c r="KLS449" s="741"/>
      <c r="KLT449" s="741"/>
      <c r="KLU449" s="741"/>
      <c r="KLV449" s="741"/>
      <c r="KLW449" s="741"/>
      <c r="KLX449" s="741"/>
      <c r="KLY449" s="741"/>
      <c r="KLZ449" s="741"/>
      <c r="KMA449" s="741"/>
      <c r="KMB449" s="741"/>
      <c r="KMC449" s="741"/>
      <c r="KMD449" s="741"/>
      <c r="KME449" s="741"/>
      <c r="KMF449" s="741"/>
      <c r="KMG449" s="741"/>
      <c r="KMH449" s="741"/>
      <c r="KMI449" s="741"/>
      <c r="KMJ449" s="741"/>
      <c r="KMK449" s="741"/>
      <c r="KML449" s="741"/>
      <c r="KMM449" s="741"/>
      <c r="KMN449" s="741"/>
      <c r="KMO449" s="741"/>
      <c r="KMP449" s="741"/>
      <c r="KMQ449" s="741"/>
      <c r="KMR449" s="741"/>
      <c r="KMS449" s="741"/>
      <c r="KMT449" s="741"/>
      <c r="KMU449" s="741"/>
      <c r="KMV449" s="741"/>
      <c r="KMW449" s="741"/>
      <c r="KMX449" s="741"/>
      <c r="KMY449" s="741"/>
      <c r="KMZ449" s="741"/>
      <c r="KNA449" s="741"/>
      <c r="KNB449" s="741"/>
      <c r="KNC449" s="741"/>
      <c r="KND449" s="741"/>
      <c r="KNE449" s="741"/>
      <c r="KNF449" s="741"/>
      <c r="KNG449" s="741"/>
      <c r="KNH449" s="741"/>
      <c r="KNI449" s="741"/>
      <c r="KNJ449" s="741"/>
      <c r="KNK449" s="741"/>
      <c r="KNL449" s="741"/>
      <c r="KNM449" s="741"/>
      <c r="KNN449" s="741"/>
      <c r="KNO449" s="741"/>
      <c r="KNP449" s="741"/>
      <c r="KNQ449" s="741"/>
      <c r="KNR449" s="741"/>
      <c r="KNS449" s="741"/>
      <c r="KNT449" s="741"/>
      <c r="KNU449" s="741"/>
      <c r="KNV449" s="741"/>
      <c r="KNW449" s="741"/>
      <c r="KNX449" s="741"/>
      <c r="KNY449" s="741"/>
      <c r="KNZ449" s="741"/>
      <c r="KOA449" s="741"/>
      <c r="KOB449" s="741"/>
      <c r="KOC449" s="741"/>
      <c r="KOD449" s="741"/>
      <c r="KOE449" s="741"/>
      <c r="KOF449" s="741"/>
      <c r="KOG449" s="741"/>
      <c r="KOH449" s="741"/>
      <c r="KOI449" s="741"/>
      <c r="KOJ449" s="741"/>
      <c r="KOK449" s="741"/>
      <c r="KOL449" s="741"/>
      <c r="KOM449" s="741"/>
      <c r="KON449" s="741"/>
      <c r="KOO449" s="741"/>
      <c r="KOP449" s="741"/>
      <c r="KOQ449" s="741"/>
      <c r="KOR449" s="741"/>
      <c r="KOS449" s="741"/>
      <c r="KOT449" s="741"/>
      <c r="KOU449" s="741"/>
      <c r="KOV449" s="741"/>
      <c r="KOW449" s="741"/>
      <c r="KOX449" s="741"/>
      <c r="KOY449" s="741"/>
      <c r="KOZ449" s="741"/>
      <c r="KPA449" s="741"/>
      <c r="KPB449" s="741"/>
      <c r="KPC449" s="741"/>
      <c r="KPD449" s="741"/>
      <c r="KPE449" s="741"/>
      <c r="KPF449" s="741"/>
      <c r="KPG449" s="741"/>
      <c r="KPH449" s="741"/>
      <c r="KPI449" s="741"/>
      <c r="KPJ449" s="741"/>
      <c r="KPK449" s="741"/>
      <c r="KPL449" s="741"/>
      <c r="KPM449" s="741"/>
      <c r="KPN449" s="741"/>
      <c r="KPO449" s="741"/>
      <c r="KPP449" s="741"/>
      <c r="KPQ449" s="741"/>
      <c r="KPR449" s="741"/>
      <c r="KPS449" s="741"/>
      <c r="KPT449" s="741"/>
      <c r="KPU449" s="741"/>
      <c r="KPV449" s="741"/>
      <c r="KPW449" s="741"/>
      <c r="KPX449" s="741"/>
      <c r="KPY449" s="741"/>
      <c r="KPZ449" s="741"/>
      <c r="KQA449" s="741"/>
      <c r="KQB449" s="741"/>
      <c r="KQC449" s="741"/>
      <c r="KQD449" s="741"/>
      <c r="KQE449" s="741"/>
      <c r="KQF449" s="741"/>
      <c r="KQG449" s="741"/>
      <c r="KQH449" s="741"/>
      <c r="KQI449" s="741"/>
      <c r="KQJ449" s="741"/>
      <c r="KQK449" s="741"/>
      <c r="KQL449" s="741"/>
      <c r="KQM449" s="741"/>
      <c r="KQN449" s="741"/>
      <c r="KQO449" s="741"/>
      <c r="KQP449" s="741"/>
      <c r="KQQ449" s="741"/>
      <c r="KQR449" s="741"/>
      <c r="KQS449" s="741"/>
      <c r="KQT449" s="741"/>
      <c r="KQU449" s="741"/>
      <c r="KQV449" s="741"/>
      <c r="KQW449" s="741"/>
      <c r="KQX449" s="741"/>
      <c r="KQY449" s="741"/>
      <c r="KQZ449" s="741"/>
      <c r="KRA449" s="741"/>
      <c r="KRB449" s="741"/>
      <c r="KRC449" s="741"/>
      <c r="KRD449" s="741"/>
      <c r="KRE449" s="741"/>
      <c r="KRF449" s="741"/>
      <c r="KRG449" s="741"/>
      <c r="KRH449" s="741"/>
      <c r="KRI449" s="741"/>
      <c r="KRJ449" s="741"/>
      <c r="KRK449" s="741"/>
      <c r="KRL449" s="741"/>
      <c r="KRM449" s="741"/>
      <c r="KRN449" s="741"/>
      <c r="KRO449" s="741"/>
      <c r="KRP449" s="741"/>
      <c r="KRQ449" s="741"/>
      <c r="KRR449" s="741"/>
      <c r="KRS449" s="741"/>
      <c r="KRT449" s="741"/>
      <c r="KRU449" s="741"/>
      <c r="KRV449" s="741"/>
      <c r="KRW449" s="741"/>
      <c r="KRX449" s="741"/>
      <c r="KRY449" s="741"/>
      <c r="KRZ449" s="741"/>
      <c r="KSA449" s="741"/>
      <c r="KSB449" s="741"/>
      <c r="KSC449" s="741"/>
      <c r="KSD449" s="741"/>
      <c r="KSE449" s="741"/>
      <c r="KSF449" s="741"/>
      <c r="KSG449" s="741"/>
      <c r="KSH449" s="741"/>
      <c r="KSI449" s="741"/>
      <c r="KSJ449" s="741"/>
      <c r="KSK449" s="741"/>
      <c r="KSL449" s="741"/>
      <c r="KSM449" s="741"/>
      <c r="KSN449" s="741"/>
      <c r="KSO449" s="741"/>
      <c r="KSP449" s="741"/>
      <c r="KSQ449" s="741"/>
      <c r="KSR449" s="741"/>
      <c r="KSS449" s="741"/>
      <c r="KST449" s="741"/>
      <c r="KSU449" s="741"/>
      <c r="KSV449" s="741"/>
      <c r="KSW449" s="741"/>
      <c r="KSX449" s="741"/>
      <c r="KSY449" s="741"/>
      <c r="KSZ449" s="741"/>
      <c r="KTA449" s="741"/>
      <c r="KTB449" s="741"/>
      <c r="KTC449" s="741"/>
      <c r="KTD449" s="741"/>
      <c r="KTE449" s="741"/>
      <c r="KTF449" s="741"/>
      <c r="KTG449" s="741"/>
      <c r="KTH449" s="741"/>
      <c r="KTI449" s="741"/>
      <c r="KTJ449" s="741"/>
      <c r="KTK449" s="741"/>
      <c r="KTL449" s="741"/>
      <c r="KTM449" s="741"/>
      <c r="KTN449" s="741"/>
      <c r="KTO449" s="741"/>
      <c r="KTP449" s="741"/>
      <c r="KTQ449" s="741"/>
      <c r="KTR449" s="741"/>
      <c r="KTS449" s="741"/>
      <c r="KTT449" s="741"/>
      <c r="KTU449" s="741"/>
      <c r="KTV449" s="741"/>
      <c r="KTW449" s="741"/>
      <c r="KTX449" s="741"/>
      <c r="KTY449" s="741"/>
      <c r="KTZ449" s="741"/>
      <c r="KUA449" s="741"/>
      <c r="KUB449" s="741"/>
      <c r="KUC449" s="741"/>
      <c r="KUD449" s="741"/>
      <c r="KUE449" s="741"/>
      <c r="KUF449" s="741"/>
      <c r="KUG449" s="741"/>
      <c r="KUH449" s="741"/>
      <c r="KUI449" s="741"/>
      <c r="KUJ449" s="741"/>
      <c r="KUK449" s="741"/>
      <c r="KUL449" s="741"/>
      <c r="KUM449" s="741"/>
      <c r="KUN449" s="741"/>
      <c r="KUO449" s="741"/>
      <c r="KUP449" s="741"/>
      <c r="KUQ449" s="741"/>
      <c r="KUR449" s="741"/>
      <c r="KUS449" s="741"/>
      <c r="KUT449" s="741"/>
      <c r="KUU449" s="741"/>
      <c r="KUV449" s="741"/>
      <c r="KUW449" s="741"/>
      <c r="KUX449" s="741"/>
      <c r="KUY449" s="741"/>
      <c r="KUZ449" s="741"/>
      <c r="KVA449" s="741"/>
      <c r="KVB449" s="741"/>
      <c r="KVC449" s="741"/>
      <c r="KVD449" s="741"/>
      <c r="KVE449" s="741"/>
      <c r="KVF449" s="741"/>
      <c r="KVG449" s="741"/>
      <c r="KVH449" s="741"/>
      <c r="KVI449" s="741"/>
      <c r="KVJ449" s="741"/>
      <c r="KVK449" s="741"/>
      <c r="KVL449" s="741"/>
      <c r="KVM449" s="741"/>
      <c r="KVN449" s="741"/>
      <c r="KVO449" s="741"/>
      <c r="KVP449" s="741"/>
      <c r="KVQ449" s="741"/>
      <c r="KVR449" s="741"/>
      <c r="KVS449" s="741"/>
      <c r="KVT449" s="741"/>
      <c r="KVU449" s="741"/>
      <c r="KVV449" s="741"/>
      <c r="KVW449" s="741"/>
      <c r="KVX449" s="741"/>
      <c r="KVY449" s="741"/>
      <c r="KVZ449" s="741"/>
      <c r="KWA449" s="741"/>
      <c r="KWB449" s="741"/>
      <c r="KWC449" s="741"/>
      <c r="KWD449" s="741"/>
      <c r="KWE449" s="741"/>
      <c r="KWF449" s="741"/>
      <c r="KWG449" s="741"/>
      <c r="KWH449" s="741"/>
      <c r="KWI449" s="741"/>
      <c r="KWJ449" s="741"/>
      <c r="KWK449" s="741"/>
      <c r="KWL449" s="741"/>
      <c r="KWM449" s="741"/>
      <c r="KWN449" s="741"/>
      <c r="KWO449" s="741"/>
      <c r="KWP449" s="741"/>
      <c r="KWQ449" s="741"/>
      <c r="KWR449" s="741"/>
      <c r="KWS449" s="741"/>
      <c r="KWT449" s="741"/>
      <c r="KWU449" s="741"/>
      <c r="KWV449" s="741"/>
      <c r="KWW449" s="741"/>
      <c r="KWX449" s="741"/>
      <c r="KWY449" s="741"/>
      <c r="KWZ449" s="741"/>
      <c r="KXA449" s="741"/>
      <c r="KXB449" s="741"/>
      <c r="KXC449" s="741"/>
      <c r="KXD449" s="741"/>
      <c r="KXE449" s="741"/>
      <c r="KXF449" s="741"/>
      <c r="KXG449" s="741"/>
      <c r="KXH449" s="741"/>
      <c r="KXI449" s="741"/>
      <c r="KXJ449" s="741"/>
      <c r="KXK449" s="741"/>
      <c r="KXL449" s="741"/>
      <c r="KXM449" s="741"/>
      <c r="KXN449" s="741"/>
      <c r="KXO449" s="741"/>
      <c r="KXP449" s="741"/>
      <c r="KXQ449" s="741"/>
      <c r="KXR449" s="741"/>
      <c r="KXS449" s="741"/>
      <c r="KXT449" s="741"/>
      <c r="KXU449" s="741"/>
      <c r="KXV449" s="741"/>
      <c r="KXW449" s="741"/>
      <c r="KXX449" s="741"/>
      <c r="KXY449" s="741"/>
      <c r="KXZ449" s="741"/>
      <c r="KYA449" s="741"/>
      <c r="KYB449" s="741"/>
      <c r="KYC449" s="741"/>
      <c r="KYD449" s="741"/>
      <c r="KYE449" s="741"/>
      <c r="KYF449" s="741"/>
      <c r="KYG449" s="741"/>
      <c r="KYH449" s="741"/>
      <c r="KYI449" s="741"/>
      <c r="KYJ449" s="741"/>
      <c r="KYK449" s="741"/>
      <c r="KYL449" s="741"/>
      <c r="KYM449" s="741"/>
      <c r="KYN449" s="741"/>
      <c r="KYO449" s="741"/>
      <c r="KYP449" s="741"/>
      <c r="KYQ449" s="741"/>
      <c r="KYR449" s="741"/>
      <c r="KYS449" s="741"/>
      <c r="KYT449" s="741"/>
      <c r="KYU449" s="741"/>
      <c r="KYV449" s="741"/>
      <c r="KYW449" s="741"/>
      <c r="KYX449" s="741"/>
      <c r="KYY449" s="741"/>
      <c r="KYZ449" s="741"/>
      <c r="KZA449" s="741"/>
      <c r="KZB449" s="741"/>
      <c r="KZC449" s="741"/>
      <c r="KZD449" s="741"/>
      <c r="KZE449" s="741"/>
      <c r="KZF449" s="741"/>
      <c r="KZG449" s="741"/>
      <c r="KZH449" s="741"/>
      <c r="KZI449" s="741"/>
      <c r="KZJ449" s="741"/>
      <c r="KZK449" s="741"/>
      <c r="KZL449" s="741"/>
      <c r="KZM449" s="741"/>
      <c r="KZN449" s="741"/>
      <c r="KZO449" s="741"/>
      <c r="KZP449" s="741"/>
      <c r="KZQ449" s="741"/>
      <c r="KZR449" s="741"/>
      <c r="KZS449" s="741"/>
      <c r="KZT449" s="741"/>
      <c r="KZU449" s="741"/>
      <c r="KZV449" s="741"/>
      <c r="KZW449" s="741"/>
      <c r="KZX449" s="741"/>
      <c r="KZY449" s="741"/>
      <c r="KZZ449" s="741"/>
      <c r="LAA449" s="741"/>
      <c r="LAB449" s="741"/>
      <c r="LAC449" s="741"/>
      <c r="LAD449" s="741"/>
      <c r="LAE449" s="741"/>
      <c r="LAF449" s="741"/>
      <c r="LAG449" s="741"/>
      <c r="LAH449" s="741"/>
      <c r="LAI449" s="741"/>
      <c r="LAJ449" s="741"/>
      <c r="LAK449" s="741"/>
      <c r="LAL449" s="741"/>
      <c r="LAM449" s="741"/>
      <c r="LAN449" s="741"/>
      <c r="LAO449" s="741"/>
      <c r="LAP449" s="741"/>
      <c r="LAQ449" s="741"/>
      <c r="LAR449" s="741"/>
      <c r="LAS449" s="741"/>
      <c r="LAT449" s="741"/>
      <c r="LAU449" s="741"/>
      <c r="LAV449" s="741"/>
      <c r="LAW449" s="741"/>
      <c r="LAX449" s="741"/>
      <c r="LAY449" s="741"/>
      <c r="LAZ449" s="741"/>
      <c r="LBA449" s="741"/>
      <c r="LBB449" s="741"/>
      <c r="LBC449" s="741"/>
      <c r="LBD449" s="741"/>
      <c r="LBE449" s="741"/>
      <c r="LBF449" s="741"/>
      <c r="LBG449" s="741"/>
      <c r="LBH449" s="741"/>
      <c r="LBI449" s="741"/>
      <c r="LBJ449" s="741"/>
      <c r="LBK449" s="741"/>
      <c r="LBL449" s="741"/>
      <c r="LBM449" s="741"/>
      <c r="LBN449" s="741"/>
      <c r="LBO449" s="741"/>
      <c r="LBP449" s="741"/>
      <c r="LBQ449" s="741"/>
      <c r="LBR449" s="741"/>
      <c r="LBS449" s="741"/>
      <c r="LBT449" s="741"/>
      <c r="LBU449" s="741"/>
      <c r="LBV449" s="741"/>
      <c r="LBW449" s="741"/>
      <c r="LBX449" s="741"/>
      <c r="LBY449" s="741"/>
      <c r="LBZ449" s="741"/>
      <c r="LCA449" s="741"/>
      <c r="LCB449" s="741"/>
      <c r="LCC449" s="741"/>
      <c r="LCD449" s="741"/>
      <c r="LCE449" s="741"/>
      <c r="LCF449" s="741"/>
      <c r="LCG449" s="741"/>
      <c r="LCH449" s="741"/>
      <c r="LCI449" s="741"/>
      <c r="LCJ449" s="741"/>
      <c r="LCK449" s="741"/>
      <c r="LCL449" s="741"/>
      <c r="LCM449" s="741"/>
      <c r="LCN449" s="741"/>
      <c r="LCO449" s="741"/>
      <c r="LCP449" s="741"/>
      <c r="LCQ449" s="741"/>
      <c r="LCR449" s="741"/>
      <c r="LCS449" s="741"/>
      <c r="LCT449" s="741"/>
      <c r="LCU449" s="741"/>
      <c r="LCV449" s="741"/>
      <c r="LCW449" s="741"/>
      <c r="LCX449" s="741"/>
      <c r="LCY449" s="741"/>
      <c r="LCZ449" s="741"/>
      <c r="LDA449" s="741"/>
      <c r="LDB449" s="741"/>
      <c r="LDC449" s="741"/>
      <c r="LDD449" s="741"/>
      <c r="LDE449" s="741"/>
      <c r="LDF449" s="741"/>
      <c r="LDG449" s="741"/>
      <c r="LDH449" s="741"/>
      <c r="LDI449" s="741"/>
      <c r="LDJ449" s="741"/>
      <c r="LDK449" s="741"/>
      <c r="LDL449" s="741"/>
      <c r="LDM449" s="741"/>
      <c r="LDN449" s="741"/>
      <c r="LDO449" s="741"/>
      <c r="LDP449" s="741"/>
      <c r="LDQ449" s="741"/>
      <c r="LDR449" s="741"/>
      <c r="LDS449" s="741"/>
      <c r="LDT449" s="741"/>
      <c r="LDU449" s="741"/>
      <c r="LDV449" s="741"/>
      <c r="LDW449" s="741"/>
      <c r="LDX449" s="741"/>
      <c r="LDY449" s="741"/>
      <c r="LDZ449" s="741"/>
      <c r="LEA449" s="741"/>
      <c r="LEB449" s="741"/>
      <c r="LEC449" s="741"/>
      <c r="LED449" s="741"/>
      <c r="LEE449" s="741"/>
      <c r="LEF449" s="741"/>
      <c r="LEG449" s="741"/>
      <c r="LEH449" s="741"/>
      <c r="LEI449" s="741"/>
      <c r="LEJ449" s="741"/>
      <c r="LEK449" s="741"/>
      <c r="LEL449" s="741"/>
      <c r="LEM449" s="741"/>
      <c r="LEN449" s="741"/>
      <c r="LEO449" s="741"/>
      <c r="LEP449" s="741"/>
      <c r="LEQ449" s="741"/>
      <c r="LER449" s="741"/>
      <c r="LES449" s="741"/>
      <c r="LET449" s="741"/>
      <c r="LEU449" s="741"/>
      <c r="LEV449" s="741"/>
      <c r="LEW449" s="741"/>
      <c r="LEX449" s="741"/>
      <c r="LEY449" s="741"/>
      <c r="LEZ449" s="741"/>
      <c r="LFA449" s="741"/>
      <c r="LFB449" s="741"/>
      <c r="LFC449" s="741"/>
      <c r="LFD449" s="741"/>
      <c r="LFE449" s="741"/>
      <c r="LFF449" s="741"/>
      <c r="LFG449" s="741"/>
      <c r="LFH449" s="741"/>
      <c r="LFI449" s="741"/>
      <c r="LFJ449" s="741"/>
      <c r="LFK449" s="741"/>
      <c r="LFL449" s="741"/>
      <c r="LFM449" s="741"/>
      <c r="LFN449" s="741"/>
      <c r="LFO449" s="741"/>
      <c r="LFP449" s="741"/>
      <c r="LFQ449" s="741"/>
      <c r="LFR449" s="741"/>
      <c r="LFS449" s="741"/>
      <c r="LFT449" s="741"/>
      <c r="LFU449" s="741"/>
      <c r="LFV449" s="741"/>
      <c r="LFW449" s="741"/>
      <c r="LFX449" s="741"/>
      <c r="LFY449" s="741"/>
      <c r="LFZ449" s="741"/>
      <c r="LGA449" s="741"/>
      <c r="LGB449" s="741"/>
      <c r="LGC449" s="741"/>
      <c r="LGD449" s="741"/>
      <c r="LGE449" s="741"/>
      <c r="LGF449" s="741"/>
      <c r="LGG449" s="741"/>
      <c r="LGH449" s="741"/>
      <c r="LGI449" s="741"/>
      <c r="LGJ449" s="741"/>
      <c r="LGK449" s="741"/>
      <c r="LGL449" s="741"/>
      <c r="LGM449" s="741"/>
      <c r="LGN449" s="741"/>
      <c r="LGO449" s="741"/>
      <c r="LGP449" s="741"/>
      <c r="LGQ449" s="741"/>
      <c r="LGR449" s="741"/>
      <c r="LGS449" s="741"/>
      <c r="LGT449" s="741"/>
      <c r="LGU449" s="741"/>
      <c r="LGV449" s="741"/>
      <c r="LGW449" s="741"/>
      <c r="LGX449" s="741"/>
      <c r="LGY449" s="741"/>
      <c r="LGZ449" s="741"/>
      <c r="LHA449" s="741"/>
      <c r="LHB449" s="741"/>
      <c r="LHC449" s="741"/>
      <c r="LHD449" s="741"/>
      <c r="LHE449" s="741"/>
      <c r="LHF449" s="741"/>
      <c r="LHG449" s="741"/>
      <c r="LHH449" s="741"/>
      <c r="LHI449" s="741"/>
      <c r="LHJ449" s="741"/>
      <c r="LHK449" s="741"/>
      <c r="LHL449" s="741"/>
      <c r="LHM449" s="741"/>
      <c r="LHN449" s="741"/>
      <c r="LHO449" s="741"/>
      <c r="LHP449" s="741"/>
      <c r="LHQ449" s="741"/>
      <c r="LHR449" s="741"/>
      <c r="LHS449" s="741"/>
      <c r="LHT449" s="741"/>
      <c r="LHU449" s="741"/>
      <c r="LHV449" s="741"/>
      <c r="LHW449" s="741"/>
      <c r="LHX449" s="741"/>
      <c r="LHY449" s="741"/>
      <c r="LHZ449" s="741"/>
      <c r="LIA449" s="741"/>
      <c r="LIB449" s="741"/>
      <c r="LIC449" s="741"/>
      <c r="LID449" s="741"/>
      <c r="LIE449" s="741"/>
      <c r="LIF449" s="741"/>
      <c r="LIG449" s="741"/>
      <c r="LIH449" s="741"/>
      <c r="LII449" s="741"/>
      <c r="LIJ449" s="741"/>
      <c r="LIK449" s="741"/>
      <c r="LIL449" s="741"/>
      <c r="LIM449" s="741"/>
      <c r="LIN449" s="741"/>
      <c r="LIO449" s="741"/>
      <c r="LIP449" s="741"/>
      <c r="LIQ449" s="741"/>
      <c r="LIR449" s="741"/>
      <c r="LIS449" s="741"/>
      <c r="LIT449" s="741"/>
      <c r="LIU449" s="741"/>
      <c r="LIV449" s="741"/>
      <c r="LIW449" s="741"/>
      <c r="LIX449" s="741"/>
      <c r="LIY449" s="741"/>
      <c r="LIZ449" s="741"/>
      <c r="LJA449" s="741"/>
      <c r="LJB449" s="741"/>
      <c r="LJC449" s="741"/>
      <c r="LJD449" s="741"/>
      <c r="LJE449" s="741"/>
      <c r="LJF449" s="741"/>
      <c r="LJG449" s="741"/>
      <c r="LJH449" s="741"/>
      <c r="LJI449" s="741"/>
      <c r="LJJ449" s="741"/>
      <c r="LJK449" s="741"/>
      <c r="LJL449" s="741"/>
      <c r="LJM449" s="741"/>
      <c r="LJN449" s="741"/>
      <c r="LJO449" s="741"/>
      <c r="LJP449" s="741"/>
      <c r="LJQ449" s="741"/>
      <c r="LJR449" s="741"/>
      <c r="LJS449" s="741"/>
      <c r="LJT449" s="741"/>
      <c r="LJU449" s="741"/>
      <c r="LJV449" s="741"/>
      <c r="LJW449" s="741"/>
      <c r="LJX449" s="741"/>
      <c r="LJY449" s="741"/>
      <c r="LJZ449" s="741"/>
      <c r="LKA449" s="741"/>
      <c r="LKB449" s="741"/>
      <c r="LKC449" s="741"/>
      <c r="LKD449" s="741"/>
      <c r="LKE449" s="741"/>
      <c r="LKF449" s="741"/>
      <c r="LKG449" s="741"/>
      <c r="LKH449" s="741"/>
      <c r="LKI449" s="741"/>
      <c r="LKJ449" s="741"/>
      <c r="LKK449" s="741"/>
      <c r="LKL449" s="741"/>
      <c r="LKM449" s="741"/>
      <c r="LKN449" s="741"/>
      <c r="LKO449" s="741"/>
      <c r="LKP449" s="741"/>
      <c r="LKQ449" s="741"/>
      <c r="LKR449" s="741"/>
      <c r="LKS449" s="741"/>
      <c r="LKT449" s="741"/>
      <c r="LKU449" s="741"/>
      <c r="LKV449" s="741"/>
      <c r="LKW449" s="741"/>
      <c r="LKX449" s="741"/>
      <c r="LKY449" s="741"/>
      <c r="LKZ449" s="741"/>
      <c r="LLA449" s="741"/>
      <c r="LLB449" s="741"/>
      <c r="LLC449" s="741"/>
      <c r="LLD449" s="741"/>
      <c r="LLE449" s="741"/>
      <c r="LLF449" s="741"/>
      <c r="LLG449" s="741"/>
      <c r="LLH449" s="741"/>
      <c r="LLI449" s="741"/>
      <c r="LLJ449" s="741"/>
      <c r="LLK449" s="741"/>
      <c r="LLL449" s="741"/>
      <c r="LLM449" s="741"/>
      <c r="LLN449" s="741"/>
      <c r="LLO449" s="741"/>
      <c r="LLP449" s="741"/>
      <c r="LLQ449" s="741"/>
      <c r="LLR449" s="741"/>
      <c r="LLS449" s="741"/>
      <c r="LLT449" s="741"/>
      <c r="LLU449" s="741"/>
      <c r="LLV449" s="741"/>
      <c r="LLW449" s="741"/>
      <c r="LLX449" s="741"/>
      <c r="LLY449" s="741"/>
      <c r="LLZ449" s="741"/>
      <c r="LMA449" s="741"/>
      <c r="LMB449" s="741"/>
      <c r="LMC449" s="741"/>
      <c r="LMD449" s="741"/>
      <c r="LME449" s="741"/>
      <c r="LMF449" s="741"/>
      <c r="LMG449" s="741"/>
      <c r="LMH449" s="741"/>
      <c r="LMI449" s="741"/>
      <c r="LMJ449" s="741"/>
      <c r="LMK449" s="741"/>
      <c r="LML449" s="741"/>
      <c r="LMM449" s="741"/>
      <c r="LMN449" s="741"/>
      <c r="LMO449" s="741"/>
      <c r="LMP449" s="741"/>
      <c r="LMQ449" s="741"/>
      <c r="LMR449" s="741"/>
      <c r="LMS449" s="741"/>
      <c r="LMT449" s="741"/>
      <c r="LMU449" s="741"/>
      <c r="LMV449" s="741"/>
      <c r="LMW449" s="741"/>
      <c r="LMX449" s="741"/>
      <c r="LMY449" s="741"/>
      <c r="LMZ449" s="741"/>
      <c r="LNA449" s="741"/>
      <c r="LNB449" s="741"/>
      <c r="LNC449" s="741"/>
      <c r="LND449" s="741"/>
      <c r="LNE449" s="741"/>
      <c r="LNF449" s="741"/>
      <c r="LNG449" s="741"/>
      <c r="LNH449" s="741"/>
      <c r="LNI449" s="741"/>
      <c r="LNJ449" s="741"/>
      <c r="LNK449" s="741"/>
      <c r="LNL449" s="741"/>
      <c r="LNM449" s="741"/>
      <c r="LNN449" s="741"/>
      <c r="LNO449" s="741"/>
      <c r="LNP449" s="741"/>
      <c r="LNQ449" s="741"/>
      <c r="LNR449" s="741"/>
      <c r="LNS449" s="741"/>
      <c r="LNT449" s="741"/>
      <c r="LNU449" s="741"/>
      <c r="LNV449" s="741"/>
      <c r="LNW449" s="741"/>
      <c r="LNX449" s="741"/>
      <c r="LNY449" s="741"/>
      <c r="LNZ449" s="741"/>
      <c r="LOA449" s="741"/>
      <c r="LOB449" s="741"/>
      <c r="LOC449" s="741"/>
      <c r="LOD449" s="741"/>
      <c r="LOE449" s="741"/>
      <c r="LOF449" s="741"/>
      <c r="LOG449" s="741"/>
      <c r="LOH449" s="741"/>
      <c r="LOI449" s="741"/>
      <c r="LOJ449" s="741"/>
      <c r="LOK449" s="741"/>
      <c r="LOL449" s="741"/>
      <c r="LOM449" s="741"/>
      <c r="LON449" s="741"/>
      <c r="LOO449" s="741"/>
      <c r="LOP449" s="741"/>
      <c r="LOQ449" s="741"/>
      <c r="LOR449" s="741"/>
      <c r="LOS449" s="741"/>
      <c r="LOT449" s="741"/>
      <c r="LOU449" s="741"/>
      <c r="LOV449" s="741"/>
      <c r="LOW449" s="741"/>
      <c r="LOX449" s="741"/>
      <c r="LOY449" s="741"/>
      <c r="LOZ449" s="741"/>
      <c r="LPA449" s="741"/>
      <c r="LPB449" s="741"/>
      <c r="LPC449" s="741"/>
      <c r="LPD449" s="741"/>
      <c r="LPE449" s="741"/>
      <c r="LPF449" s="741"/>
      <c r="LPG449" s="741"/>
      <c r="LPH449" s="741"/>
      <c r="LPI449" s="741"/>
      <c r="LPJ449" s="741"/>
      <c r="LPK449" s="741"/>
      <c r="LPL449" s="741"/>
      <c r="LPM449" s="741"/>
      <c r="LPN449" s="741"/>
      <c r="LPO449" s="741"/>
      <c r="LPP449" s="741"/>
      <c r="LPQ449" s="741"/>
      <c r="LPR449" s="741"/>
      <c r="LPS449" s="741"/>
      <c r="LPT449" s="741"/>
      <c r="LPU449" s="741"/>
      <c r="LPV449" s="741"/>
      <c r="LPW449" s="741"/>
      <c r="LPX449" s="741"/>
      <c r="LPY449" s="741"/>
      <c r="LPZ449" s="741"/>
      <c r="LQA449" s="741"/>
      <c r="LQB449" s="741"/>
      <c r="LQC449" s="741"/>
      <c r="LQD449" s="741"/>
      <c r="LQE449" s="741"/>
      <c r="LQF449" s="741"/>
      <c r="LQG449" s="741"/>
      <c r="LQH449" s="741"/>
      <c r="LQI449" s="741"/>
      <c r="LQJ449" s="741"/>
      <c r="LQK449" s="741"/>
      <c r="LQL449" s="741"/>
      <c r="LQM449" s="741"/>
      <c r="LQN449" s="741"/>
      <c r="LQO449" s="741"/>
      <c r="LQP449" s="741"/>
      <c r="LQQ449" s="741"/>
      <c r="LQR449" s="741"/>
      <c r="LQS449" s="741"/>
      <c r="LQT449" s="741"/>
      <c r="LQU449" s="741"/>
      <c r="LQV449" s="741"/>
      <c r="LQW449" s="741"/>
      <c r="LQX449" s="741"/>
      <c r="LQY449" s="741"/>
      <c r="LQZ449" s="741"/>
      <c r="LRA449" s="741"/>
      <c r="LRB449" s="741"/>
      <c r="LRC449" s="741"/>
      <c r="LRD449" s="741"/>
      <c r="LRE449" s="741"/>
      <c r="LRF449" s="741"/>
      <c r="LRG449" s="741"/>
      <c r="LRH449" s="741"/>
      <c r="LRI449" s="741"/>
      <c r="LRJ449" s="741"/>
      <c r="LRK449" s="741"/>
      <c r="LRL449" s="741"/>
      <c r="LRM449" s="741"/>
      <c r="LRN449" s="741"/>
      <c r="LRO449" s="741"/>
      <c r="LRP449" s="741"/>
      <c r="LRQ449" s="741"/>
      <c r="LRR449" s="741"/>
      <c r="LRS449" s="741"/>
      <c r="LRT449" s="741"/>
      <c r="LRU449" s="741"/>
      <c r="LRV449" s="741"/>
      <c r="LRW449" s="741"/>
      <c r="LRX449" s="741"/>
      <c r="LRY449" s="741"/>
      <c r="LRZ449" s="741"/>
      <c r="LSA449" s="741"/>
      <c r="LSB449" s="741"/>
      <c r="LSC449" s="741"/>
      <c r="LSD449" s="741"/>
      <c r="LSE449" s="741"/>
      <c r="LSF449" s="741"/>
      <c r="LSG449" s="741"/>
      <c r="LSH449" s="741"/>
      <c r="LSI449" s="741"/>
      <c r="LSJ449" s="741"/>
      <c r="LSK449" s="741"/>
      <c r="LSL449" s="741"/>
      <c r="LSM449" s="741"/>
      <c r="LSN449" s="741"/>
      <c r="LSO449" s="741"/>
      <c r="LSP449" s="741"/>
      <c r="LSQ449" s="741"/>
      <c r="LSR449" s="741"/>
      <c r="LSS449" s="741"/>
      <c r="LST449" s="741"/>
      <c r="LSU449" s="741"/>
      <c r="LSV449" s="741"/>
      <c r="LSW449" s="741"/>
      <c r="LSX449" s="741"/>
      <c r="LSY449" s="741"/>
      <c r="LSZ449" s="741"/>
      <c r="LTA449" s="741"/>
      <c r="LTB449" s="741"/>
      <c r="LTC449" s="741"/>
      <c r="LTD449" s="741"/>
      <c r="LTE449" s="741"/>
      <c r="LTF449" s="741"/>
      <c r="LTG449" s="741"/>
      <c r="LTH449" s="741"/>
      <c r="LTI449" s="741"/>
      <c r="LTJ449" s="741"/>
      <c r="LTK449" s="741"/>
      <c r="LTL449" s="741"/>
      <c r="LTM449" s="741"/>
      <c r="LTN449" s="741"/>
      <c r="LTO449" s="741"/>
      <c r="LTP449" s="741"/>
      <c r="LTQ449" s="741"/>
      <c r="LTR449" s="741"/>
      <c r="LTS449" s="741"/>
      <c r="LTT449" s="741"/>
      <c r="LTU449" s="741"/>
      <c r="LTV449" s="741"/>
      <c r="LTW449" s="741"/>
      <c r="LTX449" s="741"/>
      <c r="LTY449" s="741"/>
      <c r="LTZ449" s="741"/>
      <c r="LUA449" s="741"/>
      <c r="LUB449" s="741"/>
      <c r="LUC449" s="741"/>
      <c r="LUD449" s="741"/>
      <c r="LUE449" s="741"/>
      <c r="LUF449" s="741"/>
      <c r="LUG449" s="741"/>
      <c r="LUH449" s="741"/>
      <c r="LUI449" s="741"/>
      <c r="LUJ449" s="741"/>
      <c r="LUK449" s="741"/>
      <c r="LUL449" s="741"/>
      <c r="LUM449" s="741"/>
      <c r="LUN449" s="741"/>
      <c r="LUO449" s="741"/>
      <c r="LUP449" s="741"/>
      <c r="LUQ449" s="741"/>
      <c r="LUR449" s="741"/>
      <c r="LUS449" s="741"/>
      <c r="LUT449" s="741"/>
      <c r="LUU449" s="741"/>
      <c r="LUV449" s="741"/>
      <c r="LUW449" s="741"/>
      <c r="LUX449" s="741"/>
      <c r="LUY449" s="741"/>
      <c r="LUZ449" s="741"/>
      <c r="LVA449" s="741"/>
      <c r="LVB449" s="741"/>
      <c r="LVC449" s="741"/>
      <c r="LVD449" s="741"/>
      <c r="LVE449" s="741"/>
      <c r="LVF449" s="741"/>
      <c r="LVG449" s="741"/>
      <c r="LVH449" s="741"/>
      <c r="LVI449" s="741"/>
      <c r="LVJ449" s="741"/>
      <c r="LVK449" s="741"/>
      <c r="LVL449" s="741"/>
      <c r="LVM449" s="741"/>
      <c r="LVN449" s="741"/>
      <c r="LVO449" s="741"/>
      <c r="LVP449" s="741"/>
      <c r="LVQ449" s="741"/>
      <c r="LVR449" s="741"/>
      <c r="LVS449" s="741"/>
      <c r="LVT449" s="741"/>
      <c r="LVU449" s="741"/>
      <c r="LVV449" s="741"/>
      <c r="LVW449" s="741"/>
      <c r="LVX449" s="741"/>
      <c r="LVY449" s="741"/>
      <c r="LVZ449" s="741"/>
      <c r="LWA449" s="741"/>
      <c r="LWB449" s="741"/>
      <c r="LWC449" s="741"/>
      <c r="LWD449" s="741"/>
      <c r="LWE449" s="741"/>
      <c r="LWF449" s="741"/>
      <c r="LWG449" s="741"/>
      <c r="LWH449" s="741"/>
      <c r="LWI449" s="741"/>
      <c r="LWJ449" s="741"/>
      <c r="LWK449" s="741"/>
      <c r="LWL449" s="741"/>
      <c r="LWM449" s="741"/>
      <c r="LWN449" s="741"/>
      <c r="LWO449" s="741"/>
      <c r="LWP449" s="741"/>
      <c r="LWQ449" s="741"/>
      <c r="LWR449" s="741"/>
      <c r="LWS449" s="741"/>
      <c r="LWT449" s="741"/>
      <c r="LWU449" s="741"/>
      <c r="LWV449" s="741"/>
      <c r="LWW449" s="741"/>
      <c r="LWX449" s="741"/>
      <c r="LWY449" s="741"/>
      <c r="LWZ449" s="741"/>
      <c r="LXA449" s="741"/>
      <c r="LXB449" s="741"/>
      <c r="LXC449" s="741"/>
      <c r="LXD449" s="741"/>
      <c r="LXE449" s="741"/>
      <c r="LXF449" s="741"/>
      <c r="LXG449" s="741"/>
      <c r="LXH449" s="741"/>
      <c r="LXI449" s="741"/>
      <c r="LXJ449" s="741"/>
      <c r="LXK449" s="741"/>
      <c r="LXL449" s="741"/>
      <c r="LXM449" s="741"/>
      <c r="LXN449" s="741"/>
      <c r="LXO449" s="741"/>
      <c r="LXP449" s="741"/>
      <c r="LXQ449" s="741"/>
      <c r="LXR449" s="741"/>
      <c r="LXS449" s="741"/>
      <c r="LXT449" s="741"/>
      <c r="LXU449" s="741"/>
      <c r="LXV449" s="741"/>
      <c r="LXW449" s="741"/>
      <c r="LXX449" s="741"/>
      <c r="LXY449" s="741"/>
      <c r="LXZ449" s="741"/>
      <c r="LYA449" s="741"/>
      <c r="LYB449" s="741"/>
      <c r="LYC449" s="741"/>
      <c r="LYD449" s="741"/>
      <c r="LYE449" s="741"/>
      <c r="LYF449" s="741"/>
      <c r="LYG449" s="741"/>
      <c r="LYH449" s="741"/>
      <c r="LYI449" s="741"/>
      <c r="LYJ449" s="741"/>
      <c r="LYK449" s="741"/>
      <c r="LYL449" s="741"/>
      <c r="LYM449" s="741"/>
      <c r="LYN449" s="741"/>
      <c r="LYO449" s="741"/>
      <c r="LYP449" s="741"/>
      <c r="LYQ449" s="741"/>
      <c r="LYR449" s="741"/>
      <c r="LYS449" s="741"/>
      <c r="LYT449" s="741"/>
      <c r="LYU449" s="741"/>
      <c r="LYV449" s="741"/>
      <c r="LYW449" s="741"/>
      <c r="LYX449" s="741"/>
      <c r="LYY449" s="741"/>
      <c r="LYZ449" s="741"/>
      <c r="LZA449" s="741"/>
      <c r="LZB449" s="741"/>
      <c r="LZC449" s="741"/>
      <c r="LZD449" s="741"/>
      <c r="LZE449" s="741"/>
      <c r="LZF449" s="741"/>
      <c r="LZG449" s="741"/>
      <c r="LZH449" s="741"/>
      <c r="LZI449" s="741"/>
      <c r="LZJ449" s="741"/>
      <c r="LZK449" s="741"/>
      <c r="LZL449" s="741"/>
      <c r="LZM449" s="741"/>
      <c r="LZN449" s="741"/>
      <c r="LZO449" s="741"/>
      <c r="LZP449" s="741"/>
      <c r="LZQ449" s="741"/>
      <c r="LZR449" s="741"/>
      <c r="LZS449" s="741"/>
      <c r="LZT449" s="741"/>
      <c r="LZU449" s="741"/>
      <c r="LZV449" s="741"/>
      <c r="LZW449" s="741"/>
      <c r="LZX449" s="741"/>
      <c r="LZY449" s="741"/>
      <c r="LZZ449" s="741"/>
      <c r="MAA449" s="741"/>
      <c r="MAB449" s="741"/>
      <c r="MAC449" s="741"/>
      <c r="MAD449" s="741"/>
      <c r="MAE449" s="741"/>
      <c r="MAF449" s="741"/>
      <c r="MAG449" s="741"/>
      <c r="MAH449" s="741"/>
      <c r="MAI449" s="741"/>
      <c r="MAJ449" s="741"/>
      <c r="MAK449" s="741"/>
      <c r="MAL449" s="741"/>
      <c r="MAM449" s="741"/>
      <c r="MAN449" s="741"/>
      <c r="MAO449" s="741"/>
      <c r="MAP449" s="741"/>
      <c r="MAQ449" s="741"/>
      <c r="MAR449" s="741"/>
      <c r="MAS449" s="741"/>
      <c r="MAT449" s="741"/>
      <c r="MAU449" s="741"/>
      <c r="MAV449" s="741"/>
      <c r="MAW449" s="741"/>
      <c r="MAX449" s="741"/>
      <c r="MAY449" s="741"/>
      <c r="MAZ449" s="741"/>
      <c r="MBA449" s="741"/>
      <c r="MBB449" s="741"/>
      <c r="MBC449" s="741"/>
      <c r="MBD449" s="741"/>
      <c r="MBE449" s="741"/>
      <c r="MBF449" s="741"/>
      <c r="MBG449" s="741"/>
      <c r="MBH449" s="741"/>
      <c r="MBI449" s="741"/>
      <c r="MBJ449" s="741"/>
      <c r="MBK449" s="741"/>
      <c r="MBL449" s="741"/>
      <c r="MBM449" s="741"/>
      <c r="MBN449" s="741"/>
      <c r="MBO449" s="741"/>
      <c r="MBP449" s="741"/>
      <c r="MBQ449" s="741"/>
      <c r="MBR449" s="741"/>
      <c r="MBS449" s="741"/>
      <c r="MBT449" s="741"/>
      <c r="MBU449" s="741"/>
      <c r="MBV449" s="741"/>
      <c r="MBW449" s="741"/>
      <c r="MBX449" s="741"/>
      <c r="MBY449" s="741"/>
      <c r="MBZ449" s="741"/>
      <c r="MCA449" s="741"/>
      <c r="MCB449" s="741"/>
      <c r="MCC449" s="741"/>
      <c r="MCD449" s="741"/>
      <c r="MCE449" s="741"/>
      <c r="MCF449" s="741"/>
      <c r="MCG449" s="741"/>
      <c r="MCH449" s="741"/>
      <c r="MCI449" s="741"/>
      <c r="MCJ449" s="741"/>
      <c r="MCK449" s="741"/>
      <c r="MCL449" s="741"/>
      <c r="MCM449" s="741"/>
      <c r="MCN449" s="741"/>
      <c r="MCO449" s="741"/>
      <c r="MCP449" s="741"/>
      <c r="MCQ449" s="741"/>
      <c r="MCR449" s="741"/>
      <c r="MCS449" s="741"/>
      <c r="MCT449" s="741"/>
      <c r="MCU449" s="741"/>
      <c r="MCV449" s="741"/>
      <c r="MCW449" s="741"/>
      <c r="MCX449" s="741"/>
      <c r="MCY449" s="741"/>
      <c r="MCZ449" s="741"/>
      <c r="MDA449" s="741"/>
      <c r="MDB449" s="741"/>
      <c r="MDC449" s="741"/>
      <c r="MDD449" s="741"/>
      <c r="MDE449" s="741"/>
      <c r="MDF449" s="741"/>
      <c r="MDG449" s="741"/>
      <c r="MDH449" s="741"/>
      <c r="MDI449" s="741"/>
      <c r="MDJ449" s="741"/>
      <c r="MDK449" s="741"/>
      <c r="MDL449" s="741"/>
      <c r="MDM449" s="741"/>
      <c r="MDN449" s="741"/>
      <c r="MDO449" s="741"/>
      <c r="MDP449" s="741"/>
      <c r="MDQ449" s="741"/>
      <c r="MDR449" s="741"/>
      <c r="MDS449" s="741"/>
      <c r="MDT449" s="741"/>
      <c r="MDU449" s="741"/>
      <c r="MDV449" s="741"/>
      <c r="MDW449" s="741"/>
      <c r="MDX449" s="741"/>
      <c r="MDY449" s="741"/>
      <c r="MDZ449" s="741"/>
      <c r="MEA449" s="741"/>
      <c r="MEB449" s="741"/>
      <c r="MEC449" s="741"/>
      <c r="MED449" s="741"/>
      <c r="MEE449" s="741"/>
      <c r="MEF449" s="741"/>
      <c r="MEG449" s="741"/>
      <c r="MEH449" s="741"/>
      <c r="MEI449" s="741"/>
      <c r="MEJ449" s="741"/>
      <c r="MEK449" s="741"/>
      <c r="MEL449" s="741"/>
      <c r="MEM449" s="741"/>
      <c r="MEN449" s="741"/>
      <c r="MEO449" s="741"/>
      <c r="MEP449" s="741"/>
      <c r="MEQ449" s="741"/>
      <c r="MER449" s="741"/>
      <c r="MES449" s="741"/>
      <c r="MET449" s="741"/>
      <c r="MEU449" s="741"/>
      <c r="MEV449" s="741"/>
      <c r="MEW449" s="741"/>
      <c r="MEX449" s="741"/>
      <c r="MEY449" s="741"/>
      <c r="MEZ449" s="741"/>
      <c r="MFA449" s="741"/>
      <c r="MFB449" s="741"/>
      <c r="MFC449" s="741"/>
      <c r="MFD449" s="741"/>
      <c r="MFE449" s="741"/>
      <c r="MFF449" s="741"/>
      <c r="MFG449" s="741"/>
      <c r="MFH449" s="741"/>
      <c r="MFI449" s="741"/>
      <c r="MFJ449" s="741"/>
      <c r="MFK449" s="741"/>
      <c r="MFL449" s="741"/>
      <c r="MFM449" s="741"/>
      <c r="MFN449" s="741"/>
      <c r="MFO449" s="741"/>
      <c r="MFP449" s="741"/>
      <c r="MFQ449" s="741"/>
      <c r="MFR449" s="741"/>
      <c r="MFS449" s="741"/>
      <c r="MFT449" s="741"/>
      <c r="MFU449" s="741"/>
      <c r="MFV449" s="741"/>
      <c r="MFW449" s="741"/>
      <c r="MFX449" s="741"/>
      <c r="MFY449" s="741"/>
      <c r="MFZ449" s="741"/>
      <c r="MGA449" s="741"/>
      <c r="MGB449" s="741"/>
      <c r="MGC449" s="741"/>
      <c r="MGD449" s="741"/>
      <c r="MGE449" s="741"/>
      <c r="MGF449" s="741"/>
      <c r="MGG449" s="741"/>
      <c r="MGH449" s="741"/>
      <c r="MGI449" s="741"/>
      <c r="MGJ449" s="741"/>
      <c r="MGK449" s="741"/>
      <c r="MGL449" s="741"/>
      <c r="MGM449" s="741"/>
      <c r="MGN449" s="741"/>
      <c r="MGO449" s="741"/>
      <c r="MGP449" s="741"/>
      <c r="MGQ449" s="741"/>
      <c r="MGR449" s="741"/>
      <c r="MGS449" s="741"/>
      <c r="MGT449" s="741"/>
      <c r="MGU449" s="741"/>
      <c r="MGV449" s="741"/>
      <c r="MGW449" s="741"/>
      <c r="MGX449" s="741"/>
      <c r="MGY449" s="741"/>
      <c r="MGZ449" s="741"/>
      <c r="MHA449" s="741"/>
      <c r="MHB449" s="741"/>
      <c r="MHC449" s="741"/>
      <c r="MHD449" s="741"/>
      <c r="MHE449" s="741"/>
      <c r="MHF449" s="741"/>
      <c r="MHG449" s="741"/>
      <c r="MHH449" s="741"/>
      <c r="MHI449" s="741"/>
      <c r="MHJ449" s="741"/>
      <c r="MHK449" s="741"/>
      <c r="MHL449" s="741"/>
      <c r="MHM449" s="741"/>
      <c r="MHN449" s="741"/>
      <c r="MHO449" s="741"/>
      <c r="MHP449" s="741"/>
      <c r="MHQ449" s="741"/>
      <c r="MHR449" s="741"/>
      <c r="MHS449" s="741"/>
      <c r="MHT449" s="741"/>
      <c r="MHU449" s="741"/>
      <c r="MHV449" s="741"/>
      <c r="MHW449" s="741"/>
      <c r="MHX449" s="741"/>
      <c r="MHY449" s="741"/>
      <c r="MHZ449" s="741"/>
      <c r="MIA449" s="741"/>
      <c r="MIB449" s="741"/>
      <c r="MIC449" s="741"/>
      <c r="MID449" s="741"/>
      <c r="MIE449" s="741"/>
      <c r="MIF449" s="741"/>
      <c r="MIG449" s="741"/>
      <c r="MIH449" s="741"/>
      <c r="MII449" s="741"/>
      <c r="MIJ449" s="741"/>
      <c r="MIK449" s="741"/>
      <c r="MIL449" s="741"/>
      <c r="MIM449" s="741"/>
      <c r="MIN449" s="741"/>
      <c r="MIO449" s="741"/>
      <c r="MIP449" s="741"/>
      <c r="MIQ449" s="741"/>
      <c r="MIR449" s="741"/>
      <c r="MIS449" s="741"/>
      <c r="MIT449" s="741"/>
      <c r="MIU449" s="741"/>
      <c r="MIV449" s="741"/>
      <c r="MIW449" s="741"/>
      <c r="MIX449" s="741"/>
      <c r="MIY449" s="741"/>
      <c r="MIZ449" s="741"/>
      <c r="MJA449" s="741"/>
      <c r="MJB449" s="741"/>
      <c r="MJC449" s="741"/>
      <c r="MJD449" s="741"/>
      <c r="MJE449" s="741"/>
      <c r="MJF449" s="741"/>
      <c r="MJG449" s="741"/>
      <c r="MJH449" s="741"/>
      <c r="MJI449" s="741"/>
      <c r="MJJ449" s="741"/>
      <c r="MJK449" s="741"/>
      <c r="MJL449" s="741"/>
      <c r="MJM449" s="741"/>
      <c r="MJN449" s="741"/>
      <c r="MJO449" s="741"/>
      <c r="MJP449" s="741"/>
      <c r="MJQ449" s="741"/>
      <c r="MJR449" s="741"/>
      <c r="MJS449" s="741"/>
      <c r="MJT449" s="741"/>
      <c r="MJU449" s="741"/>
      <c r="MJV449" s="741"/>
      <c r="MJW449" s="741"/>
      <c r="MJX449" s="741"/>
      <c r="MJY449" s="741"/>
      <c r="MJZ449" s="741"/>
      <c r="MKA449" s="741"/>
      <c r="MKB449" s="741"/>
      <c r="MKC449" s="741"/>
      <c r="MKD449" s="741"/>
      <c r="MKE449" s="741"/>
      <c r="MKF449" s="741"/>
      <c r="MKG449" s="741"/>
      <c r="MKH449" s="741"/>
      <c r="MKI449" s="741"/>
      <c r="MKJ449" s="741"/>
      <c r="MKK449" s="741"/>
      <c r="MKL449" s="741"/>
      <c r="MKM449" s="741"/>
      <c r="MKN449" s="741"/>
      <c r="MKO449" s="741"/>
      <c r="MKP449" s="741"/>
      <c r="MKQ449" s="741"/>
      <c r="MKR449" s="741"/>
      <c r="MKS449" s="741"/>
      <c r="MKT449" s="741"/>
      <c r="MKU449" s="741"/>
      <c r="MKV449" s="741"/>
      <c r="MKW449" s="741"/>
      <c r="MKX449" s="741"/>
      <c r="MKY449" s="741"/>
      <c r="MKZ449" s="741"/>
      <c r="MLA449" s="741"/>
      <c r="MLB449" s="741"/>
      <c r="MLC449" s="741"/>
      <c r="MLD449" s="741"/>
      <c r="MLE449" s="741"/>
      <c r="MLF449" s="741"/>
      <c r="MLG449" s="741"/>
      <c r="MLH449" s="741"/>
      <c r="MLI449" s="741"/>
      <c r="MLJ449" s="741"/>
      <c r="MLK449" s="741"/>
      <c r="MLL449" s="741"/>
      <c r="MLM449" s="741"/>
      <c r="MLN449" s="741"/>
      <c r="MLO449" s="741"/>
      <c r="MLP449" s="741"/>
      <c r="MLQ449" s="741"/>
      <c r="MLR449" s="741"/>
      <c r="MLS449" s="741"/>
      <c r="MLT449" s="741"/>
      <c r="MLU449" s="741"/>
      <c r="MLV449" s="741"/>
      <c r="MLW449" s="741"/>
      <c r="MLX449" s="741"/>
      <c r="MLY449" s="741"/>
      <c r="MLZ449" s="741"/>
      <c r="MMA449" s="741"/>
      <c r="MMB449" s="741"/>
      <c r="MMC449" s="741"/>
      <c r="MMD449" s="741"/>
      <c r="MME449" s="741"/>
      <c r="MMF449" s="741"/>
      <c r="MMG449" s="741"/>
      <c r="MMH449" s="741"/>
      <c r="MMI449" s="741"/>
      <c r="MMJ449" s="741"/>
      <c r="MMK449" s="741"/>
      <c r="MML449" s="741"/>
      <c r="MMM449" s="741"/>
      <c r="MMN449" s="741"/>
      <c r="MMO449" s="741"/>
      <c r="MMP449" s="741"/>
      <c r="MMQ449" s="741"/>
      <c r="MMR449" s="741"/>
      <c r="MMS449" s="741"/>
      <c r="MMT449" s="741"/>
      <c r="MMU449" s="741"/>
      <c r="MMV449" s="741"/>
      <c r="MMW449" s="741"/>
      <c r="MMX449" s="741"/>
      <c r="MMY449" s="741"/>
      <c r="MMZ449" s="741"/>
      <c r="MNA449" s="741"/>
      <c r="MNB449" s="741"/>
      <c r="MNC449" s="741"/>
      <c r="MND449" s="741"/>
      <c r="MNE449" s="741"/>
      <c r="MNF449" s="741"/>
      <c r="MNG449" s="741"/>
      <c r="MNH449" s="741"/>
      <c r="MNI449" s="741"/>
      <c r="MNJ449" s="741"/>
      <c r="MNK449" s="741"/>
      <c r="MNL449" s="741"/>
      <c r="MNM449" s="741"/>
      <c r="MNN449" s="741"/>
      <c r="MNO449" s="741"/>
      <c r="MNP449" s="741"/>
      <c r="MNQ449" s="741"/>
      <c r="MNR449" s="741"/>
      <c r="MNS449" s="741"/>
      <c r="MNT449" s="741"/>
      <c r="MNU449" s="741"/>
      <c r="MNV449" s="741"/>
      <c r="MNW449" s="741"/>
      <c r="MNX449" s="741"/>
      <c r="MNY449" s="741"/>
      <c r="MNZ449" s="741"/>
      <c r="MOA449" s="741"/>
      <c r="MOB449" s="741"/>
      <c r="MOC449" s="741"/>
      <c r="MOD449" s="741"/>
      <c r="MOE449" s="741"/>
      <c r="MOF449" s="741"/>
      <c r="MOG449" s="741"/>
      <c r="MOH449" s="741"/>
      <c r="MOI449" s="741"/>
      <c r="MOJ449" s="741"/>
      <c r="MOK449" s="741"/>
      <c r="MOL449" s="741"/>
      <c r="MOM449" s="741"/>
      <c r="MON449" s="741"/>
      <c r="MOO449" s="741"/>
      <c r="MOP449" s="741"/>
      <c r="MOQ449" s="741"/>
      <c r="MOR449" s="741"/>
      <c r="MOS449" s="741"/>
      <c r="MOT449" s="741"/>
      <c r="MOU449" s="741"/>
      <c r="MOV449" s="741"/>
      <c r="MOW449" s="741"/>
      <c r="MOX449" s="741"/>
      <c r="MOY449" s="741"/>
      <c r="MOZ449" s="741"/>
      <c r="MPA449" s="741"/>
      <c r="MPB449" s="741"/>
      <c r="MPC449" s="741"/>
      <c r="MPD449" s="741"/>
      <c r="MPE449" s="741"/>
      <c r="MPF449" s="741"/>
      <c r="MPG449" s="741"/>
      <c r="MPH449" s="741"/>
      <c r="MPI449" s="741"/>
      <c r="MPJ449" s="741"/>
      <c r="MPK449" s="741"/>
      <c r="MPL449" s="741"/>
      <c r="MPM449" s="741"/>
      <c r="MPN449" s="741"/>
      <c r="MPO449" s="741"/>
      <c r="MPP449" s="741"/>
      <c r="MPQ449" s="741"/>
      <c r="MPR449" s="741"/>
      <c r="MPS449" s="741"/>
      <c r="MPT449" s="741"/>
      <c r="MPU449" s="741"/>
      <c r="MPV449" s="741"/>
      <c r="MPW449" s="741"/>
      <c r="MPX449" s="741"/>
      <c r="MPY449" s="741"/>
      <c r="MPZ449" s="741"/>
      <c r="MQA449" s="741"/>
      <c r="MQB449" s="741"/>
      <c r="MQC449" s="741"/>
      <c r="MQD449" s="741"/>
      <c r="MQE449" s="741"/>
      <c r="MQF449" s="741"/>
      <c r="MQG449" s="741"/>
      <c r="MQH449" s="741"/>
      <c r="MQI449" s="741"/>
      <c r="MQJ449" s="741"/>
      <c r="MQK449" s="741"/>
      <c r="MQL449" s="741"/>
      <c r="MQM449" s="741"/>
      <c r="MQN449" s="741"/>
      <c r="MQO449" s="741"/>
      <c r="MQP449" s="741"/>
      <c r="MQQ449" s="741"/>
      <c r="MQR449" s="741"/>
      <c r="MQS449" s="741"/>
      <c r="MQT449" s="741"/>
      <c r="MQU449" s="741"/>
      <c r="MQV449" s="741"/>
      <c r="MQW449" s="741"/>
      <c r="MQX449" s="741"/>
      <c r="MQY449" s="741"/>
      <c r="MQZ449" s="741"/>
      <c r="MRA449" s="741"/>
      <c r="MRB449" s="741"/>
      <c r="MRC449" s="741"/>
      <c r="MRD449" s="741"/>
      <c r="MRE449" s="741"/>
      <c r="MRF449" s="741"/>
      <c r="MRG449" s="741"/>
      <c r="MRH449" s="741"/>
      <c r="MRI449" s="741"/>
      <c r="MRJ449" s="741"/>
      <c r="MRK449" s="741"/>
      <c r="MRL449" s="741"/>
      <c r="MRM449" s="741"/>
      <c r="MRN449" s="741"/>
      <c r="MRO449" s="741"/>
      <c r="MRP449" s="741"/>
      <c r="MRQ449" s="741"/>
      <c r="MRR449" s="741"/>
      <c r="MRS449" s="741"/>
      <c r="MRT449" s="741"/>
      <c r="MRU449" s="741"/>
      <c r="MRV449" s="741"/>
      <c r="MRW449" s="741"/>
      <c r="MRX449" s="741"/>
      <c r="MRY449" s="741"/>
      <c r="MRZ449" s="741"/>
      <c r="MSA449" s="741"/>
      <c r="MSB449" s="741"/>
      <c r="MSC449" s="741"/>
      <c r="MSD449" s="741"/>
      <c r="MSE449" s="741"/>
      <c r="MSF449" s="741"/>
      <c r="MSG449" s="741"/>
      <c r="MSH449" s="741"/>
      <c r="MSI449" s="741"/>
      <c r="MSJ449" s="741"/>
      <c r="MSK449" s="741"/>
      <c r="MSL449" s="741"/>
      <c r="MSM449" s="741"/>
      <c r="MSN449" s="741"/>
      <c r="MSO449" s="741"/>
      <c r="MSP449" s="741"/>
      <c r="MSQ449" s="741"/>
      <c r="MSR449" s="741"/>
      <c r="MSS449" s="741"/>
      <c r="MST449" s="741"/>
      <c r="MSU449" s="741"/>
      <c r="MSV449" s="741"/>
      <c r="MSW449" s="741"/>
      <c r="MSX449" s="741"/>
      <c r="MSY449" s="741"/>
      <c r="MSZ449" s="741"/>
      <c r="MTA449" s="741"/>
      <c r="MTB449" s="741"/>
      <c r="MTC449" s="741"/>
      <c r="MTD449" s="741"/>
      <c r="MTE449" s="741"/>
      <c r="MTF449" s="741"/>
      <c r="MTG449" s="741"/>
      <c r="MTH449" s="741"/>
      <c r="MTI449" s="741"/>
      <c r="MTJ449" s="741"/>
      <c r="MTK449" s="741"/>
      <c r="MTL449" s="741"/>
      <c r="MTM449" s="741"/>
      <c r="MTN449" s="741"/>
      <c r="MTO449" s="741"/>
      <c r="MTP449" s="741"/>
      <c r="MTQ449" s="741"/>
      <c r="MTR449" s="741"/>
      <c r="MTS449" s="741"/>
      <c r="MTT449" s="741"/>
      <c r="MTU449" s="741"/>
      <c r="MTV449" s="741"/>
      <c r="MTW449" s="741"/>
      <c r="MTX449" s="741"/>
      <c r="MTY449" s="741"/>
      <c r="MTZ449" s="741"/>
      <c r="MUA449" s="741"/>
      <c r="MUB449" s="741"/>
      <c r="MUC449" s="741"/>
      <c r="MUD449" s="741"/>
      <c r="MUE449" s="741"/>
      <c r="MUF449" s="741"/>
      <c r="MUG449" s="741"/>
      <c r="MUH449" s="741"/>
      <c r="MUI449" s="741"/>
      <c r="MUJ449" s="741"/>
      <c r="MUK449" s="741"/>
      <c r="MUL449" s="741"/>
      <c r="MUM449" s="741"/>
      <c r="MUN449" s="741"/>
      <c r="MUO449" s="741"/>
      <c r="MUP449" s="741"/>
      <c r="MUQ449" s="741"/>
      <c r="MUR449" s="741"/>
      <c r="MUS449" s="741"/>
      <c r="MUT449" s="741"/>
      <c r="MUU449" s="741"/>
      <c r="MUV449" s="741"/>
      <c r="MUW449" s="741"/>
      <c r="MUX449" s="741"/>
      <c r="MUY449" s="741"/>
      <c r="MUZ449" s="741"/>
      <c r="MVA449" s="741"/>
      <c r="MVB449" s="741"/>
      <c r="MVC449" s="741"/>
      <c r="MVD449" s="741"/>
      <c r="MVE449" s="741"/>
      <c r="MVF449" s="741"/>
      <c r="MVG449" s="741"/>
      <c r="MVH449" s="741"/>
      <c r="MVI449" s="741"/>
      <c r="MVJ449" s="741"/>
      <c r="MVK449" s="741"/>
      <c r="MVL449" s="741"/>
      <c r="MVM449" s="741"/>
      <c r="MVN449" s="741"/>
      <c r="MVO449" s="741"/>
      <c r="MVP449" s="741"/>
      <c r="MVQ449" s="741"/>
      <c r="MVR449" s="741"/>
      <c r="MVS449" s="741"/>
      <c r="MVT449" s="741"/>
      <c r="MVU449" s="741"/>
      <c r="MVV449" s="741"/>
      <c r="MVW449" s="741"/>
      <c r="MVX449" s="741"/>
      <c r="MVY449" s="741"/>
      <c r="MVZ449" s="741"/>
      <c r="MWA449" s="741"/>
      <c r="MWB449" s="741"/>
      <c r="MWC449" s="741"/>
      <c r="MWD449" s="741"/>
      <c r="MWE449" s="741"/>
      <c r="MWF449" s="741"/>
      <c r="MWG449" s="741"/>
      <c r="MWH449" s="741"/>
      <c r="MWI449" s="741"/>
      <c r="MWJ449" s="741"/>
      <c r="MWK449" s="741"/>
      <c r="MWL449" s="741"/>
      <c r="MWM449" s="741"/>
      <c r="MWN449" s="741"/>
      <c r="MWO449" s="741"/>
      <c r="MWP449" s="741"/>
      <c r="MWQ449" s="741"/>
      <c r="MWR449" s="741"/>
      <c r="MWS449" s="741"/>
      <c r="MWT449" s="741"/>
      <c r="MWU449" s="741"/>
      <c r="MWV449" s="741"/>
      <c r="MWW449" s="741"/>
      <c r="MWX449" s="741"/>
      <c r="MWY449" s="741"/>
      <c r="MWZ449" s="741"/>
      <c r="MXA449" s="741"/>
      <c r="MXB449" s="741"/>
      <c r="MXC449" s="741"/>
      <c r="MXD449" s="741"/>
      <c r="MXE449" s="741"/>
      <c r="MXF449" s="741"/>
      <c r="MXG449" s="741"/>
      <c r="MXH449" s="741"/>
      <c r="MXI449" s="741"/>
      <c r="MXJ449" s="741"/>
      <c r="MXK449" s="741"/>
      <c r="MXL449" s="741"/>
      <c r="MXM449" s="741"/>
      <c r="MXN449" s="741"/>
      <c r="MXO449" s="741"/>
      <c r="MXP449" s="741"/>
      <c r="MXQ449" s="741"/>
      <c r="MXR449" s="741"/>
      <c r="MXS449" s="741"/>
      <c r="MXT449" s="741"/>
      <c r="MXU449" s="741"/>
      <c r="MXV449" s="741"/>
      <c r="MXW449" s="741"/>
      <c r="MXX449" s="741"/>
      <c r="MXY449" s="741"/>
      <c r="MXZ449" s="741"/>
      <c r="MYA449" s="741"/>
      <c r="MYB449" s="741"/>
      <c r="MYC449" s="741"/>
      <c r="MYD449" s="741"/>
      <c r="MYE449" s="741"/>
      <c r="MYF449" s="741"/>
      <c r="MYG449" s="741"/>
      <c r="MYH449" s="741"/>
      <c r="MYI449" s="741"/>
      <c r="MYJ449" s="741"/>
      <c r="MYK449" s="741"/>
      <c r="MYL449" s="741"/>
      <c r="MYM449" s="741"/>
      <c r="MYN449" s="741"/>
      <c r="MYO449" s="741"/>
      <c r="MYP449" s="741"/>
      <c r="MYQ449" s="741"/>
      <c r="MYR449" s="741"/>
      <c r="MYS449" s="741"/>
      <c r="MYT449" s="741"/>
      <c r="MYU449" s="741"/>
      <c r="MYV449" s="741"/>
      <c r="MYW449" s="741"/>
      <c r="MYX449" s="741"/>
      <c r="MYY449" s="741"/>
      <c r="MYZ449" s="741"/>
      <c r="MZA449" s="741"/>
      <c r="MZB449" s="741"/>
      <c r="MZC449" s="741"/>
      <c r="MZD449" s="741"/>
      <c r="MZE449" s="741"/>
      <c r="MZF449" s="741"/>
      <c r="MZG449" s="741"/>
      <c r="MZH449" s="741"/>
      <c r="MZI449" s="741"/>
      <c r="MZJ449" s="741"/>
      <c r="MZK449" s="741"/>
      <c r="MZL449" s="741"/>
      <c r="MZM449" s="741"/>
      <c r="MZN449" s="741"/>
      <c r="MZO449" s="741"/>
      <c r="MZP449" s="741"/>
      <c r="MZQ449" s="741"/>
      <c r="MZR449" s="741"/>
      <c r="MZS449" s="741"/>
      <c r="MZT449" s="741"/>
      <c r="MZU449" s="741"/>
      <c r="MZV449" s="741"/>
      <c r="MZW449" s="741"/>
      <c r="MZX449" s="741"/>
      <c r="MZY449" s="741"/>
      <c r="MZZ449" s="741"/>
      <c r="NAA449" s="741"/>
      <c r="NAB449" s="741"/>
      <c r="NAC449" s="741"/>
      <c r="NAD449" s="741"/>
      <c r="NAE449" s="741"/>
      <c r="NAF449" s="741"/>
      <c r="NAG449" s="741"/>
      <c r="NAH449" s="741"/>
      <c r="NAI449" s="741"/>
      <c r="NAJ449" s="741"/>
      <c r="NAK449" s="741"/>
      <c r="NAL449" s="741"/>
      <c r="NAM449" s="741"/>
      <c r="NAN449" s="741"/>
      <c r="NAO449" s="741"/>
      <c r="NAP449" s="741"/>
      <c r="NAQ449" s="741"/>
      <c r="NAR449" s="741"/>
      <c r="NAS449" s="741"/>
      <c r="NAT449" s="741"/>
      <c r="NAU449" s="741"/>
      <c r="NAV449" s="741"/>
      <c r="NAW449" s="741"/>
      <c r="NAX449" s="741"/>
      <c r="NAY449" s="741"/>
      <c r="NAZ449" s="741"/>
      <c r="NBA449" s="741"/>
      <c r="NBB449" s="741"/>
      <c r="NBC449" s="741"/>
      <c r="NBD449" s="741"/>
      <c r="NBE449" s="741"/>
      <c r="NBF449" s="741"/>
      <c r="NBG449" s="741"/>
      <c r="NBH449" s="741"/>
      <c r="NBI449" s="741"/>
      <c r="NBJ449" s="741"/>
      <c r="NBK449" s="741"/>
      <c r="NBL449" s="741"/>
      <c r="NBM449" s="741"/>
      <c r="NBN449" s="741"/>
      <c r="NBO449" s="741"/>
      <c r="NBP449" s="741"/>
      <c r="NBQ449" s="741"/>
      <c r="NBR449" s="741"/>
      <c r="NBS449" s="741"/>
      <c r="NBT449" s="741"/>
      <c r="NBU449" s="741"/>
      <c r="NBV449" s="741"/>
      <c r="NBW449" s="741"/>
      <c r="NBX449" s="741"/>
      <c r="NBY449" s="741"/>
      <c r="NBZ449" s="741"/>
      <c r="NCA449" s="741"/>
      <c r="NCB449" s="741"/>
      <c r="NCC449" s="741"/>
      <c r="NCD449" s="741"/>
      <c r="NCE449" s="741"/>
      <c r="NCF449" s="741"/>
      <c r="NCG449" s="741"/>
      <c r="NCH449" s="741"/>
      <c r="NCI449" s="741"/>
      <c r="NCJ449" s="741"/>
      <c r="NCK449" s="741"/>
      <c r="NCL449" s="741"/>
      <c r="NCM449" s="741"/>
      <c r="NCN449" s="741"/>
      <c r="NCO449" s="741"/>
      <c r="NCP449" s="741"/>
      <c r="NCQ449" s="741"/>
      <c r="NCR449" s="741"/>
      <c r="NCS449" s="741"/>
      <c r="NCT449" s="741"/>
      <c r="NCU449" s="741"/>
      <c r="NCV449" s="741"/>
      <c r="NCW449" s="741"/>
      <c r="NCX449" s="741"/>
      <c r="NCY449" s="741"/>
      <c r="NCZ449" s="741"/>
      <c r="NDA449" s="741"/>
      <c r="NDB449" s="741"/>
      <c r="NDC449" s="741"/>
      <c r="NDD449" s="741"/>
      <c r="NDE449" s="741"/>
      <c r="NDF449" s="741"/>
      <c r="NDG449" s="741"/>
      <c r="NDH449" s="741"/>
      <c r="NDI449" s="741"/>
      <c r="NDJ449" s="741"/>
      <c r="NDK449" s="741"/>
      <c r="NDL449" s="741"/>
      <c r="NDM449" s="741"/>
      <c r="NDN449" s="741"/>
      <c r="NDO449" s="741"/>
      <c r="NDP449" s="741"/>
      <c r="NDQ449" s="741"/>
      <c r="NDR449" s="741"/>
      <c r="NDS449" s="741"/>
      <c r="NDT449" s="741"/>
      <c r="NDU449" s="741"/>
      <c r="NDV449" s="741"/>
      <c r="NDW449" s="741"/>
      <c r="NDX449" s="741"/>
      <c r="NDY449" s="741"/>
      <c r="NDZ449" s="741"/>
      <c r="NEA449" s="741"/>
      <c r="NEB449" s="741"/>
      <c r="NEC449" s="741"/>
      <c r="NED449" s="741"/>
      <c r="NEE449" s="741"/>
      <c r="NEF449" s="741"/>
      <c r="NEG449" s="741"/>
      <c r="NEH449" s="741"/>
      <c r="NEI449" s="741"/>
      <c r="NEJ449" s="741"/>
      <c r="NEK449" s="741"/>
      <c r="NEL449" s="741"/>
      <c r="NEM449" s="741"/>
      <c r="NEN449" s="741"/>
      <c r="NEO449" s="741"/>
      <c r="NEP449" s="741"/>
      <c r="NEQ449" s="741"/>
      <c r="NER449" s="741"/>
      <c r="NES449" s="741"/>
      <c r="NET449" s="741"/>
      <c r="NEU449" s="741"/>
      <c r="NEV449" s="741"/>
      <c r="NEW449" s="741"/>
      <c r="NEX449" s="741"/>
      <c r="NEY449" s="741"/>
      <c r="NEZ449" s="741"/>
      <c r="NFA449" s="741"/>
      <c r="NFB449" s="741"/>
      <c r="NFC449" s="741"/>
      <c r="NFD449" s="741"/>
      <c r="NFE449" s="741"/>
      <c r="NFF449" s="741"/>
      <c r="NFG449" s="741"/>
      <c r="NFH449" s="741"/>
      <c r="NFI449" s="741"/>
      <c r="NFJ449" s="741"/>
      <c r="NFK449" s="741"/>
      <c r="NFL449" s="741"/>
      <c r="NFM449" s="741"/>
      <c r="NFN449" s="741"/>
      <c r="NFO449" s="741"/>
      <c r="NFP449" s="741"/>
      <c r="NFQ449" s="741"/>
      <c r="NFR449" s="741"/>
      <c r="NFS449" s="741"/>
      <c r="NFT449" s="741"/>
      <c r="NFU449" s="741"/>
      <c r="NFV449" s="741"/>
      <c r="NFW449" s="741"/>
      <c r="NFX449" s="741"/>
      <c r="NFY449" s="741"/>
      <c r="NFZ449" s="741"/>
      <c r="NGA449" s="741"/>
      <c r="NGB449" s="741"/>
      <c r="NGC449" s="741"/>
      <c r="NGD449" s="741"/>
      <c r="NGE449" s="741"/>
      <c r="NGF449" s="741"/>
      <c r="NGG449" s="741"/>
      <c r="NGH449" s="741"/>
      <c r="NGI449" s="741"/>
      <c r="NGJ449" s="741"/>
      <c r="NGK449" s="741"/>
      <c r="NGL449" s="741"/>
      <c r="NGM449" s="741"/>
      <c r="NGN449" s="741"/>
      <c r="NGO449" s="741"/>
      <c r="NGP449" s="741"/>
      <c r="NGQ449" s="741"/>
      <c r="NGR449" s="741"/>
      <c r="NGS449" s="741"/>
      <c r="NGT449" s="741"/>
      <c r="NGU449" s="741"/>
      <c r="NGV449" s="741"/>
      <c r="NGW449" s="741"/>
      <c r="NGX449" s="741"/>
      <c r="NGY449" s="741"/>
      <c r="NGZ449" s="741"/>
      <c r="NHA449" s="741"/>
      <c r="NHB449" s="741"/>
      <c r="NHC449" s="741"/>
      <c r="NHD449" s="741"/>
      <c r="NHE449" s="741"/>
      <c r="NHF449" s="741"/>
      <c r="NHG449" s="741"/>
      <c r="NHH449" s="741"/>
      <c r="NHI449" s="741"/>
      <c r="NHJ449" s="741"/>
      <c r="NHK449" s="741"/>
      <c r="NHL449" s="741"/>
      <c r="NHM449" s="741"/>
      <c r="NHN449" s="741"/>
      <c r="NHO449" s="741"/>
      <c r="NHP449" s="741"/>
      <c r="NHQ449" s="741"/>
      <c r="NHR449" s="741"/>
      <c r="NHS449" s="741"/>
      <c r="NHT449" s="741"/>
      <c r="NHU449" s="741"/>
      <c r="NHV449" s="741"/>
      <c r="NHW449" s="741"/>
      <c r="NHX449" s="741"/>
      <c r="NHY449" s="741"/>
      <c r="NHZ449" s="741"/>
      <c r="NIA449" s="741"/>
      <c r="NIB449" s="741"/>
      <c r="NIC449" s="741"/>
      <c r="NID449" s="741"/>
      <c r="NIE449" s="741"/>
      <c r="NIF449" s="741"/>
      <c r="NIG449" s="741"/>
      <c r="NIH449" s="741"/>
      <c r="NII449" s="741"/>
      <c r="NIJ449" s="741"/>
      <c r="NIK449" s="741"/>
      <c r="NIL449" s="741"/>
      <c r="NIM449" s="741"/>
      <c r="NIN449" s="741"/>
      <c r="NIO449" s="741"/>
      <c r="NIP449" s="741"/>
      <c r="NIQ449" s="741"/>
      <c r="NIR449" s="741"/>
      <c r="NIS449" s="741"/>
      <c r="NIT449" s="741"/>
      <c r="NIU449" s="741"/>
      <c r="NIV449" s="741"/>
      <c r="NIW449" s="741"/>
      <c r="NIX449" s="741"/>
      <c r="NIY449" s="741"/>
      <c r="NIZ449" s="741"/>
      <c r="NJA449" s="741"/>
      <c r="NJB449" s="741"/>
      <c r="NJC449" s="741"/>
      <c r="NJD449" s="741"/>
      <c r="NJE449" s="741"/>
      <c r="NJF449" s="741"/>
      <c r="NJG449" s="741"/>
      <c r="NJH449" s="741"/>
      <c r="NJI449" s="741"/>
      <c r="NJJ449" s="741"/>
      <c r="NJK449" s="741"/>
      <c r="NJL449" s="741"/>
      <c r="NJM449" s="741"/>
      <c r="NJN449" s="741"/>
      <c r="NJO449" s="741"/>
      <c r="NJP449" s="741"/>
      <c r="NJQ449" s="741"/>
      <c r="NJR449" s="741"/>
      <c r="NJS449" s="741"/>
      <c r="NJT449" s="741"/>
      <c r="NJU449" s="741"/>
      <c r="NJV449" s="741"/>
      <c r="NJW449" s="741"/>
      <c r="NJX449" s="741"/>
      <c r="NJY449" s="741"/>
      <c r="NJZ449" s="741"/>
      <c r="NKA449" s="741"/>
      <c r="NKB449" s="741"/>
      <c r="NKC449" s="741"/>
      <c r="NKD449" s="741"/>
      <c r="NKE449" s="741"/>
      <c r="NKF449" s="741"/>
      <c r="NKG449" s="741"/>
      <c r="NKH449" s="741"/>
      <c r="NKI449" s="741"/>
      <c r="NKJ449" s="741"/>
      <c r="NKK449" s="741"/>
      <c r="NKL449" s="741"/>
      <c r="NKM449" s="741"/>
      <c r="NKN449" s="741"/>
      <c r="NKO449" s="741"/>
      <c r="NKP449" s="741"/>
      <c r="NKQ449" s="741"/>
      <c r="NKR449" s="741"/>
      <c r="NKS449" s="741"/>
      <c r="NKT449" s="741"/>
      <c r="NKU449" s="741"/>
      <c r="NKV449" s="741"/>
      <c r="NKW449" s="741"/>
      <c r="NKX449" s="741"/>
      <c r="NKY449" s="741"/>
      <c r="NKZ449" s="741"/>
      <c r="NLA449" s="741"/>
      <c r="NLB449" s="741"/>
      <c r="NLC449" s="741"/>
      <c r="NLD449" s="741"/>
      <c r="NLE449" s="741"/>
      <c r="NLF449" s="741"/>
      <c r="NLG449" s="741"/>
      <c r="NLH449" s="741"/>
      <c r="NLI449" s="741"/>
      <c r="NLJ449" s="741"/>
      <c r="NLK449" s="741"/>
      <c r="NLL449" s="741"/>
      <c r="NLM449" s="741"/>
      <c r="NLN449" s="741"/>
      <c r="NLO449" s="741"/>
      <c r="NLP449" s="741"/>
      <c r="NLQ449" s="741"/>
      <c r="NLR449" s="741"/>
      <c r="NLS449" s="741"/>
      <c r="NLT449" s="741"/>
      <c r="NLU449" s="741"/>
      <c r="NLV449" s="741"/>
      <c r="NLW449" s="741"/>
      <c r="NLX449" s="741"/>
      <c r="NLY449" s="741"/>
      <c r="NLZ449" s="741"/>
      <c r="NMA449" s="741"/>
      <c r="NMB449" s="741"/>
      <c r="NMC449" s="741"/>
      <c r="NMD449" s="741"/>
      <c r="NME449" s="741"/>
      <c r="NMF449" s="741"/>
      <c r="NMG449" s="741"/>
      <c r="NMH449" s="741"/>
      <c r="NMI449" s="741"/>
      <c r="NMJ449" s="741"/>
      <c r="NMK449" s="741"/>
      <c r="NML449" s="741"/>
      <c r="NMM449" s="741"/>
      <c r="NMN449" s="741"/>
      <c r="NMO449" s="741"/>
      <c r="NMP449" s="741"/>
      <c r="NMQ449" s="741"/>
      <c r="NMR449" s="741"/>
      <c r="NMS449" s="741"/>
      <c r="NMT449" s="741"/>
      <c r="NMU449" s="741"/>
      <c r="NMV449" s="741"/>
      <c r="NMW449" s="741"/>
      <c r="NMX449" s="741"/>
      <c r="NMY449" s="741"/>
      <c r="NMZ449" s="741"/>
      <c r="NNA449" s="741"/>
      <c r="NNB449" s="741"/>
      <c r="NNC449" s="741"/>
      <c r="NND449" s="741"/>
      <c r="NNE449" s="741"/>
      <c r="NNF449" s="741"/>
      <c r="NNG449" s="741"/>
      <c r="NNH449" s="741"/>
      <c r="NNI449" s="741"/>
      <c r="NNJ449" s="741"/>
      <c r="NNK449" s="741"/>
      <c r="NNL449" s="741"/>
      <c r="NNM449" s="741"/>
      <c r="NNN449" s="741"/>
      <c r="NNO449" s="741"/>
      <c r="NNP449" s="741"/>
      <c r="NNQ449" s="741"/>
      <c r="NNR449" s="741"/>
      <c r="NNS449" s="741"/>
      <c r="NNT449" s="741"/>
      <c r="NNU449" s="741"/>
      <c r="NNV449" s="741"/>
      <c r="NNW449" s="741"/>
      <c r="NNX449" s="741"/>
      <c r="NNY449" s="741"/>
      <c r="NNZ449" s="741"/>
      <c r="NOA449" s="741"/>
      <c r="NOB449" s="741"/>
      <c r="NOC449" s="741"/>
      <c r="NOD449" s="741"/>
      <c r="NOE449" s="741"/>
      <c r="NOF449" s="741"/>
      <c r="NOG449" s="741"/>
      <c r="NOH449" s="741"/>
      <c r="NOI449" s="741"/>
      <c r="NOJ449" s="741"/>
      <c r="NOK449" s="741"/>
      <c r="NOL449" s="741"/>
      <c r="NOM449" s="741"/>
      <c r="NON449" s="741"/>
      <c r="NOO449" s="741"/>
      <c r="NOP449" s="741"/>
      <c r="NOQ449" s="741"/>
      <c r="NOR449" s="741"/>
      <c r="NOS449" s="741"/>
      <c r="NOT449" s="741"/>
      <c r="NOU449" s="741"/>
      <c r="NOV449" s="741"/>
      <c r="NOW449" s="741"/>
      <c r="NOX449" s="741"/>
      <c r="NOY449" s="741"/>
      <c r="NOZ449" s="741"/>
      <c r="NPA449" s="741"/>
      <c r="NPB449" s="741"/>
      <c r="NPC449" s="741"/>
      <c r="NPD449" s="741"/>
      <c r="NPE449" s="741"/>
      <c r="NPF449" s="741"/>
      <c r="NPG449" s="741"/>
      <c r="NPH449" s="741"/>
      <c r="NPI449" s="741"/>
      <c r="NPJ449" s="741"/>
      <c r="NPK449" s="741"/>
      <c r="NPL449" s="741"/>
      <c r="NPM449" s="741"/>
      <c r="NPN449" s="741"/>
      <c r="NPO449" s="741"/>
      <c r="NPP449" s="741"/>
      <c r="NPQ449" s="741"/>
      <c r="NPR449" s="741"/>
      <c r="NPS449" s="741"/>
      <c r="NPT449" s="741"/>
      <c r="NPU449" s="741"/>
      <c r="NPV449" s="741"/>
      <c r="NPW449" s="741"/>
      <c r="NPX449" s="741"/>
      <c r="NPY449" s="741"/>
      <c r="NPZ449" s="741"/>
      <c r="NQA449" s="741"/>
      <c r="NQB449" s="741"/>
      <c r="NQC449" s="741"/>
      <c r="NQD449" s="741"/>
      <c r="NQE449" s="741"/>
      <c r="NQF449" s="741"/>
      <c r="NQG449" s="741"/>
      <c r="NQH449" s="741"/>
      <c r="NQI449" s="741"/>
      <c r="NQJ449" s="741"/>
      <c r="NQK449" s="741"/>
      <c r="NQL449" s="741"/>
      <c r="NQM449" s="741"/>
      <c r="NQN449" s="741"/>
      <c r="NQO449" s="741"/>
      <c r="NQP449" s="741"/>
      <c r="NQQ449" s="741"/>
      <c r="NQR449" s="741"/>
      <c r="NQS449" s="741"/>
      <c r="NQT449" s="741"/>
      <c r="NQU449" s="741"/>
      <c r="NQV449" s="741"/>
      <c r="NQW449" s="741"/>
      <c r="NQX449" s="741"/>
      <c r="NQY449" s="741"/>
      <c r="NQZ449" s="741"/>
      <c r="NRA449" s="741"/>
      <c r="NRB449" s="741"/>
      <c r="NRC449" s="741"/>
      <c r="NRD449" s="741"/>
      <c r="NRE449" s="741"/>
      <c r="NRF449" s="741"/>
      <c r="NRG449" s="741"/>
      <c r="NRH449" s="741"/>
      <c r="NRI449" s="741"/>
      <c r="NRJ449" s="741"/>
      <c r="NRK449" s="741"/>
      <c r="NRL449" s="741"/>
      <c r="NRM449" s="741"/>
      <c r="NRN449" s="741"/>
      <c r="NRO449" s="741"/>
      <c r="NRP449" s="741"/>
      <c r="NRQ449" s="741"/>
      <c r="NRR449" s="741"/>
      <c r="NRS449" s="741"/>
      <c r="NRT449" s="741"/>
      <c r="NRU449" s="741"/>
      <c r="NRV449" s="741"/>
      <c r="NRW449" s="741"/>
      <c r="NRX449" s="741"/>
      <c r="NRY449" s="741"/>
      <c r="NRZ449" s="741"/>
      <c r="NSA449" s="741"/>
      <c r="NSB449" s="741"/>
      <c r="NSC449" s="741"/>
      <c r="NSD449" s="741"/>
      <c r="NSE449" s="741"/>
      <c r="NSF449" s="741"/>
      <c r="NSG449" s="741"/>
      <c r="NSH449" s="741"/>
      <c r="NSI449" s="741"/>
      <c r="NSJ449" s="741"/>
      <c r="NSK449" s="741"/>
      <c r="NSL449" s="741"/>
      <c r="NSM449" s="741"/>
      <c r="NSN449" s="741"/>
      <c r="NSO449" s="741"/>
      <c r="NSP449" s="741"/>
      <c r="NSQ449" s="741"/>
      <c r="NSR449" s="741"/>
      <c r="NSS449" s="741"/>
      <c r="NST449" s="741"/>
      <c r="NSU449" s="741"/>
      <c r="NSV449" s="741"/>
      <c r="NSW449" s="741"/>
      <c r="NSX449" s="741"/>
      <c r="NSY449" s="741"/>
      <c r="NSZ449" s="741"/>
      <c r="NTA449" s="741"/>
      <c r="NTB449" s="741"/>
      <c r="NTC449" s="741"/>
      <c r="NTD449" s="741"/>
      <c r="NTE449" s="741"/>
      <c r="NTF449" s="741"/>
      <c r="NTG449" s="741"/>
      <c r="NTH449" s="741"/>
      <c r="NTI449" s="741"/>
      <c r="NTJ449" s="741"/>
      <c r="NTK449" s="741"/>
      <c r="NTL449" s="741"/>
      <c r="NTM449" s="741"/>
      <c r="NTN449" s="741"/>
      <c r="NTO449" s="741"/>
      <c r="NTP449" s="741"/>
      <c r="NTQ449" s="741"/>
      <c r="NTR449" s="741"/>
      <c r="NTS449" s="741"/>
      <c r="NTT449" s="741"/>
      <c r="NTU449" s="741"/>
      <c r="NTV449" s="741"/>
      <c r="NTW449" s="741"/>
      <c r="NTX449" s="741"/>
      <c r="NTY449" s="741"/>
      <c r="NTZ449" s="741"/>
      <c r="NUA449" s="741"/>
      <c r="NUB449" s="741"/>
      <c r="NUC449" s="741"/>
      <c r="NUD449" s="741"/>
      <c r="NUE449" s="741"/>
      <c r="NUF449" s="741"/>
      <c r="NUG449" s="741"/>
      <c r="NUH449" s="741"/>
      <c r="NUI449" s="741"/>
      <c r="NUJ449" s="741"/>
      <c r="NUK449" s="741"/>
      <c r="NUL449" s="741"/>
      <c r="NUM449" s="741"/>
      <c r="NUN449" s="741"/>
      <c r="NUO449" s="741"/>
      <c r="NUP449" s="741"/>
      <c r="NUQ449" s="741"/>
      <c r="NUR449" s="741"/>
      <c r="NUS449" s="741"/>
      <c r="NUT449" s="741"/>
      <c r="NUU449" s="741"/>
      <c r="NUV449" s="741"/>
      <c r="NUW449" s="741"/>
      <c r="NUX449" s="741"/>
      <c r="NUY449" s="741"/>
      <c r="NUZ449" s="741"/>
      <c r="NVA449" s="741"/>
      <c r="NVB449" s="741"/>
      <c r="NVC449" s="741"/>
      <c r="NVD449" s="741"/>
      <c r="NVE449" s="741"/>
      <c r="NVF449" s="741"/>
      <c r="NVG449" s="741"/>
      <c r="NVH449" s="741"/>
      <c r="NVI449" s="741"/>
      <c r="NVJ449" s="741"/>
      <c r="NVK449" s="741"/>
      <c r="NVL449" s="741"/>
      <c r="NVM449" s="741"/>
      <c r="NVN449" s="741"/>
      <c r="NVO449" s="741"/>
      <c r="NVP449" s="741"/>
      <c r="NVQ449" s="741"/>
      <c r="NVR449" s="741"/>
      <c r="NVS449" s="741"/>
      <c r="NVT449" s="741"/>
      <c r="NVU449" s="741"/>
      <c r="NVV449" s="741"/>
      <c r="NVW449" s="741"/>
      <c r="NVX449" s="741"/>
      <c r="NVY449" s="741"/>
      <c r="NVZ449" s="741"/>
      <c r="NWA449" s="741"/>
      <c r="NWB449" s="741"/>
      <c r="NWC449" s="741"/>
      <c r="NWD449" s="741"/>
      <c r="NWE449" s="741"/>
      <c r="NWF449" s="741"/>
      <c r="NWG449" s="741"/>
      <c r="NWH449" s="741"/>
      <c r="NWI449" s="741"/>
      <c r="NWJ449" s="741"/>
      <c r="NWK449" s="741"/>
      <c r="NWL449" s="741"/>
      <c r="NWM449" s="741"/>
      <c r="NWN449" s="741"/>
      <c r="NWO449" s="741"/>
      <c r="NWP449" s="741"/>
      <c r="NWQ449" s="741"/>
      <c r="NWR449" s="741"/>
      <c r="NWS449" s="741"/>
      <c r="NWT449" s="741"/>
      <c r="NWU449" s="741"/>
      <c r="NWV449" s="741"/>
      <c r="NWW449" s="741"/>
      <c r="NWX449" s="741"/>
      <c r="NWY449" s="741"/>
      <c r="NWZ449" s="741"/>
      <c r="NXA449" s="741"/>
      <c r="NXB449" s="741"/>
      <c r="NXC449" s="741"/>
      <c r="NXD449" s="741"/>
      <c r="NXE449" s="741"/>
      <c r="NXF449" s="741"/>
      <c r="NXG449" s="741"/>
      <c r="NXH449" s="741"/>
      <c r="NXI449" s="741"/>
      <c r="NXJ449" s="741"/>
      <c r="NXK449" s="741"/>
      <c r="NXL449" s="741"/>
      <c r="NXM449" s="741"/>
      <c r="NXN449" s="741"/>
      <c r="NXO449" s="741"/>
      <c r="NXP449" s="741"/>
      <c r="NXQ449" s="741"/>
      <c r="NXR449" s="741"/>
      <c r="NXS449" s="741"/>
      <c r="NXT449" s="741"/>
      <c r="NXU449" s="741"/>
      <c r="NXV449" s="741"/>
      <c r="NXW449" s="741"/>
      <c r="NXX449" s="741"/>
      <c r="NXY449" s="741"/>
      <c r="NXZ449" s="741"/>
      <c r="NYA449" s="741"/>
      <c r="NYB449" s="741"/>
      <c r="NYC449" s="741"/>
      <c r="NYD449" s="741"/>
      <c r="NYE449" s="741"/>
      <c r="NYF449" s="741"/>
      <c r="NYG449" s="741"/>
      <c r="NYH449" s="741"/>
      <c r="NYI449" s="741"/>
      <c r="NYJ449" s="741"/>
      <c r="NYK449" s="741"/>
      <c r="NYL449" s="741"/>
      <c r="NYM449" s="741"/>
      <c r="NYN449" s="741"/>
      <c r="NYO449" s="741"/>
      <c r="NYP449" s="741"/>
      <c r="NYQ449" s="741"/>
      <c r="NYR449" s="741"/>
      <c r="NYS449" s="741"/>
      <c r="NYT449" s="741"/>
      <c r="NYU449" s="741"/>
      <c r="NYV449" s="741"/>
      <c r="NYW449" s="741"/>
      <c r="NYX449" s="741"/>
      <c r="NYY449" s="741"/>
      <c r="NYZ449" s="741"/>
      <c r="NZA449" s="741"/>
      <c r="NZB449" s="741"/>
      <c r="NZC449" s="741"/>
      <c r="NZD449" s="741"/>
      <c r="NZE449" s="741"/>
      <c r="NZF449" s="741"/>
      <c r="NZG449" s="741"/>
      <c r="NZH449" s="741"/>
      <c r="NZI449" s="741"/>
      <c r="NZJ449" s="741"/>
      <c r="NZK449" s="741"/>
      <c r="NZL449" s="741"/>
      <c r="NZM449" s="741"/>
      <c r="NZN449" s="741"/>
      <c r="NZO449" s="741"/>
      <c r="NZP449" s="741"/>
      <c r="NZQ449" s="741"/>
      <c r="NZR449" s="741"/>
      <c r="NZS449" s="741"/>
      <c r="NZT449" s="741"/>
      <c r="NZU449" s="741"/>
      <c r="NZV449" s="741"/>
      <c r="NZW449" s="741"/>
      <c r="NZX449" s="741"/>
      <c r="NZY449" s="741"/>
      <c r="NZZ449" s="741"/>
      <c r="OAA449" s="741"/>
      <c r="OAB449" s="741"/>
      <c r="OAC449" s="741"/>
      <c r="OAD449" s="741"/>
      <c r="OAE449" s="741"/>
      <c r="OAF449" s="741"/>
      <c r="OAG449" s="741"/>
      <c r="OAH449" s="741"/>
      <c r="OAI449" s="741"/>
      <c r="OAJ449" s="741"/>
      <c r="OAK449" s="741"/>
      <c r="OAL449" s="741"/>
      <c r="OAM449" s="741"/>
      <c r="OAN449" s="741"/>
      <c r="OAO449" s="741"/>
      <c r="OAP449" s="741"/>
      <c r="OAQ449" s="741"/>
      <c r="OAR449" s="741"/>
      <c r="OAS449" s="741"/>
      <c r="OAT449" s="741"/>
      <c r="OAU449" s="741"/>
      <c r="OAV449" s="741"/>
      <c r="OAW449" s="741"/>
      <c r="OAX449" s="741"/>
      <c r="OAY449" s="741"/>
      <c r="OAZ449" s="741"/>
      <c r="OBA449" s="741"/>
      <c r="OBB449" s="741"/>
      <c r="OBC449" s="741"/>
      <c r="OBD449" s="741"/>
      <c r="OBE449" s="741"/>
      <c r="OBF449" s="741"/>
      <c r="OBG449" s="741"/>
      <c r="OBH449" s="741"/>
      <c r="OBI449" s="741"/>
      <c r="OBJ449" s="741"/>
      <c r="OBK449" s="741"/>
      <c r="OBL449" s="741"/>
      <c r="OBM449" s="741"/>
      <c r="OBN449" s="741"/>
      <c r="OBO449" s="741"/>
      <c r="OBP449" s="741"/>
      <c r="OBQ449" s="741"/>
      <c r="OBR449" s="741"/>
      <c r="OBS449" s="741"/>
      <c r="OBT449" s="741"/>
      <c r="OBU449" s="741"/>
      <c r="OBV449" s="741"/>
      <c r="OBW449" s="741"/>
      <c r="OBX449" s="741"/>
      <c r="OBY449" s="741"/>
      <c r="OBZ449" s="741"/>
      <c r="OCA449" s="741"/>
      <c r="OCB449" s="741"/>
      <c r="OCC449" s="741"/>
      <c r="OCD449" s="741"/>
      <c r="OCE449" s="741"/>
      <c r="OCF449" s="741"/>
      <c r="OCG449" s="741"/>
      <c r="OCH449" s="741"/>
      <c r="OCI449" s="741"/>
      <c r="OCJ449" s="741"/>
      <c r="OCK449" s="741"/>
      <c r="OCL449" s="741"/>
      <c r="OCM449" s="741"/>
      <c r="OCN449" s="741"/>
      <c r="OCO449" s="741"/>
      <c r="OCP449" s="741"/>
      <c r="OCQ449" s="741"/>
      <c r="OCR449" s="741"/>
      <c r="OCS449" s="741"/>
      <c r="OCT449" s="741"/>
      <c r="OCU449" s="741"/>
      <c r="OCV449" s="741"/>
      <c r="OCW449" s="741"/>
      <c r="OCX449" s="741"/>
      <c r="OCY449" s="741"/>
      <c r="OCZ449" s="741"/>
      <c r="ODA449" s="741"/>
      <c r="ODB449" s="741"/>
      <c r="ODC449" s="741"/>
      <c r="ODD449" s="741"/>
      <c r="ODE449" s="741"/>
      <c r="ODF449" s="741"/>
      <c r="ODG449" s="741"/>
      <c r="ODH449" s="741"/>
      <c r="ODI449" s="741"/>
      <c r="ODJ449" s="741"/>
      <c r="ODK449" s="741"/>
      <c r="ODL449" s="741"/>
      <c r="ODM449" s="741"/>
      <c r="ODN449" s="741"/>
      <c r="ODO449" s="741"/>
      <c r="ODP449" s="741"/>
      <c r="ODQ449" s="741"/>
      <c r="ODR449" s="741"/>
      <c r="ODS449" s="741"/>
      <c r="ODT449" s="741"/>
      <c r="ODU449" s="741"/>
      <c r="ODV449" s="741"/>
      <c r="ODW449" s="741"/>
      <c r="ODX449" s="741"/>
      <c r="ODY449" s="741"/>
      <c r="ODZ449" s="741"/>
      <c r="OEA449" s="741"/>
      <c r="OEB449" s="741"/>
      <c r="OEC449" s="741"/>
      <c r="OED449" s="741"/>
      <c r="OEE449" s="741"/>
      <c r="OEF449" s="741"/>
      <c r="OEG449" s="741"/>
      <c r="OEH449" s="741"/>
      <c r="OEI449" s="741"/>
      <c r="OEJ449" s="741"/>
      <c r="OEK449" s="741"/>
      <c r="OEL449" s="741"/>
      <c r="OEM449" s="741"/>
      <c r="OEN449" s="741"/>
      <c r="OEO449" s="741"/>
      <c r="OEP449" s="741"/>
      <c r="OEQ449" s="741"/>
      <c r="OER449" s="741"/>
      <c r="OES449" s="741"/>
      <c r="OET449" s="741"/>
      <c r="OEU449" s="741"/>
      <c r="OEV449" s="741"/>
      <c r="OEW449" s="741"/>
      <c r="OEX449" s="741"/>
      <c r="OEY449" s="741"/>
      <c r="OEZ449" s="741"/>
      <c r="OFA449" s="741"/>
      <c r="OFB449" s="741"/>
      <c r="OFC449" s="741"/>
      <c r="OFD449" s="741"/>
      <c r="OFE449" s="741"/>
      <c r="OFF449" s="741"/>
      <c r="OFG449" s="741"/>
      <c r="OFH449" s="741"/>
      <c r="OFI449" s="741"/>
      <c r="OFJ449" s="741"/>
      <c r="OFK449" s="741"/>
      <c r="OFL449" s="741"/>
      <c r="OFM449" s="741"/>
      <c r="OFN449" s="741"/>
      <c r="OFO449" s="741"/>
      <c r="OFP449" s="741"/>
      <c r="OFQ449" s="741"/>
      <c r="OFR449" s="741"/>
      <c r="OFS449" s="741"/>
      <c r="OFT449" s="741"/>
      <c r="OFU449" s="741"/>
      <c r="OFV449" s="741"/>
      <c r="OFW449" s="741"/>
      <c r="OFX449" s="741"/>
      <c r="OFY449" s="741"/>
      <c r="OFZ449" s="741"/>
      <c r="OGA449" s="741"/>
      <c r="OGB449" s="741"/>
      <c r="OGC449" s="741"/>
      <c r="OGD449" s="741"/>
      <c r="OGE449" s="741"/>
      <c r="OGF449" s="741"/>
      <c r="OGG449" s="741"/>
      <c r="OGH449" s="741"/>
      <c r="OGI449" s="741"/>
      <c r="OGJ449" s="741"/>
      <c r="OGK449" s="741"/>
      <c r="OGL449" s="741"/>
      <c r="OGM449" s="741"/>
      <c r="OGN449" s="741"/>
      <c r="OGO449" s="741"/>
      <c r="OGP449" s="741"/>
      <c r="OGQ449" s="741"/>
      <c r="OGR449" s="741"/>
      <c r="OGS449" s="741"/>
      <c r="OGT449" s="741"/>
      <c r="OGU449" s="741"/>
      <c r="OGV449" s="741"/>
      <c r="OGW449" s="741"/>
      <c r="OGX449" s="741"/>
      <c r="OGY449" s="741"/>
      <c r="OGZ449" s="741"/>
      <c r="OHA449" s="741"/>
      <c r="OHB449" s="741"/>
      <c r="OHC449" s="741"/>
      <c r="OHD449" s="741"/>
      <c r="OHE449" s="741"/>
      <c r="OHF449" s="741"/>
      <c r="OHG449" s="741"/>
      <c r="OHH449" s="741"/>
      <c r="OHI449" s="741"/>
      <c r="OHJ449" s="741"/>
      <c r="OHK449" s="741"/>
      <c r="OHL449" s="741"/>
      <c r="OHM449" s="741"/>
      <c r="OHN449" s="741"/>
      <c r="OHO449" s="741"/>
      <c r="OHP449" s="741"/>
      <c r="OHQ449" s="741"/>
      <c r="OHR449" s="741"/>
      <c r="OHS449" s="741"/>
      <c r="OHT449" s="741"/>
      <c r="OHU449" s="741"/>
      <c r="OHV449" s="741"/>
      <c r="OHW449" s="741"/>
      <c r="OHX449" s="741"/>
      <c r="OHY449" s="741"/>
      <c r="OHZ449" s="741"/>
      <c r="OIA449" s="741"/>
      <c r="OIB449" s="741"/>
      <c r="OIC449" s="741"/>
      <c r="OID449" s="741"/>
      <c r="OIE449" s="741"/>
      <c r="OIF449" s="741"/>
      <c r="OIG449" s="741"/>
      <c r="OIH449" s="741"/>
      <c r="OII449" s="741"/>
      <c r="OIJ449" s="741"/>
      <c r="OIK449" s="741"/>
      <c r="OIL449" s="741"/>
      <c r="OIM449" s="741"/>
      <c r="OIN449" s="741"/>
      <c r="OIO449" s="741"/>
      <c r="OIP449" s="741"/>
      <c r="OIQ449" s="741"/>
      <c r="OIR449" s="741"/>
      <c r="OIS449" s="741"/>
      <c r="OIT449" s="741"/>
      <c r="OIU449" s="741"/>
      <c r="OIV449" s="741"/>
      <c r="OIW449" s="741"/>
      <c r="OIX449" s="741"/>
      <c r="OIY449" s="741"/>
      <c r="OIZ449" s="741"/>
      <c r="OJA449" s="741"/>
      <c r="OJB449" s="741"/>
      <c r="OJC449" s="741"/>
      <c r="OJD449" s="741"/>
      <c r="OJE449" s="741"/>
      <c r="OJF449" s="741"/>
      <c r="OJG449" s="741"/>
      <c r="OJH449" s="741"/>
      <c r="OJI449" s="741"/>
      <c r="OJJ449" s="741"/>
      <c r="OJK449" s="741"/>
      <c r="OJL449" s="741"/>
      <c r="OJM449" s="741"/>
      <c r="OJN449" s="741"/>
      <c r="OJO449" s="741"/>
      <c r="OJP449" s="741"/>
      <c r="OJQ449" s="741"/>
      <c r="OJR449" s="741"/>
      <c r="OJS449" s="741"/>
      <c r="OJT449" s="741"/>
      <c r="OJU449" s="741"/>
      <c r="OJV449" s="741"/>
      <c r="OJW449" s="741"/>
      <c r="OJX449" s="741"/>
      <c r="OJY449" s="741"/>
      <c r="OJZ449" s="741"/>
      <c r="OKA449" s="741"/>
      <c r="OKB449" s="741"/>
      <c r="OKC449" s="741"/>
      <c r="OKD449" s="741"/>
      <c r="OKE449" s="741"/>
      <c r="OKF449" s="741"/>
      <c r="OKG449" s="741"/>
      <c r="OKH449" s="741"/>
      <c r="OKI449" s="741"/>
      <c r="OKJ449" s="741"/>
      <c r="OKK449" s="741"/>
      <c r="OKL449" s="741"/>
      <c r="OKM449" s="741"/>
      <c r="OKN449" s="741"/>
      <c r="OKO449" s="741"/>
      <c r="OKP449" s="741"/>
      <c r="OKQ449" s="741"/>
      <c r="OKR449" s="741"/>
      <c r="OKS449" s="741"/>
      <c r="OKT449" s="741"/>
      <c r="OKU449" s="741"/>
      <c r="OKV449" s="741"/>
      <c r="OKW449" s="741"/>
      <c r="OKX449" s="741"/>
      <c r="OKY449" s="741"/>
      <c r="OKZ449" s="741"/>
      <c r="OLA449" s="741"/>
      <c r="OLB449" s="741"/>
      <c r="OLC449" s="741"/>
      <c r="OLD449" s="741"/>
      <c r="OLE449" s="741"/>
      <c r="OLF449" s="741"/>
      <c r="OLG449" s="741"/>
      <c r="OLH449" s="741"/>
      <c r="OLI449" s="741"/>
      <c r="OLJ449" s="741"/>
      <c r="OLK449" s="741"/>
      <c r="OLL449" s="741"/>
      <c r="OLM449" s="741"/>
      <c r="OLN449" s="741"/>
      <c r="OLO449" s="741"/>
      <c r="OLP449" s="741"/>
      <c r="OLQ449" s="741"/>
      <c r="OLR449" s="741"/>
      <c r="OLS449" s="741"/>
      <c r="OLT449" s="741"/>
      <c r="OLU449" s="741"/>
      <c r="OLV449" s="741"/>
      <c r="OLW449" s="741"/>
      <c r="OLX449" s="741"/>
      <c r="OLY449" s="741"/>
      <c r="OLZ449" s="741"/>
      <c r="OMA449" s="741"/>
      <c r="OMB449" s="741"/>
      <c r="OMC449" s="741"/>
      <c r="OMD449" s="741"/>
      <c r="OME449" s="741"/>
      <c r="OMF449" s="741"/>
      <c r="OMG449" s="741"/>
      <c r="OMH449" s="741"/>
      <c r="OMI449" s="741"/>
      <c r="OMJ449" s="741"/>
      <c r="OMK449" s="741"/>
      <c r="OML449" s="741"/>
      <c r="OMM449" s="741"/>
      <c r="OMN449" s="741"/>
      <c r="OMO449" s="741"/>
      <c r="OMP449" s="741"/>
      <c r="OMQ449" s="741"/>
      <c r="OMR449" s="741"/>
      <c r="OMS449" s="741"/>
      <c r="OMT449" s="741"/>
      <c r="OMU449" s="741"/>
      <c r="OMV449" s="741"/>
      <c r="OMW449" s="741"/>
      <c r="OMX449" s="741"/>
      <c r="OMY449" s="741"/>
      <c r="OMZ449" s="741"/>
      <c r="ONA449" s="741"/>
      <c r="ONB449" s="741"/>
      <c r="ONC449" s="741"/>
      <c r="OND449" s="741"/>
      <c r="ONE449" s="741"/>
      <c r="ONF449" s="741"/>
      <c r="ONG449" s="741"/>
      <c r="ONH449" s="741"/>
      <c r="ONI449" s="741"/>
      <c r="ONJ449" s="741"/>
      <c r="ONK449" s="741"/>
      <c r="ONL449" s="741"/>
      <c r="ONM449" s="741"/>
      <c r="ONN449" s="741"/>
      <c r="ONO449" s="741"/>
      <c r="ONP449" s="741"/>
      <c r="ONQ449" s="741"/>
      <c r="ONR449" s="741"/>
      <c r="ONS449" s="741"/>
      <c r="ONT449" s="741"/>
      <c r="ONU449" s="741"/>
      <c r="ONV449" s="741"/>
      <c r="ONW449" s="741"/>
      <c r="ONX449" s="741"/>
      <c r="ONY449" s="741"/>
      <c r="ONZ449" s="741"/>
      <c r="OOA449" s="741"/>
      <c r="OOB449" s="741"/>
      <c r="OOC449" s="741"/>
      <c r="OOD449" s="741"/>
      <c r="OOE449" s="741"/>
      <c r="OOF449" s="741"/>
      <c r="OOG449" s="741"/>
      <c r="OOH449" s="741"/>
      <c r="OOI449" s="741"/>
      <c r="OOJ449" s="741"/>
      <c r="OOK449" s="741"/>
      <c r="OOL449" s="741"/>
      <c r="OOM449" s="741"/>
      <c r="OON449" s="741"/>
      <c r="OOO449" s="741"/>
      <c r="OOP449" s="741"/>
      <c r="OOQ449" s="741"/>
      <c r="OOR449" s="741"/>
      <c r="OOS449" s="741"/>
      <c r="OOT449" s="741"/>
      <c r="OOU449" s="741"/>
      <c r="OOV449" s="741"/>
      <c r="OOW449" s="741"/>
      <c r="OOX449" s="741"/>
      <c r="OOY449" s="741"/>
      <c r="OOZ449" s="741"/>
      <c r="OPA449" s="741"/>
      <c r="OPB449" s="741"/>
      <c r="OPC449" s="741"/>
      <c r="OPD449" s="741"/>
      <c r="OPE449" s="741"/>
      <c r="OPF449" s="741"/>
      <c r="OPG449" s="741"/>
      <c r="OPH449" s="741"/>
      <c r="OPI449" s="741"/>
      <c r="OPJ449" s="741"/>
      <c r="OPK449" s="741"/>
      <c r="OPL449" s="741"/>
      <c r="OPM449" s="741"/>
      <c r="OPN449" s="741"/>
      <c r="OPO449" s="741"/>
      <c r="OPP449" s="741"/>
      <c r="OPQ449" s="741"/>
      <c r="OPR449" s="741"/>
      <c r="OPS449" s="741"/>
      <c r="OPT449" s="741"/>
      <c r="OPU449" s="741"/>
      <c r="OPV449" s="741"/>
      <c r="OPW449" s="741"/>
      <c r="OPX449" s="741"/>
      <c r="OPY449" s="741"/>
      <c r="OPZ449" s="741"/>
      <c r="OQA449" s="741"/>
      <c r="OQB449" s="741"/>
      <c r="OQC449" s="741"/>
      <c r="OQD449" s="741"/>
      <c r="OQE449" s="741"/>
      <c r="OQF449" s="741"/>
      <c r="OQG449" s="741"/>
      <c r="OQH449" s="741"/>
      <c r="OQI449" s="741"/>
      <c r="OQJ449" s="741"/>
      <c r="OQK449" s="741"/>
      <c r="OQL449" s="741"/>
      <c r="OQM449" s="741"/>
      <c r="OQN449" s="741"/>
      <c r="OQO449" s="741"/>
      <c r="OQP449" s="741"/>
      <c r="OQQ449" s="741"/>
      <c r="OQR449" s="741"/>
      <c r="OQS449" s="741"/>
      <c r="OQT449" s="741"/>
      <c r="OQU449" s="741"/>
      <c r="OQV449" s="741"/>
      <c r="OQW449" s="741"/>
      <c r="OQX449" s="741"/>
      <c r="OQY449" s="741"/>
      <c r="OQZ449" s="741"/>
      <c r="ORA449" s="741"/>
      <c r="ORB449" s="741"/>
      <c r="ORC449" s="741"/>
      <c r="ORD449" s="741"/>
      <c r="ORE449" s="741"/>
      <c r="ORF449" s="741"/>
      <c r="ORG449" s="741"/>
      <c r="ORH449" s="741"/>
      <c r="ORI449" s="741"/>
      <c r="ORJ449" s="741"/>
      <c r="ORK449" s="741"/>
      <c r="ORL449" s="741"/>
      <c r="ORM449" s="741"/>
      <c r="ORN449" s="741"/>
      <c r="ORO449" s="741"/>
      <c r="ORP449" s="741"/>
      <c r="ORQ449" s="741"/>
      <c r="ORR449" s="741"/>
      <c r="ORS449" s="741"/>
      <c r="ORT449" s="741"/>
      <c r="ORU449" s="741"/>
      <c r="ORV449" s="741"/>
      <c r="ORW449" s="741"/>
      <c r="ORX449" s="741"/>
      <c r="ORY449" s="741"/>
      <c r="ORZ449" s="741"/>
      <c r="OSA449" s="741"/>
      <c r="OSB449" s="741"/>
      <c r="OSC449" s="741"/>
      <c r="OSD449" s="741"/>
      <c r="OSE449" s="741"/>
      <c r="OSF449" s="741"/>
      <c r="OSG449" s="741"/>
      <c r="OSH449" s="741"/>
      <c r="OSI449" s="741"/>
      <c r="OSJ449" s="741"/>
      <c r="OSK449" s="741"/>
      <c r="OSL449" s="741"/>
      <c r="OSM449" s="741"/>
      <c r="OSN449" s="741"/>
      <c r="OSO449" s="741"/>
      <c r="OSP449" s="741"/>
      <c r="OSQ449" s="741"/>
      <c r="OSR449" s="741"/>
      <c r="OSS449" s="741"/>
      <c r="OST449" s="741"/>
      <c r="OSU449" s="741"/>
      <c r="OSV449" s="741"/>
      <c r="OSW449" s="741"/>
      <c r="OSX449" s="741"/>
      <c r="OSY449" s="741"/>
      <c r="OSZ449" s="741"/>
      <c r="OTA449" s="741"/>
      <c r="OTB449" s="741"/>
      <c r="OTC449" s="741"/>
      <c r="OTD449" s="741"/>
      <c r="OTE449" s="741"/>
      <c r="OTF449" s="741"/>
      <c r="OTG449" s="741"/>
      <c r="OTH449" s="741"/>
      <c r="OTI449" s="741"/>
      <c r="OTJ449" s="741"/>
      <c r="OTK449" s="741"/>
      <c r="OTL449" s="741"/>
      <c r="OTM449" s="741"/>
      <c r="OTN449" s="741"/>
      <c r="OTO449" s="741"/>
      <c r="OTP449" s="741"/>
      <c r="OTQ449" s="741"/>
      <c r="OTR449" s="741"/>
      <c r="OTS449" s="741"/>
      <c r="OTT449" s="741"/>
      <c r="OTU449" s="741"/>
      <c r="OTV449" s="741"/>
      <c r="OTW449" s="741"/>
      <c r="OTX449" s="741"/>
      <c r="OTY449" s="741"/>
      <c r="OTZ449" s="741"/>
      <c r="OUA449" s="741"/>
      <c r="OUB449" s="741"/>
      <c r="OUC449" s="741"/>
      <c r="OUD449" s="741"/>
      <c r="OUE449" s="741"/>
      <c r="OUF449" s="741"/>
      <c r="OUG449" s="741"/>
      <c r="OUH449" s="741"/>
      <c r="OUI449" s="741"/>
      <c r="OUJ449" s="741"/>
      <c r="OUK449" s="741"/>
      <c r="OUL449" s="741"/>
      <c r="OUM449" s="741"/>
      <c r="OUN449" s="741"/>
      <c r="OUO449" s="741"/>
      <c r="OUP449" s="741"/>
      <c r="OUQ449" s="741"/>
      <c r="OUR449" s="741"/>
      <c r="OUS449" s="741"/>
      <c r="OUT449" s="741"/>
      <c r="OUU449" s="741"/>
      <c r="OUV449" s="741"/>
      <c r="OUW449" s="741"/>
      <c r="OUX449" s="741"/>
      <c r="OUY449" s="741"/>
      <c r="OUZ449" s="741"/>
      <c r="OVA449" s="741"/>
      <c r="OVB449" s="741"/>
      <c r="OVC449" s="741"/>
      <c r="OVD449" s="741"/>
      <c r="OVE449" s="741"/>
      <c r="OVF449" s="741"/>
      <c r="OVG449" s="741"/>
      <c r="OVH449" s="741"/>
      <c r="OVI449" s="741"/>
      <c r="OVJ449" s="741"/>
      <c r="OVK449" s="741"/>
      <c r="OVL449" s="741"/>
      <c r="OVM449" s="741"/>
      <c r="OVN449" s="741"/>
      <c r="OVO449" s="741"/>
      <c r="OVP449" s="741"/>
      <c r="OVQ449" s="741"/>
      <c r="OVR449" s="741"/>
      <c r="OVS449" s="741"/>
      <c r="OVT449" s="741"/>
      <c r="OVU449" s="741"/>
      <c r="OVV449" s="741"/>
      <c r="OVW449" s="741"/>
      <c r="OVX449" s="741"/>
      <c r="OVY449" s="741"/>
      <c r="OVZ449" s="741"/>
      <c r="OWA449" s="741"/>
      <c r="OWB449" s="741"/>
      <c r="OWC449" s="741"/>
      <c r="OWD449" s="741"/>
      <c r="OWE449" s="741"/>
      <c r="OWF449" s="741"/>
      <c r="OWG449" s="741"/>
      <c r="OWH449" s="741"/>
      <c r="OWI449" s="741"/>
      <c r="OWJ449" s="741"/>
      <c r="OWK449" s="741"/>
      <c r="OWL449" s="741"/>
      <c r="OWM449" s="741"/>
      <c r="OWN449" s="741"/>
      <c r="OWO449" s="741"/>
      <c r="OWP449" s="741"/>
      <c r="OWQ449" s="741"/>
      <c r="OWR449" s="741"/>
      <c r="OWS449" s="741"/>
      <c r="OWT449" s="741"/>
      <c r="OWU449" s="741"/>
      <c r="OWV449" s="741"/>
      <c r="OWW449" s="741"/>
      <c r="OWX449" s="741"/>
      <c r="OWY449" s="741"/>
      <c r="OWZ449" s="741"/>
      <c r="OXA449" s="741"/>
      <c r="OXB449" s="741"/>
      <c r="OXC449" s="741"/>
      <c r="OXD449" s="741"/>
      <c r="OXE449" s="741"/>
      <c r="OXF449" s="741"/>
      <c r="OXG449" s="741"/>
      <c r="OXH449" s="741"/>
      <c r="OXI449" s="741"/>
      <c r="OXJ449" s="741"/>
      <c r="OXK449" s="741"/>
      <c r="OXL449" s="741"/>
      <c r="OXM449" s="741"/>
      <c r="OXN449" s="741"/>
      <c r="OXO449" s="741"/>
      <c r="OXP449" s="741"/>
      <c r="OXQ449" s="741"/>
      <c r="OXR449" s="741"/>
      <c r="OXS449" s="741"/>
      <c r="OXT449" s="741"/>
      <c r="OXU449" s="741"/>
      <c r="OXV449" s="741"/>
      <c r="OXW449" s="741"/>
      <c r="OXX449" s="741"/>
      <c r="OXY449" s="741"/>
      <c r="OXZ449" s="741"/>
      <c r="OYA449" s="741"/>
      <c r="OYB449" s="741"/>
      <c r="OYC449" s="741"/>
      <c r="OYD449" s="741"/>
      <c r="OYE449" s="741"/>
      <c r="OYF449" s="741"/>
      <c r="OYG449" s="741"/>
      <c r="OYH449" s="741"/>
      <c r="OYI449" s="741"/>
      <c r="OYJ449" s="741"/>
      <c r="OYK449" s="741"/>
      <c r="OYL449" s="741"/>
      <c r="OYM449" s="741"/>
      <c r="OYN449" s="741"/>
      <c r="OYO449" s="741"/>
      <c r="OYP449" s="741"/>
      <c r="OYQ449" s="741"/>
      <c r="OYR449" s="741"/>
      <c r="OYS449" s="741"/>
      <c r="OYT449" s="741"/>
      <c r="OYU449" s="741"/>
      <c r="OYV449" s="741"/>
      <c r="OYW449" s="741"/>
      <c r="OYX449" s="741"/>
      <c r="OYY449" s="741"/>
      <c r="OYZ449" s="741"/>
      <c r="OZA449" s="741"/>
      <c r="OZB449" s="741"/>
      <c r="OZC449" s="741"/>
      <c r="OZD449" s="741"/>
      <c r="OZE449" s="741"/>
      <c r="OZF449" s="741"/>
      <c r="OZG449" s="741"/>
      <c r="OZH449" s="741"/>
      <c r="OZI449" s="741"/>
      <c r="OZJ449" s="741"/>
      <c r="OZK449" s="741"/>
      <c r="OZL449" s="741"/>
      <c r="OZM449" s="741"/>
      <c r="OZN449" s="741"/>
      <c r="OZO449" s="741"/>
      <c r="OZP449" s="741"/>
      <c r="OZQ449" s="741"/>
      <c r="OZR449" s="741"/>
      <c r="OZS449" s="741"/>
      <c r="OZT449" s="741"/>
      <c r="OZU449" s="741"/>
      <c r="OZV449" s="741"/>
      <c r="OZW449" s="741"/>
      <c r="OZX449" s="741"/>
      <c r="OZY449" s="741"/>
      <c r="OZZ449" s="741"/>
      <c r="PAA449" s="741"/>
      <c r="PAB449" s="741"/>
      <c r="PAC449" s="741"/>
      <c r="PAD449" s="741"/>
      <c r="PAE449" s="741"/>
      <c r="PAF449" s="741"/>
      <c r="PAG449" s="741"/>
      <c r="PAH449" s="741"/>
      <c r="PAI449" s="741"/>
      <c r="PAJ449" s="741"/>
      <c r="PAK449" s="741"/>
      <c r="PAL449" s="741"/>
      <c r="PAM449" s="741"/>
      <c r="PAN449" s="741"/>
      <c r="PAO449" s="741"/>
      <c r="PAP449" s="741"/>
      <c r="PAQ449" s="741"/>
      <c r="PAR449" s="741"/>
      <c r="PAS449" s="741"/>
      <c r="PAT449" s="741"/>
      <c r="PAU449" s="741"/>
      <c r="PAV449" s="741"/>
      <c r="PAW449" s="741"/>
      <c r="PAX449" s="741"/>
      <c r="PAY449" s="741"/>
      <c r="PAZ449" s="741"/>
      <c r="PBA449" s="741"/>
      <c r="PBB449" s="741"/>
      <c r="PBC449" s="741"/>
      <c r="PBD449" s="741"/>
      <c r="PBE449" s="741"/>
      <c r="PBF449" s="741"/>
      <c r="PBG449" s="741"/>
      <c r="PBH449" s="741"/>
      <c r="PBI449" s="741"/>
      <c r="PBJ449" s="741"/>
      <c r="PBK449" s="741"/>
      <c r="PBL449" s="741"/>
      <c r="PBM449" s="741"/>
      <c r="PBN449" s="741"/>
      <c r="PBO449" s="741"/>
      <c r="PBP449" s="741"/>
      <c r="PBQ449" s="741"/>
      <c r="PBR449" s="741"/>
      <c r="PBS449" s="741"/>
      <c r="PBT449" s="741"/>
      <c r="PBU449" s="741"/>
      <c r="PBV449" s="741"/>
      <c r="PBW449" s="741"/>
      <c r="PBX449" s="741"/>
      <c r="PBY449" s="741"/>
      <c r="PBZ449" s="741"/>
      <c r="PCA449" s="741"/>
      <c r="PCB449" s="741"/>
      <c r="PCC449" s="741"/>
      <c r="PCD449" s="741"/>
      <c r="PCE449" s="741"/>
      <c r="PCF449" s="741"/>
      <c r="PCG449" s="741"/>
      <c r="PCH449" s="741"/>
      <c r="PCI449" s="741"/>
      <c r="PCJ449" s="741"/>
      <c r="PCK449" s="741"/>
      <c r="PCL449" s="741"/>
      <c r="PCM449" s="741"/>
      <c r="PCN449" s="741"/>
      <c r="PCO449" s="741"/>
      <c r="PCP449" s="741"/>
      <c r="PCQ449" s="741"/>
      <c r="PCR449" s="741"/>
      <c r="PCS449" s="741"/>
      <c r="PCT449" s="741"/>
      <c r="PCU449" s="741"/>
      <c r="PCV449" s="741"/>
      <c r="PCW449" s="741"/>
      <c r="PCX449" s="741"/>
      <c r="PCY449" s="741"/>
      <c r="PCZ449" s="741"/>
      <c r="PDA449" s="741"/>
      <c r="PDB449" s="741"/>
      <c r="PDC449" s="741"/>
      <c r="PDD449" s="741"/>
      <c r="PDE449" s="741"/>
      <c r="PDF449" s="741"/>
      <c r="PDG449" s="741"/>
      <c r="PDH449" s="741"/>
      <c r="PDI449" s="741"/>
      <c r="PDJ449" s="741"/>
      <c r="PDK449" s="741"/>
      <c r="PDL449" s="741"/>
      <c r="PDM449" s="741"/>
      <c r="PDN449" s="741"/>
      <c r="PDO449" s="741"/>
      <c r="PDP449" s="741"/>
      <c r="PDQ449" s="741"/>
      <c r="PDR449" s="741"/>
      <c r="PDS449" s="741"/>
      <c r="PDT449" s="741"/>
      <c r="PDU449" s="741"/>
      <c r="PDV449" s="741"/>
      <c r="PDW449" s="741"/>
      <c r="PDX449" s="741"/>
      <c r="PDY449" s="741"/>
      <c r="PDZ449" s="741"/>
      <c r="PEA449" s="741"/>
      <c r="PEB449" s="741"/>
      <c r="PEC449" s="741"/>
      <c r="PED449" s="741"/>
      <c r="PEE449" s="741"/>
      <c r="PEF449" s="741"/>
      <c r="PEG449" s="741"/>
      <c r="PEH449" s="741"/>
      <c r="PEI449" s="741"/>
      <c r="PEJ449" s="741"/>
      <c r="PEK449" s="741"/>
      <c r="PEL449" s="741"/>
      <c r="PEM449" s="741"/>
      <c r="PEN449" s="741"/>
      <c r="PEO449" s="741"/>
      <c r="PEP449" s="741"/>
      <c r="PEQ449" s="741"/>
      <c r="PER449" s="741"/>
      <c r="PES449" s="741"/>
      <c r="PET449" s="741"/>
      <c r="PEU449" s="741"/>
      <c r="PEV449" s="741"/>
      <c r="PEW449" s="741"/>
      <c r="PEX449" s="741"/>
      <c r="PEY449" s="741"/>
      <c r="PEZ449" s="741"/>
      <c r="PFA449" s="741"/>
      <c r="PFB449" s="741"/>
      <c r="PFC449" s="741"/>
      <c r="PFD449" s="741"/>
      <c r="PFE449" s="741"/>
      <c r="PFF449" s="741"/>
      <c r="PFG449" s="741"/>
      <c r="PFH449" s="741"/>
      <c r="PFI449" s="741"/>
      <c r="PFJ449" s="741"/>
      <c r="PFK449" s="741"/>
      <c r="PFL449" s="741"/>
      <c r="PFM449" s="741"/>
      <c r="PFN449" s="741"/>
      <c r="PFO449" s="741"/>
      <c r="PFP449" s="741"/>
      <c r="PFQ449" s="741"/>
      <c r="PFR449" s="741"/>
      <c r="PFS449" s="741"/>
      <c r="PFT449" s="741"/>
      <c r="PFU449" s="741"/>
      <c r="PFV449" s="741"/>
      <c r="PFW449" s="741"/>
      <c r="PFX449" s="741"/>
      <c r="PFY449" s="741"/>
      <c r="PFZ449" s="741"/>
      <c r="PGA449" s="741"/>
      <c r="PGB449" s="741"/>
      <c r="PGC449" s="741"/>
      <c r="PGD449" s="741"/>
      <c r="PGE449" s="741"/>
      <c r="PGF449" s="741"/>
      <c r="PGG449" s="741"/>
      <c r="PGH449" s="741"/>
      <c r="PGI449" s="741"/>
      <c r="PGJ449" s="741"/>
      <c r="PGK449" s="741"/>
      <c r="PGL449" s="741"/>
      <c r="PGM449" s="741"/>
      <c r="PGN449" s="741"/>
      <c r="PGO449" s="741"/>
      <c r="PGP449" s="741"/>
      <c r="PGQ449" s="741"/>
      <c r="PGR449" s="741"/>
      <c r="PGS449" s="741"/>
      <c r="PGT449" s="741"/>
      <c r="PGU449" s="741"/>
      <c r="PGV449" s="741"/>
      <c r="PGW449" s="741"/>
      <c r="PGX449" s="741"/>
      <c r="PGY449" s="741"/>
      <c r="PGZ449" s="741"/>
      <c r="PHA449" s="741"/>
      <c r="PHB449" s="741"/>
      <c r="PHC449" s="741"/>
      <c r="PHD449" s="741"/>
      <c r="PHE449" s="741"/>
      <c r="PHF449" s="741"/>
      <c r="PHG449" s="741"/>
      <c r="PHH449" s="741"/>
      <c r="PHI449" s="741"/>
      <c r="PHJ449" s="741"/>
      <c r="PHK449" s="741"/>
      <c r="PHL449" s="741"/>
      <c r="PHM449" s="741"/>
      <c r="PHN449" s="741"/>
      <c r="PHO449" s="741"/>
      <c r="PHP449" s="741"/>
      <c r="PHQ449" s="741"/>
      <c r="PHR449" s="741"/>
      <c r="PHS449" s="741"/>
      <c r="PHT449" s="741"/>
      <c r="PHU449" s="741"/>
      <c r="PHV449" s="741"/>
      <c r="PHW449" s="741"/>
      <c r="PHX449" s="741"/>
      <c r="PHY449" s="741"/>
      <c r="PHZ449" s="741"/>
      <c r="PIA449" s="741"/>
      <c r="PIB449" s="741"/>
      <c r="PIC449" s="741"/>
      <c r="PID449" s="741"/>
      <c r="PIE449" s="741"/>
      <c r="PIF449" s="741"/>
      <c r="PIG449" s="741"/>
      <c r="PIH449" s="741"/>
      <c r="PII449" s="741"/>
      <c r="PIJ449" s="741"/>
      <c r="PIK449" s="741"/>
      <c r="PIL449" s="741"/>
      <c r="PIM449" s="741"/>
      <c r="PIN449" s="741"/>
      <c r="PIO449" s="741"/>
      <c r="PIP449" s="741"/>
      <c r="PIQ449" s="741"/>
      <c r="PIR449" s="741"/>
      <c r="PIS449" s="741"/>
      <c r="PIT449" s="741"/>
      <c r="PIU449" s="741"/>
      <c r="PIV449" s="741"/>
      <c r="PIW449" s="741"/>
      <c r="PIX449" s="741"/>
      <c r="PIY449" s="741"/>
      <c r="PIZ449" s="741"/>
      <c r="PJA449" s="741"/>
      <c r="PJB449" s="741"/>
      <c r="PJC449" s="741"/>
      <c r="PJD449" s="741"/>
      <c r="PJE449" s="741"/>
      <c r="PJF449" s="741"/>
      <c r="PJG449" s="741"/>
      <c r="PJH449" s="741"/>
      <c r="PJI449" s="741"/>
      <c r="PJJ449" s="741"/>
      <c r="PJK449" s="741"/>
      <c r="PJL449" s="741"/>
      <c r="PJM449" s="741"/>
      <c r="PJN449" s="741"/>
      <c r="PJO449" s="741"/>
      <c r="PJP449" s="741"/>
      <c r="PJQ449" s="741"/>
      <c r="PJR449" s="741"/>
      <c r="PJS449" s="741"/>
      <c r="PJT449" s="741"/>
      <c r="PJU449" s="741"/>
      <c r="PJV449" s="741"/>
      <c r="PJW449" s="741"/>
      <c r="PJX449" s="741"/>
      <c r="PJY449" s="741"/>
      <c r="PJZ449" s="741"/>
      <c r="PKA449" s="741"/>
      <c r="PKB449" s="741"/>
      <c r="PKC449" s="741"/>
      <c r="PKD449" s="741"/>
      <c r="PKE449" s="741"/>
      <c r="PKF449" s="741"/>
      <c r="PKG449" s="741"/>
      <c r="PKH449" s="741"/>
      <c r="PKI449" s="741"/>
      <c r="PKJ449" s="741"/>
      <c r="PKK449" s="741"/>
      <c r="PKL449" s="741"/>
      <c r="PKM449" s="741"/>
      <c r="PKN449" s="741"/>
      <c r="PKO449" s="741"/>
      <c r="PKP449" s="741"/>
      <c r="PKQ449" s="741"/>
      <c r="PKR449" s="741"/>
      <c r="PKS449" s="741"/>
      <c r="PKT449" s="741"/>
      <c r="PKU449" s="741"/>
      <c r="PKV449" s="741"/>
      <c r="PKW449" s="741"/>
      <c r="PKX449" s="741"/>
      <c r="PKY449" s="741"/>
      <c r="PKZ449" s="741"/>
      <c r="PLA449" s="741"/>
      <c r="PLB449" s="741"/>
      <c r="PLC449" s="741"/>
      <c r="PLD449" s="741"/>
      <c r="PLE449" s="741"/>
      <c r="PLF449" s="741"/>
      <c r="PLG449" s="741"/>
      <c r="PLH449" s="741"/>
      <c r="PLI449" s="741"/>
      <c r="PLJ449" s="741"/>
      <c r="PLK449" s="741"/>
      <c r="PLL449" s="741"/>
      <c r="PLM449" s="741"/>
      <c r="PLN449" s="741"/>
      <c r="PLO449" s="741"/>
      <c r="PLP449" s="741"/>
      <c r="PLQ449" s="741"/>
      <c r="PLR449" s="741"/>
      <c r="PLS449" s="741"/>
      <c r="PLT449" s="741"/>
      <c r="PLU449" s="741"/>
      <c r="PLV449" s="741"/>
      <c r="PLW449" s="741"/>
      <c r="PLX449" s="741"/>
      <c r="PLY449" s="741"/>
      <c r="PLZ449" s="741"/>
      <c r="PMA449" s="741"/>
      <c r="PMB449" s="741"/>
      <c r="PMC449" s="741"/>
      <c r="PMD449" s="741"/>
      <c r="PME449" s="741"/>
      <c r="PMF449" s="741"/>
      <c r="PMG449" s="741"/>
      <c r="PMH449" s="741"/>
      <c r="PMI449" s="741"/>
      <c r="PMJ449" s="741"/>
      <c r="PMK449" s="741"/>
      <c r="PML449" s="741"/>
      <c r="PMM449" s="741"/>
      <c r="PMN449" s="741"/>
      <c r="PMO449" s="741"/>
      <c r="PMP449" s="741"/>
      <c r="PMQ449" s="741"/>
      <c r="PMR449" s="741"/>
      <c r="PMS449" s="741"/>
      <c r="PMT449" s="741"/>
      <c r="PMU449" s="741"/>
      <c r="PMV449" s="741"/>
      <c r="PMW449" s="741"/>
      <c r="PMX449" s="741"/>
      <c r="PMY449" s="741"/>
      <c r="PMZ449" s="741"/>
      <c r="PNA449" s="741"/>
      <c r="PNB449" s="741"/>
      <c r="PNC449" s="741"/>
      <c r="PND449" s="741"/>
      <c r="PNE449" s="741"/>
      <c r="PNF449" s="741"/>
      <c r="PNG449" s="741"/>
      <c r="PNH449" s="741"/>
      <c r="PNI449" s="741"/>
      <c r="PNJ449" s="741"/>
      <c r="PNK449" s="741"/>
      <c r="PNL449" s="741"/>
      <c r="PNM449" s="741"/>
      <c r="PNN449" s="741"/>
      <c r="PNO449" s="741"/>
      <c r="PNP449" s="741"/>
      <c r="PNQ449" s="741"/>
      <c r="PNR449" s="741"/>
      <c r="PNS449" s="741"/>
      <c r="PNT449" s="741"/>
      <c r="PNU449" s="741"/>
      <c r="PNV449" s="741"/>
      <c r="PNW449" s="741"/>
      <c r="PNX449" s="741"/>
      <c r="PNY449" s="741"/>
      <c r="PNZ449" s="741"/>
      <c r="POA449" s="741"/>
      <c r="POB449" s="741"/>
      <c r="POC449" s="741"/>
      <c r="POD449" s="741"/>
      <c r="POE449" s="741"/>
      <c r="POF449" s="741"/>
      <c r="POG449" s="741"/>
      <c r="POH449" s="741"/>
      <c r="POI449" s="741"/>
      <c r="POJ449" s="741"/>
      <c r="POK449" s="741"/>
      <c r="POL449" s="741"/>
      <c r="POM449" s="741"/>
      <c r="PON449" s="741"/>
      <c r="POO449" s="741"/>
      <c r="POP449" s="741"/>
      <c r="POQ449" s="741"/>
      <c r="POR449" s="741"/>
      <c r="POS449" s="741"/>
      <c r="POT449" s="741"/>
      <c r="POU449" s="741"/>
      <c r="POV449" s="741"/>
      <c r="POW449" s="741"/>
      <c r="POX449" s="741"/>
      <c r="POY449" s="741"/>
      <c r="POZ449" s="741"/>
      <c r="PPA449" s="741"/>
      <c r="PPB449" s="741"/>
      <c r="PPC449" s="741"/>
      <c r="PPD449" s="741"/>
      <c r="PPE449" s="741"/>
      <c r="PPF449" s="741"/>
      <c r="PPG449" s="741"/>
      <c r="PPH449" s="741"/>
      <c r="PPI449" s="741"/>
      <c r="PPJ449" s="741"/>
      <c r="PPK449" s="741"/>
      <c r="PPL449" s="741"/>
      <c r="PPM449" s="741"/>
      <c r="PPN449" s="741"/>
      <c r="PPO449" s="741"/>
      <c r="PPP449" s="741"/>
      <c r="PPQ449" s="741"/>
      <c r="PPR449" s="741"/>
      <c r="PPS449" s="741"/>
      <c r="PPT449" s="741"/>
      <c r="PPU449" s="741"/>
      <c r="PPV449" s="741"/>
      <c r="PPW449" s="741"/>
      <c r="PPX449" s="741"/>
      <c r="PPY449" s="741"/>
      <c r="PPZ449" s="741"/>
      <c r="PQA449" s="741"/>
      <c r="PQB449" s="741"/>
      <c r="PQC449" s="741"/>
      <c r="PQD449" s="741"/>
      <c r="PQE449" s="741"/>
      <c r="PQF449" s="741"/>
      <c r="PQG449" s="741"/>
      <c r="PQH449" s="741"/>
      <c r="PQI449" s="741"/>
      <c r="PQJ449" s="741"/>
      <c r="PQK449" s="741"/>
      <c r="PQL449" s="741"/>
      <c r="PQM449" s="741"/>
      <c r="PQN449" s="741"/>
      <c r="PQO449" s="741"/>
      <c r="PQP449" s="741"/>
      <c r="PQQ449" s="741"/>
      <c r="PQR449" s="741"/>
      <c r="PQS449" s="741"/>
      <c r="PQT449" s="741"/>
      <c r="PQU449" s="741"/>
      <c r="PQV449" s="741"/>
      <c r="PQW449" s="741"/>
      <c r="PQX449" s="741"/>
      <c r="PQY449" s="741"/>
      <c r="PQZ449" s="741"/>
      <c r="PRA449" s="741"/>
      <c r="PRB449" s="741"/>
      <c r="PRC449" s="741"/>
      <c r="PRD449" s="741"/>
      <c r="PRE449" s="741"/>
      <c r="PRF449" s="741"/>
      <c r="PRG449" s="741"/>
      <c r="PRH449" s="741"/>
      <c r="PRI449" s="741"/>
      <c r="PRJ449" s="741"/>
      <c r="PRK449" s="741"/>
      <c r="PRL449" s="741"/>
      <c r="PRM449" s="741"/>
      <c r="PRN449" s="741"/>
      <c r="PRO449" s="741"/>
      <c r="PRP449" s="741"/>
      <c r="PRQ449" s="741"/>
      <c r="PRR449" s="741"/>
      <c r="PRS449" s="741"/>
      <c r="PRT449" s="741"/>
      <c r="PRU449" s="741"/>
      <c r="PRV449" s="741"/>
      <c r="PRW449" s="741"/>
      <c r="PRX449" s="741"/>
      <c r="PRY449" s="741"/>
      <c r="PRZ449" s="741"/>
      <c r="PSA449" s="741"/>
      <c r="PSB449" s="741"/>
      <c r="PSC449" s="741"/>
      <c r="PSD449" s="741"/>
      <c r="PSE449" s="741"/>
      <c r="PSF449" s="741"/>
      <c r="PSG449" s="741"/>
      <c r="PSH449" s="741"/>
      <c r="PSI449" s="741"/>
      <c r="PSJ449" s="741"/>
      <c r="PSK449" s="741"/>
      <c r="PSL449" s="741"/>
      <c r="PSM449" s="741"/>
      <c r="PSN449" s="741"/>
      <c r="PSO449" s="741"/>
      <c r="PSP449" s="741"/>
      <c r="PSQ449" s="741"/>
      <c r="PSR449" s="741"/>
      <c r="PSS449" s="741"/>
      <c r="PST449" s="741"/>
      <c r="PSU449" s="741"/>
      <c r="PSV449" s="741"/>
      <c r="PSW449" s="741"/>
      <c r="PSX449" s="741"/>
      <c r="PSY449" s="741"/>
      <c r="PSZ449" s="741"/>
      <c r="PTA449" s="741"/>
      <c r="PTB449" s="741"/>
      <c r="PTC449" s="741"/>
      <c r="PTD449" s="741"/>
      <c r="PTE449" s="741"/>
      <c r="PTF449" s="741"/>
      <c r="PTG449" s="741"/>
      <c r="PTH449" s="741"/>
      <c r="PTI449" s="741"/>
      <c r="PTJ449" s="741"/>
      <c r="PTK449" s="741"/>
      <c r="PTL449" s="741"/>
      <c r="PTM449" s="741"/>
      <c r="PTN449" s="741"/>
      <c r="PTO449" s="741"/>
      <c r="PTP449" s="741"/>
      <c r="PTQ449" s="741"/>
      <c r="PTR449" s="741"/>
      <c r="PTS449" s="741"/>
      <c r="PTT449" s="741"/>
      <c r="PTU449" s="741"/>
      <c r="PTV449" s="741"/>
      <c r="PTW449" s="741"/>
      <c r="PTX449" s="741"/>
      <c r="PTY449" s="741"/>
      <c r="PTZ449" s="741"/>
      <c r="PUA449" s="741"/>
      <c r="PUB449" s="741"/>
      <c r="PUC449" s="741"/>
      <c r="PUD449" s="741"/>
      <c r="PUE449" s="741"/>
      <c r="PUF449" s="741"/>
      <c r="PUG449" s="741"/>
      <c r="PUH449" s="741"/>
      <c r="PUI449" s="741"/>
      <c r="PUJ449" s="741"/>
      <c r="PUK449" s="741"/>
      <c r="PUL449" s="741"/>
      <c r="PUM449" s="741"/>
      <c r="PUN449" s="741"/>
      <c r="PUO449" s="741"/>
      <c r="PUP449" s="741"/>
      <c r="PUQ449" s="741"/>
      <c r="PUR449" s="741"/>
      <c r="PUS449" s="741"/>
      <c r="PUT449" s="741"/>
      <c r="PUU449" s="741"/>
      <c r="PUV449" s="741"/>
      <c r="PUW449" s="741"/>
      <c r="PUX449" s="741"/>
      <c r="PUY449" s="741"/>
      <c r="PUZ449" s="741"/>
      <c r="PVA449" s="741"/>
      <c r="PVB449" s="741"/>
      <c r="PVC449" s="741"/>
      <c r="PVD449" s="741"/>
      <c r="PVE449" s="741"/>
      <c r="PVF449" s="741"/>
      <c r="PVG449" s="741"/>
      <c r="PVH449" s="741"/>
      <c r="PVI449" s="741"/>
      <c r="PVJ449" s="741"/>
      <c r="PVK449" s="741"/>
      <c r="PVL449" s="741"/>
      <c r="PVM449" s="741"/>
      <c r="PVN449" s="741"/>
      <c r="PVO449" s="741"/>
      <c r="PVP449" s="741"/>
      <c r="PVQ449" s="741"/>
      <c r="PVR449" s="741"/>
      <c r="PVS449" s="741"/>
      <c r="PVT449" s="741"/>
      <c r="PVU449" s="741"/>
      <c r="PVV449" s="741"/>
      <c r="PVW449" s="741"/>
      <c r="PVX449" s="741"/>
      <c r="PVY449" s="741"/>
      <c r="PVZ449" s="741"/>
      <c r="PWA449" s="741"/>
      <c r="PWB449" s="741"/>
      <c r="PWC449" s="741"/>
      <c r="PWD449" s="741"/>
      <c r="PWE449" s="741"/>
      <c r="PWF449" s="741"/>
      <c r="PWG449" s="741"/>
      <c r="PWH449" s="741"/>
      <c r="PWI449" s="741"/>
      <c r="PWJ449" s="741"/>
      <c r="PWK449" s="741"/>
      <c r="PWL449" s="741"/>
      <c r="PWM449" s="741"/>
      <c r="PWN449" s="741"/>
      <c r="PWO449" s="741"/>
      <c r="PWP449" s="741"/>
      <c r="PWQ449" s="741"/>
      <c r="PWR449" s="741"/>
      <c r="PWS449" s="741"/>
      <c r="PWT449" s="741"/>
      <c r="PWU449" s="741"/>
      <c r="PWV449" s="741"/>
      <c r="PWW449" s="741"/>
      <c r="PWX449" s="741"/>
      <c r="PWY449" s="741"/>
      <c r="PWZ449" s="741"/>
      <c r="PXA449" s="741"/>
      <c r="PXB449" s="741"/>
      <c r="PXC449" s="741"/>
      <c r="PXD449" s="741"/>
      <c r="PXE449" s="741"/>
      <c r="PXF449" s="741"/>
      <c r="PXG449" s="741"/>
      <c r="PXH449" s="741"/>
      <c r="PXI449" s="741"/>
      <c r="PXJ449" s="741"/>
      <c r="PXK449" s="741"/>
      <c r="PXL449" s="741"/>
      <c r="PXM449" s="741"/>
      <c r="PXN449" s="741"/>
      <c r="PXO449" s="741"/>
      <c r="PXP449" s="741"/>
      <c r="PXQ449" s="741"/>
      <c r="PXR449" s="741"/>
      <c r="PXS449" s="741"/>
      <c r="PXT449" s="741"/>
      <c r="PXU449" s="741"/>
      <c r="PXV449" s="741"/>
      <c r="PXW449" s="741"/>
      <c r="PXX449" s="741"/>
      <c r="PXY449" s="741"/>
      <c r="PXZ449" s="741"/>
      <c r="PYA449" s="741"/>
      <c r="PYB449" s="741"/>
      <c r="PYC449" s="741"/>
      <c r="PYD449" s="741"/>
      <c r="PYE449" s="741"/>
      <c r="PYF449" s="741"/>
      <c r="PYG449" s="741"/>
      <c r="PYH449" s="741"/>
      <c r="PYI449" s="741"/>
      <c r="PYJ449" s="741"/>
      <c r="PYK449" s="741"/>
      <c r="PYL449" s="741"/>
      <c r="PYM449" s="741"/>
      <c r="PYN449" s="741"/>
      <c r="PYO449" s="741"/>
      <c r="PYP449" s="741"/>
      <c r="PYQ449" s="741"/>
      <c r="PYR449" s="741"/>
      <c r="PYS449" s="741"/>
      <c r="PYT449" s="741"/>
      <c r="PYU449" s="741"/>
      <c r="PYV449" s="741"/>
      <c r="PYW449" s="741"/>
      <c r="PYX449" s="741"/>
      <c r="PYY449" s="741"/>
      <c r="PYZ449" s="741"/>
      <c r="PZA449" s="741"/>
      <c r="PZB449" s="741"/>
      <c r="PZC449" s="741"/>
      <c r="PZD449" s="741"/>
      <c r="PZE449" s="741"/>
      <c r="PZF449" s="741"/>
      <c r="PZG449" s="741"/>
      <c r="PZH449" s="741"/>
      <c r="PZI449" s="741"/>
      <c r="PZJ449" s="741"/>
      <c r="PZK449" s="741"/>
      <c r="PZL449" s="741"/>
      <c r="PZM449" s="741"/>
      <c r="PZN449" s="741"/>
      <c r="PZO449" s="741"/>
      <c r="PZP449" s="741"/>
      <c r="PZQ449" s="741"/>
      <c r="PZR449" s="741"/>
      <c r="PZS449" s="741"/>
      <c r="PZT449" s="741"/>
      <c r="PZU449" s="741"/>
      <c r="PZV449" s="741"/>
      <c r="PZW449" s="741"/>
      <c r="PZX449" s="741"/>
      <c r="PZY449" s="741"/>
      <c r="PZZ449" s="741"/>
      <c r="QAA449" s="741"/>
      <c r="QAB449" s="741"/>
      <c r="QAC449" s="741"/>
      <c r="QAD449" s="741"/>
      <c r="QAE449" s="741"/>
      <c r="QAF449" s="741"/>
      <c r="QAG449" s="741"/>
      <c r="QAH449" s="741"/>
      <c r="QAI449" s="741"/>
      <c r="QAJ449" s="741"/>
      <c r="QAK449" s="741"/>
      <c r="QAL449" s="741"/>
      <c r="QAM449" s="741"/>
      <c r="QAN449" s="741"/>
      <c r="QAO449" s="741"/>
      <c r="QAP449" s="741"/>
      <c r="QAQ449" s="741"/>
      <c r="QAR449" s="741"/>
      <c r="QAS449" s="741"/>
      <c r="QAT449" s="741"/>
      <c r="QAU449" s="741"/>
      <c r="QAV449" s="741"/>
      <c r="QAW449" s="741"/>
      <c r="QAX449" s="741"/>
      <c r="QAY449" s="741"/>
      <c r="QAZ449" s="741"/>
      <c r="QBA449" s="741"/>
      <c r="QBB449" s="741"/>
      <c r="QBC449" s="741"/>
      <c r="QBD449" s="741"/>
      <c r="QBE449" s="741"/>
      <c r="QBF449" s="741"/>
      <c r="QBG449" s="741"/>
      <c r="QBH449" s="741"/>
      <c r="QBI449" s="741"/>
      <c r="QBJ449" s="741"/>
      <c r="QBK449" s="741"/>
      <c r="QBL449" s="741"/>
      <c r="QBM449" s="741"/>
      <c r="QBN449" s="741"/>
      <c r="QBO449" s="741"/>
      <c r="QBP449" s="741"/>
      <c r="QBQ449" s="741"/>
      <c r="QBR449" s="741"/>
      <c r="QBS449" s="741"/>
      <c r="QBT449" s="741"/>
      <c r="QBU449" s="741"/>
      <c r="QBV449" s="741"/>
      <c r="QBW449" s="741"/>
      <c r="QBX449" s="741"/>
      <c r="QBY449" s="741"/>
      <c r="QBZ449" s="741"/>
      <c r="QCA449" s="741"/>
      <c r="QCB449" s="741"/>
      <c r="QCC449" s="741"/>
      <c r="QCD449" s="741"/>
      <c r="QCE449" s="741"/>
      <c r="QCF449" s="741"/>
      <c r="QCG449" s="741"/>
      <c r="QCH449" s="741"/>
      <c r="QCI449" s="741"/>
      <c r="QCJ449" s="741"/>
      <c r="QCK449" s="741"/>
      <c r="QCL449" s="741"/>
      <c r="QCM449" s="741"/>
      <c r="QCN449" s="741"/>
      <c r="QCO449" s="741"/>
      <c r="QCP449" s="741"/>
      <c r="QCQ449" s="741"/>
      <c r="QCR449" s="741"/>
      <c r="QCS449" s="741"/>
      <c r="QCT449" s="741"/>
      <c r="QCU449" s="741"/>
      <c r="QCV449" s="741"/>
      <c r="QCW449" s="741"/>
      <c r="QCX449" s="741"/>
      <c r="QCY449" s="741"/>
      <c r="QCZ449" s="741"/>
      <c r="QDA449" s="741"/>
      <c r="QDB449" s="741"/>
      <c r="QDC449" s="741"/>
      <c r="QDD449" s="741"/>
      <c r="QDE449" s="741"/>
      <c r="QDF449" s="741"/>
      <c r="QDG449" s="741"/>
      <c r="QDH449" s="741"/>
      <c r="QDI449" s="741"/>
      <c r="QDJ449" s="741"/>
      <c r="QDK449" s="741"/>
      <c r="QDL449" s="741"/>
      <c r="QDM449" s="741"/>
      <c r="QDN449" s="741"/>
      <c r="QDO449" s="741"/>
      <c r="QDP449" s="741"/>
      <c r="QDQ449" s="741"/>
      <c r="QDR449" s="741"/>
      <c r="QDS449" s="741"/>
      <c r="QDT449" s="741"/>
      <c r="QDU449" s="741"/>
      <c r="QDV449" s="741"/>
      <c r="QDW449" s="741"/>
      <c r="QDX449" s="741"/>
      <c r="QDY449" s="741"/>
      <c r="QDZ449" s="741"/>
      <c r="QEA449" s="741"/>
      <c r="QEB449" s="741"/>
      <c r="QEC449" s="741"/>
      <c r="QED449" s="741"/>
      <c r="QEE449" s="741"/>
      <c r="QEF449" s="741"/>
      <c r="QEG449" s="741"/>
      <c r="QEH449" s="741"/>
      <c r="QEI449" s="741"/>
      <c r="QEJ449" s="741"/>
      <c r="QEK449" s="741"/>
      <c r="QEL449" s="741"/>
      <c r="QEM449" s="741"/>
      <c r="QEN449" s="741"/>
      <c r="QEO449" s="741"/>
      <c r="QEP449" s="741"/>
      <c r="QEQ449" s="741"/>
      <c r="QER449" s="741"/>
      <c r="QES449" s="741"/>
      <c r="QET449" s="741"/>
      <c r="QEU449" s="741"/>
      <c r="QEV449" s="741"/>
      <c r="QEW449" s="741"/>
      <c r="QEX449" s="741"/>
      <c r="QEY449" s="741"/>
      <c r="QEZ449" s="741"/>
      <c r="QFA449" s="741"/>
      <c r="QFB449" s="741"/>
      <c r="QFC449" s="741"/>
      <c r="QFD449" s="741"/>
      <c r="QFE449" s="741"/>
      <c r="QFF449" s="741"/>
      <c r="QFG449" s="741"/>
      <c r="QFH449" s="741"/>
      <c r="QFI449" s="741"/>
      <c r="QFJ449" s="741"/>
      <c r="QFK449" s="741"/>
      <c r="QFL449" s="741"/>
      <c r="QFM449" s="741"/>
      <c r="QFN449" s="741"/>
      <c r="QFO449" s="741"/>
      <c r="QFP449" s="741"/>
      <c r="QFQ449" s="741"/>
      <c r="QFR449" s="741"/>
      <c r="QFS449" s="741"/>
      <c r="QFT449" s="741"/>
      <c r="QFU449" s="741"/>
      <c r="QFV449" s="741"/>
      <c r="QFW449" s="741"/>
      <c r="QFX449" s="741"/>
      <c r="QFY449" s="741"/>
      <c r="QFZ449" s="741"/>
      <c r="QGA449" s="741"/>
      <c r="QGB449" s="741"/>
      <c r="QGC449" s="741"/>
      <c r="QGD449" s="741"/>
      <c r="QGE449" s="741"/>
      <c r="QGF449" s="741"/>
      <c r="QGG449" s="741"/>
      <c r="QGH449" s="741"/>
      <c r="QGI449" s="741"/>
      <c r="QGJ449" s="741"/>
      <c r="QGK449" s="741"/>
      <c r="QGL449" s="741"/>
      <c r="QGM449" s="741"/>
      <c r="QGN449" s="741"/>
      <c r="QGO449" s="741"/>
      <c r="QGP449" s="741"/>
      <c r="QGQ449" s="741"/>
      <c r="QGR449" s="741"/>
      <c r="QGS449" s="741"/>
      <c r="QGT449" s="741"/>
      <c r="QGU449" s="741"/>
      <c r="QGV449" s="741"/>
      <c r="QGW449" s="741"/>
      <c r="QGX449" s="741"/>
      <c r="QGY449" s="741"/>
      <c r="QGZ449" s="741"/>
      <c r="QHA449" s="741"/>
      <c r="QHB449" s="741"/>
      <c r="QHC449" s="741"/>
      <c r="QHD449" s="741"/>
      <c r="QHE449" s="741"/>
      <c r="QHF449" s="741"/>
      <c r="QHG449" s="741"/>
      <c r="QHH449" s="741"/>
      <c r="QHI449" s="741"/>
      <c r="QHJ449" s="741"/>
      <c r="QHK449" s="741"/>
      <c r="QHL449" s="741"/>
      <c r="QHM449" s="741"/>
      <c r="QHN449" s="741"/>
      <c r="QHO449" s="741"/>
      <c r="QHP449" s="741"/>
      <c r="QHQ449" s="741"/>
      <c r="QHR449" s="741"/>
      <c r="QHS449" s="741"/>
      <c r="QHT449" s="741"/>
      <c r="QHU449" s="741"/>
      <c r="QHV449" s="741"/>
      <c r="QHW449" s="741"/>
      <c r="QHX449" s="741"/>
      <c r="QHY449" s="741"/>
      <c r="QHZ449" s="741"/>
      <c r="QIA449" s="741"/>
      <c r="QIB449" s="741"/>
      <c r="QIC449" s="741"/>
      <c r="QID449" s="741"/>
      <c r="QIE449" s="741"/>
      <c r="QIF449" s="741"/>
      <c r="QIG449" s="741"/>
      <c r="QIH449" s="741"/>
      <c r="QII449" s="741"/>
      <c r="QIJ449" s="741"/>
      <c r="QIK449" s="741"/>
      <c r="QIL449" s="741"/>
      <c r="QIM449" s="741"/>
      <c r="QIN449" s="741"/>
      <c r="QIO449" s="741"/>
      <c r="QIP449" s="741"/>
      <c r="QIQ449" s="741"/>
      <c r="QIR449" s="741"/>
      <c r="QIS449" s="741"/>
      <c r="QIT449" s="741"/>
      <c r="QIU449" s="741"/>
      <c r="QIV449" s="741"/>
      <c r="QIW449" s="741"/>
      <c r="QIX449" s="741"/>
      <c r="QIY449" s="741"/>
      <c r="QIZ449" s="741"/>
      <c r="QJA449" s="741"/>
      <c r="QJB449" s="741"/>
      <c r="QJC449" s="741"/>
      <c r="QJD449" s="741"/>
      <c r="QJE449" s="741"/>
      <c r="QJF449" s="741"/>
      <c r="QJG449" s="741"/>
      <c r="QJH449" s="741"/>
      <c r="QJI449" s="741"/>
      <c r="QJJ449" s="741"/>
      <c r="QJK449" s="741"/>
      <c r="QJL449" s="741"/>
      <c r="QJM449" s="741"/>
      <c r="QJN449" s="741"/>
      <c r="QJO449" s="741"/>
      <c r="QJP449" s="741"/>
      <c r="QJQ449" s="741"/>
      <c r="QJR449" s="741"/>
      <c r="QJS449" s="741"/>
      <c r="QJT449" s="741"/>
      <c r="QJU449" s="741"/>
      <c r="QJV449" s="741"/>
      <c r="QJW449" s="741"/>
      <c r="QJX449" s="741"/>
      <c r="QJY449" s="741"/>
      <c r="QJZ449" s="741"/>
      <c r="QKA449" s="741"/>
      <c r="QKB449" s="741"/>
      <c r="QKC449" s="741"/>
      <c r="QKD449" s="741"/>
      <c r="QKE449" s="741"/>
      <c r="QKF449" s="741"/>
      <c r="QKG449" s="741"/>
      <c r="QKH449" s="741"/>
      <c r="QKI449" s="741"/>
      <c r="QKJ449" s="741"/>
      <c r="QKK449" s="741"/>
      <c r="QKL449" s="741"/>
      <c r="QKM449" s="741"/>
      <c r="QKN449" s="741"/>
      <c r="QKO449" s="741"/>
      <c r="QKP449" s="741"/>
      <c r="QKQ449" s="741"/>
      <c r="QKR449" s="741"/>
      <c r="QKS449" s="741"/>
      <c r="QKT449" s="741"/>
      <c r="QKU449" s="741"/>
      <c r="QKV449" s="741"/>
      <c r="QKW449" s="741"/>
      <c r="QKX449" s="741"/>
      <c r="QKY449" s="741"/>
      <c r="QKZ449" s="741"/>
      <c r="QLA449" s="741"/>
      <c r="QLB449" s="741"/>
      <c r="QLC449" s="741"/>
      <c r="QLD449" s="741"/>
      <c r="QLE449" s="741"/>
      <c r="QLF449" s="741"/>
      <c r="QLG449" s="741"/>
      <c r="QLH449" s="741"/>
      <c r="QLI449" s="741"/>
      <c r="QLJ449" s="741"/>
      <c r="QLK449" s="741"/>
      <c r="QLL449" s="741"/>
      <c r="QLM449" s="741"/>
      <c r="QLN449" s="741"/>
      <c r="QLO449" s="741"/>
      <c r="QLP449" s="741"/>
      <c r="QLQ449" s="741"/>
      <c r="QLR449" s="741"/>
      <c r="QLS449" s="741"/>
      <c r="QLT449" s="741"/>
      <c r="QLU449" s="741"/>
      <c r="QLV449" s="741"/>
      <c r="QLW449" s="741"/>
      <c r="QLX449" s="741"/>
      <c r="QLY449" s="741"/>
      <c r="QLZ449" s="741"/>
      <c r="QMA449" s="741"/>
      <c r="QMB449" s="741"/>
      <c r="QMC449" s="741"/>
      <c r="QMD449" s="741"/>
      <c r="QME449" s="741"/>
      <c r="QMF449" s="741"/>
      <c r="QMG449" s="741"/>
      <c r="QMH449" s="741"/>
      <c r="QMI449" s="741"/>
      <c r="QMJ449" s="741"/>
      <c r="QMK449" s="741"/>
      <c r="QML449" s="741"/>
      <c r="QMM449" s="741"/>
      <c r="QMN449" s="741"/>
      <c r="QMO449" s="741"/>
      <c r="QMP449" s="741"/>
      <c r="QMQ449" s="741"/>
      <c r="QMR449" s="741"/>
      <c r="QMS449" s="741"/>
      <c r="QMT449" s="741"/>
      <c r="QMU449" s="741"/>
      <c r="QMV449" s="741"/>
      <c r="QMW449" s="741"/>
      <c r="QMX449" s="741"/>
      <c r="QMY449" s="741"/>
      <c r="QMZ449" s="741"/>
      <c r="QNA449" s="741"/>
      <c r="QNB449" s="741"/>
      <c r="QNC449" s="741"/>
      <c r="QND449" s="741"/>
      <c r="QNE449" s="741"/>
      <c r="QNF449" s="741"/>
      <c r="QNG449" s="741"/>
      <c r="QNH449" s="741"/>
      <c r="QNI449" s="741"/>
      <c r="QNJ449" s="741"/>
      <c r="QNK449" s="741"/>
      <c r="QNL449" s="741"/>
      <c r="QNM449" s="741"/>
      <c r="QNN449" s="741"/>
      <c r="QNO449" s="741"/>
      <c r="QNP449" s="741"/>
      <c r="QNQ449" s="741"/>
      <c r="QNR449" s="741"/>
      <c r="QNS449" s="741"/>
      <c r="QNT449" s="741"/>
      <c r="QNU449" s="741"/>
      <c r="QNV449" s="741"/>
      <c r="QNW449" s="741"/>
      <c r="QNX449" s="741"/>
      <c r="QNY449" s="741"/>
      <c r="QNZ449" s="741"/>
      <c r="QOA449" s="741"/>
      <c r="QOB449" s="741"/>
      <c r="QOC449" s="741"/>
      <c r="QOD449" s="741"/>
      <c r="QOE449" s="741"/>
      <c r="QOF449" s="741"/>
      <c r="QOG449" s="741"/>
      <c r="QOH449" s="741"/>
      <c r="QOI449" s="741"/>
      <c r="QOJ449" s="741"/>
      <c r="QOK449" s="741"/>
      <c r="QOL449" s="741"/>
      <c r="QOM449" s="741"/>
      <c r="QON449" s="741"/>
      <c r="QOO449" s="741"/>
      <c r="QOP449" s="741"/>
      <c r="QOQ449" s="741"/>
      <c r="QOR449" s="741"/>
      <c r="QOS449" s="741"/>
      <c r="QOT449" s="741"/>
      <c r="QOU449" s="741"/>
      <c r="QOV449" s="741"/>
      <c r="QOW449" s="741"/>
      <c r="QOX449" s="741"/>
      <c r="QOY449" s="741"/>
      <c r="QOZ449" s="741"/>
      <c r="QPA449" s="741"/>
      <c r="QPB449" s="741"/>
      <c r="QPC449" s="741"/>
      <c r="QPD449" s="741"/>
      <c r="QPE449" s="741"/>
      <c r="QPF449" s="741"/>
      <c r="QPG449" s="741"/>
      <c r="QPH449" s="741"/>
      <c r="QPI449" s="741"/>
      <c r="QPJ449" s="741"/>
      <c r="QPK449" s="741"/>
      <c r="QPL449" s="741"/>
      <c r="QPM449" s="741"/>
      <c r="QPN449" s="741"/>
      <c r="QPO449" s="741"/>
      <c r="QPP449" s="741"/>
      <c r="QPQ449" s="741"/>
      <c r="QPR449" s="741"/>
      <c r="QPS449" s="741"/>
      <c r="QPT449" s="741"/>
      <c r="QPU449" s="741"/>
      <c r="QPV449" s="741"/>
      <c r="QPW449" s="741"/>
      <c r="QPX449" s="741"/>
      <c r="QPY449" s="741"/>
      <c r="QPZ449" s="741"/>
      <c r="QQA449" s="741"/>
      <c r="QQB449" s="741"/>
      <c r="QQC449" s="741"/>
      <c r="QQD449" s="741"/>
      <c r="QQE449" s="741"/>
      <c r="QQF449" s="741"/>
      <c r="QQG449" s="741"/>
      <c r="QQH449" s="741"/>
      <c r="QQI449" s="741"/>
      <c r="QQJ449" s="741"/>
      <c r="QQK449" s="741"/>
      <c r="QQL449" s="741"/>
      <c r="QQM449" s="741"/>
      <c r="QQN449" s="741"/>
      <c r="QQO449" s="741"/>
      <c r="QQP449" s="741"/>
      <c r="QQQ449" s="741"/>
      <c r="QQR449" s="741"/>
      <c r="QQS449" s="741"/>
      <c r="QQT449" s="741"/>
      <c r="QQU449" s="741"/>
      <c r="QQV449" s="741"/>
      <c r="QQW449" s="741"/>
      <c r="QQX449" s="741"/>
      <c r="QQY449" s="741"/>
      <c r="QQZ449" s="741"/>
      <c r="QRA449" s="741"/>
      <c r="QRB449" s="741"/>
      <c r="QRC449" s="741"/>
      <c r="QRD449" s="741"/>
      <c r="QRE449" s="741"/>
      <c r="QRF449" s="741"/>
      <c r="QRG449" s="741"/>
      <c r="QRH449" s="741"/>
      <c r="QRI449" s="741"/>
      <c r="QRJ449" s="741"/>
      <c r="QRK449" s="741"/>
      <c r="QRL449" s="741"/>
      <c r="QRM449" s="741"/>
      <c r="QRN449" s="741"/>
      <c r="QRO449" s="741"/>
      <c r="QRP449" s="741"/>
      <c r="QRQ449" s="741"/>
      <c r="QRR449" s="741"/>
      <c r="QRS449" s="741"/>
      <c r="QRT449" s="741"/>
      <c r="QRU449" s="741"/>
      <c r="QRV449" s="741"/>
      <c r="QRW449" s="741"/>
      <c r="QRX449" s="741"/>
      <c r="QRY449" s="741"/>
      <c r="QRZ449" s="741"/>
      <c r="QSA449" s="741"/>
      <c r="QSB449" s="741"/>
      <c r="QSC449" s="741"/>
      <c r="QSD449" s="741"/>
      <c r="QSE449" s="741"/>
      <c r="QSF449" s="741"/>
      <c r="QSG449" s="741"/>
      <c r="QSH449" s="741"/>
      <c r="QSI449" s="741"/>
      <c r="QSJ449" s="741"/>
      <c r="QSK449" s="741"/>
      <c r="QSL449" s="741"/>
      <c r="QSM449" s="741"/>
      <c r="QSN449" s="741"/>
      <c r="QSO449" s="741"/>
      <c r="QSP449" s="741"/>
      <c r="QSQ449" s="741"/>
      <c r="QSR449" s="741"/>
      <c r="QSS449" s="741"/>
      <c r="QST449" s="741"/>
      <c r="QSU449" s="741"/>
      <c r="QSV449" s="741"/>
      <c r="QSW449" s="741"/>
      <c r="QSX449" s="741"/>
      <c r="QSY449" s="741"/>
      <c r="QSZ449" s="741"/>
      <c r="QTA449" s="741"/>
      <c r="QTB449" s="741"/>
      <c r="QTC449" s="741"/>
      <c r="QTD449" s="741"/>
      <c r="QTE449" s="741"/>
      <c r="QTF449" s="741"/>
      <c r="QTG449" s="741"/>
      <c r="QTH449" s="741"/>
      <c r="QTI449" s="741"/>
      <c r="QTJ449" s="741"/>
      <c r="QTK449" s="741"/>
      <c r="QTL449" s="741"/>
      <c r="QTM449" s="741"/>
      <c r="QTN449" s="741"/>
      <c r="QTO449" s="741"/>
      <c r="QTP449" s="741"/>
      <c r="QTQ449" s="741"/>
      <c r="QTR449" s="741"/>
      <c r="QTS449" s="741"/>
      <c r="QTT449" s="741"/>
      <c r="QTU449" s="741"/>
      <c r="QTV449" s="741"/>
      <c r="QTW449" s="741"/>
      <c r="QTX449" s="741"/>
      <c r="QTY449" s="741"/>
      <c r="QTZ449" s="741"/>
      <c r="QUA449" s="741"/>
      <c r="QUB449" s="741"/>
      <c r="QUC449" s="741"/>
      <c r="QUD449" s="741"/>
      <c r="QUE449" s="741"/>
      <c r="QUF449" s="741"/>
      <c r="QUG449" s="741"/>
      <c r="QUH449" s="741"/>
      <c r="QUI449" s="741"/>
      <c r="QUJ449" s="741"/>
      <c r="QUK449" s="741"/>
      <c r="QUL449" s="741"/>
      <c r="QUM449" s="741"/>
      <c r="QUN449" s="741"/>
      <c r="QUO449" s="741"/>
      <c r="QUP449" s="741"/>
      <c r="QUQ449" s="741"/>
      <c r="QUR449" s="741"/>
      <c r="QUS449" s="741"/>
      <c r="QUT449" s="741"/>
      <c r="QUU449" s="741"/>
      <c r="QUV449" s="741"/>
      <c r="QUW449" s="741"/>
      <c r="QUX449" s="741"/>
      <c r="QUY449" s="741"/>
      <c r="QUZ449" s="741"/>
      <c r="QVA449" s="741"/>
      <c r="QVB449" s="741"/>
      <c r="QVC449" s="741"/>
      <c r="QVD449" s="741"/>
      <c r="QVE449" s="741"/>
      <c r="QVF449" s="741"/>
      <c r="QVG449" s="741"/>
      <c r="QVH449" s="741"/>
      <c r="QVI449" s="741"/>
      <c r="QVJ449" s="741"/>
      <c r="QVK449" s="741"/>
      <c r="QVL449" s="741"/>
      <c r="QVM449" s="741"/>
      <c r="QVN449" s="741"/>
      <c r="QVO449" s="741"/>
      <c r="QVP449" s="741"/>
      <c r="QVQ449" s="741"/>
      <c r="QVR449" s="741"/>
      <c r="QVS449" s="741"/>
      <c r="QVT449" s="741"/>
      <c r="QVU449" s="741"/>
      <c r="QVV449" s="741"/>
      <c r="QVW449" s="741"/>
      <c r="QVX449" s="741"/>
      <c r="QVY449" s="741"/>
      <c r="QVZ449" s="741"/>
      <c r="QWA449" s="741"/>
      <c r="QWB449" s="741"/>
      <c r="QWC449" s="741"/>
      <c r="QWD449" s="741"/>
      <c r="QWE449" s="741"/>
      <c r="QWF449" s="741"/>
      <c r="QWG449" s="741"/>
      <c r="QWH449" s="741"/>
      <c r="QWI449" s="741"/>
      <c r="QWJ449" s="741"/>
      <c r="QWK449" s="741"/>
      <c r="QWL449" s="741"/>
      <c r="QWM449" s="741"/>
      <c r="QWN449" s="741"/>
      <c r="QWO449" s="741"/>
      <c r="QWP449" s="741"/>
      <c r="QWQ449" s="741"/>
      <c r="QWR449" s="741"/>
      <c r="QWS449" s="741"/>
      <c r="QWT449" s="741"/>
      <c r="QWU449" s="741"/>
      <c r="QWV449" s="741"/>
      <c r="QWW449" s="741"/>
      <c r="QWX449" s="741"/>
      <c r="QWY449" s="741"/>
      <c r="QWZ449" s="741"/>
      <c r="QXA449" s="741"/>
      <c r="QXB449" s="741"/>
      <c r="QXC449" s="741"/>
      <c r="QXD449" s="741"/>
      <c r="QXE449" s="741"/>
      <c r="QXF449" s="741"/>
      <c r="QXG449" s="741"/>
      <c r="QXH449" s="741"/>
      <c r="QXI449" s="741"/>
      <c r="QXJ449" s="741"/>
      <c r="QXK449" s="741"/>
      <c r="QXL449" s="741"/>
      <c r="QXM449" s="741"/>
      <c r="QXN449" s="741"/>
      <c r="QXO449" s="741"/>
      <c r="QXP449" s="741"/>
      <c r="QXQ449" s="741"/>
      <c r="QXR449" s="741"/>
      <c r="QXS449" s="741"/>
      <c r="QXT449" s="741"/>
      <c r="QXU449" s="741"/>
      <c r="QXV449" s="741"/>
      <c r="QXW449" s="741"/>
      <c r="QXX449" s="741"/>
      <c r="QXY449" s="741"/>
      <c r="QXZ449" s="741"/>
      <c r="QYA449" s="741"/>
      <c r="QYB449" s="741"/>
      <c r="QYC449" s="741"/>
      <c r="QYD449" s="741"/>
      <c r="QYE449" s="741"/>
      <c r="QYF449" s="741"/>
      <c r="QYG449" s="741"/>
      <c r="QYH449" s="741"/>
      <c r="QYI449" s="741"/>
      <c r="QYJ449" s="741"/>
      <c r="QYK449" s="741"/>
      <c r="QYL449" s="741"/>
      <c r="QYM449" s="741"/>
      <c r="QYN449" s="741"/>
      <c r="QYO449" s="741"/>
      <c r="QYP449" s="741"/>
      <c r="QYQ449" s="741"/>
      <c r="QYR449" s="741"/>
      <c r="QYS449" s="741"/>
      <c r="QYT449" s="741"/>
      <c r="QYU449" s="741"/>
      <c r="QYV449" s="741"/>
      <c r="QYW449" s="741"/>
      <c r="QYX449" s="741"/>
      <c r="QYY449" s="741"/>
      <c r="QYZ449" s="741"/>
      <c r="QZA449" s="741"/>
      <c r="QZB449" s="741"/>
      <c r="QZC449" s="741"/>
      <c r="QZD449" s="741"/>
      <c r="QZE449" s="741"/>
      <c r="QZF449" s="741"/>
      <c r="QZG449" s="741"/>
      <c r="QZH449" s="741"/>
      <c r="QZI449" s="741"/>
      <c r="QZJ449" s="741"/>
      <c r="QZK449" s="741"/>
      <c r="QZL449" s="741"/>
      <c r="QZM449" s="741"/>
      <c r="QZN449" s="741"/>
      <c r="QZO449" s="741"/>
      <c r="QZP449" s="741"/>
      <c r="QZQ449" s="741"/>
      <c r="QZR449" s="741"/>
      <c r="QZS449" s="741"/>
      <c r="QZT449" s="741"/>
      <c r="QZU449" s="741"/>
      <c r="QZV449" s="741"/>
      <c r="QZW449" s="741"/>
      <c r="QZX449" s="741"/>
      <c r="QZY449" s="741"/>
      <c r="QZZ449" s="741"/>
      <c r="RAA449" s="741"/>
      <c r="RAB449" s="741"/>
      <c r="RAC449" s="741"/>
      <c r="RAD449" s="741"/>
      <c r="RAE449" s="741"/>
      <c r="RAF449" s="741"/>
      <c r="RAG449" s="741"/>
      <c r="RAH449" s="741"/>
      <c r="RAI449" s="741"/>
      <c r="RAJ449" s="741"/>
      <c r="RAK449" s="741"/>
      <c r="RAL449" s="741"/>
      <c r="RAM449" s="741"/>
      <c r="RAN449" s="741"/>
      <c r="RAO449" s="741"/>
      <c r="RAP449" s="741"/>
      <c r="RAQ449" s="741"/>
      <c r="RAR449" s="741"/>
      <c r="RAS449" s="741"/>
      <c r="RAT449" s="741"/>
      <c r="RAU449" s="741"/>
      <c r="RAV449" s="741"/>
      <c r="RAW449" s="741"/>
      <c r="RAX449" s="741"/>
      <c r="RAY449" s="741"/>
      <c r="RAZ449" s="741"/>
      <c r="RBA449" s="741"/>
      <c r="RBB449" s="741"/>
      <c r="RBC449" s="741"/>
      <c r="RBD449" s="741"/>
      <c r="RBE449" s="741"/>
      <c r="RBF449" s="741"/>
      <c r="RBG449" s="741"/>
      <c r="RBH449" s="741"/>
      <c r="RBI449" s="741"/>
      <c r="RBJ449" s="741"/>
      <c r="RBK449" s="741"/>
      <c r="RBL449" s="741"/>
      <c r="RBM449" s="741"/>
      <c r="RBN449" s="741"/>
      <c r="RBO449" s="741"/>
      <c r="RBP449" s="741"/>
      <c r="RBQ449" s="741"/>
      <c r="RBR449" s="741"/>
      <c r="RBS449" s="741"/>
      <c r="RBT449" s="741"/>
      <c r="RBU449" s="741"/>
      <c r="RBV449" s="741"/>
      <c r="RBW449" s="741"/>
      <c r="RBX449" s="741"/>
      <c r="RBY449" s="741"/>
      <c r="RBZ449" s="741"/>
      <c r="RCA449" s="741"/>
      <c r="RCB449" s="741"/>
      <c r="RCC449" s="741"/>
      <c r="RCD449" s="741"/>
      <c r="RCE449" s="741"/>
      <c r="RCF449" s="741"/>
      <c r="RCG449" s="741"/>
      <c r="RCH449" s="741"/>
      <c r="RCI449" s="741"/>
      <c r="RCJ449" s="741"/>
      <c r="RCK449" s="741"/>
      <c r="RCL449" s="741"/>
      <c r="RCM449" s="741"/>
      <c r="RCN449" s="741"/>
      <c r="RCO449" s="741"/>
      <c r="RCP449" s="741"/>
      <c r="RCQ449" s="741"/>
      <c r="RCR449" s="741"/>
      <c r="RCS449" s="741"/>
      <c r="RCT449" s="741"/>
      <c r="RCU449" s="741"/>
      <c r="RCV449" s="741"/>
      <c r="RCW449" s="741"/>
      <c r="RCX449" s="741"/>
      <c r="RCY449" s="741"/>
      <c r="RCZ449" s="741"/>
      <c r="RDA449" s="741"/>
      <c r="RDB449" s="741"/>
      <c r="RDC449" s="741"/>
      <c r="RDD449" s="741"/>
      <c r="RDE449" s="741"/>
      <c r="RDF449" s="741"/>
      <c r="RDG449" s="741"/>
      <c r="RDH449" s="741"/>
      <c r="RDI449" s="741"/>
      <c r="RDJ449" s="741"/>
      <c r="RDK449" s="741"/>
      <c r="RDL449" s="741"/>
      <c r="RDM449" s="741"/>
      <c r="RDN449" s="741"/>
      <c r="RDO449" s="741"/>
      <c r="RDP449" s="741"/>
      <c r="RDQ449" s="741"/>
      <c r="RDR449" s="741"/>
      <c r="RDS449" s="741"/>
      <c r="RDT449" s="741"/>
      <c r="RDU449" s="741"/>
      <c r="RDV449" s="741"/>
      <c r="RDW449" s="741"/>
      <c r="RDX449" s="741"/>
      <c r="RDY449" s="741"/>
      <c r="RDZ449" s="741"/>
      <c r="REA449" s="741"/>
      <c r="REB449" s="741"/>
      <c r="REC449" s="741"/>
      <c r="RED449" s="741"/>
      <c r="REE449" s="741"/>
      <c r="REF449" s="741"/>
      <c r="REG449" s="741"/>
      <c r="REH449" s="741"/>
      <c r="REI449" s="741"/>
      <c r="REJ449" s="741"/>
      <c r="REK449" s="741"/>
      <c r="REL449" s="741"/>
      <c r="REM449" s="741"/>
      <c r="REN449" s="741"/>
      <c r="REO449" s="741"/>
      <c r="REP449" s="741"/>
      <c r="REQ449" s="741"/>
      <c r="RER449" s="741"/>
      <c r="RES449" s="741"/>
      <c r="RET449" s="741"/>
      <c r="REU449" s="741"/>
      <c r="REV449" s="741"/>
      <c r="REW449" s="741"/>
      <c r="REX449" s="741"/>
      <c r="REY449" s="741"/>
      <c r="REZ449" s="741"/>
      <c r="RFA449" s="741"/>
      <c r="RFB449" s="741"/>
      <c r="RFC449" s="741"/>
      <c r="RFD449" s="741"/>
      <c r="RFE449" s="741"/>
      <c r="RFF449" s="741"/>
      <c r="RFG449" s="741"/>
      <c r="RFH449" s="741"/>
      <c r="RFI449" s="741"/>
      <c r="RFJ449" s="741"/>
      <c r="RFK449" s="741"/>
      <c r="RFL449" s="741"/>
      <c r="RFM449" s="741"/>
      <c r="RFN449" s="741"/>
      <c r="RFO449" s="741"/>
      <c r="RFP449" s="741"/>
      <c r="RFQ449" s="741"/>
      <c r="RFR449" s="741"/>
      <c r="RFS449" s="741"/>
      <c r="RFT449" s="741"/>
      <c r="RFU449" s="741"/>
      <c r="RFV449" s="741"/>
      <c r="RFW449" s="741"/>
      <c r="RFX449" s="741"/>
      <c r="RFY449" s="741"/>
      <c r="RFZ449" s="741"/>
      <c r="RGA449" s="741"/>
      <c r="RGB449" s="741"/>
      <c r="RGC449" s="741"/>
      <c r="RGD449" s="741"/>
      <c r="RGE449" s="741"/>
      <c r="RGF449" s="741"/>
      <c r="RGG449" s="741"/>
      <c r="RGH449" s="741"/>
      <c r="RGI449" s="741"/>
      <c r="RGJ449" s="741"/>
      <c r="RGK449" s="741"/>
      <c r="RGL449" s="741"/>
      <c r="RGM449" s="741"/>
      <c r="RGN449" s="741"/>
      <c r="RGO449" s="741"/>
      <c r="RGP449" s="741"/>
      <c r="RGQ449" s="741"/>
      <c r="RGR449" s="741"/>
      <c r="RGS449" s="741"/>
      <c r="RGT449" s="741"/>
      <c r="RGU449" s="741"/>
      <c r="RGV449" s="741"/>
      <c r="RGW449" s="741"/>
      <c r="RGX449" s="741"/>
      <c r="RGY449" s="741"/>
      <c r="RGZ449" s="741"/>
      <c r="RHA449" s="741"/>
      <c r="RHB449" s="741"/>
      <c r="RHC449" s="741"/>
      <c r="RHD449" s="741"/>
      <c r="RHE449" s="741"/>
      <c r="RHF449" s="741"/>
      <c r="RHG449" s="741"/>
      <c r="RHH449" s="741"/>
      <c r="RHI449" s="741"/>
      <c r="RHJ449" s="741"/>
      <c r="RHK449" s="741"/>
      <c r="RHL449" s="741"/>
      <c r="RHM449" s="741"/>
      <c r="RHN449" s="741"/>
      <c r="RHO449" s="741"/>
      <c r="RHP449" s="741"/>
      <c r="RHQ449" s="741"/>
      <c r="RHR449" s="741"/>
      <c r="RHS449" s="741"/>
      <c r="RHT449" s="741"/>
      <c r="RHU449" s="741"/>
      <c r="RHV449" s="741"/>
      <c r="RHW449" s="741"/>
      <c r="RHX449" s="741"/>
      <c r="RHY449" s="741"/>
      <c r="RHZ449" s="741"/>
      <c r="RIA449" s="741"/>
      <c r="RIB449" s="741"/>
      <c r="RIC449" s="741"/>
      <c r="RID449" s="741"/>
      <c r="RIE449" s="741"/>
      <c r="RIF449" s="741"/>
      <c r="RIG449" s="741"/>
      <c r="RIH449" s="741"/>
      <c r="RII449" s="741"/>
      <c r="RIJ449" s="741"/>
      <c r="RIK449" s="741"/>
      <c r="RIL449" s="741"/>
      <c r="RIM449" s="741"/>
      <c r="RIN449" s="741"/>
      <c r="RIO449" s="741"/>
      <c r="RIP449" s="741"/>
      <c r="RIQ449" s="741"/>
      <c r="RIR449" s="741"/>
      <c r="RIS449" s="741"/>
      <c r="RIT449" s="741"/>
      <c r="RIU449" s="741"/>
      <c r="RIV449" s="741"/>
      <c r="RIW449" s="741"/>
      <c r="RIX449" s="741"/>
      <c r="RIY449" s="741"/>
      <c r="RIZ449" s="741"/>
      <c r="RJA449" s="741"/>
      <c r="RJB449" s="741"/>
      <c r="RJC449" s="741"/>
      <c r="RJD449" s="741"/>
      <c r="RJE449" s="741"/>
      <c r="RJF449" s="741"/>
      <c r="RJG449" s="741"/>
      <c r="RJH449" s="741"/>
      <c r="RJI449" s="741"/>
      <c r="RJJ449" s="741"/>
      <c r="RJK449" s="741"/>
      <c r="RJL449" s="741"/>
      <c r="RJM449" s="741"/>
      <c r="RJN449" s="741"/>
      <c r="RJO449" s="741"/>
      <c r="RJP449" s="741"/>
      <c r="RJQ449" s="741"/>
      <c r="RJR449" s="741"/>
      <c r="RJS449" s="741"/>
      <c r="RJT449" s="741"/>
      <c r="RJU449" s="741"/>
      <c r="RJV449" s="741"/>
      <c r="RJW449" s="741"/>
      <c r="RJX449" s="741"/>
      <c r="RJY449" s="741"/>
      <c r="RJZ449" s="741"/>
      <c r="RKA449" s="741"/>
      <c r="RKB449" s="741"/>
      <c r="RKC449" s="741"/>
      <c r="RKD449" s="741"/>
      <c r="RKE449" s="741"/>
      <c r="RKF449" s="741"/>
      <c r="RKG449" s="741"/>
      <c r="RKH449" s="741"/>
      <c r="RKI449" s="741"/>
      <c r="RKJ449" s="741"/>
      <c r="RKK449" s="741"/>
      <c r="RKL449" s="741"/>
      <c r="RKM449" s="741"/>
      <c r="RKN449" s="741"/>
      <c r="RKO449" s="741"/>
      <c r="RKP449" s="741"/>
      <c r="RKQ449" s="741"/>
      <c r="RKR449" s="741"/>
      <c r="RKS449" s="741"/>
      <c r="RKT449" s="741"/>
      <c r="RKU449" s="741"/>
      <c r="RKV449" s="741"/>
      <c r="RKW449" s="741"/>
      <c r="RKX449" s="741"/>
      <c r="RKY449" s="741"/>
      <c r="RKZ449" s="741"/>
      <c r="RLA449" s="741"/>
      <c r="RLB449" s="741"/>
      <c r="RLC449" s="741"/>
      <c r="RLD449" s="741"/>
      <c r="RLE449" s="741"/>
      <c r="RLF449" s="741"/>
      <c r="RLG449" s="741"/>
      <c r="RLH449" s="741"/>
      <c r="RLI449" s="741"/>
      <c r="RLJ449" s="741"/>
      <c r="RLK449" s="741"/>
      <c r="RLL449" s="741"/>
      <c r="RLM449" s="741"/>
      <c r="RLN449" s="741"/>
      <c r="RLO449" s="741"/>
      <c r="RLP449" s="741"/>
      <c r="RLQ449" s="741"/>
      <c r="RLR449" s="741"/>
      <c r="RLS449" s="741"/>
      <c r="RLT449" s="741"/>
      <c r="RLU449" s="741"/>
      <c r="RLV449" s="741"/>
      <c r="RLW449" s="741"/>
      <c r="RLX449" s="741"/>
      <c r="RLY449" s="741"/>
      <c r="RLZ449" s="741"/>
      <c r="RMA449" s="741"/>
      <c r="RMB449" s="741"/>
      <c r="RMC449" s="741"/>
      <c r="RMD449" s="741"/>
      <c r="RME449" s="741"/>
      <c r="RMF449" s="741"/>
      <c r="RMG449" s="741"/>
      <c r="RMH449" s="741"/>
      <c r="RMI449" s="741"/>
      <c r="RMJ449" s="741"/>
      <c r="RMK449" s="741"/>
      <c r="RML449" s="741"/>
      <c r="RMM449" s="741"/>
      <c r="RMN449" s="741"/>
      <c r="RMO449" s="741"/>
      <c r="RMP449" s="741"/>
      <c r="RMQ449" s="741"/>
      <c r="RMR449" s="741"/>
      <c r="RMS449" s="741"/>
      <c r="RMT449" s="741"/>
      <c r="RMU449" s="741"/>
      <c r="RMV449" s="741"/>
      <c r="RMW449" s="741"/>
      <c r="RMX449" s="741"/>
      <c r="RMY449" s="741"/>
      <c r="RMZ449" s="741"/>
      <c r="RNA449" s="741"/>
      <c r="RNB449" s="741"/>
      <c r="RNC449" s="741"/>
      <c r="RND449" s="741"/>
      <c r="RNE449" s="741"/>
      <c r="RNF449" s="741"/>
      <c r="RNG449" s="741"/>
      <c r="RNH449" s="741"/>
      <c r="RNI449" s="741"/>
      <c r="RNJ449" s="741"/>
      <c r="RNK449" s="741"/>
      <c r="RNL449" s="741"/>
      <c r="RNM449" s="741"/>
      <c r="RNN449" s="741"/>
      <c r="RNO449" s="741"/>
      <c r="RNP449" s="741"/>
      <c r="RNQ449" s="741"/>
      <c r="RNR449" s="741"/>
      <c r="RNS449" s="741"/>
      <c r="RNT449" s="741"/>
      <c r="RNU449" s="741"/>
      <c r="RNV449" s="741"/>
      <c r="RNW449" s="741"/>
      <c r="RNX449" s="741"/>
      <c r="RNY449" s="741"/>
      <c r="RNZ449" s="741"/>
      <c r="ROA449" s="741"/>
      <c r="ROB449" s="741"/>
      <c r="ROC449" s="741"/>
      <c r="ROD449" s="741"/>
      <c r="ROE449" s="741"/>
      <c r="ROF449" s="741"/>
      <c r="ROG449" s="741"/>
      <c r="ROH449" s="741"/>
      <c r="ROI449" s="741"/>
      <c r="ROJ449" s="741"/>
      <c r="ROK449" s="741"/>
      <c r="ROL449" s="741"/>
      <c r="ROM449" s="741"/>
      <c r="RON449" s="741"/>
      <c r="ROO449" s="741"/>
      <c r="ROP449" s="741"/>
      <c r="ROQ449" s="741"/>
      <c r="ROR449" s="741"/>
      <c r="ROS449" s="741"/>
      <c r="ROT449" s="741"/>
      <c r="ROU449" s="741"/>
      <c r="ROV449" s="741"/>
      <c r="ROW449" s="741"/>
      <c r="ROX449" s="741"/>
      <c r="ROY449" s="741"/>
      <c r="ROZ449" s="741"/>
      <c r="RPA449" s="741"/>
      <c r="RPB449" s="741"/>
      <c r="RPC449" s="741"/>
      <c r="RPD449" s="741"/>
      <c r="RPE449" s="741"/>
      <c r="RPF449" s="741"/>
      <c r="RPG449" s="741"/>
      <c r="RPH449" s="741"/>
      <c r="RPI449" s="741"/>
      <c r="RPJ449" s="741"/>
      <c r="RPK449" s="741"/>
      <c r="RPL449" s="741"/>
      <c r="RPM449" s="741"/>
      <c r="RPN449" s="741"/>
      <c r="RPO449" s="741"/>
      <c r="RPP449" s="741"/>
      <c r="RPQ449" s="741"/>
      <c r="RPR449" s="741"/>
      <c r="RPS449" s="741"/>
      <c r="RPT449" s="741"/>
      <c r="RPU449" s="741"/>
      <c r="RPV449" s="741"/>
      <c r="RPW449" s="741"/>
      <c r="RPX449" s="741"/>
      <c r="RPY449" s="741"/>
      <c r="RPZ449" s="741"/>
      <c r="RQA449" s="741"/>
      <c r="RQB449" s="741"/>
      <c r="RQC449" s="741"/>
      <c r="RQD449" s="741"/>
      <c r="RQE449" s="741"/>
      <c r="RQF449" s="741"/>
      <c r="RQG449" s="741"/>
      <c r="RQH449" s="741"/>
      <c r="RQI449" s="741"/>
      <c r="RQJ449" s="741"/>
      <c r="RQK449" s="741"/>
      <c r="RQL449" s="741"/>
      <c r="RQM449" s="741"/>
      <c r="RQN449" s="741"/>
      <c r="RQO449" s="741"/>
      <c r="RQP449" s="741"/>
      <c r="RQQ449" s="741"/>
      <c r="RQR449" s="741"/>
      <c r="RQS449" s="741"/>
      <c r="RQT449" s="741"/>
      <c r="RQU449" s="741"/>
      <c r="RQV449" s="741"/>
      <c r="RQW449" s="741"/>
      <c r="RQX449" s="741"/>
      <c r="RQY449" s="741"/>
      <c r="RQZ449" s="741"/>
      <c r="RRA449" s="741"/>
      <c r="RRB449" s="741"/>
      <c r="RRC449" s="741"/>
      <c r="RRD449" s="741"/>
      <c r="RRE449" s="741"/>
      <c r="RRF449" s="741"/>
      <c r="RRG449" s="741"/>
      <c r="RRH449" s="741"/>
      <c r="RRI449" s="741"/>
      <c r="RRJ449" s="741"/>
      <c r="RRK449" s="741"/>
      <c r="RRL449" s="741"/>
      <c r="RRM449" s="741"/>
      <c r="RRN449" s="741"/>
      <c r="RRO449" s="741"/>
      <c r="RRP449" s="741"/>
      <c r="RRQ449" s="741"/>
      <c r="RRR449" s="741"/>
      <c r="RRS449" s="741"/>
      <c r="RRT449" s="741"/>
      <c r="RRU449" s="741"/>
      <c r="RRV449" s="741"/>
      <c r="RRW449" s="741"/>
      <c r="RRX449" s="741"/>
      <c r="RRY449" s="741"/>
      <c r="RRZ449" s="741"/>
      <c r="RSA449" s="741"/>
      <c r="RSB449" s="741"/>
      <c r="RSC449" s="741"/>
      <c r="RSD449" s="741"/>
      <c r="RSE449" s="741"/>
      <c r="RSF449" s="741"/>
      <c r="RSG449" s="741"/>
      <c r="RSH449" s="741"/>
      <c r="RSI449" s="741"/>
      <c r="RSJ449" s="741"/>
      <c r="RSK449" s="741"/>
      <c r="RSL449" s="741"/>
      <c r="RSM449" s="741"/>
      <c r="RSN449" s="741"/>
      <c r="RSO449" s="741"/>
      <c r="RSP449" s="741"/>
      <c r="RSQ449" s="741"/>
      <c r="RSR449" s="741"/>
      <c r="RSS449" s="741"/>
      <c r="RST449" s="741"/>
      <c r="RSU449" s="741"/>
      <c r="RSV449" s="741"/>
      <c r="RSW449" s="741"/>
      <c r="RSX449" s="741"/>
      <c r="RSY449" s="741"/>
      <c r="RSZ449" s="741"/>
      <c r="RTA449" s="741"/>
      <c r="RTB449" s="741"/>
      <c r="RTC449" s="741"/>
      <c r="RTD449" s="741"/>
      <c r="RTE449" s="741"/>
      <c r="RTF449" s="741"/>
      <c r="RTG449" s="741"/>
      <c r="RTH449" s="741"/>
      <c r="RTI449" s="741"/>
      <c r="RTJ449" s="741"/>
      <c r="RTK449" s="741"/>
      <c r="RTL449" s="741"/>
      <c r="RTM449" s="741"/>
      <c r="RTN449" s="741"/>
      <c r="RTO449" s="741"/>
      <c r="RTP449" s="741"/>
      <c r="RTQ449" s="741"/>
      <c r="RTR449" s="741"/>
      <c r="RTS449" s="741"/>
      <c r="RTT449" s="741"/>
      <c r="RTU449" s="741"/>
      <c r="RTV449" s="741"/>
      <c r="RTW449" s="741"/>
      <c r="RTX449" s="741"/>
      <c r="RTY449" s="741"/>
      <c r="RTZ449" s="741"/>
      <c r="RUA449" s="741"/>
      <c r="RUB449" s="741"/>
      <c r="RUC449" s="741"/>
      <c r="RUD449" s="741"/>
      <c r="RUE449" s="741"/>
      <c r="RUF449" s="741"/>
      <c r="RUG449" s="741"/>
      <c r="RUH449" s="741"/>
      <c r="RUI449" s="741"/>
      <c r="RUJ449" s="741"/>
      <c r="RUK449" s="741"/>
      <c r="RUL449" s="741"/>
      <c r="RUM449" s="741"/>
      <c r="RUN449" s="741"/>
      <c r="RUO449" s="741"/>
      <c r="RUP449" s="741"/>
      <c r="RUQ449" s="741"/>
      <c r="RUR449" s="741"/>
      <c r="RUS449" s="741"/>
      <c r="RUT449" s="741"/>
      <c r="RUU449" s="741"/>
      <c r="RUV449" s="741"/>
      <c r="RUW449" s="741"/>
      <c r="RUX449" s="741"/>
      <c r="RUY449" s="741"/>
      <c r="RUZ449" s="741"/>
      <c r="RVA449" s="741"/>
      <c r="RVB449" s="741"/>
      <c r="RVC449" s="741"/>
      <c r="RVD449" s="741"/>
      <c r="RVE449" s="741"/>
      <c r="RVF449" s="741"/>
      <c r="RVG449" s="741"/>
      <c r="RVH449" s="741"/>
      <c r="RVI449" s="741"/>
      <c r="RVJ449" s="741"/>
      <c r="RVK449" s="741"/>
      <c r="RVL449" s="741"/>
      <c r="RVM449" s="741"/>
      <c r="RVN449" s="741"/>
      <c r="RVO449" s="741"/>
      <c r="RVP449" s="741"/>
      <c r="RVQ449" s="741"/>
      <c r="RVR449" s="741"/>
      <c r="RVS449" s="741"/>
      <c r="RVT449" s="741"/>
      <c r="RVU449" s="741"/>
      <c r="RVV449" s="741"/>
      <c r="RVW449" s="741"/>
      <c r="RVX449" s="741"/>
      <c r="RVY449" s="741"/>
      <c r="RVZ449" s="741"/>
      <c r="RWA449" s="741"/>
      <c r="RWB449" s="741"/>
      <c r="RWC449" s="741"/>
      <c r="RWD449" s="741"/>
      <c r="RWE449" s="741"/>
      <c r="RWF449" s="741"/>
      <c r="RWG449" s="741"/>
      <c r="RWH449" s="741"/>
      <c r="RWI449" s="741"/>
      <c r="RWJ449" s="741"/>
      <c r="RWK449" s="741"/>
      <c r="RWL449" s="741"/>
      <c r="RWM449" s="741"/>
      <c r="RWN449" s="741"/>
      <c r="RWO449" s="741"/>
      <c r="RWP449" s="741"/>
      <c r="RWQ449" s="741"/>
      <c r="RWR449" s="741"/>
      <c r="RWS449" s="741"/>
      <c r="RWT449" s="741"/>
      <c r="RWU449" s="741"/>
      <c r="RWV449" s="741"/>
      <c r="RWW449" s="741"/>
      <c r="RWX449" s="741"/>
      <c r="RWY449" s="741"/>
      <c r="RWZ449" s="741"/>
      <c r="RXA449" s="741"/>
      <c r="RXB449" s="741"/>
      <c r="RXC449" s="741"/>
      <c r="RXD449" s="741"/>
      <c r="RXE449" s="741"/>
      <c r="RXF449" s="741"/>
      <c r="RXG449" s="741"/>
      <c r="RXH449" s="741"/>
      <c r="RXI449" s="741"/>
      <c r="RXJ449" s="741"/>
      <c r="RXK449" s="741"/>
      <c r="RXL449" s="741"/>
      <c r="RXM449" s="741"/>
      <c r="RXN449" s="741"/>
      <c r="RXO449" s="741"/>
      <c r="RXP449" s="741"/>
      <c r="RXQ449" s="741"/>
      <c r="RXR449" s="741"/>
      <c r="RXS449" s="741"/>
      <c r="RXT449" s="741"/>
      <c r="RXU449" s="741"/>
      <c r="RXV449" s="741"/>
      <c r="RXW449" s="741"/>
      <c r="RXX449" s="741"/>
      <c r="RXY449" s="741"/>
      <c r="RXZ449" s="741"/>
      <c r="RYA449" s="741"/>
      <c r="RYB449" s="741"/>
      <c r="RYC449" s="741"/>
      <c r="RYD449" s="741"/>
      <c r="RYE449" s="741"/>
      <c r="RYF449" s="741"/>
      <c r="RYG449" s="741"/>
      <c r="RYH449" s="741"/>
      <c r="RYI449" s="741"/>
      <c r="RYJ449" s="741"/>
      <c r="RYK449" s="741"/>
      <c r="RYL449" s="741"/>
      <c r="RYM449" s="741"/>
      <c r="RYN449" s="741"/>
      <c r="RYO449" s="741"/>
      <c r="RYP449" s="741"/>
      <c r="RYQ449" s="741"/>
      <c r="RYR449" s="741"/>
      <c r="RYS449" s="741"/>
      <c r="RYT449" s="741"/>
      <c r="RYU449" s="741"/>
      <c r="RYV449" s="741"/>
      <c r="RYW449" s="741"/>
      <c r="RYX449" s="741"/>
      <c r="RYY449" s="741"/>
      <c r="RYZ449" s="741"/>
      <c r="RZA449" s="741"/>
      <c r="RZB449" s="741"/>
      <c r="RZC449" s="741"/>
      <c r="RZD449" s="741"/>
      <c r="RZE449" s="741"/>
      <c r="RZF449" s="741"/>
      <c r="RZG449" s="741"/>
      <c r="RZH449" s="741"/>
      <c r="RZI449" s="741"/>
      <c r="RZJ449" s="741"/>
      <c r="RZK449" s="741"/>
      <c r="RZL449" s="741"/>
      <c r="RZM449" s="741"/>
      <c r="RZN449" s="741"/>
      <c r="RZO449" s="741"/>
      <c r="RZP449" s="741"/>
      <c r="RZQ449" s="741"/>
      <c r="RZR449" s="741"/>
      <c r="RZS449" s="741"/>
      <c r="RZT449" s="741"/>
      <c r="RZU449" s="741"/>
      <c r="RZV449" s="741"/>
      <c r="RZW449" s="741"/>
      <c r="RZX449" s="741"/>
      <c r="RZY449" s="741"/>
      <c r="RZZ449" s="741"/>
      <c r="SAA449" s="741"/>
      <c r="SAB449" s="741"/>
      <c r="SAC449" s="741"/>
      <c r="SAD449" s="741"/>
      <c r="SAE449" s="741"/>
      <c r="SAF449" s="741"/>
      <c r="SAG449" s="741"/>
      <c r="SAH449" s="741"/>
      <c r="SAI449" s="741"/>
      <c r="SAJ449" s="741"/>
      <c r="SAK449" s="741"/>
      <c r="SAL449" s="741"/>
      <c r="SAM449" s="741"/>
      <c r="SAN449" s="741"/>
      <c r="SAO449" s="741"/>
      <c r="SAP449" s="741"/>
      <c r="SAQ449" s="741"/>
      <c r="SAR449" s="741"/>
      <c r="SAS449" s="741"/>
      <c r="SAT449" s="741"/>
      <c r="SAU449" s="741"/>
      <c r="SAV449" s="741"/>
      <c r="SAW449" s="741"/>
      <c r="SAX449" s="741"/>
      <c r="SAY449" s="741"/>
      <c r="SAZ449" s="741"/>
      <c r="SBA449" s="741"/>
      <c r="SBB449" s="741"/>
      <c r="SBC449" s="741"/>
      <c r="SBD449" s="741"/>
      <c r="SBE449" s="741"/>
      <c r="SBF449" s="741"/>
      <c r="SBG449" s="741"/>
      <c r="SBH449" s="741"/>
      <c r="SBI449" s="741"/>
      <c r="SBJ449" s="741"/>
      <c r="SBK449" s="741"/>
      <c r="SBL449" s="741"/>
      <c r="SBM449" s="741"/>
      <c r="SBN449" s="741"/>
      <c r="SBO449" s="741"/>
      <c r="SBP449" s="741"/>
      <c r="SBQ449" s="741"/>
      <c r="SBR449" s="741"/>
      <c r="SBS449" s="741"/>
      <c r="SBT449" s="741"/>
      <c r="SBU449" s="741"/>
      <c r="SBV449" s="741"/>
      <c r="SBW449" s="741"/>
      <c r="SBX449" s="741"/>
      <c r="SBY449" s="741"/>
      <c r="SBZ449" s="741"/>
      <c r="SCA449" s="741"/>
      <c r="SCB449" s="741"/>
      <c r="SCC449" s="741"/>
      <c r="SCD449" s="741"/>
      <c r="SCE449" s="741"/>
      <c r="SCF449" s="741"/>
      <c r="SCG449" s="741"/>
      <c r="SCH449" s="741"/>
      <c r="SCI449" s="741"/>
      <c r="SCJ449" s="741"/>
      <c r="SCK449" s="741"/>
      <c r="SCL449" s="741"/>
      <c r="SCM449" s="741"/>
      <c r="SCN449" s="741"/>
      <c r="SCO449" s="741"/>
      <c r="SCP449" s="741"/>
      <c r="SCQ449" s="741"/>
      <c r="SCR449" s="741"/>
      <c r="SCS449" s="741"/>
      <c r="SCT449" s="741"/>
      <c r="SCU449" s="741"/>
      <c r="SCV449" s="741"/>
      <c r="SCW449" s="741"/>
      <c r="SCX449" s="741"/>
      <c r="SCY449" s="741"/>
      <c r="SCZ449" s="741"/>
      <c r="SDA449" s="741"/>
      <c r="SDB449" s="741"/>
      <c r="SDC449" s="741"/>
      <c r="SDD449" s="741"/>
      <c r="SDE449" s="741"/>
      <c r="SDF449" s="741"/>
      <c r="SDG449" s="741"/>
      <c r="SDH449" s="741"/>
      <c r="SDI449" s="741"/>
      <c r="SDJ449" s="741"/>
      <c r="SDK449" s="741"/>
      <c r="SDL449" s="741"/>
      <c r="SDM449" s="741"/>
      <c r="SDN449" s="741"/>
      <c r="SDO449" s="741"/>
      <c r="SDP449" s="741"/>
      <c r="SDQ449" s="741"/>
      <c r="SDR449" s="741"/>
      <c r="SDS449" s="741"/>
      <c r="SDT449" s="741"/>
      <c r="SDU449" s="741"/>
      <c r="SDV449" s="741"/>
      <c r="SDW449" s="741"/>
      <c r="SDX449" s="741"/>
      <c r="SDY449" s="741"/>
      <c r="SDZ449" s="741"/>
      <c r="SEA449" s="741"/>
      <c r="SEB449" s="741"/>
      <c r="SEC449" s="741"/>
      <c r="SED449" s="741"/>
      <c r="SEE449" s="741"/>
      <c r="SEF449" s="741"/>
      <c r="SEG449" s="741"/>
      <c r="SEH449" s="741"/>
      <c r="SEI449" s="741"/>
      <c r="SEJ449" s="741"/>
      <c r="SEK449" s="741"/>
      <c r="SEL449" s="741"/>
      <c r="SEM449" s="741"/>
      <c r="SEN449" s="741"/>
      <c r="SEO449" s="741"/>
      <c r="SEP449" s="741"/>
      <c r="SEQ449" s="741"/>
      <c r="SER449" s="741"/>
      <c r="SES449" s="741"/>
      <c r="SET449" s="741"/>
      <c r="SEU449" s="741"/>
      <c r="SEV449" s="741"/>
      <c r="SEW449" s="741"/>
      <c r="SEX449" s="741"/>
      <c r="SEY449" s="741"/>
      <c r="SEZ449" s="741"/>
      <c r="SFA449" s="741"/>
      <c r="SFB449" s="741"/>
      <c r="SFC449" s="741"/>
      <c r="SFD449" s="741"/>
      <c r="SFE449" s="741"/>
      <c r="SFF449" s="741"/>
      <c r="SFG449" s="741"/>
      <c r="SFH449" s="741"/>
      <c r="SFI449" s="741"/>
      <c r="SFJ449" s="741"/>
      <c r="SFK449" s="741"/>
      <c r="SFL449" s="741"/>
      <c r="SFM449" s="741"/>
      <c r="SFN449" s="741"/>
      <c r="SFO449" s="741"/>
      <c r="SFP449" s="741"/>
      <c r="SFQ449" s="741"/>
      <c r="SFR449" s="741"/>
      <c r="SFS449" s="741"/>
      <c r="SFT449" s="741"/>
      <c r="SFU449" s="741"/>
      <c r="SFV449" s="741"/>
      <c r="SFW449" s="741"/>
      <c r="SFX449" s="741"/>
      <c r="SFY449" s="741"/>
      <c r="SFZ449" s="741"/>
      <c r="SGA449" s="741"/>
      <c r="SGB449" s="741"/>
      <c r="SGC449" s="741"/>
      <c r="SGD449" s="741"/>
      <c r="SGE449" s="741"/>
      <c r="SGF449" s="741"/>
      <c r="SGG449" s="741"/>
      <c r="SGH449" s="741"/>
      <c r="SGI449" s="741"/>
      <c r="SGJ449" s="741"/>
      <c r="SGK449" s="741"/>
      <c r="SGL449" s="741"/>
      <c r="SGM449" s="741"/>
      <c r="SGN449" s="741"/>
      <c r="SGO449" s="741"/>
      <c r="SGP449" s="741"/>
      <c r="SGQ449" s="741"/>
      <c r="SGR449" s="741"/>
      <c r="SGS449" s="741"/>
      <c r="SGT449" s="741"/>
      <c r="SGU449" s="741"/>
      <c r="SGV449" s="741"/>
      <c r="SGW449" s="741"/>
      <c r="SGX449" s="741"/>
      <c r="SGY449" s="741"/>
      <c r="SGZ449" s="741"/>
      <c r="SHA449" s="741"/>
      <c r="SHB449" s="741"/>
      <c r="SHC449" s="741"/>
      <c r="SHD449" s="741"/>
      <c r="SHE449" s="741"/>
      <c r="SHF449" s="741"/>
      <c r="SHG449" s="741"/>
      <c r="SHH449" s="741"/>
      <c r="SHI449" s="741"/>
      <c r="SHJ449" s="741"/>
      <c r="SHK449" s="741"/>
      <c r="SHL449" s="741"/>
      <c r="SHM449" s="741"/>
      <c r="SHN449" s="741"/>
      <c r="SHO449" s="741"/>
      <c r="SHP449" s="741"/>
      <c r="SHQ449" s="741"/>
      <c r="SHR449" s="741"/>
      <c r="SHS449" s="741"/>
      <c r="SHT449" s="741"/>
      <c r="SHU449" s="741"/>
      <c r="SHV449" s="741"/>
      <c r="SHW449" s="741"/>
      <c r="SHX449" s="741"/>
      <c r="SHY449" s="741"/>
      <c r="SHZ449" s="741"/>
      <c r="SIA449" s="741"/>
      <c r="SIB449" s="741"/>
      <c r="SIC449" s="741"/>
      <c r="SID449" s="741"/>
      <c r="SIE449" s="741"/>
      <c r="SIF449" s="741"/>
      <c r="SIG449" s="741"/>
      <c r="SIH449" s="741"/>
      <c r="SII449" s="741"/>
      <c r="SIJ449" s="741"/>
      <c r="SIK449" s="741"/>
      <c r="SIL449" s="741"/>
      <c r="SIM449" s="741"/>
      <c r="SIN449" s="741"/>
      <c r="SIO449" s="741"/>
      <c r="SIP449" s="741"/>
      <c r="SIQ449" s="741"/>
      <c r="SIR449" s="741"/>
      <c r="SIS449" s="741"/>
      <c r="SIT449" s="741"/>
      <c r="SIU449" s="741"/>
      <c r="SIV449" s="741"/>
      <c r="SIW449" s="741"/>
      <c r="SIX449" s="741"/>
      <c r="SIY449" s="741"/>
      <c r="SIZ449" s="741"/>
      <c r="SJA449" s="741"/>
      <c r="SJB449" s="741"/>
      <c r="SJC449" s="741"/>
      <c r="SJD449" s="741"/>
      <c r="SJE449" s="741"/>
      <c r="SJF449" s="741"/>
      <c r="SJG449" s="741"/>
      <c r="SJH449" s="741"/>
      <c r="SJI449" s="741"/>
      <c r="SJJ449" s="741"/>
      <c r="SJK449" s="741"/>
      <c r="SJL449" s="741"/>
      <c r="SJM449" s="741"/>
      <c r="SJN449" s="741"/>
      <c r="SJO449" s="741"/>
      <c r="SJP449" s="741"/>
      <c r="SJQ449" s="741"/>
      <c r="SJR449" s="741"/>
      <c r="SJS449" s="741"/>
      <c r="SJT449" s="741"/>
      <c r="SJU449" s="741"/>
      <c r="SJV449" s="741"/>
      <c r="SJW449" s="741"/>
      <c r="SJX449" s="741"/>
      <c r="SJY449" s="741"/>
      <c r="SJZ449" s="741"/>
      <c r="SKA449" s="741"/>
      <c r="SKB449" s="741"/>
      <c r="SKC449" s="741"/>
      <c r="SKD449" s="741"/>
      <c r="SKE449" s="741"/>
      <c r="SKF449" s="741"/>
      <c r="SKG449" s="741"/>
      <c r="SKH449" s="741"/>
      <c r="SKI449" s="741"/>
      <c r="SKJ449" s="741"/>
      <c r="SKK449" s="741"/>
      <c r="SKL449" s="741"/>
      <c r="SKM449" s="741"/>
      <c r="SKN449" s="741"/>
      <c r="SKO449" s="741"/>
      <c r="SKP449" s="741"/>
      <c r="SKQ449" s="741"/>
      <c r="SKR449" s="741"/>
      <c r="SKS449" s="741"/>
      <c r="SKT449" s="741"/>
      <c r="SKU449" s="741"/>
      <c r="SKV449" s="741"/>
      <c r="SKW449" s="741"/>
      <c r="SKX449" s="741"/>
      <c r="SKY449" s="741"/>
      <c r="SKZ449" s="741"/>
      <c r="SLA449" s="741"/>
      <c r="SLB449" s="741"/>
      <c r="SLC449" s="741"/>
      <c r="SLD449" s="741"/>
      <c r="SLE449" s="741"/>
      <c r="SLF449" s="741"/>
      <c r="SLG449" s="741"/>
      <c r="SLH449" s="741"/>
      <c r="SLI449" s="741"/>
      <c r="SLJ449" s="741"/>
      <c r="SLK449" s="741"/>
      <c r="SLL449" s="741"/>
      <c r="SLM449" s="741"/>
      <c r="SLN449" s="741"/>
      <c r="SLO449" s="741"/>
      <c r="SLP449" s="741"/>
      <c r="SLQ449" s="741"/>
      <c r="SLR449" s="741"/>
      <c r="SLS449" s="741"/>
      <c r="SLT449" s="741"/>
      <c r="SLU449" s="741"/>
      <c r="SLV449" s="741"/>
      <c r="SLW449" s="741"/>
      <c r="SLX449" s="741"/>
      <c r="SLY449" s="741"/>
      <c r="SLZ449" s="741"/>
      <c r="SMA449" s="741"/>
      <c r="SMB449" s="741"/>
      <c r="SMC449" s="741"/>
      <c r="SMD449" s="741"/>
      <c r="SME449" s="741"/>
      <c r="SMF449" s="741"/>
      <c r="SMG449" s="741"/>
      <c r="SMH449" s="741"/>
      <c r="SMI449" s="741"/>
      <c r="SMJ449" s="741"/>
      <c r="SMK449" s="741"/>
      <c r="SML449" s="741"/>
      <c r="SMM449" s="741"/>
      <c r="SMN449" s="741"/>
      <c r="SMO449" s="741"/>
      <c r="SMP449" s="741"/>
      <c r="SMQ449" s="741"/>
      <c r="SMR449" s="741"/>
      <c r="SMS449" s="741"/>
      <c r="SMT449" s="741"/>
      <c r="SMU449" s="741"/>
      <c r="SMV449" s="741"/>
      <c r="SMW449" s="741"/>
      <c r="SMX449" s="741"/>
      <c r="SMY449" s="741"/>
      <c r="SMZ449" s="741"/>
      <c r="SNA449" s="741"/>
      <c r="SNB449" s="741"/>
      <c r="SNC449" s="741"/>
      <c r="SND449" s="741"/>
      <c r="SNE449" s="741"/>
      <c r="SNF449" s="741"/>
      <c r="SNG449" s="741"/>
      <c r="SNH449" s="741"/>
      <c r="SNI449" s="741"/>
      <c r="SNJ449" s="741"/>
      <c r="SNK449" s="741"/>
      <c r="SNL449" s="741"/>
      <c r="SNM449" s="741"/>
      <c r="SNN449" s="741"/>
      <c r="SNO449" s="741"/>
      <c r="SNP449" s="741"/>
      <c r="SNQ449" s="741"/>
      <c r="SNR449" s="741"/>
      <c r="SNS449" s="741"/>
      <c r="SNT449" s="741"/>
      <c r="SNU449" s="741"/>
      <c r="SNV449" s="741"/>
      <c r="SNW449" s="741"/>
      <c r="SNX449" s="741"/>
      <c r="SNY449" s="741"/>
      <c r="SNZ449" s="741"/>
      <c r="SOA449" s="741"/>
      <c r="SOB449" s="741"/>
      <c r="SOC449" s="741"/>
      <c r="SOD449" s="741"/>
      <c r="SOE449" s="741"/>
      <c r="SOF449" s="741"/>
      <c r="SOG449" s="741"/>
      <c r="SOH449" s="741"/>
      <c r="SOI449" s="741"/>
      <c r="SOJ449" s="741"/>
      <c r="SOK449" s="741"/>
      <c r="SOL449" s="741"/>
      <c r="SOM449" s="741"/>
      <c r="SON449" s="741"/>
      <c r="SOO449" s="741"/>
      <c r="SOP449" s="741"/>
      <c r="SOQ449" s="741"/>
      <c r="SOR449" s="741"/>
      <c r="SOS449" s="741"/>
      <c r="SOT449" s="741"/>
      <c r="SOU449" s="741"/>
      <c r="SOV449" s="741"/>
      <c r="SOW449" s="741"/>
      <c r="SOX449" s="741"/>
      <c r="SOY449" s="741"/>
      <c r="SOZ449" s="741"/>
      <c r="SPA449" s="741"/>
      <c r="SPB449" s="741"/>
      <c r="SPC449" s="741"/>
      <c r="SPD449" s="741"/>
      <c r="SPE449" s="741"/>
      <c r="SPF449" s="741"/>
      <c r="SPG449" s="741"/>
      <c r="SPH449" s="741"/>
      <c r="SPI449" s="741"/>
      <c r="SPJ449" s="741"/>
      <c r="SPK449" s="741"/>
      <c r="SPL449" s="741"/>
      <c r="SPM449" s="741"/>
      <c r="SPN449" s="741"/>
      <c r="SPO449" s="741"/>
      <c r="SPP449" s="741"/>
      <c r="SPQ449" s="741"/>
      <c r="SPR449" s="741"/>
      <c r="SPS449" s="741"/>
      <c r="SPT449" s="741"/>
      <c r="SPU449" s="741"/>
      <c r="SPV449" s="741"/>
      <c r="SPW449" s="741"/>
      <c r="SPX449" s="741"/>
      <c r="SPY449" s="741"/>
      <c r="SPZ449" s="741"/>
      <c r="SQA449" s="741"/>
      <c r="SQB449" s="741"/>
      <c r="SQC449" s="741"/>
      <c r="SQD449" s="741"/>
      <c r="SQE449" s="741"/>
      <c r="SQF449" s="741"/>
      <c r="SQG449" s="741"/>
      <c r="SQH449" s="741"/>
      <c r="SQI449" s="741"/>
      <c r="SQJ449" s="741"/>
      <c r="SQK449" s="741"/>
      <c r="SQL449" s="741"/>
      <c r="SQM449" s="741"/>
      <c r="SQN449" s="741"/>
      <c r="SQO449" s="741"/>
      <c r="SQP449" s="741"/>
      <c r="SQQ449" s="741"/>
      <c r="SQR449" s="741"/>
      <c r="SQS449" s="741"/>
      <c r="SQT449" s="741"/>
      <c r="SQU449" s="741"/>
      <c r="SQV449" s="741"/>
      <c r="SQW449" s="741"/>
      <c r="SQX449" s="741"/>
      <c r="SQY449" s="741"/>
      <c r="SQZ449" s="741"/>
      <c r="SRA449" s="741"/>
      <c r="SRB449" s="741"/>
      <c r="SRC449" s="741"/>
      <c r="SRD449" s="741"/>
      <c r="SRE449" s="741"/>
      <c r="SRF449" s="741"/>
      <c r="SRG449" s="741"/>
      <c r="SRH449" s="741"/>
      <c r="SRI449" s="741"/>
      <c r="SRJ449" s="741"/>
      <c r="SRK449" s="741"/>
      <c r="SRL449" s="741"/>
      <c r="SRM449" s="741"/>
      <c r="SRN449" s="741"/>
      <c r="SRO449" s="741"/>
      <c r="SRP449" s="741"/>
      <c r="SRQ449" s="741"/>
      <c r="SRR449" s="741"/>
      <c r="SRS449" s="741"/>
      <c r="SRT449" s="741"/>
      <c r="SRU449" s="741"/>
      <c r="SRV449" s="741"/>
      <c r="SRW449" s="741"/>
      <c r="SRX449" s="741"/>
      <c r="SRY449" s="741"/>
      <c r="SRZ449" s="741"/>
      <c r="SSA449" s="741"/>
      <c r="SSB449" s="741"/>
      <c r="SSC449" s="741"/>
      <c r="SSD449" s="741"/>
      <c r="SSE449" s="741"/>
      <c r="SSF449" s="741"/>
      <c r="SSG449" s="741"/>
      <c r="SSH449" s="741"/>
      <c r="SSI449" s="741"/>
      <c r="SSJ449" s="741"/>
      <c r="SSK449" s="741"/>
      <c r="SSL449" s="741"/>
      <c r="SSM449" s="741"/>
      <c r="SSN449" s="741"/>
      <c r="SSO449" s="741"/>
      <c r="SSP449" s="741"/>
      <c r="SSQ449" s="741"/>
      <c r="SSR449" s="741"/>
      <c r="SSS449" s="741"/>
      <c r="SST449" s="741"/>
      <c r="SSU449" s="741"/>
      <c r="SSV449" s="741"/>
      <c r="SSW449" s="741"/>
      <c r="SSX449" s="741"/>
      <c r="SSY449" s="741"/>
      <c r="SSZ449" s="741"/>
      <c r="STA449" s="741"/>
      <c r="STB449" s="741"/>
      <c r="STC449" s="741"/>
      <c r="STD449" s="741"/>
      <c r="STE449" s="741"/>
      <c r="STF449" s="741"/>
      <c r="STG449" s="741"/>
      <c r="STH449" s="741"/>
      <c r="STI449" s="741"/>
      <c r="STJ449" s="741"/>
      <c r="STK449" s="741"/>
      <c r="STL449" s="741"/>
      <c r="STM449" s="741"/>
      <c r="STN449" s="741"/>
      <c r="STO449" s="741"/>
      <c r="STP449" s="741"/>
      <c r="STQ449" s="741"/>
      <c r="STR449" s="741"/>
      <c r="STS449" s="741"/>
      <c r="STT449" s="741"/>
      <c r="STU449" s="741"/>
      <c r="STV449" s="741"/>
      <c r="STW449" s="741"/>
      <c r="STX449" s="741"/>
      <c r="STY449" s="741"/>
      <c r="STZ449" s="741"/>
      <c r="SUA449" s="741"/>
      <c r="SUB449" s="741"/>
      <c r="SUC449" s="741"/>
      <c r="SUD449" s="741"/>
      <c r="SUE449" s="741"/>
      <c r="SUF449" s="741"/>
      <c r="SUG449" s="741"/>
      <c r="SUH449" s="741"/>
      <c r="SUI449" s="741"/>
      <c r="SUJ449" s="741"/>
      <c r="SUK449" s="741"/>
      <c r="SUL449" s="741"/>
      <c r="SUM449" s="741"/>
      <c r="SUN449" s="741"/>
      <c r="SUO449" s="741"/>
      <c r="SUP449" s="741"/>
      <c r="SUQ449" s="741"/>
      <c r="SUR449" s="741"/>
      <c r="SUS449" s="741"/>
      <c r="SUT449" s="741"/>
      <c r="SUU449" s="741"/>
      <c r="SUV449" s="741"/>
      <c r="SUW449" s="741"/>
      <c r="SUX449" s="741"/>
      <c r="SUY449" s="741"/>
      <c r="SUZ449" s="741"/>
      <c r="SVA449" s="741"/>
      <c r="SVB449" s="741"/>
      <c r="SVC449" s="741"/>
      <c r="SVD449" s="741"/>
      <c r="SVE449" s="741"/>
      <c r="SVF449" s="741"/>
      <c r="SVG449" s="741"/>
      <c r="SVH449" s="741"/>
      <c r="SVI449" s="741"/>
      <c r="SVJ449" s="741"/>
      <c r="SVK449" s="741"/>
      <c r="SVL449" s="741"/>
      <c r="SVM449" s="741"/>
      <c r="SVN449" s="741"/>
      <c r="SVO449" s="741"/>
      <c r="SVP449" s="741"/>
      <c r="SVQ449" s="741"/>
      <c r="SVR449" s="741"/>
      <c r="SVS449" s="741"/>
      <c r="SVT449" s="741"/>
      <c r="SVU449" s="741"/>
      <c r="SVV449" s="741"/>
      <c r="SVW449" s="741"/>
      <c r="SVX449" s="741"/>
      <c r="SVY449" s="741"/>
      <c r="SVZ449" s="741"/>
      <c r="SWA449" s="741"/>
      <c r="SWB449" s="741"/>
      <c r="SWC449" s="741"/>
      <c r="SWD449" s="741"/>
      <c r="SWE449" s="741"/>
      <c r="SWF449" s="741"/>
      <c r="SWG449" s="741"/>
      <c r="SWH449" s="741"/>
      <c r="SWI449" s="741"/>
      <c r="SWJ449" s="741"/>
      <c r="SWK449" s="741"/>
      <c r="SWL449" s="741"/>
      <c r="SWM449" s="741"/>
      <c r="SWN449" s="741"/>
      <c r="SWO449" s="741"/>
      <c r="SWP449" s="741"/>
      <c r="SWQ449" s="741"/>
      <c r="SWR449" s="741"/>
      <c r="SWS449" s="741"/>
      <c r="SWT449" s="741"/>
      <c r="SWU449" s="741"/>
      <c r="SWV449" s="741"/>
      <c r="SWW449" s="741"/>
      <c r="SWX449" s="741"/>
      <c r="SWY449" s="741"/>
      <c r="SWZ449" s="741"/>
      <c r="SXA449" s="741"/>
      <c r="SXB449" s="741"/>
      <c r="SXC449" s="741"/>
      <c r="SXD449" s="741"/>
      <c r="SXE449" s="741"/>
      <c r="SXF449" s="741"/>
      <c r="SXG449" s="741"/>
      <c r="SXH449" s="741"/>
      <c r="SXI449" s="741"/>
      <c r="SXJ449" s="741"/>
      <c r="SXK449" s="741"/>
      <c r="SXL449" s="741"/>
      <c r="SXM449" s="741"/>
      <c r="SXN449" s="741"/>
      <c r="SXO449" s="741"/>
      <c r="SXP449" s="741"/>
      <c r="SXQ449" s="741"/>
      <c r="SXR449" s="741"/>
      <c r="SXS449" s="741"/>
      <c r="SXT449" s="741"/>
      <c r="SXU449" s="741"/>
      <c r="SXV449" s="741"/>
      <c r="SXW449" s="741"/>
      <c r="SXX449" s="741"/>
      <c r="SXY449" s="741"/>
      <c r="SXZ449" s="741"/>
      <c r="SYA449" s="741"/>
      <c r="SYB449" s="741"/>
      <c r="SYC449" s="741"/>
      <c r="SYD449" s="741"/>
      <c r="SYE449" s="741"/>
      <c r="SYF449" s="741"/>
      <c r="SYG449" s="741"/>
      <c r="SYH449" s="741"/>
      <c r="SYI449" s="741"/>
      <c r="SYJ449" s="741"/>
      <c r="SYK449" s="741"/>
      <c r="SYL449" s="741"/>
      <c r="SYM449" s="741"/>
      <c r="SYN449" s="741"/>
      <c r="SYO449" s="741"/>
      <c r="SYP449" s="741"/>
      <c r="SYQ449" s="741"/>
      <c r="SYR449" s="741"/>
      <c r="SYS449" s="741"/>
      <c r="SYT449" s="741"/>
      <c r="SYU449" s="741"/>
      <c r="SYV449" s="741"/>
      <c r="SYW449" s="741"/>
      <c r="SYX449" s="741"/>
      <c r="SYY449" s="741"/>
      <c r="SYZ449" s="741"/>
      <c r="SZA449" s="741"/>
      <c r="SZB449" s="741"/>
      <c r="SZC449" s="741"/>
      <c r="SZD449" s="741"/>
      <c r="SZE449" s="741"/>
      <c r="SZF449" s="741"/>
      <c r="SZG449" s="741"/>
      <c r="SZH449" s="741"/>
      <c r="SZI449" s="741"/>
      <c r="SZJ449" s="741"/>
      <c r="SZK449" s="741"/>
      <c r="SZL449" s="741"/>
      <c r="SZM449" s="741"/>
      <c r="SZN449" s="741"/>
      <c r="SZO449" s="741"/>
      <c r="SZP449" s="741"/>
      <c r="SZQ449" s="741"/>
      <c r="SZR449" s="741"/>
      <c r="SZS449" s="741"/>
      <c r="SZT449" s="741"/>
      <c r="SZU449" s="741"/>
      <c r="SZV449" s="741"/>
      <c r="SZW449" s="741"/>
      <c r="SZX449" s="741"/>
      <c r="SZY449" s="741"/>
      <c r="SZZ449" s="741"/>
      <c r="TAA449" s="741"/>
      <c r="TAB449" s="741"/>
      <c r="TAC449" s="741"/>
      <c r="TAD449" s="741"/>
      <c r="TAE449" s="741"/>
      <c r="TAF449" s="741"/>
      <c r="TAG449" s="741"/>
      <c r="TAH449" s="741"/>
      <c r="TAI449" s="741"/>
      <c r="TAJ449" s="741"/>
      <c r="TAK449" s="741"/>
      <c r="TAL449" s="741"/>
      <c r="TAM449" s="741"/>
      <c r="TAN449" s="741"/>
      <c r="TAO449" s="741"/>
      <c r="TAP449" s="741"/>
      <c r="TAQ449" s="741"/>
      <c r="TAR449" s="741"/>
      <c r="TAS449" s="741"/>
      <c r="TAT449" s="741"/>
      <c r="TAU449" s="741"/>
      <c r="TAV449" s="741"/>
      <c r="TAW449" s="741"/>
      <c r="TAX449" s="741"/>
      <c r="TAY449" s="741"/>
      <c r="TAZ449" s="741"/>
      <c r="TBA449" s="741"/>
      <c r="TBB449" s="741"/>
      <c r="TBC449" s="741"/>
      <c r="TBD449" s="741"/>
      <c r="TBE449" s="741"/>
      <c r="TBF449" s="741"/>
      <c r="TBG449" s="741"/>
      <c r="TBH449" s="741"/>
      <c r="TBI449" s="741"/>
      <c r="TBJ449" s="741"/>
      <c r="TBK449" s="741"/>
      <c r="TBL449" s="741"/>
      <c r="TBM449" s="741"/>
      <c r="TBN449" s="741"/>
      <c r="TBO449" s="741"/>
      <c r="TBP449" s="741"/>
      <c r="TBQ449" s="741"/>
      <c r="TBR449" s="741"/>
      <c r="TBS449" s="741"/>
      <c r="TBT449" s="741"/>
      <c r="TBU449" s="741"/>
      <c r="TBV449" s="741"/>
      <c r="TBW449" s="741"/>
      <c r="TBX449" s="741"/>
      <c r="TBY449" s="741"/>
      <c r="TBZ449" s="741"/>
      <c r="TCA449" s="741"/>
      <c r="TCB449" s="741"/>
      <c r="TCC449" s="741"/>
      <c r="TCD449" s="741"/>
      <c r="TCE449" s="741"/>
      <c r="TCF449" s="741"/>
      <c r="TCG449" s="741"/>
      <c r="TCH449" s="741"/>
      <c r="TCI449" s="741"/>
      <c r="TCJ449" s="741"/>
      <c r="TCK449" s="741"/>
      <c r="TCL449" s="741"/>
      <c r="TCM449" s="741"/>
      <c r="TCN449" s="741"/>
      <c r="TCO449" s="741"/>
      <c r="TCP449" s="741"/>
      <c r="TCQ449" s="741"/>
      <c r="TCR449" s="741"/>
      <c r="TCS449" s="741"/>
      <c r="TCT449" s="741"/>
      <c r="TCU449" s="741"/>
      <c r="TCV449" s="741"/>
      <c r="TCW449" s="741"/>
      <c r="TCX449" s="741"/>
      <c r="TCY449" s="741"/>
      <c r="TCZ449" s="741"/>
      <c r="TDA449" s="741"/>
      <c r="TDB449" s="741"/>
      <c r="TDC449" s="741"/>
      <c r="TDD449" s="741"/>
      <c r="TDE449" s="741"/>
      <c r="TDF449" s="741"/>
      <c r="TDG449" s="741"/>
      <c r="TDH449" s="741"/>
      <c r="TDI449" s="741"/>
      <c r="TDJ449" s="741"/>
      <c r="TDK449" s="741"/>
      <c r="TDL449" s="741"/>
      <c r="TDM449" s="741"/>
      <c r="TDN449" s="741"/>
      <c r="TDO449" s="741"/>
      <c r="TDP449" s="741"/>
      <c r="TDQ449" s="741"/>
      <c r="TDR449" s="741"/>
      <c r="TDS449" s="741"/>
      <c r="TDT449" s="741"/>
      <c r="TDU449" s="741"/>
      <c r="TDV449" s="741"/>
      <c r="TDW449" s="741"/>
      <c r="TDX449" s="741"/>
      <c r="TDY449" s="741"/>
      <c r="TDZ449" s="741"/>
      <c r="TEA449" s="741"/>
      <c r="TEB449" s="741"/>
      <c r="TEC449" s="741"/>
      <c r="TED449" s="741"/>
      <c r="TEE449" s="741"/>
      <c r="TEF449" s="741"/>
      <c r="TEG449" s="741"/>
      <c r="TEH449" s="741"/>
      <c r="TEI449" s="741"/>
      <c r="TEJ449" s="741"/>
      <c r="TEK449" s="741"/>
      <c r="TEL449" s="741"/>
      <c r="TEM449" s="741"/>
      <c r="TEN449" s="741"/>
      <c r="TEO449" s="741"/>
      <c r="TEP449" s="741"/>
      <c r="TEQ449" s="741"/>
      <c r="TER449" s="741"/>
      <c r="TES449" s="741"/>
      <c r="TET449" s="741"/>
      <c r="TEU449" s="741"/>
      <c r="TEV449" s="741"/>
      <c r="TEW449" s="741"/>
      <c r="TEX449" s="741"/>
      <c r="TEY449" s="741"/>
      <c r="TEZ449" s="741"/>
      <c r="TFA449" s="741"/>
      <c r="TFB449" s="741"/>
      <c r="TFC449" s="741"/>
      <c r="TFD449" s="741"/>
      <c r="TFE449" s="741"/>
      <c r="TFF449" s="741"/>
      <c r="TFG449" s="741"/>
      <c r="TFH449" s="741"/>
      <c r="TFI449" s="741"/>
      <c r="TFJ449" s="741"/>
      <c r="TFK449" s="741"/>
      <c r="TFL449" s="741"/>
      <c r="TFM449" s="741"/>
      <c r="TFN449" s="741"/>
      <c r="TFO449" s="741"/>
      <c r="TFP449" s="741"/>
      <c r="TFQ449" s="741"/>
      <c r="TFR449" s="741"/>
      <c r="TFS449" s="741"/>
      <c r="TFT449" s="741"/>
      <c r="TFU449" s="741"/>
      <c r="TFV449" s="741"/>
      <c r="TFW449" s="741"/>
      <c r="TFX449" s="741"/>
      <c r="TFY449" s="741"/>
      <c r="TFZ449" s="741"/>
      <c r="TGA449" s="741"/>
      <c r="TGB449" s="741"/>
      <c r="TGC449" s="741"/>
      <c r="TGD449" s="741"/>
      <c r="TGE449" s="741"/>
      <c r="TGF449" s="741"/>
      <c r="TGG449" s="741"/>
      <c r="TGH449" s="741"/>
      <c r="TGI449" s="741"/>
      <c r="TGJ449" s="741"/>
      <c r="TGK449" s="741"/>
      <c r="TGL449" s="741"/>
      <c r="TGM449" s="741"/>
      <c r="TGN449" s="741"/>
      <c r="TGO449" s="741"/>
      <c r="TGP449" s="741"/>
      <c r="TGQ449" s="741"/>
      <c r="TGR449" s="741"/>
      <c r="TGS449" s="741"/>
      <c r="TGT449" s="741"/>
      <c r="TGU449" s="741"/>
      <c r="TGV449" s="741"/>
      <c r="TGW449" s="741"/>
      <c r="TGX449" s="741"/>
      <c r="TGY449" s="741"/>
      <c r="TGZ449" s="741"/>
      <c r="THA449" s="741"/>
      <c r="THB449" s="741"/>
      <c r="THC449" s="741"/>
      <c r="THD449" s="741"/>
      <c r="THE449" s="741"/>
      <c r="THF449" s="741"/>
      <c r="THG449" s="741"/>
      <c r="THH449" s="741"/>
      <c r="THI449" s="741"/>
      <c r="THJ449" s="741"/>
      <c r="THK449" s="741"/>
      <c r="THL449" s="741"/>
      <c r="THM449" s="741"/>
      <c r="THN449" s="741"/>
      <c r="THO449" s="741"/>
      <c r="THP449" s="741"/>
      <c r="THQ449" s="741"/>
      <c r="THR449" s="741"/>
      <c r="THS449" s="741"/>
      <c r="THT449" s="741"/>
      <c r="THU449" s="741"/>
      <c r="THV449" s="741"/>
      <c r="THW449" s="741"/>
      <c r="THX449" s="741"/>
      <c r="THY449" s="741"/>
      <c r="THZ449" s="741"/>
      <c r="TIA449" s="741"/>
      <c r="TIB449" s="741"/>
      <c r="TIC449" s="741"/>
      <c r="TID449" s="741"/>
      <c r="TIE449" s="741"/>
      <c r="TIF449" s="741"/>
      <c r="TIG449" s="741"/>
      <c r="TIH449" s="741"/>
      <c r="TII449" s="741"/>
      <c r="TIJ449" s="741"/>
      <c r="TIK449" s="741"/>
      <c r="TIL449" s="741"/>
      <c r="TIM449" s="741"/>
      <c r="TIN449" s="741"/>
      <c r="TIO449" s="741"/>
      <c r="TIP449" s="741"/>
      <c r="TIQ449" s="741"/>
      <c r="TIR449" s="741"/>
      <c r="TIS449" s="741"/>
      <c r="TIT449" s="741"/>
      <c r="TIU449" s="741"/>
      <c r="TIV449" s="741"/>
      <c r="TIW449" s="741"/>
      <c r="TIX449" s="741"/>
      <c r="TIY449" s="741"/>
      <c r="TIZ449" s="741"/>
      <c r="TJA449" s="741"/>
      <c r="TJB449" s="741"/>
      <c r="TJC449" s="741"/>
      <c r="TJD449" s="741"/>
      <c r="TJE449" s="741"/>
      <c r="TJF449" s="741"/>
      <c r="TJG449" s="741"/>
      <c r="TJH449" s="741"/>
      <c r="TJI449" s="741"/>
      <c r="TJJ449" s="741"/>
      <c r="TJK449" s="741"/>
      <c r="TJL449" s="741"/>
      <c r="TJM449" s="741"/>
      <c r="TJN449" s="741"/>
      <c r="TJO449" s="741"/>
      <c r="TJP449" s="741"/>
      <c r="TJQ449" s="741"/>
      <c r="TJR449" s="741"/>
      <c r="TJS449" s="741"/>
      <c r="TJT449" s="741"/>
      <c r="TJU449" s="741"/>
      <c r="TJV449" s="741"/>
      <c r="TJW449" s="741"/>
      <c r="TJX449" s="741"/>
      <c r="TJY449" s="741"/>
      <c r="TJZ449" s="741"/>
      <c r="TKA449" s="741"/>
      <c r="TKB449" s="741"/>
      <c r="TKC449" s="741"/>
      <c r="TKD449" s="741"/>
      <c r="TKE449" s="741"/>
      <c r="TKF449" s="741"/>
      <c r="TKG449" s="741"/>
      <c r="TKH449" s="741"/>
      <c r="TKI449" s="741"/>
      <c r="TKJ449" s="741"/>
      <c r="TKK449" s="741"/>
      <c r="TKL449" s="741"/>
      <c r="TKM449" s="741"/>
      <c r="TKN449" s="741"/>
      <c r="TKO449" s="741"/>
      <c r="TKP449" s="741"/>
      <c r="TKQ449" s="741"/>
      <c r="TKR449" s="741"/>
      <c r="TKS449" s="741"/>
      <c r="TKT449" s="741"/>
      <c r="TKU449" s="741"/>
      <c r="TKV449" s="741"/>
      <c r="TKW449" s="741"/>
      <c r="TKX449" s="741"/>
      <c r="TKY449" s="741"/>
      <c r="TKZ449" s="741"/>
      <c r="TLA449" s="741"/>
      <c r="TLB449" s="741"/>
      <c r="TLC449" s="741"/>
      <c r="TLD449" s="741"/>
      <c r="TLE449" s="741"/>
      <c r="TLF449" s="741"/>
      <c r="TLG449" s="741"/>
      <c r="TLH449" s="741"/>
      <c r="TLI449" s="741"/>
      <c r="TLJ449" s="741"/>
      <c r="TLK449" s="741"/>
      <c r="TLL449" s="741"/>
      <c r="TLM449" s="741"/>
      <c r="TLN449" s="741"/>
      <c r="TLO449" s="741"/>
      <c r="TLP449" s="741"/>
      <c r="TLQ449" s="741"/>
      <c r="TLR449" s="741"/>
      <c r="TLS449" s="741"/>
      <c r="TLT449" s="741"/>
      <c r="TLU449" s="741"/>
      <c r="TLV449" s="741"/>
      <c r="TLW449" s="741"/>
      <c r="TLX449" s="741"/>
      <c r="TLY449" s="741"/>
      <c r="TLZ449" s="741"/>
      <c r="TMA449" s="741"/>
      <c r="TMB449" s="741"/>
      <c r="TMC449" s="741"/>
      <c r="TMD449" s="741"/>
      <c r="TME449" s="741"/>
      <c r="TMF449" s="741"/>
      <c r="TMG449" s="741"/>
      <c r="TMH449" s="741"/>
      <c r="TMI449" s="741"/>
      <c r="TMJ449" s="741"/>
      <c r="TMK449" s="741"/>
      <c r="TML449" s="741"/>
      <c r="TMM449" s="741"/>
      <c r="TMN449" s="741"/>
      <c r="TMO449" s="741"/>
      <c r="TMP449" s="741"/>
      <c r="TMQ449" s="741"/>
      <c r="TMR449" s="741"/>
      <c r="TMS449" s="741"/>
      <c r="TMT449" s="741"/>
      <c r="TMU449" s="741"/>
      <c r="TMV449" s="741"/>
      <c r="TMW449" s="741"/>
      <c r="TMX449" s="741"/>
      <c r="TMY449" s="741"/>
      <c r="TMZ449" s="741"/>
      <c r="TNA449" s="741"/>
      <c r="TNB449" s="741"/>
      <c r="TNC449" s="741"/>
      <c r="TND449" s="741"/>
      <c r="TNE449" s="741"/>
      <c r="TNF449" s="741"/>
      <c r="TNG449" s="741"/>
      <c r="TNH449" s="741"/>
      <c r="TNI449" s="741"/>
      <c r="TNJ449" s="741"/>
      <c r="TNK449" s="741"/>
      <c r="TNL449" s="741"/>
      <c r="TNM449" s="741"/>
      <c r="TNN449" s="741"/>
      <c r="TNO449" s="741"/>
      <c r="TNP449" s="741"/>
      <c r="TNQ449" s="741"/>
      <c r="TNR449" s="741"/>
      <c r="TNS449" s="741"/>
      <c r="TNT449" s="741"/>
      <c r="TNU449" s="741"/>
      <c r="TNV449" s="741"/>
      <c r="TNW449" s="741"/>
      <c r="TNX449" s="741"/>
      <c r="TNY449" s="741"/>
      <c r="TNZ449" s="741"/>
      <c r="TOA449" s="741"/>
      <c r="TOB449" s="741"/>
      <c r="TOC449" s="741"/>
      <c r="TOD449" s="741"/>
      <c r="TOE449" s="741"/>
      <c r="TOF449" s="741"/>
      <c r="TOG449" s="741"/>
      <c r="TOH449" s="741"/>
      <c r="TOI449" s="741"/>
      <c r="TOJ449" s="741"/>
      <c r="TOK449" s="741"/>
      <c r="TOL449" s="741"/>
      <c r="TOM449" s="741"/>
      <c r="TON449" s="741"/>
      <c r="TOO449" s="741"/>
      <c r="TOP449" s="741"/>
      <c r="TOQ449" s="741"/>
      <c r="TOR449" s="741"/>
      <c r="TOS449" s="741"/>
      <c r="TOT449" s="741"/>
      <c r="TOU449" s="741"/>
      <c r="TOV449" s="741"/>
      <c r="TOW449" s="741"/>
      <c r="TOX449" s="741"/>
      <c r="TOY449" s="741"/>
      <c r="TOZ449" s="741"/>
      <c r="TPA449" s="741"/>
      <c r="TPB449" s="741"/>
      <c r="TPC449" s="741"/>
      <c r="TPD449" s="741"/>
      <c r="TPE449" s="741"/>
      <c r="TPF449" s="741"/>
      <c r="TPG449" s="741"/>
      <c r="TPH449" s="741"/>
      <c r="TPI449" s="741"/>
      <c r="TPJ449" s="741"/>
      <c r="TPK449" s="741"/>
      <c r="TPL449" s="741"/>
      <c r="TPM449" s="741"/>
      <c r="TPN449" s="741"/>
      <c r="TPO449" s="741"/>
      <c r="TPP449" s="741"/>
      <c r="TPQ449" s="741"/>
      <c r="TPR449" s="741"/>
      <c r="TPS449" s="741"/>
      <c r="TPT449" s="741"/>
      <c r="TPU449" s="741"/>
      <c r="TPV449" s="741"/>
      <c r="TPW449" s="741"/>
      <c r="TPX449" s="741"/>
      <c r="TPY449" s="741"/>
      <c r="TPZ449" s="741"/>
      <c r="TQA449" s="741"/>
      <c r="TQB449" s="741"/>
      <c r="TQC449" s="741"/>
      <c r="TQD449" s="741"/>
      <c r="TQE449" s="741"/>
      <c r="TQF449" s="741"/>
      <c r="TQG449" s="741"/>
      <c r="TQH449" s="741"/>
      <c r="TQI449" s="741"/>
      <c r="TQJ449" s="741"/>
      <c r="TQK449" s="741"/>
      <c r="TQL449" s="741"/>
      <c r="TQM449" s="741"/>
      <c r="TQN449" s="741"/>
      <c r="TQO449" s="741"/>
      <c r="TQP449" s="741"/>
      <c r="TQQ449" s="741"/>
      <c r="TQR449" s="741"/>
      <c r="TQS449" s="741"/>
      <c r="TQT449" s="741"/>
      <c r="TQU449" s="741"/>
      <c r="TQV449" s="741"/>
      <c r="TQW449" s="741"/>
      <c r="TQX449" s="741"/>
      <c r="TQY449" s="741"/>
      <c r="TQZ449" s="741"/>
      <c r="TRA449" s="741"/>
      <c r="TRB449" s="741"/>
      <c r="TRC449" s="741"/>
      <c r="TRD449" s="741"/>
      <c r="TRE449" s="741"/>
      <c r="TRF449" s="741"/>
      <c r="TRG449" s="741"/>
      <c r="TRH449" s="741"/>
      <c r="TRI449" s="741"/>
      <c r="TRJ449" s="741"/>
      <c r="TRK449" s="741"/>
      <c r="TRL449" s="741"/>
      <c r="TRM449" s="741"/>
      <c r="TRN449" s="741"/>
      <c r="TRO449" s="741"/>
      <c r="TRP449" s="741"/>
      <c r="TRQ449" s="741"/>
      <c r="TRR449" s="741"/>
      <c r="TRS449" s="741"/>
      <c r="TRT449" s="741"/>
      <c r="TRU449" s="741"/>
      <c r="TRV449" s="741"/>
      <c r="TRW449" s="741"/>
      <c r="TRX449" s="741"/>
      <c r="TRY449" s="741"/>
      <c r="TRZ449" s="741"/>
      <c r="TSA449" s="741"/>
      <c r="TSB449" s="741"/>
      <c r="TSC449" s="741"/>
      <c r="TSD449" s="741"/>
      <c r="TSE449" s="741"/>
      <c r="TSF449" s="741"/>
      <c r="TSG449" s="741"/>
      <c r="TSH449" s="741"/>
      <c r="TSI449" s="741"/>
      <c r="TSJ449" s="741"/>
      <c r="TSK449" s="741"/>
      <c r="TSL449" s="741"/>
      <c r="TSM449" s="741"/>
      <c r="TSN449" s="741"/>
      <c r="TSO449" s="741"/>
      <c r="TSP449" s="741"/>
      <c r="TSQ449" s="741"/>
      <c r="TSR449" s="741"/>
      <c r="TSS449" s="741"/>
      <c r="TST449" s="741"/>
      <c r="TSU449" s="741"/>
      <c r="TSV449" s="741"/>
      <c r="TSW449" s="741"/>
      <c r="TSX449" s="741"/>
      <c r="TSY449" s="741"/>
      <c r="TSZ449" s="741"/>
      <c r="TTA449" s="741"/>
      <c r="TTB449" s="741"/>
      <c r="TTC449" s="741"/>
      <c r="TTD449" s="741"/>
      <c r="TTE449" s="741"/>
      <c r="TTF449" s="741"/>
      <c r="TTG449" s="741"/>
      <c r="TTH449" s="741"/>
      <c r="TTI449" s="741"/>
      <c r="TTJ449" s="741"/>
      <c r="TTK449" s="741"/>
      <c r="TTL449" s="741"/>
      <c r="TTM449" s="741"/>
      <c r="TTN449" s="741"/>
      <c r="TTO449" s="741"/>
      <c r="TTP449" s="741"/>
      <c r="TTQ449" s="741"/>
      <c r="TTR449" s="741"/>
      <c r="TTS449" s="741"/>
      <c r="TTT449" s="741"/>
      <c r="TTU449" s="741"/>
      <c r="TTV449" s="741"/>
      <c r="TTW449" s="741"/>
      <c r="TTX449" s="741"/>
      <c r="TTY449" s="741"/>
      <c r="TTZ449" s="741"/>
      <c r="TUA449" s="741"/>
      <c r="TUB449" s="741"/>
      <c r="TUC449" s="741"/>
      <c r="TUD449" s="741"/>
      <c r="TUE449" s="741"/>
      <c r="TUF449" s="741"/>
      <c r="TUG449" s="741"/>
      <c r="TUH449" s="741"/>
      <c r="TUI449" s="741"/>
      <c r="TUJ449" s="741"/>
      <c r="TUK449" s="741"/>
      <c r="TUL449" s="741"/>
      <c r="TUM449" s="741"/>
      <c r="TUN449" s="741"/>
      <c r="TUO449" s="741"/>
      <c r="TUP449" s="741"/>
      <c r="TUQ449" s="741"/>
      <c r="TUR449" s="741"/>
      <c r="TUS449" s="741"/>
      <c r="TUT449" s="741"/>
      <c r="TUU449" s="741"/>
      <c r="TUV449" s="741"/>
      <c r="TUW449" s="741"/>
      <c r="TUX449" s="741"/>
      <c r="TUY449" s="741"/>
      <c r="TUZ449" s="741"/>
      <c r="TVA449" s="741"/>
      <c r="TVB449" s="741"/>
      <c r="TVC449" s="741"/>
      <c r="TVD449" s="741"/>
      <c r="TVE449" s="741"/>
      <c r="TVF449" s="741"/>
      <c r="TVG449" s="741"/>
      <c r="TVH449" s="741"/>
      <c r="TVI449" s="741"/>
      <c r="TVJ449" s="741"/>
      <c r="TVK449" s="741"/>
      <c r="TVL449" s="741"/>
      <c r="TVM449" s="741"/>
      <c r="TVN449" s="741"/>
      <c r="TVO449" s="741"/>
      <c r="TVP449" s="741"/>
      <c r="TVQ449" s="741"/>
      <c r="TVR449" s="741"/>
      <c r="TVS449" s="741"/>
      <c r="TVT449" s="741"/>
      <c r="TVU449" s="741"/>
      <c r="TVV449" s="741"/>
      <c r="TVW449" s="741"/>
      <c r="TVX449" s="741"/>
      <c r="TVY449" s="741"/>
      <c r="TVZ449" s="741"/>
      <c r="TWA449" s="741"/>
      <c r="TWB449" s="741"/>
      <c r="TWC449" s="741"/>
      <c r="TWD449" s="741"/>
      <c r="TWE449" s="741"/>
      <c r="TWF449" s="741"/>
      <c r="TWG449" s="741"/>
      <c r="TWH449" s="741"/>
      <c r="TWI449" s="741"/>
      <c r="TWJ449" s="741"/>
      <c r="TWK449" s="741"/>
      <c r="TWL449" s="741"/>
      <c r="TWM449" s="741"/>
      <c r="TWN449" s="741"/>
      <c r="TWO449" s="741"/>
      <c r="TWP449" s="741"/>
      <c r="TWQ449" s="741"/>
      <c r="TWR449" s="741"/>
      <c r="TWS449" s="741"/>
      <c r="TWT449" s="741"/>
      <c r="TWU449" s="741"/>
      <c r="TWV449" s="741"/>
      <c r="TWW449" s="741"/>
      <c r="TWX449" s="741"/>
      <c r="TWY449" s="741"/>
      <c r="TWZ449" s="741"/>
      <c r="TXA449" s="741"/>
      <c r="TXB449" s="741"/>
      <c r="TXC449" s="741"/>
      <c r="TXD449" s="741"/>
      <c r="TXE449" s="741"/>
      <c r="TXF449" s="741"/>
      <c r="TXG449" s="741"/>
      <c r="TXH449" s="741"/>
      <c r="TXI449" s="741"/>
      <c r="TXJ449" s="741"/>
      <c r="TXK449" s="741"/>
      <c r="TXL449" s="741"/>
      <c r="TXM449" s="741"/>
      <c r="TXN449" s="741"/>
      <c r="TXO449" s="741"/>
      <c r="TXP449" s="741"/>
      <c r="TXQ449" s="741"/>
      <c r="TXR449" s="741"/>
      <c r="TXS449" s="741"/>
      <c r="TXT449" s="741"/>
      <c r="TXU449" s="741"/>
      <c r="TXV449" s="741"/>
      <c r="TXW449" s="741"/>
      <c r="TXX449" s="741"/>
      <c r="TXY449" s="741"/>
      <c r="TXZ449" s="741"/>
      <c r="TYA449" s="741"/>
      <c r="TYB449" s="741"/>
      <c r="TYC449" s="741"/>
      <c r="TYD449" s="741"/>
      <c r="TYE449" s="741"/>
      <c r="TYF449" s="741"/>
      <c r="TYG449" s="741"/>
      <c r="TYH449" s="741"/>
      <c r="TYI449" s="741"/>
      <c r="TYJ449" s="741"/>
      <c r="TYK449" s="741"/>
      <c r="TYL449" s="741"/>
      <c r="TYM449" s="741"/>
      <c r="TYN449" s="741"/>
      <c r="TYO449" s="741"/>
      <c r="TYP449" s="741"/>
      <c r="TYQ449" s="741"/>
      <c r="TYR449" s="741"/>
      <c r="TYS449" s="741"/>
      <c r="TYT449" s="741"/>
      <c r="TYU449" s="741"/>
      <c r="TYV449" s="741"/>
      <c r="TYW449" s="741"/>
      <c r="TYX449" s="741"/>
      <c r="TYY449" s="741"/>
      <c r="TYZ449" s="741"/>
      <c r="TZA449" s="741"/>
      <c r="TZB449" s="741"/>
      <c r="TZC449" s="741"/>
      <c r="TZD449" s="741"/>
      <c r="TZE449" s="741"/>
      <c r="TZF449" s="741"/>
      <c r="TZG449" s="741"/>
      <c r="TZH449" s="741"/>
      <c r="TZI449" s="741"/>
      <c r="TZJ449" s="741"/>
      <c r="TZK449" s="741"/>
      <c r="TZL449" s="741"/>
      <c r="TZM449" s="741"/>
      <c r="TZN449" s="741"/>
      <c r="TZO449" s="741"/>
      <c r="TZP449" s="741"/>
      <c r="TZQ449" s="741"/>
      <c r="TZR449" s="741"/>
      <c r="TZS449" s="741"/>
      <c r="TZT449" s="741"/>
      <c r="TZU449" s="741"/>
      <c r="TZV449" s="741"/>
      <c r="TZW449" s="741"/>
      <c r="TZX449" s="741"/>
      <c r="TZY449" s="741"/>
      <c r="TZZ449" s="741"/>
      <c r="UAA449" s="741"/>
      <c r="UAB449" s="741"/>
      <c r="UAC449" s="741"/>
      <c r="UAD449" s="741"/>
      <c r="UAE449" s="741"/>
      <c r="UAF449" s="741"/>
      <c r="UAG449" s="741"/>
      <c r="UAH449" s="741"/>
      <c r="UAI449" s="741"/>
      <c r="UAJ449" s="741"/>
      <c r="UAK449" s="741"/>
      <c r="UAL449" s="741"/>
      <c r="UAM449" s="741"/>
      <c r="UAN449" s="741"/>
      <c r="UAO449" s="741"/>
      <c r="UAP449" s="741"/>
      <c r="UAQ449" s="741"/>
      <c r="UAR449" s="741"/>
      <c r="UAS449" s="741"/>
      <c r="UAT449" s="741"/>
      <c r="UAU449" s="741"/>
      <c r="UAV449" s="741"/>
      <c r="UAW449" s="741"/>
      <c r="UAX449" s="741"/>
      <c r="UAY449" s="741"/>
      <c r="UAZ449" s="741"/>
      <c r="UBA449" s="741"/>
      <c r="UBB449" s="741"/>
      <c r="UBC449" s="741"/>
      <c r="UBD449" s="741"/>
      <c r="UBE449" s="741"/>
      <c r="UBF449" s="741"/>
      <c r="UBG449" s="741"/>
      <c r="UBH449" s="741"/>
      <c r="UBI449" s="741"/>
      <c r="UBJ449" s="741"/>
      <c r="UBK449" s="741"/>
      <c r="UBL449" s="741"/>
      <c r="UBM449" s="741"/>
      <c r="UBN449" s="741"/>
      <c r="UBO449" s="741"/>
      <c r="UBP449" s="741"/>
      <c r="UBQ449" s="741"/>
      <c r="UBR449" s="741"/>
      <c r="UBS449" s="741"/>
      <c r="UBT449" s="741"/>
      <c r="UBU449" s="741"/>
      <c r="UBV449" s="741"/>
      <c r="UBW449" s="741"/>
      <c r="UBX449" s="741"/>
      <c r="UBY449" s="741"/>
      <c r="UBZ449" s="741"/>
      <c r="UCA449" s="741"/>
      <c r="UCB449" s="741"/>
      <c r="UCC449" s="741"/>
      <c r="UCD449" s="741"/>
      <c r="UCE449" s="741"/>
      <c r="UCF449" s="741"/>
      <c r="UCG449" s="741"/>
      <c r="UCH449" s="741"/>
      <c r="UCI449" s="741"/>
      <c r="UCJ449" s="741"/>
      <c r="UCK449" s="741"/>
      <c r="UCL449" s="741"/>
      <c r="UCM449" s="741"/>
      <c r="UCN449" s="741"/>
      <c r="UCO449" s="741"/>
      <c r="UCP449" s="741"/>
      <c r="UCQ449" s="741"/>
      <c r="UCR449" s="741"/>
      <c r="UCS449" s="741"/>
      <c r="UCT449" s="741"/>
      <c r="UCU449" s="741"/>
      <c r="UCV449" s="741"/>
      <c r="UCW449" s="741"/>
      <c r="UCX449" s="741"/>
      <c r="UCY449" s="741"/>
      <c r="UCZ449" s="741"/>
      <c r="UDA449" s="741"/>
      <c r="UDB449" s="741"/>
      <c r="UDC449" s="741"/>
      <c r="UDD449" s="741"/>
      <c r="UDE449" s="741"/>
      <c r="UDF449" s="741"/>
      <c r="UDG449" s="741"/>
      <c r="UDH449" s="741"/>
      <c r="UDI449" s="741"/>
      <c r="UDJ449" s="741"/>
      <c r="UDK449" s="741"/>
      <c r="UDL449" s="741"/>
      <c r="UDM449" s="741"/>
      <c r="UDN449" s="741"/>
      <c r="UDO449" s="741"/>
      <c r="UDP449" s="741"/>
      <c r="UDQ449" s="741"/>
      <c r="UDR449" s="741"/>
      <c r="UDS449" s="741"/>
      <c r="UDT449" s="741"/>
      <c r="UDU449" s="741"/>
      <c r="UDV449" s="741"/>
      <c r="UDW449" s="741"/>
      <c r="UDX449" s="741"/>
      <c r="UDY449" s="741"/>
      <c r="UDZ449" s="741"/>
      <c r="UEA449" s="741"/>
      <c r="UEB449" s="741"/>
      <c r="UEC449" s="741"/>
      <c r="UED449" s="741"/>
      <c r="UEE449" s="741"/>
      <c r="UEF449" s="741"/>
      <c r="UEG449" s="741"/>
      <c r="UEH449" s="741"/>
      <c r="UEI449" s="741"/>
      <c r="UEJ449" s="741"/>
      <c r="UEK449" s="741"/>
      <c r="UEL449" s="741"/>
      <c r="UEM449" s="741"/>
      <c r="UEN449" s="741"/>
      <c r="UEO449" s="741"/>
      <c r="UEP449" s="741"/>
      <c r="UEQ449" s="741"/>
      <c r="UER449" s="741"/>
      <c r="UES449" s="741"/>
      <c r="UET449" s="741"/>
      <c r="UEU449" s="741"/>
      <c r="UEV449" s="741"/>
      <c r="UEW449" s="741"/>
      <c r="UEX449" s="741"/>
      <c r="UEY449" s="741"/>
      <c r="UEZ449" s="741"/>
      <c r="UFA449" s="741"/>
      <c r="UFB449" s="741"/>
      <c r="UFC449" s="741"/>
      <c r="UFD449" s="741"/>
      <c r="UFE449" s="741"/>
      <c r="UFF449" s="741"/>
      <c r="UFG449" s="741"/>
      <c r="UFH449" s="741"/>
      <c r="UFI449" s="741"/>
      <c r="UFJ449" s="741"/>
      <c r="UFK449" s="741"/>
      <c r="UFL449" s="741"/>
      <c r="UFM449" s="741"/>
      <c r="UFN449" s="741"/>
      <c r="UFO449" s="741"/>
      <c r="UFP449" s="741"/>
      <c r="UFQ449" s="741"/>
      <c r="UFR449" s="741"/>
      <c r="UFS449" s="741"/>
      <c r="UFT449" s="741"/>
      <c r="UFU449" s="741"/>
      <c r="UFV449" s="741"/>
      <c r="UFW449" s="741"/>
      <c r="UFX449" s="741"/>
      <c r="UFY449" s="741"/>
      <c r="UFZ449" s="741"/>
      <c r="UGA449" s="741"/>
      <c r="UGB449" s="741"/>
      <c r="UGC449" s="741"/>
      <c r="UGD449" s="741"/>
      <c r="UGE449" s="741"/>
      <c r="UGF449" s="741"/>
      <c r="UGG449" s="741"/>
      <c r="UGH449" s="741"/>
      <c r="UGI449" s="741"/>
      <c r="UGJ449" s="741"/>
      <c r="UGK449" s="741"/>
      <c r="UGL449" s="741"/>
      <c r="UGM449" s="741"/>
      <c r="UGN449" s="741"/>
      <c r="UGO449" s="741"/>
      <c r="UGP449" s="741"/>
      <c r="UGQ449" s="741"/>
      <c r="UGR449" s="741"/>
      <c r="UGS449" s="741"/>
      <c r="UGT449" s="741"/>
      <c r="UGU449" s="741"/>
      <c r="UGV449" s="741"/>
      <c r="UGW449" s="741"/>
      <c r="UGX449" s="741"/>
      <c r="UGY449" s="741"/>
      <c r="UGZ449" s="741"/>
      <c r="UHA449" s="741"/>
      <c r="UHB449" s="741"/>
      <c r="UHC449" s="741"/>
      <c r="UHD449" s="741"/>
      <c r="UHE449" s="741"/>
      <c r="UHF449" s="741"/>
      <c r="UHG449" s="741"/>
      <c r="UHH449" s="741"/>
      <c r="UHI449" s="741"/>
      <c r="UHJ449" s="741"/>
      <c r="UHK449" s="741"/>
      <c r="UHL449" s="741"/>
      <c r="UHM449" s="741"/>
      <c r="UHN449" s="741"/>
      <c r="UHO449" s="741"/>
      <c r="UHP449" s="741"/>
      <c r="UHQ449" s="741"/>
      <c r="UHR449" s="741"/>
      <c r="UHS449" s="741"/>
      <c r="UHT449" s="741"/>
      <c r="UHU449" s="741"/>
      <c r="UHV449" s="741"/>
      <c r="UHW449" s="741"/>
      <c r="UHX449" s="741"/>
      <c r="UHY449" s="741"/>
      <c r="UHZ449" s="741"/>
      <c r="UIA449" s="741"/>
      <c r="UIB449" s="741"/>
      <c r="UIC449" s="741"/>
      <c r="UID449" s="741"/>
      <c r="UIE449" s="741"/>
      <c r="UIF449" s="741"/>
      <c r="UIG449" s="741"/>
      <c r="UIH449" s="741"/>
      <c r="UII449" s="741"/>
      <c r="UIJ449" s="741"/>
      <c r="UIK449" s="741"/>
      <c r="UIL449" s="741"/>
      <c r="UIM449" s="741"/>
      <c r="UIN449" s="741"/>
      <c r="UIO449" s="741"/>
      <c r="UIP449" s="741"/>
      <c r="UIQ449" s="741"/>
      <c r="UIR449" s="741"/>
      <c r="UIS449" s="741"/>
      <c r="UIT449" s="741"/>
      <c r="UIU449" s="741"/>
      <c r="UIV449" s="741"/>
      <c r="UIW449" s="741"/>
      <c r="UIX449" s="741"/>
      <c r="UIY449" s="741"/>
      <c r="UIZ449" s="741"/>
      <c r="UJA449" s="741"/>
      <c r="UJB449" s="741"/>
      <c r="UJC449" s="741"/>
      <c r="UJD449" s="741"/>
      <c r="UJE449" s="741"/>
      <c r="UJF449" s="741"/>
      <c r="UJG449" s="741"/>
      <c r="UJH449" s="741"/>
      <c r="UJI449" s="741"/>
      <c r="UJJ449" s="741"/>
      <c r="UJK449" s="741"/>
      <c r="UJL449" s="741"/>
      <c r="UJM449" s="741"/>
      <c r="UJN449" s="741"/>
      <c r="UJO449" s="741"/>
      <c r="UJP449" s="741"/>
      <c r="UJQ449" s="741"/>
      <c r="UJR449" s="741"/>
      <c r="UJS449" s="741"/>
      <c r="UJT449" s="741"/>
      <c r="UJU449" s="741"/>
      <c r="UJV449" s="741"/>
      <c r="UJW449" s="741"/>
      <c r="UJX449" s="741"/>
      <c r="UJY449" s="741"/>
      <c r="UJZ449" s="741"/>
      <c r="UKA449" s="741"/>
      <c r="UKB449" s="741"/>
      <c r="UKC449" s="741"/>
      <c r="UKD449" s="741"/>
      <c r="UKE449" s="741"/>
      <c r="UKF449" s="741"/>
      <c r="UKG449" s="741"/>
      <c r="UKH449" s="741"/>
      <c r="UKI449" s="741"/>
      <c r="UKJ449" s="741"/>
      <c r="UKK449" s="741"/>
      <c r="UKL449" s="741"/>
      <c r="UKM449" s="741"/>
      <c r="UKN449" s="741"/>
      <c r="UKO449" s="741"/>
      <c r="UKP449" s="741"/>
      <c r="UKQ449" s="741"/>
      <c r="UKR449" s="741"/>
      <c r="UKS449" s="741"/>
      <c r="UKT449" s="741"/>
      <c r="UKU449" s="741"/>
      <c r="UKV449" s="741"/>
      <c r="UKW449" s="741"/>
      <c r="UKX449" s="741"/>
      <c r="UKY449" s="741"/>
      <c r="UKZ449" s="741"/>
      <c r="ULA449" s="741"/>
      <c r="ULB449" s="741"/>
      <c r="ULC449" s="741"/>
      <c r="ULD449" s="741"/>
      <c r="ULE449" s="741"/>
      <c r="ULF449" s="741"/>
      <c r="ULG449" s="741"/>
      <c r="ULH449" s="741"/>
      <c r="ULI449" s="741"/>
      <c r="ULJ449" s="741"/>
      <c r="ULK449" s="741"/>
      <c r="ULL449" s="741"/>
      <c r="ULM449" s="741"/>
      <c r="ULN449" s="741"/>
      <c r="ULO449" s="741"/>
      <c r="ULP449" s="741"/>
      <c r="ULQ449" s="741"/>
      <c r="ULR449" s="741"/>
      <c r="ULS449" s="741"/>
      <c r="ULT449" s="741"/>
      <c r="ULU449" s="741"/>
      <c r="ULV449" s="741"/>
      <c r="ULW449" s="741"/>
      <c r="ULX449" s="741"/>
      <c r="ULY449" s="741"/>
      <c r="ULZ449" s="741"/>
      <c r="UMA449" s="741"/>
      <c r="UMB449" s="741"/>
      <c r="UMC449" s="741"/>
      <c r="UMD449" s="741"/>
      <c r="UME449" s="741"/>
      <c r="UMF449" s="741"/>
      <c r="UMG449" s="741"/>
      <c r="UMH449" s="741"/>
      <c r="UMI449" s="741"/>
      <c r="UMJ449" s="741"/>
      <c r="UMK449" s="741"/>
      <c r="UML449" s="741"/>
      <c r="UMM449" s="741"/>
      <c r="UMN449" s="741"/>
      <c r="UMO449" s="741"/>
      <c r="UMP449" s="741"/>
      <c r="UMQ449" s="741"/>
      <c r="UMR449" s="741"/>
      <c r="UMS449" s="741"/>
      <c r="UMT449" s="741"/>
      <c r="UMU449" s="741"/>
      <c r="UMV449" s="741"/>
      <c r="UMW449" s="741"/>
      <c r="UMX449" s="741"/>
      <c r="UMY449" s="741"/>
      <c r="UMZ449" s="741"/>
      <c r="UNA449" s="741"/>
      <c r="UNB449" s="741"/>
      <c r="UNC449" s="741"/>
      <c r="UND449" s="741"/>
      <c r="UNE449" s="741"/>
      <c r="UNF449" s="741"/>
      <c r="UNG449" s="741"/>
      <c r="UNH449" s="741"/>
      <c r="UNI449" s="741"/>
      <c r="UNJ449" s="741"/>
      <c r="UNK449" s="741"/>
      <c r="UNL449" s="741"/>
      <c r="UNM449" s="741"/>
      <c r="UNN449" s="741"/>
      <c r="UNO449" s="741"/>
      <c r="UNP449" s="741"/>
      <c r="UNQ449" s="741"/>
      <c r="UNR449" s="741"/>
      <c r="UNS449" s="741"/>
      <c r="UNT449" s="741"/>
      <c r="UNU449" s="741"/>
      <c r="UNV449" s="741"/>
      <c r="UNW449" s="741"/>
      <c r="UNX449" s="741"/>
      <c r="UNY449" s="741"/>
      <c r="UNZ449" s="741"/>
      <c r="UOA449" s="741"/>
      <c r="UOB449" s="741"/>
      <c r="UOC449" s="741"/>
      <c r="UOD449" s="741"/>
      <c r="UOE449" s="741"/>
      <c r="UOF449" s="741"/>
      <c r="UOG449" s="741"/>
      <c r="UOH449" s="741"/>
      <c r="UOI449" s="741"/>
      <c r="UOJ449" s="741"/>
      <c r="UOK449" s="741"/>
      <c r="UOL449" s="741"/>
      <c r="UOM449" s="741"/>
      <c r="UON449" s="741"/>
      <c r="UOO449" s="741"/>
      <c r="UOP449" s="741"/>
      <c r="UOQ449" s="741"/>
      <c r="UOR449" s="741"/>
      <c r="UOS449" s="741"/>
      <c r="UOT449" s="741"/>
      <c r="UOU449" s="741"/>
      <c r="UOV449" s="741"/>
      <c r="UOW449" s="741"/>
      <c r="UOX449" s="741"/>
      <c r="UOY449" s="741"/>
      <c r="UOZ449" s="741"/>
      <c r="UPA449" s="741"/>
      <c r="UPB449" s="741"/>
      <c r="UPC449" s="741"/>
      <c r="UPD449" s="741"/>
      <c r="UPE449" s="741"/>
      <c r="UPF449" s="741"/>
      <c r="UPG449" s="741"/>
      <c r="UPH449" s="741"/>
      <c r="UPI449" s="741"/>
      <c r="UPJ449" s="741"/>
      <c r="UPK449" s="741"/>
      <c r="UPL449" s="741"/>
      <c r="UPM449" s="741"/>
      <c r="UPN449" s="741"/>
      <c r="UPO449" s="741"/>
      <c r="UPP449" s="741"/>
      <c r="UPQ449" s="741"/>
      <c r="UPR449" s="741"/>
      <c r="UPS449" s="741"/>
      <c r="UPT449" s="741"/>
      <c r="UPU449" s="741"/>
      <c r="UPV449" s="741"/>
      <c r="UPW449" s="741"/>
      <c r="UPX449" s="741"/>
      <c r="UPY449" s="741"/>
      <c r="UPZ449" s="741"/>
      <c r="UQA449" s="741"/>
      <c r="UQB449" s="741"/>
      <c r="UQC449" s="741"/>
      <c r="UQD449" s="741"/>
      <c r="UQE449" s="741"/>
      <c r="UQF449" s="741"/>
      <c r="UQG449" s="741"/>
      <c r="UQH449" s="741"/>
      <c r="UQI449" s="741"/>
      <c r="UQJ449" s="741"/>
      <c r="UQK449" s="741"/>
      <c r="UQL449" s="741"/>
      <c r="UQM449" s="741"/>
      <c r="UQN449" s="741"/>
      <c r="UQO449" s="741"/>
      <c r="UQP449" s="741"/>
      <c r="UQQ449" s="741"/>
      <c r="UQR449" s="741"/>
      <c r="UQS449" s="741"/>
      <c r="UQT449" s="741"/>
      <c r="UQU449" s="741"/>
      <c r="UQV449" s="741"/>
      <c r="UQW449" s="741"/>
      <c r="UQX449" s="741"/>
      <c r="UQY449" s="741"/>
      <c r="UQZ449" s="741"/>
      <c r="URA449" s="741"/>
      <c r="URB449" s="741"/>
      <c r="URC449" s="741"/>
      <c r="URD449" s="741"/>
      <c r="URE449" s="741"/>
      <c r="URF449" s="741"/>
      <c r="URG449" s="741"/>
      <c r="URH449" s="741"/>
      <c r="URI449" s="741"/>
      <c r="URJ449" s="741"/>
      <c r="URK449" s="741"/>
      <c r="URL449" s="741"/>
      <c r="URM449" s="741"/>
      <c r="URN449" s="741"/>
      <c r="URO449" s="741"/>
      <c r="URP449" s="741"/>
      <c r="URQ449" s="741"/>
      <c r="URR449" s="741"/>
      <c r="URS449" s="741"/>
      <c r="URT449" s="741"/>
      <c r="URU449" s="741"/>
      <c r="URV449" s="741"/>
      <c r="URW449" s="741"/>
      <c r="URX449" s="741"/>
      <c r="URY449" s="741"/>
      <c r="URZ449" s="741"/>
      <c r="USA449" s="741"/>
      <c r="USB449" s="741"/>
      <c r="USC449" s="741"/>
      <c r="USD449" s="741"/>
      <c r="USE449" s="741"/>
      <c r="USF449" s="741"/>
      <c r="USG449" s="741"/>
      <c r="USH449" s="741"/>
      <c r="USI449" s="741"/>
      <c r="USJ449" s="741"/>
      <c r="USK449" s="741"/>
      <c r="USL449" s="741"/>
      <c r="USM449" s="741"/>
      <c r="USN449" s="741"/>
      <c r="USO449" s="741"/>
      <c r="USP449" s="741"/>
      <c r="USQ449" s="741"/>
      <c r="USR449" s="741"/>
      <c r="USS449" s="741"/>
      <c r="UST449" s="741"/>
      <c r="USU449" s="741"/>
      <c r="USV449" s="741"/>
      <c r="USW449" s="741"/>
      <c r="USX449" s="741"/>
      <c r="USY449" s="741"/>
      <c r="USZ449" s="741"/>
      <c r="UTA449" s="741"/>
      <c r="UTB449" s="741"/>
      <c r="UTC449" s="741"/>
      <c r="UTD449" s="741"/>
      <c r="UTE449" s="741"/>
      <c r="UTF449" s="741"/>
      <c r="UTG449" s="741"/>
      <c r="UTH449" s="741"/>
      <c r="UTI449" s="741"/>
      <c r="UTJ449" s="741"/>
      <c r="UTK449" s="741"/>
      <c r="UTL449" s="741"/>
      <c r="UTM449" s="741"/>
      <c r="UTN449" s="741"/>
      <c r="UTO449" s="741"/>
      <c r="UTP449" s="741"/>
      <c r="UTQ449" s="741"/>
      <c r="UTR449" s="741"/>
      <c r="UTS449" s="741"/>
      <c r="UTT449" s="741"/>
      <c r="UTU449" s="741"/>
      <c r="UTV449" s="741"/>
      <c r="UTW449" s="741"/>
      <c r="UTX449" s="741"/>
      <c r="UTY449" s="741"/>
      <c r="UTZ449" s="741"/>
      <c r="UUA449" s="741"/>
      <c r="UUB449" s="741"/>
      <c r="UUC449" s="741"/>
      <c r="UUD449" s="741"/>
      <c r="UUE449" s="741"/>
      <c r="UUF449" s="741"/>
      <c r="UUG449" s="741"/>
      <c r="UUH449" s="741"/>
      <c r="UUI449" s="741"/>
      <c r="UUJ449" s="741"/>
      <c r="UUK449" s="741"/>
      <c r="UUL449" s="741"/>
      <c r="UUM449" s="741"/>
      <c r="UUN449" s="741"/>
      <c r="UUO449" s="741"/>
      <c r="UUP449" s="741"/>
      <c r="UUQ449" s="741"/>
      <c r="UUR449" s="741"/>
      <c r="UUS449" s="741"/>
      <c r="UUT449" s="741"/>
      <c r="UUU449" s="741"/>
      <c r="UUV449" s="741"/>
      <c r="UUW449" s="741"/>
      <c r="UUX449" s="741"/>
      <c r="UUY449" s="741"/>
      <c r="UUZ449" s="741"/>
      <c r="UVA449" s="741"/>
      <c r="UVB449" s="741"/>
      <c r="UVC449" s="741"/>
      <c r="UVD449" s="741"/>
      <c r="UVE449" s="741"/>
      <c r="UVF449" s="741"/>
      <c r="UVG449" s="741"/>
      <c r="UVH449" s="741"/>
      <c r="UVI449" s="741"/>
      <c r="UVJ449" s="741"/>
      <c r="UVK449" s="741"/>
      <c r="UVL449" s="741"/>
      <c r="UVM449" s="741"/>
      <c r="UVN449" s="741"/>
      <c r="UVO449" s="741"/>
      <c r="UVP449" s="741"/>
      <c r="UVQ449" s="741"/>
      <c r="UVR449" s="741"/>
      <c r="UVS449" s="741"/>
      <c r="UVT449" s="741"/>
      <c r="UVU449" s="741"/>
      <c r="UVV449" s="741"/>
      <c r="UVW449" s="741"/>
      <c r="UVX449" s="741"/>
      <c r="UVY449" s="741"/>
      <c r="UVZ449" s="741"/>
      <c r="UWA449" s="741"/>
      <c r="UWB449" s="741"/>
      <c r="UWC449" s="741"/>
      <c r="UWD449" s="741"/>
      <c r="UWE449" s="741"/>
      <c r="UWF449" s="741"/>
      <c r="UWG449" s="741"/>
      <c r="UWH449" s="741"/>
      <c r="UWI449" s="741"/>
      <c r="UWJ449" s="741"/>
      <c r="UWK449" s="741"/>
      <c r="UWL449" s="741"/>
      <c r="UWM449" s="741"/>
      <c r="UWN449" s="741"/>
      <c r="UWO449" s="741"/>
      <c r="UWP449" s="741"/>
      <c r="UWQ449" s="741"/>
      <c r="UWR449" s="741"/>
      <c r="UWS449" s="741"/>
      <c r="UWT449" s="741"/>
      <c r="UWU449" s="741"/>
      <c r="UWV449" s="741"/>
      <c r="UWW449" s="741"/>
      <c r="UWX449" s="741"/>
      <c r="UWY449" s="741"/>
      <c r="UWZ449" s="741"/>
      <c r="UXA449" s="741"/>
      <c r="UXB449" s="741"/>
      <c r="UXC449" s="741"/>
      <c r="UXD449" s="741"/>
      <c r="UXE449" s="741"/>
      <c r="UXF449" s="741"/>
      <c r="UXG449" s="741"/>
      <c r="UXH449" s="741"/>
      <c r="UXI449" s="741"/>
      <c r="UXJ449" s="741"/>
      <c r="UXK449" s="741"/>
      <c r="UXL449" s="741"/>
      <c r="UXM449" s="741"/>
      <c r="UXN449" s="741"/>
      <c r="UXO449" s="741"/>
      <c r="UXP449" s="741"/>
      <c r="UXQ449" s="741"/>
      <c r="UXR449" s="741"/>
      <c r="UXS449" s="741"/>
      <c r="UXT449" s="741"/>
      <c r="UXU449" s="741"/>
      <c r="UXV449" s="741"/>
      <c r="UXW449" s="741"/>
      <c r="UXX449" s="741"/>
      <c r="UXY449" s="741"/>
      <c r="UXZ449" s="741"/>
      <c r="UYA449" s="741"/>
      <c r="UYB449" s="741"/>
      <c r="UYC449" s="741"/>
      <c r="UYD449" s="741"/>
      <c r="UYE449" s="741"/>
      <c r="UYF449" s="741"/>
      <c r="UYG449" s="741"/>
      <c r="UYH449" s="741"/>
      <c r="UYI449" s="741"/>
      <c r="UYJ449" s="741"/>
      <c r="UYK449" s="741"/>
      <c r="UYL449" s="741"/>
      <c r="UYM449" s="741"/>
      <c r="UYN449" s="741"/>
      <c r="UYO449" s="741"/>
      <c r="UYP449" s="741"/>
      <c r="UYQ449" s="741"/>
      <c r="UYR449" s="741"/>
      <c r="UYS449" s="741"/>
      <c r="UYT449" s="741"/>
      <c r="UYU449" s="741"/>
      <c r="UYV449" s="741"/>
      <c r="UYW449" s="741"/>
      <c r="UYX449" s="741"/>
      <c r="UYY449" s="741"/>
      <c r="UYZ449" s="741"/>
      <c r="UZA449" s="741"/>
      <c r="UZB449" s="741"/>
      <c r="UZC449" s="741"/>
      <c r="UZD449" s="741"/>
      <c r="UZE449" s="741"/>
      <c r="UZF449" s="741"/>
      <c r="UZG449" s="741"/>
      <c r="UZH449" s="741"/>
      <c r="UZI449" s="741"/>
      <c r="UZJ449" s="741"/>
      <c r="UZK449" s="741"/>
      <c r="UZL449" s="741"/>
      <c r="UZM449" s="741"/>
      <c r="UZN449" s="741"/>
      <c r="UZO449" s="741"/>
      <c r="UZP449" s="741"/>
      <c r="UZQ449" s="741"/>
      <c r="UZR449" s="741"/>
      <c r="UZS449" s="741"/>
      <c r="UZT449" s="741"/>
      <c r="UZU449" s="741"/>
      <c r="UZV449" s="741"/>
      <c r="UZW449" s="741"/>
      <c r="UZX449" s="741"/>
      <c r="UZY449" s="741"/>
      <c r="UZZ449" s="741"/>
      <c r="VAA449" s="741"/>
      <c r="VAB449" s="741"/>
      <c r="VAC449" s="741"/>
      <c r="VAD449" s="741"/>
      <c r="VAE449" s="741"/>
      <c r="VAF449" s="741"/>
      <c r="VAG449" s="741"/>
      <c r="VAH449" s="741"/>
      <c r="VAI449" s="741"/>
      <c r="VAJ449" s="741"/>
      <c r="VAK449" s="741"/>
      <c r="VAL449" s="741"/>
      <c r="VAM449" s="741"/>
      <c r="VAN449" s="741"/>
      <c r="VAO449" s="741"/>
      <c r="VAP449" s="741"/>
      <c r="VAQ449" s="741"/>
      <c r="VAR449" s="741"/>
      <c r="VAS449" s="741"/>
      <c r="VAT449" s="741"/>
      <c r="VAU449" s="741"/>
      <c r="VAV449" s="741"/>
      <c r="VAW449" s="741"/>
      <c r="VAX449" s="741"/>
      <c r="VAY449" s="741"/>
      <c r="VAZ449" s="741"/>
      <c r="VBA449" s="741"/>
      <c r="VBB449" s="741"/>
      <c r="VBC449" s="741"/>
      <c r="VBD449" s="741"/>
      <c r="VBE449" s="741"/>
      <c r="VBF449" s="741"/>
      <c r="VBG449" s="741"/>
      <c r="VBH449" s="741"/>
      <c r="VBI449" s="741"/>
      <c r="VBJ449" s="741"/>
      <c r="VBK449" s="741"/>
      <c r="VBL449" s="741"/>
      <c r="VBM449" s="741"/>
      <c r="VBN449" s="741"/>
      <c r="VBO449" s="741"/>
      <c r="VBP449" s="741"/>
      <c r="VBQ449" s="741"/>
      <c r="VBR449" s="741"/>
      <c r="VBS449" s="741"/>
      <c r="VBT449" s="741"/>
      <c r="VBU449" s="741"/>
      <c r="VBV449" s="741"/>
      <c r="VBW449" s="741"/>
      <c r="VBX449" s="741"/>
      <c r="VBY449" s="741"/>
      <c r="VBZ449" s="741"/>
      <c r="VCA449" s="741"/>
      <c r="VCB449" s="741"/>
      <c r="VCC449" s="741"/>
      <c r="VCD449" s="741"/>
      <c r="VCE449" s="741"/>
      <c r="VCF449" s="741"/>
      <c r="VCG449" s="741"/>
      <c r="VCH449" s="741"/>
      <c r="VCI449" s="741"/>
      <c r="VCJ449" s="741"/>
      <c r="VCK449" s="741"/>
      <c r="VCL449" s="741"/>
      <c r="VCM449" s="741"/>
      <c r="VCN449" s="741"/>
      <c r="VCO449" s="741"/>
      <c r="VCP449" s="741"/>
      <c r="VCQ449" s="741"/>
      <c r="VCR449" s="741"/>
      <c r="VCS449" s="741"/>
      <c r="VCT449" s="741"/>
      <c r="VCU449" s="741"/>
      <c r="VCV449" s="741"/>
      <c r="VCW449" s="741"/>
      <c r="VCX449" s="741"/>
      <c r="VCY449" s="741"/>
      <c r="VCZ449" s="741"/>
      <c r="VDA449" s="741"/>
      <c r="VDB449" s="741"/>
      <c r="VDC449" s="741"/>
      <c r="VDD449" s="741"/>
      <c r="VDE449" s="741"/>
      <c r="VDF449" s="741"/>
      <c r="VDG449" s="741"/>
      <c r="VDH449" s="741"/>
      <c r="VDI449" s="741"/>
      <c r="VDJ449" s="741"/>
      <c r="VDK449" s="741"/>
      <c r="VDL449" s="741"/>
      <c r="VDM449" s="741"/>
      <c r="VDN449" s="741"/>
      <c r="VDO449" s="741"/>
      <c r="VDP449" s="741"/>
      <c r="VDQ449" s="741"/>
      <c r="VDR449" s="741"/>
      <c r="VDS449" s="741"/>
      <c r="VDT449" s="741"/>
      <c r="VDU449" s="741"/>
      <c r="VDV449" s="741"/>
      <c r="VDW449" s="741"/>
      <c r="VDX449" s="741"/>
      <c r="VDY449" s="741"/>
      <c r="VDZ449" s="741"/>
      <c r="VEA449" s="741"/>
      <c r="VEB449" s="741"/>
      <c r="VEC449" s="741"/>
      <c r="VED449" s="741"/>
      <c r="VEE449" s="741"/>
      <c r="VEF449" s="741"/>
      <c r="VEG449" s="741"/>
      <c r="VEH449" s="741"/>
      <c r="VEI449" s="741"/>
      <c r="VEJ449" s="741"/>
      <c r="VEK449" s="741"/>
      <c r="VEL449" s="741"/>
      <c r="VEM449" s="741"/>
      <c r="VEN449" s="741"/>
      <c r="VEO449" s="741"/>
      <c r="VEP449" s="741"/>
      <c r="VEQ449" s="741"/>
      <c r="VER449" s="741"/>
      <c r="VES449" s="741"/>
      <c r="VET449" s="741"/>
      <c r="VEU449" s="741"/>
      <c r="VEV449" s="741"/>
      <c r="VEW449" s="741"/>
      <c r="VEX449" s="741"/>
      <c r="VEY449" s="741"/>
      <c r="VEZ449" s="741"/>
      <c r="VFA449" s="741"/>
      <c r="VFB449" s="741"/>
      <c r="VFC449" s="741"/>
      <c r="VFD449" s="741"/>
      <c r="VFE449" s="741"/>
      <c r="VFF449" s="741"/>
      <c r="VFG449" s="741"/>
      <c r="VFH449" s="741"/>
      <c r="VFI449" s="741"/>
      <c r="VFJ449" s="741"/>
      <c r="VFK449" s="741"/>
      <c r="VFL449" s="741"/>
      <c r="VFM449" s="741"/>
      <c r="VFN449" s="741"/>
      <c r="VFO449" s="741"/>
      <c r="VFP449" s="741"/>
      <c r="VFQ449" s="741"/>
      <c r="VFR449" s="741"/>
      <c r="VFS449" s="741"/>
      <c r="VFT449" s="741"/>
      <c r="VFU449" s="741"/>
      <c r="VFV449" s="741"/>
      <c r="VFW449" s="741"/>
      <c r="VFX449" s="741"/>
      <c r="VFY449" s="741"/>
      <c r="VFZ449" s="741"/>
      <c r="VGA449" s="741"/>
      <c r="VGB449" s="741"/>
      <c r="VGC449" s="741"/>
      <c r="VGD449" s="741"/>
      <c r="VGE449" s="741"/>
      <c r="VGF449" s="741"/>
      <c r="VGG449" s="741"/>
      <c r="VGH449" s="741"/>
      <c r="VGI449" s="741"/>
      <c r="VGJ449" s="741"/>
      <c r="VGK449" s="741"/>
      <c r="VGL449" s="741"/>
      <c r="VGM449" s="741"/>
      <c r="VGN449" s="741"/>
      <c r="VGO449" s="741"/>
      <c r="VGP449" s="741"/>
      <c r="VGQ449" s="741"/>
      <c r="VGR449" s="741"/>
      <c r="VGS449" s="741"/>
      <c r="VGT449" s="741"/>
      <c r="VGU449" s="741"/>
      <c r="VGV449" s="741"/>
      <c r="VGW449" s="741"/>
      <c r="VGX449" s="741"/>
      <c r="VGY449" s="741"/>
      <c r="VGZ449" s="741"/>
      <c r="VHA449" s="741"/>
      <c r="VHB449" s="741"/>
      <c r="VHC449" s="741"/>
      <c r="VHD449" s="741"/>
      <c r="VHE449" s="741"/>
      <c r="VHF449" s="741"/>
      <c r="VHG449" s="741"/>
      <c r="VHH449" s="741"/>
      <c r="VHI449" s="741"/>
      <c r="VHJ449" s="741"/>
      <c r="VHK449" s="741"/>
      <c r="VHL449" s="741"/>
      <c r="VHM449" s="741"/>
      <c r="VHN449" s="741"/>
      <c r="VHO449" s="741"/>
      <c r="VHP449" s="741"/>
      <c r="VHQ449" s="741"/>
      <c r="VHR449" s="741"/>
      <c r="VHS449" s="741"/>
      <c r="VHT449" s="741"/>
      <c r="VHU449" s="741"/>
      <c r="VHV449" s="741"/>
      <c r="VHW449" s="741"/>
      <c r="VHX449" s="741"/>
      <c r="VHY449" s="741"/>
      <c r="VHZ449" s="741"/>
      <c r="VIA449" s="741"/>
      <c r="VIB449" s="741"/>
      <c r="VIC449" s="741"/>
      <c r="VID449" s="741"/>
      <c r="VIE449" s="741"/>
      <c r="VIF449" s="741"/>
      <c r="VIG449" s="741"/>
      <c r="VIH449" s="741"/>
      <c r="VII449" s="741"/>
      <c r="VIJ449" s="741"/>
      <c r="VIK449" s="741"/>
      <c r="VIL449" s="741"/>
      <c r="VIM449" s="741"/>
      <c r="VIN449" s="741"/>
      <c r="VIO449" s="741"/>
      <c r="VIP449" s="741"/>
      <c r="VIQ449" s="741"/>
      <c r="VIR449" s="741"/>
      <c r="VIS449" s="741"/>
      <c r="VIT449" s="741"/>
      <c r="VIU449" s="741"/>
      <c r="VIV449" s="741"/>
      <c r="VIW449" s="741"/>
      <c r="VIX449" s="741"/>
      <c r="VIY449" s="741"/>
      <c r="VIZ449" s="741"/>
      <c r="VJA449" s="741"/>
      <c r="VJB449" s="741"/>
      <c r="VJC449" s="741"/>
      <c r="VJD449" s="741"/>
      <c r="VJE449" s="741"/>
      <c r="VJF449" s="741"/>
      <c r="VJG449" s="741"/>
      <c r="VJH449" s="741"/>
      <c r="VJI449" s="741"/>
      <c r="VJJ449" s="741"/>
      <c r="VJK449" s="741"/>
      <c r="VJL449" s="741"/>
      <c r="VJM449" s="741"/>
      <c r="VJN449" s="741"/>
      <c r="VJO449" s="741"/>
      <c r="VJP449" s="741"/>
      <c r="VJQ449" s="741"/>
      <c r="VJR449" s="741"/>
      <c r="VJS449" s="741"/>
      <c r="VJT449" s="741"/>
      <c r="VJU449" s="741"/>
      <c r="VJV449" s="741"/>
      <c r="VJW449" s="741"/>
      <c r="VJX449" s="741"/>
      <c r="VJY449" s="741"/>
      <c r="VJZ449" s="741"/>
      <c r="VKA449" s="741"/>
      <c r="VKB449" s="741"/>
      <c r="VKC449" s="741"/>
      <c r="VKD449" s="741"/>
      <c r="VKE449" s="741"/>
      <c r="VKF449" s="741"/>
      <c r="VKG449" s="741"/>
      <c r="VKH449" s="741"/>
      <c r="VKI449" s="741"/>
      <c r="VKJ449" s="741"/>
      <c r="VKK449" s="741"/>
      <c r="VKL449" s="741"/>
      <c r="VKM449" s="741"/>
      <c r="VKN449" s="741"/>
      <c r="VKO449" s="741"/>
      <c r="VKP449" s="741"/>
      <c r="VKQ449" s="741"/>
      <c r="VKR449" s="741"/>
      <c r="VKS449" s="741"/>
      <c r="VKT449" s="741"/>
      <c r="VKU449" s="741"/>
      <c r="VKV449" s="741"/>
      <c r="VKW449" s="741"/>
      <c r="VKX449" s="741"/>
      <c r="VKY449" s="741"/>
      <c r="VKZ449" s="741"/>
      <c r="VLA449" s="741"/>
      <c r="VLB449" s="741"/>
      <c r="VLC449" s="741"/>
      <c r="VLD449" s="741"/>
      <c r="VLE449" s="741"/>
      <c r="VLF449" s="741"/>
      <c r="VLG449" s="741"/>
      <c r="VLH449" s="741"/>
      <c r="VLI449" s="741"/>
      <c r="VLJ449" s="741"/>
      <c r="VLK449" s="741"/>
      <c r="VLL449" s="741"/>
      <c r="VLM449" s="741"/>
      <c r="VLN449" s="741"/>
      <c r="VLO449" s="741"/>
      <c r="VLP449" s="741"/>
      <c r="VLQ449" s="741"/>
      <c r="VLR449" s="741"/>
      <c r="VLS449" s="741"/>
      <c r="VLT449" s="741"/>
      <c r="VLU449" s="741"/>
      <c r="VLV449" s="741"/>
      <c r="VLW449" s="741"/>
      <c r="VLX449" s="741"/>
      <c r="VLY449" s="741"/>
      <c r="VLZ449" s="741"/>
      <c r="VMA449" s="741"/>
      <c r="VMB449" s="741"/>
      <c r="VMC449" s="741"/>
      <c r="VMD449" s="741"/>
      <c r="VME449" s="741"/>
      <c r="VMF449" s="741"/>
      <c r="VMG449" s="741"/>
      <c r="VMH449" s="741"/>
      <c r="VMI449" s="741"/>
      <c r="VMJ449" s="741"/>
      <c r="VMK449" s="741"/>
      <c r="VML449" s="741"/>
      <c r="VMM449" s="741"/>
      <c r="VMN449" s="741"/>
      <c r="VMO449" s="741"/>
      <c r="VMP449" s="741"/>
      <c r="VMQ449" s="741"/>
      <c r="VMR449" s="741"/>
      <c r="VMS449" s="741"/>
      <c r="VMT449" s="741"/>
      <c r="VMU449" s="741"/>
      <c r="VMV449" s="741"/>
      <c r="VMW449" s="741"/>
      <c r="VMX449" s="741"/>
      <c r="VMY449" s="741"/>
      <c r="VMZ449" s="741"/>
      <c r="VNA449" s="741"/>
      <c r="VNB449" s="741"/>
      <c r="VNC449" s="741"/>
      <c r="VND449" s="741"/>
      <c r="VNE449" s="741"/>
      <c r="VNF449" s="741"/>
      <c r="VNG449" s="741"/>
      <c r="VNH449" s="741"/>
      <c r="VNI449" s="741"/>
      <c r="VNJ449" s="741"/>
      <c r="VNK449" s="741"/>
      <c r="VNL449" s="741"/>
      <c r="VNM449" s="741"/>
      <c r="VNN449" s="741"/>
      <c r="VNO449" s="741"/>
      <c r="VNP449" s="741"/>
      <c r="VNQ449" s="741"/>
      <c r="VNR449" s="741"/>
      <c r="VNS449" s="741"/>
      <c r="VNT449" s="741"/>
      <c r="VNU449" s="741"/>
      <c r="VNV449" s="741"/>
      <c r="VNW449" s="741"/>
      <c r="VNX449" s="741"/>
      <c r="VNY449" s="741"/>
      <c r="VNZ449" s="741"/>
      <c r="VOA449" s="741"/>
      <c r="VOB449" s="741"/>
      <c r="VOC449" s="741"/>
      <c r="VOD449" s="741"/>
      <c r="VOE449" s="741"/>
      <c r="VOF449" s="741"/>
      <c r="VOG449" s="741"/>
      <c r="VOH449" s="741"/>
      <c r="VOI449" s="741"/>
      <c r="VOJ449" s="741"/>
      <c r="VOK449" s="741"/>
      <c r="VOL449" s="741"/>
      <c r="VOM449" s="741"/>
      <c r="VON449" s="741"/>
      <c r="VOO449" s="741"/>
      <c r="VOP449" s="741"/>
      <c r="VOQ449" s="741"/>
      <c r="VOR449" s="741"/>
      <c r="VOS449" s="741"/>
      <c r="VOT449" s="741"/>
      <c r="VOU449" s="741"/>
      <c r="VOV449" s="741"/>
      <c r="VOW449" s="741"/>
      <c r="VOX449" s="741"/>
      <c r="VOY449" s="741"/>
      <c r="VOZ449" s="741"/>
      <c r="VPA449" s="741"/>
      <c r="VPB449" s="741"/>
      <c r="VPC449" s="741"/>
      <c r="VPD449" s="741"/>
      <c r="VPE449" s="741"/>
      <c r="VPF449" s="741"/>
      <c r="VPG449" s="741"/>
      <c r="VPH449" s="741"/>
      <c r="VPI449" s="741"/>
      <c r="VPJ449" s="741"/>
      <c r="VPK449" s="741"/>
      <c r="VPL449" s="741"/>
      <c r="VPM449" s="741"/>
      <c r="VPN449" s="741"/>
      <c r="VPO449" s="741"/>
      <c r="VPP449" s="741"/>
      <c r="VPQ449" s="741"/>
      <c r="VPR449" s="741"/>
      <c r="VPS449" s="741"/>
      <c r="VPT449" s="741"/>
      <c r="VPU449" s="741"/>
      <c r="VPV449" s="741"/>
      <c r="VPW449" s="741"/>
      <c r="VPX449" s="741"/>
      <c r="VPY449" s="741"/>
      <c r="VPZ449" s="741"/>
      <c r="VQA449" s="741"/>
      <c r="VQB449" s="741"/>
      <c r="VQC449" s="741"/>
      <c r="VQD449" s="741"/>
      <c r="VQE449" s="741"/>
      <c r="VQF449" s="741"/>
      <c r="VQG449" s="741"/>
      <c r="VQH449" s="741"/>
      <c r="VQI449" s="741"/>
      <c r="VQJ449" s="741"/>
      <c r="VQK449" s="741"/>
      <c r="VQL449" s="741"/>
      <c r="VQM449" s="741"/>
      <c r="VQN449" s="741"/>
      <c r="VQO449" s="741"/>
      <c r="VQP449" s="741"/>
      <c r="VQQ449" s="741"/>
      <c r="VQR449" s="741"/>
      <c r="VQS449" s="741"/>
      <c r="VQT449" s="741"/>
      <c r="VQU449" s="741"/>
      <c r="VQV449" s="741"/>
      <c r="VQW449" s="741"/>
      <c r="VQX449" s="741"/>
      <c r="VQY449" s="741"/>
      <c r="VQZ449" s="741"/>
      <c r="VRA449" s="741"/>
      <c r="VRB449" s="741"/>
      <c r="VRC449" s="741"/>
      <c r="VRD449" s="741"/>
      <c r="VRE449" s="741"/>
      <c r="VRF449" s="741"/>
      <c r="VRG449" s="741"/>
      <c r="VRH449" s="741"/>
      <c r="VRI449" s="741"/>
      <c r="VRJ449" s="741"/>
      <c r="VRK449" s="741"/>
      <c r="VRL449" s="741"/>
      <c r="VRM449" s="741"/>
      <c r="VRN449" s="741"/>
      <c r="VRO449" s="741"/>
      <c r="VRP449" s="741"/>
      <c r="VRQ449" s="741"/>
      <c r="VRR449" s="741"/>
      <c r="VRS449" s="741"/>
      <c r="VRT449" s="741"/>
      <c r="VRU449" s="741"/>
      <c r="VRV449" s="741"/>
      <c r="VRW449" s="741"/>
      <c r="VRX449" s="741"/>
      <c r="VRY449" s="741"/>
      <c r="VRZ449" s="741"/>
      <c r="VSA449" s="741"/>
      <c r="VSB449" s="741"/>
      <c r="VSC449" s="741"/>
      <c r="VSD449" s="741"/>
      <c r="VSE449" s="741"/>
      <c r="VSF449" s="741"/>
      <c r="VSG449" s="741"/>
      <c r="VSH449" s="741"/>
      <c r="VSI449" s="741"/>
      <c r="VSJ449" s="741"/>
      <c r="VSK449" s="741"/>
      <c r="VSL449" s="741"/>
      <c r="VSM449" s="741"/>
      <c r="VSN449" s="741"/>
      <c r="VSO449" s="741"/>
      <c r="VSP449" s="741"/>
      <c r="VSQ449" s="741"/>
      <c r="VSR449" s="741"/>
      <c r="VSS449" s="741"/>
      <c r="VST449" s="741"/>
      <c r="VSU449" s="741"/>
      <c r="VSV449" s="741"/>
      <c r="VSW449" s="741"/>
      <c r="VSX449" s="741"/>
      <c r="VSY449" s="741"/>
      <c r="VSZ449" s="741"/>
      <c r="VTA449" s="741"/>
      <c r="VTB449" s="741"/>
      <c r="VTC449" s="741"/>
      <c r="VTD449" s="741"/>
      <c r="VTE449" s="741"/>
      <c r="VTF449" s="741"/>
      <c r="VTG449" s="741"/>
      <c r="VTH449" s="741"/>
      <c r="VTI449" s="741"/>
      <c r="VTJ449" s="741"/>
      <c r="VTK449" s="741"/>
      <c r="VTL449" s="741"/>
      <c r="VTM449" s="741"/>
      <c r="VTN449" s="741"/>
      <c r="VTO449" s="741"/>
      <c r="VTP449" s="741"/>
      <c r="VTQ449" s="741"/>
      <c r="VTR449" s="741"/>
      <c r="VTS449" s="741"/>
      <c r="VTT449" s="741"/>
      <c r="VTU449" s="741"/>
      <c r="VTV449" s="741"/>
      <c r="VTW449" s="741"/>
      <c r="VTX449" s="741"/>
      <c r="VTY449" s="741"/>
      <c r="VTZ449" s="741"/>
      <c r="VUA449" s="741"/>
      <c r="VUB449" s="741"/>
      <c r="VUC449" s="741"/>
      <c r="VUD449" s="741"/>
      <c r="VUE449" s="741"/>
      <c r="VUF449" s="741"/>
      <c r="VUG449" s="741"/>
      <c r="VUH449" s="741"/>
      <c r="VUI449" s="741"/>
      <c r="VUJ449" s="741"/>
      <c r="VUK449" s="741"/>
      <c r="VUL449" s="741"/>
      <c r="VUM449" s="741"/>
      <c r="VUN449" s="741"/>
      <c r="VUO449" s="741"/>
      <c r="VUP449" s="741"/>
      <c r="VUQ449" s="741"/>
      <c r="VUR449" s="741"/>
      <c r="VUS449" s="741"/>
      <c r="VUT449" s="741"/>
      <c r="VUU449" s="741"/>
      <c r="VUV449" s="741"/>
      <c r="VUW449" s="741"/>
      <c r="VUX449" s="741"/>
      <c r="VUY449" s="741"/>
      <c r="VUZ449" s="741"/>
      <c r="VVA449" s="741"/>
      <c r="VVB449" s="741"/>
      <c r="VVC449" s="741"/>
      <c r="VVD449" s="741"/>
      <c r="VVE449" s="741"/>
      <c r="VVF449" s="741"/>
      <c r="VVG449" s="741"/>
      <c r="VVH449" s="741"/>
      <c r="VVI449" s="741"/>
      <c r="VVJ449" s="741"/>
      <c r="VVK449" s="741"/>
      <c r="VVL449" s="741"/>
      <c r="VVM449" s="741"/>
      <c r="VVN449" s="741"/>
      <c r="VVO449" s="741"/>
      <c r="VVP449" s="741"/>
      <c r="VVQ449" s="741"/>
      <c r="VVR449" s="741"/>
      <c r="VVS449" s="741"/>
      <c r="VVT449" s="741"/>
      <c r="VVU449" s="741"/>
      <c r="VVV449" s="741"/>
      <c r="VVW449" s="741"/>
      <c r="VVX449" s="741"/>
      <c r="VVY449" s="741"/>
      <c r="VVZ449" s="741"/>
      <c r="VWA449" s="741"/>
      <c r="VWB449" s="741"/>
      <c r="VWC449" s="741"/>
      <c r="VWD449" s="741"/>
      <c r="VWE449" s="741"/>
      <c r="VWF449" s="741"/>
      <c r="VWG449" s="741"/>
      <c r="VWH449" s="741"/>
      <c r="VWI449" s="741"/>
      <c r="VWJ449" s="741"/>
      <c r="VWK449" s="741"/>
      <c r="VWL449" s="741"/>
      <c r="VWM449" s="741"/>
      <c r="VWN449" s="741"/>
      <c r="VWO449" s="741"/>
      <c r="VWP449" s="741"/>
      <c r="VWQ449" s="741"/>
      <c r="VWR449" s="741"/>
      <c r="VWS449" s="741"/>
      <c r="VWT449" s="741"/>
      <c r="VWU449" s="741"/>
      <c r="VWV449" s="741"/>
      <c r="VWW449" s="741"/>
      <c r="VWX449" s="741"/>
      <c r="VWY449" s="741"/>
      <c r="VWZ449" s="741"/>
      <c r="VXA449" s="741"/>
      <c r="VXB449" s="741"/>
      <c r="VXC449" s="741"/>
      <c r="VXD449" s="741"/>
      <c r="VXE449" s="741"/>
      <c r="VXF449" s="741"/>
      <c r="VXG449" s="741"/>
      <c r="VXH449" s="741"/>
      <c r="VXI449" s="741"/>
      <c r="VXJ449" s="741"/>
      <c r="VXK449" s="741"/>
      <c r="VXL449" s="741"/>
      <c r="VXM449" s="741"/>
      <c r="VXN449" s="741"/>
      <c r="VXO449" s="741"/>
      <c r="VXP449" s="741"/>
      <c r="VXQ449" s="741"/>
      <c r="VXR449" s="741"/>
      <c r="VXS449" s="741"/>
      <c r="VXT449" s="741"/>
      <c r="VXU449" s="741"/>
      <c r="VXV449" s="741"/>
      <c r="VXW449" s="741"/>
      <c r="VXX449" s="741"/>
      <c r="VXY449" s="741"/>
      <c r="VXZ449" s="741"/>
      <c r="VYA449" s="741"/>
      <c r="VYB449" s="741"/>
      <c r="VYC449" s="741"/>
      <c r="VYD449" s="741"/>
      <c r="VYE449" s="741"/>
      <c r="VYF449" s="741"/>
      <c r="VYG449" s="741"/>
      <c r="VYH449" s="741"/>
      <c r="VYI449" s="741"/>
      <c r="VYJ449" s="741"/>
      <c r="VYK449" s="741"/>
      <c r="VYL449" s="741"/>
      <c r="VYM449" s="741"/>
      <c r="VYN449" s="741"/>
      <c r="VYO449" s="741"/>
      <c r="VYP449" s="741"/>
      <c r="VYQ449" s="741"/>
      <c r="VYR449" s="741"/>
      <c r="VYS449" s="741"/>
      <c r="VYT449" s="741"/>
      <c r="VYU449" s="741"/>
      <c r="VYV449" s="741"/>
      <c r="VYW449" s="741"/>
      <c r="VYX449" s="741"/>
      <c r="VYY449" s="741"/>
      <c r="VYZ449" s="741"/>
      <c r="VZA449" s="741"/>
      <c r="VZB449" s="741"/>
      <c r="VZC449" s="741"/>
      <c r="VZD449" s="741"/>
      <c r="VZE449" s="741"/>
      <c r="VZF449" s="741"/>
      <c r="VZG449" s="741"/>
      <c r="VZH449" s="741"/>
      <c r="VZI449" s="741"/>
      <c r="VZJ449" s="741"/>
      <c r="VZK449" s="741"/>
      <c r="VZL449" s="741"/>
      <c r="VZM449" s="741"/>
      <c r="VZN449" s="741"/>
      <c r="VZO449" s="741"/>
      <c r="VZP449" s="741"/>
      <c r="VZQ449" s="741"/>
      <c r="VZR449" s="741"/>
      <c r="VZS449" s="741"/>
      <c r="VZT449" s="741"/>
      <c r="VZU449" s="741"/>
      <c r="VZV449" s="741"/>
      <c r="VZW449" s="741"/>
      <c r="VZX449" s="741"/>
      <c r="VZY449" s="741"/>
      <c r="VZZ449" s="741"/>
      <c r="WAA449" s="741"/>
      <c r="WAB449" s="741"/>
      <c r="WAC449" s="741"/>
      <c r="WAD449" s="741"/>
      <c r="WAE449" s="741"/>
      <c r="WAF449" s="741"/>
      <c r="WAG449" s="741"/>
      <c r="WAH449" s="741"/>
      <c r="WAI449" s="741"/>
      <c r="WAJ449" s="741"/>
      <c r="WAK449" s="741"/>
      <c r="WAL449" s="741"/>
      <c r="WAM449" s="741"/>
      <c r="WAN449" s="741"/>
      <c r="WAO449" s="741"/>
      <c r="WAP449" s="741"/>
      <c r="WAQ449" s="741"/>
      <c r="WAR449" s="741"/>
      <c r="WAS449" s="741"/>
      <c r="WAT449" s="741"/>
      <c r="WAU449" s="741"/>
      <c r="WAV449" s="741"/>
      <c r="WAW449" s="741"/>
      <c r="WAX449" s="741"/>
      <c r="WAY449" s="741"/>
      <c r="WAZ449" s="741"/>
      <c r="WBA449" s="741"/>
      <c r="WBB449" s="741"/>
      <c r="WBC449" s="741"/>
      <c r="WBD449" s="741"/>
      <c r="WBE449" s="741"/>
      <c r="WBF449" s="741"/>
      <c r="WBG449" s="741"/>
      <c r="WBH449" s="741"/>
      <c r="WBI449" s="741"/>
      <c r="WBJ449" s="741"/>
      <c r="WBK449" s="741"/>
      <c r="WBL449" s="741"/>
      <c r="WBM449" s="741"/>
      <c r="WBN449" s="741"/>
      <c r="WBO449" s="741"/>
      <c r="WBP449" s="741"/>
      <c r="WBQ449" s="741"/>
      <c r="WBR449" s="741"/>
      <c r="WBS449" s="741"/>
      <c r="WBT449" s="741"/>
      <c r="WBU449" s="741"/>
      <c r="WBV449" s="741"/>
      <c r="WBW449" s="741"/>
      <c r="WBX449" s="741"/>
      <c r="WBY449" s="741"/>
      <c r="WBZ449" s="741"/>
      <c r="WCA449" s="741"/>
      <c r="WCB449" s="741"/>
      <c r="WCC449" s="741"/>
      <c r="WCD449" s="741"/>
      <c r="WCE449" s="741"/>
      <c r="WCF449" s="741"/>
      <c r="WCG449" s="741"/>
      <c r="WCH449" s="741"/>
      <c r="WCI449" s="741"/>
      <c r="WCJ449" s="741"/>
      <c r="WCK449" s="741"/>
      <c r="WCL449" s="741"/>
      <c r="WCM449" s="741"/>
      <c r="WCN449" s="741"/>
      <c r="WCO449" s="741"/>
      <c r="WCP449" s="741"/>
      <c r="WCQ449" s="741"/>
      <c r="WCR449" s="741"/>
      <c r="WCS449" s="741"/>
      <c r="WCT449" s="741"/>
      <c r="WCU449" s="741"/>
      <c r="WCV449" s="741"/>
      <c r="WCW449" s="741"/>
      <c r="WCX449" s="741"/>
      <c r="WCY449" s="741"/>
      <c r="WCZ449" s="741"/>
      <c r="WDA449" s="741"/>
      <c r="WDB449" s="741"/>
      <c r="WDC449" s="741"/>
      <c r="WDD449" s="741"/>
      <c r="WDE449" s="741"/>
      <c r="WDF449" s="741"/>
      <c r="WDG449" s="741"/>
      <c r="WDH449" s="741"/>
      <c r="WDI449" s="741"/>
      <c r="WDJ449" s="741"/>
      <c r="WDK449" s="741"/>
      <c r="WDL449" s="741"/>
      <c r="WDM449" s="741"/>
      <c r="WDN449" s="741"/>
      <c r="WDO449" s="741"/>
      <c r="WDP449" s="741"/>
      <c r="WDQ449" s="741"/>
      <c r="WDR449" s="741"/>
      <c r="WDS449" s="741"/>
      <c r="WDT449" s="741"/>
      <c r="WDU449" s="741"/>
      <c r="WDV449" s="741"/>
      <c r="WDW449" s="741"/>
      <c r="WDX449" s="741"/>
      <c r="WDY449" s="741"/>
      <c r="WDZ449" s="741"/>
      <c r="WEA449" s="741"/>
      <c r="WEB449" s="741"/>
      <c r="WEC449" s="741"/>
      <c r="WED449" s="741"/>
      <c r="WEE449" s="741"/>
      <c r="WEF449" s="741"/>
      <c r="WEG449" s="741"/>
      <c r="WEH449" s="741"/>
      <c r="WEI449" s="741"/>
      <c r="WEJ449" s="741"/>
      <c r="WEK449" s="741"/>
      <c r="WEL449" s="741"/>
      <c r="WEM449" s="741"/>
      <c r="WEN449" s="741"/>
      <c r="WEO449" s="741"/>
      <c r="WEP449" s="741"/>
      <c r="WEQ449" s="741"/>
      <c r="WER449" s="741"/>
      <c r="WES449" s="741"/>
      <c r="WET449" s="741"/>
      <c r="WEU449" s="741"/>
      <c r="WEV449" s="741"/>
      <c r="WEW449" s="741"/>
      <c r="WEX449" s="741"/>
      <c r="WEY449" s="741"/>
      <c r="WEZ449" s="741"/>
      <c r="WFA449" s="741"/>
      <c r="WFB449" s="741"/>
      <c r="WFC449" s="741"/>
      <c r="WFD449" s="741"/>
      <c r="WFE449" s="741"/>
      <c r="WFF449" s="741"/>
      <c r="WFG449" s="741"/>
      <c r="WFH449" s="741"/>
      <c r="WFI449" s="741"/>
      <c r="WFJ449" s="741"/>
      <c r="WFK449" s="741"/>
      <c r="WFL449" s="741"/>
      <c r="WFM449" s="741"/>
      <c r="WFN449" s="741"/>
      <c r="WFO449" s="741"/>
      <c r="WFP449" s="741"/>
      <c r="WFQ449" s="741"/>
      <c r="WFR449" s="741"/>
      <c r="WFS449" s="741"/>
      <c r="WFT449" s="741"/>
      <c r="WFU449" s="741"/>
      <c r="WFV449" s="741"/>
      <c r="WFW449" s="741"/>
      <c r="WFX449" s="741"/>
      <c r="WFY449" s="741"/>
      <c r="WFZ449" s="741"/>
      <c r="WGA449" s="741"/>
      <c r="WGB449" s="741"/>
      <c r="WGC449" s="741"/>
      <c r="WGD449" s="741"/>
      <c r="WGE449" s="741"/>
      <c r="WGF449" s="741"/>
      <c r="WGG449" s="741"/>
      <c r="WGH449" s="741"/>
      <c r="WGI449" s="741"/>
      <c r="WGJ449" s="741"/>
      <c r="WGK449" s="741"/>
      <c r="WGL449" s="741"/>
      <c r="WGM449" s="741"/>
      <c r="WGN449" s="741"/>
      <c r="WGO449" s="741"/>
      <c r="WGP449" s="741"/>
      <c r="WGQ449" s="741"/>
      <c r="WGR449" s="741"/>
      <c r="WGS449" s="741"/>
      <c r="WGT449" s="741"/>
      <c r="WGU449" s="741"/>
      <c r="WGV449" s="741"/>
      <c r="WGW449" s="741"/>
      <c r="WGX449" s="741"/>
      <c r="WGY449" s="741"/>
      <c r="WGZ449" s="741"/>
      <c r="WHA449" s="741"/>
      <c r="WHB449" s="741"/>
      <c r="WHC449" s="741"/>
      <c r="WHD449" s="741"/>
      <c r="WHE449" s="741"/>
      <c r="WHF449" s="741"/>
      <c r="WHG449" s="741"/>
      <c r="WHH449" s="741"/>
      <c r="WHI449" s="741"/>
      <c r="WHJ449" s="741"/>
      <c r="WHK449" s="741"/>
      <c r="WHL449" s="741"/>
      <c r="WHM449" s="741"/>
      <c r="WHN449" s="741"/>
      <c r="WHO449" s="741"/>
      <c r="WHP449" s="741"/>
      <c r="WHQ449" s="741"/>
      <c r="WHR449" s="741"/>
      <c r="WHS449" s="741"/>
      <c r="WHT449" s="741"/>
      <c r="WHU449" s="741"/>
      <c r="WHV449" s="741"/>
      <c r="WHW449" s="741"/>
      <c r="WHX449" s="741"/>
      <c r="WHY449" s="741"/>
      <c r="WHZ449" s="741"/>
      <c r="WIA449" s="741"/>
      <c r="WIB449" s="741"/>
      <c r="WIC449" s="741"/>
      <c r="WID449" s="741"/>
      <c r="WIE449" s="741"/>
      <c r="WIF449" s="741"/>
      <c r="WIG449" s="741"/>
      <c r="WIH449" s="741"/>
      <c r="WII449" s="741"/>
      <c r="WIJ449" s="741"/>
      <c r="WIK449" s="741"/>
      <c r="WIL449" s="741"/>
      <c r="WIM449" s="741"/>
      <c r="WIN449" s="741"/>
      <c r="WIO449" s="741"/>
      <c r="WIP449" s="741"/>
      <c r="WIQ449" s="741"/>
      <c r="WIR449" s="741"/>
      <c r="WIS449" s="741"/>
      <c r="WIT449" s="741"/>
      <c r="WIU449" s="741"/>
      <c r="WIV449" s="741"/>
      <c r="WIW449" s="741"/>
      <c r="WIX449" s="741"/>
      <c r="WIY449" s="741"/>
      <c r="WIZ449" s="741"/>
      <c r="WJA449" s="741"/>
      <c r="WJB449" s="741"/>
      <c r="WJC449" s="741"/>
      <c r="WJD449" s="741"/>
      <c r="WJE449" s="741"/>
      <c r="WJF449" s="741"/>
      <c r="WJG449" s="741"/>
      <c r="WJH449" s="741"/>
      <c r="WJI449" s="741"/>
      <c r="WJJ449" s="741"/>
      <c r="WJK449" s="741"/>
      <c r="WJL449" s="741"/>
      <c r="WJM449" s="741"/>
      <c r="WJN449" s="741"/>
      <c r="WJO449" s="741"/>
      <c r="WJP449" s="741"/>
      <c r="WJQ449" s="741"/>
      <c r="WJR449" s="741"/>
      <c r="WJS449" s="741"/>
      <c r="WJT449" s="741"/>
      <c r="WJU449" s="741"/>
      <c r="WJV449" s="741"/>
      <c r="WJW449" s="741"/>
      <c r="WJX449" s="741"/>
      <c r="WJY449" s="741"/>
      <c r="WJZ449" s="741"/>
      <c r="WKA449" s="741"/>
      <c r="WKB449" s="741"/>
      <c r="WKC449" s="741"/>
      <c r="WKD449" s="741"/>
      <c r="WKE449" s="741"/>
      <c r="WKF449" s="741"/>
      <c r="WKG449" s="741"/>
      <c r="WKH449" s="741"/>
      <c r="WKI449" s="741"/>
      <c r="WKJ449" s="741"/>
      <c r="WKK449" s="741"/>
      <c r="WKL449" s="741"/>
      <c r="WKM449" s="741"/>
      <c r="WKN449" s="741"/>
      <c r="WKO449" s="741"/>
      <c r="WKP449" s="741"/>
      <c r="WKQ449" s="741"/>
      <c r="WKR449" s="741"/>
      <c r="WKS449" s="741"/>
      <c r="WKT449" s="741"/>
      <c r="WKU449" s="741"/>
      <c r="WKV449" s="741"/>
      <c r="WKW449" s="741"/>
      <c r="WKX449" s="741"/>
      <c r="WKY449" s="741"/>
      <c r="WKZ449" s="741"/>
      <c r="WLA449" s="741"/>
      <c r="WLB449" s="741"/>
      <c r="WLC449" s="741"/>
      <c r="WLD449" s="741"/>
      <c r="WLE449" s="741"/>
      <c r="WLF449" s="741"/>
      <c r="WLG449" s="741"/>
      <c r="WLH449" s="741"/>
      <c r="WLI449" s="741"/>
      <c r="WLJ449" s="741"/>
      <c r="WLK449" s="741"/>
      <c r="WLL449" s="741"/>
      <c r="WLM449" s="741"/>
      <c r="WLN449" s="741"/>
      <c r="WLO449" s="741"/>
      <c r="WLP449" s="741"/>
      <c r="WLQ449" s="741"/>
      <c r="WLR449" s="741"/>
      <c r="WLS449" s="741"/>
      <c r="WLT449" s="741"/>
      <c r="WLU449" s="741"/>
      <c r="WLV449" s="741"/>
      <c r="WLW449" s="741"/>
      <c r="WLX449" s="741"/>
      <c r="WLY449" s="741"/>
      <c r="WLZ449" s="741"/>
      <c r="WMA449" s="741"/>
      <c r="WMB449" s="741"/>
      <c r="WMC449" s="741"/>
      <c r="WMD449" s="741"/>
      <c r="WME449" s="741"/>
      <c r="WMF449" s="741"/>
      <c r="WMG449" s="741"/>
      <c r="WMH449" s="741"/>
      <c r="WMI449" s="741"/>
      <c r="WMJ449" s="741"/>
      <c r="WMK449" s="741"/>
      <c r="WML449" s="741"/>
      <c r="WMM449" s="741"/>
      <c r="WMN449" s="741"/>
      <c r="WMO449" s="741"/>
      <c r="WMP449" s="741"/>
      <c r="WMQ449" s="741"/>
      <c r="WMR449" s="741"/>
      <c r="WMS449" s="741"/>
      <c r="WMT449" s="741"/>
      <c r="WMU449" s="741"/>
      <c r="WMV449" s="741"/>
      <c r="WMW449" s="741"/>
      <c r="WMX449" s="741"/>
      <c r="WMY449" s="741"/>
      <c r="WMZ449" s="741"/>
      <c r="WNA449" s="741"/>
      <c r="WNB449" s="741"/>
      <c r="WNC449" s="741"/>
      <c r="WND449" s="741"/>
      <c r="WNE449" s="741"/>
      <c r="WNF449" s="741"/>
      <c r="WNG449" s="741"/>
      <c r="WNH449" s="741"/>
      <c r="WNI449" s="741"/>
      <c r="WNJ449" s="741"/>
      <c r="WNK449" s="741"/>
      <c r="WNL449" s="741"/>
      <c r="WNM449" s="741"/>
      <c r="WNN449" s="741"/>
      <c r="WNO449" s="741"/>
      <c r="WNP449" s="741"/>
      <c r="WNQ449" s="741"/>
      <c r="WNR449" s="741"/>
      <c r="WNS449" s="741"/>
      <c r="WNT449" s="741"/>
      <c r="WNU449" s="741"/>
      <c r="WNV449" s="741"/>
      <c r="WNW449" s="741"/>
      <c r="WNX449" s="741"/>
      <c r="WNY449" s="741"/>
      <c r="WNZ449" s="741"/>
      <c r="WOA449" s="741"/>
      <c r="WOB449" s="741"/>
      <c r="WOC449" s="741"/>
      <c r="WOD449" s="741"/>
      <c r="WOE449" s="741"/>
      <c r="WOF449" s="741"/>
      <c r="WOG449" s="741"/>
      <c r="WOH449" s="741"/>
      <c r="WOI449" s="741"/>
      <c r="WOJ449" s="741"/>
      <c r="WOK449" s="741"/>
      <c r="WOL449" s="741"/>
      <c r="WOM449" s="741"/>
      <c r="WON449" s="741"/>
      <c r="WOO449" s="741"/>
      <c r="WOP449" s="741"/>
      <c r="WOQ449" s="741"/>
      <c r="WOR449" s="741"/>
      <c r="WOS449" s="741"/>
      <c r="WOT449" s="741"/>
      <c r="WOU449" s="741"/>
      <c r="WOV449" s="741"/>
      <c r="WOW449" s="741"/>
      <c r="WOX449" s="741"/>
      <c r="WOY449" s="741"/>
      <c r="WOZ449" s="741"/>
      <c r="WPA449" s="741"/>
      <c r="WPB449" s="741"/>
      <c r="WPC449" s="741"/>
      <c r="WPD449" s="741"/>
      <c r="WPE449" s="741"/>
      <c r="WPF449" s="741"/>
      <c r="WPG449" s="741"/>
      <c r="WPH449" s="741"/>
      <c r="WPI449" s="741"/>
      <c r="WPJ449" s="741"/>
      <c r="WPK449" s="741"/>
      <c r="WPL449" s="741"/>
      <c r="WPM449" s="741"/>
      <c r="WPN449" s="741"/>
      <c r="WPO449" s="741"/>
      <c r="WPP449" s="741"/>
      <c r="WPQ449" s="741"/>
      <c r="WPR449" s="741"/>
      <c r="WPS449" s="741"/>
      <c r="WPT449" s="741"/>
      <c r="WPU449" s="741"/>
      <c r="WPV449" s="741"/>
      <c r="WPW449" s="741"/>
      <c r="WPX449" s="741"/>
      <c r="WPY449" s="741"/>
      <c r="WPZ449" s="741"/>
      <c r="WQA449" s="741"/>
      <c r="WQB449" s="741"/>
      <c r="WQC449" s="741"/>
      <c r="WQD449" s="741"/>
      <c r="WQE449" s="741"/>
      <c r="WQF449" s="741"/>
      <c r="WQG449" s="741"/>
      <c r="WQH449" s="741"/>
      <c r="WQI449" s="741"/>
      <c r="WQJ449" s="741"/>
      <c r="WQK449" s="741"/>
      <c r="WQL449" s="741"/>
      <c r="WQM449" s="741"/>
      <c r="WQN449" s="741"/>
      <c r="WQO449" s="741"/>
      <c r="WQP449" s="741"/>
      <c r="WQQ449" s="741"/>
      <c r="WQR449" s="741"/>
      <c r="WQS449" s="741"/>
      <c r="WQT449" s="741"/>
      <c r="WQU449" s="741"/>
      <c r="WQV449" s="741"/>
      <c r="WQW449" s="741"/>
      <c r="WQX449" s="741"/>
      <c r="WQY449" s="741"/>
      <c r="WQZ449" s="741"/>
      <c r="WRA449" s="741"/>
      <c r="WRB449" s="741"/>
      <c r="WRC449" s="741"/>
      <c r="WRD449" s="741"/>
      <c r="WRE449" s="741"/>
      <c r="WRF449" s="741"/>
      <c r="WRG449" s="741"/>
      <c r="WRH449" s="741"/>
      <c r="WRI449" s="741"/>
      <c r="WRJ449" s="741"/>
      <c r="WRK449" s="741"/>
      <c r="WRL449" s="741"/>
      <c r="WRM449" s="741"/>
      <c r="WRN449" s="741"/>
      <c r="WRO449" s="741"/>
      <c r="WRP449" s="741"/>
      <c r="WRQ449" s="741"/>
      <c r="WRR449" s="741"/>
      <c r="WRS449" s="741"/>
      <c r="WRT449" s="741"/>
      <c r="WRU449" s="741"/>
      <c r="WRV449" s="741"/>
      <c r="WRW449" s="741"/>
      <c r="WRX449" s="741"/>
      <c r="WRY449" s="741"/>
      <c r="WRZ449" s="741"/>
      <c r="WSA449" s="741"/>
      <c r="WSB449" s="741"/>
      <c r="WSC449" s="741"/>
      <c r="WSD449" s="741"/>
      <c r="WSE449" s="741"/>
      <c r="WSF449" s="741"/>
      <c r="WSG449" s="741"/>
      <c r="WSH449" s="741"/>
      <c r="WSI449" s="741"/>
      <c r="WSJ449" s="741"/>
      <c r="WSK449" s="741"/>
      <c r="WSL449" s="741"/>
      <c r="WSM449" s="741"/>
      <c r="WSN449" s="741"/>
      <c r="WSO449" s="741"/>
      <c r="WSP449" s="741"/>
      <c r="WSQ449" s="741"/>
      <c r="WSR449" s="741"/>
      <c r="WSS449" s="741"/>
      <c r="WST449" s="741"/>
      <c r="WSU449" s="741"/>
      <c r="WSV449" s="741"/>
      <c r="WSW449" s="741"/>
      <c r="WSX449" s="741"/>
      <c r="WSY449" s="741"/>
      <c r="WSZ449" s="741"/>
      <c r="WTA449" s="741"/>
      <c r="WTB449" s="741"/>
      <c r="WTC449" s="741"/>
      <c r="WTD449" s="741"/>
      <c r="WTE449" s="741"/>
      <c r="WTF449" s="741"/>
      <c r="WTG449" s="741"/>
      <c r="WTH449" s="741"/>
      <c r="WTI449" s="741"/>
      <c r="WTJ449" s="741"/>
      <c r="WTK449" s="741"/>
      <c r="WTL449" s="741"/>
      <c r="WTM449" s="741"/>
      <c r="WTN449" s="741"/>
      <c r="WTO449" s="741"/>
      <c r="WTP449" s="741"/>
      <c r="WTQ449" s="741"/>
      <c r="WTR449" s="741"/>
      <c r="WTS449" s="741"/>
      <c r="WTT449" s="741"/>
      <c r="WTU449" s="741"/>
      <c r="WTV449" s="741"/>
      <c r="WTW449" s="741"/>
      <c r="WTX449" s="741"/>
      <c r="WTY449" s="741"/>
      <c r="WTZ449" s="741"/>
      <c r="WUA449" s="741"/>
      <c r="WUB449" s="741"/>
      <c r="WUC449" s="741"/>
      <c r="WUD449" s="741"/>
      <c r="WUE449" s="741"/>
      <c r="WUF449" s="741"/>
      <c r="WUG449" s="741"/>
      <c r="WUH449" s="741"/>
      <c r="WUI449" s="741"/>
      <c r="WUJ449" s="741"/>
      <c r="WUK449" s="741"/>
      <c r="WUL449" s="741"/>
      <c r="WUM449" s="741"/>
      <c r="WUN449" s="741"/>
      <c r="WUO449" s="741"/>
      <c r="WUP449" s="741"/>
      <c r="WUQ449" s="741"/>
      <c r="WUR449" s="741"/>
      <c r="WUS449" s="741"/>
      <c r="WUT449" s="741"/>
      <c r="WUU449" s="741"/>
      <c r="WUV449" s="741"/>
      <c r="WUW449" s="741"/>
      <c r="WUX449" s="741"/>
      <c r="WUY449" s="741"/>
      <c r="WUZ449" s="741"/>
      <c r="WVA449" s="741"/>
      <c r="WVB449" s="741"/>
      <c r="WVC449" s="741"/>
      <c r="WVD449" s="741"/>
      <c r="WVE449" s="741"/>
      <c r="WVF449" s="741"/>
      <c r="WVG449" s="741"/>
      <c r="WVH449" s="741"/>
      <c r="WVI449" s="741"/>
      <c r="WVJ449" s="741"/>
      <c r="WVK449" s="741"/>
      <c r="WVL449" s="741"/>
      <c r="WVM449" s="741"/>
      <c r="WVN449" s="741"/>
      <c r="WVO449" s="741"/>
      <c r="WVP449" s="741"/>
      <c r="WVQ449" s="741"/>
      <c r="WVR449" s="741"/>
      <c r="WVS449" s="741"/>
      <c r="WVT449" s="741"/>
      <c r="WVU449" s="741"/>
      <c r="WVV449" s="741"/>
      <c r="WVW449" s="741"/>
      <c r="WVX449" s="741"/>
      <c r="WVY449" s="741"/>
      <c r="WVZ449" s="741"/>
      <c r="WWA449" s="741"/>
      <c r="WWB449" s="741"/>
      <c r="WWC449" s="741"/>
      <c r="WWD449" s="741"/>
      <c r="WWE449" s="741"/>
      <c r="WWF449" s="741"/>
      <c r="WWG449" s="741"/>
      <c r="WWH449" s="741"/>
      <c r="WWI449" s="741"/>
      <c r="WWJ449" s="741"/>
      <c r="WWK449" s="741"/>
      <c r="WWL449" s="741"/>
      <c r="WWM449" s="741"/>
      <c r="WWN449" s="741"/>
      <c r="WWO449" s="741"/>
      <c r="WWP449" s="741"/>
      <c r="WWQ449" s="741"/>
      <c r="WWR449" s="741"/>
      <c r="WWS449" s="741"/>
      <c r="WWT449" s="741"/>
      <c r="WWU449" s="741"/>
      <c r="WWV449" s="741"/>
      <c r="WWW449" s="741"/>
      <c r="WWX449" s="741"/>
      <c r="WWY449" s="741"/>
      <c r="WWZ449" s="741"/>
      <c r="WXA449" s="741"/>
      <c r="WXB449" s="741"/>
      <c r="WXC449" s="741"/>
      <c r="WXD449" s="741"/>
      <c r="WXE449" s="741"/>
      <c r="WXF449" s="741"/>
      <c r="WXG449" s="741"/>
      <c r="WXH449" s="741"/>
      <c r="WXI449" s="741"/>
      <c r="WXJ449" s="741"/>
      <c r="WXK449" s="741"/>
      <c r="WXL449" s="741"/>
      <c r="WXM449" s="741"/>
      <c r="WXN449" s="741"/>
      <c r="WXO449" s="741"/>
      <c r="WXP449" s="741"/>
      <c r="WXQ449" s="741"/>
      <c r="WXR449" s="741"/>
      <c r="WXS449" s="741"/>
      <c r="WXT449" s="741"/>
      <c r="WXU449" s="741"/>
      <c r="WXV449" s="741"/>
      <c r="WXW449" s="741"/>
      <c r="WXX449" s="741"/>
      <c r="WXY449" s="741"/>
      <c r="WXZ449" s="741"/>
      <c r="WYA449" s="741"/>
      <c r="WYB449" s="741"/>
      <c r="WYC449" s="741"/>
      <c r="WYD449" s="741"/>
      <c r="WYE449" s="741"/>
      <c r="WYF449" s="741"/>
      <c r="WYG449" s="741"/>
      <c r="WYH449" s="741"/>
      <c r="WYI449" s="741"/>
      <c r="WYJ449" s="741"/>
      <c r="WYK449" s="741"/>
      <c r="WYL449" s="741"/>
      <c r="WYM449" s="741"/>
      <c r="WYN449" s="741"/>
      <c r="WYO449" s="741"/>
      <c r="WYP449" s="741"/>
      <c r="WYQ449" s="741"/>
      <c r="WYR449" s="741"/>
      <c r="WYS449" s="741"/>
      <c r="WYT449" s="741"/>
      <c r="WYU449" s="741"/>
      <c r="WYV449" s="741"/>
      <c r="WYW449" s="741"/>
      <c r="WYX449" s="741"/>
      <c r="WYY449" s="741"/>
      <c r="WYZ449" s="741"/>
      <c r="WZA449" s="741"/>
      <c r="WZB449" s="741"/>
      <c r="WZC449" s="741"/>
      <c r="WZD449" s="741"/>
      <c r="WZE449" s="741"/>
      <c r="WZF449" s="741"/>
      <c r="WZG449" s="741"/>
      <c r="WZH449" s="741"/>
      <c r="WZI449" s="741"/>
      <c r="WZJ449" s="741"/>
      <c r="WZK449" s="741"/>
      <c r="WZL449" s="741"/>
      <c r="WZM449" s="741"/>
      <c r="WZN449" s="741"/>
      <c r="WZO449" s="741"/>
      <c r="WZP449" s="741"/>
      <c r="WZQ449" s="741"/>
      <c r="WZR449" s="741"/>
      <c r="WZS449" s="741"/>
      <c r="WZT449" s="741"/>
      <c r="WZU449" s="741"/>
      <c r="WZV449" s="741"/>
      <c r="WZW449" s="741"/>
      <c r="WZX449" s="741"/>
      <c r="WZY449" s="741"/>
      <c r="WZZ449" s="741"/>
      <c r="XAA449" s="741"/>
      <c r="XAB449" s="741"/>
      <c r="XAC449" s="741"/>
      <c r="XAD449" s="741"/>
      <c r="XAE449" s="741"/>
      <c r="XAF449" s="741"/>
      <c r="XAG449" s="741"/>
      <c r="XAH449" s="741"/>
      <c r="XAI449" s="741"/>
      <c r="XAJ449" s="741"/>
      <c r="XAK449" s="741"/>
      <c r="XAL449" s="741"/>
      <c r="XAM449" s="741"/>
      <c r="XAN449" s="741"/>
      <c r="XAO449" s="741"/>
      <c r="XAP449" s="741"/>
      <c r="XAQ449" s="741"/>
      <c r="XAR449" s="741"/>
      <c r="XAS449" s="741"/>
      <c r="XAT449" s="741"/>
      <c r="XAU449" s="741"/>
      <c r="XAV449" s="741"/>
      <c r="XAW449" s="741"/>
      <c r="XAX449" s="741"/>
      <c r="XAY449" s="741"/>
      <c r="XAZ449" s="741"/>
      <c r="XBA449" s="741"/>
      <c r="XBB449" s="741"/>
      <c r="XBC449" s="741"/>
      <c r="XBD449" s="741"/>
      <c r="XBE449" s="741"/>
      <c r="XBF449" s="741"/>
      <c r="XBG449" s="741"/>
      <c r="XBH449" s="741"/>
      <c r="XBI449" s="741"/>
      <c r="XBJ449" s="741"/>
      <c r="XBK449" s="741"/>
      <c r="XBL449" s="741"/>
      <c r="XBM449" s="741"/>
      <c r="XBN449" s="741"/>
      <c r="XBO449" s="741"/>
      <c r="XBP449" s="741"/>
      <c r="XBQ449" s="741"/>
      <c r="XBR449" s="741"/>
      <c r="XBS449" s="741"/>
      <c r="XBT449" s="741"/>
      <c r="XBU449" s="741"/>
      <c r="XBV449" s="741"/>
      <c r="XBW449" s="741"/>
      <c r="XBX449" s="741"/>
      <c r="XBY449" s="741"/>
      <c r="XBZ449" s="741"/>
      <c r="XCA449" s="741"/>
      <c r="XCB449" s="741"/>
      <c r="XCC449" s="741"/>
      <c r="XCD449" s="741"/>
      <c r="XCE449" s="741"/>
      <c r="XCF449" s="741"/>
      <c r="XCG449" s="741"/>
      <c r="XCH449" s="741"/>
      <c r="XCI449" s="741"/>
      <c r="XCJ449" s="741"/>
      <c r="XCK449" s="741"/>
      <c r="XCL449" s="741"/>
      <c r="XCM449" s="741"/>
      <c r="XCN449" s="741"/>
      <c r="XCO449" s="741"/>
      <c r="XCP449" s="741"/>
      <c r="XCQ449" s="741"/>
      <c r="XCR449" s="741"/>
      <c r="XCS449" s="741"/>
      <c r="XCT449" s="741"/>
      <c r="XCU449" s="741"/>
      <c r="XCV449" s="741"/>
      <c r="XCW449" s="741"/>
      <c r="XCX449" s="741"/>
      <c r="XCY449" s="741"/>
      <c r="XCZ449" s="741"/>
      <c r="XDA449" s="741"/>
      <c r="XDB449" s="741"/>
      <c r="XDC449" s="741"/>
      <c r="XDD449" s="741"/>
      <c r="XDE449" s="741"/>
      <c r="XDF449" s="741"/>
      <c r="XDG449" s="741"/>
      <c r="XDH449" s="741"/>
      <c r="XDI449" s="741"/>
      <c r="XDJ449" s="741"/>
      <c r="XDK449" s="741"/>
      <c r="XDL449" s="770"/>
      <c r="XDM449" s="781"/>
      <c r="XDN449" s="217"/>
      <c r="XDO449" s="751"/>
      <c r="XDP449" s="782"/>
      <c r="XDQ449" s="751"/>
      <c r="XDR449" s="217"/>
      <c r="XDS449" s="217"/>
      <c r="XDT449" s="217"/>
      <c r="XEH449" s="741"/>
      <c r="XEI449" s="770"/>
      <c r="XEJ449" s="781"/>
      <c r="XEK449" s="751"/>
      <c r="XEL449" s="217"/>
      <c r="XEM449" s="217"/>
      <c r="XEN449" s="217"/>
      <c r="XEO449" s="232"/>
      <c r="XEP449" s="786"/>
      <c r="XEQ449" s="770"/>
    </row>
    <row r="450" spans="1:16371" s="792" customFormat="1" ht="28.8" x14ac:dyDescent="0.3">
      <c r="A450" s="741" t="s">
        <v>264</v>
      </c>
      <c r="B450" s="770" t="s">
        <v>280</v>
      </c>
      <c r="C450" s="781" t="s">
        <v>743</v>
      </c>
      <c r="D450" s="217" t="s">
        <v>34</v>
      </c>
      <c r="E450" s="230" t="s">
        <v>282</v>
      </c>
      <c r="F450" s="1352" t="s">
        <v>285</v>
      </c>
      <c r="G450" s="783">
        <v>0.56999999999999995</v>
      </c>
      <c r="H450" s="790">
        <v>16466.16</v>
      </c>
      <c r="I450" s="741" t="s">
        <v>267</v>
      </c>
      <c r="J450" s="790">
        <v>16466.16</v>
      </c>
      <c r="K450" s="1612">
        <v>0</v>
      </c>
      <c r="L450" s="1612">
        <v>0</v>
      </c>
      <c r="M450" s="741" t="s">
        <v>53</v>
      </c>
      <c r="N450" s="741" t="s">
        <v>744</v>
      </c>
      <c r="O450" s="741" t="s">
        <v>745</v>
      </c>
      <c r="P450" s="787" t="s">
        <v>40</v>
      </c>
      <c r="Q450" s="741"/>
      <c r="R450" s="741" t="s">
        <v>64</v>
      </c>
      <c r="S450" s="741"/>
      <c r="T450" s="741"/>
      <c r="U450" s="741"/>
      <c r="V450" s="741" t="s">
        <v>40</v>
      </c>
      <c r="W450" s="741"/>
      <c r="X450" s="741" t="s">
        <v>40</v>
      </c>
      <c r="Y450" s="741"/>
      <c r="Z450" s="741" t="s">
        <v>64</v>
      </c>
      <c r="AA450" s="741"/>
      <c r="AB450" s="741" t="s">
        <v>40</v>
      </c>
      <c r="AC450" s="741"/>
      <c r="AD450" s="741"/>
      <c r="AE450" s="1530">
        <v>46203</v>
      </c>
      <c r="AF450" s="741" t="s">
        <v>247</v>
      </c>
      <c r="AG450" s="741">
        <v>2023</v>
      </c>
      <c r="AH450" s="790">
        <v>81476.206296000004</v>
      </c>
      <c r="AI450" s="791" t="s">
        <v>746</v>
      </c>
      <c r="AJ450" s="741"/>
      <c r="AK450" s="741" t="s">
        <v>43</v>
      </c>
      <c r="AL450" s="741" t="s">
        <v>41</v>
      </c>
      <c r="AM450" s="741">
        <v>0</v>
      </c>
      <c r="AN450" s="741" t="s">
        <v>40</v>
      </c>
      <c r="AO450" s="741"/>
      <c r="AP450" s="741"/>
      <c r="AQ450" s="741"/>
      <c r="AR450" s="741"/>
      <c r="AS450" s="741"/>
      <c r="AT450" s="741"/>
      <c r="AU450" s="741"/>
      <c r="AV450" s="741"/>
      <c r="AW450" s="741"/>
      <c r="AX450" s="741"/>
      <c r="AY450" s="741"/>
      <c r="AZ450" s="741"/>
      <c r="BA450" s="741"/>
      <c r="BB450" s="741"/>
      <c r="BC450" s="741"/>
      <c r="BD450" s="741"/>
      <c r="BE450" s="741"/>
      <c r="BF450" s="741"/>
      <c r="BG450" s="741"/>
      <c r="BH450" s="741"/>
      <c r="BI450" s="741"/>
      <c r="BJ450" s="741"/>
      <c r="BK450" s="741"/>
      <c r="BL450" s="741"/>
      <c r="BM450" s="741"/>
      <c r="BN450" s="741"/>
      <c r="BO450" s="741"/>
      <c r="BP450" s="741"/>
      <c r="BQ450" s="741"/>
      <c r="BR450" s="741"/>
      <c r="BS450" s="741"/>
      <c r="BT450" s="741"/>
      <c r="BU450" s="741"/>
      <c r="BV450" s="741"/>
      <c r="BW450" s="741"/>
      <c r="BX450" s="741"/>
      <c r="BY450" s="741"/>
      <c r="BZ450" s="741"/>
      <c r="CA450" s="741"/>
      <c r="CB450" s="741"/>
      <c r="CC450" s="741"/>
      <c r="CD450" s="741"/>
      <c r="CE450" s="741"/>
      <c r="CF450" s="741"/>
      <c r="CG450" s="741"/>
      <c r="CH450" s="741"/>
      <c r="CI450" s="741"/>
      <c r="CJ450" s="741"/>
      <c r="CK450" s="741"/>
      <c r="CL450" s="741"/>
      <c r="CM450" s="741"/>
      <c r="CN450" s="741"/>
      <c r="CO450" s="741"/>
      <c r="CP450" s="741"/>
      <c r="CQ450" s="741"/>
      <c r="CR450" s="741"/>
      <c r="CS450" s="741"/>
      <c r="CT450" s="741"/>
      <c r="CU450" s="741"/>
      <c r="CV450" s="741"/>
      <c r="CW450" s="741"/>
      <c r="CX450" s="741"/>
      <c r="CY450" s="741"/>
      <c r="CZ450" s="741"/>
      <c r="DA450" s="741"/>
      <c r="DB450" s="741"/>
      <c r="DC450" s="741"/>
      <c r="DD450" s="741"/>
      <c r="DE450" s="741"/>
      <c r="DF450" s="741"/>
      <c r="DG450" s="741"/>
      <c r="DH450" s="741"/>
      <c r="DI450" s="741"/>
      <c r="DJ450" s="741"/>
      <c r="DK450" s="741"/>
      <c r="DL450" s="741"/>
      <c r="DM450" s="741"/>
      <c r="DN450" s="741"/>
      <c r="DO450" s="741"/>
      <c r="DP450" s="741"/>
      <c r="DQ450" s="741"/>
      <c r="DR450" s="741"/>
      <c r="DS450" s="741"/>
      <c r="DT450" s="741"/>
      <c r="DU450" s="741"/>
      <c r="DV450" s="741"/>
      <c r="DW450" s="741"/>
      <c r="DX450" s="741"/>
      <c r="DY450" s="741"/>
      <c r="DZ450" s="741"/>
      <c r="EA450" s="741"/>
      <c r="EB450" s="741"/>
      <c r="EC450" s="741"/>
      <c r="ED450" s="741"/>
      <c r="EE450" s="741"/>
      <c r="EF450" s="741"/>
      <c r="EG450" s="741"/>
      <c r="EH450" s="741"/>
      <c r="EI450" s="741"/>
      <c r="EJ450" s="741"/>
      <c r="EK450" s="741"/>
      <c r="EL450" s="741"/>
      <c r="EM450" s="741"/>
      <c r="EN450" s="741"/>
      <c r="EO450" s="741"/>
      <c r="EP450" s="741"/>
      <c r="EQ450" s="741"/>
      <c r="ER450" s="741"/>
      <c r="ES450" s="741"/>
      <c r="ET450" s="741"/>
      <c r="EU450" s="741"/>
      <c r="EV450" s="741"/>
      <c r="EW450" s="741"/>
      <c r="EX450" s="741"/>
      <c r="EY450" s="741"/>
      <c r="EZ450" s="741"/>
      <c r="FA450" s="741"/>
      <c r="FB450" s="741"/>
      <c r="FC450" s="741"/>
      <c r="FD450" s="741"/>
      <c r="FE450" s="741"/>
      <c r="FF450" s="741"/>
      <c r="FG450" s="741"/>
      <c r="FH450" s="741"/>
      <c r="FI450" s="741"/>
      <c r="FJ450" s="741"/>
      <c r="FK450" s="741"/>
      <c r="FL450" s="741"/>
      <c r="FM450" s="741"/>
      <c r="FN450" s="741"/>
      <c r="FO450" s="741"/>
      <c r="FP450" s="741"/>
      <c r="FQ450" s="741"/>
      <c r="FR450" s="741"/>
      <c r="FS450" s="741"/>
      <c r="FT450" s="741"/>
      <c r="FU450" s="741"/>
      <c r="FV450" s="741"/>
      <c r="FW450" s="741"/>
      <c r="FX450" s="741"/>
      <c r="FY450" s="741"/>
      <c r="FZ450" s="741"/>
      <c r="GA450" s="741"/>
      <c r="GB450" s="741"/>
      <c r="GC450" s="741"/>
      <c r="GD450" s="741"/>
      <c r="GE450" s="741"/>
      <c r="GF450" s="741"/>
      <c r="GG450" s="741"/>
      <c r="GH450" s="741"/>
      <c r="GI450" s="741"/>
      <c r="GJ450" s="741"/>
      <c r="GK450" s="741"/>
      <c r="GL450" s="741"/>
      <c r="GM450" s="741"/>
      <c r="GN450" s="741"/>
      <c r="GO450" s="741"/>
      <c r="GP450" s="741"/>
      <c r="GQ450" s="741"/>
      <c r="GR450" s="741"/>
      <c r="GS450" s="741"/>
      <c r="GT450" s="741"/>
      <c r="GU450" s="741"/>
      <c r="GV450" s="741"/>
      <c r="GW450" s="741"/>
      <c r="GX450" s="741"/>
      <c r="GY450" s="741"/>
      <c r="GZ450" s="741"/>
      <c r="HA450" s="741"/>
      <c r="HB450" s="741"/>
      <c r="HC450" s="741"/>
      <c r="HD450" s="741"/>
      <c r="HE450" s="741"/>
      <c r="HF450" s="741"/>
      <c r="HG450" s="741"/>
      <c r="HH450" s="741"/>
      <c r="HI450" s="741"/>
      <c r="HJ450" s="741"/>
      <c r="HK450" s="741"/>
      <c r="HL450" s="741"/>
      <c r="HM450" s="741"/>
      <c r="HN450" s="741"/>
      <c r="HO450" s="741"/>
      <c r="HP450" s="741"/>
      <c r="HQ450" s="741"/>
      <c r="HR450" s="741"/>
      <c r="HS450" s="741"/>
      <c r="HT450" s="741"/>
      <c r="HU450" s="741"/>
      <c r="HV450" s="741"/>
      <c r="HW450" s="741"/>
      <c r="HX450" s="741"/>
      <c r="HY450" s="741"/>
      <c r="HZ450" s="741"/>
      <c r="IA450" s="741"/>
      <c r="IB450" s="741"/>
      <c r="IC450" s="741"/>
      <c r="ID450" s="741"/>
      <c r="IE450" s="741"/>
      <c r="IF450" s="741"/>
      <c r="IG450" s="741"/>
      <c r="IH450" s="741"/>
      <c r="II450" s="741"/>
      <c r="IJ450" s="741"/>
      <c r="IK450" s="741"/>
      <c r="IL450" s="741"/>
      <c r="IM450" s="741"/>
      <c r="IN450" s="741"/>
      <c r="IO450" s="741"/>
      <c r="IP450" s="741"/>
      <c r="IQ450" s="741"/>
      <c r="IR450" s="741"/>
      <c r="IS450" s="741"/>
      <c r="IT450" s="741"/>
      <c r="IU450" s="741"/>
      <c r="IV450" s="741"/>
      <c r="IW450" s="741"/>
      <c r="IX450" s="741"/>
      <c r="IY450" s="741"/>
      <c r="IZ450" s="741"/>
      <c r="JA450" s="741"/>
      <c r="JB450" s="741"/>
      <c r="JC450" s="741"/>
      <c r="JD450" s="741"/>
      <c r="JE450" s="741"/>
      <c r="JF450" s="741"/>
      <c r="JG450" s="741"/>
      <c r="JH450" s="741"/>
      <c r="JI450" s="741"/>
      <c r="JJ450" s="741"/>
      <c r="JK450" s="741"/>
      <c r="JL450" s="741"/>
      <c r="JM450" s="741"/>
      <c r="JN450" s="741"/>
      <c r="JO450" s="741"/>
      <c r="JP450" s="741"/>
      <c r="JQ450" s="741"/>
      <c r="JR450" s="741"/>
      <c r="JS450" s="741"/>
      <c r="JT450" s="741"/>
      <c r="JU450" s="741"/>
      <c r="JV450" s="741"/>
      <c r="JW450" s="741"/>
      <c r="JX450" s="741"/>
      <c r="JY450" s="741"/>
      <c r="JZ450" s="741"/>
      <c r="KA450" s="741"/>
      <c r="KB450" s="741"/>
      <c r="KC450" s="741"/>
      <c r="KD450" s="741"/>
      <c r="KE450" s="741"/>
      <c r="KF450" s="741"/>
      <c r="KG450" s="741"/>
      <c r="KH450" s="741"/>
      <c r="KI450" s="741"/>
      <c r="KJ450" s="741"/>
      <c r="KK450" s="741"/>
      <c r="KL450" s="741"/>
      <c r="KM450" s="741"/>
      <c r="KN450" s="741"/>
      <c r="KO450" s="741"/>
      <c r="KP450" s="741"/>
      <c r="KQ450" s="741"/>
      <c r="KR450" s="741"/>
      <c r="KS450" s="741"/>
      <c r="KT450" s="741"/>
      <c r="KU450" s="741"/>
      <c r="KV450" s="741"/>
      <c r="KW450" s="741"/>
      <c r="KX450" s="741"/>
      <c r="KY450" s="741"/>
      <c r="KZ450" s="741"/>
      <c r="LA450" s="741"/>
      <c r="LB450" s="741"/>
      <c r="LC450" s="741"/>
      <c r="LD450" s="741"/>
      <c r="LE450" s="741"/>
      <c r="LF450" s="741"/>
      <c r="LG450" s="741"/>
      <c r="LH450" s="741"/>
      <c r="LI450" s="741"/>
      <c r="LJ450" s="741"/>
      <c r="LK450" s="741"/>
      <c r="LL450" s="741"/>
      <c r="LM450" s="741"/>
      <c r="LN450" s="741"/>
      <c r="LO450" s="741"/>
      <c r="LP450" s="741"/>
      <c r="LQ450" s="741"/>
      <c r="LR450" s="741"/>
      <c r="LS450" s="741"/>
      <c r="LT450" s="741"/>
      <c r="LU450" s="741"/>
      <c r="LV450" s="741"/>
      <c r="LW450" s="741"/>
      <c r="LX450" s="741"/>
      <c r="LY450" s="741"/>
      <c r="LZ450" s="741"/>
      <c r="MA450" s="741"/>
      <c r="MB450" s="741"/>
      <c r="MC450" s="741"/>
      <c r="MD450" s="741"/>
      <c r="ME450" s="741"/>
      <c r="MF450" s="741"/>
      <c r="MG450" s="741"/>
      <c r="MH450" s="741"/>
      <c r="MI450" s="741"/>
      <c r="MJ450" s="741"/>
      <c r="MK450" s="741"/>
      <c r="ML450" s="741"/>
      <c r="MM450" s="741"/>
      <c r="MN450" s="741"/>
      <c r="MO450" s="741"/>
      <c r="MP450" s="741"/>
      <c r="MQ450" s="741"/>
      <c r="MR450" s="741"/>
      <c r="MS450" s="741"/>
      <c r="MT450" s="741"/>
      <c r="MU450" s="741"/>
      <c r="MV450" s="741"/>
      <c r="MW450" s="741"/>
      <c r="MX450" s="741"/>
      <c r="MY450" s="741"/>
      <c r="MZ450" s="741"/>
      <c r="NA450" s="741"/>
      <c r="NB450" s="741"/>
      <c r="NC450" s="741"/>
      <c r="ND450" s="741"/>
      <c r="NE450" s="741"/>
      <c r="NF450" s="741"/>
      <c r="NG450" s="741"/>
      <c r="NH450" s="741"/>
      <c r="NI450" s="741"/>
      <c r="NJ450" s="741"/>
      <c r="NK450" s="741"/>
      <c r="NL450" s="741"/>
      <c r="NM450" s="741"/>
      <c r="NN450" s="741"/>
      <c r="NO450" s="741"/>
      <c r="NP450" s="741"/>
      <c r="NQ450" s="741"/>
      <c r="NR450" s="741"/>
      <c r="NS450" s="741"/>
      <c r="NT450" s="741"/>
      <c r="NU450" s="741"/>
      <c r="NV450" s="741"/>
      <c r="NW450" s="741"/>
      <c r="NX450" s="741"/>
      <c r="NY450" s="741"/>
      <c r="NZ450" s="741"/>
      <c r="OA450" s="741"/>
      <c r="OB450" s="741"/>
      <c r="OC450" s="741"/>
      <c r="OD450" s="741"/>
      <c r="OE450" s="741"/>
      <c r="OF450" s="741"/>
      <c r="OG450" s="741"/>
      <c r="OH450" s="741"/>
      <c r="OI450" s="741"/>
      <c r="OJ450" s="741"/>
      <c r="OK450" s="741"/>
      <c r="OL450" s="741"/>
      <c r="OM450" s="741"/>
      <c r="ON450" s="741"/>
      <c r="OO450" s="741"/>
      <c r="OP450" s="741"/>
      <c r="OQ450" s="741"/>
      <c r="OR450" s="741"/>
      <c r="OS450" s="741"/>
      <c r="OT450" s="741"/>
      <c r="OU450" s="741"/>
      <c r="OV450" s="741"/>
      <c r="OW450" s="741"/>
      <c r="OX450" s="741"/>
      <c r="OY450" s="741"/>
      <c r="OZ450" s="741"/>
      <c r="PA450" s="741"/>
      <c r="PB450" s="741"/>
      <c r="PC450" s="741"/>
      <c r="PD450" s="741"/>
      <c r="PE450" s="741"/>
      <c r="PF450" s="741"/>
      <c r="PG450" s="741"/>
      <c r="PH450" s="741"/>
      <c r="PI450" s="741"/>
      <c r="PJ450" s="741"/>
      <c r="PK450" s="741"/>
      <c r="PL450" s="741"/>
      <c r="PM450" s="741"/>
      <c r="PN450" s="741"/>
      <c r="PO450" s="741"/>
      <c r="PP450" s="741"/>
      <c r="PQ450" s="741"/>
      <c r="PR450" s="741"/>
      <c r="PS450" s="741"/>
      <c r="PT450" s="741"/>
      <c r="PU450" s="741"/>
      <c r="PV450" s="741"/>
      <c r="PW450" s="741"/>
      <c r="PX450" s="741"/>
      <c r="PY450" s="741"/>
      <c r="PZ450" s="741"/>
      <c r="QA450" s="741"/>
      <c r="QB450" s="741"/>
      <c r="QC450" s="741"/>
      <c r="QD450" s="741"/>
      <c r="QE450" s="741"/>
      <c r="QF450" s="741"/>
      <c r="QG450" s="741"/>
      <c r="QH450" s="741"/>
      <c r="QI450" s="741"/>
      <c r="QJ450" s="741"/>
      <c r="QK450" s="741"/>
      <c r="QL450" s="741"/>
      <c r="QM450" s="741"/>
      <c r="QN450" s="741"/>
      <c r="QO450" s="741"/>
      <c r="QP450" s="741"/>
      <c r="QQ450" s="741"/>
      <c r="QR450" s="741"/>
      <c r="QS450" s="741"/>
      <c r="QT450" s="741"/>
      <c r="QU450" s="741"/>
      <c r="QV450" s="741"/>
      <c r="QW450" s="741"/>
      <c r="QX450" s="741"/>
      <c r="QY450" s="741"/>
      <c r="QZ450" s="741"/>
      <c r="RA450" s="741"/>
      <c r="RB450" s="741"/>
      <c r="RC450" s="741"/>
      <c r="RD450" s="741"/>
      <c r="RE450" s="741"/>
      <c r="RF450" s="741"/>
      <c r="RG450" s="741"/>
      <c r="RH450" s="741"/>
      <c r="RI450" s="741"/>
      <c r="RJ450" s="741"/>
      <c r="RK450" s="741"/>
      <c r="RL450" s="741"/>
      <c r="RM450" s="741"/>
      <c r="RN450" s="741"/>
      <c r="RO450" s="741"/>
      <c r="RP450" s="741"/>
      <c r="RQ450" s="741"/>
      <c r="RR450" s="741"/>
      <c r="RS450" s="741"/>
      <c r="RT450" s="741"/>
      <c r="RU450" s="741"/>
      <c r="RV450" s="741"/>
      <c r="RW450" s="741"/>
      <c r="RX450" s="741"/>
      <c r="RY450" s="741"/>
      <c r="RZ450" s="741"/>
      <c r="SA450" s="741"/>
      <c r="SB450" s="741"/>
      <c r="SC450" s="741"/>
      <c r="SD450" s="741"/>
      <c r="SE450" s="741"/>
      <c r="SF450" s="741"/>
      <c r="SG450" s="741"/>
      <c r="SH450" s="741"/>
      <c r="SI450" s="741"/>
      <c r="SJ450" s="741"/>
      <c r="SK450" s="741"/>
      <c r="SL450" s="741"/>
      <c r="SM450" s="741"/>
      <c r="SN450" s="741"/>
      <c r="SO450" s="741"/>
      <c r="SP450" s="741"/>
      <c r="SQ450" s="741"/>
      <c r="SR450" s="741"/>
      <c r="SS450" s="741"/>
      <c r="ST450" s="741"/>
      <c r="SU450" s="741"/>
      <c r="SV450" s="741"/>
      <c r="SW450" s="741"/>
      <c r="SX450" s="741"/>
      <c r="SY450" s="741"/>
      <c r="SZ450" s="741"/>
      <c r="TA450" s="741"/>
      <c r="TB450" s="741"/>
      <c r="TC450" s="741"/>
      <c r="TD450" s="741"/>
      <c r="TE450" s="741"/>
      <c r="TF450" s="741"/>
      <c r="TG450" s="741"/>
      <c r="TH450" s="741"/>
      <c r="TI450" s="741"/>
      <c r="TJ450" s="741"/>
      <c r="TK450" s="741"/>
      <c r="TL450" s="741"/>
      <c r="TM450" s="741"/>
      <c r="TN450" s="741"/>
      <c r="TO450" s="741"/>
      <c r="TP450" s="741"/>
      <c r="TQ450" s="741"/>
      <c r="TR450" s="741"/>
      <c r="TS450" s="741"/>
      <c r="TT450" s="741"/>
      <c r="TU450" s="741"/>
      <c r="TV450" s="741"/>
      <c r="TW450" s="741"/>
      <c r="TX450" s="741"/>
      <c r="TY450" s="741"/>
      <c r="TZ450" s="741"/>
      <c r="UA450" s="741"/>
      <c r="UB450" s="741"/>
      <c r="UC450" s="741"/>
      <c r="UD450" s="741"/>
      <c r="UE450" s="741"/>
      <c r="UF450" s="741"/>
      <c r="UG450" s="741"/>
      <c r="UH450" s="741"/>
      <c r="UI450" s="741"/>
      <c r="UJ450" s="741"/>
      <c r="UK450" s="741"/>
      <c r="UL450" s="741"/>
      <c r="UM450" s="741"/>
      <c r="UN450" s="741"/>
      <c r="UO450" s="741"/>
      <c r="UP450" s="741"/>
      <c r="UQ450" s="741"/>
      <c r="UR450" s="741"/>
      <c r="US450" s="741"/>
      <c r="UT450" s="741"/>
      <c r="UU450" s="741"/>
      <c r="UV450" s="741"/>
      <c r="UW450" s="741"/>
      <c r="UX450" s="741"/>
      <c r="UY450" s="741"/>
      <c r="UZ450" s="741"/>
      <c r="VA450" s="741"/>
      <c r="VB450" s="741"/>
      <c r="VC450" s="741"/>
      <c r="VD450" s="741"/>
      <c r="VE450" s="741"/>
      <c r="VF450" s="741"/>
      <c r="VG450" s="741"/>
      <c r="VH450" s="741"/>
      <c r="VI450" s="741"/>
      <c r="VJ450" s="741"/>
      <c r="VK450" s="741"/>
      <c r="VL450" s="741"/>
      <c r="VM450" s="741"/>
      <c r="VN450" s="741"/>
      <c r="VO450" s="741"/>
      <c r="VP450" s="741"/>
      <c r="VQ450" s="741"/>
      <c r="VR450" s="741"/>
      <c r="VS450" s="741"/>
      <c r="VT450" s="741"/>
      <c r="VU450" s="741"/>
      <c r="VV450" s="741"/>
      <c r="VW450" s="741"/>
      <c r="VX450" s="741"/>
      <c r="VY450" s="741"/>
      <c r="VZ450" s="741"/>
      <c r="WA450" s="741"/>
      <c r="WB450" s="741"/>
      <c r="WC450" s="741"/>
      <c r="WD450" s="741"/>
      <c r="WE450" s="741"/>
      <c r="WF450" s="741"/>
      <c r="WG450" s="741"/>
      <c r="WH450" s="741"/>
      <c r="WI450" s="741"/>
      <c r="WJ450" s="741"/>
      <c r="WK450" s="741"/>
      <c r="WL450" s="741"/>
      <c r="WM450" s="741"/>
      <c r="WN450" s="741"/>
      <c r="WO450" s="741"/>
      <c r="WP450" s="741"/>
      <c r="WQ450" s="741"/>
      <c r="WR450" s="741"/>
      <c r="WS450" s="741"/>
      <c r="WT450" s="741"/>
      <c r="WU450" s="741"/>
      <c r="WV450" s="741"/>
      <c r="WW450" s="741"/>
      <c r="WX450" s="741"/>
      <c r="WY450" s="741"/>
      <c r="WZ450" s="741"/>
      <c r="XA450" s="741"/>
      <c r="XB450" s="741"/>
      <c r="XC450" s="741"/>
      <c r="XD450" s="741"/>
      <c r="XE450" s="741"/>
      <c r="XF450" s="741"/>
      <c r="XG450" s="741"/>
      <c r="XH450" s="741"/>
      <c r="XI450" s="741"/>
      <c r="XJ450" s="741"/>
      <c r="XK450" s="741"/>
      <c r="XL450" s="741"/>
      <c r="XM450" s="741"/>
      <c r="XN450" s="741"/>
      <c r="XO450" s="741"/>
      <c r="XP450" s="741"/>
      <c r="XQ450" s="741"/>
      <c r="XR450" s="741"/>
      <c r="XS450" s="741"/>
      <c r="XT450" s="741"/>
      <c r="XU450" s="741"/>
      <c r="XV450" s="741"/>
      <c r="XW450" s="741"/>
      <c r="XX450" s="741"/>
      <c r="XY450" s="741"/>
      <c r="XZ450" s="741"/>
      <c r="YA450" s="741"/>
      <c r="YB450" s="741"/>
      <c r="YC450" s="741"/>
      <c r="YD450" s="741"/>
      <c r="YE450" s="741"/>
      <c r="YF450" s="741"/>
      <c r="YG450" s="741"/>
      <c r="YH450" s="741"/>
      <c r="YI450" s="741"/>
      <c r="YJ450" s="741"/>
      <c r="YK450" s="741"/>
      <c r="YL450" s="741"/>
      <c r="YM450" s="741"/>
      <c r="YN450" s="741"/>
      <c r="YO450" s="741"/>
      <c r="YP450" s="741"/>
      <c r="YQ450" s="741"/>
      <c r="YR450" s="741"/>
      <c r="YS450" s="741"/>
      <c r="YT450" s="741"/>
      <c r="YU450" s="741"/>
      <c r="YV450" s="741"/>
      <c r="YW450" s="741"/>
      <c r="YX450" s="741"/>
      <c r="YY450" s="741"/>
      <c r="YZ450" s="741"/>
      <c r="ZA450" s="741"/>
      <c r="ZB450" s="741"/>
      <c r="ZC450" s="741"/>
      <c r="ZD450" s="741"/>
      <c r="ZE450" s="741"/>
      <c r="ZF450" s="741"/>
      <c r="ZG450" s="741"/>
      <c r="ZH450" s="741"/>
      <c r="ZI450" s="741"/>
      <c r="ZJ450" s="741"/>
      <c r="ZK450" s="741"/>
      <c r="ZL450" s="741"/>
      <c r="ZM450" s="741"/>
      <c r="ZN450" s="741"/>
      <c r="ZO450" s="741"/>
      <c r="ZP450" s="741"/>
      <c r="ZQ450" s="741"/>
      <c r="ZR450" s="741"/>
      <c r="ZS450" s="741"/>
      <c r="ZT450" s="741"/>
      <c r="ZU450" s="741"/>
      <c r="ZV450" s="741"/>
      <c r="ZW450" s="741"/>
      <c r="ZX450" s="741"/>
      <c r="ZY450" s="741"/>
      <c r="ZZ450" s="741"/>
      <c r="AAA450" s="741"/>
      <c r="AAB450" s="741"/>
      <c r="AAC450" s="741"/>
      <c r="AAD450" s="741"/>
      <c r="AAE450" s="741"/>
      <c r="AAF450" s="741"/>
      <c r="AAG450" s="741"/>
      <c r="AAH450" s="741"/>
      <c r="AAI450" s="741"/>
      <c r="AAJ450" s="741"/>
      <c r="AAK450" s="741"/>
      <c r="AAL450" s="741"/>
      <c r="AAM450" s="741"/>
      <c r="AAN450" s="741"/>
      <c r="AAO450" s="741"/>
      <c r="AAP450" s="741"/>
      <c r="AAQ450" s="741"/>
      <c r="AAR450" s="741"/>
      <c r="AAS450" s="741"/>
      <c r="AAT450" s="741"/>
      <c r="AAU450" s="741"/>
      <c r="AAV450" s="741"/>
      <c r="AAW450" s="741"/>
      <c r="AAX450" s="741"/>
      <c r="AAY450" s="741"/>
      <c r="AAZ450" s="741"/>
      <c r="ABA450" s="741"/>
      <c r="ABB450" s="741"/>
      <c r="ABC450" s="741"/>
      <c r="ABD450" s="741"/>
      <c r="ABE450" s="741"/>
      <c r="ABF450" s="741"/>
      <c r="ABG450" s="741"/>
      <c r="ABH450" s="741"/>
      <c r="ABI450" s="741"/>
      <c r="ABJ450" s="741"/>
      <c r="ABK450" s="741"/>
      <c r="ABL450" s="741"/>
      <c r="ABM450" s="741"/>
      <c r="ABN450" s="741"/>
      <c r="ABO450" s="741"/>
      <c r="ABP450" s="741"/>
      <c r="ABQ450" s="741"/>
      <c r="ABR450" s="741"/>
      <c r="ABS450" s="741"/>
      <c r="ABT450" s="741"/>
      <c r="ABU450" s="741"/>
      <c r="ABV450" s="741"/>
      <c r="ABW450" s="741"/>
      <c r="ABX450" s="741"/>
      <c r="ABY450" s="741"/>
      <c r="ABZ450" s="741"/>
      <c r="ACA450" s="741"/>
      <c r="ACB450" s="741"/>
      <c r="ACC450" s="741"/>
      <c r="ACD450" s="741"/>
      <c r="ACE450" s="741"/>
      <c r="ACF450" s="741"/>
      <c r="ACG450" s="741"/>
      <c r="ACH450" s="741"/>
      <c r="ACI450" s="741"/>
      <c r="ACJ450" s="741"/>
      <c r="ACK450" s="741"/>
      <c r="ACL450" s="741"/>
      <c r="ACM450" s="741"/>
      <c r="ACN450" s="741"/>
      <c r="ACO450" s="741"/>
      <c r="ACP450" s="741"/>
      <c r="ACQ450" s="741"/>
      <c r="ACR450" s="741"/>
      <c r="ACS450" s="741"/>
      <c r="ACT450" s="741"/>
      <c r="ACU450" s="741"/>
      <c r="ACV450" s="741"/>
      <c r="ACW450" s="741"/>
      <c r="ACX450" s="741"/>
      <c r="ACY450" s="741"/>
      <c r="ACZ450" s="741"/>
      <c r="ADA450" s="741"/>
      <c r="ADB450" s="741"/>
      <c r="ADC450" s="741"/>
      <c r="ADD450" s="741"/>
      <c r="ADE450" s="741"/>
      <c r="ADF450" s="741"/>
      <c r="ADG450" s="741"/>
      <c r="ADH450" s="741"/>
      <c r="ADI450" s="741"/>
      <c r="ADJ450" s="741"/>
      <c r="ADK450" s="741"/>
      <c r="ADL450" s="741"/>
      <c r="ADM450" s="741"/>
      <c r="ADN450" s="741"/>
      <c r="ADO450" s="741"/>
      <c r="ADP450" s="741"/>
      <c r="ADQ450" s="741"/>
      <c r="ADR450" s="741"/>
      <c r="ADS450" s="741"/>
      <c r="ADT450" s="741"/>
      <c r="ADU450" s="741"/>
      <c r="ADV450" s="741"/>
      <c r="ADW450" s="741"/>
      <c r="ADX450" s="741"/>
      <c r="ADY450" s="741"/>
      <c r="ADZ450" s="741"/>
      <c r="AEA450" s="741"/>
      <c r="AEB450" s="741"/>
      <c r="AEC450" s="741"/>
      <c r="AED450" s="741"/>
      <c r="AEE450" s="741"/>
      <c r="AEF450" s="741"/>
      <c r="AEG450" s="741"/>
      <c r="AEH450" s="741"/>
      <c r="AEI450" s="741"/>
      <c r="AEJ450" s="741"/>
      <c r="AEK450" s="741"/>
      <c r="AEL450" s="741"/>
      <c r="AEM450" s="741"/>
      <c r="AEN450" s="741"/>
      <c r="AEO450" s="741"/>
      <c r="AEP450" s="741"/>
      <c r="AEQ450" s="741"/>
      <c r="AER450" s="741"/>
      <c r="AES450" s="741"/>
      <c r="AET450" s="741"/>
      <c r="AEU450" s="741"/>
      <c r="AEV450" s="741"/>
      <c r="AEW450" s="741"/>
      <c r="AEX450" s="741"/>
      <c r="AEY450" s="741"/>
      <c r="AEZ450" s="741"/>
      <c r="AFA450" s="741"/>
      <c r="AFB450" s="741"/>
      <c r="AFC450" s="741"/>
      <c r="AFD450" s="741"/>
      <c r="AFE450" s="741"/>
      <c r="AFF450" s="741"/>
      <c r="AFG450" s="741"/>
      <c r="AFH450" s="741"/>
      <c r="AFI450" s="741"/>
      <c r="AFJ450" s="741"/>
      <c r="AFK450" s="741"/>
      <c r="AFL450" s="741"/>
      <c r="AFM450" s="741"/>
      <c r="AFN450" s="741"/>
      <c r="AFO450" s="741"/>
      <c r="AFP450" s="741"/>
      <c r="AFQ450" s="741"/>
      <c r="AFR450" s="741"/>
      <c r="AFS450" s="741"/>
      <c r="AFT450" s="741"/>
      <c r="AFU450" s="741"/>
      <c r="AFV450" s="741"/>
      <c r="AFW450" s="741"/>
      <c r="AFX450" s="741"/>
      <c r="AFY450" s="741"/>
      <c r="AFZ450" s="741"/>
      <c r="AGA450" s="741"/>
      <c r="AGB450" s="741"/>
      <c r="AGC450" s="741"/>
      <c r="AGD450" s="741"/>
      <c r="AGE450" s="741"/>
      <c r="AGF450" s="741"/>
      <c r="AGG450" s="741"/>
      <c r="AGH450" s="741"/>
      <c r="AGI450" s="741"/>
      <c r="AGJ450" s="741"/>
      <c r="AGK450" s="741"/>
      <c r="AGL450" s="741"/>
      <c r="AGM450" s="741"/>
      <c r="AGN450" s="741"/>
      <c r="AGO450" s="741"/>
      <c r="AGP450" s="741"/>
      <c r="AGQ450" s="741"/>
      <c r="AGR450" s="741"/>
      <c r="AGS450" s="741"/>
      <c r="AGT450" s="741"/>
      <c r="AGU450" s="741"/>
      <c r="AGV450" s="741"/>
      <c r="AGW450" s="741"/>
      <c r="AGX450" s="741"/>
      <c r="AGY450" s="741"/>
      <c r="AGZ450" s="741"/>
      <c r="AHA450" s="741"/>
      <c r="AHB450" s="741"/>
      <c r="AHC450" s="741"/>
      <c r="AHD450" s="741"/>
      <c r="AHE450" s="741"/>
      <c r="AHF450" s="741"/>
      <c r="AHG450" s="741"/>
      <c r="AHH450" s="741"/>
      <c r="AHI450" s="741"/>
      <c r="AHJ450" s="741"/>
      <c r="AHK450" s="741"/>
      <c r="AHL450" s="741"/>
      <c r="AHM450" s="741"/>
      <c r="AHN450" s="741"/>
      <c r="AHO450" s="741"/>
      <c r="AHP450" s="741"/>
      <c r="AHQ450" s="741"/>
      <c r="AHR450" s="741"/>
      <c r="AHS450" s="741"/>
      <c r="AHT450" s="741"/>
      <c r="AHU450" s="741"/>
      <c r="AHV450" s="741"/>
      <c r="AHW450" s="741"/>
      <c r="AHX450" s="741"/>
      <c r="AHY450" s="741"/>
      <c r="AHZ450" s="741"/>
      <c r="AIA450" s="741"/>
      <c r="AIB450" s="741"/>
      <c r="AIC450" s="741"/>
      <c r="AID450" s="741"/>
      <c r="AIE450" s="741"/>
      <c r="AIF450" s="741"/>
      <c r="AIG450" s="741"/>
      <c r="AIH450" s="741"/>
      <c r="AII450" s="741"/>
      <c r="AIJ450" s="741"/>
      <c r="AIK450" s="741"/>
      <c r="AIL450" s="741"/>
      <c r="AIM450" s="741"/>
      <c r="AIN450" s="741"/>
      <c r="AIO450" s="741"/>
      <c r="AIP450" s="741"/>
      <c r="AIQ450" s="741"/>
      <c r="AIR450" s="741"/>
      <c r="AIS450" s="741"/>
      <c r="AIT450" s="741"/>
      <c r="AIU450" s="741"/>
      <c r="AIV450" s="741"/>
      <c r="AIW450" s="741"/>
      <c r="AIX450" s="741"/>
      <c r="AIY450" s="741"/>
      <c r="AIZ450" s="741"/>
      <c r="AJA450" s="741"/>
      <c r="AJB450" s="741"/>
      <c r="AJC450" s="741"/>
      <c r="AJD450" s="741"/>
      <c r="AJE450" s="741"/>
      <c r="AJF450" s="741"/>
      <c r="AJG450" s="741"/>
      <c r="AJH450" s="741"/>
      <c r="AJI450" s="741"/>
      <c r="AJJ450" s="741"/>
      <c r="AJK450" s="741"/>
      <c r="AJL450" s="741"/>
      <c r="AJM450" s="741"/>
      <c r="AJN450" s="741"/>
      <c r="AJO450" s="741"/>
      <c r="AJP450" s="741"/>
      <c r="AJQ450" s="741"/>
      <c r="AJR450" s="741"/>
      <c r="AJS450" s="741"/>
      <c r="AJT450" s="741"/>
      <c r="AJU450" s="741"/>
      <c r="AJV450" s="741"/>
      <c r="AJW450" s="741"/>
      <c r="AJX450" s="741"/>
      <c r="AJY450" s="741"/>
      <c r="AJZ450" s="741"/>
      <c r="AKA450" s="741"/>
      <c r="AKB450" s="741"/>
      <c r="AKC450" s="741"/>
      <c r="AKD450" s="741"/>
      <c r="AKE450" s="741"/>
      <c r="AKF450" s="741"/>
      <c r="AKG450" s="741"/>
      <c r="AKH450" s="741"/>
      <c r="AKI450" s="741"/>
      <c r="AKJ450" s="741"/>
      <c r="AKK450" s="741"/>
      <c r="AKL450" s="741"/>
      <c r="AKM450" s="741"/>
      <c r="AKN450" s="741"/>
      <c r="AKO450" s="741"/>
      <c r="AKP450" s="741"/>
      <c r="AKQ450" s="741"/>
      <c r="AKR450" s="741"/>
      <c r="AKS450" s="741"/>
      <c r="AKT450" s="741"/>
      <c r="AKU450" s="741"/>
      <c r="AKV450" s="741"/>
      <c r="AKW450" s="741"/>
      <c r="AKX450" s="741"/>
      <c r="AKY450" s="741"/>
      <c r="AKZ450" s="741"/>
      <c r="ALA450" s="741"/>
      <c r="ALB450" s="741"/>
      <c r="ALC450" s="741"/>
      <c r="ALD450" s="741"/>
      <c r="ALE450" s="741"/>
      <c r="ALF450" s="741"/>
      <c r="ALG450" s="741"/>
      <c r="ALH450" s="741"/>
      <c r="ALI450" s="741"/>
      <c r="ALJ450" s="741"/>
      <c r="ALK450" s="741"/>
      <c r="ALL450" s="741"/>
      <c r="ALM450" s="741"/>
      <c r="ALN450" s="741"/>
      <c r="ALO450" s="741"/>
      <c r="ALP450" s="741"/>
      <c r="ALQ450" s="741"/>
      <c r="ALR450" s="741"/>
      <c r="ALS450" s="741"/>
      <c r="ALT450" s="741"/>
      <c r="ALU450" s="741"/>
      <c r="ALV450" s="741"/>
      <c r="ALW450" s="741"/>
      <c r="ALX450" s="741"/>
      <c r="ALY450" s="741"/>
      <c r="ALZ450" s="741"/>
      <c r="AMA450" s="741"/>
      <c r="AMB450" s="741"/>
      <c r="AMC450" s="741"/>
      <c r="AMD450" s="741"/>
      <c r="AME450" s="741"/>
      <c r="AMF450" s="741"/>
      <c r="AMG450" s="741"/>
      <c r="AMH450" s="741"/>
      <c r="AMI450" s="741"/>
      <c r="AMJ450" s="741"/>
      <c r="AMK450" s="741"/>
      <c r="AML450" s="741"/>
      <c r="AMM450" s="741"/>
      <c r="AMN450" s="741"/>
      <c r="AMO450" s="741"/>
      <c r="AMP450" s="741"/>
      <c r="AMQ450" s="741"/>
      <c r="AMR450" s="741"/>
      <c r="AMS450" s="741"/>
      <c r="AMT450" s="741"/>
      <c r="AMU450" s="741"/>
      <c r="AMV450" s="741"/>
      <c r="AMW450" s="741"/>
      <c r="AMX450" s="741"/>
      <c r="AMY450" s="741"/>
      <c r="AMZ450" s="741"/>
      <c r="ANA450" s="741"/>
      <c r="ANB450" s="741"/>
      <c r="ANC450" s="741"/>
      <c r="AND450" s="741"/>
      <c r="ANE450" s="741"/>
      <c r="ANF450" s="741"/>
      <c r="ANG450" s="741"/>
      <c r="ANH450" s="741"/>
      <c r="ANI450" s="741"/>
      <c r="ANJ450" s="741"/>
      <c r="ANK450" s="741"/>
      <c r="ANL450" s="741"/>
      <c r="ANM450" s="741"/>
      <c r="ANN450" s="741"/>
      <c r="ANO450" s="741"/>
      <c r="ANP450" s="741"/>
      <c r="ANQ450" s="741"/>
      <c r="ANR450" s="741"/>
      <c r="ANS450" s="741"/>
      <c r="ANT450" s="741"/>
      <c r="ANU450" s="741"/>
      <c r="ANV450" s="741"/>
      <c r="ANW450" s="741"/>
      <c r="ANX450" s="741"/>
      <c r="ANY450" s="741"/>
      <c r="ANZ450" s="741"/>
      <c r="AOA450" s="741"/>
      <c r="AOB450" s="741"/>
      <c r="AOC450" s="741"/>
      <c r="AOD450" s="741"/>
      <c r="AOE450" s="741"/>
      <c r="AOF450" s="741"/>
      <c r="AOG450" s="741"/>
      <c r="AOH450" s="741"/>
      <c r="AOI450" s="741"/>
      <c r="AOJ450" s="741"/>
      <c r="AOK450" s="741"/>
      <c r="AOL450" s="741"/>
      <c r="AOM450" s="741"/>
      <c r="AON450" s="741"/>
      <c r="AOO450" s="741"/>
      <c r="AOP450" s="741"/>
      <c r="AOQ450" s="741"/>
      <c r="AOR450" s="741"/>
      <c r="AOS450" s="741"/>
      <c r="AOT450" s="741"/>
      <c r="AOU450" s="741"/>
      <c r="AOV450" s="741"/>
      <c r="AOW450" s="741"/>
      <c r="AOX450" s="741"/>
      <c r="AOY450" s="741"/>
      <c r="AOZ450" s="741"/>
      <c r="APA450" s="741"/>
      <c r="APB450" s="741"/>
      <c r="APC450" s="741"/>
      <c r="APD450" s="741"/>
      <c r="APE450" s="741"/>
      <c r="APF450" s="741"/>
      <c r="APG450" s="741"/>
      <c r="APH450" s="741"/>
      <c r="API450" s="741"/>
      <c r="APJ450" s="741"/>
      <c r="APK450" s="741"/>
      <c r="APL450" s="741"/>
      <c r="APM450" s="741"/>
      <c r="APN450" s="741"/>
      <c r="APO450" s="741"/>
      <c r="APP450" s="741"/>
      <c r="APQ450" s="741"/>
      <c r="APR450" s="741"/>
      <c r="APS450" s="741"/>
      <c r="APT450" s="741"/>
      <c r="APU450" s="741"/>
      <c r="APV450" s="741"/>
      <c r="APW450" s="741"/>
      <c r="APX450" s="741"/>
      <c r="APY450" s="741"/>
      <c r="APZ450" s="741"/>
      <c r="AQA450" s="741"/>
      <c r="AQB450" s="741"/>
      <c r="AQC450" s="741"/>
      <c r="AQD450" s="741"/>
      <c r="AQE450" s="741"/>
      <c r="AQF450" s="741"/>
      <c r="AQG450" s="741"/>
      <c r="AQH450" s="741"/>
      <c r="AQI450" s="741"/>
      <c r="AQJ450" s="741"/>
      <c r="AQK450" s="741"/>
      <c r="AQL450" s="741"/>
      <c r="AQM450" s="741"/>
      <c r="AQN450" s="741"/>
      <c r="AQO450" s="741"/>
      <c r="AQP450" s="741"/>
      <c r="AQQ450" s="741"/>
      <c r="AQR450" s="741"/>
      <c r="AQS450" s="741"/>
      <c r="AQT450" s="741"/>
      <c r="AQU450" s="741"/>
      <c r="AQV450" s="741"/>
      <c r="AQW450" s="741"/>
      <c r="AQX450" s="741"/>
      <c r="AQY450" s="741"/>
      <c r="AQZ450" s="741"/>
      <c r="ARA450" s="741"/>
      <c r="ARB450" s="741"/>
      <c r="ARC450" s="741"/>
      <c r="ARD450" s="741"/>
      <c r="ARE450" s="741"/>
      <c r="ARF450" s="741"/>
      <c r="ARG450" s="741"/>
      <c r="ARH450" s="741"/>
      <c r="ARI450" s="741"/>
      <c r="ARJ450" s="741"/>
      <c r="ARK450" s="741"/>
      <c r="ARL450" s="741"/>
      <c r="ARM450" s="741"/>
      <c r="ARN450" s="741"/>
      <c r="ARO450" s="741"/>
      <c r="ARP450" s="741"/>
      <c r="ARQ450" s="741"/>
      <c r="ARR450" s="741"/>
      <c r="ARS450" s="741"/>
      <c r="ART450" s="741"/>
      <c r="ARU450" s="741"/>
      <c r="ARV450" s="741"/>
      <c r="ARW450" s="741"/>
      <c r="ARX450" s="741"/>
      <c r="ARY450" s="741"/>
      <c r="ARZ450" s="741"/>
      <c r="ASA450" s="741"/>
      <c r="ASB450" s="741"/>
      <c r="ASC450" s="741"/>
      <c r="ASD450" s="741"/>
      <c r="ASE450" s="741"/>
      <c r="ASF450" s="741"/>
      <c r="ASG450" s="741"/>
      <c r="ASH450" s="741"/>
      <c r="ASI450" s="741"/>
      <c r="ASJ450" s="741"/>
      <c r="ASK450" s="741"/>
      <c r="ASL450" s="741"/>
      <c r="ASM450" s="741"/>
      <c r="ASN450" s="741"/>
      <c r="ASO450" s="741"/>
      <c r="ASP450" s="741"/>
      <c r="ASQ450" s="741"/>
      <c r="ASR450" s="741"/>
      <c r="ASS450" s="741"/>
      <c r="AST450" s="741"/>
      <c r="ASU450" s="741"/>
      <c r="ASV450" s="741"/>
      <c r="ASW450" s="741"/>
      <c r="ASX450" s="741"/>
      <c r="ASY450" s="741"/>
      <c r="ASZ450" s="741"/>
      <c r="ATA450" s="741"/>
      <c r="ATB450" s="741"/>
      <c r="ATC450" s="741"/>
      <c r="ATD450" s="741"/>
      <c r="ATE450" s="741"/>
      <c r="ATF450" s="741"/>
      <c r="ATG450" s="741"/>
      <c r="ATH450" s="741"/>
      <c r="ATI450" s="741"/>
      <c r="ATJ450" s="741"/>
      <c r="ATK450" s="741"/>
      <c r="ATL450" s="741"/>
      <c r="ATM450" s="741"/>
      <c r="ATN450" s="741"/>
      <c r="ATO450" s="741"/>
      <c r="ATP450" s="741"/>
      <c r="ATQ450" s="741"/>
      <c r="ATR450" s="741"/>
      <c r="ATS450" s="741"/>
      <c r="ATT450" s="741"/>
      <c r="ATU450" s="741"/>
      <c r="ATV450" s="741"/>
      <c r="ATW450" s="741"/>
      <c r="ATX450" s="741"/>
      <c r="ATY450" s="741"/>
      <c r="ATZ450" s="741"/>
      <c r="AUA450" s="741"/>
      <c r="AUB450" s="741"/>
      <c r="AUC450" s="741"/>
      <c r="AUD450" s="741"/>
      <c r="AUE450" s="741"/>
      <c r="AUF450" s="741"/>
      <c r="AUG450" s="741"/>
      <c r="AUH450" s="741"/>
      <c r="AUI450" s="741"/>
      <c r="AUJ450" s="741"/>
      <c r="AUK450" s="741"/>
      <c r="AUL450" s="741"/>
      <c r="AUM450" s="741"/>
      <c r="AUN450" s="741"/>
      <c r="AUO450" s="741"/>
      <c r="AUP450" s="741"/>
      <c r="AUQ450" s="741"/>
      <c r="AUR450" s="741"/>
      <c r="AUS450" s="741"/>
      <c r="AUT450" s="741"/>
      <c r="AUU450" s="741"/>
      <c r="AUV450" s="741"/>
      <c r="AUW450" s="741"/>
      <c r="AUX450" s="741"/>
      <c r="AUY450" s="741"/>
      <c r="AUZ450" s="741"/>
      <c r="AVA450" s="741"/>
      <c r="AVB450" s="741"/>
      <c r="AVC450" s="741"/>
      <c r="AVD450" s="741"/>
      <c r="AVE450" s="741"/>
      <c r="AVF450" s="741"/>
      <c r="AVG450" s="741"/>
      <c r="AVH450" s="741"/>
      <c r="AVI450" s="741"/>
      <c r="AVJ450" s="741"/>
      <c r="AVK450" s="741"/>
      <c r="AVL450" s="741"/>
      <c r="AVM450" s="741"/>
      <c r="AVN450" s="741"/>
      <c r="AVO450" s="741"/>
      <c r="AVP450" s="741"/>
      <c r="AVQ450" s="741"/>
      <c r="AVR450" s="741"/>
      <c r="AVS450" s="741"/>
      <c r="AVT450" s="741"/>
      <c r="AVU450" s="741"/>
      <c r="AVV450" s="741"/>
      <c r="AVW450" s="741"/>
      <c r="AVX450" s="741"/>
      <c r="AVY450" s="741"/>
      <c r="AVZ450" s="741"/>
      <c r="AWA450" s="741"/>
      <c r="AWB450" s="741"/>
      <c r="AWC450" s="741"/>
      <c r="AWD450" s="741"/>
      <c r="AWE450" s="741"/>
      <c r="AWF450" s="741"/>
      <c r="AWG450" s="741"/>
      <c r="AWH450" s="741"/>
      <c r="AWI450" s="741"/>
      <c r="AWJ450" s="741"/>
      <c r="AWK450" s="741"/>
      <c r="AWL450" s="741"/>
      <c r="AWM450" s="741"/>
      <c r="AWN450" s="741"/>
      <c r="AWO450" s="741"/>
      <c r="AWP450" s="741"/>
      <c r="AWQ450" s="741"/>
      <c r="AWR450" s="741"/>
      <c r="AWS450" s="741"/>
      <c r="AWT450" s="741"/>
      <c r="AWU450" s="741"/>
      <c r="AWV450" s="741"/>
      <c r="AWW450" s="741"/>
      <c r="AWX450" s="741"/>
      <c r="AWY450" s="741"/>
      <c r="AWZ450" s="741"/>
      <c r="AXA450" s="741"/>
      <c r="AXB450" s="741"/>
      <c r="AXC450" s="741"/>
      <c r="AXD450" s="741"/>
      <c r="AXE450" s="741"/>
      <c r="AXF450" s="741"/>
      <c r="AXG450" s="741"/>
      <c r="AXH450" s="741"/>
      <c r="AXI450" s="741"/>
      <c r="AXJ450" s="741"/>
      <c r="AXK450" s="741"/>
      <c r="AXL450" s="741"/>
      <c r="AXM450" s="741"/>
      <c r="AXN450" s="741"/>
      <c r="AXO450" s="741"/>
      <c r="AXP450" s="741"/>
      <c r="AXQ450" s="741"/>
      <c r="AXR450" s="741"/>
      <c r="AXS450" s="741"/>
      <c r="AXT450" s="741"/>
      <c r="AXU450" s="741"/>
      <c r="AXV450" s="741"/>
      <c r="AXW450" s="741"/>
      <c r="AXX450" s="741"/>
      <c r="AXY450" s="741"/>
      <c r="AXZ450" s="741"/>
      <c r="AYA450" s="741"/>
      <c r="AYB450" s="741"/>
      <c r="AYC450" s="741"/>
      <c r="AYD450" s="741"/>
      <c r="AYE450" s="741"/>
      <c r="AYF450" s="741"/>
      <c r="AYG450" s="741"/>
      <c r="AYH450" s="741"/>
      <c r="AYI450" s="741"/>
      <c r="AYJ450" s="741"/>
      <c r="AYK450" s="741"/>
      <c r="AYL450" s="741"/>
      <c r="AYM450" s="741"/>
      <c r="AYN450" s="741"/>
      <c r="AYO450" s="741"/>
      <c r="AYP450" s="741"/>
      <c r="AYQ450" s="741"/>
      <c r="AYR450" s="741"/>
      <c r="AYS450" s="741"/>
      <c r="AYT450" s="741"/>
      <c r="AYU450" s="741"/>
      <c r="AYV450" s="741"/>
      <c r="AYW450" s="741"/>
      <c r="AYX450" s="741"/>
      <c r="AYY450" s="741"/>
      <c r="AYZ450" s="741"/>
      <c r="AZA450" s="741"/>
      <c r="AZB450" s="741"/>
      <c r="AZC450" s="741"/>
      <c r="AZD450" s="741"/>
      <c r="AZE450" s="741"/>
      <c r="AZF450" s="741"/>
      <c r="AZG450" s="741"/>
      <c r="AZH450" s="741"/>
      <c r="AZI450" s="741"/>
      <c r="AZJ450" s="741"/>
      <c r="AZK450" s="741"/>
      <c r="AZL450" s="741"/>
      <c r="AZM450" s="741"/>
      <c r="AZN450" s="741"/>
      <c r="AZO450" s="741"/>
      <c r="AZP450" s="741"/>
      <c r="AZQ450" s="741"/>
      <c r="AZR450" s="741"/>
      <c r="AZS450" s="741"/>
      <c r="AZT450" s="741"/>
      <c r="AZU450" s="741"/>
      <c r="AZV450" s="741"/>
      <c r="AZW450" s="741"/>
      <c r="AZX450" s="741"/>
      <c r="AZY450" s="741"/>
      <c r="AZZ450" s="741"/>
      <c r="BAA450" s="741"/>
      <c r="BAB450" s="741"/>
      <c r="BAC450" s="741"/>
      <c r="BAD450" s="741"/>
      <c r="BAE450" s="741"/>
      <c r="BAF450" s="741"/>
      <c r="BAG450" s="741"/>
      <c r="BAH450" s="741"/>
      <c r="BAI450" s="741"/>
      <c r="BAJ450" s="741"/>
      <c r="BAK450" s="741"/>
      <c r="BAL450" s="741"/>
      <c r="BAM450" s="741"/>
      <c r="BAN450" s="741"/>
      <c r="BAO450" s="741"/>
      <c r="BAP450" s="741"/>
      <c r="BAQ450" s="741"/>
      <c r="BAR450" s="741"/>
      <c r="BAS450" s="741"/>
      <c r="BAT450" s="741"/>
      <c r="BAU450" s="741"/>
      <c r="BAV450" s="741"/>
      <c r="BAW450" s="741"/>
      <c r="BAX450" s="741"/>
      <c r="BAY450" s="741"/>
      <c r="BAZ450" s="741"/>
      <c r="BBA450" s="741"/>
      <c r="BBB450" s="741"/>
      <c r="BBC450" s="741"/>
      <c r="BBD450" s="741"/>
      <c r="BBE450" s="741"/>
      <c r="BBF450" s="741"/>
      <c r="BBG450" s="741"/>
      <c r="BBH450" s="741"/>
      <c r="BBI450" s="741"/>
      <c r="BBJ450" s="741"/>
      <c r="BBK450" s="741"/>
      <c r="BBL450" s="741"/>
      <c r="BBM450" s="741"/>
      <c r="BBN450" s="741"/>
      <c r="BBO450" s="741"/>
      <c r="BBP450" s="741"/>
      <c r="BBQ450" s="741"/>
      <c r="BBR450" s="741"/>
      <c r="BBS450" s="741"/>
      <c r="BBT450" s="741"/>
      <c r="BBU450" s="741"/>
      <c r="BBV450" s="741"/>
      <c r="BBW450" s="741"/>
      <c r="BBX450" s="741"/>
      <c r="BBY450" s="741"/>
      <c r="BBZ450" s="741"/>
      <c r="BCA450" s="741"/>
      <c r="BCB450" s="741"/>
      <c r="BCC450" s="741"/>
      <c r="BCD450" s="741"/>
      <c r="BCE450" s="741"/>
      <c r="BCF450" s="741"/>
      <c r="BCG450" s="741"/>
      <c r="BCH450" s="741"/>
      <c r="BCI450" s="741"/>
      <c r="BCJ450" s="741"/>
      <c r="BCK450" s="741"/>
      <c r="BCL450" s="741"/>
      <c r="BCM450" s="741"/>
      <c r="BCN450" s="741"/>
      <c r="BCO450" s="741"/>
      <c r="BCP450" s="741"/>
      <c r="BCQ450" s="741"/>
      <c r="BCR450" s="741"/>
      <c r="BCS450" s="741"/>
      <c r="BCT450" s="741"/>
      <c r="BCU450" s="741"/>
      <c r="BCV450" s="741"/>
      <c r="BCW450" s="741"/>
      <c r="BCX450" s="741"/>
      <c r="BCY450" s="741"/>
      <c r="BCZ450" s="741"/>
      <c r="BDA450" s="741"/>
      <c r="BDB450" s="741"/>
      <c r="BDC450" s="741"/>
      <c r="BDD450" s="741"/>
      <c r="BDE450" s="741"/>
      <c r="BDF450" s="741"/>
      <c r="BDG450" s="741"/>
      <c r="BDH450" s="741"/>
      <c r="BDI450" s="741"/>
      <c r="BDJ450" s="741"/>
      <c r="BDK450" s="741"/>
      <c r="BDL450" s="741"/>
      <c r="BDM450" s="741"/>
      <c r="BDN450" s="741"/>
      <c r="BDO450" s="741"/>
      <c r="BDP450" s="741"/>
      <c r="BDQ450" s="741"/>
      <c r="BDR450" s="741"/>
      <c r="BDS450" s="741"/>
      <c r="BDT450" s="741"/>
      <c r="BDU450" s="741"/>
      <c r="BDV450" s="741"/>
      <c r="BDW450" s="741"/>
      <c r="BDX450" s="741"/>
      <c r="BDY450" s="741"/>
      <c r="BDZ450" s="741"/>
      <c r="BEA450" s="741"/>
      <c r="BEB450" s="741"/>
      <c r="BEC450" s="741"/>
      <c r="BED450" s="741"/>
      <c r="BEE450" s="741"/>
      <c r="BEF450" s="741"/>
      <c r="BEG450" s="741"/>
      <c r="BEH450" s="741"/>
      <c r="BEI450" s="741"/>
      <c r="BEJ450" s="741"/>
      <c r="BEK450" s="741"/>
      <c r="BEL450" s="741"/>
      <c r="BEM450" s="741"/>
      <c r="BEN450" s="741"/>
      <c r="BEO450" s="741"/>
      <c r="BEP450" s="741"/>
      <c r="BEQ450" s="741"/>
      <c r="BER450" s="741"/>
      <c r="BES450" s="741"/>
      <c r="BET450" s="741"/>
      <c r="BEU450" s="741"/>
      <c r="BEV450" s="741"/>
      <c r="BEW450" s="741"/>
      <c r="BEX450" s="741"/>
      <c r="BEY450" s="741"/>
      <c r="BEZ450" s="741"/>
      <c r="BFA450" s="741"/>
      <c r="BFB450" s="741"/>
      <c r="BFC450" s="741"/>
      <c r="BFD450" s="741"/>
      <c r="BFE450" s="741"/>
      <c r="BFF450" s="741"/>
      <c r="BFG450" s="741"/>
      <c r="BFH450" s="741"/>
      <c r="BFI450" s="741"/>
      <c r="BFJ450" s="741"/>
      <c r="BFK450" s="741"/>
      <c r="BFL450" s="741"/>
      <c r="BFM450" s="741"/>
      <c r="BFN450" s="741"/>
      <c r="BFO450" s="741"/>
      <c r="BFP450" s="741"/>
      <c r="BFQ450" s="741"/>
      <c r="BFR450" s="741"/>
      <c r="BFS450" s="741"/>
      <c r="BFT450" s="741"/>
      <c r="BFU450" s="741"/>
      <c r="BFV450" s="741"/>
      <c r="BFW450" s="741"/>
      <c r="BFX450" s="741"/>
      <c r="BFY450" s="741"/>
      <c r="BFZ450" s="741"/>
      <c r="BGA450" s="741"/>
      <c r="BGB450" s="741"/>
      <c r="BGC450" s="741"/>
      <c r="BGD450" s="741"/>
      <c r="BGE450" s="741"/>
      <c r="BGF450" s="741"/>
      <c r="BGG450" s="741"/>
      <c r="BGH450" s="741"/>
      <c r="BGI450" s="741"/>
      <c r="BGJ450" s="741"/>
      <c r="BGK450" s="741"/>
      <c r="BGL450" s="741"/>
      <c r="BGM450" s="741"/>
      <c r="BGN450" s="741"/>
      <c r="BGO450" s="741"/>
      <c r="BGP450" s="741"/>
      <c r="BGQ450" s="741"/>
      <c r="BGR450" s="741"/>
      <c r="BGS450" s="741"/>
      <c r="BGT450" s="741"/>
      <c r="BGU450" s="741"/>
      <c r="BGV450" s="741"/>
      <c r="BGW450" s="741"/>
      <c r="BGX450" s="741"/>
      <c r="BGY450" s="741"/>
      <c r="BGZ450" s="741"/>
      <c r="BHA450" s="741"/>
      <c r="BHB450" s="741"/>
      <c r="BHC450" s="741"/>
      <c r="BHD450" s="741"/>
      <c r="BHE450" s="741"/>
      <c r="BHF450" s="741"/>
      <c r="BHG450" s="741"/>
      <c r="BHH450" s="741"/>
      <c r="BHI450" s="741"/>
      <c r="BHJ450" s="741"/>
      <c r="BHK450" s="741"/>
      <c r="BHL450" s="741"/>
      <c r="BHM450" s="741"/>
      <c r="BHN450" s="741"/>
      <c r="BHO450" s="741"/>
      <c r="BHP450" s="741"/>
      <c r="BHQ450" s="741"/>
      <c r="BHR450" s="741"/>
      <c r="BHS450" s="741"/>
      <c r="BHT450" s="741"/>
      <c r="BHU450" s="741"/>
      <c r="BHV450" s="741"/>
      <c r="BHW450" s="741"/>
      <c r="BHX450" s="741"/>
      <c r="BHY450" s="741"/>
      <c r="BHZ450" s="741"/>
      <c r="BIA450" s="741"/>
      <c r="BIB450" s="741"/>
      <c r="BIC450" s="741"/>
      <c r="BID450" s="741"/>
      <c r="BIE450" s="741"/>
      <c r="BIF450" s="741"/>
      <c r="BIG450" s="741"/>
      <c r="BIH450" s="741"/>
      <c r="BII450" s="741"/>
      <c r="BIJ450" s="741"/>
      <c r="BIK450" s="741"/>
      <c r="BIL450" s="741"/>
      <c r="BIM450" s="741"/>
      <c r="BIN450" s="741"/>
      <c r="BIO450" s="741"/>
      <c r="BIP450" s="741"/>
      <c r="BIQ450" s="741"/>
      <c r="BIR450" s="741"/>
      <c r="BIS450" s="741"/>
      <c r="BIT450" s="741"/>
      <c r="BIU450" s="741"/>
      <c r="BIV450" s="741"/>
      <c r="BIW450" s="741"/>
      <c r="BIX450" s="741"/>
      <c r="BIY450" s="741"/>
      <c r="BIZ450" s="741"/>
      <c r="BJA450" s="741"/>
      <c r="BJB450" s="741"/>
      <c r="BJC450" s="741"/>
      <c r="BJD450" s="741"/>
      <c r="BJE450" s="741"/>
      <c r="BJF450" s="741"/>
      <c r="BJG450" s="741"/>
      <c r="BJH450" s="741"/>
      <c r="BJI450" s="741"/>
      <c r="BJJ450" s="741"/>
      <c r="BJK450" s="741"/>
      <c r="BJL450" s="741"/>
      <c r="BJM450" s="741"/>
      <c r="BJN450" s="741"/>
      <c r="BJO450" s="741"/>
      <c r="BJP450" s="741"/>
      <c r="BJQ450" s="741"/>
      <c r="BJR450" s="741"/>
      <c r="BJS450" s="741"/>
      <c r="BJT450" s="741"/>
      <c r="BJU450" s="741"/>
      <c r="BJV450" s="741"/>
      <c r="BJW450" s="741"/>
      <c r="BJX450" s="741"/>
      <c r="BJY450" s="741"/>
      <c r="BJZ450" s="741"/>
      <c r="BKA450" s="741"/>
      <c r="BKB450" s="741"/>
      <c r="BKC450" s="741"/>
      <c r="BKD450" s="741"/>
      <c r="BKE450" s="741"/>
      <c r="BKF450" s="741"/>
      <c r="BKG450" s="741"/>
      <c r="BKH450" s="741"/>
      <c r="BKI450" s="741"/>
      <c r="BKJ450" s="741"/>
      <c r="BKK450" s="741"/>
      <c r="BKL450" s="741"/>
      <c r="BKM450" s="741"/>
      <c r="BKN450" s="741"/>
      <c r="BKO450" s="741"/>
      <c r="BKP450" s="741"/>
      <c r="BKQ450" s="741"/>
      <c r="BKR450" s="741"/>
      <c r="BKS450" s="741"/>
      <c r="BKT450" s="741"/>
      <c r="BKU450" s="741"/>
      <c r="BKV450" s="741"/>
      <c r="BKW450" s="741"/>
      <c r="BKX450" s="741"/>
      <c r="BKY450" s="741"/>
      <c r="BKZ450" s="741"/>
      <c r="BLA450" s="741"/>
      <c r="BLB450" s="741"/>
      <c r="BLC450" s="741"/>
      <c r="BLD450" s="741"/>
      <c r="BLE450" s="741"/>
      <c r="BLF450" s="741"/>
      <c r="BLG450" s="741"/>
      <c r="BLH450" s="741"/>
      <c r="BLI450" s="741"/>
      <c r="BLJ450" s="741"/>
      <c r="BLK450" s="741"/>
      <c r="BLL450" s="741"/>
      <c r="BLM450" s="741"/>
      <c r="BLN450" s="741"/>
      <c r="BLO450" s="741"/>
      <c r="BLP450" s="741"/>
      <c r="BLQ450" s="741"/>
      <c r="BLR450" s="741"/>
      <c r="BLS450" s="741"/>
      <c r="BLT450" s="741"/>
      <c r="BLU450" s="741"/>
      <c r="BLV450" s="741"/>
      <c r="BLW450" s="741"/>
      <c r="BLX450" s="741"/>
      <c r="BLY450" s="741"/>
      <c r="BLZ450" s="741"/>
      <c r="BMA450" s="741"/>
      <c r="BMB450" s="741"/>
      <c r="BMC450" s="741"/>
      <c r="BMD450" s="741"/>
      <c r="BME450" s="741"/>
      <c r="BMF450" s="741"/>
      <c r="BMG450" s="741"/>
      <c r="BMH450" s="741"/>
      <c r="BMI450" s="741"/>
      <c r="BMJ450" s="741"/>
      <c r="BMK450" s="741"/>
      <c r="BML450" s="741"/>
      <c r="BMM450" s="741"/>
      <c r="BMN450" s="741"/>
      <c r="BMO450" s="741"/>
      <c r="BMP450" s="741"/>
      <c r="BMQ450" s="741"/>
      <c r="BMR450" s="741"/>
      <c r="BMS450" s="741"/>
      <c r="BMT450" s="741"/>
      <c r="BMU450" s="741"/>
      <c r="BMV450" s="741"/>
      <c r="BMW450" s="741"/>
      <c r="BMX450" s="741"/>
      <c r="BMY450" s="741"/>
      <c r="BMZ450" s="741"/>
      <c r="BNA450" s="741"/>
      <c r="BNB450" s="741"/>
      <c r="BNC450" s="741"/>
      <c r="BND450" s="741"/>
      <c r="BNE450" s="741"/>
      <c r="BNF450" s="741"/>
      <c r="BNG450" s="741"/>
      <c r="BNH450" s="741"/>
      <c r="BNI450" s="741"/>
      <c r="BNJ450" s="741"/>
      <c r="BNK450" s="741"/>
      <c r="BNL450" s="741"/>
      <c r="BNM450" s="741"/>
      <c r="BNN450" s="741"/>
      <c r="BNO450" s="741"/>
      <c r="BNP450" s="741"/>
      <c r="BNQ450" s="741"/>
      <c r="BNR450" s="741"/>
      <c r="BNS450" s="741"/>
      <c r="BNT450" s="741"/>
      <c r="BNU450" s="741"/>
      <c r="BNV450" s="741"/>
      <c r="BNW450" s="741"/>
      <c r="BNX450" s="741"/>
      <c r="BNY450" s="741"/>
      <c r="BNZ450" s="741"/>
      <c r="BOA450" s="741"/>
      <c r="BOB450" s="741"/>
      <c r="BOC450" s="741"/>
      <c r="BOD450" s="741"/>
      <c r="BOE450" s="741"/>
      <c r="BOF450" s="741"/>
      <c r="BOG450" s="741"/>
      <c r="BOH450" s="741"/>
      <c r="BOI450" s="741"/>
      <c r="BOJ450" s="741"/>
      <c r="BOK450" s="741"/>
      <c r="BOL450" s="741"/>
      <c r="BOM450" s="741"/>
      <c r="BON450" s="741"/>
      <c r="BOO450" s="741"/>
      <c r="BOP450" s="741"/>
      <c r="BOQ450" s="741"/>
      <c r="BOR450" s="741"/>
      <c r="BOS450" s="741"/>
      <c r="BOT450" s="741"/>
      <c r="BOU450" s="741"/>
      <c r="BOV450" s="741"/>
      <c r="BOW450" s="741"/>
      <c r="BOX450" s="741"/>
      <c r="BOY450" s="741"/>
      <c r="BOZ450" s="741"/>
      <c r="BPA450" s="741"/>
      <c r="BPB450" s="741"/>
      <c r="BPC450" s="741"/>
      <c r="BPD450" s="741"/>
      <c r="BPE450" s="741"/>
      <c r="BPF450" s="741"/>
      <c r="BPG450" s="741"/>
      <c r="BPH450" s="741"/>
      <c r="BPI450" s="741"/>
      <c r="BPJ450" s="741"/>
      <c r="BPK450" s="741"/>
      <c r="BPL450" s="741"/>
      <c r="BPM450" s="741"/>
      <c r="BPN450" s="741"/>
      <c r="BPO450" s="741"/>
      <c r="BPP450" s="741"/>
      <c r="BPQ450" s="741"/>
      <c r="BPR450" s="741"/>
      <c r="BPS450" s="741"/>
      <c r="BPT450" s="741"/>
      <c r="BPU450" s="741"/>
      <c r="BPV450" s="741"/>
      <c r="BPW450" s="741"/>
      <c r="BPX450" s="741"/>
      <c r="BPY450" s="741"/>
      <c r="BPZ450" s="741"/>
      <c r="BQA450" s="741"/>
      <c r="BQB450" s="741"/>
      <c r="BQC450" s="741"/>
      <c r="BQD450" s="741"/>
      <c r="BQE450" s="741"/>
      <c r="BQF450" s="741"/>
      <c r="BQG450" s="741"/>
      <c r="BQH450" s="741"/>
      <c r="BQI450" s="741"/>
      <c r="BQJ450" s="741"/>
      <c r="BQK450" s="741"/>
      <c r="BQL450" s="741"/>
      <c r="BQM450" s="741"/>
      <c r="BQN450" s="741"/>
      <c r="BQO450" s="741"/>
      <c r="BQP450" s="741"/>
      <c r="BQQ450" s="741"/>
      <c r="BQR450" s="741"/>
      <c r="BQS450" s="741"/>
      <c r="BQT450" s="741"/>
      <c r="BQU450" s="741"/>
      <c r="BQV450" s="741"/>
      <c r="BQW450" s="741"/>
      <c r="BQX450" s="741"/>
      <c r="BQY450" s="741"/>
      <c r="BQZ450" s="741"/>
      <c r="BRA450" s="741"/>
      <c r="BRB450" s="741"/>
      <c r="BRC450" s="741"/>
      <c r="BRD450" s="741"/>
      <c r="BRE450" s="741"/>
      <c r="BRF450" s="741"/>
      <c r="BRG450" s="741"/>
      <c r="BRH450" s="741"/>
      <c r="BRI450" s="741"/>
      <c r="BRJ450" s="741"/>
      <c r="BRK450" s="741"/>
      <c r="BRL450" s="741"/>
      <c r="BRM450" s="741"/>
      <c r="BRN450" s="741"/>
      <c r="BRO450" s="741"/>
      <c r="BRP450" s="741"/>
      <c r="BRQ450" s="741"/>
      <c r="BRR450" s="741"/>
      <c r="BRS450" s="741"/>
      <c r="BRT450" s="741"/>
      <c r="BRU450" s="741"/>
      <c r="BRV450" s="741"/>
      <c r="BRW450" s="741"/>
      <c r="BRX450" s="741"/>
      <c r="BRY450" s="741"/>
      <c r="BRZ450" s="741"/>
      <c r="BSA450" s="741"/>
      <c r="BSB450" s="741"/>
      <c r="BSC450" s="741"/>
      <c r="BSD450" s="741"/>
      <c r="BSE450" s="741"/>
      <c r="BSF450" s="741"/>
      <c r="BSG450" s="741"/>
      <c r="BSH450" s="741"/>
      <c r="BSI450" s="741"/>
      <c r="BSJ450" s="741"/>
      <c r="BSK450" s="741"/>
      <c r="BSL450" s="741"/>
      <c r="BSM450" s="741"/>
      <c r="BSN450" s="741"/>
      <c r="BSO450" s="741"/>
      <c r="BSP450" s="741"/>
      <c r="BSQ450" s="741"/>
      <c r="BSR450" s="741"/>
      <c r="BSS450" s="741"/>
      <c r="BST450" s="741"/>
      <c r="BSU450" s="741"/>
      <c r="BSV450" s="741"/>
      <c r="BSW450" s="741"/>
      <c r="BSX450" s="741"/>
      <c r="BSY450" s="741"/>
      <c r="BSZ450" s="741"/>
      <c r="BTA450" s="741"/>
      <c r="BTB450" s="741"/>
      <c r="BTC450" s="741"/>
      <c r="BTD450" s="741"/>
      <c r="BTE450" s="741"/>
      <c r="BTF450" s="741"/>
      <c r="BTG450" s="741"/>
      <c r="BTH450" s="741"/>
      <c r="BTI450" s="741"/>
      <c r="BTJ450" s="741"/>
      <c r="BTK450" s="741"/>
      <c r="BTL450" s="741"/>
      <c r="BTM450" s="741"/>
      <c r="BTN450" s="741"/>
      <c r="BTO450" s="741"/>
      <c r="BTP450" s="741"/>
      <c r="BTQ450" s="741"/>
      <c r="BTR450" s="741"/>
      <c r="BTS450" s="741"/>
      <c r="BTT450" s="741"/>
      <c r="BTU450" s="741"/>
      <c r="BTV450" s="741"/>
      <c r="BTW450" s="741"/>
      <c r="BTX450" s="741"/>
      <c r="BTY450" s="741"/>
      <c r="BTZ450" s="741"/>
      <c r="BUA450" s="741"/>
      <c r="BUB450" s="741"/>
      <c r="BUC450" s="741"/>
      <c r="BUD450" s="741"/>
      <c r="BUE450" s="741"/>
      <c r="BUF450" s="741"/>
      <c r="BUG450" s="741"/>
      <c r="BUH450" s="741"/>
      <c r="BUI450" s="741"/>
      <c r="BUJ450" s="741"/>
      <c r="BUK450" s="741"/>
      <c r="BUL450" s="741"/>
      <c r="BUM450" s="741"/>
      <c r="BUN450" s="741"/>
      <c r="BUO450" s="741"/>
      <c r="BUP450" s="741"/>
      <c r="BUQ450" s="741"/>
      <c r="BUR450" s="741"/>
      <c r="BUS450" s="741"/>
      <c r="BUT450" s="741"/>
      <c r="BUU450" s="741"/>
      <c r="BUV450" s="741"/>
      <c r="BUW450" s="741"/>
      <c r="BUX450" s="741"/>
      <c r="BUY450" s="741"/>
      <c r="BUZ450" s="741"/>
      <c r="BVA450" s="741"/>
      <c r="BVB450" s="741"/>
      <c r="BVC450" s="741"/>
      <c r="BVD450" s="741"/>
      <c r="BVE450" s="741"/>
      <c r="BVF450" s="741"/>
      <c r="BVG450" s="741"/>
      <c r="BVH450" s="741"/>
      <c r="BVI450" s="741"/>
      <c r="BVJ450" s="741"/>
      <c r="BVK450" s="741"/>
      <c r="BVL450" s="741"/>
      <c r="BVM450" s="741"/>
      <c r="BVN450" s="741"/>
      <c r="BVO450" s="741"/>
      <c r="BVP450" s="741"/>
      <c r="BVQ450" s="741"/>
      <c r="BVR450" s="741"/>
      <c r="BVS450" s="741"/>
      <c r="BVT450" s="741"/>
      <c r="BVU450" s="741"/>
      <c r="BVV450" s="741"/>
      <c r="BVW450" s="741"/>
      <c r="BVX450" s="741"/>
      <c r="BVY450" s="741"/>
      <c r="BVZ450" s="741"/>
      <c r="BWA450" s="741"/>
      <c r="BWB450" s="741"/>
      <c r="BWC450" s="741"/>
      <c r="BWD450" s="741"/>
      <c r="BWE450" s="741"/>
      <c r="BWF450" s="741"/>
      <c r="BWG450" s="741"/>
      <c r="BWH450" s="741"/>
      <c r="BWI450" s="741"/>
      <c r="BWJ450" s="741"/>
      <c r="BWK450" s="741"/>
      <c r="BWL450" s="741"/>
      <c r="BWM450" s="741"/>
      <c r="BWN450" s="741"/>
      <c r="BWO450" s="741"/>
      <c r="BWP450" s="741"/>
      <c r="BWQ450" s="741"/>
      <c r="BWR450" s="741"/>
      <c r="BWS450" s="741"/>
      <c r="BWT450" s="741"/>
      <c r="BWU450" s="741"/>
      <c r="BWV450" s="741"/>
      <c r="BWW450" s="741"/>
      <c r="BWX450" s="741"/>
      <c r="BWY450" s="741"/>
      <c r="BWZ450" s="741"/>
      <c r="BXA450" s="741"/>
      <c r="BXB450" s="741"/>
      <c r="BXC450" s="741"/>
      <c r="BXD450" s="741"/>
      <c r="BXE450" s="741"/>
      <c r="BXF450" s="741"/>
      <c r="BXG450" s="741"/>
      <c r="BXH450" s="741"/>
      <c r="BXI450" s="741"/>
      <c r="BXJ450" s="741"/>
      <c r="BXK450" s="741"/>
      <c r="BXL450" s="741"/>
      <c r="BXM450" s="741"/>
      <c r="BXN450" s="741"/>
      <c r="BXO450" s="741"/>
      <c r="BXP450" s="741"/>
      <c r="BXQ450" s="741"/>
      <c r="BXR450" s="741"/>
      <c r="BXS450" s="741"/>
      <c r="BXT450" s="741"/>
      <c r="BXU450" s="741"/>
      <c r="BXV450" s="741"/>
      <c r="BXW450" s="741"/>
      <c r="BXX450" s="741"/>
      <c r="BXY450" s="741"/>
      <c r="BXZ450" s="741"/>
      <c r="BYA450" s="741"/>
      <c r="BYB450" s="741"/>
      <c r="BYC450" s="741"/>
      <c r="BYD450" s="741"/>
      <c r="BYE450" s="741"/>
      <c r="BYF450" s="741"/>
      <c r="BYG450" s="741"/>
      <c r="BYH450" s="741"/>
      <c r="BYI450" s="741"/>
      <c r="BYJ450" s="741"/>
      <c r="BYK450" s="741"/>
      <c r="BYL450" s="741"/>
      <c r="BYM450" s="741"/>
      <c r="BYN450" s="741"/>
      <c r="BYO450" s="741"/>
      <c r="BYP450" s="741"/>
      <c r="BYQ450" s="741"/>
      <c r="BYR450" s="741"/>
      <c r="BYS450" s="741"/>
      <c r="BYT450" s="741"/>
      <c r="BYU450" s="741"/>
      <c r="BYV450" s="741"/>
      <c r="BYW450" s="741"/>
      <c r="BYX450" s="741"/>
      <c r="BYY450" s="741"/>
      <c r="BYZ450" s="741"/>
      <c r="BZA450" s="741"/>
      <c r="BZB450" s="741"/>
      <c r="BZC450" s="741"/>
      <c r="BZD450" s="741"/>
      <c r="BZE450" s="741"/>
      <c r="BZF450" s="741"/>
      <c r="BZG450" s="741"/>
      <c r="BZH450" s="741"/>
      <c r="BZI450" s="741"/>
      <c r="BZJ450" s="741"/>
      <c r="BZK450" s="741"/>
      <c r="BZL450" s="741"/>
      <c r="BZM450" s="741"/>
      <c r="BZN450" s="741"/>
      <c r="BZO450" s="741"/>
      <c r="BZP450" s="741"/>
      <c r="BZQ450" s="741"/>
      <c r="BZR450" s="741"/>
      <c r="BZS450" s="741"/>
      <c r="BZT450" s="741"/>
      <c r="BZU450" s="741"/>
      <c r="BZV450" s="741"/>
      <c r="BZW450" s="741"/>
      <c r="BZX450" s="741"/>
      <c r="BZY450" s="741"/>
      <c r="BZZ450" s="741"/>
      <c r="CAA450" s="741"/>
      <c r="CAB450" s="741"/>
      <c r="CAC450" s="741"/>
      <c r="CAD450" s="741"/>
      <c r="CAE450" s="741"/>
      <c r="CAF450" s="741"/>
      <c r="CAG450" s="741"/>
      <c r="CAH450" s="741"/>
      <c r="CAI450" s="741"/>
      <c r="CAJ450" s="741"/>
      <c r="CAK450" s="741"/>
      <c r="CAL450" s="741"/>
      <c r="CAM450" s="741"/>
      <c r="CAN450" s="741"/>
      <c r="CAO450" s="741"/>
      <c r="CAP450" s="741"/>
      <c r="CAQ450" s="741"/>
      <c r="CAR450" s="741"/>
      <c r="CAS450" s="741"/>
      <c r="CAT450" s="741"/>
      <c r="CAU450" s="741"/>
      <c r="CAV450" s="741"/>
      <c r="CAW450" s="741"/>
      <c r="CAX450" s="741"/>
      <c r="CAY450" s="741"/>
      <c r="CAZ450" s="741"/>
      <c r="CBA450" s="741"/>
      <c r="CBB450" s="741"/>
      <c r="CBC450" s="741"/>
      <c r="CBD450" s="741"/>
      <c r="CBE450" s="741"/>
      <c r="CBF450" s="741"/>
      <c r="CBG450" s="741"/>
      <c r="CBH450" s="741"/>
      <c r="CBI450" s="741"/>
      <c r="CBJ450" s="741"/>
      <c r="CBK450" s="741"/>
      <c r="CBL450" s="741"/>
      <c r="CBM450" s="741"/>
      <c r="CBN450" s="741"/>
      <c r="CBO450" s="741"/>
      <c r="CBP450" s="741"/>
      <c r="CBQ450" s="741"/>
      <c r="CBR450" s="741"/>
      <c r="CBS450" s="741"/>
      <c r="CBT450" s="741"/>
      <c r="CBU450" s="741"/>
      <c r="CBV450" s="741"/>
      <c r="CBW450" s="741"/>
      <c r="CBX450" s="741"/>
      <c r="CBY450" s="741"/>
      <c r="CBZ450" s="741"/>
      <c r="CCA450" s="741"/>
      <c r="CCB450" s="741"/>
      <c r="CCC450" s="741"/>
      <c r="CCD450" s="741"/>
      <c r="CCE450" s="741"/>
      <c r="CCF450" s="741"/>
      <c r="CCG450" s="741"/>
      <c r="CCH450" s="741"/>
      <c r="CCI450" s="741"/>
      <c r="CCJ450" s="741"/>
      <c r="CCK450" s="741"/>
      <c r="CCL450" s="741"/>
      <c r="CCM450" s="741"/>
      <c r="CCN450" s="741"/>
      <c r="CCO450" s="741"/>
      <c r="CCP450" s="741"/>
      <c r="CCQ450" s="741"/>
      <c r="CCR450" s="741"/>
      <c r="CCS450" s="741"/>
      <c r="CCT450" s="741"/>
      <c r="CCU450" s="741"/>
      <c r="CCV450" s="741"/>
      <c r="CCW450" s="741"/>
      <c r="CCX450" s="741"/>
      <c r="CCY450" s="741"/>
      <c r="CCZ450" s="741"/>
      <c r="CDA450" s="741"/>
      <c r="CDB450" s="741"/>
      <c r="CDC450" s="741"/>
      <c r="CDD450" s="741"/>
      <c r="CDE450" s="741"/>
      <c r="CDF450" s="741"/>
      <c r="CDG450" s="741"/>
      <c r="CDH450" s="741"/>
      <c r="CDI450" s="741"/>
      <c r="CDJ450" s="741"/>
      <c r="CDK450" s="741"/>
      <c r="CDL450" s="741"/>
      <c r="CDM450" s="741"/>
      <c r="CDN450" s="741"/>
      <c r="CDO450" s="741"/>
      <c r="CDP450" s="741"/>
      <c r="CDQ450" s="741"/>
      <c r="CDR450" s="741"/>
      <c r="CDS450" s="741"/>
      <c r="CDT450" s="741"/>
      <c r="CDU450" s="741"/>
      <c r="CDV450" s="741"/>
      <c r="CDW450" s="741"/>
      <c r="CDX450" s="741"/>
      <c r="CDY450" s="741"/>
      <c r="CDZ450" s="741"/>
      <c r="CEA450" s="741"/>
      <c r="CEB450" s="741"/>
      <c r="CEC450" s="741"/>
      <c r="CED450" s="741"/>
      <c r="CEE450" s="741"/>
      <c r="CEF450" s="741"/>
      <c r="CEG450" s="741"/>
      <c r="CEH450" s="741"/>
      <c r="CEI450" s="741"/>
      <c r="CEJ450" s="741"/>
      <c r="CEK450" s="741"/>
      <c r="CEL450" s="741"/>
      <c r="CEM450" s="741"/>
      <c r="CEN450" s="741"/>
      <c r="CEO450" s="741"/>
      <c r="CEP450" s="741"/>
      <c r="CEQ450" s="741"/>
      <c r="CER450" s="741"/>
      <c r="CES450" s="741"/>
      <c r="CET450" s="741"/>
      <c r="CEU450" s="741"/>
      <c r="CEV450" s="741"/>
      <c r="CEW450" s="741"/>
      <c r="CEX450" s="741"/>
      <c r="CEY450" s="741"/>
      <c r="CEZ450" s="741"/>
      <c r="CFA450" s="741"/>
      <c r="CFB450" s="741"/>
      <c r="CFC450" s="741"/>
      <c r="CFD450" s="741"/>
      <c r="CFE450" s="741"/>
      <c r="CFF450" s="741"/>
      <c r="CFG450" s="741"/>
      <c r="CFH450" s="741"/>
      <c r="CFI450" s="741"/>
      <c r="CFJ450" s="741"/>
      <c r="CFK450" s="741"/>
      <c r="CFL450" s="741"/>
      <c r="CFM450" s="741"/>
      <c r="CFN450" s="741"/>
      <c r="CFO450" s="741"/>
      <c r="CFP450" s="741"/>
      <c r="CFQ450" s="741"/>
      <c r="CFR450" s="741"/>
      <c r="CFS450" s="741"/>
      <c r="CFT450" s="741"/>
      <c r="CFU450" s="741"/>
      <c r="CFV450" s="741"/>
      <c r="CFW450" s="741"/>
      <c r="CFX450" s="741"/>
      <c r="CFY450" s="741"/>
      <c r="CFZ450" s="741"/>
      <c r="CGA450" s="741"/>
      <c r="CGB450" s="741"/>
      <c r="CGC450" s="741"/>
      <c r="CGD450" s="741"/>
      <c r="CGE450" s="741"/>
      <c r="CGF450" s="741"/>
      <c r="CGG450" s="741"/>
      <c r="CGH450" s="741"/>
      <c r="CGI450" s="741"/>
      <c r="CGJ450" s="741"/>
      <c r="CGK450" s="741"/>
      <c r="CGL450" s="741"/>
      <c r="CGM450" s="741"/>
      <c r="CGN450" s="741"/>
      <c r="CGO450" s="741"/>
      <c r="CGP450" s="741"/>
      <c r="CGQ450" s="741"/>
      <c r="CGR450" s="741"/>
      <c r="CGS450" s="741"/>
      <c r="CGT450" s="741"/>
      <c r="CGU450" s="741"/>
      <c r="CGV450" s="741"/>
      <c r="CGW450" s="741"/>
      <c r="CGX450" s="741"/>
      <c r="CGY450" s="741"/>
      <c r="CGZ450" s="741"/>
      <c r="CHA450" s="741"/>
      <c r="CHB450" s="741"/>
      <c r="CHC450" s="741"/>
      <c r="CHD450" s="741"/>
      <c r="CHE450" s="741"/>
      <c r="CHF450" s="741"/>
      <c r="CHG450" s="741"/>
      <c r="CHH450" s="741"/>
      <c r="CHI450" s="741"/>
      <c r="CHJ450" s="741"/>
      <c r="CHK450" s="741"/>
      <c r="CHL450" s="741"/>
      <c r="CHM450" s="741"/>
      <c r="CHN450" s="741"/>
      <c r="CHO450" s="741"/>
      <c r="CHP450" s="741"/>
      <c r="CHQ450" s="741"/>
      <c r="CHR450" s="741"/>
      <c r="CHS450" s="741"/>
      <c r="CHT450" s="741"/>
      <c r="CHU450" s="741"/>
      <c r="CHV450" s="741"/>
      <c r="CHW450" s="741"/>
      <c r="CHX450" s="741"/>
      <c r="CHY450" s="741"/>
      <c r="CHZ450" s="741"/>
      <c r="CIA450" s="741"/>
      <c r="CIB450" s="741"/>
      <c r="CIC450" s="741"/>
      <c r="CID450" s="741"/>
      <c r="CIE450" s="741"/>
      <c r="CIF450" s="741"/>
      <c r="CIG450" s="741"/>
      <c r="CIH450" s="741"/>
      <c r="CII450" s="741"/>
      <c r="CIJ450" s="741"/>
      <c r="CIK450" s="741"/>
      <c r="CIL450" s="741"/>
      <c r="CIM450" s="741"/>
      <c r="CIN450" s="741"/>
      <c r="CIO450" s="741"/>
      <c r="CIP450" s="741"/>
      <c r="CIQ450" s="741"/>
      <c r="CIR450" s="741"/>
      <c r="CIS450" s="741"/>
      <c r="CIT450" s="741"/>
      <c r="CIU450" s="741"/>
      <c r="CIV450" s="741"/>
      <c r="CIW450" s="741"/>
      <c r="CIX450" s="741"/>
      <c r="CIY450" s="741"/>
      <c r="CIZ450" s="741"/>
      <c r="CJA450" s="741"/>
      <c r="CJB450" s="741"/>
      <c r="CJC450" s="741"/>
      <c r="CJD450" s="741"/>
      <c r="CJE450" s="741"/>
      <c r="CJF450" s="741"/>
      <c r="CJG450" s="741"/>
      <c r="CJH450" s="741"/>
      <c r="CJI450" s="741"/>
      <c r="CJJ450" s="741"/>
      <c r="CJK450" s="741"/>
      <c r="CJL450" s="741"/>
      <c r="CJM450" s="741"/>
      <c r="CJN450" s="741"/>
      <c r="CJO450" s="741"/>
      <c r="CJP450" s="741"/>
      <c r="CJQ450" s="741"/>
      <c r="CJR450" s="741"/>
      <c r="CJS450" s="741"/>
      <c r="CJT450" s="741"/>
      <c r="CJU450" s="741"/>
      <c r="CJV450" s="741"/>
      <c r="CJW450" s="741"/>
      <c r="CJX450" s="741"/>
      <c r="CJY450" s="741"/>
      <c r="CJZ450" s="741"/>
      <c r="CKA450" s="741"/>
      <c r="CKB450" s="741"/>
      <c r="CKC450" s="741"/>
      <c r="CKD450" s="741"/>
      <c r="CKE450" s="741"/>
      <c r="CKF450" s="741"/>
      <c r="CKG450" s="741"/>
      <c r="CKH450" s="741"/>
      <c r="CKI450" s="741"/>
      <c r="CKJ450" s="741"/>
      <c r="CKK450" s="741"/>
      <c r="CKL450" s="741"/>
      <c r="CKM450" s="741"/>
      <c r="CKN450" s="741"/>
      <c r="CKO450" s="741"/>
      <c r="CKP450" s="741"/>
      <c r="CKQ450" s="741"/>
      <c r="CKR450" s="741"/>
      <c r="CKS450" s="741"/>
      <c r="CKT450" s="741"/>
      <c r="CKU450" s="741"/>
      <c r="CKV450" s="741"/>
      <c r="CKW450" s="741"/>
      <c r="CKX450" s="741"/>
      <c r="CKY450" s="741"/>
      <c r="CKZ450" s="741"/>
      <c r="CLA450" s="741"/>
      <c r="CLB450" s="741"/>
      <c r="CLC450" s="741"/>
      <c r="CLD450" s="741"/>
      <c r="CLE450" s="741"/>
      <c r="CLF450" s="741"/>
      <c r="CLG450" s="741"/>
      <c r="CLH450" s="741"/>
      <c r="CLI450" s="741"/>
      <c r="CLJ450" s="741"/>
      <c r="CLK450" s="741"/>
      <c r="CLL450" s="741"/>
      <c r="CLM450" s="741"/>
      <c r="CLN450" s="741"/>
      <c r="CLO450" s="741"/>
      <c r="CLP450" s="741"/>
      <c r="CLQ450" s="741"/>
      <c r="CLR450" s="741"/>
      <c r="CLS450" s="741"/>
      <c r="CLT450" s="741"/>
      <c r="CLU450" s="741"/>
      <c r="CLV450" s="741"/>
      <c r="CLW450" s="741"/>
      <c r="CLX450" s="741"/>
      <c r="CLY450" s="741"/>
      <c r="CLZ450" s="741"/>
      <c r="CMA450" s="741"/>
      <c r="CMB450" s="741"/>
      <c r="CMC450" s="741"/>
      <c r="CMD450" s="741"/>
      <c r="CME450" s="741"/>
      <c r="CMF450" s="741"/>
      <c r="CMG450" s="741"/>
      <c r="CMH450" s="741"/>
      <c r="CMI450" s="741"/>
      <c r="CMJ450" s="741"/>
      <c r="CMK450" s="741"/>
      <c r="CML450" s="741"/>
      <c r="CMM450" s="741"/>
      <c r="CMN450" s="741"/>
      <c r="CMO450" s="741"/>
      <c r="CMP450" s="741"/>
      <c r="CMQ450" s="741"/>
      <c r="CMR450" s="741"/>
      <c r="CMS450" s="741"/>
      <c r="CMT450" s="741"/>
      <c r="CMU450" s="741"/>
      <c r="CMV450" s="741"/>
      <c r="CMW450" s="741"/>
      <c r="CMX450" s="741"/>
      <c r="CMY450" s="741"/>
      <c r="CMZ450" s="741"/>
      <c r="CNA450" s="741"/>
      <c r="CNB450" s="741"/>
      <c r="CNC450" s="741"/>
      <c r="CND450" s="741"/>
      <c r="CNE450" s="741"/>
      <c r="CNF450" s="741"/>
      <c r="CNG450" s="741"/>
      <c r="CNH450" s="741"/>
      <c r="CNI450" s="741"/>
      <c r="CNJ450" s="741"/>
      <c r="CNK450" s="741"/>
      <c r="CNL450" s="741"/>
      <c r="CNM450" s="741"/>
      <c r="CNN450" s="741"/>
      <c r="CNO450" s="741"/>
      <c r="CNP450" s="741"/>
      <c r="CNQ450" s="741"/>
      <c r="CNR450" s="741"/>
      <c r="CNS450" s="741"/>
      <c r="CNT450" s="741"/>
      <c r="CNU450" s="741"/>
      <c r="CNV450" s="741"/>
      <c r="CNW450" s="741"/>
      <c r="CNX450" s="741"/>
      <c r="CNY450" s="741"/>
      <c r="CNZ450" s="741"/>
      <c r="COA450" s="741"/>
      <c r="COB450" s="741"/>
      <c r="COC450" s="741"/>
      <c r="COD450" s="741"/>
      <c r="COE450" s="741"/>
      <c r="COF450" s="741"/>
      <c r="COG450" s="741"/>
      <c r="COH450" s="741"/>
      <c r="COI450" s="741"/>
      <c r="COJ450" s="741"/>
      <c r="COK450" s="741"/>
      <c r="COL450" s="741"/>
      <c r="COM450" s="741"/>
      <c r="CON450" s="741"/>
      <c r="COO450" s="741"/>
      <c r="COP450" s="741"/>
      <c r="COQ450" s="741"/>
      <c r="COR450" s="741"/>
      <c r="COS450" s="741"/>
      <c r="COT450" s="741"/>
      <c r="COU450" s="741"/>
      <c r="COV450" s="741"/>
      <c r="COW450" s="741"/>
      <c r="COX450" s="741"/>
      <c r="COY450" s="741"/>
      <c r="COZ450" s="741"/>
      <c r="CPA450" s="741"/>
      <c r="CPB450" s="741"/>
      <c r="CPC450" s="741"/>
      <c r="CPD450" s="741"/>
      <c r="CPE450" s="741"/>
      <c r="CPF450" s="741"/>
      <c r="CPG450" s="741"/>
      <c r="CPH450" s="741"/>
      <c r="CPI450" s="741"/>
      <c r="CPJ450" s="741"/>
      <c r="CPK450" s="741"/>
      <c r="CPL450" s="741"/>
      <c r="CPM450" s="741"/>
      <c r="CPN450" s="741"/>
      <c r="CPO450" s="741"/>
      <c r="CPP450" s="741"/>
      <c r="CPQ450" s="741"/>
      <c r="CPR450" s="741"/>
      <c r="CPS450" s="741"/>
      <c r="CPT450" s="741"/>
      <c r="CPU450" s="741"/>
      <c r="CPV450" s="741"/>
      <c r="CPW450" s="741"/>
      <c r="CPX450" s="741"/>
      <c r="CPY450" s="741"/>
      <c r="CPZ450" s="741"/>
      <c r="CQA450" s="741"/>
      <c r="CQB450" s="741"/>
      <c r="CQC450" s="741"/>
      <c r="CQD450" s="741"/>
      <c r="CQE450" s="741"/>
      <c r="CQF450" s="741"/>
      <c r="CQG450" s="741"/>
      <c r="CQH450" s="741"/>
      <c r="CQI450" s="741"/>
      <c r="CQJ450" s="741"/>
      <c r="CQK450" s="741"/>
      <c r="CQL450" s="741"/>
      <c r="CQM450" s="741"/>
      <c r="CQN450" s="741"/>
      <c r="CQO450" s="741"/>
      <c r="CQP450" s="741"/>
      <c r="CQQ450" s="741"/>
      <c r="CQR450" s="741"/>
      <c r="CQS450" s="741"/>
      <c r="CQT450" s="741"/>
      <c r="CQU450" s="741"/>
      <c r="CQV450" s="741"/>
      <c r="CQW450" s="741"/>
      <c r="CQX450" s="741"/>
      <c r="CQY450" s="741"/>
      <c r="CQZ450" s="741"/>
      <c r="CRA450" s="741"/>
      <c r="CRB450" s="741"/>
      <c r="CRC450" s="741"/>
      <c r="CRD450" s="741"/>
      <c r="CRE450" s="741"/>
      <c r="CRF450" s="741"/>
      <c r="CRG450" s="741"/>
      <c r="CRH450" s="741"/>
      <c r="CRI450" s="741"/>
      <c r="CRJ450" s="741"/>
      <c r="CRK450" s="741"/>
      <c r="CRL450" s="741"/>
      <c r="CRM450" s="741"/>
      <c r="CRN450" s="741"/>
      <c r="CRO450" s="741"/>
      <c r="CRP450" s="741"/>
      <c r="CRQ450" s="741"/>
      <c r="CRR450" s="741"/>
      <c r="CRS450" s="741"/>
      <c r="CRT450" s="741"/>
      <c r="CRU450" s="741"/>
      <c r="CRV450" s="741"/>
      <c r="CRW450" s="741"/>
      <c r="CRX450" s="741"/>
      <c r="CRY450" s="741"/>
      <c r="CRZ450" s="741"/>
      <c r="CSA450" s="741"/>
      <c r="CSB450" s="741"/>
      <c r="CSC450" s="741"/>
      <c r="CSD450" s="741"/>
      <c r="CSE450" s="741"/>
      <c r="CSF450" s="741"/>
      <c r="CSG450" s="741"/>
      <c r="CSH450" s="741"/>
      <c r="CSI450" s="741"/>
      <c r="CSJ450" s="741"/>
      <c r="CSK450" s="741"/>
      <c r="CSL450" s="741"/>
      <c r="CSM450" s="741"/>
      <c r="CSN450" s="741"/>
      <c r="CSO450" s="741"/>
      <c r="CSP450" s="741"/>
      <c r="CSQ450" s="741"/>
      <c r="CSR450" s="741"/>
      <c r="CSS450" s="741"/>
      <c r="CST450" s="741"/>
      <c r="CSU450" s="741"/>
      <c r="CSV450" s="741"/>
      <c r="CSW450" s="741"/>
      <c r="CSX450" s="741"/>
      <c r="CSY450" s="741"/>
      <c r="CSZ450" s="741"/>
      <c r="CTA450" s="741"/>
      <c r="CTB450" s="741"/>
      <c r="CTC450" s="741"/>
      <c r="CTD450" s="741"/>
      <c r="CTE450" s="741"/>
      <c r="CTF450" s="741"/>
      <c r="CTG450" s="741"/>
      <c r="CTH450" s="741"/>
      <c r="CTI450" s="741"/>
      <c r="CTJ450" s="741"/>
      <c r="CTK450" s="741"/>
      <c r="CTL450" s="741"/>
      <c r="CTM450" s="741"/>
      <c r="CTN450" s="741"/>
      <c r="CTO450" s="741"/>
      <c r="CTP450" s="741"/>
      <c r="CTQ450" s="741"/>
      <c r="CTR450" s="741"/>
      <c r="CTS450" s="741"/>
      <c r="CTT450" s="741"/>
      <c r="CTU450" s="741"/>
      <c r="CTV450" s="741"/>
      <c r="CTW450" s="741"/>
      <c r="CTX450" s="741"/>
      <c r="CTY450" s="741"/>
      <c r="CTZ450" s="741"/>
      <c r="CUA450" s="741"/>
      <c r="CUB450" s="741"/>
      <c r="CUC450" s="741"/>
      <c r="CUD450" s="741"/>
      <c r="CUE450" s="741"/>
      <c r="CUF450" s="741"/>
      <c r="CUG450" s="741"/>
      <c r="CUH450" s="741"/>
      <c r="CUI450" s="741"/>
      <c r="CUJ450" s="741"/>
      <c r="CUK450" s="741"/>
      <c r="CUL450" s="741"/>
      <c r="CUM450" s="741"/>
      <c r="CUN450" s="741"/>
      <c r="CUO450" s="741"/>
      <c r="CUP450" s="741"/>
      <c r="CUQ450" s="741"/>
      <c r="CUR450" s="741"/>
      <c r="CUS450" s="741"/>
      <c r="CUT450" s="741"/>
      <c r="CUU450" s="741"/>
      <c r="CUV450" s="741"/>
      <c r="CUW450" s="741"/>
      <c r="CUX450" s="741"/>
      <c r="CUY450" s="741"/>
      <c r="CUZ450" s="741"/>
      <c r="CVA450" s="741"/>
      <c r="CVB450" s="741"/>
      <c r="CVC450" s="741"/>
      <c r="CVD450" s="741"/>
      <c r="CVE450" s="741"/>
      <c r="CVF450" s="741"/>
      <c r="CVG450" s="741"/>
      <c r="CVH450" s="741"/>
      <c r="CVI450" s="741"/>
      <c r="CVJ450" s="741"/>
      <c r="CVK450" s="741"/>
      <c r="CVL450" s="741"/>
      <c r="CVM450" s="741"/>
      <c r="CVN450" s="741"/>
      <c r="CVO450" s="741"/>
      <c r="CVP450" s="741"/>
      <c r="CVQ450" s="741"/>
      <c r="CVR450" s="741"/>
      <c r="CVS450" s="741"/>
      <c r="CVT450" s="741"/>
      <c r="CVU450" s="741"/>
      <c r="CVV450" s="741"/>
      <c r="CVW450" s="741"/>
      <c r="CVX450" s="741"/>
      <c r="CVY450" s="741"/>
      <c r="CVZ450" s="741"/>
      <c r="CWA450" s="741"/>
      <c r="CWB450" s="741"/>
      <c r="CWC450" s="741"/>
      <c r="CWD450" s="741"/>
      <c r="CWE450" s="741"/>
      <c r="CWF450" s="741"/>
      <c r="CWG450" s="741"/>
      <c r="CWH450" s="741"/>
      <c r="CWI450" s="741"/>
      <c r="CWJ450" s="741"/>
      <c r="CWK450" s="741"/>
      <c r="CWL450" s="741"/>
      <c r="CWM450" s="741"/>
      <c r="CWN450" s="741"/>
      <c r="CWO450" s="741"/>
      <c r="CWP450" s="741"/>
      <c r="CWQ450" s="741"/>
      <c r="CWR450" s="741"/>
      <c r="CWS450" s="741"/>
      <c r="CWT450" s="741"/>
      <c r="CWU450" s="741"/>
      <c r="CWV450" s="741"/>
      <c r="CWW450" s="741"/>
      <c r="CWX450" s="741"/>
      <c r="CWY450" s="741"/>
      <c r="CWZ450" s="741"/>
      <c r="CXA450" s="741"/>
      <c r="CXB450" s="741"/>
      <c r="CXC450" s="741"/>
      <c r="CXD450" s="741"/>
      <c r="CXE450" s="741"/>
      <c r="CXF450" s="741"/>
      <c r="CXG450" s="741"/>
      <c r="CXH450" s="741"/>
      <c r="CXI450" s="741"/>
      <c r="CXJ450" s="741"/>
      <c r="CXK450" s="741"/>
      <c r="CXL450" s="741"/>
      <c r="CXM450" s="741"/>
      <c r="CXN450" s="741"/>
      <c r="CXO450" s="741"/>
      <c r="CXP450" s="741"/>
      <c r="CXQ450" s="741"/>
      <c r="CXR450" s="741"/>
      <c r="CXS450" s="741"/>
      <c r="CXT450" s="741"/>
      <c r="CXU450" s="741"/>
      <c r="CXV450" s="741"/>
      <c r="CXW450" s="741"/>
      <c r="CXX450" s="741"/>
      <c r="CXY450" s="741"/>
      <c r="CXZ450" s="741"/>
      <c r="CYA450" s="741"/>
      <c r="CYB450" s="741"/>
      <c r="CYC450" s="741"/>
      <c r="CYD450" s="741"/>
      <c r="CYE450" s="741"/>
      <c r="CYF450" s="741"/>
      <c r="CYG450" s="741"/>
      <c r="CYH450" s="741"/>
      <c r="CYI450" s="741"/>
      <c r="CYJ450" s="741"/>
      <c r="CYK450" s="741"/>
      <c r="CYL450" s="741"/>
      <c r="CYM450" s="741"/>
      <c r="CYN450" s="741"/>
      <c r="CYO450" s="741"/>
      <c r="CYP450" s="741"/>
      <c r="CYQ450" s="741"/>
      <c r="CYR450" s="741"/>
      <c r="CYS450" s="741"/>
      <c r="CYT450" s="741"/>
      <c r="CYU450" s="741"/>
      <c r="CYV450" s="741"/>
      <c r="CYW450" s="741"/>
      <c r="CYX450" s="741"/>
      <c r="CYY450" s="741"/>
      <c r="CYZ450" s="741"/>
      <c r="CZA450" s="741"/>
      <c r="CZB450" s="741"/>
      <c r="CZC450" s="741"/>
      <c r="CZD450" s="741"/>
      <c r="CZE450" s="741"/>
      <c r="CZF450" s="741"/>
      <c r="CZG450" s="741"/>
      <c r="CZH450" s="741"/>
      <c r="CZI450" s="741"/>
      <c r="CZJ450" s="741"/>
      <c r="CZK450" s="741"/>
      <c r="CZL450" s="741"/>
      <c r="CZM450" s="741"/>
      <c r="CZN450" s="741"/>
      <c r="CZO450" s="741"/>
      <c r="CZP450" s="741"/>
      <c r="CZQ450" s="741"/>
      <c r="CZR450" s="741"/>
      <c r="CZS450" s="741"/>
      <c r="CZT450" s="741"/>
      <c r="CZU450" s="741"/>
      <c r="CZV450" s="741"/>
      <c r="CZW450" s="741"/>
      <c r="CZX450" s="741"/>
      <c r="CZY450" s="741"/>
      <c r="CZZ450" s="741"/>
      <c r="DAA450" s="741"/>
      <c r="DAB450" s="741"/>
      <c r="DAC450" s="741"/>
      <c r="DAD450" s="741"/>
      <c r="DAE450" s="741"/>
      <c r="DAF450" s="741"/>
      <c r="DAG450" s="741"/>
      <c r="DAH450" s="741"/>
      <c r="DAI450" s="741"/>
      <c r="DAJ450" s="741"/>
      <c r="DAK450" s="741"/>
      <c r="DAL450" s="741"/>
      <c r="DAM450" s="741"/>
      <c r="DAN450" s="741"/>
      <c r="DAO450" s="741"/>
      <c r="DAP450" s="741"/>
      <c r="DAQ450" s="741"/>
      <c r="DAR450" s="741"/>
      <c r="DAS450" s="741"/>
      <c r="DAT450" s="741"/>
      <c r="DAU450" s="741"/>
      <c r="DAV450" s="741"/>
      <c r="DAW450" s="741"/>
      <c r="DAX450" s="741"/>
      <c r="DAY450" s="741"/>
      <c r="DAZ450" s="741"/>
      <c r="DBA450" s="741"/>
      <c r="DBB450" s="741"/>
      <c r="DBC450" s="741"/>
      <c r="DBD450" s="741"/>
      <c r="DBE450" s="741"/>
      <c r="DBF450" s="741"/>
      <c r="DBG450" s="741"/>
      <c r="DBH450" s="741"/>
      <c r="DBI450" s="741"/>
      <c r="DBJ450" s="741"/>
      <c r="DBK450" s="741"/>
      <c r="DBL450" s="741"/>
      <c r="DBM450" s="741"/>
      <c r="DBN450" s="741"/>
      <c r="DBO450" s="741"/>
      <c r="DBP450" s="741"/>
      <c r="DBQ450" s="741"/>
      <c r="DBR450" s="741"/>
      <c r="DBS450" s="741"/>
      <c r="DBT450" s="741"/>
      <c r="DBU450" s="741"/>
      <c r="DBV450" s="741"/>
      <c r="DBW450" s="741"/>
      <c r="DBX450" s="741"/>
      <c r="DBY450" s="741"/>
      <c r="DBZ450" s="741"/>
      <c r="DCA450" s="741"/>
      <c r="DCB450" s="741"/>
      <c r="DCC450" s="741"/>
      <c r="DCD450" s="741"/>
      <c r="DCE450" s="741"/>
      <c r="DCF450" s="741"/>
      <c r="DCG450" s="741"/>
      <c r="DCH450" s="741"/>
      <c r="DCI450" s="741"/>
      <c r="DCJ450" s="741"/>
      <c r="DCK450" s="741"/>
      <c r="DCL450" s="741"/>
      <c r="DCM450" s="741"/>
      <c r="DCN450" s="741"/>
      <c r="DCO450" s="741"/>
      <c r="DCP450" s="741"/>
      <c r="DCQ450" s="741"/>
      <c r="DCR450" s="741"/>
      <c r="DCS450" s="741"/>
      <c r="DCT450" s="741"/>
      <c r="DCU450" s="741"/>
      <c r="DCV450" s="741"/>
      <c r="DCW450" s="741"/>
      <c r="DCX450" s="741"/>
      <c r="DCY450" s="741"/>
      <c r="DCZ450" s="741"/>
      <c r="DDA450" s="741"/>
      <c r="DDB450" s="741"/>
      <c r="DDC450" s="741"/>
      <c r="DDD450" s="741"/>
      <c r="DDE450" s="741"/>
      <c r="DDF450" s="741"/>
      <c r="DDG450" s="741"/>
      <c r="DDH450" s="741"/>
      <c r="DDI450" s="741"/>
      <c r="DDJ450" s="741"/>
      <c r="DDK450" s="741"/>
      <c r="DDL450" s="741"/>
      <c r="DDM450" s="741"/>
      <c r="DDN450" s="741"/>
      <c r="DDO450" s="741"/>
      <c r="DDP450" s="741"/>
      <c r="DDQ450" s="741"/>
      <c r="DDR450" s="741"/>
      <c r="DDS450" s="741"/>
      <c r="DDT450" s="741"/>
      <c r="DDU450" s="741"/>
      <c r="DDV450" s="741"/>
      <c r="DDW450" s="741"/>
      <c r="DDX450" s="741"/>
      <c r="DDY450" s="741"/>
      <c r="DDZ450" s="741"/>
      <c r="DEA450" s="741"/>
      <c r="DEB450" s="741"/>
      <c r="DEC450" s="741"/>
      <c r="DED450" s="741"/>
      <c r="DEE450" s="741"/>
      <c r="DEF450" s="741"/>
      <c r="DEG450" s="741"/>
      <c r="DEH450" s="741"/>
      <c r="DEI450" s="741"/>
      <c r="DEJ450" s="741"/>
      <c r="DEK450" s="741"/>
      <c r="DEL450" s="741"/>
      <c r="DEM450" s="741"/>
      <c r="DEN450" s="741"/>
      <c r="DEO450" s="741"/>
      <c r="DEP450" s="741"/>
      <c r="DEQ450" s="741"/>
      <c r="DER450" s="741"/>
      <c r="DES450" s="741"/>
      <c r="DET450" s="741"/>
      <c r="DEU450" s="741"/>
      <c r="DEV450" s="741"/>
      <c r="DEW450" s="741"/>
      <c r="DEX450" s="741"/>
      <c r="DEY450" s="741"/>
      <c r="DEZ450" s="741"/>
      <c r="DFA450" s="741"/>
      <c r="DFB450" s="741"/>
      <c r="DFC450" s="741"/>
      <c r="DFD450" s="741"/>
      <c r="DFE450" s="741"/>
      <c r="DFF450" s="741"/>
      <c r="DFG450" s="741"/>
      <c r="DFH450" s="741"/>
      <c r="DFI450" s="741"/>
      <c r="DFJ450" s="741"/>
      <c r="DFK450" s="741"/>
      <c r="DFL450" s="741"/>
      <c r="DFM450" s="741"/>
      <c r="DFN450" s="741"/>
      <c r="DFO450" s="741"/>
      <c r="DFP450" s="741"/>
      <c r="DFQ450" s="741"/>
      <c r="DFR450" s="741"/>
      <c r="DFS450" s="741"/>
      <c r="DFT450" s="741"/>
      <c r="DFU450" s="741"/>
      <c r="DFV450" s="741"/>
      <c r="DFW450" s="741"/>
      <c r="DFX450" s="741"/>
      <c r="DFY450" s="741"/>
      <c r="DFZ450" s="741"/>
      <c r="DGA450" s="741"/>
      <c r="DGB450" s="741"/>
      <c r="DGC450" s="741"/>
      <c r="DGD450" s="741"/>
      <c r="DGE450" s="741"/>
      <c r="DGF450" s="741"/>
      <c r="DGG450" s="741"/>
      <c r="DGH450" s="741"/>
      <c r="DGI450" s="741"/>
      <c r="DGJ450" s="741"/>
      <c r="DGK450" s="741"/>
      <c r="DGL450" s="741"/>
      <c r="DGM450" s="741"/>
      <c r="DGN450" s="741"/>
      <c r="DGO450" s="741"/>
      <c r="DGP450" s="741"/>
      <c r="DGQ450" s="741"/>
      <c r="DGR450" s="741"/>
      <c r="DGS450" s="741"/>
      <c r="DGT450" s="741"/>
      <c r="DGU450" s="741"/>
      <c r="DGV450" s="741"/>
      <c r="DGW450" s="741"/>
      <c r="DGX450" s="741"/>
      <c r="DGY450" s="741"/>
      <c r="DGZ450" s="741"/>
      <c r="DHA450" s="741"/>
      <c r="DHB450" s="741"/>
      <c r="DHC450" s="741"/>
      <c r="DHD450" s="741"/>
      <c r="DHE450" s="741"/>
      <c r="DHF450" s="741"/>
      <c r="DHG450" s="741"/>
      <c r="DHH450" s="741"/>
      <c r="DHI450" s="741"/>
      <c r="DHJ450" s="741"/>
      <c r="DHK450" s="741"/>
      <c r="DHL450" s="741"/>
      <c r="DHM450" s="741"/>
      <c r="DHN450" s="741"/>
      <c r="DHO450" s="741"/>
      <c r="DHP450" s="741"/>
      <c r="DHQ450" s="741"/>
      <c r="DHR450" s="741"/>
      <c r="DHS450" s="741"/>
      <c r="DHT450" s="741"/>
      <c r="DHU450" s="741"/>
      <c r="DHV450" s="741"/>
      <c r="DHW450" s="741"/>
      <c r="DHX450" s="741"/>
      <c r="DHY450" s="741"/>
      <c r="DHZ450" s="741"/>
      <c r="DIA450" s="741"/>
      <c r="DIB450" s="741"/>
      <c r="DIC450" s="741"/>
      <c r="DID450" s="741"/>
      <c r="DIE450" s="741"/>
      <c r="DIF450" s="741"/>
      <c r="DIG450" s="741"/>
      <c r="DIH450" s="741"/>
      <c r="DII450" s="741"/>
      <c r="DIJ450" s="741"/>
      <c r="DIK450" s="741"/>
      <c r="DIL450" s="741"/>
      <c r="DIM450" s="741"/>
      <c r="DIN450" s="741"/>
      <c r="DIO450" s="741"/>
      <c r="DIP450" s="741"/>
      <c r="DIQ450" s="741"/>
      <c r="DIR450" s="741"/>
      <c r="DIS450" s="741"/>
      <c r="DIT450" s="741"/>
      <c r="DIU450" s="741"/>
      <c r="DIV450" s="741"/>
      <c r="DIW450" s="741"/>
      <c r="DIX450" s="741"/>
      <c r="DIY450" s="741"/>
      <c r="DIZ450" s="741"/>
      <c r="DJA450" s="741"/>
      <c r="DJB450" s="741"/>
      <c r="DJC450" s="741"/>
      <c r="DJD450" s="741"/>
      <c r="DJE450" s="741"/>
      <c r="DJF450" s="741"/>
      <c r="DJG450" s="741"/>
      <c r="DJH450" s="741"/>
      <c r="DJI450" s="741"/>
      <c r="DJJ450" s="741"/>
      <c r="DJK450" s="741"/>
      <c r="DJL450" s="741"/>
      <c r="DJM450" s="741"/>
      <c r="DJN450" s="741"/>
      <c r="DJO450" s="741"/>
      <c r="DJP450" s="741"/>
      <c r="DJQ450" s="741"/>
      <c r="DJR450" s="741"/>
      <c r="DJS450" s="741"/>
      <c r="DJT450" s="741"/>
      <c r="DJU450" s="741"/>
      <c r="DJV450" s="741"/>
      <c r="DJW450" s="741"/>
      <c r="DJX450" s="741"/>
      <c r="DJY450" s="741"/>
      <c r="DJZ450" s="741"/>
      <c r="DKA450" s="741"/>
      <c r="DKB450" s="741"/>
      <c r="DKC450" s="741"/>
      <c r="DKD450" s="741"/>
      <c r="DKE450" s="741"/>
      <c r="DKF450" s="741"/>
      <c r="DKG450" s="741"/>
      <c r="DKH450" s="741"/>
      <c r="DKI450" s="741"/>
      <c r="DKJ450" s="741"/>
      <c r="DKK450" s="741"/>
      <c r="DKL450" s="741"/>
      <c r="DKM450" s="741"/>
      <c r="DKN450" s="741"/>
      <c r="DKO450" s="741"/>
      <c r="DKP450" s="741"/>
      <c r="DKQ450" s="741"/>
      <c r="DKR450" s="741"/>
      <c r="DKS450" s="741"/>
      <c r="DKT450" s="741"/>
      <c r="DKU450" s="741"/>
      <c r="DKV450" s="741"/>
      <c r="DKW450" s="741"/>
      <c r="DKX450" s="741"/>
      <c r="DKY450" s="741"/>
      <c r="DKZ450" s="741"/>
      <c r="DLA450" s="741"/>
      <c r="DLB450" s="741"/>
      <c r="DLC450" s="741"/>
      <c r="DLD450" s="741"/>
      <c r="DLE450" s="741"/>
      <c r="DLF450" s="741"/>
      <c r="DLG450" s="741"/>
      <c r="DLH450" s="741"/>
      <c r="DLI450" s="741"/>
      <c r="DLJ450" s="741"/>
      <c r="DLK450" s="741"/>
      <c r="DLL450" s="741"/>
      <c r="DLM450" s="741"/>
      <c r="DLN450" s="741"/>
      <c r="DLO450" s="741"/>
      <c r="DLP450" s="741"/>
      <c r="DLQ450" s="741"/>
      <c r="DLR450" s="741"/>
      <c r="DLS450" s="741"/>
      <c r="DLT450" s="741"/>
      <c r="DLU450" s="741"/>
      <c r="DLV450" s="741"/>
      <c r="DLW450" s="741"/>
      <c r="DLX450" s="741"/>
      <c r="DLY450" s="741"/>
      <c r="DLZ450" s="741"/>
      <c r="DMA450" s="741"/>
      <c r="DMB450" s="741"/>
      <c r="DMC450" s="741"/>
      <c r="DMD450" s="741"/>
      <c r="DME450" s="741"/>
      <c r="DMF450" s="741"/>
      <c r="DMG450" s="741"/>
      <c r="DMH450" s="741"/>
      <c r="DMI450" s="741"/>
      <c r="DMJ450" s="741"/>
      <c r="DMK450" s="741"/>
      <c r="DML450" s="741"/>
      <c r="DMM450" s="741"/>
      <c r="DMN450" s="741"/>
      <c r="DMO450" s="741"/>
      <c r="DMP450" s="741"/>
      <c r="DMQ450" s="741"/>
      <c r="DMR450" s="741"/>
      <c r="DMS450" s="741"/>
      <c r="DMT450" s="741"/>
      <c r="DMU450" s="741"/>
      <c r="DMV450" s="741"/>
      <c r="DMW450" s="741"/>
      <c r="DMX450" s="741"/>
      <c r="DMY450" s="741"/>
      <c r="DMZ450" s="741"/>
      <c r="DNA450" s="741"/>
      <c r="DNB450" s="741"/>
      <c r="DNC450" s="741"/>
      <c r="DND450" s="741"/>
      <c r="DNE450" s="741"/>
      <c r="DNF450" s="741"/>
      <c r="DNG450" s="741"/>
      <c r="DNH450" s="741"/>
      <c r="DNI450" s="741"/>
      <c r="DNJ450" s="741"/>
      <c r="DNK450" s="741"/>
      <c r="DNL450" s="741"/>
      <c r="DNM450" s="741"/>
      <c r="DNN450" s="741"/>
      <c r="DNO450" s="741"/>
      <c r="DNP450" s="741"/>
      <c r="DNQ450" s="741"/>
      <c r="DNR450" s="741"/>
      <c r="DNS450" s="741"/>
      <c r="DNT450" s="741"/>
      <c r="DNU450" s="741"/>
      <c r="DNV450" s="741"/>
      <c r="DNW450" s="741"/>
      <c r="DNX450" s="741"/>
      <c r="DNY450" s="741"/>
      <c r="DNZ450" s="741"/>
      <c r="DOA450" s="741"/>
      <c r="DOB450" s="741"/>
      <c r="DOC450" s="741"/>
      <c r="DOD450" s="741"/>
      <c r="DOE450" s="741"/>
      <c r="DOF450" s="741"/>
      <c r="DOG450" s="741"/>
      <c r="DOH450" s="741"/>
      <c r="DOI450" s="741"/>
      <c r="DOJ450" s="741"/>
      <c r="DOK450" s="741"/>
      <c r="DOL450" s="741"/>
      <c r="DOM450" s="741"/>
      <c r="DON450" s="741"/>
      <c r="DOO450" s="741"/>
      <c r="DOP450" s="741"/>
      <c r="DOQ450" s="741"/>
      <c r="DOR450" s="741"/>
      <c r="DOS450" s="741"/>
      <c r="DOT450" s="741"/>
      <c r="DOU450" s="741"/>
      <c r="DOV450" s="741"/>
      <c r="DOW450" s="741"/>
      <c r="DOX450" s="741"/>
      <c r="DOY450" s="741"/>
      <c r="DOZ450" s="741"/>
      <c r="DPA450" s="741"/>
      <c r="DPB450" s="741"/>
      <c r="DPC450" s="741"/>
      <c r="DPD450" s="741"/>
      <c r="DPE450" s="741"/>
      <c r="DPF450" s="741"/>
      <c r="DPG450" s="741"/>
      <c r="DPH450" s="741"/>
      <c r="DPI450" s="741"/>
      <c r="DPJ450" s="741"/>
      <c r="DPK450" s="741"/>
      <c r="DPL450" s="741"/>
      <c r="DPM450" s="741"/>
      <c r="DPN450" s="741"/>
      <c r="DPO450" s="741"/>
      <c r="DPP450" s="741"/>
      <c r="DPQ450" s="741"/>
      <c r="DPR450" s="741"/>
      <c r="DPS450" s="741"/>
      <c r="DPT450" s="741"/>
      <c r="DPU450" s="741"/>
      <c r="DPV450" s="741"/>
      <c r="DPW450" s="741"/>
      <c r="DPX450" s="741"/>
      <c r="DPY450" s="741"/>
      <c r="DPZ450" s="741"/>
      <c r="DQA450" s="741"/>
      <c r="DQB450" s="741"/>
      <c r="DQC450" s="741"/>
      <c r="DQD450" s="741"/>
      <c r="DQE450" s="741"/>
      <c r="DQF450" s="741"/>
      <c r="DQG450" s="741"/>
      <c r="DQH450" s="741"/>
      <c r="DQI450" s="741"/>
      <c r="DQJ450" s="741"/>
      <c r="DQK450" s="741"/>
      <c r="DQL450" s="741"/>
      <c r="DQM450" s="741"/>
      <c r="DQN450" s="741"/>
      <c r="DQO450" s="741"/>
      <c r="DQP450" s="741"/>
      <c r="DQQ450" s="741"/>
      <c r="DQR450" s="741"/>
      <c r="DQS450" s="741"/>
      <c r="DQT450" s="741"/>
      <c r="DQU450" s="741"/>
      <c r="DQV450" s="741"/>
      <c r="DQW450" s="741"/>
      <c r="DQX450" s="741"/>
      <c r="DQY450" s="741"/>
      <c r="DQZ450" s="741"/>
      <c r="DRA450" s="741"/>
      <c r="DRB450" s="741"/>
      <c r="DRC450" s="741"/>
      <c r="DRD450" s="741"/>
      <c r="DRE450" s="741"/>
      <c r="DRF450" s="741"/>
      <c r="DRG450" s="741"/>
      <c r="DRH450" s="741"/>
      <c r="DRI450" s="741"/>
      <c r="DRJ450" s="741"/>
      <c r="DRK450" s="741"/>
      <c r="DRL450" s="741"/>
      <c r="DRM450" s="741"/>
      <c r="DRN450" s="741"/>
      <c r="DRO450" s="741"/>
      <c r="DRP450" s="741"/>
      <c r="DRQ450" s="741"/>
      <c r="DRR450" s="741"/>
      <c r="DRS450" s="741"/>
      <c r="DRT450" s="741"/>
      <c r="DRU450" s="741"/>
      <c r="DRV450" s="741"/>
      <c r="DRW450" s="741"/>
      <c r="DRX450" s="741"/>
      <c r="DRY450" s="741"/>
      <c r="DRZ450" s="741"/>
      <c r="DSA450" s="741"/>
      <c r="DSB450" s="741"/>
      <c r="DSC450" s="741"/>
      <c r="DSD450" s="741"/>
      <c r="DSE450" s="741"/>
      <c r="DSF450" s="741"/>
      <c r="DSG450" s="741"/>
      <c r="DSH450" s="741"/>
      <c r="DSI450" s="741"/>
      <c r="DSJ450" s="741"/>
      <c r="DSK450" s="741"/>
      <c r="DSL450" s="741"/>
      <c r="DSM450" s="741"/>
      <c r="DSN450" s="741"/>
      <c r="DSO450" s="741"/>
      <c r="DSP450" s="741"/>
      <c r="DSQ450" s="741"/>
      <c r="DSR450" s="741"/>
      <c r="DSS450" s="741"/>
      <c r="DST450" s="741"/>
      <c r="DSU450" s="741"/>
      <c r="DSV450" s="741"/>
      <c r="DSW450" s="741"/>
      <c r="DSX450" s="741"/>
      <c r="DSY450" s="741"/>
      <c r="DSZ450" s="741"/>
      <c r="DTA450" s="741"/>
      <c r="DTB450" s="741"/>
      <c r="DTC450" s="741"/>
      <c r="DTD450" s="741"/>
      <c r="DTE450" s="741"/>
      <c r="DTF450" s="741"/>
      <c r="DTG450" s="741"/>
      <c r="DTH450" s="741"/>
      <c r="DTI450" s="741"/>
      <c r="DTJ450" s="741"/>
      <c r="DTK450" s="741"/>
      <c r="DTL450" s="741"/>
      <c r="DTM450" s="741"/>
      <c r="DTN450" s="741"/>
      <c r="DTO450" s="741"/>
      <c r="DTP450" s="741"/>
      <c r="DTQ450" s="741"/>
      <c r="DTR450" s="741"/>
      <c r="DTS450" s="741"/>
      <c r="DTT450" s="741"/>
      <c r="DTU450" s="741"/>
      <c r="DTV450" s="741"/>
      <c r="DTW450" s="741"/>
      <c r="DTX450" s="741"/>
      <c r="DTY450" s="741"/>
      <c r="DTZ450" s="741"/>
      <c r="DUA450" s="741"/>
      <c r="DUB450" s="741"/>
      <c r="DUC450" s="741"/>
      <c r="DUD450" s="741"/>
      <c r="DUE450" s="741"/>
      <c r="DUF450" s="741"/>
      <c r="DUG450" s="741"/>
      <c r="DUH450" s="741"/>
      <c r="DUI450" s="741"/>
      <c r="DUJ450" s="741"/>
      <c r="DUK450" s="741"/>
      <c r="DUL450" s="741"/>
      <c r="DUM450" s="741"/>
      <c r="DUN450" s="741"/>
      <c r="DUO450" s="741"/>
      <c r="DUP450" s="741"/>
      <c r="DUQ450" s="741"/>
      <c r="DUR450" s="741"/>
      <c r="DUS450" s="741"/>
      <c r="DUT450" s="741"/>
      <c r="DUU450" s="741"/>
      <c r="DUV450" s="741"/>
      <c r="DUW450" s="741"/>
      <c r="DUX450" s="741"/>
      <c r="DUY450" s="741"/>
      <c r="DUZ450" s="741"/>
      <c r="DVA450" s="741"/>
      <c r="DVB450" s="741"/>
      <c r="DVC450" s="741"/>
      <c r="DVD450" s="741"/>
      <c r="DVE450" s="741"/>
      <c r="DVF450" s="741"/>
      <c r="DVG450" s="741"/>
      <c r="DVH450" s="741"/>
      <c r="DVI450" s="741"/>
      <c r="DVJ450" s="741"/>
      <c r="DVK450" s="741"/>
      <c r="DVL450" s="741"/>
      <c r="DVM450" s="741"/>
      <c r="DVN450" s="741"/>
      <c r="DVO450" s="741"/>
      <c r="DVP450" s="741"/>
      <c r="DVQ450" s="741"/>
      <c r="DVR450" s="741"/>
      <c r="DVS450" s="741"/>
      <c r="DVT450" s="741"/>
      <c r="DVU450" s="741"/>
      <c r="DVV450" s="741"/>
      <c r="DVW450" s="741"/>
      <c r="DVX450" s="741"/>
      <c r="DVY450" s="741"/>
      <c r="DVZ450" s="741"/>
      <c r="DWA450" s="741"/>
      <c r="DWB450" s="741"/>
      <c r="DWC450" s="741"/>
      <c r="DWD450" s="741"/>
      <c r="DWE450" s="741"/>
      <c r="DWF450" s="741"/>
      <c r="DWG450" s="741"/>
      <c r="DWH450" s="741"/>
      <c r="DWI450" s="741"/>
      <c r="DWJ450" s="741"/>
      <c r="DWK450" s="741"/>
      <c r="DWL450" s="741"/>
      <c r="DWM450" s="741"/>
      <c r="DWN450" s="741"/>
      <c r="DWO450" s="741"/>
      <c r="DWP450" s="741"/>
      <c r="DWQ450" s="741"/>
      <c r="DWR450" s="741"/>
      <c r="DWS450" s="741"/>
      <c r="DWT450" s="741"/>
      <c r="DWU450" s="741"/>
      <c r="DWV450" s="741"/>
      <c r="DWW450" s="741"/>
      <c r="DWX450" s="741"/>
      <c r="DWY450" s="741"/>
      <c r="DWZ450" s="741"/>
      <c r="DXA450" s="741"/>
      <c r="DXB450" s="741"/>
      <c r="DXC450" s="741"/>
      <c r="DXD450" s="741"/>
      <c r="DXE450" s="741"/>
      <c r="DXF450" s="741"/>
      <c r="DXG450" s="741"/>
      <c r="DXH450" s="741"/>
      <c r="DXI450" s="741"/>
      <c r="DXJ450" s="741"/>
      <c r="DXK450" s="741"/>
      <c r="DXL450" s="741"/>
      <c r="DXM450" s="741"/>
      <c r="DXN450" s="741"/>
      <c r="DXO450" s="741"/>
      <c r="DXP450" s="741"/>
      <c r="DXQ450" s="741"/>
      <c r="DXR450" s="741"/>
      <c r="DXS450" s="741"/>
      <c r="DXT450" s="741"/>
      <c r="DXU450" s="741"/>
      <c r="DXV450" s="741"/>
      <c r="DXW450" s="741"/>
      <c r="DXX450" s="741"/>
      <c r="DXY450" s="741"/>
      <c r="DXZ450" s="741"/>
      <c r="DYA450" s="741"/>
      <c r="DYB450" s="741"/>
      <c r="DYC450" s="741"/>
      <c r="DYD450" s="741"/>
      <c r="DYE450" s="741"/>
      <c r="DYF450" s="741"/>
      <c r="DYG450" s="741"/>
      <c r="DYH450" s="741"/>
      <c r="DYI450" s="741"/>
      <c r="DYJ450" s="741"/>
      <c r="DYK450" s="741"/>
      <c r="DYL450" s="741"/>
      <c r="DYM450" s="741"/>
      <c r="DYN450" s="741"/>
      <c r="DYO450" s="741"/>
      <c r="DYP450" s="741"/>
      <c r="DYQ450" s="741"/>
      <c r="DYR450" s="741"/>
      <c r="DYS450" s="741"/>
      <c r="DYT450" s="741"/>
      <c r="DYU450" s="741"/>
      <c r="DYV450" s="741"/>
      <c r="DYW450" s="741"/>
      <c r="DYX450" s="741"/>
      <c r="DYY450" s="741"/>
      <c r="DYZ450" s="741"/>
      <c r="DZA450" s="741"/>
      <c r="DZB450" s="741"/>
      <c r="DZC450" s="741"/>
      <c r="DZD450" s="741"/>
      <c r="DZE450" s="741"/>
      <c r="DZF450" s="741"/>
      <c r="DZG450" s="741"/>
      <c r="DZH450" s="741"/>
      <c r="DZI450" s="741"/>
      <c r="DZJ450" s="741"/>
      <c r="DZK450" s="741"/>
      <c r="DZL450" s="741"/>
      <c r="DZM450" s="741"/>
      <c r="DZN450" s="741"/>
      <c r="DZO450" s="741"/>
      <c r="DZP450" s="741"/>
      <c r="DZQ450" s="741"/>
      <c r="DZR450" s="741"/>
      <c r="DZS450" s="741"/>
      <c r="DZT450" s="741"/>
      <c r="DZU450" s="741"/>
      <c r="DZV450" s="741"/>
      <c r="DZW450" s="741"/>
      <c r="DZX450" s="741"/>
      <c r="DZY450" s="741"/>
      <c r="DZZ450" s="741"/>
      <c r="EAA450" s="741"/>
      <c r="EAB450" s="741"/>
      <c r="EAC450" s="741"/>
      <c r="EAD450" s="741"/>
      <c r="EAE450" s="741"/>
      <c r="EAF450" s="741"/>
      <c r="EAG450" s="741"/>
      <c r="EAH450" s="741"/>
      <c r="EAI450" s="741"/>
      <c r="EAJ450" s="741"/>
      <c r="EAK450" s="741"/>
      <c r="EAL450" s="741"/>
      <c r="EAM450" s="741"/>
      <c r="EAN450" s="741"/>
      <c r="EAO450" s="741"/>
      <c r="EAP450" s="741"/>
      <c r="EAQ450" s="741"/>
      <c r="EAR450" s="741"/>
      <c r="EAS450" s="741"/>
      <c r="EAT450" s="741"/>
      <c r="EAU450" s="741"/>
      <c r="EAV450" s="741"/>
      <c r="EAW450" s="741"/>
      <c r="EAX450" s="741"/>
      <c r="EAY450" s="741"/>
      <c r="EAZ450" s="741"/>
      <c r="EBA450" s="741"/>
      <c r="EBB450" s="741"/>
      <c r="EBC450" s="741"/>
      <c r="EBD450" s="741"/>
      <c r="EBE450" s="741"/>
      <c r="EBF450" s="741"/>
      <c r="EBG450" s="741"/>
      <c r="EBH450" s="741"/>
      <c r="EBI450" s="741"/>
      <c r="EBJ450" s="741"/>
      <c r="EBK450" s="741"/>
      <c r="EBL450" s="741"/>
      <c r="EBM450" s="741"/>
      <c r="EBN450" s="741"/>
      <c r="EBO450" s="741"/>
      <c r="EBP450" s="741"/>
      <c r="EBQ450" s="741"/>
      <c r="EBR450" s="741"/>
      <c r="EBS450" s="741"/>
      <c r="EBT450" s="741"/>
      <c r="EBU450" s="741"/>
      <c r="EBV450" s="741"/>
      <c r="EBW450" s="741"/>
      <c r="EBX450" s="741"/>
      <c r="EBY450" s="741"/>
      <c r="EBZ450" s="741"/>
      <c r="ECA450" s="741"/>
      <c r="ECB450" s="741"/>
      <c r="ECC450" s="741"/>
      <c r="ECD450" s="741"/>
      <c r="ECE450" s="741"/>
      <c r="ECF450" s="741"/>
      <c r="ECG450" s="741"/>
      <c r="ECH450" s="741"/>
      <c r="ECI450" s="741"/>
      <c r="ECJ450" s="741"/>
      <c r="ECK450" s="741"/>
      <c r="ECL450" s="741"/>
      <c r="ECM450" s="741"/>
      <c r="ECN450" s="741"/>
      <c r="ECO450" s="741"/>
      <c r="ECP450" s="741"/>
      <c r="ECQ450" s="741"/>
      <c r="ECR450" s="741"/>
      <c r="ECS450" s="741"/>
      <c r="ECT450" s="741"/>
      <c r="ECU450" s="741"/>
      <c r="ECV450" s="741"/>
      <c r="ECW450" s="741"/>
      <c r="ECX450" s="741"/>
      <c r="ECY450" s="741"/>
      <c r="ECZ450" s="741"/>
      <c r="EDA450" s="741"/>
      <c r="EDB450" s="741"/>
      <c r="EDC450" s="741"/>
      <c r="EDD450" s="741"/>
      <c r="EDE450" s="741"/>
      <c r="EDF450" s="741"/>
      <c r="EDG450" s="741"/>
      <c r="EDH450" s="741"/>
      <c r="EDI450" s="741"/>
      <c r="EDJ450" s="741"/>
      <c r="EDK450" s="741"/>
      <c r="EDL450" s="741"/>
      <c r="EDM450" s="741"/>
      <c r="EDN450" s="741"/>
      <c r="EDO450" s="741"/>
      <c r="EDP450" s="741"/>
      <c r="EDQ450" s="741"/>
      <c r="EDR450" s="741"/>
      <c r="EDS450" s="741"/>
      <c r="EDT450" s="741"/>
      <c r="EDU450" s="741"/>
      <c r="EDV450" s="741"/>
      <c r="EDW450" s="741"/>
      <c r="EDX450" s="741"/>
      <c r="EDY450" s="741"/>
      <c r="EDZ450" s="741"/>
      <c r="EEA450" s="741"/>
      <c r="EEB450" s="741"/>
      <c r="EEC450" s="741"/>
      <c r="EED450" s="741"/>
      <c r="EEE450" s="741"/>
      <c r="EEF450" s="741"/>
      <c r="EEG450" s="741"/>
      <c r="EEH450" s="741"/>
      <c r="EEI450" s="741"/>
      <c r="EEJ450" s="741"/>
      <c r="EEK450" s="741"/>
      <c r="EEL450" s="741"/>
      <c r="EEM450" s="741"/>
      <c r="EEN450" s="741"/>
      <c r="EEO450" s="741"/>
      <c r="EEP450" s="741"/>
      <c r="EEQ450" s="741"/>
      <c r="EER450" s="741"/>
      <c r="EES450" s="741"/>
      <c r="EET450" s="741"/>
      <c r="EEU450" s="741"/>
      <c r="EEV450" s="741"/>
      <c r="EEW450" s="741"/>
      <c r="EEX450" s="741"/>
      <c r="EEY450" s="741"/>
      <c r="EEZ450" s="741"/>
      <c r="EFA450" s="741"/>
      <c r="EFB450" s="741"/>
      <c r="EFC450" s="741"/>
      <c r="EFD450" s="741"/>
      <c r="EFE450" s="741"/>
      <c r="EFF450" s="741"/>
      <c r="EFG450" s="741"/>
      <c r="EFH450" s="741"/>
      <c r="EFI450" s="741"/>
      <c r="EFJ450" s="741"/>
      <c r="EFK450" s="741"/>
      <c r="EFL450" s="741"/>
      <c r="EFM450" s="741"/>
      <c r="EFN450" s="741"/>
      <c r="EFO450" s="741"/>
      <c r="EFP450" s="741"/>
      <c r="EFQ450" s="741"/>
      <c r="EFR450" s="741"/>
      <c r="EFS450" s="741"/>
      <c r="EFT450" s="741"/>
      <c r="EFU450" s="741"/>
      <c r="EFV450" s="741"/>
      <c r="EFW450" s="741"/>
      <c r="EFX450" s="741"/>
      <c r="EFY450" s="741"/>
      <c r="EFZ450" s="741"/>
      <c r="EGA450" s="741"/>
      <c r="EGB450" s="741"/>
      <c r="EGC450" s="741"/>
      <c r="EGD450" s="741"/>
      <c r="EGE450" s="741"/>
      <c r="EGF450" s="741"/>
      <c r="EGG450" s="741"/>
      <c r="EGH450" s="741"/>
      <c r="EGI450" s="741"/>
      <c r="EGJ450" s="741"/>
      <c r="EGK450" s="741"/>
      <c r="EGL450" s="741"/>
      <c r="EGM450" s="741"/>
      <c r="EGN450" s="741"/>
      <c r="EGO450" s="741"/>
      <c r="EGP450" s="741"/>
      <c r="EGQ450" s="741"/>
      <c r="EGR450" s="741"/>
      <c r="EGS450" s="741"/>
      <c r="EGT450" s="741"/>
      <c r="EGU450" s="741"/>
      <c r="EGV450" s="741"/>
      <c r="EGW450" s="741"/>
      <c r="EGX450" s="741"/>
      <c r="EGY450" s="741"/>
      <c r="EGZ450" s="741"/>
      <c r="EHA450" s="741"/>
      <c r="EHB450" s="741"/>
      <c r="EHC450" s="741"/>
      <c r="EHD450" s="741"/>
      <c r="EHE450" s="741"/>
      <c r="EHF450" s="741"/>
      <c r="EHG450" s="741"/>
      <c r="EHH450" s="741"/>
      <c r="EHI450" s="741"/>
      <c r="EHJ450" s="741"/>
      <c r="EHK450" s="741"/>
      <c r="EHL450" s="741"/>
      <c r="EHM450" s="741"/>
      <c r="EHN450" s="741"/>
      <c r="EHO450" s="741"/>
      <c r="EHP450" s="741"/>
      <c r="EHQ450" s="741"/>
      <c r="EHR450" s="741"/>
      <c r="EHS450" s="741"/>
      <c r="EHT450" s="741"/>
      <c r="EHU450" s="741"/>
      <c r="EHV450" s="741"/>
      <c r="EHW450" s="741"/>
      <c r="EHX450" s="741"/>
      <c r="EHY450" s="741"/>
      <c r="EHZ450" s="741"/>
      <c r="EIA450" s="741"/>
      <c r="EIB450" s="741"/>
      <c r="EIC450" s="741"/>
      <c r="EID450" s="741"/>
      <c r="EIE450" s="741"/>
      <c r="EIF450" s="741"/>
      <c r="EIG450" s="741"/>
      <c r="EIH450" s="741"/>
      <c r="EII450" s="741"/>
      <c r="EIJ450" s="741"/>
      <c r="EIK450" s="741"/>
      <c r="EIL450" s="741"/>
      <c r="EIM450" s="741"/>
      <c r="EIN450" s="741"/>
      <c r="EIO450" s="741"/>
      <c r="EIP450" s="741"/>
      <c r="EIQ450" s="741"/>
      <c r="EIR450" s="741"/>
      <c r="EIS450" s="741"/>
      <c r="EIT450" s="741"/>
      <c r="EIU450" s="741"/>
      <c r="EIV450" s="741"/>
      <c r="EIW450" s="741"/>
      <c r="EIX450" s="741"/>
      <c r="EIY450" s="741"/>
      <c r="EIZ450" s="741"/>
      <c r="EJA450" s="741"/>
      <c r="EJB450" s="741"/>
      <c r="EJC450" s="741"/>
      <c r="EJD450" s="741"/>
      <c r="EJE450" s="741"/>
      <c r="EJF450" s="741"/>
      <c r="EJG450" s="741"/>
      <c r="EJH450" s="741"/>
      <c r="EJI450" s="741"/>
      <c r="EJJ450" s="741"/>
      <c r="EJK450" s="741"/>
      <c r="EJL450" s="741"/>
      <c r="EJM450" s="741"/>
      <c r="EJN450" s="741"/>
      <c r="EJO450" s="741"/>
      <c r="EJP450" s="741"/>
      <c r="EJQ450" s="741"/>
      <c r="EJR450" s="741"/>
      <c r="EJS450" s="741"/>
      <c r="EJT450" s="741"/>
      <c r="EJU450" s="741"/>
      <c r="EJV450" s="741"/>
      <c r="EJW450" s="741"/>
      <c r="EJX450" s="741"/>
      <c r="EJY450" s="741"/>
      <c r="EJZ450" s="741"/>
      <c r="EKA450" s="741"/>
      <c r="EKB450" s="741"/>
      <c r="EKC450" s="741"/>
      <c r="EKD450" s="741"/>
      <c r="EKE450" s="741"/>
      <c r="EKF450" s="741"/>
      <c r="EKG450" s="741"/>
      <c r="EKH450" s="741"/>
      <c r="EKI450" s="741"/>
      <c r="EKJ450" s="741"/>
      <c r="EKK450" s="741"/>
      <c r="EKL450" s="741"/>
      <c r="EKM450" s="741"/>
      <c r="EKN450" s="741"/>
      <c r="EKO450" s="741"/>
      <c r="EKP450" s="741"/>
      <c r="EKQ450" s="741"/>
      <c r="EKR450" s="741"/>
      <c r="EKS450" s="741"/>
      <c r="EKT450" s="741"/>
      <c r="EKU450" s="741"/>
      <c r="EKV450" s="741"/>
      <c r="EKW450" s="741"/>
      <c r="EKX450" s="741"/>
      <c r="EKY450" s="741"/>
      <c r="EKZ450" s="741"/>
      <c r="ELA450" s="741"/>
      <c r="ELB450" s="741"/>
      <c r="ELC450" s="741"/>
      <c r="ELD450" s="741"/>
      <c r="ELE450" s="741"/>
      <c r="ELF450" s="741"/>
      <c r="ELG450" s="741"/>
      <c r="ELH450" s="741"/>
      <c r="ELI450" s="741"/>
      <c r="ELJ450" s="741"/>
      <c r="ELK450" s="741"/>
      <c r="ELL450" s="741"/>
      <c r="ELM450" s="741"/>
      <c r="ELN450" s="741"/>
      <c r="ELO450" s="741"/>
      <c r="ELP450" s="741"/>
      <c r="ELQ450" s="741"/>
      <c r="ELR450" s="741"/>
      <c r="ELS450" s="741"/>
      <c r="ELT450" s="741"/>
      <c r="ELU450" s="741"/>
      <c r="ELV450" s="741"/>
      <c r="ELW450" s="741"/>
      <c r="ELX450" s="741"/>
      <c r="ELY450" s="741"/>
      <c r="ELZ450" s="741"/>
      <c r="EMA450" s="741"/>
      <c r="EMB450" s="741"/>
      <c r="EMC450" s="741"/>
      <c r="EMD450" s="741"/>
      <c r="EME450" s="741"/>
      <c r="EMF450" s="741"/>
      <c r="EMG450" s="741"/>
      <c r="EMH450" s="741"/>
      <c r="EMI450" s="741"/>
      <c r="EMJ450" s="741"/>
      <c r="EMK450" s="741"/>
      <c r="EML450" s="741"/>
      <c r="EMM450" s="741"/>
      <c r="EMN450" s="741"/>
      <c r="EMO450" s="741"/>
      <c r="EMP450" s="741"/>
      <c r="EMQ450" s="741"/>
      <c r="EMR450" s="741"/>
      <c r="EMS450" s="741"/>
      <c r="EMT450" s="741"/>
      <c r="EMU450" s="741"/>
      <c r="EMV450" s="741"/>
      <c r="EMW450" s="741"/>
      <c r="EMX450" s="741"/>
      <c r="EMY450" s="741"/>
      <c r="EMZ450" s="741"/>
      <c r="ENA450" s="741"/>
      <c r="ENB450" s="741"/>
      <c r="ENC450" s="741"/>
      <c r="END450" s="741"/>
      <c r="ENE450" s="741"/>
      <c r="ENF450" s="741"/>
      <c r="ENG450" s="741"/>
      <c r="ENH450" s="741"/>
      <c r="ENI450" s="741"/>
      <c r="ENJ450" s="741"/>
      <c r="ENK450" s="741"/>
      <c r="ENL450" s="741"/>
      <c r="ENM450" s="741"/>
      <c r="ENN450" s="741"/>
      <c r="ENO450" s="741"/>
      <c r="ENP450" s="741"/>
      <c r="ENQ450" s="741"/>
      <c r="ENR450" s="741"/>
      <c r="ENS450" s="741"/>
      <c r="ENT450" s="741"/>
      <c r="ENU450" s="741"/>
      <c r="ENV450" s="741"/>
      <c r="ENW450" s="741"/>
      <c r="ENX450" s="741"/>
      <c r="ENY450" s="741"/>
      <c r="ENZ450" s="741"/>
      <c r="EOA450" s="741"/>
      <c r="EOB450" s="741"/>
      <c r="EOC450" s="741"/>
      <c r="EOD450" s="741"/>
      <c r="EOE450" s="741"/>
      <c r="EOF450" s="741"/>
      <c r="EOG450" s="741"/>
      <c r="EOH450" s="741"/>
      <c r="EOI450" s="741"/>
      <c r="EOJ450" s="741"/>
      <c r="EOK450" s="741"/>
      <c r="EOL450" s="741"/>
      <c r="EOM450" s="741"/>
      <c r="EON450" s="741"/>
      <c r="EOO450" s="741"/>
      <c r="EOP450" s="741"/>
      <c r="EOQ450" s="741"/>
      <c r="EOR450" s="741"/>
      <c r="EOS450" s="741"/>
      <c r="EOT450" s="741"/>
      <c r="EOU450" s="741"/>
      <c r="EOV450" s="741"/>
      <c r="EOW450" s="741"/>
      <c r="EOX450" s="741"/>
      <c r="EOY450" s="741"/>
      <c r="EOZ450" s="741"/>
      <c r="EPA450" s="741"/>
      <c r="EPB450" s="741"/>
      <c r="EPC450" s="741"/>
      <c r="EPD450" s="741"/>
      <c r="EPE450" s="741"/>
      <c r="EPF450" s="741"/>
      <c r="EPG450" s="741"/>
      <c r="EPH450" s="741"/>
      <c r="EPI450" s="741"/>
      <c r="EPJ450" s="741"/>
      <c r="EPK450" s="741"/>
      <c r="EPL450" s="741"/>
      <c r="EPM450" s="741"/>
      <c r="EPN450" s="741"/>
      <c r="EPO450" s="741"/>
      <c r="EPP450" s="741"/>
      <c r="EPQ450" s="741"/>
      <c r="EPR450" s="741"/>
      <c r="EPS450" s="741"/>
      <c r="EPT450" s="741"/>
      <c r="EPU450" s="741"/>
      <c r="EPV450" s="741"/>
      <c r="EPW450" s="741"/>
      <c r="EPX450" s="741"/>
      <c r="EPY450" s="741"/>
      <c r="EPZ450" s="741"/>
      <c r="EQA450" s="741"/>
      <c r="EQB450" s="741"/>
      <c r="EQC450" s="741"/>
      <c r="EQD450" s="741"/>
      <c r="EQE450" s="741"/>
      <c r="EQF450" s="741"/>
      <c r="EQG450" s="741"/>
      <c r="EQH450" s="741"/>
      <c r="EQI450" s="741"/>
      <c r="EQJ450" s="741"/>
      <c r="EQK450" s="741"/>
      <c r="EQL450" s="741"/>
      <c r="EQM450" s="741"/>
      <c r="EQN450" s="741"/>
      <c r="EQO450" s="741"/>
      <c r="EQP450" s="741"/>
      <c r="EQQ450" s="741"/>
      <c r="EQR450" s="741"/>
      <c r="EQS450" s="741"/>
      <c r="EQT450" s="741"/>
      <c r="EQU450" s="741"/>
      <c r="EQV450" s="741"/>
      <c r="EQW450" s="741"/>
      <c r="EQX450" s="741"/>
      <c r="EQY450" s="741"/>
      <c r="EQZ450" s="741"/>
      <c r="ERA450" s="741"/>
      <c r="ERB450" s="741"/>
      <c r="ERC450" s="741"/>
      <c r="ERD450" s="741"/>
      <c r="ERE450" s="741"/>
      <c r="ERF450" s="741"/>
      <c r="ERG450" s="741"/>
      <c r="ERH450" s="741"/>
      <c r="ERI450" s="741"/>
      <c r="ERJ450" s="741"/>
      <c r="ERK450" s="741"/>
      <c r="ERL450" s="741"/>
      <c r="ERM450" s="741"/>
      <c r="ERN450" s="741"/>
      <c r="ERO450" s="741"/>
      <c r="ERP450" s="741"/>
      <c r="ERQ450" s="741"/>
      <c r="ERR450" s="741"/>
      <c r="ERS450" s="741"/>
      <c r="ERT450" s="741"/>
      <c r="ERU450" s="741"/>
      <c r="ERV450" s="741"/>
      <c r="ERW450" s="741"/>
      <c r="ERX450" s="741"/>
      <c r="ERY450" s="741"/>
      <c r="ERZ450" s="741"/>
      <c r="ESA450" s="741"/>
      <c r="ESB450" s="741"/>
      <c r="ESC450" s="741"/>
      <c r="ESD450" s="741"/>
      <c r="ESE450" s="741"/>
      <c r="ESF450" s="741"/>
      <c r="ESG450" s="741"/>
      <c r="ESH450" s="741"/>
      <c r="ESI450" s="741"/>
      <c r="ESJ450" s="741"/>
      <c r="ESK450" s="741"/>
      <c r="ESL450" s="741"/>
      <c r="ESM450" s="741"/>
      <c r="ESN450" s="741"/>
      <c r="ESO450" s="741"/>
      <c r="ESP450" s="741"/>
      <c r="ESQ450" s="741"/>
      <c r="ESR450" s="741"/>
      <c r="ESS450" s="741"/>
      <c r="EST450" s="741"/>
      <c r="ESU450" s="741"/>
      <c r="ESV450" s="741"/>
      <c r="ESW450" s="741"/>
      <c r="ESX450" s="741"/>
      <c r="ESY450" s="741"/>
      <c r="ESZ450" s="741"/>
      <c r="ETA450" s="741"/>
      <c r="ETB450" s="741"/>
      <c r="ETC450" s="741"/>
      <c r="ETD450" s="741"/>
      <c r="ETE450" s="741"/>
      <c r="ETF450" s="741"/>
      <c r="ETG450" s="741"/>
      <c r="ETH450" s="741"/>
      <c r="ETI450" s="741"/>
      <c r="ETJ450" s="741"/>
      <c r="ETK450" s="741"/>
      <c r="ETL450" s="741"/>
      <c r="ETM450" s="741"/>
      <c r="ETN450" s="741"/>
      <c r="ETO450" s="741"/>
      <c r="ETP450" s="741"/>
      <c r="ETQ450" s="741"/>
      <c r="ETR450" s="741"/>
      <c r="ETS450" s="741"/>
      <c r="ETT450" s="741"/>
      <c r="ETU450" s="741"/>
      <c r="ETV450" s="741"/>
      <c r="ETW450" s="741"/>
      <c r="ETX450" s="741"/>
      <c r="ETY450" s="741"/>
      <c r="ETZ450" s="741"/>
      <c r="EUA450" s="741"/>
      <c r="EUB450" s="741"/>
      <c r="EUC450" s="741"/>
      <c r="EUD450" s="741"/>
      <c r="EUE450" s="741"/>
      <c r="EUF450" s="741"/>
      <c r="EUG450" s="741"/>
      <c r="EUH450" s="741"/>
      <c r="EUI450" s="741"/>
      <c r="EUJ450" s="741"/>
      <c r="EUK450" s="741"/>
      <c r="EUL450" s="741"/>
      <c r="EUM450" s="741"/>
      <c r="EUN450" s="741"/>
      <c r="EUO450" s="741"/>
      <c r="EUP450" s="741"/>
      <c r="EUQ450" s="741"/>
      <c r="EUR450" s="741"/>
      <c r="EUS450" s="741"/>
      <c r="EUT450" s="741"/>
      <c r="EUU450" s="741"/>
      <c r="EUV450" s="741"/>
      <c r="EUW450" s="741"/>
      <c r="EUX450" s="741"/>
      <c r="EUY450" s="741"/>
      <c r="EUZ450" s="741"/>
      <c r="EVA450" s="741"/>
      <c r="EVB450" s="741"/>
      <c r="EVC450" s="741"/>
      <c r="EVD450" s="741"/>
      <c r="EVE450" s="741"/>
      <c r="EVF450" s="741"/>
      <c r="EVG450" s="741"/>
      <c r="EVH450" s="741"/>
      <c r="EVI450" s="741"/>
      <c r="EVJ450" s="741"/>
      <c r="EVK450" s="741"/>
      <c r="EVL450" s="741"/>
      <c r="EVM450" s="741"/>
      <c r="EVN450" s="741"/>
      <c r="EVO450" s="741"/>
      <c r="EVP450" s="741"/>
      <c r="EVQ450" s="741"/>
      <c r="EVR450" s="741"/>
      <c r="EVS450" s="741"/>
      <c r="EVT450" s="741"/>
      <c r="EVU450" s="741"/>
      <c r="EVV450" s="741"/>
      <c r="EVW450" s="741"/>
      <c r="EVX450" s="741"/>
      <c r="EVY450" s="741"/>
      <c r="EVZ450" s="741"/>
      <c r="EWA450" s="741"/>
      <c r="EWB450" s="741"/>
      <c r="EWC450" s="741"/>
      <c r="EWD450" s="741"/>
      <c r="EWE450" s="741"/>
      <c r="EWF450" s="741"/>
      <c r="EWG450" s="741"/>
      <c r="EWH450" s="741"/>
      <c r="EWI450" s="741"/>
      <c r="EWJ450" s="741"/>
      <c r="EWK450" s="741"/>
      <c r="EWL450" s="741"/>
      <c r="EWM450" s="741"/>
      <c r="EWN450" s="741"/>
      <c r="EWO450" s="741"/>
      <c r="EWP450" s="741"/>
      <c r="EWQ450" s="741"/>
      <c r="EWR450" s="741"/>
      <c r="EWS450" s="741"/>
      <c r="EWT450" s="741"/>
      <c r="EWU450" s="741"/>
      <c r="EWV450" s="741"/>
      <c r="EWW450" s="741"/>
      <c r="EWX450" s="741"/>
      <c r="EWY450" s="741"/>
      <c r="EWZ450" s="741"/>
      <c r="EXA450" s="741"/>
      <c r="EXB450" s="741"/>
      <c r="EXC450" s="741"/>
      <c r="EXD450" s="741"/>
      <c r="EXE450" s="741"/>
      <c r="EXF450" s="741"/>
      <c r="EXG450" s="741"/>
      <c r="EXH450" s="741"/>
      <c r="EXI450" s="741"/>
      <c r="EXJ450" s="741"/>
      <c r="EXK450" s="741"/>
      <c r="EXL450" s="741"/>
      <c r="EXM450" s="741"/>
      <c r="EXN450" s="741"/>
      <c r="EXO450" s="741"/>
      <c r="EXP450" s="741"/>
      <c r="EXQ450" s="741"/>
      <c r="EXR450" s="741"/>
      <c r="EXS450" s="741"/>
      <c r="EXT450" s="741"/>
      <c r="EXU450" s="741"/>
      <c r="EXV450" s="741"/>
      <c r="EXW450" s="741"/>
      <c r="EXX450" s="741"/>
      <c r="EXY450" s="741"/>
      <c r="EXZ450" s="741"/>
      <c r="EYA450" s="741"/>
      <c r="EYB450" s="741"/>
      <c r="EYC450" s="741"/>
      <c r="EYD450" s="741"/>
      <c r="EYE450" s="741"/>
      <c r="EYF450" s="741"/>
      <c r="EYG450" s="741"/>
      <c r="EYH450" s="741"/>
      <c r="EYI450" s="741"/>
      <c r="EYJ450" s="741"/>
      <c r="EYK450" s="741"/>
      <c r="EYL450" s="741"/>
      <c r="EYM450" s="741"/>
      <c r="EYN450" s="741"/>
      <c r="EYO450" s="741"/>
      <c r="EYP450" s="741"/>
      <c r="EYQ450" s="741"/>
      <c r="EYR450" s="741"/>
      <c r="EYS450" s="741"/>
      <c r="EYT450" s="741"/>
      <c r="EYU450" s="741"/>
      <c r="EYV450" s="741"/>
      <c r="EYW450" s="741"/>
      <c r="EYX450" s="741"/>
      <c r="EYY450" s="741"/>
      <c r="EYZ450" s="741"/>
      <c r="EZA450" s="741"/>
      <c r="EZB450" s="741"/>
      <c r="EZC450" s="741"/>
      <c r="EZD450" s="741"/>
      <c r="EZE450" s="741"/>
      <c r="EZF450" s="741"/>
      <c r="EZG450" s="741"/>
      <c r="EZH450" s="741"/>
      <c r="EZI450" s="741"/>
      <c r="EZJ450" s="741"/>
      <c r="EZK450" s="741"/>
      <c r="EZL450" s="741"/>
      <c r="EZM450" s="741"/>
      <c r="EZN450" s="741"/>
      <c r="EZO450" s="741"/>
      <c r="EZP450" s="741"/>
      <c r="EZQ450" s="741"/>
      <c r="EZR450" s="741"/>
      <c r="EZS450" s="741"/>
      <c r="EZT450" s="741"/>
      <c r="EZU450" s="741"/>
      <c r="EZV450" s="741"/>
      <c r="EZW450" s="741"/>
      <c r="EZX450" s="741"/>
      <c r="EZY450" s="741"/>
      <c r="EZZ450" s="741"/>
      <c r="FAA450" s="741"/>
      <c r="FAB450" s="741"/>
      <c r="FAC450" s="741"/>
      <c r="FAD450" s="741"/>
      <c r="FAE450" s="741"/>
      <c r="FAF450" s="741"/>
      <c r="FAG450" s="741"/>
      <c r="FAH450" s="741"/>
      <c r="FAI450" s="741"/>
      <c r="FAJ450" s="741"/>
      <c r="FAK450" s="741"/>
      <c r="FAL450" s="741"/>
      <c r="FAM450" s="741"/>
      <c r="FAN450" s="741"/>
      <c r="FAO450" s="741"/>
      <c r="FAP450" s="741"/>
      <c r="FAQ450" s="741"/>
      <c r="FAR450" s="741"/>
      <c r="FAS450" s="741"/>
      <c r="FAT450" s="741"/>
      <c r="FAU450" s="741"/>
      <c r="FAV450" s="741"/>
      <c r="FAW450" s="741"/>
      <c r="FAX450" s="741"/>
      <c r="FAY450" s="741"/>
      <c r="FAZ450" s="741"/>
      <c r="FBA450" s="741"/>
      <c r="FBB450" s="741"/>
      <c r="FBC450" s="741"/>
      <c r="FBD450" s="741"/>
      <c r="FBE450" s="741"/>
      <c r="FBF450" s="741"/>
      <c r="FBG450" s="741"/>
      <c r="FBH450" s="741"/>
      <c r="FBI450" s="741"/>
      <c r="FBJ450" s="741"/>
      <c r="FBK450" s="741"/>
      <c r="FBL450" s="741"/>
      <c r="FBM450" s="741"/>
      <c r="FBN450" s="741"/>
      <c r="FBO450" s="741"/>
      <c r="FBP450" s="741"/>
      <c r="FBQ450" s="741"/>
      <c r="FBR450" s="741"/>
      <c r="FBS450" s="741"/>
      <c r="FBT450" s="741"/>
      <c r="FBU450" s="741"/>
      <c r="FBV450" s="741"/>
      <c r="FBW450" s="741"/>
      <c r="FBX450" s="741"/>
      <c r="FBY450" s="741"/>
      <c r="FBZ450" s="741"/>
      <c r="FCA450" s="741"/>
      <c r="FCB450" s="741"/>
      <c r="FCC450" s="741"/>
      <c r="FCD450" s="741"/>
      <c r="FCE450" s="741"/>
      <c r="FCF450" s="741"/>
      <c r="FCG450" s="741"/>
      <c r="FCH450" s="741"/>
      <c r="FCI450" s="741"/>
      <c r="FCJ450" s="741"/>
      <c r="FCK450" s="741"/>
      <c r="FCL450" s="741"/>
      <c r="FCM450" s="741"/>
      <c r="FCN450" s="741"/>
      <c r="FCO450" s="741"/>
      <c r="FCP450" s="741"/>
      <c r="FCQ450" s="741"/>
      <c r="FCR450" s="741"/>
      <c r="FCS450" s="741"/>
      <c r="FCT450" s="741"/>
      <c r="FCU450" s="741"/>
      <c r="FCV450" s="741"/>
      <c r="FCW450" s="741"/>
      <c r="FCX450" s="741"/>
      <c r="FCY450" s="741"/>
      <c r="FCZ450" s="741"/>
      <c r="FDA450" s="741"/>
      <c r="FDB450" s="741"/>
      <c r="FDC450" s="741"/>
      <c r="FDD450" s="741"/>
      <c r="FDE450" s="741"/>
      <c r="FDF450" s="741"/>
      <c r="FDG450" s="741"/>
      <c r="FDH450" s="741"/>
      <c r="FDI450" s="741"/>
      <c r="FDJ450" s="741"/>
      <c r="FDK450" s="741"/>
      <c r="FDL450" s="741"/>
      <c r="FDM450" s="741"/>
      <c r="FDN450" s="741"/>
      <c r="FDO450" s="741"/>
      <c r="FDP450" s="741"/>
      <c r="FDQ450" s="741"/>
      <c r="FDR450" s="741"/>
      <c r="FDS450" s="741"/>
      <c r="FDT450" s="741"/>
      <c r="FDU450" s="741"/>
      <c r="FDV450" s="741"/>
      <c r="FDW450" s="741"/>
      <c r="FDX450" s="741"/>
      <c r="FDY450" s="741"/>
      <c r="FDZ450" s="741"/>
      <c r="FEA450" s="741"/>
      <c r="FEB450" s="741"/>
      <c r="FEC450" s="741"/>
      <c r="FED450" s="741"/>
      <c r="FEE450" s="741"/>
      <c r="FEF450" s="741"/>
      <c r="FEG450" s="741"/>
      <c r="FEH450" s="741"/>
      <c r="FEI450" s="741"/>
      <c r="FEJ450" s="741"/>
      <c r="FEK450" s="741"/>
      <c r="FEL450" s="741"/>
      <c r="FEM450" s="741"/>
      <c r="FEN450" s="741"/>
      <c r="FEO450" s="741"/>
      <c r="FEP450" s="741"/>
      <c r="FEQ450" s="741"/>
      <c r="FER450" s="741"/>
      <c r="FES450" s="741"/>
      <c r="FET450" s="741"/>
      <c r="FEU450" s="741"/>
      <c r="FEV450" s="741"/>
      <c r="FEW450" s="741"/>
      <c r="FEX450" s="741"/>
      <c r="FEY450" s="741"/>
      <c r="FEZ450" s="741"/>
      <c r="FFA450" s="741"/>
      <c r="FFB450" s="741"/>
      <c r="FFC450" s="741"/>
      <c r="FFD450" s="741"/>
      <c r="FFE450" s="741"/>
      <c r="FFF450" s="741"/>
      <c r="FFG450" s="741"/>
      <c r="FFH450" s="741"/>
      <c r="FFI450" s="741"/>
      <c r="FFJ450" s="741"/>
      <c r="FFK450" s="741"/>
      <c r="FFL450" s="741"/>
      <c r="FFM450" s="741"/>
      <c r="FFN450" s="741"/>
      <c r="FFO450" s="741"/>
      <c r="FFP450" s="741"/>
      <c r="FFQ450" s="741"/>
      <c r="FFR450" s="741"/>
      <c r="FFS450" s="741"/>
      <c r="FFT450" s="741"/>
      <c r="FFU450" s="741"/>
      <c r="FFV450" s="741"/>
      <c r="FFW450" s="741"/>
      <c r="FFX450" s="741"/>
      <c r="FFY450" s="741"/>
      <c r="FFZ450" s="741"/>
      <c r="FGA450" s="741"/>
      <c r="FGB450" s="741"/>
      <c r="FGC450" s="741"/>
      <c r="FGD450" s="741"/>
      <c r="FGE450" s="741"/>
      <c r="FGF450" s="741"/>
      <c r="FGG450" s="741"/>
      <c r="FGH450" s="741"/>
      <c r="FGI450" s="741"/>
      <c r="FGJ450" s="741"/>
      <c r="FGK450" s="741"/>
      <c r="FGL450" s="741"/>
      <c r="FGM450" s="741"/>
      <c r="FGN450" s="741"/>
      <c r="FGO450" s="741"/>
      <c r="FGP450" s="741"/>
      <c r="FGQ450" s="741"/>
      <c r="FGR450" s="741"/>
      <c r="FGS450" s="741"/>
      <c r="FGT450" s="741"/>
      <c r="FGU450" s="741"/>
      <c r="FGV450" s="741"/>
      <c r="FGW450" s="741"/>
      <c r="FGX450" s="741"/>
      <c r="FGY450" s="741"/>
      <c r="FGZ450" s="741"/>
      <c r="FHA450" s="741"/>
      <c r="FHB450" s="741"/>
      <c r="FHC450" s="741"/>
      <c r="FHD450" s="741"/>
      <c r="FHE450" s="741"/>
      <c r="FHF450" s="741"/>
      <c r="FHG450" s="741"/>
      <c r="FHH450" s="741"/>
      <c r="FHI450" s="741"/>
      <c r="FHJ450" s="741"/>
      <c r="FHK450" s="741"/>
      <c r="FHL450" s="741"/>
      <c r="FHM450" s="741"/>
      <c r="FHN450" s="741"/>
      <c r="FHO450" s="741"/>
      <c r="FHP450" s="741"/>
      <c r="FHQ450" s="741"/>
      <c r="FHR450" s="741"/>
      <c r="FHS450" s="741"/>
      <c r="FHT450" s="741"/>
      <c r="FHU450" s="741"/>
      <c r="FHV450" s="741"/>
      <c r="FHW450" s="741"/>
      <c r="FHX450" s="741"/>
      <c r="FHY450" s="741"/>
      <c r="FHZ450" s="741"/>
      <c r="FIA450" s="741"/>
      <c r="FIB450" s="741"/>
      <c r="FIC450" s="741"/>
      <c r="FID450" s="741"/>
      <c r="FIE450" s="741"/>
      <c r="FIF450" s="741"/>
      <c r="FIG450" s="741"/>
      <c r="FIH450" s="741"/>
      <c r="FII450" s="741"/>
      <c r="FIJ450" s="741"/>
      <c r="FIK450" s="741"/>
      <c r="FIL450" s="741"/>
      <c r="FIM450" s="741"/>
      <c r="FIN450" s="741"/>
      <c r="FIO450" s="741"/>
      <c r="FIP450" s="741"/>
      <c r="FIQ450" s="741"/>
      <c r="FIR450" s="741"/>
      <c r="FIS450" s="741"/>
      <c r="FIT450" s="741"/>
      <c r="FIU450" s="741"/>
      <c r="FIV450" s="741"/>
      <c r="FIW450" s="741"/>
      <c r="FIX450" s="741"/>
      <c r="FIY450" s="741"/>
      <c r="FIZ450" s="741"/>
      <c r="FJA450" s="741"/>
      <c r="FJB450" s="741"/>
      <c r="FJC450" s="741"/>
      <c r="FJD450" s="741"/>
      <c r="FJE450" s="741"/>
      <c r="FJF450" s="741"/>
      <c r="FJG450" s="741"/>
      <c r="FJH450" s="741"/>
      <c r="FJI450" s="741"/>
      <c r="FJJ450" s="741"/>
      <c r="FJK450" s="741"/>
      <c r="FJL450" s="741"/>
      <c r="FJM450" s="741"/>
      <c r="FJN450" s="741"/>
      <c r="FJO450" s="741"/>
      <c r="FJP450" s="741"/>
      <c r="FJQ450" s="741"/>
      <c r="FJR450" s="741"/>
      <c r="FJS450" s="741"/>
      <c r="FJT450" s="741"/>
      <c r="FJU450" s="741"/>
      <c r="FJV450" s="741"/>
      <c r="FJW450" s="741"/>
      <c r="FJX450" s="741"/>
      <c r="FJY450" s="741"/>
      <c r="FJZ450" s="741"/>
      <c r="FKA450" s="741"/>
      <c r="FKB450" s="741"/>
      <c r="FKC450" s="741"/>
      <c r="FKD450" s="741"/>
      <c r="FKE450" s="741"/>
      <c r="FKF450" s="741"/>
      <c r="FKG450" s="741"/>
      <c r="FKH450" s="741"/>
      <c r="FKI450" s="741"/>
      <c r="FKJ450" s="741"/>
      <c r="FKK450" s="741"/>
      <c r="FKL450" s="741"/>
      <c r="FKM450" s="741"/>
      <c r="FKN450" s="741"/>
      <c r="FKO450" s="741"/>
      <c r="FKP450" s="741"/>
      <c r="FKQ450" s="741"/>
      <c r="FKR450" s="741"/>
      <c r="FKS450" s="741"/>
      <c r="FKT450" s="741"/>
      <c r="FKU450" s="741"/>
      <c r="FKV450" s="741"/>
      <c r="FKW450" s="741"/>
      <c r="FKX450" s="741"/>
      <c r="FKY450" s="741"/>
      <c r="FKZ450" s="741"/>
      <c r="FLA450" s="741"/>
      <c r="FLB450" s="741"/>
      <c r="FLC450" s="741"/>
      <c r="FLD450" s="741"/>
      <c r="FLE450" s="741"/>
      <c r="FLF450" s="741"/>
      <c r="FLG450" s="741"/>
      <c r="FLH450" s="741"/>
      <c r="FLI450" s="741"/>
      <c r="FLJ450" s="741"/>
      <c r="FLK450" s="741"/>
      <c r="FLL450" s="741"/>
      <c r="FLM450" s="741"/>
      <c r="FLN450" s="741"/>
      <c r="FLO450" s="741"/>
      <c r="FLP450" s="741"/>
      <c r="FLQ450" s="741"/>
      <c r="FLR450" s="741"/>
      <c r="FLS450" s="741"/>
      <c r="FLT450" s="741"/>
      <c r="FLU450" s="741"/>
      <c r="FLV450" s="741"/>
      <c r="FLW450" s="741"/>
      <c r="FLX450" s="741"/>
      <c r="FLY450" s="741"/>
      <c r="FLZ450" s="741"/>
      <c r="FMA450" s="741"/>
      <c r="FMB450" s="741"/>
      <c r="FMC450" s="741"/>
      <c r="FMD450" s="741"/>
      <c r="FME450" s="741"/>
      <c r="FMF450" s="741"/>
      <c r="FMG450" s="741"/>
      <c r="FMH450" s="741"/>
      <c r="FMI450" s="741"/>
      <c r="FMJ450" s="741"/>
      <c r="FMK450" s="741"/>
      <c r="FML450" s="741"/>
      <c r="FMM450" s="741"/>
      <c r="FMN450" s="741"/>
      <c r="FMO450" s="741"/>
      <c r="FMP450" s="741"/>
      <c r="FMQ450" s="741"/>
      <c r="FMR450" s="741"/>
      <c r="FMS450" s="741"/>
      <c r="FMT450" s="741"/>
      <c r="FMU450" s="741"/>
      <c r="FMV450" s="741"/>
      <c r="FMW450" s="741"/>
      <c r="FMX450" s="741"/>
      <c r="FMY450" s="741"/>
      <c r="FMZ450" s="741"/>
      <c r="FNA450" s="741"/>
      <c r="FNB450" s="741"/>
      <c r="FNC450" s="741"/>
      <c r="FND450" s="741"/>
      <c r="FNE450" s="741"/>
      <c r="FNF450" s="741"/>
      <c r="FNG450" s="741"/>
      <c r="FNH450" s="741"/>
      <c r="FNI450" s="741"/>
      <c r="FNJ450" s="741"/>
      <c r="FNK450" s="741"/>
      <c r="FNL450" s="741"/>
      <c r="FNM450" s="741"/>
      <c r="FNN450" s="741"/>
      <c r="FNO450" s="741"/>
      <c r="FNP450" s="741"/>
      <c r="FNQ450" s="741"/>
      <c r="FNR450" s="741"/>
      <c r="FNS450" s="741"/>
      <c r="FNT450" s="741"/>
      <c r="FNU450" s="741"/>
      <c r="FNV450" s="741"/>
      <c r="FNW450" s="741"/>
      <c r="FNX450" s="741"/>
      <c r="FNY450" s="741"/>
      <c r="FNZ450" s="741"/>
      <c r="FOA450" s="741"/>
      <c r="FOB450" s="741"/>
      <c r="FOC450" s="741"/>
      <c r="FOD450" s="741"/>
      <c r="FOE450" s="741"/>
      <c r="FOF450" s="741"/>
      <c r="FOG450" s="741"/>
      <c r="FOH450" s="741"/>
      <c r="FOI450" s="741"/>
      <c r="FOJ450" s="741"/>
      <c r="FOK450" s="741"/>
      <c r="FOL450" s="741"/>
      <c r="FOM450" s="741"/>
      <c r="FON450" s="741"/>
      <c r="FOO450" s="741"/>
      <c r="FOP450" s="741"/>
      <c r="FOQ450" s="741"/>
      <c r="FOR450" s="741"/>
      <c r="FOS450" s="741"/>
      <c r="FOT450" s="741"/>
      <c r="FOU450" s="741"/>
      <c r="FOV450" s="741"/>
      <c r="FOW450" s="741"/>
      <c r="FOX450" s="741"/>
      <c r="FOY450" s="741"/>
      <c r="FOZ450" s="741"/>
      <c r="FPA450" s="741"/>
      <c r="FPB450" s="741"/>
      <c r="FPC450" s="741"/>
      <c r="FPD450" s="741"/>
      <c r="FPE450" s="741"/>
      <c r="FPF450" s="741"/>
      <c r="FPG450" s="741"/>
      <c r="FPH450" s="741"/>
      <c r="FPI450" s="741"/>
      <c r="FPJ450" s="741"/>
      <c r="FPK450" s="741"/>
      <c r="FPL450" s="741"/>
      <c r="FPM450" s="741"/>
      <c r="FPN450" s="741"/>
      <c r="FPO450" s="741"/>
      <c r="FPP450" s="741"/>
      <c r="FPQ450" s="741"/>
      <c r="FPR450" s="741"/>
      <c r="FPS450" s="741"/>
      <c r="FPT450" s="741"/>
      <c r="FPU450" s="741"/>
      <c r="FPV450" s="741"/>
      <c r="FPW450" s="741"/>
      <c r="FPX450" s="741"/>
      <c r="FPY450" s="741"/>
      <c r="FPZ450" s="741"/>
      <c r="FQA450" s="741"/>
      <c r="FQB450" s="741"/>
      <c r="FQC450" s="741"/>
      <c r="FQD450" s="741"/>
      <c r="FQE450" s="741"/>
      <c r="FQF450" s="741"/>
      <c r="FQG450" s="741"/>
      <c r="FQH450" s="741"/>
      <c r="FQI450" s="741"/>
      <c r="FQJ450" s="741"/>
      <c r="FQK450" s="741"/>
      <c r="FQL450" s="741"/>
      <c r="FQM450" s="741"/>
      <c r="FQN450" s="741"/>
      <c r="FQO450" s="741"/>
      <c r="FQP450" s="741"/>
      <c r="FQQ450" s="741"/>
      <c r="FQR450" s="741"/>
      <c r="FQS450" s="741"/>
      <c r="FQT450" s="741"/>
      <c r="FQU450" s="741"/>
      <c r="FQV450" s="741"/>
      <c r="FQW450" s="741"/>
      <c r="FQX450" s="741"/>
      <c r="FQY450" s="741"/>
      <c r="FQZ450" s="741"/>
      <c r="FRA450" s="741"/>
      <c r="FRB450" s="741"/>
      <c r="FRC450" s="741"/>
      <c r="FRD450" s="741"/>
      <c r="FRE450" s="741"/>
      <c r="FRF450" s="741"/>
      <c r="FRG450" s="741"/>
      <c r="FRH450" s="741"/>
      <c r="FRI450" s="741"/>
      <c r="FRJ450" s="741"/>
      <c r="FRK450" s="741"/>
      <c r="FRL450" s="741"/>
      <c r="FRM450" s="741"/>
      <c r="FRN450" s="741"/>
      <c r="FRO450" s="741"/>
      <c r="FRP450" s="741"/>
      <c r="FRQ450" s="741"/>
      <c r="FRR450" s="741"/>
      <c r="FRS450" s="741"/>
      <c r="FRT450" s="741"/>
      <c r="FRU450" s="741"/>
      <c r="FRV450" s="741"/>
      <c r="FRW450" s="741"/>
      <c r="FRX450" s="741"/>
      <c r="FRY450" s="741"/>
      <c r="FRZ450" s="741"/>
      <c r="FSA450" s="741"/>
      <c r="FSB450" s="741"/>
      <c r="FSC450" s="741"/>
      <c r="FSD450" s="741"/>
      <c r="FSE450" s="741"/>
      <c r="FSF450" s="741"/>
      <c r="FSG450" s="741"/>
      <c r="FSH450" s="741"/>
      <c r="FSI450" s="741"/>
      <c r="FSJ450" s="741"/>
      <c r="FSK450" s="741"/>
      <c r="FSL450" s="741"/>
      <c r="FSM450" s="741"/>
      <c r="FSN450" s="741"/>
      <c r="FSO450" s="741"/>
      <c r="FSP450" s="741"/>
      <c r="FSQ450" s="741"/>
      <c r="FSR450" s="741"/>
      <c r="FSS450" s="741"/>
      <c r="FST450" s="741"/>
      <c r="FSU450" s="741"/>
      <c r="FSV450" s="741"/>
      <c r="FSW450" s="741"/>
      <c r="FSX450" s="741"/>
      <c r="FSY450" s="741"/>
      <c r="FSZ450" s="741"/>
      <c r="FTA450" s="741"/>
      <c r="FTB450" s="741"/>
      <c r="FTC450" s="741"/>
      <c r="FTD450" s="741"/>
      <c r="FTE450" s="741"/>
      <c r="FTF450" s="741"/>
      <c r="FTG450" s="741"/>
      <c r="FTH450" s="741"/>
      <c r="FTI450" s="741"/>
      <c r="FTJ450" s="741"/>
      <c r="FTK450" s="741"/>
      <c r="FTL450" s="741"/>
      <c r="FTM450" s="741"/>
      <c r="FTN450" s="741"/>
      <c r="FTO450" s="741"/>
      <c r="FTP450" s="741"/>
      <c r="FTQ450" s="741"/>
      <c r="FTR450" s="741"/>
      <c r="FTS450" s="741"/>
      <c r="FTT450" s="741"/>
      <c r="FTU450" s="741"/>
      <c r="FTV450" s="741"/>
      <c r="FTW450" s="741"/>
      <c r="FTX450" s="741"/>
      <c r="FTY450" s="741"/>
      <c r="FTZ450" s="741"/>
      <c r="FUA450" s="741"/>
      <c r="FUB450" s="741"/>
      <c r="FUC450" s="741"/>
      <c r="FUD450" s="741"/>
      <c r="FUE450" s="741"/>
      <c r="FUF450" s="741"/>
      <c r="FUG450" s="741"/>
      <c r="FUH450" s="741"/>
      <c r="FUI450" s="741"/>
      <c r="FUJ450" s="741"/>
      <c r="FUK450" s="741"/>
      <c r="FUL450" s="741"/>
      <c r="FUM450" s="741"/>
      <c r="FUN450" s="741"/>
      <c r="FUO450" s="741"/>
      <c r="FUP450" s="741"/>
      <c r="FUQ450" s="741"/>
      <c r="FUR450" s="741"/>
      <c r="FUS450" s="741"/>
      <c r="FUT450" s="741"/>
      <c r="FUU450" s="741"/>
      <c r="FUV450" s="741"/>
      <c r="FUW450" s="741"/>
      <c r="FUX450" s="741"/>
      <c r="FUY450" s="741"/>
      <c r="FUZ450" s="741"/>
      <c r="FVA450" s="741"/>
      <c r="FVB450" s="741"/>
      <c r="FVC450" s="741"/>
      <c r="FVD450" s="741"/>
      <c r="FVE450" s="741"/>
      <c r="FVF450" s="741"/>
      <c r="FVG450" s="741"/>
      <c r="FVH450" s="741"/>
      <c r="FVI450" s="741"/>
      <c r="FVJ450" s="741"/>
      <c r="FVK450" s="741"/>
      <c r="FVL450" s="741"/>
      <c r="FVM450" s="741"/>
      <c r="FVN450" s="741"/>
      <c r="FVO450" s="741"/>
      <c r="FVP450" s="741"/>
      <c r="FVQ450" s="741"/>
      <c r="FVR450" s="741"/>
      <c r="FVS450" s="741"/>
      <c r="FVT450" s="741"/>
      <c r="FVU450" s="741"/>
      <c r="FVV450" s="741"/>
      <c r="FVW450" s="741"/>
      <c r="FVX450" s="741"/>
      <c r="FVY450" s="741"/>
      <c r="FVZ450" s="741"/>
      <c r="FWA450" s="741"/>
      <c r="FWB450" s="741"/>
      <c r="FWC450" s="741"/>
      <c r="FWD450" s="741"/>
      <c r="FWE450" s="741"/>
      <c r="FWF450" s="741"/>
      <c r="FWG450" s="741"/>
      <c r="FWH450" s="741"/>
      <c r="FWI450" s="741"/>
      <c r="FWJ450" s="741"/>
      <c r="FWK450" s="741"/>
      <c r="FWL450" s="741"/>
      <c r="FWM450" s="741"/>
      <c r="FWN450" s="741"/>
      <c r="FWO450" s="741"/>
      <c r="FWP450" s="741"/>
      <c r="FWQ450" s="741"/>
      <c r="FWR450" s="741"/>
      <c r="FWS450" s="741"/>
      <c r="FWT450" s="741"/>
      <c r="FWU450" s="741"/>
      <c r="FWV450" s="741"/>
      <c r="FWW450" s="741"/>
      <c r="FWX450" s="741"/>
      <c r="FWY450" s="741"/>
      <c r="FWZ450" s="741"/>
      <c r="FXA450" s="741"/>
      <c r="FXB450" s="741"/>
      <c r="FXC450" s="741"/>
      <c r="FXD450" s="741"/>
      <c r="FXE450" s="741"/>
      <c r="FXF450" s="741"/>
      <c r="FXG450" s="741"/>
      <c r="FXH450" s="741"/>
      <c r="FXI450" s="741"/>
      <c r="FXJ450" s="741"/>
      <c r="FXK450" s="741"/>
      <c r="FXL450" s="741"/>
      <c r="FXM450" s="741"/>
      <c r="FXN450" s="741"/>
      <c r="FXO450" s="741"/>
      <c r="FXP450" s="741"/>
      <c r="FXQ450" s="741"/>
      <c r="FXR450" s="741"/>
      <c r="FXS450" s="741"/>
      <c r="FXT450" s="741"/>
      <c r="FXU450" s="741"/>
      <c r="FXV450" s="741"/>
      <c r="FXW450" s="741"/>
      <c r="FXX450" s="741"/>
      <c r="FXY450" s="741"/>
      <c r="FXZ450" s="741"/>
      <c r="FYA450" s="741"/>
      <c r="FYB450" s="741"/>
      <c r="FYC450" s="741"/>
      <c r="FYD450" s="741"/>
      <c r="FYE450" s="741"/>
      <c r="FYF450" s="741"/>
      <c r="FYG450" s="741"/>
      <c r="FYH450" s="741"/>
      <c r="FYI450" s="741"/>
      <c r="FYJ450" s="741"/>
      <c r="FYK450" s="741"/>
      <c r="FYL450" s="741"/>
      <c r="FYM450" s="741"/>
      <c r="FYN450" s="741"/>
      <c r="FYO450" s="741"/>
      <c r="FYP450" s="741"/>
      <c r="FYQ450" s="741"/>
      <c r="FYR450" s="741"/>
      <c r="FYS450" s="741"/>
      <c r="FYT450" s="741"/>
      <c r="FYU450" s="741"/>
      <c r="FYV450" s="741"/>
      <c r="FYW450" s="741"/>
      <c r="FYX450" s="741"/>
      <c r="FYY450" s="741"/>
      <c r="FYZ450" s="741"/>
      <c r="FZA450" s="741"/>
      <c r="FZB450" s="741"/>
      <c r="FZC450" s="741"/>
      <c r="FZD450" s="741"/>
      <c r="FZE450" s="741"/>
      <c r="FZF450" s="741"/>
      <c r="FZG450" s="741"/>
      <c r="FZH450" s="741"/>
      <c r="FZI450" s="741"/>
      <c r="FZJ450" s="741"/>
      <c r="FZK450" s="741"/>
      <c r="FZL450" s="741"/>
      <c r="FZM450" s="741"/>
      <c r="FZN450" s="741"/>
      <c r="FZO450" s="741"/>
      <c r="FZP450" s="741"/>
      <c r="FZQ450" s="741"/>
      <c r="FZR450" s="741"/>
      <c r="FZS450" s="741"/>
      <c r="FZT450" s="741"/>
      <c r="FZU450" s="741"/>
      <c r="FZV450" s="741"/>
      <c r="FZW450" s="741"/>
      <c r="FZX450" s="741"/>
      <c r="FZY450" s="741"/>
      <c r="FZZ450" s="741"/>
      <c r="GAA450" s="741"/>
      <c r="GAB450" s="741"/>
      <c r="GAC450" s="741"/>
      <c r="GAD450" s="741"/>
      <c r="GAE450" s="741"/>
      <c r="GAF450" s="741"/>
      <c r="GAG450" s="741"/>
      <c r="GAH450" s="741"/>
      <c r="GAI450" s="741"/>
      <c r="GAJ450" s="741"/>
      <c r="GAK450" s="741"/>
      <c r="GAL450" s="741"/>
      <c r="GAM450" s="741"/>
      <c r="GAN450" s="741"/>
      <c r="GAO450" s="741"/>
      <c r="GAP450" s="741"/>
      <c r="GAQ450" s="741"/>
      <c r="GAR450" s="741"/>
      <c r="GAS450" s="741"/>
      <c r="GAT450" s="741"/>
      <c r="GAU450" s="741"/>
      <c r="GAV450" s="741"/>
      <c r="GAW450" s="741"/>
      <c r="GAX450" s="741"/>
      <c r="GAY450" s="741"/>
      <c r="GAZ450" s="741"/>
      <c r="GBA450" s="741"/>
      <c r="GBB450" s="741"/>
      <c r="GBC450" s="741"/>
      <c r="GBD450" s="741"/>
      <c r="GBE450" s="741"/>
      <c r="GBF450" s="741"/>
      <c r="GBG450" s="741"/>
      <c r="GBH450" s="741"/>
      <c r="GBI450" s="741"/>
      <c r="GBJ450" s="741"/>
      <c r="GBK450" s="741"/>
      <c r="GBL450" s="741"/>
      <c r="GBM450" s="741"/>
      <c r="GBN450" s="741"/>
      <c r="GBO450" s="741"/>
      <c r="GBP450" s="741"/>
      <c r="GBQ450" s="741"/>
      <c r="GBR450" s="741"/>
      <c r="GBS450" s="741"/>
      <c r="GBT450" s="741"/>
      <c r="GBU450" s="741"/>
      <c r="GBV450" s="741"/>
      <c r="GBW450" s="741"/>
      <c r="GBX450" s="741"/>
      <c r="GBY450" s="741"/>
      <c r="GBZ450" s="741"/>
      <c r="GCA450" s="741"/>
      <c r="GCB450" s="741"/>
      <c r="GCC450" s="741"/>
      <c r="GCD450" s="741"/>
      <c r="GCE450" s="741"/>
      <c r="GCF450" s="741"/>
      <c r="GCG450" s="741"/>
      <c r="GCH450" s="741"/>
      <c r="GCI450" s="741"/>
      <c r="GCJ450" s="741"/>
      <c r="GCK450" s="741"/>
      <c r="GCL450" s="741"/>
      <c r="GCM450" s="741"/>
      <c r="GCN450" s="741"/>
      <c r="GCO450" s="741"/>
      <c r="GCP450" s="741"/>
      <c r="GCQ450" s="741"/>
      <c r="GCR450" s="741"/>
      <c r="GCS450" s="741"/>
      <c r="GCT450" s="741"/>
      <c r="GCU450" s="741"/>
      <c r="GCV450" s="741"/>
      <c r="GCW450" s="741"/>
      <c r="GCX450" s="741"/>
      <c r="GCY450" s="741"/>
      <c r="GCZ450" s="741"/>
      <c r="GDA450" s="741"/>
      <c r="GDB450" s="741"/>
      <c r="GDC450" s="741"/>
      <c r="GDD450" s="741"/>
      <c r="GDE450" s="741"/>
      <c r="GDF450" s="741"/>
      <c r="GDG450" s="741"/>
      <c r="GDH450" s="741"/>
      <c r="GDI450" s="741"/>
      <c r="GDJ450" s="741"/>
      <c r="GDK450" s="741"/>
      <c r="GDL450" s="741"/>
      <c r="GDM450" s="741"/>
      <c r="GDN450" s="741"/>
      <c r="GDO450" s="741"/>
      <c r="GDP450" s="741"/>
      <c r="GDQ450" s="741"/>
      <c r="GDR450" s="741"/>
      <c r="GDS450" s="741"/>
      <c r="GDT450" s="741"/>
      <c r="GDU450" s="741"/>
      <c r="GDV450" s="741"/>
      <c r="GDW450" s="741"/>
      <c r="GDX450" s="741"/>
      <c r="GDY450" s="741"/>
      <c r="GDZ450" s="741"/>
      <c r="GEA450" s="741"/>
      <c r="GEB450" s="741"/>
      <c r="GEC450" s="741"/>
      <c r="GED450" s="741"/>
      <c r="GEE450" s="741"/>
      <c r="GEF450" s="741"/>
      <c r="GEG450" s="741"/>
      <c r="GEH450" s="741"/>
      <c r="GEI450" s="741"/>
      <c r="GEJ450" s="741"/>
      <c r="GEK450" s="741"/>
      <c r="GEL450" s="741"/>
      <c r="GEM450" s="741"/>
      <c r="GEN450" s="741"/>
      <c r="GEO450" s="741"/>
      <c r="GEP450" s="741"/>
      <c r="GEQ450" s="741"/>
      <c r="GER450" s="741"/>
      <c r="GES450" s="741"/>
      <c r="GET450" s="741"/>
      <c r="GEU450" s="741"/>
      <c r="GEV450" s="741"/>
      <c r="GEW450" s="741"/>
      <c r="GEX450" s="741"/>
      <c r="GEY450" s="741"/>
      <c r="GEZ450" s="741"/>
      <c r="GFA450" s="741"/>
      <c r="GFB450" s="741"/>
      <c r="GFC450" s="741"/>
      <c r="GFD450" s="741"/>
      <c r="GFE450" s="741"/>
      <c r="GFF450" s="741"/>
      <c r="GFG450" s="741"/>
      <c r="GFH450" s="741"/>
      <c r="GFI450" s="741"/>
      <c r="GFJ450" s="741"/>
      <c r="GFK450" s="741"/>
      <c r="GFL450" s="741"/>
      <c r="GFM450" s="741"/>
      <c r="GFN450" s="741"/>
      <c r="GFO450" s="741"/>
      <c r="GFP450" s="741"/>
      <c r="GFQ450" s="741"/>
      <c r="GFR450" s="741"/>
      <c r="GFS450" s="741"/>
      <c r="GFT450" s="741"/>
      <c r="GFU450" s="741"/>
      <c r="GFV450" s="741"/>
      <c r="GFW450" s="741"/>
      <c r="GFX450" s="741"/>
      <c r="GFY450" s="741"/>
      <c r="GFZ450" s="741"/>
      <c r="GGA450" s="741"/>
      <c r="GGB450" s="741"/>
      <c r="GGC450" s="741"/>
      <c r="GGD450" s="741"/>
      <c r="GGE450" s="741"/>
      <c r="GGF450" s="741"/>
      <c r="GGG450" s="741"/>
      <c r="GGH450" s="741"/>
      <c r="GGI450" s="741"/>
      <c r="GGJ450" s="741"/>
      <c r="GGK450" s="741"/>
      <c r="GGL450" s="741"/>
      <c r="GGM450" s="741"/>
      <c r="GGN450" s="741"/>
      <c r="GGO450" s="741"/>
      <c r="GGP450" s="741"/>
      <c r="GGQ450" s="741"/>
      <c r="GGR450" s="741"/>
      <c r="GGS450" s="741"/>
      <c r="GGT450" s="741"/>
      <c r="GGU450" s="741"/>
      <c r="GGV450" s="741"/>
      <c r="GGW450" s="741"/>
      <c r="GGX450" s="741"/>
      <c r="GGY450" s="741"/>
      <c r="GGZ450" s="741"/>
      <c r="GHA450" s="741"/>
      <c r="GHB450" s="741"/>
      <c r="GHC450" s="741"/>
      <c r="GHD450" s="741"/>
      <c r="GHE450" s="741"/>
      <c r="GHF450" s="741"/>
      <c r="GHG450" s="741"/>
      <c r="GHH450" s="741"/>
      <c r="GHI450" s="741"/>
      <c r="GHJ450" s="741"/>
      <c r="GHK450" s="741"/>
      <c r="GHL450" s="741"/>
      <c r="GHM450" s="741"/>
      <c r="GHN450" s="741"/>
      <c r="GHO450" s="741"/>
      <c r="GHP450" s="741"/>
      <c r="GHQ450" s="741"/>
      <c r="GHR450" s="741"/>
      <c r="GHS450" s="741"/>
      <c r="GHT450" s="741"/>
      <c r="GHU450" s="741"/>
      <c r="GHV450" s="741"/>
      <c r="GHW450" s="741"/>
      <c r="GHX450" s="741"/>
      <c r="GHY450" s="741"/>
      <c r="GHZ450" s="741"/>
      <c r="GIA450" s="741"/>
      <c r="GIB450" s="741"/>
      <c r="GIC450" s="741"/>
      <c r="GID450" s="741"/>
      <c r="GIE450" s="741"/>
      <c r="GIF450" s="741"/>
      <c r="GIG450" s="741"/>
      <c r="GIH450" s="741"/>
      <c r="GII450" s="741"/>
      <c r="GIJ450" s="741"/>
      <c r="GIK450" s="741"/>
      <c r="GIL450" s="741"/>
      <c r="GIM450" s="741"/>
      <c r="GIN450" s="741"/>
      <c r="GIO450" s="741"/>
      <c r="GIP450" s="741"/>
      <c r="GIQ450" s="741"/>
      <c r="GIR450" s="741"/>
      <c r="GIS450" s="741"/>
      <c r="GIT450" s="741"/>
      <c r="GIU450" s="741"/>
      <c r="GIV450" s="741"/>
      <c r="GIW450" s="741"/>
      <c r="GIX450" s="741"/>
      <c r="GIY450" s="741"/>
      <c r="GIZ450" s="741"/>
      <c r="GJA450" s="741"/>
      <c r="GJB450" s="741"/>
      <c r="GJC450" s="741"/>
      <c r="GJD450" s="741"/>
      <c r="GJE450" s="741"/>
      <c r="GJF450" s="741"/>
      <c r="GJG450" s="741"/>
      <c r="GJH450" s="741"/>
      <c r="GJI450" s="741"/>
      <c r="GJJ450" s="741"/>
      <c r="GJK450" s="741"/>
      <c r="GJL450" s="741"/>
      <c r="GJM450" s="741"/>
      <c r="GJN450" s="741"/>
      <c r="GJO450" s="741"/>
      <c r="GJP450" s="741"/>
      <c r="GJQ450" s="741"/>
      <c r="GJR450" s="741"/>
      <c r="GJS450" s="741"/>
      <c r="GJT450" s="741"/>
      <c r="GJU450" s="741"/>
      <c r="GJV450" s="741"/>
      <c r="GJW450" s="741"/>
      <c r="GJX450" s="741"/>
      <c r="GJY450" s="741"/>
      <c r="GJZ450" s="741"/>
      <c r="GKA450" s="741"/>
      <c r="GKB450" s="741"/>
      <c r="GKC450" s="741"/>
      <c r="GKD450" s="741"/>
      <c r="GKE450" s="741"/>
      <c r="GKF450" s="741"/>
      <c r="GKG450" s="741"/>
      <c r="GKH450" s="741"/>
      <c r="GKI450" s="741"/>
      <c r="GKJ450" s="741"/>
      <c r="GKK450" s="741"/>
      <c r="GKL450" s="741"/>
      <c r="GKM450" s="741"/>
      <c r="GKN450" s="741"/>
      <c r="GKO450" s="741"/>
      <c r="GKP450" s="741"/>
      <c r="GKQ450" s="741"/>
      <c r="GKR450" s="741"/>
      <c r="GKS450" s="741"/>
      <c r="GKT450" s="741"/>
      <c r="GKU450" s="741"/>
      <c r="GKV450" s="741"/>
      <c r="GKW450" s="741"/>
      <c r="GKX450" s="741"/>
      <c r="GKY450" s="741"/>
      <c r="GKZ450" s="741"/>
      <c r="GLA450" s="741"/>
      <c r="GLB450" s="741"/>
      <c r="GLC450" s="741"/>
      <c r="GLD450" s="741"/>
      <c r="GLE450" s="741"/>
      <c r="GLF450" s="741"/>
      <c r="GLG450" s="741"/>
      <c r="GLH450" s="741"/>
      <c r="GLI450" s="741"/>
      <c r="GLJ450" s="741"/>
      <c r="GLK450" s="741"/>
      <c r="GLL450" s="741"/>
      <c r="GLM450" s="741"/>
      <c r="GLN450" s="741"/>
      <c r="GLO450" s="741"/>
      <c r="GLP450" s="741"/>
      <c r="GLQ450" s="741"/>
      <c r="GLR450" s="741"/>
      <c r="GLS450" s="741"/>
      <c r="GLT450" s="741"/>
      <c r="GLU450" s="741"/>
      <c r="GLV450" s="741"/>
      <c r="GLW450" s="741"/>
      <c r="GLX450" s="741"/>
      <c r="GLY450" s="741"/>
      <c r="GLZ450" s="741"/>
      <c r="GMA450" s="741"/>
      <c r="GMB450" s="741"/>
      <c r="GMC450" s="741"/>
      <c r="GMD450" s="741"/>
      <c r="GME450" s="741"/>
      <c r="GMF450" s="741"/>
      <c r="GMG450" s="741"/>
      <c r="GMH450" s="741"/>
      <c r="GMI450" s="741"/>
      <c r="GMJ450" s="741"/>
      <c r="GMK450" s="741"/>
      <c r="GML450" s="741"/>
      <c r="GMM450" s="741"/>
      <c r="GMN450" s="741"/>
      <c r="GMO450" s="741"/>
      <c r="GMP450" s="741"/>
      <c r="GMQ450" s="741"/>
      <c r="GMR450" s="741"/>
      <c r="GMS450" s="741"/>
      <c r="GMT450" s="741"/>
      <c r="GMU450" s="741"/>
      <c r="GMV450" s="741"/>
      <c r="GMW450" s="741"/>
      <c r="GMX450" s="741"/>
      <c r="GMY450" s="741"/>
      <c r="GMZ450" s="741"/>
      <c r="GNA450" s="741"/>
      <c r="GNB450" s="741"/>
      <c r="GNC450" s="741"/>
      <c r="GND450" s="741"/>
      <c r="GNE450" s="741"/>
      <c r="GNF450" s="741"/>
      <c r="GNG450" s="741"/>
      <c r="GNH450" s="741"/>
      <c r="GNI450" s="741"/>
      <c r="GNJ450" s="741"/>
      <c r="GNK450" s="741"/>
      <c r="GNL450" s="741"/>
      <c r="GNM450" s="741"/>
      <c r="GNN450" s="741"/>
      <c r="GNO450" s="741"/>
      <c r="GNP450" s="741"/>
      <c r="GNQ450" s="741"/>
      <c r="GNR450" s="741"/>
      <c r="GNS450" s="741"/>
      <c r="GNT450" s="741"/>
      <c r="GNU450" s="741"/>
      <c r="GNV450" s="741"/>
      <c r="GNW450" s="741"/>
      <c r="GNX450" s="741"/>
      <c r="GNY450" s="741"/>
      <c r="GNZ450" s="741"/>
      <c r="GOA450" s="741"/>
      <c r="GOB450" s="741"/>
      <c r="GOC450" s="741"/>
      <c r="GOD450" s="741"/>
      <c r="GOE450" s="741"/>
      <c r="GOF450" s="741"/>
      <c r="GOG450" s="741"/>
      <c r="GOH450" s="741"/>
      <c r="GOI450" s="741"/>
      <c r="GOJ450" s="741"/>
      <c r="GOK450" s="741"/>
      <c r="GOL450" s="741"/>
      <c r="GOM450" s="741"/>
      <c r="GON450" s="741"/>
      <c r="GOO450" s="741"/>
      <c r="GOP450" s="741"/>
      <c r="GOQ450" s="741"/>
      <c r="GOR450" s="741"/>
      <c r="GOS450" s="741"/>
      <c r="GOT450" s="741"/>
      <c r="GOU450" s="741"/>
      <c r="GOV450" s="741"/>
      <c r="GOW450" s="741"/>
      <c r="GOX450" s="741"/>
      <c r="GOY450" s="741"/>
      <c r="GOZ450" s="741"/>
      <c r="GPA450" s="741"/>
      <c r="GPB450" s="741"/>
      <c r="GPC450" s="741"/>
      <c r="GPD450" s="741"/>
      <c r="GPE450" s="741"/>
      <c r="GPF450" s="741"/>
      <c r="GPG450" s="741"/>
      <c r="GPH450" s="741"/>
      <c r="GPI450" s="741"/>
      <c r="GPJ450" s="741"/>
      <c r="GPK450" s="741"/>
      <c r="GPL450" s="741"/>
      <c r="GPM450" s="741"/>
      <c r="GPN450" s="741"/>
      <c r="GPO450" s="741"/>
      <c r="GPP450" s="741"/>
      <c r="GPQ450" s="741"/>
      <c r="GPR450" s="741"/>
      <c r="GPS450" s="741"/>
      <c r="GPT450" s="741"/>
      <c r="GPU450" s="741"/>
      <c r="GPV450" s="741"/>
      <c r="GPW450" s="741"/>
      <c r="GPX450" s="741"/>
      <c r="GPY450" s="741"/>
      <c r="GPZ450" s="741"/>
      <c r="GQA450" s="741"/>
      <c r="GQB450" s="741"/>
      <c r="GQC450" s="741"/>
      <c r="GQD450" s="741"/>
      <c r="GQE450" s="741"/>
      <c r="GQF450" s="741"/>
      <c r="GQG450" s="741"/>
      <c r="GQH450" s="741"/>
      <c r="GQI450" s="741"/>
      <c r="GQJ450" s="741"/>
      <c r="GQK450" s="741"/>
      <c r="GQL450" s="741"/>
      <c r="GQM450" s="741"/>
      <c r="GQN450" s="741"/>
      <c r="GQO450" s="741"/>
      <c r="GQP450" s="741"/>
      <c r="GQQ450" s="741"/>
      <c r="GQR450" s="741"/>
      <c r="GQS450" s="741"/>
      <c r="GQT450" s="741"/>
      <c r="GQU450" s="741"/>
      <c r="GQV450" s="741"/>
      <c r="GQW450" s="741"/>
      <c r="GQX450" s="741"/>
      <c r="GQY450" s="741"/>
      <c r="GQZ450" s="741"/>
      <c r="GRA450" s="741"/>
      <c r="GRB450" s="741"/>
      <c r="GRC450" s="741"/>
      <c r="GRD450" s="741"/>
      <c r="GRE450" s="741"/>
      <c r="GRF450" s="741"/>
      <c r="GRG450" s="741"/>
      <c r="GRH450" s="741"/>
      <c r="GRI450" s="741"/>
      <c r="GRJ450" s="741"/>
      <c r="GRK450" s="741"/>
      <c r="GRL450" s="741"/>
      <c r="GRM450" s="741"/>
      <c r="GRN450" s="741"/>
      <c r="GRO450" s="741"/>
      <c r="GRP450" s="741"/>
      <c r="GRQ450" s="741"/>
      <c r="GRR450" s="741"/>
      <c r="GRS450" s="741"/>
      <c r="GRT450" s="741"/>
      <c r="GRU450" s="741"/>
      <c r="GRV450" s="741"/>
      <c r="GRW450" s="741"/>
      <c r="GRX450" s="741"/>
      <c r="GRY450" s="741"/>
      <c r="GRZ450" s="741"/>
      <c r="GSA450" s="741"/>
      <c r="GSB450" s="741"/>
      <c r="GSC450" s="741"/>
      <c r="GSD450" s="741"/>
      <c r="GSE450" s="741"/>
      <c r="GSF450" s="741"/>
      <c r="GSG450" s="741"/>
      <c r="GSH450" s="741"/>
      <c r="GSI450" s="741"/>
      <c r="GSJ450" s="741"/>
      <c r="GSK450" s="741"/>
      <c r="GSL450" s="741"/>
      <c r="GSM450" s="741"/>
      <c r="GSN450" s="741"/>
      <c r="GSO450" s="741"/>
      <c r="GSP450" s="741"/>
      <c r="GSQ450" s="741"/>
      <c r="GSR450" s="741"/>
      <c r="GSS450" s="741"/>
      <c r="GST450" s="741"/>
      <c r="GSU450" s="741"/>
      <c r="GSV450" s="741"/>
      <c r="GSW450" s="741"/>
      <c r="GSX450" s="741"/>
      <c r="GSY450" s="741"/>
      <c r="GSZ450" s="741"/>
      <c r="GTA450" s="741"/>
      <c r="GTB450" s="741"/>
      <c r="GTC450" s="741"/>
      <c r="GTD450" s="741"/>
      <c r="GTE450" s="741"/>
      <c r="GTF450" s="741"/>
      <c r="GTG450" s="741"/>
      <c r="GTH450" s="741"/>
      <c r="GTI450" s="741"/>
      <c r="GTJ450" s="741"/>
      <c r="GTK450" s="741"/>
      <c r="GTL450" s="741"/>
      <c r="GTM450" s="741"/>
      <c r="GTN450" s="741"/>
      <c r="GTO450" s="741"/>
      <c r="GTP450" s="741"/>
      <c r="GTQ450" s="741"/>
      <c r="GTR450" s="741"/>
      <c r="GTS450" s="741"/>
      <c r="GTT450" s="741"/>
      <c r="GTU450" s="741"/>
      <c r="GTV450" s="741"/>
      <c r="GTW450" s="741"/>
      <c r="GTX450" s="741"/>
      <c r="GTY450" s="741"/>
      <c r="GTZ450" s="741"/>
      <c r="GUA450" s="741"/>
      <c r="GUB450" s="741"/>
      <c r="GUC450" s="741"/>
      <c r="GUD450" s="741"/>
      <c r="GUE450" s="741"/>
      <c r="GUF450" s="741"/>
      <c r="GUG450" s="741"/>
      <c r="GUH450" s="741"/>
      <c r="GUI450" s="741"/>
      <c r="GUJ450" s="741"/>
      <c r="GUK450" s="741"/>
      <c r="GUL450" s="741"/>
      <c r="GUM450" s="741"/>
      <c r="GUN450" s="741"/>
      <c r="GUO450" s="741"/>
      <c r="GUP450" s="741"/>
      <c r="GUQ450" s="741"/>
      <c r="GUR450" s="741"/>
      <c r="GUS450" s="741"/>
      <c r="GUT450" s="741"/>
      <c r="GUU450" s="741"/>
      <c r="GUV450" s="741"/>
      <c r="GUW450" s="741"/>
      <c r="GUX450" s="741"/>
      <c r="GUY450" s="741"/>
      <c r="GUZ450" s="741"/>
      <c r="GVA450" s="741"/>
      <c r="GVB450" s="741"/>
      <c r="GVC450" s="741"/>
      <c r="GVD450" s="741"/>
      <c r="GVE450" s="741"/>
      <c r="GVF450" s="741"/>
      <c r="GVG450" s="741"/>
      <c r="GVH450" s="741"/>
      <c r="GVI450" s="741"/>
      <c r="GVJ450" s="741"/>
      <c r="GVK450" s="741"/>
      <c r="GVL450" s="741"/>
      <c r="GVM450" s="741"/>
      <c r="GVN450" s="741"/>
      <c r="GVO450" s="741"/>
      <c r="GVP450" s="741"/>
      <c r="GVQ450" s="741"/>
      <c r="GVR450" s="741"/>
      <c r="GVS450" s="741"/>
      <c r="GVT450" s="741"/>
      <c r="GVU450" s="741"/>
      <c r="GVV450" s="741"/>
      <c r="GVW450" s="741"/>
      <c r="GVX450" s="741"/>
      <c r="GVY450" s="741"/>
      <c r="GVZ450" s="741"/>
      <c r="GWA450" s="741"/>
      <c r="GWB450" s="741"/>
      <c r="GWC450" s="741"/>
      <c r="GWD450" s="741"/>
      <c r="GWE450" s="741"/>
      <c r="GWF450" s="741"/>
      <c r="GWG450" s="741"/>
      <c r="GWH450" s="741"/>
      <c r="GWI450" s="741"/>
      <c r="GWJ450" s="741"/>
      <c r="GWK450" s="741"/>
      <c r="GWL450" s="741"/>
      <c r="GWM450" s="741"/>
      <c r="GWN450" s="741"/>
      <c r="GWO450" s="741"/>
      <c r="GWP450" s="741"/>
      <c r="GWQ450" s="741"/>
      <c r="GWR450" s="741"/>
      <c r="GWS450" s="741"/>
      <c r="GWT450" s="741"/>
      <c r="GWU450" s="741"/>
      <c r="GWV450" s="741"/>
      <c r="GWW450" s="741"/>
      <c r="GWX450" s="741"/>
      <c r="GWY450" s="741"/>
      <c r="GWZ450" s="741"/>
      <c r="GXA450" s="741"/>
      <c r="GXB450" s="741"/>
      <c r="GXC450" s="741"/>
      <c r="GXD450" s="741"/>
      <c r="GXE450" s="741"/>
      <c r="GXF450" s="741"/>
      <c r="GXG450" s="741"/>
      <c r="GXH450" s="741"/>
      <c r="GXI450" s="741"/>
      <c r="GXJ450" s="741"/>
      <c r="GXK450" s="741"/>
      <c r="GXL450" s="741"/>
      <c r="GXM450" s="741"/>
      <c r="GXN450" s="741"/>
      <c r="GXO450" s="741"/>
      <c r="GXP450" s="741"/>
      <c r="GXQ450" s="741"/>
      <c r="GXR450" s="741"/>
      <c r="GXS450" s="741"/>
      <c r="GXT450" s="741"/>
      <c r="GXU450" s="741"/>
      <c r="GXV450" s="741"/>
      <c r="GXW450" s="741"/>
      <c r="GXX450" s="741"/>
      <c r="GXY450" s="741"/>
      <c r="GXZ450" s="741"/>
      <c r="GYA450" s="741"/>
      <c r="GYB450" s="741"/>
      <c r="GYC450" s="741"/>
      <c r="GYD450" s="741"/>
      <c r="GYE450" s="741"/>
      <c r="GYF450" s="741"/>
      <c r="GYG450" s="741"/>
      <c r="GYH450" s="741"/>
      <c r="GYI450" s="741"/>
      <c r="GYJ450" s="741"/>
      <c r="GYK450" s="741"/>
      <c r="GYL450" s="741"/>
      <c r="GYM450" s="741"/>
      <c r="GYN450" s="741"/>
      <c r="GYO450" s="741"/>
      <c r="GYP450" s="741"/>
      <c r="GYQ450" s="741"/>
      <c r="GYR450" s="741"/>
      <c r="GYS450" s="741"/>
      <c r="GYT450" s="741"/>
      <c r="GYU450" s="741"/>
      <c r="GYV450" s="741"/>
      <c r="GYW450" s="741"/>
      <c r="GYX450" s="741"/>
      <c r="GYY450" s="741"/>
      <c r="GYZ450" s="741"/>
      <c r="GZA450" s="741"/>
      <c r="GZB450" s="741"/>
      <c r="GZC450" s="741"/>
      <c r="GZD450" s="741"/>
      <c r="GZE450" s="741"/>
      <c r="GZF450" s="741"/>
      <c r="GZG450" s="741"/>
      <c r="GZH450" s="741"/>
      <c r="GZI450" s="741"/>
      <c r="GZJ450" s="741"/>
      <c r="GZK450" s="741"/>
      <c r="GZL450" s="741"/>
      <c r="GZM450" s="741"/>
      <c r="GZN450" s="741"/>
      <c r="GZO450" s="741"/>
      <c r="GZP450" s="741"/>
      <c r="GZQ450" s="741"/>
      <c r="GZR450" s="741"/>
      <c r="GZS450" s="741"/>
      <c r="GZT450" s="741"/>
      <c r="GZU450" s="741"/>
      <c r="GZV450" s="741"/>
      <c r="GZW450" s="741"/>
      <c r="GZX450" s="741"/>
      <c r="GZY450" s="741"/>
      <c r="GZZ450" s="741"/>
      <c r="HAA450" s="741"/>
      <c r="HAB450" s="741"/>
      <c r="HAC450" s="741"/>
      <c r="HAD450" s="741"/>
      <c r="HAE450" s="741"/>
      <c r="HAF450" s="741"/>
      <c r="HAG450" s="741"/>
      <c r="HAH450" s="741"/>
      <c r="HAI450" s="741"/>
      <c r="HAJ450" s="741"/>
      <c r="HAK450" s="741"/>
      <c r="HAL450" s="741"/>
      <c r="HAM450" s="741"/>
      <c r="HAN450" s="741"/>
      <c r="HAO450" s="741"/>
      <c r="HAP450" s="741"/>
      <c r="HAQ450" s="741"/>
      <c r="HAR450" s="741"/>
      <c r="HAS450" s="741"/>
      <c r="HAT450" s="741"/>
      <c r="HAU450" s="741"/>
      <c r="HAV450" s="741"/>
      <c r="HAW450" s="741"/>
      <c r="HAX450" s="741"/>
      <c r="HAY450" s="741"/>
      <c r="HAZ450" s="741"/>
      <c r="HBA450" s="741"/>
      <c r="HBB450" s="741"/>
      <c r="HBC450" s="741"/>
      <c r="HBD450" s="741"/>
      <c r="HBE450" s="741"/>
      <c r="HBF450" s="741"/>
      <c r="HBG450" s="741"/>
      <c r="HBH450" s="741"/>
      <c r="HBI450" s="741"/>
      <c r="HBJ450" s="741"/>
      <c r="HBK450" s="741"/>
      <c r="HBL450" s="741"/>
      <c r="HBM450" s="741"/>
      <c r="HBN450" s="741"/>
      <c r="HBO450" s="741"/>
      <c r="HBP450" s="741"/>
      <c r="HBQ450" s="741"/>
      <c r="HBR450" s="741"/>
      <c r="HBS450" s="741"/>
      <c r="HBT450" s="741"/>
      <c r="HBU450" s="741"/>
      <c r="HBV450" s="741"/>
      <c r="HBW450" s="741"/>
      <c r="HBX450" s="741"/>
      <c r="HBY450" s="741"/>
      <c r="HBZ450" s="741"/>
      <c r="HCA450" s="741"/>
      <c r="HCB450" s="741"/>
      <c r="HCC450" s="741"/>
      <c r="HCD450" s="741"/>
      <c r="HCE450" s="741"/>
      <c r="HCF450" s="741"/>
      <c r="HCG450" s="741"/>
      <c r="HCH450" s="741"/>
      <c r="HCI450" s="741"/>
      <c r="HCJ450" s="741"/>
      <c r="HCK450" s="741"/>
      <c r="HCL450" s="741"/>
      <c r="HCM450" s="741"/>
      <c r="HCN450" s="741"/>
      <c r="HCO450" s="741"/>
      <c r="HCP450" s="741"/>
      <c r="HCQ450" s="741"/>
      <c r="HCR450" s="741"/>
      <c r="HCS450" s="741"/>
      <c r="HCT450" s="741"/>
      <c r="HCU450" s="741"/>
      <c r="HCV450" s="741"/>
      <c r="HCW450" s="741"/>
      <c r="HCX450" s="741"/>
      <c r="HCY450" s="741"/>
      <c r="HCZ450" s="741"/>
      <c r="HDA450" s="741"/>
      <c r="HDB450" s="741"/>
      <c r="HDC450" s="741"/>
      <c r="HDD450" s="741"/>
      <c r="HDE450" s="741"/>
      <c r="HDF450" s="741"/>
      <c r="HDG450" s="741"/>
      <c r="HDH450" s="741"/>
      <c r="HDI450" s="741"/>
      <c r="HDJ450" s="741"/>
      <c r="HDK450" s="741"/>
      <c r="HDL450" s="741"/>
      <c r="HDM450" s="741"/>
      <c r="HDN450" s="741"/>
      <c r="HDO450" s="741"/>
      <c r="HDP450" s="741"/>
      <c r="HDQ450" s="741"/>
      <c r="HDR450" s="741"/>
      <c r="HDS450" s="741"/>
      <c r="HDT450" s="741"/>
      <c r="HDU450" s="741"/>
      <c r="HDV450" s="741"/>
      <c r="HDW450" s="741"/>
      <c r="HDX450" s="741"/>
      <c r="HDY450" s="741"/>
      <c r="HDZ450" s="741"/>
      <c r="HEA450" s="741"/>
      <c r="HEB450" s="741"/>
      <c r="HEC450" s="741"/>
      <c r="HED450" s="741"/>
      <c r="HEE450" s="741"/>
      <c r="HEF450" s="741"/>
      <c r="HEG450" s="741"/>
      <c r="HEH450" s="741"/>
      <c r="HEI450" s="741"/>
      <c r="HEJ450" s="741"/>
      <c r="HEK450" s="741"/>
      <c r="HEL450" s="741"/>
      <c r="HEM450" s="741"/>
      <c r="HEN450" s="741"/>
      <c r="HEO450" s="741"/>
      <c r="HEP450" s="741"/>
      <c r="HEQ450" s="741"/>
      <c r="HER450" s="741"/>
      <c r="HES450" s="741"/>
      <c r="HET450" s="741"/>
      <c r="HEU450" s="741"/>
      <c r="HEV450" s="741"/>
      <c r="HEW450" s="741"/>
      <c r="HEX450" s="741"/>
      <c r="HEY450" s="741"/>
      <c r="HEZ450" s="741"/>
      <c r="HFA450" s="741"/>
      <c r="HFB450" s="741"/>
      <c r="HFC450" s="741"/>
      <c r="HFD450" s="741"/>
      <c r="HFE450" s="741"/>
      <c r="HFF450" s="741"/>
      <c r="HFG450" s="741"/>
      <c r="HFH450" s="741"/>
      <c r="HFI450" s="741"/>
      <c r="HFJ450" s="741"/>
      <c r="HFK450" s="741"/>
      <c r="HFL450" s="741"/>
      <c r="HFM450" s="741"/>
      <c r="HFN450" s="741"/>
      <c r="HFO450" s="741"/>
      <c r="HFP450" s="741"/>
      <c r="HFQ450" s="741"/>
      <c r="HFR450" s="741"/>
      <c r="HFS450" s="741"/>
      <c r="HFT450" s="741"/>
      <c r="HFU450" s="741"/>
      <c r="HFV450" s="741"/>
      <c r="HFW450" s="741"/>
      <c r="HFX450" s="741"/>
      <c r="HFY450" s="741"/>
      <c r="HFZ450" s="741"/>
      <c r="HGA450" s="741"/>
      <c r="HGB450" s="741"/>
      <c r="HGC450" s="741"/>
      <c r="HGD450" s="741"/>
      <c r="HGE450" s="741"/>
      <c r="HGF450" s="741"/>
      <c r="HGG450" s="741"/>
      <c r="HGH450" s="741"/>
      <c r="HGI450" s="741"/>
      <c r="HGJ450" s="741"/>
      <c r="HGK450" s="741"/>
      <c r="HGL450" s="741"/>
      <c r="HGM450" s="741"/>
      <c r="HGN450" s="741"/>
      <c r="HGO450" s="741"/>
      <c r="HGP450" s="741"/>
      <c r="HGQ450" s="741"/>
      <c r="HGR450" s="741"/>
      <c r="HGS450" s="741"/>
      <c r="HGT450" s="741"/>
      <c r="HGU450" s="741"/>
      <c r="HGV450" s="741"/>
      <c r="HGW450" s="741"/>
      <c r="HGX450" s="741"/>
      <c r="HGY450" s="741"/>
      <c r="HGZ450" s="741"/>
      <c r="HHA450" s="741"/>
      <c r="HHB450" s="741"/>
      <c r="HHC450" s="741"/>
      <c r="HHD450" s="741"/>
      <c r="HHE450" s="741"/>
      <c r="HHF450" s="741"/>
      <c r="HHG450" s="741"/>
      <c r="HHH450" s="741"/>
      <c r="HHI450" s="741"/>
      <c r="HHJ450" s="741"/>
      <c r="HHK450" s="741"/>
      <c r="HHL450" s="741"/>
      <c r="HHM450" s="741"/>
      <c r="HHN450" s="741"/>
      <c r="HHO450" s="741"/>
      <c r="HHP450" s="741"/>
      <c r="HHQ450" s="741"/>
      <c r="HHR450" s="741"/>
      <c r="HHS450" s="741"/>
      <c r="HHT450" s="741"/>
      <c r="HHU450" s="741"/>
      <c r="HHV450" s="741"/>
      <c r="HHW450" s="741"/>
      <c r="HHX450" s="741"/>
      <c r="HHY450" s="741"/>
      <c r="HHZ450" s="741"/>
      <c r="HIA450" s="741"/>
      <c r="HIB450" s="741"/>
      <c r="HIC450" s="741"/>
      <c r="HID450" s="741"/>
      <c r="HIE450" s="741"/>
      <c r="HIF450" s="741"/>
      <c r="HIG450" s="741"/>
      <c r="HIH450" s="741"/>
      <c r="HII450" s="741"/>
      <c r="HIJ450" s="741"/>
      <c r="HIK450" s="741"/>
      <c r="HIL450" s="741"/>
      <c r="HIM450" s="741"/>
      <c r="HIN450" s="741"/>
      <c r="HIO450" s="741"/>
      <c r="HIP450" s="741"/>
      <c r="HIQ450" s="741"/>
      <c r="HIR450" s="741"/>
      <c r="HIS450" s="741"/>
      <c r="HIT450" s="741"/>
      <c r="HIU450" s="741"/>
      <c r="HIV450" s="741"/>
      <c r="HIW450" s="741"/>
      <c r="HIX450" s="741"/>
      <c r="HIY450" s="741"/>
      <c r="HIZ450" s="741"/>
      <c r="HJA450" s="741"/>
      <c r="HJB450" s="741"/>
      <c r="HJC450" s="741"/>
      <c r="HJD450" s="741"/>
      <c r="HJE450" s="741"/>
      <c r="HJF450" s="741"/>
      <c r="HJG450" s="741"/>
      <c r="HJH450" s="741"/>
      <c r="HJI450" s="741"/>
      <c r="HJJ450" s="741"/>
      <c r="HJK450" s="741"/>
      <c r="HJL450" s="741"/>
      <c r="HJM450" s="741"/>
      <c r="HJN450" s="741"/>
      <c r="HJO450" s="741"/>
      <c r="HJP450" s="741"/>
      <c r="HJQ450" s="741"/>
      <c r="HJR450" s="741"/>
      <c r="HJS450" s="741"/>
      <c r="HJT450" s="741"/>
      <c r="HJU450" s="741"/>
      <c r="HJV450" s="741"/>
      <c r="HJW450" s="741"/>
      <c r="HJX450" s="741"/>
      <c r="HJY450" s="741"/>
      <c r="HJZ450" s="741"/>
      <c r="HKA450" s="741"/>
      <c r="HKB450" s="741"/>
      <c r="HKC450" s="741"/>
      <c r="HKD450" s="741"/>
      <c r="HKE450" s="741"/>
      <c r="HKF450" s="741"/>
      <c r="HKG450" s="741"/>
      <c r="HKH450" s="741"/>
      <c r="HKI450" s="741"/>
      <c r="HKJ450" s="741"/>
      <c r="HKK450" s="741"/>
      <c r="HKL450" s="741"/>
      <c r="HKM450" s="741"/>
      <c r="HKN450" s="741"/>
      <c r="HKO450" s="741"/>
      <c r="HKP450" s="741"/>
      <c r="HKQ450" s="741"/>
      <c r="HKR450" s="741"/>
      <c r="HKS450" s="741"/>
      <c r="HKT450" s="741"/>
      <c r="HKU450" s="741"/>
      <c r="HKV450" s="741"/>
      <c r="HKW450" s="741"/>
      <c r="HKX450" s="741"/>
      <c r="HKY450" s="741"/>
      <c r="HKZ450" s="741"/>
      <c r="HLA450" s="741"/>
      <c r="HLB450" s="741"/>
      <c r="HLC450" s="741"/>
      <c r="HLD450" s="741"/>
      <c r="HLE450" s="741"/>
      <c r="HLF450" s="741"/>
      <c r="HLG450" s="741"/>
      <c r="HLH450" s="741"/>
      <c r="HLI450" s="741"/>
      <c r="HLJ450" s="741"/>
      <c r="HLK450" s="741"/>
      <c r="HLL450" s="741"/>
      <c r="HLM450" s="741"/>
      <c r="HLN450" s="741"/>
      <c r="HLO450" s="741"/>
      <c r="HLP450" s="741"/>
      <c r="HLQ450" s="741"/>
      <c r="HLR450" s="741"/>
      <c r="HLS450" s="741"/>
      <c r="HLT450" s="741"/>
      <c r="HLU450" s="741"/>
      <c r="HLV450" s="741"/>
      <c r="HLW450" s="741"/>
      <c r="HLX450" s="741"/>
      <c r="HLY450" s="741"/>
      <c r="HLZ450" s="741"/>
      <c r="HMA450" s="741"/>
      <c r="HMB450" s="741"/>
      <c r="HMC450" s="741"/>
      <c r="HMD450" s="741"/>
      <c r="HME450" s="741"/>
      <c r="HMF450" s="741"/>
      <c r="HMG450" s="741"/>
      <c r="HMH450" s="741"/>
      <c r="HMI450" s="741"/>
      <c r="HMJ450" s="741"/>
      <c r="HMK450" s="741"/>
      <c r="HML450" s="741"/>
      <c r="HMM450" s="741"/>
      <c r="HMN450" s="741"/>
      <c r="HMO450" s="741"/>
      <c r="HMP450" s="741"/>
      <c r="HMQ450" s="741"/>
      <c r="HMR450" s="741"/>
      <c r="HMS450" s="741"/>
      <c r="HMT450" s="741"/>
      <c r="HMU450" s="741"/>
      <c r="HMV450" s="741"/>
      <c r="HMW450" s="741"/>
      <c r="HMX450" s="741"/>
      <c r="HMY450" s="741"/>
      <c r="HMZ450" s="741"/>
      <c r="HNA450" s="741"/>
      <c r="HNB450" s="741"/>
      <c r="HNC450" s="741"/>
      <c r="HND450" s="741"/>
      <c r="HNE450" s="741"/>
      <c r="HNF450" s="741"/>
      <c r="HNG450" s="741"/>
      <c r="HNH450" s="741"/>
      <c r="HNI450" s="741"/>
      <c r="HNJ450" s="741"/>
      <c r="HNK450" s="741"/>
      <c r="HNL450" s="741"/>
      <c r="HNM450" s="741"/>
      <c r="HNN450" s="741"/>
      <c r="HNO450" s="741"/>
      <c r="HNP450" s="741"/>
      <c r="HNQ450" s="741"/>
      <c r="HNR450" s="741"/>
      <c r="HNS450" s="741"/>
      <c r="HNT450" s="741"/>
      <c r="HNU450" s="741"/>
      <c r="HNV450" s="741"/>
      <c r="HNW450" s="741"/>
      <c r="HNX450" s="741"/>
      <c r="HNY450" s="741"/>
      <c r="HNZ450" s="741"/>
      <c r="HOA450" s="741"/>
      <c r="HOB450" s="741"/>
      <c r="HOC450" s="741"/>
      <c r="HOD450" s="741"/>
      <c r="HOE450" s="741"/>
      <c r="HOF450" s="741"/>
      <c r="HOG450" s="741"/>
      <c r="HOH450" s="741"/>
      <c r="HOI450" s="741"/>
      <c r="HOJ450" s="741"/>
      <c r="HOK450" s="741"/>
      <c r="HOL450" s="741"/>
      <c r="HOM450" s="741"/>
      <c r="HON450" s="741"/>
      <c r="HOO450" s="741"/>
      <c r="HOP450" s="741"/>
      <c r="HOQ450" s="741"/>
      <c r="HOR450" s="741"/>
      <c r="HOS450" s="741"/>
      <c r="HOT450" s="741"/>
      <c r="HOU450" s="741"/>
      <c r="HOV450" s="741"/>
      <c r="HOW450" s="741"/>
      <c r="HOX450" s="741"/>
      <c r="HOY450" s="741"/>
      <c r="HOZ450" s="741"/>
      <c r="HPA450" s="741"/>
      <c r="HPB450" s="741"/>
      <c r="HPC450" s="741"/>
      <c r="HPD450" s="741"/>
      <c r="HPE450" s="741"/>
      <c r="HPF450" s="741"/>
      <c r="HPG450" s="741"/>
      <c r="HPH450" s="741"/>
      <c r="HPI450" s="741"/>
      <c r="HPJ450" s="741"/>
      <c r="HPK450" s="741"/>
      <c r="HPL450" s="741"/>
      <c r="HPM450" s="741"/>
      <c r="HPN450" s="741"/>
      <c r="HPO450" s="741"/>
      <c r="HPP450" s="741"/>
      <c r="HPQ450" s="741"/>
      <c r="HPR450" s="741"/>
      <c r="HPS450" s="741"/>
      <c r="HPT450" s="741"/>
      <c r="HPU450" s="741"/>
      <c r="HPV450" s="741"/>
      <c r="HPW450" s="741"/>
      <c r="HPX450" s="741"/>
      <c r="HPY450" s="741"/>
      <c r="HPZ450" s="741"/>
      <c r="HQA450" s="741"/>
      <c r="HQB450" s="741"/>
      <c r="HQC450" s="741"/>
      <c r="HQD450" s="741"/>
      <c r="HQE450" s="741"/>
      <c r="HQF450" s="741"/>
      <c r="HQG450" s="741"/>
      <c r="HQH450" s="741"/>
      <c r="HQI450" s="741"/>
      <c r="HQJ450" s="741"/>
      <c r="HQK450" s="741"/>
      <c r="HQL450" s="741"/>
      <c r="HQM450" s="741"/>
      <c r="HQN450" s="741"/>
      <c r="HQO450" s="741"/>
      <c r="HQP450" s="741"/>
      <c r="HQQ450" s="741"/>
      <c r="HQR450" s="741"/>
      <c r="HQS450" s="741"/>
      <c r="HQT450" s="741"/>
      <c r="HQU450" s="741"/>
      <c r="HQV450" s="741"/>
      <c r="HQW450" s="741"/>
      <c r="HQX450" s="741"/>
      <c r="HQY450" s="741"/>
      <c r="HQZ450" s="741"/>
      <c r="HRA450" s="741"/>
      <c r="HRB450" s="741"/>
      <c r="HRC450" s="741"/>
      <c r="HRD450" s="741"/>
      <c r="HRE450" s="741"/>
      <c r="HRF450" s="741"/>
      <c r="HRG450" s="741"/>
      <c r="HRH450" s="741"/>
      <c r="HRI450" s="741"/>
      <c r="HRJ450" s="741"/>
      <c r="HRK450" s="741"/>
      <c r="HRL450" s="741"/>
      <c r="HRM450" s="741"/>
      <c r="HRN450" s="741"/>
      <c r="HRO450" s="741"/>
      <c r="HRP450" s="741"/>
      <c r="HRQ450" s="741"/>
      <c r="HRR450" s="741"/>
      <c r="HRS450" s="741"/>
      <c r="HRT450" s="741"/>
      <c r="HRU450" s="741"/>
      <c r="HRV450" s="741"/>
      <c r="HRW450" s="741"/>
      <c r="HRX450" s="741"/>
      <c r="HRY450" s="741"/>
      <c r="HRZ450" s="741"/>
      <c r="HSA450" s="741"/>
      <c r="HSB450" s="741"/>
      <c r="HSC450" s="741"/>
      <c r="HSD450" s="741"/>
      <c r="HSE450" s="741"/>
      <c r="HSF450" s="741"/>
      <c r="HSG450" s="741"/>
      <c r="HSH450" s="741"/>
      <c r="HSI450" s="741"/>
      <c r="HSJ450" s="741"/>
      <c r="HSK450" s="741"/>
      <c r="HSL450" s="741"/>
      <c r="HSM450" s="741"/>
      <c r="HSN450" s="741"/>
      <c r="HSO450" s="741"/>
      <c r="HSP450" s="741"/>
      <c r="HSQ450" s="741"/>
      <c r="HSR450" s="741"/>
      <c r="HSS450" s="741"/>
      <c r="HST450" s="741"/>
      <c r="HSU450" s="741"/>
      <c r="HSV450" s="741"/>
      <c r="HSW450" s="741"/>
      <c r="HSX450" s="741"/>
      <c r="HSY450" s="741"/>
      <c r="HSZ450" s="741"/>
      <c r="HTA450" s="741"/>
      <c r="HTB450" s="741"/>
      <c r="HTC450" s="741"/>
      <c r="HTD450" s="741"/>
      <c r="HTE450" s="741"/>
      <c r="HTF450" s="741"/>
      <c r="HTG450" s="741"/>
      <c r="HTH450" s="741"/>
      <c r="HTI450" s="741"/>
      <c r="HTJ450" s="741"/>
      <c r="HTK450" s="741"/>
      <c r="HTL450" s="741"/>
      <c r="HTM450" s="741"/>
      <c r="HTN450" s="741"/>
      <c r="HTO450" s="741"/>
      <c r="HTP450" s="741"/>
      <c r="HTQ450" s="741"/>
      <c r="HTR450" s="741"/>
      <c r="HTS450" s="741"/>
      <c r="HTT450" s="741"/>
      <c r="HTU450" s="741"/>
      <c r="HTV450" s="741"/>
      <c r="HTW450" s="741"/>
      <c r="HTX450" s="741"/>
      <c r="HTY450" s="741"/>
      <c r="HTZ450" s="741"/>
      <c r="HUA450" s="741"/>
      <c r="HUB450" s="741"/>
      <c r="HUC450" s="741"/>
      <c r="HUD450" s="741"/>
      <c r="HUE450" s="741"/>
      <c r="HUF450" s="741"/>
      <c r="HUG450" s="741"/>
      <c r="HUH450" s="741"/>
      <c r="HUI450" s="741"/>
      <c r="HUJ450" s="741"/>
      <c r="HUK450" s="741"/>
      <c r="HUL450" s="741"/>
      <c r="HUM450" s="741"/>
      <c r="HUN450" s="741"/>
      <c r="HUO450" s="741"/>
      <c r="HUP450" s="741"/>
      <c r="HUQ450" s="741"/>
      <c r="HUR450" s="741"/>
      <c r="HUS450" s="741"/>
      <c r="HUT450" s="741"/>
      <c r="HUU450" s="741"/>
      <c r="HUV450" s="741"/>
      <c r="HUW450" s="741"/>
      <c r="HUX450" s="741"/>
      <c r="HUY450" s="741"/>
      <c r="HUZ450" s="741"/>
      <c r="HVA450" s="741"/>
      <c r="HVB450" s="741"/>
      <c r="HVC450" s="741"/>
      <c r="HVD450" s="741"/>
      <c r="HVE450" s="741"/>
      <c r="HVF450" s="741"/>
      <c r="HVG450" s="741"/>
      <c r="HVH450" s="741"/>
      <c r="HVI450" s="741"/>
      <c r="HVJ450" s="741"/>
      <c r="HVK450" s="741"/>
      <c r="HVL450" s="741"/>
      <c r="HVM450" s="741"/>
      <c r="HVN450" s="741"/>
      <c r="HVO450" s="741"/>
      <c r="HVP450" s="741"/>
      <c r="HVQ450" s="741"/>
      <c r="HVR450" s="741"/>
      <c r="HVS450" s="741"/>
      <c r="HVT450" s="741"/>
      <c r="HVU450" s="741"/>
      <c r="HVV450" s="741"/>
      <c r="HVW450" s="741"/>
      <c r="HVX450" s="741"/>
      <c r="HVY450" s="741"/>
      <c r="HVZ450" s="741"/>
      <c r="HWA450" s="741"/>
      <c r="HWB450" s="741"/>
      <c r="HWC450" s="741"/>
      <c r="HWD450" s="741"/>
      <c r="HWE450" s="741"/>
      <c r="HWF450" s="741"/>
      <c r="HWG450" s="741"/>
      <c r="HWH450" s="741"/>
      <c r="HWI450" s="741"/>
      <c r="HWJ450" s="741"/>
      <c r="HWK450" s="741"/>
      <c r="HWL450" s="741"/>
      <c r="HWM450" s="741"/>
      <c r="HWN450" s="741"/>
      <c r="HWO450" s="741"/>
      <c r="HWP450" s="741"/>
      <c r="HWQ450" s="741"/>
      <c r="HWR450" s="741"/>
      <c r="HWS450" s="741"/>
      <c r="HWT450" s="741"/>
      <c r="HWU450" s="741"/>
      <c r="HWV450" s="741"/>
      <c r="HWW450" s="741"/>
      <c r="HWX450" s="741"/>
      <c r="HWY450" s="741"/>
      <c r="HWZ450" s="741"/>
      <c r="HXA450" s="741"/>
      <c r="HXB450" s="741"/>
      <c r="HXC450" s="741"/>
      <c r="HXD450" s="741"/>
      <c r="HXE450" s="741"/>
      <c r="HXF450" s="741"/>
      <c r="HXG450" s="741"/>
      <c r="HXH450" s="741"/>
      <c r="HXI450" s="741"/>
      <c r="HXJ450" s="741"/>
      <c r="HXK450" s="741"/>
      <c r="HXL450" s="741"/>
      <c r="HXM450" s="741"/>
      <c r="HXN450" s="741"/>
      <c r="HXO450" s="741"/>
      <c r="HXP450" s="741"/>
      <c r="HXQ450" s="741"/>
      <c r="HXR450" s="741"/>
      <c r="HXS450" s="741"/>
      <c r="HXT450" s="741"/>
      <c r="HXU450" s="741"/>
      <c r="HXV450" s="741"/>
      <c r="HXW450" s="741"/>
      <c r="HXX450" s="741"/>
      <c r="HXY450" s="741"/>
      <c r="HXZ450" s="741"/>
      <c r="HYA450" s="741"/>
      <c r="HYB450" s="741"/>
      <c r="HYC450" s="741"/>
      <c r="HYD450" s="741"/>
      <c r="HYE450" s="741"/>
      <c r="HYF450" s="741"/>
      <c r="HYG450" s="741"/>
      <c r="HYH450" s="741"/>
      <c r="HYI450" s="741"/>
      <c r="HYJ450" s="741"/>
      <c r="HYK450" s="741"/>
      <c r="HYL450" s="741"/>
      <c r="HYM450" s="741"/>
      <c r="HYN450" s="741"/>
      <c r="HYO450" s="741"/>
      <c r="HYP450" s="741"/>
      <c r="HYQ450" s="741"/>
      <c r="HYR450" s="741"/>
      <c r="HYS450" s="741"/>
      <c r="HYT450" s="741"/>
      <c r="HYU450" s="741"/>
      <c r="HYV450" s="741"/>
      <c r="HYW450" s="741"/>
      <c r="HYX450" s="741"/>
      <c r="HYY450" s="741"/>
      <c r="HYZ450" s="741"/>
      <c r="HZA450" s="741"/>
      <c r="HZB450" s="741"/>
      <c r="HZC450" s="741"/>
      <c r="HZD450" s="741"/>
      <c r="HZE450" s="741"/>
      <c r="HZF450" s="741"/>
      <c r="HZG450" s="741"/>
      <c r="HZH450" s="741"/>
      <c r="HZI450" s="741"/>
      <c r="HZJ450" s="741"/>
      <c r="HZK450" s="741"/>
      <c r="HZL450" s="741"/>
      <c r="HZM450" s="741"/>
      <c r="HZN450" s="741"/>
      <c r="HZO450" s="741"/>
      <c r="HZP450" s="741"/>
      <c r="HZQ450" s="741"/>
      <c r="HZR450" s="741"/>
      <c r="HZS450" s="741"/>
      <c r="HZT450" s="741"/>
      <c r="HZU450" s="741"/>
      <c r="HZV450" s="741"/>
      <c r="HZW450" s="741"/>
      <c r="HZX450" s="741"/>
      <c r="HZY450" s="741"/>
      <c r="HZZ450" s="741"/>
      <c r="IAA450" s="741"/>
      <c r="IAB450" s="741"/>
      <c r="IAC450" s="741"/>
      <c r="IAD450" s="741"/>
      <c r="IAE450" s="741"/>
      <c r="IAF450" s="741"/>
      <c r="IAG450" s="741"/>
      <c r="IAH450" s="741"/>
      <c r="IAI450" s="741"/>
      <c r="IAJ450" s="741"/>
      <c r="IAK450" s="741"/>
      <c r="IAL450" s="741"/>
      <c r="IAM450" s="741"/>
      <c r="IAN450" s="741"/>
      <c r="IAO450" s="741"/>
      <c r="IAP450" s="741"/>
      <c r="IAQ450" s="741"/>
      <c r="IAR450" s="741"/>
      <c r="IAS450" s="741"/>
      <c r="IAT450" s="741"/>
      <c r="IAU450" s="741"/>
      <c r="IAV450" s="741"/>
      <c r="IAW450" s="741"/>
      <c r="IAX450" s="741"/>
      <c r="IAY450" s="741"/>
      <c r="IAZ450" s="741"/>
      <c r="IBA450" s="741"/>
      <c r="IBB450" s="741"/>
      <c r="IBC450" s="741"/>
      <c r="IBD450" s="741"/>
      <c r="IBE450" s="741"/>
      <c r="IBF450" s="741"/>
      <c r="IBG450" s="741"/>
      <c r="IBH450" s="741"/>
      <c r="IBI450" s="741"/>
      <c r="IBJ450" s="741"/>
      <c r="IBK450" s="741"/>
      <c r="IBL450" s="741"/>
      <c r="IBM450" s="741"/>
      <c r="IBN450" s="741"/>
      <c r="IBO450" s="741"/>
      <c r="IBP450" s="741"/>
      <c r="IBQ450" s="741"/>
      <c r="IBR450" s="741"/>
      <c r="IBS450" s="741"/>
      <c r="IBT450" s="741"/>
      <c r="IBU450" s="741"/>
      <c r="IBV450" s="741"/>
      <c r="IBW450" s="741"/>
      <c r="IBX450" s="741"/>
      <c r="IBY450" s="741"/>
      <c r="IBZ450" s="741"/>
      <c r="ICA450" s="741"/>
      <c r="ICB450" s="741"/>
      <c r="ICC450" s="741"/>
      <c r="ICD450" s="741"/>
      <c r="ICE450" s="741"/>
      <c r="ICF450" s="741"/>
      <c r="ICG450" s="741"/>
      <c r="ICH450" s="741"/>
      <c r="ICI450" s="741"/>
      <c r="ICJ450" s="741"/>
      <c r="ICK450" s="741"/>
      <c r="ICL450" s="741"/>
      <c r="ICM450" s="741"/>
      <c r="ICN450" s="741"/>
      <c r="ICO450" s="741"/>
      <c r="ICP450" s="741"/>
      <c r="ICQ450" s="741"/>
      <c r="ICR450" s="741"/>
      <c r="ICS450" s="741"/>
      <c r="ICT450" s="741"/>
      <c r="ICU450" s="741"/>
      <c r="ICV450" s="741"/>
      <c r="ICW450" s="741"/>
      <c r="ICX450" s="741"/>
      <c r="ICY450" s="741"/>
      <c r="ICZ450" s="741"/>
      <c r="IDA450" s="741"/>
      <c r="IDB450" s="741"/>
      <c r="IDC450" s="741"/>
      <c r="IDD450" s="741"/>
      <c r="IDE450" s="741"/>
      <c r="IDF450" s="741"/>
      <c r="IDG450" s="741"/>
      <c r="IDH450" s="741"/>
      <c r="IDI450" s="741"/>
      <c r="IDJ450" s="741"/>
      <c r="IDK450" s="741"/>
      <c r="IDL450" s="741"/>
      <c r="IDM450" s="741"/>
      <c r="IDN450" s="741"/>
      <c r="IDO450" s="741"/>
      <c r="IDP450" s="741"/>
      <c r="IDQ450" s="741"/>
      <c r="IDR450" s="741"/>
      <c r="IDS450" s="741"/>
      <c r="IDT450" s="741"/>
      <c r="IDU450" s="741"/>
      <c r="IDV450" s="741"/>
      <c r="IDW450" s="741"/>
      <c r="IDX450" s="741"/>
      <c r="IDY450" s="741"/>
      <c r="IDZ450" s="741"/>
      <c r="IEA450" s="741"/>
      <c r="IEB450" s="741"/>
      <c r="IEC450" s="741"/>
      <c r="IED450" s="741"/>
      <c r="IEE450" s="741"/>
      <c r="IEF450" s="741"/>
      <c r="IEG450" s="741"/>
      <c r="IEH450" s="741"/>
      <c r="IEI450" s="741"/>
      <c r="IEJ450" s="741"/>
      <c r="IEK450" s="741"/>
      <c r="IEL450" s="741"/>
      <c r="IEM450" s="741"/>
      <c r="IEN450" s="741"/>
      <c r="IEO450" s="741"/>
      <c r="IEP450" s="741"/>
      <c r="IEQ450" s="741"/>
      <c r="IER450" s="741"/>
      <c r="IES450" s="741"/>
      <c r="IET450" s="741"/>
      <c r="IEU450" s="741"/>
      <c r="IEV450" s="741"/>
      <c r="IEW450" s="741"/>
      <c r="IEX450" s="741"/>
      <c r="IEY450" s="741"/>
      <c r="IEZ450" s="741"/>
      <c r="IFA450" s="741"/>
      <c r="IFB450" s="741"/>
      <c r="IFC450" s="741"/>
      <c r="IFD450" s="741"/>
      <c r="IFE450" s="741"/>
      <c r="IFF450" s="741"/>
      <c r="IFG450" s="741"/>
      <c r="IFH450" s="741"/>
      <c r="IFI450" s="741"/>
      <c r="IFJ450" s="741"/>
      <c r="IFK450" s="741"/>
      <c r="IFL450" s="741"/>
      <c r="IFM450" s="741"/>
      <c r="IFN450" s="741"/>
      <c r="IFO450" s="741"/>
      <c r="IFP450" s="741"/>
      <c r="IFQ450" s="741"/>
      <c r="IFR450" s="741"/>
      <c r="IFS450" s="741"/>
      <c r="IFT450" s="741"/>
      <c r="IFU450" s="741"/>
      <c r="IFV450" s="741"/>
      <c r="IFW450" s="741"/>
      <c r="IFX450" s="741"/>
      <c r="IFY450" s="741"/>
      <c r="IFZ450" s="741"/>
      <c r="IGA450" s="741"/>
      <c r="IGB450" s="741"/>
      <c r="IGC450" s="741"/>
      <c r="IGD450" s="741"/>
      <c r="IGE450" s="741"/>
      <c r="IGF450" s="741"/>
      <c r="IGG450" s="741"/>
      <c r="IGH450" s="741"/>
      <c r="IGI450" s="741"/>
      <c r="IGJ450" s="741"/>
      <c r="IGK450" s="741"/>
      <c r="IGL450" s="741"/>
      <c r="IGM450" s="741"/>
      <c r="IGN450" s="741"/>
      <c r="IGO450" s="741"/>
      <c r="IGP450" s="741"/>
      <c r="IGQ450" s="741"/>
      <c r="IGR450" s="741"/>
      <c r="IGS450" s="741"/>
      <c r="IGT450" s="741"/>
      <c r="IGU450" s="741"/>
      <c r="IGV450" s="741"/>
      <c r="IGW450" s="741"/>
      <c r="IGX450" s="741"/>
      <c r="IGY450" s="741"/>
      <c r="IGZ450" s="741"/>
      <c r="IHA450" s="741"/>
      <c r="IHB450" s="741"/>
      <c r="IHC450" s="741"/>
      <c r="IHD450" s="741"/>
      <c r="IHE450" s="741"/>
      <c r="IHF450" s="741"/>
      <c r="IHG450" s="741"/>
      <c r="IHH450" s="741"/>
      <c r="IHI450" s="741"/>
      <c r="IHJ450" s="741"/>
      <c r="IHK450" s="741"/>
      <c r="IHL450" s="741"/>
      <c r="IHM450" s="741"/>
      <c r="IHN450" s="741"/>
      <c r="IHO450" s="741"/>
      <c r="IHP450" s="741"/>
      <c r="IHQ450" s="741"/>
      <c r="IHR450" s="741"/>
      <c r="IHS450" s="741"/>
      <c r="IHT450" s="741"/>
      <c r="IHU450" s="741"/>
      <c r="IHV450" s="741"/>
      <c r="IHW450" s="741"/>
      <c r="IHX450" s="741"/>
      <c r="IHY450" s="741"/>
      <c r="IHZ450" s="741"/>
      <c r="IIA450" s="741"/>
      <c r="IIB450" s="741"/>
      <c r="IIC450" s="741"/>
      <c r="IID450" s="741"/>
      <c r="IIE450" s="741"/>
      <c r="IIF450" s="741"/>
      <c r="IIG450" s="741"/>
      <c r="IIH450" s="741"/>
      <c r="III450" s="741"/>
      <c r="IIJ450" s="741"/>
      <c r="IIK450" s="741"/>
      <c r="IIL450" s="741"/>
      <c r="IIM450" s="741"/>
      <c r="IIN450" s="741"/>
      <c r="IIO450" s="741"/>
      <c r="IIP450" s="741"/>
      <c r="IIQ450" s="741"/>
      <c r="IIR450" s="741"/>
      <c r="IIS450" s="741"/>
      <c r="IIT450" s="741"/>
      <c r="IIU450" s="741"/>
      <c r="IIV450" s="741"/>
      <c r="IIW450" s="741"/>
      <c r="IIX450" s="741"/>
      <c r="IIY450" s="741"/>
      <c r="IIZ450" s="741"/>
      <c r="IJA450" s="741"/>
      <c r="IJB450" s="741"/>
      <c r="IJC450" s="741"/>
      <c r="IJD450" s="741"/>
      <c r="IJE450" s="741"/>
      <c r="IJF450" s="741"/>
      <c r="IJG450" s="741"/>
      <c r="IJH450" s="741"/>
      <c r="IJI450" s="741"/>
      <c r="IJJ450" s="741"/>
      <c r="IJK450" s="741"/>
      <c r="IJL450" s="741"/>
      <c r="IJM450" s="741"/>
      <c r="IJN450" s="741"/>
      <c r="IJO450" s="741"/>
      <c r="IJP450" s="741"/>
      <c r="IJQ450" s="741"/>
      <c r="IJR450" s="741"/>
      <c r="IJS450" s="741"/>
      <c r="IJT450" s="741"/>
      <c r="IJU450" s="741"/>
      <c r="IJV450" s="741"/>
      <c r="IJW450" s="741"/>
      <c r="IJX450" s="741"/>
      <c r="IJY450" s="741"/>
      <c r="IJZ450" s="741"/>
      <c r="IKA450" s="741"/>
      <c r="IKB450" s="741"/>
      <c r="IKC450" s="741"/>
      <c r="IKD450" s="741"/>
      <c r="IKE450" s="741"/>
      <c r="IKF450" s="741"/>
      <c r="IKG450" s="741"/>
      <c r="IKH450" s="741"/>
      <c r="IKI450" s="741"/>
      <c r="IKJ450" s="741"/>
      <c r="IKK450" s="741"/>
      <c r="IKL450" s="741"/>
      <c r="IKM450" s="741"/>
      <c r="IKN450" s="741"/>
      <c r="IKO450" s="741"/>
      <c r="IKP450" s="741"/>
      <c r="IKQ450" s="741"/>
      <c r="IKR450" s="741"/>
      <c r="IKS450" s="741"/>
      <c r="IKT450" s="741"/>
      <c r="IKU450" s="741"/>
      <c r="IKV450" s="741"/>
      <c r="IKW450" s="741"/>
      <c r="IKX450" s="741"/>
      <c r="IKY450" s="741"/>
      <c r="IKZ450" s="741"/>
      <c r="ILA450" s="741"/>
      <c r="ILB450" s="741"/>
      <c r="ILC450" s="741"/>
      <c r="ILD450" s="741"/>
      <c r="ILE450" s="741"/>
      <c r="ILF450" s="741"/>
      <c r="ILG450" s="741"/>
      <c r="ILH450" s="741"/>
      <c r="ILI450" s="741"/>
      <c r="ILJ450" s="741"/>
      <c r="ILK450" s="741"/>
      <c r="ILL450" s="741"/>
      <c r="ILM450" s="741"/>
      <c r="ILN450" s="741"/>
      <c r="ILO450" s="741"/>
      <c r="ILP450" s="741"/>
      <c r="ILQ450" s="741"/>
      <c r="ILR450" s="741"/>
      <c r="ILS450" s="741"/>
      <c r="ILT450" s="741"/>
      <c r="ILU450" s="741"/>
      <c r="ILV450" s="741"/>
      <c r="ILW450" s="741"/>
      <c r="ILX450" s="741"/>
      <c r="ILY450" s="741"/>
      <c r="ILZ450" s="741"/>
      <c r="IMA450" s="741"/>
      <c r="IMB450" s="741"/>
      <c r="IMC450" s="741"/>
      <c r="IMD450" s="741"/>
      <c r="IME450" s="741"/>
      <c r="IMF450" s="741"/>
      <c r="IMG450" s="741"/>
      <c r="IMH450" s="741"/>
      <c r="IMI450" s="741"/>
      <c r="IMJ450" s="741"/>
      <c r="IMK450" s="741"/>
      <c r="IML450" s="741"/>
      <c r="IMM450" s="741"/>
      <c r="IMN450" s="741"/>
      <c r="IMO450" s="741"/>
      <c r="IMP450" s="741"/>
      <c r="IMQ450" s="741"/>
      <c r="IMR450" s="741"/>
      <c r="IMS450" s="741"/>
      <c r="IMT450" s="741"/>
      <c r="IMU450" s="741"/>
      <c r="IMV450" s="741"/>
      <c r="IMW450" s="741"/>
      <c r="IMX450" s="741"/>
      <c r="IMY450" s="741"/>
      <c r="IMZ450" s="741"/>
      <c r="INA450" s="741"/>
      <c r="INB450" s="741"/>
      <c r="INC450" s="741"/>
      <c r="IND450" s="741"/>
      <c r="INE450" s="741"/>
      <c r="INF450" s="741"/>
      <c r="ING450" s="741"/>
      <c r="INH450" s="741"/>
      <c r="INI450" s="741"/>
      <c r="INJ450" s="741"/>
      <c r="INK450" s="741"/>
      <c r="INL450" s="741"/>
      <c r="INM450" s="741"/>
      <c r="INN450" s="741"/>
      <c r="INO450" s="741"/>
      <c r="INP450" s="741"/>
      <c r="INQ450" s="741"/>
      <c r="INR450" s="741"/>
      <c r="INS450" s="741"/>
      <c r="INT450" s="741"/>
      <c r="INU450" s="741"/>
      <c r="INV450" s="741"/>
      <c r="INW450" s="741"/>
      <c r="INX450" s="741"/>
      <c r="INY450" s="741"/>
      <c r="INZ450" s="741"/>
      <c r="IOA450" s="741"/>
      <c r="IOB450" s="741"/>
      <c r="IOC450" s="741"/>
      <c r="IOD450" s="741"/>
      <c r="IOE450" s="741"/>
      <c r="IOF450" s="741"/>
      <c r="IOG450" s="741"/>
      <c r="IOH450" s="741"/>
      <c r="IOI450" s="741"/>
      <c r="IOJ450" s="741"/>
      <c r="IOK450" s="741"/>
      <c r="IOL450" s="741"/>
      <c r="IOM450" s="741"/>
      <c r="ION450" s="741"/>
      <c r="IOO450" s="741"/>
      <c r="IOP450" s="741"/>
      <c r="IOQ450" s="741"/>
      <c r="IOR450" s="741"/>
      <c r="IOS450" s="741"/>
      <c r="IOT450" s="741"/>
      <c r="IOU450" s="741"/>
      <c r="IOV450" s="741"/>
      <c r="IOW450" s="741"/>
      <c r="IOX450" s="741"/>
      <c r="IOY450" s="741"/>
      <c r="IOZ450" s="741"/>
      <c r="IPA450" s="741"/>
      <c r="IPB450" s="741"/>
      <c r="IPC450" s="741"/>
      <c r="IPD450" s="741"/>
      <c r="IPE450" s="741"/>
      <c r="IPF450" s="741"/>
      <c r="IPG450" s="741"/>
      <c r="IPH450" s="741"/>
      <c r="IPI450" s="741"/>
      <c r="IPJ450" s="741"/>
      <c r="IPK450" s="741"/>
      <c r="IPL450" s="741"/>
      <c r="IPM450" s="741"/>
      <c r="IPN450" s="741"/>
      <c r="IPO450" s="741"/>
      <c r="IPP450" s="741"/>
      <c r="IPQ450" s="741"/>
      <c r="IPR450" s="741"/>
      <c r="IPS450" s="741"/>
      <c r="IPT450" s="741"/>
      <c r="IPU450" s="741"/>
      <c r="IPV450" s="741"/>
      <c r="IPW450" s="741"/>
      <c r="IPX450" s="741"/>
      <c r="IPY450" s="741"/>
      <c r="IPZ450" s="741"/>
      <c r="IQA450" s="741"/>
      <c r="IQB450" s="741"/>
      <c r="IQC450" s="741"/>
      <c r="IQD450" s="741"/>
      <c r="IQE450" s="741"/>
      <c r="IQF450" s="741"/>
      <c r="IQG450" s="741"/>
      <c r="IQH450" s="741"/>
      <c r="IQI450" s="741"/>
      <c r="IQJ450" s="741"/>
      <c r="IQK450" s="741"/>
      <c r="IQL450" s="741"/>
      <c r="IQM450" s="741"/>
      <c r="IQN450" s="741"/>
      <c r="IQO450" s="741"/>
      <c r="IQP450" s="741"/>
      <c r="IQQ450" s="741"/>
      <c r="IQR450" s="741"/>
      <c r="IQS450" s="741"/>
      <c r="IQT450" s="741"/>
      <c r="IQU450" s="741"/>
      <c r="IQV450" s="741"/>
      <c r="IQW450" s="741"/>
      <c r="IQX450" s="741"/>
      <c r="IQY450" s="741"/>
      <c r="IQZ450" s="741"/>
      <c r="IRA450" s="741"/>
      <c r="IRB450" s="741"/>
      <c r="IRC450" s="741"/>
      <c r="IRD450" s="741"/>
      <c r="IRE450" s="741"/>
      <c r="IRF450" s="741"/>
      <c r="IRG450" s="741"/>
      <c r="IRH450" s="741"/>
      <c r="IRI450" s="741"/>
      <c r="IRJ450" s="741"/>
      <c r="IRK450" s="741"/>
      <c r="IRL450" s="741"/>
      <c r="IRM450" s="741"/>
      <c r="IRN450" s="741"/>
      <c r="IRO450" s="741"/>
      <c r="IRP450" s="741"/>
      <c r="IRQ450" s="741"/>
      <c r="IRR450" s="741"/>
      <c r="IRS450" s="741"/>
      <c r="IRT450" s="741"/>
      <c r="IRU450" s="741"/>
      <c r="IRV450" s="741"/>
      <c r="IRW450" s="741"/>
      <c r="IRX450" s="741"/>
      <c r="IRY450" s="741"/>
      <c r="IRZ450" s="741"/>
      <c r="ISA450" s="741"/>
      <c r="ISB450" s="741"/>
      <c r="ISC450" s="741"/>
      <c r="ISD450" s="741"/>
      <c r="ISE450" s="741"/>
      <c r="ISF450" s="741"/>
      <c r="ISG450" s="741"/>
      <c r="ISH450" s="741"/>
      <c r="ISI450" s="741"/>
      <c r="ISJ450" s="741"/>
      <c r="ISK450" s="741"/>
      <c r="ISL450" s="741"/>
      <c r="ISM450" s="741"/>
      <c r="ISN450" s="741"/>
      <c r="ISO450" s="741"/>
      <c r="ISP450" s="741"/>
      <c r="ISQ450" s="741"/>
      <c r="ISR450" s="741"/>
      <c r="ISS450" s="741"/>
      <c r="IST450" s="741"/>
      <c r="ISU450" s="741"/>
      <c r="ISV450" s="741"/>
      <c r="ISW450" s="741"/>
      <c r="ISX450" s="741"/>
      <c r="ISY450" s="741"/>
      <c r="ISZ450" s="741"/>
      <c r="ITA450" s="741"/>
      <c r="ITB450" s="741"/>
      <c r="ITC450" s="741"/>
      <c r="ITD450" s="741"/>
      <c r="ITE450" s="741"/>
      <c r="ITF450" s="741"/>
      <c r="ITG450" s="741"/>
      <c r="ITH450" s="741"/>
      <c r="ITI450" s="741"/>
      <c r="ITJ450" s="741"/>
      <c r="ITK450" s="741"/>
      <c r="ITL450" s="741"/>
      <c r="ITM450" s="741"/>
      <c r="ITN450" s="741"/>
      <c r="ITO450" s="741"/>
      <c r="ITP450" s="741"/>
      <c r="ITQ450" s="741"/>
      <c r="ITR450" s="741"/>
      <c r="ITS450" s="741"/>
      <c r="ITT450" s="741"/>
      <c r="ITU450" s="741"/>
      <c r="ITV450" s="741"/>
      <c r="ITW450" s="741"/>
      <c r="ITX450" s="741"/>
      <c r="ITY450" s="741"/>
      <c r="ITZ450" s="741"/>
      <c r="IUA450" s="741"/>
      <c r="IUB450" s="741"/>
      <c r="IUC450" s="741"/>
      <c r="IUD450" s="741"/>
      <c r="IUE450" s="741"/>
      <c r="IUF450" s="741"/>
      <c r="IUG450" s="741"/>
      <c r="IUH450" s="741"/>
      <c r="IUI450" s="741"/>
      <c r="IUJ450" s="741"/>
      <c r="IUK450" s="741"/>
      <c r="IUL450" s="741"/>
      <c r="IUM450" s="741"/>
      <c r="IUN450" s="741"/>
      <c r="IUO450" s="741"/>
      <c r="IUP450" s="741"/>
      <c r="IUQ450" s="741"/>
      <c r="IUR450" s="741"/>
      <c r="IUS450" s="741"/>
      <c r="IUT450" s="741"/>
      <c r="IUU450" s="741"/>
      <c r="IUV450" s="741"/>
      <c r="IUW450" s="741"/>
      <c r="IUX450" s="741"/>
      <c r="IUY450" s="741"/>
      <c r="IUZ450" s="741"/>
      <c r="IVA450" s="741"/>
      <c r="IVB450" s="741"/>
      <c r="IVC450" s="741"/>
      <c r="IVD450" s="741"/>
      <c r="IVE450" s="741"/>
      <c r="IVF450" s="741"/>
      <c r="IVG450" s="741"/>
      <c r="IVH450" s="741"/>
      <c r="IVI450" s="741"/>
      <c r="IVJ450" s="741"/>
      <c r="IVK450" s="741"/>
      <c r="IVL450" s="741"/>
      <c r="IVM450" s="741"/>
      <c r="IVN450" s="741"/>
      <c r="IVO450" s="741"/>
      <c r="IVP450" s="741"/>
      <c r="IVQ450" s="741"/>
      <c r="IVR450" s="741"/>
      <c r="IVS450" s="741"/>
      <c r="IVT450" s="741"/>
      <c r="IVU450" s="741"/>
      <c r="IVV450" s="741"/>
      <c r="IVW450" s="741"/>
      <c r="IVX450" s="741"/>
      <c r="IVY450" s="741"/>
      <c r="IVZ450" s="741"/>
      <c r="IWA450" s="741"/>
      <c r="IWB450" s="741"/>
      <c r="IWC450" s="741"/>
      <c r="IWD450" s="741"/>
      <c r="IWE450" s="741"/>
      <c r="IWF450" s="741"/>
      <c r="IWG450" s="741"/>
      <c r="IWH450" s="741"/>
      <c r="IWI450" s="741"/>
      <c r="IWJ450" s="741"/>
      <c r="IWK450" s="741"/>
      <c r="IWL450" s="741"/>
      <c r="IWM450" s="741"/>
      <c r="IWN450" s="741"/>
      <c r="IWO450" s="741"/>
      <c r="IWP450" s="741"/>
      <c r="IWQ450" s="741"/>
      <c r="IWR450" s="741"/>
      <c r="IWS450" s="741"/>
      <c r="IWT450" s="741"/>
      <c r="IWU450" s="741"/>
      <c r="IWV450" s="741"/>
      <c r="IWW450" s="741"/>
      <c r="IWX450" s="741"/>
      <c r="IWY450" s="741"/>
      <c r="IWZ450" s="741"/>
      <c r="IXA450" s="741"/>
      <c r="IXB450" s="741"/>
      <c r="IXC450" s="741"/>
      <c r="IXD450" s="741"/>
      <c r="IXE450" s="741"/>
      <c r="IXF450" s="741"/>
      <c r="IXG450" s="741"/>
      <c r="IXH450" s="741"/>
      <c r="IXI450" s="741"/>
      <c r="IXJ450" s="741"/>
      <c r="IXK450" s="741"/>
      <c r="IXL450" s="741"/>
      <c r="IXM450" s="741"/>
      <c r="IXN450" s="741"/>
      <c r="IXO450" s="741"/>
      <c r="IXP450" s="741"/>
      <c r="IXQ450" s="741"/>
      <c r="IXR450" s="741"/>
      <c r="IXS450" s="741"/>
      <c r="IXT450" s="741"/>
      <c r="IXU450" s="741"/>
      <c r="IXV450" s="741"/>
      <c r="IXW450" s="741"/>
      <c r="IXX450" s="741"/>
      <c r="IXY450" s="741"/>
      <c r="IXZ450" s="741"/>
      <c r="IYA450" s="741"/>
      <c r="IYB450" s="741"/>
      <c r="IYC450" s="741"/>
      <c r="IYD450" s="741"/>
      <c r="IYE450" s="741"/>
      <c r="IYF450" s="741"/>
      <c r="IYG450" s="741"/>
      <c r="IYH450" s="741"/>
      <c r="IYI450" s="741"/>
      <c r="IYJ450" s="741"/>
      <c r="IYK450" s="741"/>
      <c r="IYL450" s="741"/>
      <c r="IYM450" s="741"/>
      <c r="IYN450" s="741"/>
      <c r="IYO450" s="741"/>
      <c r="IYP450" s="741"/>
      <c r="IYQ450" s="741"/>
      <c r="IYR450" s="741"/>
      <c r="IYS450" s="741"/>
      <c r="IYT450" s="741"/>
      <c r="IYU450" s="741"/>
      <c r="IYV450" s="741"/>
      <c r="IYW450" s="741"/>
      <c r="IYX450" s="741"/>
      <c r="IYY450" s="741"/>
      <c r="IYZ450" s="741"/>
      <c r="IZA450" s="741"/>
      <c r="IZB450" s="741"/>
      <c r="IZC450" s="741"/>
      <c r="IZD450" s="741"/>
      <c r="IZE450" s="741"/>
      <c r="IZF450" s="741"/>
      <c r="IZG450" s="741"/>
      <c r="IZH450" s="741"/>
      <c r="IZI450" s="741"/>
      <c r="IZJ450" s="741"/>
      <c r="IZK450" s="741"/>
      <c r="IZL450" s="741"/>
      <c r="IZM450" s="741"/>
      <c r="IZN450" s="741"/>
      <c r="IZO450" s="741"/>
      <c r="IZP450" s="741"/>
      <c r="IZQ450" s="741"/>
      <c r="IZR450" s="741"/>
      <c r="IZS450" s="741"/>
      <c r="IZT450" s="741"/>
      <c r="IZU450" s="741"/>
      <c r="IZV450" s="741"/>
      <c r="IZW450" s="741"/>
      <c r="IZX450" s="741"/>
      <c r="IZY450" s="741"/>
      <c r="IZZ450" s="741"/>
      <c r="JAA450" s="741"/>
      <c r="JAB450" s="741"/>
      <c r="JAC450" s="741"/>
      <c r="JAD450" s="741"/>
      <c r="JAE450" s="741"/>
      <c r="JAF450" s="741"/>
      <c r="JAG450" s="741"/>
      <c r="JAH450" s="741"/>
      <c r="JAI450" s="741"/>
      <c r="JAJ450" s="741"/>
      <c r="JAK450" s="741"/>
      <c r="JAL450" s="741"/>
      <c r="JAM450" s="741"/>
      <c r="JAN450" s="741"/>
      <c r="JAO450" s="741"/>
      <c r="JAP450" s="741"/>
      <c r="JAQ450" s="741"/>
      <c r="JAR450" s="741"/>
      <c r="JAS450" s="741"/>
      <c r="JAT450" s="741"/>
      <c r="JAU450" s="741"/>
      <c r="JAV450" s="741"/>
      <c r="JAW450" s="741"/>
      <c r="JAX450" s="741"/>
      <c r="JAY450" s="741"/>
      <c r="JAZ450" s="741"/>
      <c r="JBA450" s="741"/>
      <c r="JBB450" s="741"/>
      <c r="JBC450" s="741"/>
      <c r="JBD450" s="741"/>
      <c r="JBE450" s="741"/>
      <c r="JBF450" s="741"/>
      <c r="JBG450" s="741"/>
      <c r="JBH450" s="741"/>
      <c r="JBI450" s="741"/>
      <c r="JBJ450" s="741"/>
      <c r="JBK450" s="741"/>
      <c r="JBL450" s="741"/>
      <c r="JBM450" s="741"/>
      <c r="JBN450" s="741"/>
      <c r="JBO450" s="741"/>
      <c r="JBP450" s="741"/>
      <c r="JBQ450" s="741"/>
      <c r="JBR450" s="741"/>
      <c r="JBS450" s="741"/>
      <c r="JBT450" s="741"/>
      <c r="JBU450" s="741"/>
      <c r="JBV450" s="741"/>
      <c r="JBW450" s="741"/>
      <c r="JBX450" s="741"/>
      <c r="JBY450" s="741"/>
      <c r="JBZ450" s="741"/>
      <c r="JCA450" s="741"/>
      <c r="JCB450" s="741"/>
      <c r="JCC450" s="741"/>
      <c r="JCD450" s="741"/>
      <c r="JCE450" s="741"/>
      <c r="JCF450" s="741"/>
      <c r="JCG450" s="741"/>
      <c r="JCH450" s="741"/>
      <c r="JCI450" s="741"/>
      <c r="JCJ450" s="741"/>
      <c r="JCK450" s="741"/>
      <c r="JCL450" s="741"/>
      <c r="JCM450" s="741"/>
      <c r="JCN450" s="741"/>
      <c r="JCO450" s="741"/>
      <c r="JCP450" s="741"/>
      <c r="JCQ450" s="741"/>
      <c r="JCR450" s="741"/>
      <c r="JCS450" s="741"/>
      <c r="JCT450" s="741"/>
      <c r="JCU450" s="741"/>
      <c r="JCV450" s="741"/>
      <c r="JCW450" s="741"/>
      <c r="JCX450" s="741"/>
      <c r="JCY450" s="741"/>
      <c r="JCZ450" s="741"/>
      <c r="JDA450" s="741"/>
      <c r="JDB450" s="741"/>
      <c r="JDC450" s="741"/>
      <c r="JDD450" s="741"/>
      <c r="JDE450" s="741"/>
      <c r="JDF450" s="741"/>
      <c r="JDG450" s="741"/>
      <c r="JDH450" s="741"/>
      <c r="JDI450" s="741"/>
      <c r="JDJ450" s="741"/>
      <c r="JDK450" s="741"/>
      <c r="JDL450" s="741"/>
      <c r="JDM450" s="741"/>
      <c r="JDN450" s="741"/>
      <c r="JDO450" s="741"/>
      <c r="JDP450" s="741"/>
      <c r="JDQ450" s="741"/>
      <c r="JDR450" s="741"/>
      <c r="JDS450" s="741"/>
      <c r="JDT450" s="741"/>
      <c r="JDU450" s="741"/>
      <c r="JDV450" s="741"/>
      <c r="JDW450" s="741"/>
      <c r="JDX450" s="741"/>
      <c r="JDY450" s="741"/>
      <c r="JDZ450" s="741"/>
      <c r="JEA450" s="741"/>
      <c r="JEB450" s="741"/>
      <c r="JEC450" s="741"/>
      <c r="JED450" s="741"/>
      <c r="JEE450" s="741"/>
      <c r="JEF450" s="741"/>
      <c r="JEG450" s="741"/>
      <c r="JEH450" s="741"/>
      <c r="JEI450" s="741"/>
      <c r="JEJ450" s="741"/>
      <c r="JEK450" s="741"/>
      <c r="JEL450" s="741"/>
      <c r="JEM450" s="741"/>
      <c r="JEN450" s="741"/>
      <c r="JEO450" s="741"/>
      <c r="JEP450" s="741"/>
      <c r="JEQ450" s="741"/>
      <c r="JER450" s="741"/>
      <c r="JES450" s="741"/>
      <c r="JET450" s="741"/>
      <c r="JEU450" s="741"/>
      <c r="JEV450" s="741"/>
      <c r="JEW450" s="741"/>
      <c r="JEX450" s="741"/>
      <c r="JEY450" s="741"/>
      <c r="JEZ450" s="741"/>
      <c r="JFA450" s="741"/>
      <c r="JFB450" s="741"/>
      <c r="JFC450" s="741"/>
      <c r="JFD450" s="741"/>
      <c r="JFE450" s="741"/>
      <c r="JFF450" s="741"/>
      <c r="JFG450" s="741"/>
      <c r="JFH450" s="741"/>
      <c r="JFI450" s="741"/>
      <c r="JFJ450" s="741"/>
      <c r="JFK450" s="741"/>
      <c r="JFL450" s="741"/>
      <c r="JFM450" s="741"/>
      <c r="JFN450" s="741"/>
      <c r="JFO450" s="741"/>
      <c r="JFP450" s="741"/>
      <c r="JFQ450" s="741"/>
      <c r="JFR450" s="741"/>
      <c r="JFS450" s="741"/>
      <c r="JFT450" s="741"/>
      <c r="JFU450" s="741"/>
      <c r="JFV450" s="741"/>
      <c r="JFW450" s="741"/>
      <c r="JFX450" s="741"/>
      <c r="JFY450" s="741"/>
      <c r="JFZ450" s="741"/>
      <c r="JGA450" s="741"/>
      <c r="JGB450" s="741"/>
      <c r="JGC450" s="741"/>
      <c r="JGD450" s="741"/>
      <c r="JGE450" s="741"/>
      <c r="JGF450" s="741"/>
      <c r="JGG450" s="741"/>
      <c r="JGH450" s="741"/>
      <c r="JGI450" s="741"/>
      <c r="JGJ450" s="741"/>
      <c r="JGK450" s="741"/>
      <c r="JGL450" s="741"/>
      <c r="JGM450" s="741"/>
      <c r="JGN450" s="741"/>
      <c r="JGO450" s="741"/>
      <c r="JGP450" s="741"/>
      <c r="JGQ450" s="741"/>
      <c r="JGR450" s="741"/>
      <c r="JGS450" s="741"/>
      <c r="JGT450" s="741"/>
      <c r="JGU450" s="741"/>
      <c r="JGV450" s="741"/>
      <c r="JGW450" s="741"/>
      <c r="JGX450" s="741"/>
      <c r="JGY450" s="741"/>
      <c r="JGZ450" s="741"/>
      <c r="JHA450" s="741"/>
      <c r="JHB450" s="741"/>
      <c r="JHC450" s="741"/>
      <c r="JHD450" s="741"/>
      <c r="JHE450" s="741"/>
      <c r="JHF450" s="741"/>
      <c r="JHG450" s="741"/>
      <c r="JHH450" s="741"/>
      <c r="JHI450" s="741"/>
      <c r="JHJ450" s="741"/>
      <c r="JHK450" s="741"/>
      <c r="JHL450" s="741"/>
      <c r="JHM450" s="741"/>
      <c r="JHN450" s="741"/>
      <c r="JHO450" s="741"/>
      <c r="JHP450" s="741"/>
      <c r="JHQ450" s="741"/>
      <c r="JHR450" s="741"/>
      <c r="JHS450" s="741"/>
      <c r="JHT450" s="741"/>
      <c r="JHU450" s="741"/>
      <c r="JHV450" s="741"/>
      <c r="JHW450" s="741"/>
      <c r="JHX450" s="741"/>
      <c r="JHY450" s="741"/>
      <c r="JHZ450" s="741"/>
      <c r="JIA450" s="741"/>
      <c r="JIB450" s="741"/>
      <c r="JIC450" s="741"/>
      <c r="JID450" s="741"/>
      <c r="JIE450" s="741"/>
      <c r="JIF450" s="741"/>
      <c r="JIG450" s="741"/>
      <c r="JIH450" s="741"/>
      <c r="JII450" s="741"/>
      <c r="JIJ450" s="741"/>
      <c r="JIK450" s="741"/>
      <c r="JIL450" s="741"/>
      <c r="JIM450" s="741"/>
      <c r="JIN450" s="741"/>
      <c r="JIO450" s="741"/>
      <c r="JIP450" s="741"/>
      <c r="JIQ450" s="741"/>
      <c r="JIR450" s="741"/>
      <c r="JIS450" s="741"/>
      <c r="JIT450" s="741"/>
      <c r="JIU450" s="741"/>
      <c r="JIV450" s="741"/>
      <c r="JIW450" s="741"/>
      <c r="JIX450" s="741"/>
      <c r="JIY450" s="741"/>
      <c r="JIZ450" s="741"/>
      <c r="JJA450" s="741"/>
      <c r="JJB450" s="741"/>
      <c r="JJC450" s="741"/>
      <c r="JJD450" s="741"/>
      <c r="JJE450" s="741"/>
      <c r="JJF450" s="741"/>
      <c r="JJG450" s="741"/>
      <c r="JJH450" s="741"/>
      <c r="JJI450" s="741"/>
      <c r="JJJ450" s="741"/>
      <c r="JJK450" s="741"/>
      <c r="JJL450" s="741"/>
      <c r="JJM450" s="741"/>
      <c r="JJN450" s="741"/>
      <c r="JJO450" s="741"/>
      <c r="JJP450" s="741"/>
      <c r="JJQ450" s="741"/>
      <c r="JJR450" s="741"/>
      <c r="JJS450" s="741"/>
      <c r="JJT450" s="741"/>
      <c r="JJU450" s="741"/>
      <c r="JJV450" s="741"/>
      <c r="JJW450" s="741"/>
      <c r="JJX450" s="741"/>
      <c r="JJY450" s="741"/>
      <c r="JJZ450" s="741"/>
      <c r="JKA450" s="741"/>
      <c r="JKB450" s="741"/>
      <c r="JKC450" s="741"/>
      <c r="JKD450" s="741"/>
      <c r="JKE450" s="741"/>
      <c r="JKF450" s="741"/>
      <c r="JKG450" s="741"/>
      <c r="JKH450" s="741"/>
      <c r="JKI450" s="741"/>
      <c r="JKJ450" s="741"/>
      <c r="JKK450" s="741"/>
      <c r="JKL450" s="741"/>
      <c r="JKM450" s="741"/>
      <c r="JKN450" s="741"/>
      <c r="JKO450" s="741"/>
      <c r="JKP450" s="741"/>
      <c r="JKQ450" s="741"/>
      <c r="JKR450" s="741"/>
      <c r="JKS450" s="741"/>
      <c r="JKT450" s="741"/>
      <c r="JKU450" s="741"/>
      <c r="JKV450" s="741"/>
      <c r="JKW450" s="741"/>
      <c r="JKX450" s="741"/>
      <c r="JKY450" s="741"/>
      <c r="JKZ450" s="741"/>
      <c r="JLA450" s="741"/>
      <c r="JLB450" s="741"/>
      <c r="JLC450" s="741"/>
      <c r="JLD450" s="741"/>
      <c r="JLE450" s="741"/>
      <c r="JLF450" s="741"/>
      <c r="JLG450" s="741"/>
      <c r="JLH450" s="741"/>
      <c r="JLI450" s="741"/>
      <c r="JLJ450" s="741"/>
      <c r="JLK450" s="741"/>
      <c r="JLL450" s="741"/>
      <c r="JLM450" s="741"/>
      <c r="JLN450" s="741"/>
      <c r="JLO450" s="741"/>
      <c r="JLP450" s="741"/>
      <c r="JLQ450" s="741"/>
      <c r="JLR450" s="741"/>
      <c r="JLS450" s="741"/>
      <c r="JLT450" s="741"/>
      <c r="JLU450" s="741"/>
      <c r="JLV450" s="741"/>
      <c r="JLW450" s="741"/>
      <c r="JLX450" s="741"/>
      <c r="JLY450" s="741"/>
      <c r="JLZ450" s="741"/>
      <c r="JMA450" s="741"/>
      <c r="JMB450" s="741"/>
      <c r="JMC450" s="741"/>
      <c r="JMD450" s="741"/>
      <c r="JME450" s="741"/>
      <c r="JMF450" s="741"/>
      <c r="JMG450" s="741"/>
      <c r="JMH450" s="741"/>
      <c r="JMI450" s="741"/>
      <c r="JMJ450" s="741"/>
      <c r="JMK450" s="741"/>
      <c r="JML450" s="741"/>
      <c r="JMM450" s="741"/>
      <c r="JMN450" s="741"/>
      <c r="JMO450" s="741"/>
      <c r="JMP450" s="741"/>
      <c r="JMQ450" s="741"/>
      <c r="JMR450" s="741"/>
      <c r="JMS450" s="741"/>
      <c r="JMT450" s="741"/>
      <c r="JMU450" s="741"/>
      <c r="JMV450" s="741"/>
      <c r="JMW450" s="741"/>
      <c r="JMX450" s="741"/>
      <c r="JMY450" s="741"/>
      <c r="JMZ450" s="741"/>
      <c r="JNA450" s="741"/>
      <c r="JNB450" s="741"/>
      <c r="JNC450" s="741"/>
      <c r="JND450" s="741"/>
      <c r="JNE450" s="741"/>
      <c r="JNF450" s="741"/>
      <c r="JNG450" s="741"/>
      <c r="JNH450" s="741"/>
      <c r="JNI450" s="741"/>
      <c r="JNJ450" s="741"/>
      <c r="JNK450" s="741"/>
      <c r="JNL450" s="741"/>
      <c r="JNM450" s="741"/>
      <c r="JNN450" s="741"/>
      <c r="JNO450" s="741"/>
      <c r="JNP450" s="741"/>
      <c r="JNQ450" s="741"/>
      <c r="JNR450" s="741"/>
      <c r="JNS450" s="741"/>
      <c r="JNT450" s="741"/>
      <c r="JNU450" s="741"/>
      <c r="JNV450" s="741"/>
      <c r="JNW450" s="741"/>
      <c r="JNX450" s="741"/>
      <c r="JNY450" s="741"/>
      <c r="JNZ450" s="741"/>
      <c r="JOA450" s="741"/>
      <c r="JOB450" s="741"/>
      <c r="JOC450" s="741"/>
      <c r="JOD450" s="741"/>
      <c r="JOE450" s="741"/>
      <c r="JOF450" s="741"/>
      <c r="JOG450" s="741"/>
      <c r="JOH450" s="741"/>
      <c r="JOI450" s="741"/>
      <c r="JOJ450" s="741"/>
      <c r="JOK450" s="741"/>
      <c r="JOL450" s="741"/>
      <c r="JOM450" s="741"/>
      <c r="JON450" s="741"/>
      <c r="JOO450" s="741"/>
      <c r="JOP450" s="741"/>
      <c r="JOQ450" s="741"/>
      <c r="JOR450" s="741"/>
      <c r="JOS450" s="741"/>
      <c r="JOT450" s="741"/>
      <c r="JOU450" s="741"/>
      <c r="JOV450" s="741"/>
      <c r="JOW450" s="741"/>
      <c r="JOX450" s="741"/>
      <c r="JOY450" s="741"/>
      <c r="JOZ450" s="741"/>
      <c r="JPA450" s="741"/>
      <c r="JPB450" s="741"/>
      <c r="JPC450" s="741"/>
      <c r="JPD450" s="741"/>
      <c r="JPE450" s="741"/>
      <c r="JPF450" s="741"/>
      <c r="JPG450" s="741"/>
      <c r="JPH450" s="741"/>
      <c r="JPI450" s="741"/>
      <c r="JPJ450" s="741"/>
      <c r="JPK450" s="741"/>
      <c r="JPL450" s="741"/>
      <c r="JPM450" s="741"/>
      <c r="JPN450" s="741"/>
      <c r="JPO450" s="741"/>
      <c r="JPP450" s="741"/>
      <c r="JPQ450" s="741"/>
      <c r="JPR450" s="741"/>
      <c r="JPS450" s="741"/>
      <c r="JPT450" s="741"/>
      <c r="JPU450" s="741"/>
      <c r="JPV450" s="741"/>
      <c r="JPW450" s="741"/>
      <c r="JPX450" s="741"/>
      <c r="JPY450" s="741"/>
      <c r="JPZ450" s="741"/>
      <c r="JQA450" s="741"/>
      <c r="JQB450" s="741"/>
      <c r="JQC450" s="741"/>
      <c r="JQD450" s="741"/>
      <c r="JQE450" s="741"/>
      <c r="JQF450" s="741"/>
      <c r="JQG450" s="741"/>
      <c r="JQH450" s="741"/>
      <c r="JQI450" s="741"/>
      <c r="JQJ450" s="741"/>
      <c r="JQK450" s="741"/>
      <c r="JQL450" s="741"/>
      <c r="JQM450" s="741"/>
      <c r="JQN450" s="741"/>
      <c r="JQO450" s="741"/>
      <c r="JQP450" s="741"/>
      <c r="JQQ450" s="741"/>
      <c r="JQR450" s="741"/>
      <c r="JQS450" s="741"/>
      <c r="JQT450" s="741"/>
      <c r="JQU450" s="741"/>
      <c r="JQV450" s="741"/>
      <c r="JQW450" s="741"/>
      <c r="JQX450" s="741"/>
      <c r="JQY450" s="741"/>
      <c r="JQZ450" s="741"/>
      <c r="JRA450" s="741"/>
      <c r="JRB450" s="741"/>
      <c r="JRC450" s="741"/>
      <c r="JRD450" s="741"/>
      <c r="JRE450" s="741"/>
      <c r="JRF450" s="741"/>
      <c r="JRG450" s="741"/>
      <c r="JRH450" s="741"/>
      <c r="JRI450" s="741"/>
      <c r="JRJ450" s="741"/>
      <c r="JRK450" s="741"/>
      <c r="JRL450" s="741"/>
      <c r="JRM450" s="741"/>
      <c r="JRN450" s="741"/>
      <c r="JRO450" s="741"/>
      <c r="JRP450" s="741"/>
      <c r="JRQ450" s="741"/>
      <c r="JRR450" s="741"/>
      <c r="JRS450" s="741"/>
      <c r="JRT450" s="741"/>
      <c r="JRU450" s="741"/>
      <c r="JRV450" s="741"/>
      <c r="JRW450" s="741"/>
      <c r="JRX450" s="741"/>
      <c r="JRY450" s="741"/>
      <c r="JRZ450" s="741"/>
      <c r="JSA450" s="741"/>
      <c r="JSB450" s="741"/>
      <c r="JSC450" s="741"/>
      <c r="JSD450" s="741"/>
      <c r="JSE450" s="741"/>
      <c r="JSF450" s="741"/>
      <c r="JSG450" s="741"/>
      <c r="JSH450" s="741"/>
      <c r="JSI450" s="741"/>
      <c r="JSJ450" s="741"/>
      <c r="JSK450" s="741"/>
      <c r="JSL450" s="741"/>
      <c r="JSM450" s="741"/>
      <c r="JSN450" s="741"/>
      <c r="JSO450" s="741"/>
      <c r="JSP450" s="741"/>
      <c r="JSQ450" s="741"/>
      <c r="JSR450" s="741"/>
      <c r="JSS450" s="741"/>
      <c r="JST450" s="741"/>
      <c r="JSU450" s="741"/>
      <c r="JSV450" s="741"/>
      <c r="JSW450" s="741"/>
      <c r="JSX450" s="741"/>
      <c r="JSY450" s="741"/>
      <c r="JSZ450" s="741"/>
      <c r="JTA450" s="741"/>
      <c r="JTB450" s="741"/>
      <c r="JTC450" s="741"/>
      <c r="JTD450" s="741"/>
      <c r="JTE450" s="741"/>
      <c r="JTF450" s="741"/>
      <c r="JTG450" s="741"/>
      <c r="JTH450" s="741"/>
      <c r="JTI450" s="741"/>
      <c r="JTJ450" s="741"/>
      <c r="JTK450" s="741"/>
      <c r="JTL450" s="741"/>
      <c r="JTM450" s="741"/>
      <c r="JTN450" s="741"/>
      <c r="JTO450" s="741"/>
      <c r="JTP450" s="741"/>
      <c r="JTQ450" s="741"/>
      <c r="JTR450" s="741"/>
      <c r="JTS450" s="741"/>
      <c r="JTT450" s="741"/>
      <c r="JTU450" s="741"/>
      <c r="JTV450" s="741"/>
      <c r="JTW450" s="741"/>
      <c r="JTX450" s="741"/>
      <c r="JTY450" s="741"/>
      <c r="JTZ450" s="741"/>
      <c r="JUA450" s="741"/>
      <c r="JUB450" s="741"/>
      <c r="JUC450" s="741"/>
      <c r="JUD450" s="741"/>
      <c r="JUE450" s="741"/>
      <c r="JUF450" s="741"/>
      <c r="JUG450" s="741"/>
      <c r="JUH450" s="741"/>
      <c r="JUI450" s="741"/>
      <c r="JUJ450" s="741"/>
      <c r="JUK450" s="741"/>
      <c r="JUL450" s="741"/>
      <c r="JUM450" s="741"/>
      <c r="JUN450" s="741"/>
      <c r="JUO450" s="741"/>
      <c r="JUP450" s="741"/>
      <c r="JUQ450" s="741"/>
      <c r="JUR450" s="741"/>
      <c r="JUS450" s="741"/>
      <c r="JUT450" s="741"/>
      <c r="JUU450" s="741"/>
      <c r="JUV450" s="741"/>
      <c r="JUW450" s="741"/>
      <c r="JUX450" s="741"/>
      <c r="JUY450" s="741"/>
      <c r="JUZ450" s="741"/>
      <c r="JVA450" s="741"/>
      <c r="JVB450" s="741"/>
      <c r="JVC450" s="741"/>
      <c r="JVD450" s="741"/>
      <c r="JVE450" s="741"/>
      <c r="JVF450" s="741"/>
      <c r="JVG450" s="741"/>
      <c r="JVH450" s="741"/>
      <c r="JVI450" s="741"/>
      <c r="JVJ450" s="741"/>
      <c r="JVK450" s="741"/>
      <c r="JVL450" s="741"/>
      <c r="JVM450" s="741"/>
      <c r="JVN450" s="741"/>
      <c r="JVO450" s="741"/>
      <c r="JVP450" s="741"/>
      <c r="JVQ450" s="741"/>
      <c r="JVR450" s="741"/>
      <c r="JVS450" s="741"/>
      <c r="JVT450" s="741"/>
      <c r="JVU450" s="741"/>
      <c r="JVV450" s="741"/>
      <c r="JVW450" s="741"/>
      <c r="JVX450" s="741"/>
      <c r="JVY450" s="741"/>
      <c r="JVZ450" s="741"/>
      <c r="JWA450" s="741"/>
      <c r="JWB450" s="741"/>
      <c r="JWC450" s="741"/>
      <c r="JWD450" s="741"/>
      <c r="JWE450" s="741"/>
      <c r="JWF450" s="741"/>
      <c r="JWG450" s="741"/>
      <c r="JWH450" s="741"/>
      <c r="JWI450" s="741"/>
      <c r="JWJ450" s="741"/>
      <c r="JWK450" s="741"/>
      <c r="JWL450" s="741"/>
      <c r="JWM450" s="741"/>
      <c r="JWN450" s="741"/>
      <c r="JWO450" s="741"/>
      <c r="JWP450" s="741"/>
      <c r="JWQ450" s="741"/>
      <c r="JWR450" s="741"/>
      <c r="JWS450" s="741"/>
      <c r="JWT450" s="741"/>
      <c r="JWU450" s="741"/>
      <c r="JWV450" s="741"/>
      <c r="JWW450" s="741"/>
      <c r="JWX450" s="741"/>
      <c r="JWY450" s="741"/>
      <c r="JWZ450" s="741"/>
      <c r="JXA450" s="741"/>
      <c r="JXB450" s="741"/>
      <c r="JXC450" s="741"/>
      <c r="JXD450" s="741"/>
      <c r="JXE450" s="741"/>
      <c r="JXF450" s="741"/>
      <c r="JXG450" s="741"/>
      <c r="JXH450" s="741"/>
      <c r="JXI450" s="741"/>
      <c r="JXJ450" s="741"/>
      <c r="JXK450" s="741"/>
      <c r="JXL450" s="741"/>
      <c r="JXM450" s="741"/>
      <c r="JXN450" s="741"/>
      <c r="JXO450" s="741"/>
      <c r="JXP450" s="741"/>
      <c r="JXQ450" s="741"/>
      <c r="JXR450" s="741"/>
      <c r="JXS450" s="741"/>
      <c r="JXT450" s="741"/>
      <c r="JXU450" s="741"/>
      <c r="JXV450" s="741"/>
      <c r="JXW450" s="741"/>
      <c r="JXX450" s="741"/>
      <c r="JXY450" s="741"/>
      <c r="JXZ450" s="741"/>
      <c r="JYA450" s="741"/>
      <c r="JYB450" s="741"/>
      <c r="JYC450" s="741"/>
      <c r="JYD450" s="741"/>
      <c r="JYE450" s="741"/>
      <c r="JYF450" s="741"/>
      <c r="JYG450" s="741"/>
      <c r="JYH450" s="741"/>
      <c r="JYI450" s="741"/>
      <c r="JYJ450" s="741"/>
      <c r="JYK450" s="741"/>
      <c r="JYL450" s="741"/>
      <c r="JYM450" s="741"/>
      <c r="JYN450" s="741"/>
      <c r="JYO450" s="741"/>
      <c r="JYP450" s="741"/>
      <c r="JYQ450" s="741"/>
      <c r="JYR450" s="741"/>
      <c r="JYS450" s="741"/>
      <c r="JYT450" s="741"/>
      <c r="JYU450" s="741"/>
      <c r="JYV450" s="741"/>
      <c r="JYW450" s="741"/>
      <c r="JYX450" s="741"/>
      <c r="JYY450" s="741"/>
      <c r="JYZ450" s="741"/>
      <c r="JZA450" s="741"/>
      <c r="JZB450" s="741"/>
      <c r="JZC450" s="741"/>
      <c r="JZD450" s="741"/>
      <c r="JZE450" s="741"/>
      <c r="JZF450" s="741"/>
      <c r="JZG450" s="741"/>
      <c r="JZH450" s="741"/>
      <c r="JZI450" s="741"/>
      <c r="JZJ450" s="741"/>
      <c r="JZK450" s="741"/>
      <c r="JZL450" s="741"/>
      <c r="JZM450" s="741"/>
      <c r="JZN450" s="741"/>
      <c r="JZO450" s="741"/>
      <c r="JZP450" s="741"/>
      <c r="JZQ450" s="741"/>
      <c r="JZR450" s="741"/>
      <c r="JZS450" s="741"/>
      <c r="JZT450" s="741"/>
      <c r="JZU450" s="741"/>
      <c r="JZV450" s="741"/>
      <c r="JZW450" s="741"/>
      <c r="JZX450" s="741"/>
      <c r="JZY450" s="741"/>
      <c r="JZZ450" s="741"/>
      <c r="KAA450" s="741"/>
      <c r="KAB450" s="741"/>
      <c r="KAC450" s="741"/>
      <c r="KAD450" s="741"/>
      <c r="KAE450" s="741"/>
      <c r="KAF450" s="741"/>
      <c r="KAG450" s="741"/>
      <c r="KAH450" s="741"/>
      <c r="KAI450" s="741"/>
      <c r="KAJ450" s="741"/>
      <c r="KAK450" s="741"/>
      <c r="KAL450" s="741"/>
      <c r="KAM450" s="741"/>
      <c r="KAN450" s="741"/>
      <c r="KAO450" s="741"/>
      <c r="KAP450" s="741"/>
      <c r="KAQ450" s="741"/>
      <c r="KAR450" s="741"/>
      <c r="KAS450" s="741"/>
      <c r="KAT450" s="741"/>
      <c r="KAU450" s="741"/>
      <c r="KAV450" s="741"/>
      <c r="KAW450" s="741"/>
      <c r="KAX450" s="741"/>
      <c r="KAY450" s="741"/>
      <c r="KAZ450" s="741"/>
      <c r="KBA450" s="741"/>
      <c r="KBB450" s="741"/>
      <c r="KBC450" s="741"/>
      <c r="KBD450" s="741"/>
      <c r="KBE450" s="741"/>
      <c r="KBF450" s="741"/>
      <c r="KBG450" s="741"/>
      <c r="KBH450" s="741"/>
      <c r="KBI450" s="741"/>
      <c r="KBJ450" s="741"/>
      <c r="KBK450" s="741"/>
      <c r="KBL450" s="741"/>
      <c r="KBM450" s="741"/>
      <c r="KBN450" s="741"/>
      <c r="KBO450" s="741"/>
      <c r="KBP450" s="741"/>
      <c r="KBQ450" s="741"/>
      <c r="KBR450" s="741"/>
      <c r="KBS450" s="741"/>
      <c r="KBT450" s="741"/>
      <c r="KBU450" s="741"/>
      <c r="KBV450" s="741"/>
      <c r="KBW450" s="741"/>
      <c r="KBX450" s="741"/>
      <c r="KBY450" s="741"/>
      <c r="KBZ450" s="741"/>
      <c r="KCA450" s="741"/>
      <c r="KCB450" s="741"/>
      <c r="KCC450" s="741"/>
      <c r="KCD450" s="741"/>
      <c r="KCE450" s="741"/>
      <c r="KCF450" s="741"/>
      <c r="KCG450" s="741"/>
      <c r="KCH450" s="741"/>
      <c r="KCI450" s="741"/>
      <c r="KCJ450" s="741"/>
      <c r="KCK450" s="741"/>
      <c r="KCL450" s="741"/>
      <c r="KCM450" s="741"/>
      <c r="KCN450" s="741"/>
      <c r="KCO450" s="741"/>
      <c r="KCP450" s="741"/>
      <c r="KCQ450" s="741"/>
      <c r="KCR450" s="741"/>
      <c r="KCS450" s="741"/>
      <c r="KCT450" s="741"/>
      <c r="KCU450" s="741"/>
      <c r="KCV450" s="741"/>
      <c r="KCW450" s="741"/>
      <c r="KCX450" s="741"/>
      <c r="KCY450" s="741"/>
      <c r="KCZ450" s="741"/>
      <c r="KDA450" s="741"/>
      <c r="KDB450" s="741"/>
      <c r="KDC450" s="741"/>
      <c r="KDD450" s="741"/>
      <c r="KDE450" s="741"/>
      <c r="KDF450" s="741"/>
      <c r="KDG450" s="741"/>
      <c r="KDH450" s="741"/>
      <c r="KDI450" s="741"/>
      <c r="KDJ450" s="741"/>
      <c r="KDK450" s="741"/>
      <c r="KDL450" s="741"/>
      <c r="KDM450" s="741"/>
      <c r="KDN450" s="741"/>
      <c r="KDO450" s="741"/>
      <c r="KDP450" s="741"/>
      <c r="KDQ450" s="741"/>
      <c r="KDR450" s="741"/>
      <c r="KDS450" s="741"/>
      <c r="KDT450" s="741"/>
      <c r="KDU450" s="741"/>
      <c r="KDV450" s="741"/>
      <c r="KDW450" s="741"/>
      <c r="KDX450" s="741"/>
      <c r="KDY450" s="741"/>
      <c r="KDZ450" s="741"/>
      <c r="KEA450" s="741"/>
      <c r="KEB450" s="741"/>
      <c r="KEC450" s="741"/>
      <c r="KED450" s="741"/>
      <c r="KEE450" s="741"/>
      <c r="KEF450" s="741"/>
      <c r="KEG450" s="741"/>
      <c r="KEH450" s="741"/>
      <c r="KEI450" s="741"/>
      <c r="KEJ450" s="741"/>
      <c r="KEK450" s="741"/>
      <c r="KEL450" s="741"/>
      <c r="KEM450" s="741"/>
      <c r="KEN450" s="741"/>
      <c r="KEO450" s="741"/>
      <c r="KEP450" s="741"/>
      <c r="KEQ450" s="741"/>
      <c r="KER450" s="741"/>
      <c r="KES450" s="741"/>
      <c r="KET450" s="741"/>
      <c r="KEU450" s="741"/>
      <c r="KEV450" s="741"/>
      <c r="KEW450" s="741"/>
      <c r="KEX450" s="741"/>
      <c r="KEY450" s="741"/>
      <c r="KEZ450" s="741"/>
      <c r="KFA450" s="741"/>
      <c r="KFB450" s="741"/>
      <c r="KFC450" s="741"/>
      <c r="KFD450" s="741"/>
      <c r="KFE450" s="741"/>
      <c r="KFF450" s="741"/>
      <c r="KFG450" s="741"/>
      <c r="KFH450" s="741"/>
      <c r="KFI450" s="741"/>
      <c r="KFJ450" s="741"/>
      <c r="KFK450" s="741"/>
      <c r="KFL450" s="741"/>
      <c r="KFM450" s="741"/>
      <c r="KFN450" s="741"/>
      <c r="KFO450" s="741"/>
      <c r="KFP450" s="741"/>
      <c r="KFQ450" s="741"/>
      <c r="KFR450" s="741"/>
      <c r="KFS450" s="741"/>
      <c r="KFT450" s="741"/>
      <c r="KFU450" s="741"/>
      <c r="KFV450" s="741"/>
      <c r="KFW450" s="741"/>
      <c r="KFX450" s="741"/>
      <c r="KFY450" s="741"/>
      <c r="KFZ450" s="741"/>
      <c r="KGA450" s="741"/>
      <c r="KGB450" s="741"/>
      <c r="KGC450" s="741"/>
      <c r="KGD450" s="741"/>
      <c r="KGE450" s="741"/>
      <c r="KGF450" s="741"/>
      <c r="KGG450" s="741"/>
      <c r="KGH450" s="741"/>
      <c r="KGI450" s="741"/>
      <c r="KGJ450" s="741"/>
      <c r="KGK450" s="741"/>
      <c r="KGL450" s="741"/>
      <c r="KGM450" s="741"/>
      <c r="KGN450" s="741"/>
      <c r="KGO450" s="741"/>
      <c r="KGP450" s="741"/>
      <c r="KGQ450" s="741"/>
      <c r="KGR450" s="741"/>
      <c r="KGS450" s="741"/>
      <c r="KGT450" s="741"/>
      <c r="KGU450" s="741"/>
      <c r="KGV450" s="741"/>
      <c r="KGW450" s="741"/>
      <c r="KGX450" s="741"/>
      <c r="KGY450" s="741"/>
      <c r="KGZ450" s="741"/>
      <c r="KHA450" s="741"/>
      <c r="KHB450" s="741"/>
      <c r="KHC450" s="741"/>
      <c r="KHD450" s="741"/>
      <c r="KHE450" s="741"/>
      <c r="KHF450" s="741"/>
      <c r="KHG450" s="741"/>
      <c r="KHH450" s="741"/>
      <c r="KHI450" s="741"/>
      <c r="KHJ450" s="741"/>
      <c r="KHK450" s="741"/>
      <c r="KHL450" s="741"/>
      <c r="KHM450" s="741"/>
      <c r="KHN450" s="741"/>
      <c r="KHO450" s="741"/>
      <c r="KHP450" s="741"/>
      <c r="KHQ450" s="741"/>
      <c r="KHR450" s="741"/>
      <c r="KHS450" s="741"/>
      <c r="KHT450" s="741"/>
      <c r="KHU450" s="741"/>
      <c r="KHV450" s="741"/>
      <c r="KHW450" s="741"/>
      <c r="KHX450" s="741"/>
      <c r="KHY450" s="741"/>
      <c r="KHZ450" s="741"/>
      <c r="KIA450" s="741"/>
      <c r="KIB450" s="741"/>
      <c r="KIC450" s="741"/>
      <c r="KID450" s="741"/>
      <c r="KIE450" s="741"/>
      <c r="KIF450" s="741"/>
      <c r="KIG450" s="741"/>
      <c r="KIH450" s="741"/>
      <c r="KII450" s="741"/>
      <c r="KIJ450" s="741"/>
      <c r="KIK450" s="741"/>
      <c r="KIL450" s="741"/>
      <c r="KIM450" s="741"/>
      <c r="KIN450" s="741"/>
      <c r="KIO450" s="741"/>
      <c r="KIP450" s="741"/>
      <c r="KIQ450" s="741"/>
      <c r="KIR450" s="741"/>
      <c r="KIS450" s="741"/>
      <c r="KIT450" s="741"/>
      <c r="KIU450" s="741"/>
      <c r="KIV450" s="741"/>
      <c r="KIW450" s="741"/>
      <c r="KIX450" s="741"/>
      <c r="KIY450" s="741"/>
      <c r="KIZ450" s="741"/>
      <c r="KJA450" s="741"/>
      <c r="KJB450" s="741"/>
      <c r="KJC450" s="741"/>
      <c r="KJD450" s="741"/>
      <c r="KJE450" s="741"/>
      <c r="KJF450" s="741"/>
      <c r="KJG450" s="741"/>
      <c r="KJH450" s="741"/>
      <c r="KJI450" s="741"/>
      <c r="KJJ450" s="741"/>
      <c r="KJK450" s="741"/>
      <c r="KJL450" s="741"/>
      <c r="KJM450" s="741"/>
      <c r="KJN450" s="741"/>
      <c r="KJO450" s="741"/>
      <c r="KJP450" s="741"/>
      <c r="KJQ450" s="741"/>
      <c r="KJR450" s="741"/>
      <c r="KJS450" s="741"/>
      <c r="KJT450" s="741"/>
      <c r="KJU450" s="741"/>
      <c r="KJV450" s="741"/>
      <c r="KJW450" s="741"/>
      <c r="KJX450" s="741"/>
      <c r="KJY450" s="741"/>
      <c r="KJZ450" s="741"/>
      <c r="KKA450" s="741"/>
      <c r="KKB450" s="741"/>
      <c r="KKC450" s="741"/>
      <c r="KKD450" s="741"/>
      <c r="KKE450" s="741"/>
      <c r="KKF450" s="741"/>
      <c r="KKG450" s="741"/>
      <c r="KKH450" s="741"/>
      <c r="KKI450" s="741"/>
      <c r="KKJ450" s="741"/>
      <c r="KKK450" s="741"/>
      <c r="KKL450" s="741"/>
      <c r="KKM450" s="741"/>
      <c r="KKN450" s="741"/>
      <c r="KKO450" s="741"/>
      <c r="KKP450" s="741"/>
      <c r="KKQ450" s="741"/>
      <c r="KKR450" s="741"/>
      <c r="KKS450" s="741"/>
      <c r="KKT450" s="741"/>
      <c r="KKU450" s="741"/>
      <c r="KKV450" s="741"/>
      <c r="KKW450" s="741"/>
      <c r="KKX450" s="741"/>
      <c r="KKY450" s="741"/>
      <c r="KKZ450" s="741"/>
      <c r="KLA450" s="741"/>
      <c r="KLB450" s="741"/>
      <c r="KLC450" s="741"/>
      <c r="KLD450" s="741"/>
      <c r="KLE450" s="741"/>
      <c r="KLF450" s="741"/>
      <c r="KLG450" s="741"/>
      <c r="KLH450" s="741"/>
      <c r="KLI450" s="741"/>
      <c r="KLJ450" s="741"/>
      <c r="KLK450" s="741"/>
      <c r="KLL450" s="741"/>
      <c r="KLM450" s="741"/>
      <c r="KLN450" s="741"/>
      <c r="KLO450" s="741"/>
      <c r="KLP450" s="741"/>
      <c r="KLQ450" s="741"/>
      <c r="KLR450" s="741"/>
      <c r="KLS450" s="741"/>
      <c r="KLT450" s="741"/>
      <c r="KLU450" s="741"/>
      <c r="KLV450" s="741"/>
      <c r="KLW450" s="741"/>
      <c r="KLX450" s="741"/>
      <c r="KLY450" s="741"/>
      <c r="KLZ450" s="741"/>
      <c r="KMA450" s="741"/>
      <c r="KMB450" s="741"/>
      <c r="KMC450" s="741"/>
      <c r="KMD450" s="741"/>
      <c r="KME450" s="741"/>
      <c r="KMF450" s="741"/>
      <c r="KMG450" s="741"/>
      <c r="KMH450" s="741"/>
      <c r="KMI450" s="741"/>
      <c r="KMJ450" s="741"/>
      <c r="KMK450" s="741"/>
      <c r="KML450" s="741"/>
      <c r="KMM450" s="741"/>
      <c r="KMN450" s="741"/>
      <c r="KMO450" s="741"/>
      <c r="KMP450" s="741"/>
      <c r="KMQ450" s="741"/>
      <c r="KMR450" s="741"/>
      <c r="KMS450" s="741"/>
      <c r="KMT450" s="741"/>
      <c r="KMU450" s="741"/>
      <c r="KMV450" s="741"/>
      <c r="KMW450" s="741"/>
      <c r="KMX450" s="741"/>
      <c r="KMY450" s="741"/>
      <c r="KMZ450" s="741"/>
      <c r="KNA450" s="741"/>
      <c r="KNB450" s="741"/>
      <c r="KNC450" s="741"/>
      <c r="KND450" s="741"/>
      <c r="KNE450" s="741"/>
      <c r="KNF450" s="741"/>
      <c r="KNG450" s="741"/>
      <c r="KNH450" s="741"/>
      <c r="KNI450" s="741"/>
      <c r="KNJ450" s="741"/>
      <c r="KNK450" s="741"/>
      <c r="KNL450" s="741"/>
      <c r="KNM450" s="741"/>
      <c r="KNN450" s="741"/>
      <c r="KNO450" s="741"/>
      <c r="KNP450" s="741"/>
      <c r="KNQ450" s="741"/>
      <c r="KNR450" s="741"/>
      <c r="KNS450" s="741"/>
      <c r="KNT450" s="741"/>
      <c r="KNU450" s="741"/>
      <c r="KNV450" s="741"/>
      <c r="KNW450" s="741"/>
      <c r="KNX450" s="741"/>
      <c r="KNY450" s="741"/>
      <c r="KNZ450" s="741"/>
      <c r="KOA450" s="741"/>
      <c r="KOB450" s="741"/>
      <c r="KOC450" s="741"/>
      <c r="KOD450" s="741"/>
      <c r="KOE450" s="741"/>
      <c r="KOF450" s="741"/>
      <c r="KOG450" s="741"/>
      <c r="KOH450" s="741"/>
      <c r="KOI450" s="741"/>
      <c r="KOJ450" s="741"/>
      <c r="KOK450" s="741"/>
      <c r="KOL450" s="741"/>
      <c r="KOM450" s="741"/>
      <c r="KON450" s="741"/>
      <c r="KOO450" s="741"/>
      <c r="KOP450" s="741"/>
      <c r="KOQ450" s="741"/>
      <c r="KOR450" s="741"/>
      <c r="KOS450" s="741"/>
      <c r="KOT450" s="741"/>
      <c r="KOU450" s="741"/>
      <c r="KOV450" s="741"/>
      <c r="KOW450" s="741"/>
      <c r="KOX450" s="741"/>
      <c r="KOY450" s="741"/>
      <c r="KOZ450" s="741"/>
      <c r="KPA450" s="741"/>
      <c r="KPB450" s="741"/>
      <c r="KPC450" s="741"/>
      <c r="KPD450" s="741"/>
      <c r="KPE450" s="741"/>
      <c r="KPF450" s="741"/>
      <c r="KPG450" s="741"/>
      <c r="KPH450" s="741"/>
      <c r="KPI450" s="741"/>
      <c r="KPJ450" s="741"/>
      <c r="KPK450" s="741"/>
      <c r="KPL450" s="741"/>
      <c r="KPM450" s="741"/>
      <c r="KPN450" s="741"/>
      <c r="KPO450" s="741"/>
      <c r="KPP450" s="741"/>
      <c r="KPQ450" s="741"/>
      <c r="KPR450" s="741"/>
      <c r="KPS450" s="741"/>
      <c r="KPT450" s="741"/>
      <c r="KPU450" s="741"/>
      <c r="KPV450" s="741"/>
      <c r="KPW450" s="741"/>
      <c r="KPX450" s="741"/>
      <c r="KPY450" s="741"/>
      <c r="KPZ450" s="741"/>
      <c r="KQA450" s="741"/>
      <c r="KQB450" s="741"/>
      <c r="KQC450" s="741"/>
      <c r="KQD450" s="741"/>
      <c r="KQE450" s="741"/>
      <c r="KQF450" s="741"/>
      <c r="KQG450" s="741"/>
      <c r="KQH450" s="741"/>
      <c r="KQI450" s="741"/>
      <c r="KQJ450" s="741"/>
      <c r="KQK450" s="741"/>
      <c r="KQL450" s="741"/>
      <c r="KQM450" s="741"/>
      <c r="KQN450" s="741"/>
      <c r="KQO450" s="741"/>
      <c r="KQP450" s="741"/>
      <c r="KQQ450" s="741"/>
      <c r="KQR450" s="741"/>
      <c r="KQS450" s="741"/>
      <c r="KQT450" s="741"/>
      <c r="KQU450" s="741"/>
      <c r="KQV450" s="741"/>
      <c r="KQW450" s="741"/>
      <c r="KQX450" s="741"/>
      <c r="KQY450" s="741"/>
      <c r="KQZ450" s="741"/>
      <c r="KRA450" s="741"/>
      <c r="KRB450" s="741"/>
      <c r="KRC450" s="741"/>
      <c r="KRD450" s="741"/>
      <c r="KRE450" s="741"/>
      <c r="KRF450" s="741"/>
      <c r="KRG450" s="741"/>
      <c r="KRH450" s="741"/>
      <c r="KRI450" s="741"/>
      <c r="KRJ450" s="741"/>
      <c r="KRK450" s="741"/>
      <c r="KRL450" s="741"/>
      <c r="KRM450" s="741"/>
      <c r="KRN450" s="741"/>
      <c r="KRO450" s="741"/>
      <c r="KRP450" s="741"/>
      <c r="KRQ450" s="741"/>
      <c r="KRR450" s="741"/>
      <c r="KRS450" s="741"/>
      <c r="KRT450" s="741"/>
      <c r="KRU450" s="741"/>
      <c r="KRV450" s="741"/>
      <c r="KRW450" s="741"/>
      <c r="KRX450" s="741"/>
      <c r="KRY450" s="741"/>
      <c r="KRZ450" s="741"/>
      <c r="KSA450" s="741"/>
      <c r="KSB450" s="741"/>
      <c r="KSC450" s="741"/>
      <c r="KSD450" s="741"/>
      <c r="KSE450" s="741"/>
      <c r="KSF450" s="741"/>
      <c r="KSG450" s="741"/>
      <c r="KSH450" s="741"/>
      <c r="KSI450" s="741"/>
      <c r="KSJ450" s="741"/>
      <c r="KSK450" s="741"/>
      <c r="KSL450" s="741"/>
      <c r="KSM450" s="741"/>
      <c r="KSN450" s="741"/>
      <c r="KSO450" s="741"/>
      <c r="KSP450" s="741"/>
      <c r="KSQ450" s="741"/>
      <c r="KSR450" s="741"/>
      <c r="KSS450" s="741"/>
      <c r="KST450" s="741"/>
      <c r="KSU450" s="741"/>
      <c r="KSV450" s="741"/>
      <c r="KSW450" s="741"/>
      <c r="KSX450" s="741"/>
      <c r="KSY450" s="741"/>
      <c r="KSZ450" s="741"/>
      <c r="KTA450" s="741"/>
      <c r="KTB450" s="741"/>
      <c r="KTC450" s="741"/>
      <c r="KTD450" s="741"/>
      <c r="KTE450" s="741"/>
      <c r="KTF450" s="741"/>
      <c r="KTG450" s="741"/>
      <c r="KTH450" s="741"/>
      <c r="KTI450" s="741"/>
      <c r="KTJ450" s="741"/>
      <c r="KTK450" s="741"/>
      <c r="KTL450" s="741"/>
      <c r="KTM450" s="741"/>
      <c r="KTN450" s="741"/>
      <c r="KTO450" s="741"/>
      <c r="KTP450" s="741"/>
      <c r="KTQ450" s="741"/>
      <c r="KTR450" s="741"/>
      <c r="KTS450" s="741"/>
      <c r="KTT450" s="741"/>
      <c r="KTU450" s="741"/>
      <c r="KTV450" s="741"/>
      <c r="KTW450" s="741"/>
      <c r="KTX450" s="741"/>
      <c r="KTY450" s="741"/>
      <c r="KTZ450" s="741"/>
      <c r="KUA450" s="741"/>
      <c r="KUB450" s="741"/>
      <c r="KUC450" s="741"/>
      <c r="KUD450" s="741"/>
      <c r="KUE450" s="741"/>
      <c r="KUF450" s="741"/>
      <c r="KUG450" s="741"/>
      <c r="KUH450" s="741"/>
      <c r="KUI450" s="741"/>
      <c r="KUJ450" s="741"/>
      <c r="KUK450" s="741"/>
      <c r="KUL450" s="741"/>
      <c r="KUM450" s="741"/>
      <c r="KUN450" s="741"/>
      <c r="KUO450" s="741"/>
      <c r="KUP450" s="741"/>
      <c r="KUQ450" s="741"/>
      <c r="KUR450" s="741"/>
      <c r="KUS450" s="741"/>
      <c r="KUT450" s="741"/>
      <c r="KUU450" s="741"/>
      <c r="KUV450" s="741"/>
      <c r="KUW450" s="741"/>
      <c r="KUX450" s="741"/>
      <c r="KUY450" s="741"/>
      <c r="KUZ450" s="741"/>
      <c r="KVA450" s="741"/>
      <c r="KVB450" s="741"/>
      <c r="KVC450" s="741"/>
      <c r="KVD450" s="741"/>
      <c r="KVE450" s="741"/>
      <c r="KVF450" s="741"/>
      <c r="KVG450" s="741"/>
      <c r="KVH450" s="741"/>
      <c r="KVI450" s="741"/>
      <c r="KVJ450" s="741"/>
      <c r="KVK450" s="741"/>
      <c r="KVL450" s="741"/>
      <c r="KVM450" s="741"/>
      <c r="KVN450" s="741"/>
      <c r="KVO450" s="741"/>
      <c r="KVP450" s="741"/>
      <c r="KVQ450" s="741"/>
      <c r="KVR450" s="741"/>
      <c r="KVS450" s="741"/>
      <c r="KVT450" s="741"/>
      <c r="KVU450" s="741"/>
      <c r="KVV450" s="741"/>
      <c r="KVW450" s="741"/>
      <c r="KVX450" s="741"/>
      <c r="KVY450" s="741"/>
      <c r="KVZ450" s="741"/>
      <c r="KWA450" s="741"/>
      <c r="KWB450" s="741"/>
      <c r="KWC450" s="741"/>
      <c r="KWD450" s="741"/>
      <c r="KWE450" s="741"/>
      <c r="KWF450" s="741"/>
      <c r="KWG450" s="741"/>
      <c r="KWH450" s="741"/>
      <c r="KWI450" s="741"/>
      <c r="KWJ450" s="741"/>
      <c r="KWK450" s="741"/>
      <c r="KWL450" s="741"/>
      <c r="KWM450" s="741"/>
      <c r="KWN450" s="741"/>
      <c r="KWO450" s="741"/>
      <c r="KWP450" s="741"/>
      <c r="KWQ450" s="741"/>
      <c r="KWR450" s="741"/>
      <c r="KWS450" s="741"/>
      <c r="KWT450" s="741"/>
      <c r="KWU450" s="741"/>
      <c r="KWV450" s="741"/>
      <c r="KWW450" s="741"/>
      <c r="KWX450" s="741"/>
      <c r="KWY450" s="741"/>
      <c r="KWZ450" s="741"/>
      <c r="KXA450" s="741"/>
      <c r="KXB450" s="741"/>
      <c r="KXC450" s="741"/>
      <c r="KXD450" s="741"/>
      <c r="KXE450" s="741"/>
      <c r="KXF450" s="741"/>
      <c r="KXG450" s="741"/>
      <c r="KXH450" s="741"/>
      <c r="KXI450" s="741"/>
      <c r="KXJ450" s="741"/>
      <c r="KXK450" s="741"/>
      <c r="KXL450" s="741"/>
      <c r="KXM450" s="741"/>
      <c r="KXN450" s="741"/>
      <c r="KXO450" s="741"/>
      <c r="KXP450" s="741"/>
      <c r="KXQ450" s="741"/>
      <c r="KXR450" s="741"/>
      <c r="KXS450" s="741"/>
      <c r="KXT450" s="741"/>
      <c r="KXU450" s="741"/>
      <c r="KXV450" s="741"/>
      <c r="KXW450" s="741"/>
      <c r="KXX450" s="741"/>
      <c r="KXY450" s="741"/>
      <c r="KXZ450" s="741"/>
      <c r="KYA450" s="741"/>
      <c r="KYB450" s="741"/>
      <c r="KYC450" s="741"/>
      <c r="KYD450" s="741"/>
      <c r="KYE450" s="741"/>
      <c r="KYF450" s="741"/>
      <c r="KYG450" s="741"/>
      <c r="KYH450" s="741"/>
      <c r="KYI450" s="741"/>
      <c r="KYJ450" s="741"/>
      <c r="KYK450" s="741"/>
      <c r="KYL450" s="741"/>
      <c r="KYM450" s="741"/>
      <c r="KYN450" s="741"/>
      <c r="KYO450" s="741"/>
      <c r="KYP450" s="741"/>
      <c r="KYQ450" s="741"/>
      <c r="KYR450" s="741"/>
      <c r="KYS450" s="741"/>
      <c r="KYT450" s="741"/>
      <c r="KYU450" s="741"/>
      <c r="KYV450" s="741"/>
      <c r="KYW450" s="741"/>
      <c r="KYX450" s="741"/>
      <c r="KYY450" s="741"/>
      <c r="KYZ450" s="741"/>
      <c r="KZA450" s="741"/>
      <c r="KZB450" s="741"/>
      <c r="KZC450" s="741"/>
      <c r="KZD450" s="741"/>
      <c r="KZE450" s="741"/>
      <c r="KZF450" s="741"/>
      <c r="KZG450" s="741"/>
      <c r="KZH450" s="741"/>
      <c r="KZI450" s="741"/>
      <c r="KZJ450" s="741"/>
      <c r="KZK450" s="741"/>
      <c r="KZL450" s="741"/>
      <c r="KZM450" s="741"/>
      <c r="KZN450" s="741"/>
      <c r="KZO450" s="741"/>
      <c r="KZP450" s="741"/>
      <c r="KZQ450" s="741"/>
      <c r="KZR450" s="741"/>
      <c r="KZS450" s="741"/>
      <c r="KZT450" s="741"/>
      <c r="KZU450" s="741"/>
      <c r="KZV450" s="741"/>
      <c r="KZW450" s="741"/>
      <c r="KZX450" s="741"/>
      <c r="KZY450" s="741"/>
      <c r="KZZ450" s="741"/>
      <c r="LAA450" s="741"/>
      <c r="LAB450" s="741"/>
      <c r="LAC450" s="741"/>
      <c r="LAD450" s="741"/>
      <c r="LAE450" s="741"/>
      <c r="LAF450" s="741"/>
      <c r="LAG450" s="741"/>
      <c r="LAH450" s="741"/>
      <c r="LAI450" s="741"/>
      <c r="LAJ450" s="741"/>
      <c r="LAK450" s="741"/>
      <c r="LAL450" s="741"/>
      <c r="LAM450" s="741"/>
      <c r="LAN450" s="741"/>
      <c r="LAO450" s="741"/>
      <c r="LAP450" s="741"/>
      <c r="LAQ450" s="741"/>
      <c r="LAR450" s="741"/>
      <c r="LAS450" s="741"/>
      <c r="LAT450" s="741"/>
      <c r="LAU450" s="741"/>
      <c r="LAV450" s="741"/>
      <c r="LAW450" s="741"/>
      <c r="LAX450" s="741"/>
      <c r="LAY450" s="741"/>
      <c r="LAZ450" s="741"/>
      <c r="LBA450" s="741"/>
      <c r="LBB450" s="741"/>
      <c r="LBC450" s="741"/>
      <c r="LBD450" s="741"/>
      <c r="LBE450" s="741"/>
      <c r="LBF450" s="741"/>
      <c r="LBG450" s="741"/>
      <c r="LBH450" s="741"/>
      <c r="LBI450" s="741"/>
      <c r="LBJ450" s="741"/>
      <c r="LBK450" s="741"/>
      <c r="LBL450" s="741"/>
      <c r="LBM450" s="741"/>
      <c r="LBN450" s="741"/>
      <c r="LBO450" s="741"/>
      <c r="LBP450" s="741"/>
      <c r="LBQ450" s="741"/>
      <c r="LBR450" s="741"/>
      <c r="LBS450" s="741"/>
      <c r="LBT450" s="741"/>
      <c r="LBU450" s="741"/>
      <c r="LBV450" s="741"/>
      <c r="LBW450" s="741"/>
      <c r="LBX450" s="741"/>
      <c r="LBY450" s="741"/>
      <c r="LBZ450" s="741"/>
      <c r="LCA450" s="741"/>
      <c r="LCB450" s="741"/>
      <c r="LCC450" s="741"/>
      <c r="LCD450" s="741"/>
      <c r="LCE450" s="741"/>
      <c r="LCF450" s="741"/>
      <c r="LCG450" s="741"/>
      <c r="LCH450" s="741"/>
      <c r="LCI450" s="741"/>
      <c r="LCJ450" s="741"/>
      <c r="LCK450" s="741"/>
      <c r="LCL450" s="741"/>
      <c r="LCM450" s="741"/>
      <c r="LCN450" s="741"/>
      <c r="LCO450" s="741"/>
      <c r="LCP450" s="741"/>
      <c r="LCQ450" s="741"/>
      <c r="LCR450" s="741"/>
      <c r="LCS450" s="741"/>
      <c r="LCT450" s="741"/>
      <c r="LCU450" s="741"/>
      <c r="LCV450" s="741"/>
      <c r="LCW450" s="741"/>
      <c r="LCX450" s="741"/>
      <c r="LCY450" s="741"/>
      <c r="LCZ450" s="741"/>
      <c r="LDA450" s="741"/>
      <c r="LDB450" s="741"/>
      <c r="LDC450" s="741"/>
      <c r="LDD450" s="741"/>
      <c r="LDE450" s="741"/>
      <c r="LDF450" s="741"/>
      <c r="LDG450" s="741"/>
      <c r="LDH450" s="741"/>
      <c r="LDI450" s="741"/>
      <c r="LDJ450" s="741"/>
      <c r="LDK450" s="741"/>
      <c r="LDL450" s="741"/>
      <c r="LDM450" s="741"/>
      <c r="LDN450" s="741"/>
      <c r="LDO450" s="741"/>
      <c r="LDP450" s="741"/>
      <c r="LDQ450" s="741"/>
      <c r="LDR450" s="741"/>
      <c r="LDS450" s="741"/>
      <c r="LDT450" s="741"/>
      <c r="LDU450" s="741"/>
      <c r="LDV450" s="741"/>
      <c r="LDW450" s="741"/>
      <c r="LDX450" s="741"/>
      <c r="LDY450" s="741"/>
      <c r="LDZ450" s="741"/>
      <c r="LEA450" s="741"/>
      <c r="LEB450" s="741"/>
      <c r="LEC450" s="741"/>
      <c r="LED450" s="741"/>
      <c r="LEE450" s="741"/>
      <c r="LEF450" s="741"/>
      <c r="LEG450" s="741"/>
      <c r="LEH450" s="741"/>
      <c r="LEI450" s="741"/>
      <c r="LEJ450" s="741"/>
      <c r="LEK450" s="741"/>
      <c r="LEL450" s="741"/>
      <c r="LEM450" s="741"/>
      <c r="LEN450" s="741"/>
      <c r="LEO450" s="741"/>
      <c r="LEP450" s="741"/>
      <c r="LEQ450" s="741"/>
      <c r="LER450" s="741"/>
      <c r="LES450" s="741"/>
      <c r="LET450" s="741"/>
      <c r="LEU450" s="741"/>
      <c r="LEV450" s="741"/>
      <c r="LEW450" s="741"/>
      <c r="LEX450" s="741"/>
      <c r="LEY450" s="741"/>
      <c r="LEZ450" s="741"/>
      <c r="LFA450" s="741"/>
      <c r="LFB450" s="741"/>
      <c r="LFC450" s="741"/>
      <c r="LFD450" s="741"/>
      <c r="LFE450" s="741"/>
      <c r="LFF450" s="741"/>
      <c r="LFG450" s="741"/>
      <c r="LFH450" s="741"/>
      <c r="LFI450" s="741"/>
      <c r="LFJ450" s="741"/>
      <c r="LFK450" s="741"/>
      <c r="LFL450" s="741"/>
      <c r="LFM450" s="741"/>
      <c r="LFN450" s="741"/>
      <c r="LFO450" s="741"/>
      <c r="LFP450" s="741"/>
      <c r="LFQ450" s="741"/>
      <c r="LFR450" s="741"/>
      <c r="LFS450" s="741"/>
      <c r="LFT450" s="741"/>
      <c r="LFU450" s="741"/>
      <c r="LFV450" s="741"/>
      <c r="LFW450" s="741"/>
      <c r="LFX450" s="741"/>
      <c r="LFY450" s="741"/>
      <c r="LFZ450" s="741"/>
      <c r="LGA450" s="741"/>
      <c r="LGB450" s="741"/>
      <c r="LGC450" s="741"/>
      <c r="LGD450" s="741"/>
      <c r="LGE450" s="741"/>
      <c r="LGF450" s="741"/>
      <c r="LGG450" s="741"/>
      <c r="LGH450" s="741"/>
      <c r="LGI450" s="741"/>
      <c r="LGJ450" s="741"/>
      <c r="LGK450" s="741"/>
      <c r="LGL450" s="741"/>
      <c r="LGM450" s="741"/>
      <c r="LGN450" s="741"/>
      <c r="LGO450" s="741"/>
      <c r="LGP450" s="741"/>
      <c r="LGQ450" s="741"/>
      <c r="LGR450" s="741"/>
      <c r="LGS450" s="741"/>
      <c r="LGT450" s="741"/>
      <c r="LGU450" s="741"/>
      <c r="LGV450" s="741"/>
      <c r="LGW450" s="741"/>
      <c r="LGX450" s="741"/>
      <c r="LGY450" s="741"/>
      <c r="LGZ450" s="741"/>
      <c r="LHA450" s="741"/>
      <c r="LHB450" s="741"/>
      <c r="LHC450" s="741"/>
      <c r="LHD450" s="741"/>
      <c r="LHE450" s="741"/>
      <c r="LHF450" s="741"/>
      <c r="LHG450" s="741"/>
      <c r="LHH450" s="741"/>
      <c r="LHI450" s="741"/>
      <c r="LHJ450" s="741"/>
      <c r="LHK450" s="741"/>
      <c r="LHL450" s="741"/>
      <c r="LHM450" s="741"/>
      <c r="LHN450" s="741"/>
      <c r="LHO450" s="741"/>
      <c r="LHP450" s="741"/>
      <c r="LHQ450" s="741"/>
      <c r="LHR450" s="741"/>
      <c r="LHS450" s="741"/>
      <c r="LHT450" s="741"/>
      <c r="LHU450" s="741"/>
      <c r="LHV450" s="741"/>
      <c r="LHW450" s="741"/>
      <c r="LHX450" s="741"/>
      <c r="LHY450" s="741"/>
      <c r="LHZ450" s="741"/>
      <c r="LIA450" s="741"/>
      <c r="LIB450" s="741"/>
      <c r="LIC450" s="741"/>
      <c r="LID450" s="741"/>
      <c r="LIE450" s="741"/>
      <c r="LIF450" s="741"/>
      <c r="LIG450" s="741"/>
      <c r="LIH450" s="741"/>
      <c r="LII450" s="741"/>
      <c r="LIJ450" s="741"/>
      <c r="LIK450" s="741"/>
      <c r="LIL450" s="741"/>
      <c r="LIM450" s="741"/>
      <c r="LIN450" s="741"/>
      <c r="LIO450" s="741"/>
      <c r="LIP450" s="741"/>
      <c r="LIQ450" s="741"/>
      <c r="LIR450" s="741"/>
      <c r="LIS450" s="741"/>
      <c r="LIT450" s="741"/>
      <c r="LIU450" s="741"/>
      <c r="LIV450" s="741"/>
      <c r="LIW450" s="741"/>
      <c r="LIX450" s="741"/>
      <c r="LIY450" s="741"/>
      <c r="LIZ450" s="741"/>
      <c r="LJA450" s="741"/>
      <c r="LJB450" s="741"/>
      <c r="LJC450" s="741"/>
      <c r="LJD450" s="741"/>
      <c r="LJE450" s="741"/>
      <c r="LJF450" s="741"/>
      <c r="LJG450" s="741"/>
      <c r="LJH450" s="741"/>
      <c r="LJI450" s="741"/>
      <c r="LJJ450" s="741"/>
      <c r="LJK450" s="741"/>
      <c r="LJL450" s="741"/>
      <c r="LJM450" s="741"/>
      <c r="LJN450" s="741"/>
      <c r="LJO450" s="741"/>
      <c r="LJP450" s="741"/>
      <c r="LJQ450" s="741"/>
      <c r="LJR450" s="741"/>
      <c r="LJS450" s="741"/>
      <c r="LJT450" s="741"/>
      <c r="LJU450" s="741"/>
      <c r="LJV450" s="741"/>
      <c r="LJW450" s="741"/>
      <c r="LJX450" s="741"/>
      <c r="LJY450" s="741"/>
      <c r="LJZ450" s="741"/>
      <c r="LKA450" s="741"/>
      <c r="LKB450" s="741"/>
      <c r="LKC450" s="741"/>
      <c r="LKD450" s="741"/>
      <c r="LKE450" s="741"/>
      <c r="LKF450" s="741"/>
      <c r="LKG450" s="741"/>
      <c r="LKH450" s="741"/>
      <c r="LKI450" s="741"/>
      <c r="LKJ450" s="741"/>
      <c r="LKK450" s="741"/>
      <c r="LKL450" s="741"/>
      <c r="LKM450" s="741"/>
      <c r="LKN450" s="741"/>
      <c r="LKO450" s="741"/>
      <c r="LKP450" s="741"/>
      <c r="LKQ450" s="741"/>
      <c r="LKR450" s="741"/>
      <c r="LKS450" s="741"/>
      <c r="LKT450" s="741"/>
      <c r="LKU450" s="741"/>
      <c r="LKV450" s="741"/>
      <c r="LKW450" s="741"/>
      <c r="LKX450" s="741"/>
      <c r="LKY450" s="741"/>
      <c r="LKZ450" s="741"/>
      <c r="LLA450" s="741"/>
      <c r="LLB450" s="741"/>
      <c r="LLC450" s="741"/>
      <c r="LLD450" s="741"/>
      <c r="LLE450" s="741"/>
      <c r="LLF450" s="741"/>
      <c r="LLG450" s="741"/>
      <c r="LLH450" s="741"/>
      <c r="LLI450" s="741"/>
      <c r="LLJ450" s="741"/>
      <c r="LLK450" s="741"/>
      <c r="LLL450" s="741"/>
      <c r="LLM450" s="741"/>
      <c r="LLN450" s="741"/>
      <c r="LLO450" s="741"/>
      <c r="LLP450" s="741"/>
      <c r="LLQ450" s="741"/>
      <c r="LLR450" s="741"/>
      <c r="LLS450" s="741"/>
      <c r="LLT450" s="741"/>
      <c r="LLU450" s="741"/>
      <c r="LLV450" s="741"/>
      <c r="LLW450" s="741"/>
      <c r="LLX450" s="741"/>
      <c r="LLY450" s="741"/>
      <c r="LLZ450" s="741"/>
      <c r="LMA450" s="741"/>
      <c r="LMB450" s="741"/>
      <c r="LMC450" s="741"/>
      <c r="LMD450" s="741"/>
      <c r="LME450" s="741"/>
      <c r="LMF450" s="741"/>
      <c r="LMG450" s="741"/>
      <c r="LMH450" s="741"/>
      <c r="LMI450" s="741"/>
      <c r="LMJ450" s="741"/>
      <c r="LMK450" s="741"/>
      <c r="LML450" s="741"/>
      <c r="LMM450" s="741"/>
      <c r="LMN450" s="741"/>
      <c r="LMO450" s="741"/>
      <c r="LMP450" s="741"/>
      <c r="LMQ450" s="741"/>
      <c r="LMR450" s="741"/>
      <c r="LMS450" s="741"/>
      <c r="LMT450" s="741"/>
      <c r="LMU450" s="741"/>
      <c r="LMV450" s="741"/>
      <c r="LMW450" s="741"/>
      <c r="LMX450" s="741"/>
      <c r="LMY450" s="741"/>
      <c r="LMZ450" s="741"/>
      <c r="LNA450" s="741"/>
      <c r="LNB450" s="741"/>
      <c r="LNC450" s="741"/>
      <c r="LND450" s="741"/>
      <c r="LNE450" s="741"/>
      <c r="LNF450" s="741"/>
      <c r="LNG450" s="741"/>
      <c r="LNH450" s="741"/>
      <c r="LNI450" s="741"/>
      <c r="LNJ450" s="741"/>
      <c r="LNK450" s="741"/>
      <c r="LNL450" s="741"/>
      <c r="LNM450" s="741"/>
      <c r="LNN450" s="741"/>
      <c r="LNO450" s="741"/>
      <c r="LNP450" s="741"/>
      <c r="LNQ450" s="741"/>
      <c r="LNR450" s="741"/>
      <c r="LNS450" s="741"/>
      <c r="LNT450" s="741"/>
      <c r="LNU450" s="741"/>
      <c r="LNV450" s="741"/>
      <c r="LNW450" s="741"/>
      <c r="LNX450" s="741"/>
      <c r="LNY450" s="741"/>
      <c r="LNZ450" s="741"/>
      <c r="LOA450" s="741"/>
      <c r="LOB450" s="741"/>
      <c r="LOC450" s="741"/>
      <c r="LOD450" s="741"/>
      <c r="LOE450" s="741"/>
      <c r="LOF450" s="741"/>
      <c r="LOG450" s="741"/>
      <c r="LOH450" s="741"/>
      <c r="LOI450" s="741"/>
      <c r="LOJ450" s="741"/>
      <c r="LOK450" s="741"/>
      <c r="LOL450" s="741"/>
      <c r="LOM450" s="741"/>
      <c r="LON450" s="741"/>
      <c r="LOO450" s="741"/>
      <c r="LOP450" s="741"/>
      <c r="LOQ450" s="741"/>
      <c r="LOR450" s="741"/>
      <c r="LOS450" s="741"/>
      <c r="LOT450" s="741"/>
      <c r="LOU450" s="741"/>
      <c r="LOV450" s="741"/>
      <c r="LOW450" s="741"/>
      <c r="LOX450" s="741"/>
      <c r="LOY450" s="741"/>
      <c r="LOZ450" s="741"/>
      <c r="LPA450" s="741"/>
      <c r="LPB450" s="741"/>
      <c r="LPC450" s="741"/>
      <c r="LPD450" s="741"/>
      <c r="LPE450" s="741"/>
      <c r="LPF450" s="741"/>
      <c r="LPG450" s="741"/>
      <c r="LPH450" s="741"/>
      <c r="LPI450" s="741"/>
      <c r="LPJ450" s="741"/>
      <c r="LPK450" s="741"/>
      <c r="LPL450" s="741"/>
      <c r="LPM450" s="741"/>
      <c r="LPN450" s="741"/>
      <c r="LPO450" s="741"/>
      <c r="LPP450" s="741"/>
      <c r="LPQ450" s="741"/>
      <c r="LPR450" s="741"/>
      <c r="LPS450" s="741"/>
      <c r="LPT450" s="741"/>
      <c r="LPU450" s="741"/>
      <c r="LPV450" s="741"/>
      <c r="LPW450" s="741"/>
      <c r="LPX450" s="741"/>
      <c r="LPY450" s="741"/>
      <c r="LPZ450" s="741"/>
      <c r="LQA450" s="741"/>
      <c r="LQB450" s="741"/>
      <c r="LQC450" s="741"/>
      <c r="LQD450" s="741"/>
      <c r="LQE450" s="741"/>
      <c r="LQF450" s="741"/>
      <c r="LQG450" s="741"/>
      <c r="LQH450" s="741"/>
      <c r="LQI450" s="741"/>
      <c r="LQJ450" s="741"/>
      <c r="LQK450" s="741"/>
      <c r="LQL450" s="741"/>
      <c r="LQM450" s="741"/>
      <c r="LQN450" s="741"/>
      <c r="LQO450" s="741"/>
      <c r="LQP450" s="741"/>
      <c r="LQQ450" s="741"/>
      <c r="LQR450" s="741"/>
      <c r="LQS450" s="741"/>
      <c r="LQT450" s="741"/>
      <c r="LQU450" s="741"/>
      <c r="LQV450" s="741"/>
      <c r="LQW450" s="741"/>
      <c r="LQX450" s="741"/>
      <c r="LQY450" s="741"/>
      <c r="LQZ450" s="741"/>
      <c r="LRA450" s="741"/>
      <c r="LRB450" s="741"/>
      <c r="LRC450" s="741"/>
      <c r="LRD450" s="741"/>
      <c r="LRE450" s="741"/>
      <c r="LRF450" s="741"/>
      <c r="LRG450" s="741"/>
      <c r="LRH450" s="741"/>
      <c r="LRI450" s="741"/>
      <c r="LRJ450" s="741"/>
      <c r="LRK450" s="741"/>
      <c r="LRL450" s="741"/>
      <c r="LRM450" s="741"/>
      <c r="LRN450" s="741"/>
      <c r="LRO450" s="741"/>
      <c r="LRP450" s="741"/>
      <c r="LRQ450" s="741"/>
      <c r="LRR450" s="741"/>
      <c r="LRS450" s="741"/>
      <c r="LRT450" s="741"/>
      <c r="LRU450" s="741"/>
      <c r="LRV450" s="741"/>
      <c r="LRW450" s="741"/>
      <c r="LRX450" s="741"/>
      <c r="LRY450" s="741"/>
      <c r="LRZ450" s="741"/>
      <c r="LSA450" s="741"/>
      <c r="LSB450" s="741"/>
      <c r="LSC450" s="741"/>
      <c r="LSD450" s="741"/>
      <c r="LSE450" s="741"/>
      <c r="LSF450" s="741"/>
      <c r="LSG450" s="741"/>
      <c r="LSH450" s="741"/>
      <c r="LSI450" s="741"/>
      <c r="LSJ450" s="741"/>
      <c r="LSK450" s="741"/>
      <c r="LSL450" s="741"/>
      <c r="LSM450" s="741"/>
      <c r="LSN450" s="741"/>
      <c r="LSO450" s="741"/>
      <c r="LSP450" s="741"/>
      <c r="LSQ450" s="741"/>
      <c r="LSR450" s="741"/>
      <c r="LSS450" s="741"/>
      <c r="LST450" s="741"/>
      <c r="LSU450" s="741"/>
      <c r="LSV450" s="741"/>
      <c r="LSW450" s="741"/>
      <c r="LSX450" s="741"/>
      <c r="LSY450" s="741"/>
      <c r="LSZ450" s="741"/>
      <c r="LTA450" s="741"/>
      <c r="LTB450" s="741"/>
      <c r="LTC450" s="741"/>
      <c r="LTD450" s="741"/>
      <c r="LTE450" s="741"/>
      <c r="LTF450" s="741"/>
      <c r="LTG450" s="741"/>
      <c r="LTH450" s="741"/>
      <c r="LTI450" s="741"/>
      <c r="LTJ450" s="741"/>
      <c r="LTK450" s="741"/>
      <c r="LTL450" s="741"/>
      <c r="LTM450" s="741"/>
      <c r="LTN450" s="741"/>
      <c r="LTO450" s="741"/>
      <c r="LTP450" s="741"/>
      <c r="LTQ450" s="741"/>
      <c r="LTR450" s="741"/>
      <c r="LTS450" s="741"/>
      <c r="LTT450" s="741"/>
      <c r="LTU450" s="741"/>
      <c r="LTV450" s="741"/>
      <c r="LTW450" s="741"/>
      <c r="LTX450" s="741"/>
      <c r="LTY450" s="741"/>
      <c r="LTZ450" s="741"/>
      <c r="LUA450" s="741"/>
      <c r="LUB450" s="741"/>
      <c r="LUC450" s="741"/>
      <c r="LUD450" s="741"/>
      <c r="LUE450" s="741"/>
      <c r="LUF450" s="741"/>
      <c r="LUG450" s="741"/>
      <c r="LUH450" s="741"/>
      <c r="LUI450" s="741"/>
      <c r="LUJ450" s="741"/>
      <c r="LUK450" s="741"/>
      <c r="LUL450" s="741"/>
      <c r="LUM450" s="741"/>
      <c r="LUN450" s="741"/>
      <c r="LUO450" s="741"/>
      <c r="LUP450" s="741"/>
      <c r="LUQ450" s="741"/>
      <c r="LUR450" s="741"/>
      <c r="LUS450" s="741"/>
      <c r="LUT450" s="741"/>
      <c r="LUU450" s="741"/>
      <c r="LUV450" s="741"/>
      <c r="LUW450" s="741"/>
      <c r="LUX450" s="741"/>
      <c r="LUY450" s="741"/>
      <c r="LUZ450" s="741"/>
      <c r="LVA450" s="741"/>
      <c r="LVB450" s="741"/>
      <c r="LVC450" s="741"/>
      <c r="LVD450" s="741"/>
      <c r="LVE450" s="741"/>
      <c r="LVF450" s="741"/>
      <c r="LVG450" s="741"/>
      <c r="LVH450" s="741"/>
      <c r="LVI450" s="741"/>
      <c r="LVJ450" s="741"/>
      <c r="LVK450" s="741"/>
      <c r="LVL450" s="741"/>
      <c r="LVM450" s="741"/>
      <c r="LVN450" s="741"/>
      <c r="LVO450" s="741"/>
      <c r="LVP450" s="741"/>
      <c r="LVQ450" s="741"/>
      <c r="LVR450" s="741"/>
      <c r="LVS450" s="741"/>
      <c r="LVT450" s="741"/>
      <c r="LVU450" s="741"/>
      <c r="LVV450" s="741"/>
      <c r="LVW450" s="741"/>
      <c r="LVX450" s="741"/>
      <c r="LVY450" s="741"/>
      <c r="LVZ450" s="741"/>
      <c r="LWA450" s="741"/>
      <c r="LWB450" s="741"/>
      <c r="LWC450" s="741"/>
      <c r="LWD450" s="741"/>
      <c r="LWE450" s="741"/>
      <c r="LWF450" s="741"/>
      <c r="LWG450" s="741"/>
      <c r="LWH450" s="741"/>
      <c r="LWI450" s="741"/>
      <c r="LWJ450" s="741"/>
      <c r="LWK450" s="741"/>
      <c r="LWL450" s="741"/>
      <c r="LWM450" s="741"/>
      <c r="LWN450" s="741"/>
      <c r="LWO450" s="741"/>
      <c r="LWP450" s="741"/>
      <c r="LWQ450" s="741"/>
      <c r="LWR450" s="741"/>
      <c r="LWS450" s="741"/>
      <c r="LWT450" s="741"/>
      <c r="LWU450" s="741"/>
      <c r="LWV450" s="741"/>
      <c r="LWW450" s="741"/>
      <c r="LWX450" s="741"/>
      <c r="LWY450" s="741"/>
      <c r="LWZ450" s="741"/>
      <c r="LXA450" s="741"/>
      <c r="LXB450" s="741"/>
      <c r="LXC450" s="741"/>
      <c r="LXD450" s="741"/>
      <c r="LXE450" s="741"/>
      <c r="LXF450" s="741"/>
      <c r="LXG450" s="741"/>
      <c r="LXH450" s="741"/>
      <c r="LXI450" s="741"/>
      <c r="LXJ450" s="741"/>
      <c r="LXK450" s="741"/>
      <c r="LXL450" s="741"/>
      <c r="LXM450" s="741"/>
      <c r="LXN450" s="741"/>
      <c r="LXO450" s="741"/>
      <c r="LXP450" s="741"/>
      <c r="LXQ450" s="741"/>
      <c r="LXR450" s="741"/>
      <c r="LXS450" s="741"/>
      <c r="LXT450" s="741"/>
      <c r="LXU450" s="741"/>
      <c r="LXV450" s="741"/>
      <c r="LXW450" s="741"/>
      <c r="LXX450" s="741"/>
      <c r="LXY450" s="741"/>
      <c r="LXZ450" s="741"/>
      <c r="LYA450" s="741"/>
      <c r="LYB450" s="741"/>
      <c r="LYC450" s="741"/>
      <c r="LYD450" s="741"/>
      <c r="LYE450" s="741"/>
      <c r="LYF450" s="741"/>
      <c r="LYG450" s="741"/>
      <c r="LYH450" s="741"/>
      <c r="LYI450" s="741"/>
      <c r="LYJ450" s="741"/>
      <c r="LYK450" s="741"/>
      <c r="LYL450" s="741"/>
      <c r="LYM450" s="741"/>
      <c r="LYN450" s="741"/>
      <c r="LYO450" s="741"/>
      <c r="LYP450" s="741"/>
      <c r="LYQ450" s="741"/>
      <c r="LYR450" s="741"/>
      <c r="LYS450" s="741"/>
      <c r="LYT450" s="741"/>
      <c r="LYU450" s="741"/>
      <c r="LYV450" s="741"/>
      <c r="LYW450" s="741"/>
      <c r="LYX450" s="741"/>
      <c r="LYY450" s="741"/>
      <c r="LYZ450" s="741"/>
      <c r="LZA450" s="741"/>
      <c r="LZB450" s="741"/>
      <c r="LZC450" s="741"/>
      <c r="LZD450" s="741"/>
      <c r="LZE450" s="741"/>
      <c r="LZF450" s="741"/>
      <c r="LZG450" s="741"/>
      <c r="LZH450" s="741"/>
      <c r="LZI450" s="741"/>
      <c r="LZJ450" s="741"/>
      <c r="LZK450" s="741"/>
      <c r="LZL450" s="741"/>
      <c r="LZM450" s="741"/>
      <c r="LZN450" s="741"/>
      <c r="LZO450" s="741"/>
      <c r="LZP450" s="741"/>
      <c r="LZQ450" s="741"/>
      <c r="LZR450" s="741"/>
      <c r="LZS450" s="741"/>
      <c r="LZT450" s="741"/>
      <c r="LZU450" s="741"/>
      <c r="LZV450" s="741"/>
      <c r="LZW450" s="741"/>
      <c r="LZX450" s="741"/>
      <c r="LZY450" s="741"/>
      <c r="LZZ450" s="741"/>
      <c r="MAA450" s="741"/>
      <c r="MAB450" s="741"/>
      <c r="MAC450" s="741"/>
      <c r="MAD450" s="741"/>
      <c r="MAE450" s="741"/>
      <c r="MAF450" s="741"/>
      <c r="MAG450" s="741"/>
      <c r="MAH450" s="741"/>
      <c r="MAI450" s="741"/>
      <c r="MAJ450" s="741"/>
      <c r="MAK450" s="741"/>
      <c r="MAL450" s="741"/>
      <c r="MAM450" s="741"/>
      <c r="MAN450" s="741"/>
      <c r="MAO450" s="741"/>
      <c r="MAP450" s="741"/>
      <c r="MAQ450" s="741"/>
      <c r="MAR450" s="741"/>
      <c r="MAS450" s="741"/>
      <c r="MAT450" s="741"/>
      <c r="MAU450" s="741"/>
      <c r="MAV450" s="741"/>
      <c r="MAW450" s="741"/>
      <c r="MAX450" s="741"/>
      <c r="MAY450" s="741"/>
      <c r="MAZ450" s="741"/>
      <c r="MBA450" s="741"/>
      <c r="MBB450" s="741"/>
      <c r="MBC450" s="741"/>
      <c r="MBD450" s="741"/>
      <c r="MBE450" s="741"/>
      <c r="MBF450" s="741"/>
      <c r="MBG450" s="741"/>
      <c r="MBH450" s="741"/>
      <c r="MBI450" s="741"/>
      <c r="MBJ450" s="741"/>
      <c r="MBK450" s="741"/>
      <c r="MBL450" s="741"/>
      <c r="MBM450" s="741"/>
      <c r="MBN450" s="741"/>
      <c r="MBO450" s="741"/>
      <c r="MBP450" s="741"/>
      <c r="MBQ450" s="741"/>
      <c r="MBR450" s="741"/>
      <c r="MBS450" s="741"/>
      <c r="MBT450" s="741"/>
      <c r="MBU450" s="741"/>
      <c r="MBV450" s="741"/>
      <c r="MBW450" s="741"/>
      <c r="MBX450" s="741"/>
      <c r="MBY450" s="741"/>
      <c r="MBZ450" s="741"/>
      <c r="MCA450" s="741"/>
      <c r="MCB450" s="741"/>
      <c r="MCC450" s="741"/>
      <c r="MCD450" s="741"/>
      <c r="MCE450" s="741"/>
      <c r="MCF450" s="741"/>
      <c r="MCG450" s="741"/>
      <c r="MCH450" s="741"/>
      <c r="MCI450" s="741"/>
      <c r="MCJ450" s="741"/>
      <c r="MCK450" s="741"/>
      <c r="MCL450" s="741"/>
      <c r="MCM450" s="741"/>
      <c r="MCN450" s="741"/>
      <c r="MCO450" s="741"/>
      <c r="MCP450" s="741"/>
      <c r="MCQ450" s="741"/>
      <c r="MCR450" s="741"/>
      <c r="MCS450" s="741"/>
      <c r="MCT450" s="741"/>
      <c r="MCU450" s="741"/>
      <c r="MCV450" s="741"/>
      <c r="MCW450" s="741"/>
      <c r="MCX450" s="741"/>
      <c r="MCY450" s="741"/>
      <c r="MCZ450" s="741"/>
      <c r="MDA450" s="741"/>
      <c r="MDB450" s="741"/>
      <c r="MDC450" s="741"/>
      <c r="MDD450" s="741"/>
      <c r="MDE450" s="741"/>
      <c r="MDF450" s="741"/>
      <c r="MDG450" s="741"/>
      <c r="MDH450" s="741"/>
      <c r="MDI450" s="741"/>
      <c r="MDJ450" s="741"/>
      <c r="MDK450" s="741"/>
      <c r="MDL450" s="741"/>
      <c r="MDM450" s="741"/>
      <c r="MDN450" s="741"/>
      <c r="MDO450" s="741"/>
      <c r="MDP450" s="741"/>
      <c r="MDQ450" s="741"/>
      <c r="MDR450" s="741"/>
      <c r="MDS450" s="741"/>
      <c r="MDT450" s="741"/>
      <c r="MDU450" s="741"/>
      <c r="MDV450" s="741"/>
      <c r="MDW450" s="741"/>
      <c r="MDX450" s="741"/>
      <c r="MDY450" s="741"/>
      <c r="MDZ450" s="741"/>
      <c r="MEA450" s="741"/>
      <c r="MEB450" s="741"/>
      <c r="MEC450" s="741"/>
      <c r="MED450" s="741"/>
      <c r="MEE450" s="741"/>
      <c r="MEF450" s="741"/>
      <c r="MEG450" s="741"/>
      <c r="MEH450" s="741"/>
      <c r="MEI450" s="741"/>
      <c r="MEJ450" s="741"/>
      <c r="MEK450" s="741"/>
      <c r="MEL450" s="741"/>
      <c r="MEM450" s="741"/>
      <c r="MEN450" s="741"/>
      <c r="MEO450" s="741"/>
      <c r="MEP450" s="741"/>
      <c r="MEQ450" s="741"/>
      <c r="MER450" s="741"/>
      <c r="MES450" s="741"/>
      <c r="MET450" s="741"/>
      <c r="MEU450" s="741"/>
      <c r="MEV450" s="741"/>
      <c r="MEW450" s="741"/>
      <c r="MEX450" s="741"/>
      <c r="MEY450" s="741"/>
      <c r="MEZ450" s="741"/>
      <c r="MFA450" s="741"/>
      <c r="MFB450" s="741"/>
      <c r="MFC450" s="741"/>
      <c r="MFD450" s="741"/>
      <c r="MFE450" s="741"/>
      <c r="MFF450" s="741"/>
      <c r="MFG450" s="741"/>
      <c r="MFH450" s="741"/>
      <c r="MFI450" s="741"/>
      <c r="MFJ450" s="741"/>
      <c r="MFK450" s="741"/>
      <c r="MFL450" s="741"/>
      <c r="MFM450" s="741"/>
      <c r="MFN450" s="741"/>
      <c r="MFO450" s="741"/>
      <c r="MFP450" s="741"/>
      <c r="MFQ450" s="741"/>
      <c r="MFR450" s="741"/>
      <c r="MFS450" s="741"/>
      <c r="MFT450" s="741"/>
      <c r="MFU450" s="741"/>
      <c r="MFV450" s="741"/>
      <c r="MFW450" s="741"/>
      <c r="MFX450" s="741"/>
      <c r="MFY450" s="741"/>
      <c r="MFZ450" s="741"/>
      <c r="MGA450" s="741"/>
      <c r="MGB450" s="741"/>
      <c r="MGC450" s="741"/>
      <c r="MGD450" s="741"/>
      <c r="MGE450" s="741"/>
      <c r="MGF450" s="741"/>
      <c r="MGG450" s="741"/>
      <c r="MGH450" s="741"/>
      <c r="MGI450" s="741"/>
      <c r="MGJ450" s="741"/>
      <c r="MGK450" s="741"/>
      <c r="MGL450" s="741"/>
      <c r="MGM450" s="741"/>
      <c r="MGN450" s="741"/>
      <c r="MGO450" s="741"/>
      <c r="MGP450" s="741"/>
      <c r="MGQ450" s="741"/>
      <c r="MGR450" s="741"/>
      <c r="MGS450" s="741"/>
      <c r="MGT450" s="741"/>
      <c r="MGU450" s="741"/>
      <c r="MGV450" s="741"/>
      <c r="MGW450" s="741"/>
      <c r="MGX450" s="741"/>
      <c r="MGY450" s="741"/>
      <c r="MGZ450" s="741"/>
      <c r="MHA450" s="741"/>
      <c r="MHB450" s="741"/>
      <c r="MHC450" s="741"/>
      <c r="MHD450" s="741"/>
      <c r="MHE450" s="741"/>
      <c r="MHF450" s="741"/>
      <c r="MHG450" s="741"/>
      <c r="MHH450" s="741"/>
      <c r="MHI450" s="741"/>
      <c r="MHJ450" s="741"/>
      <c r="MHK450" s="741"/>
      <c r="MHL450" s="741"/>
      <c r="MHM450" s="741"/>
      <c r="MHN450" s="741"/>
      <c r="MHO450" s="741"/>
      <c r="MHP450" s="741"/>
      <c r="MHQ450" s="741"/>
      <c r="MHR450" s="741"/>
      <c r="MHS450" s="741"/>
      <c r="MHT450" s="741"/>
      <c r="MHU450" s="741"/>
      <c r="MHV450" s="741"/>
      <c r="MHW450" s="741"/>
      <c r="MHX450" s="741"/>
      <c r="MHY450" s="741"/>
      <c r="MHZ450" s="741"/>
      <c r="MIA450" s="741"/>
      <c r="MIB450" s="741"/>
      <c r="MIC450" s="741"/>
      <c r="MID450" s="741"/>
      <c r="MIE450" s="741"/>
      <c r="MIF450" s="741"/>
      <c r="MIG450" s="741"/>
      <c r="MIH450" s="741"/>
      <c r="MII450" s="741"/>
      <c r="MIJ450" s="741"/>
      <c r="MIK450" s="741"/>
      <c r="MIL450" s="741"/>
      <c r="MIM450" s="741"/>
      <c r="MIN450" s="741"/>
      <c r="MIO450" s="741"/>
      <c r="MIP450" s="741"/>
      <c r="MIQ450" s="741"/>
      <c r="MIR450" s="741"/>
      <c r="MIS450" s="741"/>
      <c r="MIT450" s="741"/>
      <c r="MIU450" s="741"/>
      <c r="MIV450" s="741"/>
      <c r="MIW450" s="741"/>
      <c r="MIX450" s="741"/>
      <c r="MIY450" s="741"/>
      <c r="MIZ450" s="741"/>
      <c r="MJA450" s="741"/>
      <c r="MJB450" s="741"/>
      <c r="MJC450" s="741"/>
      <c r="MJD450" s="741"/>
      <c r="MJE450" s="741"/>
      <c r="MJF450" s="741"/>
      <c r="MJG450" s="741"/>
      <c r="MJH450" s="741"/>
      <c r="MJI450" s="741"/>
      <c r="MJJ450" s="741"/>
      <c r="MJK450" s="741"/>
      <c r="MJL450" s="741"/>
      <c r="MJM450" s="741"/>
      <c r="MJN450" s="741"/>
      <c r="MJO450" s="741"/>
      <c r="MJP450" s="741"/>
      <c r="MJQ450" s="741"/>
      <c r="MJR450" s="741"/>
      <c r="MJS450" s="741"/>
      <c r="MJT450" s="741"/>
      <c r="MJU450" s="741"/>
      <c r="MJV450" s="741"/>
      <c r="MJW450" s="741"/>
      <c r="MJX450" s="741"/>
      <c r="MJY450" s="741"/>
      <c r="MJZ450" s="741"/>
      <c r="MKA450" s="741"/>
      <c r="MKB450" s="741"/>
      <c r="MKC450" s="741"/>
      <c r="MKD450" s="741"/>
      <c r="MKE450" s="741"/>
      <c r="MKF450" s="741"/>
      <c r="MKG450" s="741"/>
      <c r="MKH450" s="741"/>
      <c r="MKI450" s="741"/>
      <c r="MKJ450" s="741"/>
      <c r="MKK450" s="741"/>
      <c r="MKL450" s="741"/>
      <c r="MKM450" s="741"/>
      <c r="MKN450" s="741"/>
      <c r="MKO450" s="741"/>
      <c r="MKP450" s="741"/>
      <c r="MKQ450" s="741"/>
      <c r="MKR450" s="741"/>
      <c r="MKS450" s="741"/>
      <c r="MKT450" s="741"/>
      <c r="MKU450" s="741"/>
      <c r="MKV450" s="741"/>
      <c r="MKW450" s="741"/>
      <c r="MKX450" s="741"/>
      <c r="MKY450" s="741"/>
      <c r="MKZ450" s="741"/>
      <c r="MLA450" s="741"/>
      <c r="MLB450" s="741"/>
      <c r="MLC450" s="741"/>
      <c r="MLD450" s="741"/>
      <c r="MLE450" s="741"/>
      <c r="MLF450" s="741"/>
      <c r="MLG450" s="741"/>
      <c r="MLH450" s="741"/>
      <c r="MLI450" s="741"/>
      <c r="MLJ450" s="741"/>
      <c r="MLK450" s="741"/>
      <c r="MLL450" s="741"/>
      <c r="MLM450" s="741"/>
      <c r="MLN450" s="741"/>
      <c r="MLO450" s="741"/>
      <c r="MLP450" s="741"/>
      <c r="MLQ450" s="741"/>
      <c r="MLR450" s="741"/>
      <c r="MLS450" s="741"/>
      <c r="MLT450" s="741"/>
      <c r="MLU450" s="741"/>
      <c r="MLV450" s="741"/>
      <c r="MLW450" s="741"/>
      <c r="MLX450" s="741"/>
      <c r="MLY450" s="741"/>
      <c r="MLZ450" s="741"/>
      <c r="MMA450" s="741"/>
      <c r="MMB450" s="741"/>
      <c r="MMC450" s="741"/>
      <c r="MMD450" s="741"/>
      <c r="MME450" s="741"/>
      <c r="MMF450" s="741"/>
      <c r="MMG450" s="741"/>
      <c r="MMH450" s="741"/>
      <c r="MMI450" s="741"/>
      <c r="MMJ450" s="741"/>
      <c r="MMK450" s="741"/>
      <c r="MML450" s="741"/>
      <c r="MMM450" s="741"/>
      <c r="MMN450" s="741"/>
      <c r="MMO450" s="741"/>
      <c r="MMP450" s="741"/>
      <c r="MMQ450" s="741"/>
      <c r="MMR450" s="741"/>
      <c r="MMS450" s="741"/>
      <c r="MMT450" s="741"/>
      <c r="MMU450" s="741"/>
      <c r="MMV450" s="741"/>
      <c r="MMW450" s="741"/>
      <c r="MMX450" s="741"/>
      <c r="MMY450" s="741"/>
      <c r="MMZ450" s="741"/>
      <c r="MNA450" s="741"/>
      <c r="MNB450" s="741"/>
      <c r="MNC450" s="741"/>
      <c r="MND450" s="741"/>
      <c r="MNE450" s="741"/>
      <c r="MNF450" s="741"/>
      <c r="MNG450" s="741"/>
      <c r="MNH450" s="741"/>
      <c r="MNI450" s="741"/>
      <c r="MNJ450" s="741"/>
      <c r="MNK450" s="741"/>
      <c r="MNL450" s="741"/>
      <c r="MNM450" s="741"/>
      <c r="MNN450" s="741"/>
      <c r="MNO450" s="741"/>
      <c r="MNP450" s="741"/>
      <c r="MNQ450" s="741"/>
      <c r="MNR450" s="741"/>
      <c r="MNS450" s="741"/>
      <c r="MNT450" s="741"/>
      <c r="MNU450" s="741"/>
      <c r="MNV450" s="741"/>
      <c r="MNW450" s="741"/>
      <c r="MNX450" s="741"/>
      <c r="MNY450" s="741"/>
      <c r="MNZ450" s="741"/>
      <c r="MOA450" s="741"/>
      <c r="MOB450" s="741"/>
      <c r="MOC450" s="741"/>
      <c r="MOD450" s="741"/>
      <c r="MOE450" s="741"/>
      <c r="MOF450" s="741"/>
      <c r="MOG450" s="741"/>
      <c r="MOH450" s="741"/>
      <c r="MOI450" s="741"/>
      <c r="MOJ450" s="741"/>
      <c r="MOK450" s="741"/>
      <c r="MOL450" s="741"/>
      <c r="MOM450" s="741"/>
      <c r="MON450" s="741"/>
      <c r="MOO450" s="741"/>
      <c r="MOP450" s="741"/>
      <c r="MOQ450" s="741"/>
      <c r="MOR450" s="741"/>
      <c r="MOS450" s="741"/>
      <c r="MOT450" s="741"/>
      <c r="MOU450" s="741"/>
      <c r="MOV450" s="741"/>
      <c r="MOW450" s="741"/>
      <c r="MOX450" s="741"/>
      <c r="MOY450" s="741"/>
      <c r="MOZ450" s="741"/>
      <c r="MPA450" s="741"/>
      <c r="MPB450" s="741"/>
      <c r="MPC450" s="741"/>
      <c r="MPD450" s="741"/>
      <c r="MPE450" s="741"/>
      <c r="MPF450" s="741"/>
      <c r="MPG450" s="741"/>
      <c r="MPH450" s="741"/>
      <c r="MPI450" s="741"/>
      <c r="MPJ450" s="741"/>
      <c r="MPK450" s="741"/>
      <c r="MPL450" s="741"/>
      <c r="MPM450" s="741"/>
      <c r="MPN450" s="741"/>
      <c r="MPO450" s="741"/>
      <c r="MPP450" s="741"/>
      <c r="MPQ450" s="741"/>
      <c r="MPR450" s="741"/>
      <c r="MPS450" s="741"/>
      <c r="MPT450" s="741"/>
      <c r="MPU450" s="741"/>
      <c r="MPV450" s="741"/>
      <c r="MPW450" s="741"/>
      <c r="MPX450" s="741"/>
      <c r="MPY450" s="741"/>
      <c r="MPZ450" s="741"/>
      <c r="MQA450" s="741"/>
      <c r="MQB450" s="741"/>
      <c r="MQC450" s="741"/>
      <c r="MQD450" s="741"/>
      <c r="MQE450" s="741"/>
      <c r="MQF450" s="741"/>
      <c r="MQG450" s="741"/>
      <c r="MQH450" s="741"/>
      <c r="MQI450" s="741"/>
      <c r="MQJ450" s="741"/>
      <c r="MQK450" s="741"/>
      <c r="MQL450" s="741"/>
      <c r="MQM450" s="741"/>
      <c r="MQN450" s="741"/>
      <c r="MQO450" s="741"/>
      <c r="MQP450" s="741"/>
      <c r="MQQ450" s="741"/>
      <c r="MQR450" s="741"/>
      <c r="MQS450" s="741"/>
      <c r="MQT450" s="741"/>
      <c r="MQU450" s="741"/>
      <c r="MQV450" s="741"/>
      <c r="MQW450" s="741"/>
      <c r="MQX450" s="741"/>
      <c r="MQY450" s="741"/>
      <c r="MQZ450" s="741"/>
      <c r="MRA450" s="741"/>
      <c r="MRB450" s="741"/>
      <c r="MRC450" s="741"/>
      <c r="MRD450" s="741"/>
      <c r="MRE450" s="741"/>
      <c r="MRF450" s="741"/>
      <c r="MRG450" s="741"/>
      <c r="MRH450" s="741"/>
      <c r="MRI450" s="741"/>
      <c r="MRJ450" s="741"/>
      <c r="MRK450" s="741"/>
      <c r="MRL450" s="741"/>
      <c r="MRM450" s="741"/>
      <c r="MRN450" s="741"/>
      <c r="MRO450" s="741"/>
      <c r="MRP450" s="741"/>
      <c r="MRQ450" s="741"/>
      <c r="MRR450" s="741"/>
      <c r="MRS450" s="741"/>
      <c r="MRT450" s="741"/>
      <c r="MRU450" s="741"/>
      <c r="MRV450" s="741"/>
      <c r="MRW450" s="741"/>
      <c r="MRX450" s="741"/>
      <c r="MRY450" s="741"/>
      <c r="MRZ450" s="741"/>
      <c r="MSA450" s="741"/>
      <c r="MSB450" s="741"/>
      <c r="MSC450" s="741"/>
      <c r="MSD450" s="741"/>
      <c r="MSE450" s="741"/>
      <c r="MSF450" s="741"/>
      <c r="MSG450" s="741"/>
      <c r="MSH450" s="741"/>
      <c r="MSI450" s="741"/>
      <c r="MSJ450" s="741"/>
      <c r="MSK450" s="741"/>
      <c r="MSL450" s="741"/>
      <c r="MSM450" s="741"/>
      <c r="MSN450" s="741"/>
      <c r="MSO450" s="741"/>
      <c r="MSP450" s="741"/>
      <c r="MSQ450" s="741"/>
      <c r="MSR450" s="741"/>
      <c r="MSS450" s="741"/>
      <c r="MST450" s="741"/>
      <c r="MSU450" s="741"/>
      <c r="MSV450" s="741"/>
      <c r="MSW450" s="741"/>
      <c r="MSX450" s="741"/>
      <c r="MSY450" s="741"/>
      <c r="MSZ450" s="741"/>
      <c r="MTA450" s="741"/>
      <c r="MTB450" s="741"/>
      <c r="MTC450" s="741"/>
      <c r="MTD450" s="741"/>
      <c r="MTE450" s="741"/>
      <c r="MTF450" s="741"/>
      <c r="MTG450" s="741"/>
      <c r="MTH450" s="741"/>
      <c r="MTI450" s="741"/>
      <c r="MTJ450" s="741"/>
      <c r="MTK450" s="741"/>
      <c r="MTL450" s="741"/>
      <c r="MTM450" s="741"/>
      <c r="MTN450" s="741"/>
      <c r="MTO450" s="741"/>
      <c r="MTP450" s="741"/>
      <c r="MTQ450" s="741"/>
      <c r="MTR450" s="741"/>
      <c r="MTS450" s="741"/>
      <c r="MTT450" s="741"/>
      <c r="MTU450" s="741"/>
      <c r="MTV450" s="741"/>
      <c r="MTW450" s="741"/>
      <c r="MTX450" s="741"/>
      <c r="MTY450" s="741"/>
      <c r="MTZ450" s="741"/>
      <c r="MUA450" s="741"/>
      <c r="MUB450" s="741"/>
      <c r="MUC450" s="741"/>
      <c r="MUD450" s="741"/>
      <c r="MUE450" s="741"/>
      <c r="MUF450" s="741"/>
      <c r="MUG450" s="741"/>
      <c r="MUH450" s="741"/>
      <c r="MUI450" s="741"/>
      <c r="MUJ450" s="741"/>
      <c r="MUK450" s="741"/>
      <c r="MUL450" s="741"/>
      <c r="MUM450" s="741"/>
      <c r="MUN450" s="741"/>
      <c r="MUO450" s="741"/>
      <c r="MUP450" s="741"/>
      <c r="MUQ450" s="741"/>
      <c r="MUR450" s="741"/>
      <c r="MUS450" s="741"/>
      <c r="MUT450" s="741"/>
      <c r="MUU450" s="741"/>
      <c r="MUV450" s="741"/>
      <c r="MUW450" s="741"/>
      <c r="MUX450" s="741"/>
      <c r="MUY450" s="741"/>
      <c r="MUZ450" s="741"/>
      <c r="MVA450" s="741"/>
      <c r="MVB450" s="741"/>
      <c r="MVC450" s="741"/>
      <c r="MVD450" s="741"/>
      <c r="MVE450" s="741"/>
      <c r="MVF450" s="741"/>
      <c r="MVG450" s="741"/>
      <c r="MVH450" s="741"/>
      <c r="MVI450" s="741"/>
      <c r="MVJ450" s="741"/>
      <c r="MVK450" s="741"/>
      <c r="MVL450" s="741"/>
      <c r="MVM450" s="741"/>
      <c r="MVN450" s="741"/>
      <c r="MVO450" s="741"/>
      <c r="MVP450" s="741"/>
      <c r="MVQ450" s="741"/>
      <c r="MVR450" s="741"/>
      <c r="MVS450" s="741"/>
      <c r="MVT450" s="741"/>
      <c r="MVU450" s="741"/>
      <c r="MVV450" s="741"/>
      <c r="MVW450" s="741"/>
      <c r="MVX450" s="741"/>
      <c r="MVY450" s="741"/>
      <c r="MVZ450" s="741"/>
      <c r="MWA450" s="741"/>
      <c r="MWB450" s="741"/>
      <c r="MWC450" s="741"/>
      <c r="MWD450" s="741"/>
      <c r="MWE450" s="741"/>
      <c r="MWF450" s="741"/>
      <c r="MWG450" s="741"/>
      <c r="MWH450" s="741"/>
      <c r="MWI450" s="741"/>
      <c r="MWJ450" s="741"/>
      <c r="MWK450" s="741"/>
      <c r="MWL450" s="741"/>
      <c r="MWM450" s="741"/>
      <c r="MWN450" s="741"/>
      <c r="MWO450" s="741"/>
      <c r="MWP450" s="741"/>
      <c r="MWQ450" s="741"/>
      <c r="MWR450" s="741"/>
      <c r="MWS450" s="741"/>
      <c r="MWT450" s="741"/>
      <c r="MWU450" s="741"/>
      <c r="MWV450" s="741"/>
      <c r="MWW450" s="741"/>
      <c r="MWX450" s="741"/>
      <c r="MWY450" s="741"/>
      <c r="MWZ450" s="741"/>
      <c r="MXA450" s="741"/>
      <c r="MXB450" s="741"/>
      <c r="MXC450" s="741"/>
      <c r="MXD450" s="741"/>
      <c r="MXE450" s="741"/>
      <c r="MXF450" s="741"/>
      <c r="MXG450" s="741"/>
      <c r="MXH450" s="741"/>
      <c r="MXI450" s="741"/>
      <c r="MXJ450" s="741"/>
      <c r="MXK450" s="741"/>
      <c r="MXL450" s="741"/>
      <c r="MXM450" s="741"/>
      <c r="MXN450" s="741"/>
      <c r="MXO450" s="741"/>
      <c r="MXP450" s="741"/>
      <c r="MXQ450" s="741"/>
      <c r="MXR450" s="741"/>
      <c r="MXS450" s="741"/>
      <c r="MXT450" s="741"/>
      <c r="MXU450" s="741"/>
      <c r="MXV450" s="741"/>
      <c r="MXW450" s="741"/>
      <c r="MXX450" s="741"/>
      <c r="MXY450" s="741"/>
      <c r="MXZ450" s="741"/>
      <c r="MYA450" s="741"/>
      <c r="MYB450" s="741"/>
      <c r="MYC450" s="741"/>
      <c r="MYD450" s="741"/>
      <c r="MYE450" s="741"/>
      <c r="MYF450" s="741"/>
      <c r="MYG450" s="741"/>
      <c r="MYH450" s="741"/>
      <c r="MYI450" s="741"/>
      <c r="MYJ450" s="741"/>
      <c r="MYK450" s="741"/>
      <c r="MYL450" s="741"/>
      <c r="MYM450" s="741"/>
      <c r="MYN450" s="741"/>
      <c r="MYO450" s="741"/>
      <c r="MYP450" s="741"/>
      <c r="MYQ450" s="741"/>
      <c r="MYR450" s="741"/>
      <c r="MYS450" s="741"/>
      <c r="MYT450" s="741"/>
      <c r="MYU450" s="741"/>
      <c r="MYV450" s="741"/>
      <c r="MYW450" s="741"/>
      <c r="MYX450" s="741"/>
      <c r="MYY450" s="741"/>
      <c r="MYZ450" s="741"/>
      <c r="MZA450" s="741"/>
      <c r="MZB450" s="741"/>
      <c r="MZC450" s="741"/>
      <c r="MZD450" s="741"/>
      <c r="MZE450" s="741"/>
      <c r="MZF450" s="741"/>
      <c r="MZG450" s="741"/>
      <c r="MZH450" s="741"/>
      <c r="MZI450" s="741"/>
      <c r="MZJ450" s="741"/>
      <c r="MZK450" s="741"/>
      <c r="MZL450" s="741"/>
      <c r="MZM450" s="741"/>
      <c r="MZN450" s="741"/>
      <c r="MZO450" s="741"/>
      <c r="MZP450" s="741"/>
      <c r="MZQ450" s="741"/>
      <c r="MZR450" s="741"/>
      <c r="MZS450" s="741"/>
      <c r="MZT450" s="741"/>
      <c r="MZU450" s="741"/>
      <c r="MZV450" s="741"/>
      <c r="MZW450" s="741"/>
      <c r="MZX450" s="741"/>
      <c r="MZY450" s="741"/>
      <c r="MZZ450" s="741"/>
      <c r="NAA450" s="741"/>
      <c r="NAB450" s="741"/>
      <c r="NAC450" s="741"/>
      <c r="NAD450" s="741"/>
      <c r="NAE450" s="741"/>
      <c r="NAF450" s="741"/>
      <c r="NAG450" s="741"/>
      <c r="NAH450" s="741"/>
      <c r="NAI450" s="741"/>
      <c r="NAJ450" s="741"/>
      <c r="NAK450" s="741"/>
      <c r="NAL450" s="741"/>
      <c r="NAM450" s="741"/>
      <c r="NAN450" s="741"/>
      <c r="NAO450" s="741"/>
      <c r="NAP450" s="741"/>
      <c r="NAQ450" s="741"/>
      <c r="NAR450" s="741"/>
      <c r="NAS450" s="741"/>
      <c r="NAT450" s="741"/>
      <c r="NAU450" s="741"/>
      <c r="NAV450" s="741"/>
      <c r="NAW450" s="741"/>
      <c r="NAX450" s="741"/>
      <c r="NAY450" s="741"/>
      <c r="NAZ450" s="741"/>
      <c r="NBA450" s="741"/>
      <c r="NBB450" s="741"/>
      <c r="NBC450" s="741"/>
      <c r="NBD450" s="741"/>
      <c r="NBE450" s="741"/>
      <c r="NBF450" s="741"/>
      <c r="NBG450" s="741"/>
      <c r="NBH450" s="741"/>
      <c r="NBI450" s="741"/>
      <c r="NBJ450" s="741"/>
      <c r="NBK450" s="741"/>
      <c r="NBL450" s="741"/>
      <c r="NBM450" s="741"/>
      <c r="NBN450" s="741"/>
      <c r="NBO450" s="741"/>
      <c r="NBP450" s="741"/>
      <c r="NBQ450" s="741"/>
      <c r="NBR450" s="741"/>
      <c r="NBS450" s="741"/>
      <c r="NBT450" s="741"/>
      <c r="NBU450" s="741"/>
      <c r="NBV450" s="741"/>
      <c r="NBW450" s="741"/>
      <c r="NBX450" s="741"/>
      <c r="NBY450" s="741"/>
      <c r="NBZ450" s="741"/>
      <c r="NCA450" s="741"/>
      <c r="NCB450" s="741"/>
      <c r="NCC450" s="741"/>
      <c r="NCD450" s="741"/>
      <c r="NCE450" s="741"/>
      <c r="NCF450" s="741"/>
      <c r="NCG450" s="741"/>
      <c r="NCH450" s="741"/>
      <c r="NCI450" s="741"/>
      <c r="NCJ450" s="741"/>
      <c r="NCK450" s="741"/>
      <c r="NCL450" s="741"/>
      <c r="NCM450" s="741"/>
      <c r="NCN450" s="741"/>
      <c r="NCO450" s="741"/>
      <c r="NCP450" s="741"/>
      <c r="NCQ450" s="741"/>
      <c r="NCR450" s="741"/>
      <c r="NCS450" s="741"/>
      <c r="NCT450" s="741"/>
      <c r="NCU450" s="741"/>
      <c r="NCV450" s="741"/>
      <c r="NCW450" s="741"/>
      <c r="NCX450" s="741"/>
      <c r="NCY450" s="741"/>
      <c r="NCZ450" s="741"/>
      <c r="NDA450" s="741"/>
      <c r="NDB450" s="741"/>
      <c r="NDC450" s="741"/>
      <c r="NDD450" s="741"/>
      <c r="NDE450" s="741"/>
      <c r="NDF450" s="741"/>
      <c r="NDG450" s="741"/>
      <c r="NDH450" s="741"/>
      <c r="NDI450" s="741"/>
      <c r="NDJ450" s="741"/>
      <c r="NDK450" s="741"/>
      <c r="NDL450" s="741"/>
      <c r="NDM450" s="741"/>
      <c r="NDN450" s="741"/>
      <c r="NDO450" s="741"/>
      <c r="NDP450" s="741"/>
      <c r="NDQ450" s="741"/>
      <c r="NDR450" s="741"/>
      <c r="NDS450" s="741"/>
      <c r="NDT450" s="741"/>
      <c r="NDU450" s="741"/>
      <c r="NDV450" s="741"/>
      <c r="NDW450" s="741"/>
      <c r="NDX450" s="741"/>
      <c r="NDY450" s="741"/>
      <c r="NDZ450" s="741"/>
      <c r="NEA450" s="741"/>
      <c r="NEB450" s="741"/>
      <c r="NEC450" s="741"/>
      <c r="NED450" s="741"/>
      <c r="NEE450" s="741"/>
      <c r="NEF450" s="741"/>
      <c r="NEG450" s="741"/>
      <c r="NEH450" s="741"/>
      <c r="NEI450" s="741"/>
      <c r="NEJ450" s="741"/>
      <c r="NEK450" s="741"/>
      <c r="NEL450" s="741"/>
      <c r="NEM450" s="741"/>
      <c r="NEN450" s="741"/>
      <c r="NEO450" s="741"/>
      <c r="NEP450" s="741"/>
      <c r="NEQ450" s="741"/>
      <c r="NER450" s="741"/>
      <c r="NES450" s="741"/>
      <c r="NET450" s="741"/>
      <c r="NEU450" s="741"/>
      <c r="NEV450" s="741"/>
      <c r="NEW450" s="741"/>
      <c r="NEX450" s="741"/>
      <c r="NEY450" s="741"/>
      <c r="NEZ450" s="741"/>
      <c r="NFA450" s="741"/>
      <c r="NFB450" s="741"/>
      <c r="NFC450" s="741"/>
      <c r="NFD450" s="741"/>
      <c r="NFE450" s="741"/>
      <c r="NFF450" s="741"/>
      <c r="NFG450" s="741"/>
      <c r="NFH450" s="741"/>
      <c r="NFI450" s="741"/>
      <c r="NFJ450" s="741"/>
      <c r="NFK450" s="741"/>
      <c r="NFL450" s="741"/>
      <c r="NFM450" s="741"/>
      <c r="NFN450" s="741"/>
      <c r="NFO450" s="741"/>
      <c r="NFP450" s="741"/>
      <c r="NFQ450" s="741"/>
      <c r="NFR450" s="741"/>
      <c r="NFS450" s="741"/>
      <c r="NFT450" s="741"/>
      <c r="NFU450" s="741"/>
      <c r="NFV450" s="741"/>
      <c r="NFW450" s="741"/>
      <c r="NFX450" s="741"/>
      <c r="NFY450" s="741"/>
      <c r="NFZ450" s="741"/>
      <c r="NGA450" s="741"/>
      <c r="NGB450" s="741"/>
      <c r="NGC450" s="741"/>
      <c r="NGD450" s="741"/>
      <c r="NGE450" s="741"/>
      <c r="NGF450" s="741"/>
      <c r="NGG450" s="741"/>
      <c r="NGH450" s="741"/>
      <c r="NGI450" s="741"/>
      <c r="NGJ450" s="741"/>
      <c r="NGK450" s="741"/>
      <c r="NGL450" s="741"/>
      <c r="NGM450" s="741"/>
      <c r="NGN450" s="741"/>
      <c r="NGO450" s="741"/>
      <c r="NGP450" s="741"/>
      <c r="NGQ450" s="741"/>
      <c r="NGR450" s="741"/>
      <c r="NGS450" s="741"/>
      <c r="NGT450" s="741"/>
      <c r="NGU450" s="741"/>
      <c r="NGV450" s="741"/>
      <c r="NGW450" s="741"/>
      <c r="NGX450" s="741"/>
      <c r="NGY450" s="741"/>
      <c r="NGZ450" s="741"/>
      <c r="NHA450" s="741"/>
      <c r="NHB450" s="741"/>
      <c r="NHC450" s="741"/>
      <c r="NHD450" s="741"/>
      <c r="NHE450" s="741"/>
      <c r="NHF450" s="741"/>
      <c r="NHG450" s="741"/>
      <c r="NHH450" s="741"/>
      <c r="NHI450" s="741"/>
      <c r="NHJ450" s="741"/>
      <c r="NHK450" s="741"/>
      <c r="NHL450" s="741"/>
      <c r="NHM450" s="741"/>
      <c r="NHN450" s="741"/>
      <c r="NHO450" s="741"/>
      <c r="NHP450" s="741"/>
      <c r="NHQ450" s="741"/>
      <c r="NHR450" s="741"/>
      <c r="NHS450" s="741"/>
      <c r="NHT450" s="741"/>
      <c r="NHU450" s="741"/>
      <c r="NHV450" s="741"/>
      <c r="NHW450" s="741"/>
      <c r="NHX450" s="741"/>
      <c r="NHY450" s="741"/>
      <c r="NHZ450" s="741"/>
      <c r="NIA450" s="741"/>
      <c r="NIB450" s="741"/>
      <c r="NIC450" s="741"/>
      <c r="NID450" s="741"/>
      <c r="NIE450" s="741"/>
      <c r="NIF450" s="741"/>
      <c r="NIG450" s="741"/>
      <c r="NIH450" s="741"/>
      <c r="NII450" s="741"/>
      <c r="NIJ450" s="741"/>
      <c r="NIK450" s="741"/>
      <c r="NIL450" s="741"/>
      <c r="NIM450" s="741"/>
      <c r="NIN450" s="741"/>
      <c r="NIO450" s="741"/>
      <c r="NIP450" s="741"/>
      <c r="NIQ450" s="741"/>
      <c r="NIR450" s="741"/>
      <c r="NIS450" s="741"/>
      <c r="NIT450" s="741"/>
      <c r="NIU450" s="741"/>
      <c r="NIV450" s="741"/>
      <c r="NIW450" s="741"/>
      <c r="NIX450" s="741"/>
      <c r="NIY450" s="741"/>
      <c r="NIZ450" s="741"/>
      <c r="NJA450" s="741"/>
      <c r="NJB450" s="741"/>
      <c r="NJC450" s="741"/>
      <c r="NJD450" s="741"/>
      <c r="NJE450" s="741"/>
      <c r="NJF450" s="741"/>
      <c r="NJG450" s="741"/>
      <c r="NJH450" s="741"/>
      <c r="NJI450" s="741"/>
      <c r="NJJ450" s="741"/>
      <c r="NJK450" s="741"/>
      <c r="NJL450" s="741"/>
      <c r="NJM450" s="741"/>
      <c r="NJN450" s="741"/>
      <c r="NJO450" s="741"/>
      <c r="NJP450" s="741"/>
      <c r="NJQ450" s="741"/>
      <c r="NJR450" s="741"/>
      <c r="NJS450" s="741"/>
      <c r="NJT450" s="741"/>
      <c r="NJU450" s="741"/>
      <c r="NJV450" s="741"/>
      <c r="NJW450" s="741"/>
      <c r="NJX450" s="741"/>
      <c r="NJY450" s="741"/>
      <c r="NJZ450" s="741"/>
      <c r="NKA450" s="741"/>
      <c r="NKB450" s="741"/>
      <c r="NKC450" s="741"/>
      <c r="NKD450" s="741"/>
      <c r="NKE450" s="741"/>
      <c r="NKF450" s="741"/>
      <c r="NKG450" s="741"/>
      <c r="NKH450" s="741"/>
      <c r="NKI450" s="741"/>
      <c r="NKJ450" s="741"/>
      <c r="NKK450" s="741"/>
      <c r="NKL450" s="741"/>
      <c r="NKM450" s="741"/>
      <c r="NKN450" s="741"/>
      <c r="NKO450" s="741"/>
      <c r="NKP450" s="741"/>
      <c r="NKQ450" s="741"/>
      <c r="NKR450" s="741"/>
      <c r="NKS450" s="741"/>
      <c r="NKT450" s="741"/>
      <c r="NKU450" s="741"/>
      <c r="NKV450" s="741"/>
      <c r="NKW450" s="741"/>
      <c r="NKX450" s="741"/>
      <c r="NKY450" s="741"/>
      <c r="NKZ450" s="741"/>
      <c r="NLA450" s="741"/>
      <c r="NLB450" s="741"/>
      <c r="NLC450" s="741"/>
      <c r="NLD450" s="741"/>
      <c r="NLE450" s="741"/>
      <c r="NLF450" s="741"/>
      <c r="NLG450" s="741"/>
      <c r="NLH450" s="741"/>
      <c r="NLI450" s="741"/>
      <c r="NLJ450" s="741"/>
      <c r="NLK450" s="741"/>
      <c r="NLL450" s="741"/>
      <c r="NLM450" s="741"/>
      <c r="NLN450" s="741"/>
      <c r="NLO450" s="741"/>
      <c r="NLP450" s="741"/>
      <c r="NLQ450" s="741"/>
      <c r="NLR450" s="741"/>
      <c r="NLS450" s="741"/>
      <c r="NLT450" s="741"/>
      <c r="NLU450" s="741"/>
      <c r="NLV450" s="741"/>
      <c r="NLW450" s="741"/>
      <c r="NLX450" s="741"/>
      <c r="NLY450" s="741"/>
      <c r="NLZ450" s="741"/>
      <c r="NMA450" s="741"/>
      <c r="NMB450" s="741"/>
      <c r="NMC450" s="741"/>
      <c r="NMD450" s="741"/>
      <c r="NME450" s="741"/>
      <c r="NMF450" s="741"/>
      <c r="NMG450" s="741"/>
      <c r="NMH450" s="741"/>
      <c r="NMI450" s="741"/>
      <c r="NMJ450" s="741"/>
      <c r="NMK450" s="741"/>
      <c r="NML450" s="741"/>
      <c r="NMM450" s="741"/>
      <c r="NMN450" s="741"/>
      <c r="NMO450" s="741"/>
      <c r="NMP450" s="741"/>
      <c r="NMQ450" s="741"/>
      <c r="NMR450" s="741"/>
      <c r="NMS450" s="741"/>
      <c r="NMT450" s="741"/>
      <c r="NMU450" s="741"/>
      <c r="NMV450" s="741"/>
      <c r="NMW450" s="741"/>
      <c r="NMX450" s="741"/>
      <c r="NMY450" s="741"/>
      <c r="NMZ450" s="741"/>
      <c r="NNA450" s="741"/>
      <c r="NNB450" s="741"/>
      <c r="NNC450" s="741"/>
      <c r="NND450" s="741"/>
      <c r="NNE450" s="741"/>
      <c r="NNF450" s="741"/>
      <c r="NNG450" s="741"/>
      <c r="NNH450" s="741"/>
      <c r="NNI450" s="741"/>
      <c r="NNJ450" s="741"/>
      <c r="NNK450" s="741"/>
      <c r="NNL450" s="741"/>
      <c r="NNM450" s="741"/>
      <c r="NNN450" s="741"/>
      <c r="NNO450" s="741"/>
      <c r="NNP450" s="741"/>
      <c r="NNQ450" s="741"/>
      <c r="NNR450" s="741"/>
      <c r="NNS450" s="741"/>
      <c r="NNT450" s="741"/>
      <c r="NNU450" s="741"/>
      <c r="NNV450" s="741"/>
      <c r="NNW450" s="741"/>
      <c r="NNX450" s="741"/>
      <c r="NNY450" s="741"/>
      <c r="NNZ450" s="741"/>
      <c r="NOA450" s="741"/>
      <c r="NOB450" s="741"/>
      <c r="NOC450" s="741"/>
      <c r="NOD450" s="741"/>
      <c r="NOE450" s="741"/>
      <c r="NOF450" s="741"/>
      <c r="NOG450" s="741"/>
      <c r="NOH450" s="741"/>
      <c r="NOI450" s="741"/>
      <c r="NOJ450" s="741"/>
      <c r="NOK450" s="741"/>
      <c r="NOL450" s="741"/>
      <c r="NOM450" s="741"/>
      <c r="NON450" s="741"/>
      <c r="NOO450" s="741"/>
      <c r="NOP450" s="741"/>
      <c r="NOQ450" s="741"/>
      <c r="NOR450" s="741"/>
      <c r="NOS450" s="741"/>
      <c r="NOT450" s="741"/>
      <c r="NOU450" s="741"/>
      <c r="NOV450" s="741"/>
      <c r="NOW450" s="741"/>
      <c r="NOX450" s="741"/>
      <c r="NOY450" s="741"/>
      <c r="NOZ450" s="741"/>
      <c r="NPA450" s="741"/>
      <c r="NPB450" s="741"/>
      <c r="NPC450" s="741"/>
      <c r="NPD450" s="741"/>
      <c r="NPE450" s="741"/>
      <c r="NPF450" s="741"/>
      <c r="NPG450" s="741"/>
      <c r="NPH450" s="741"/>
      <c r="NPI450" s="741"/>
      <c r="NPJ450" s="741"/>
      <c r="NPK450" s="741"/>
      <c r="NPL450" s="741"/>
      <c r="NPM450" s="741"/>
      <c r="NPN450" s="741"/>
      <c r="NPO450" s="741"/>
      <c r="NPP450" s="741"/>
      <c r="NPQ450" s="741"/>
      <c r="NPR450" s="741"/>
      <c r="NPS450" s="741"/>
      <c r="NPT450" s="741"/>
      <c r="NPU450" s="741"/>
      <c r="NPV450" s="741"/>
      <c r="NPW450" s="741"/>
      <c r="NPX450" s="741"/>
      <c r="NPY450" s="741"/>
      <c r="NPZ450" s="741"/>
      <c r="NQA450" s="741"/>
      <c r="NQB450" s="741"/>
      <c r="NQC450" s="741"/>
      <c r="NQD450" s="741"/>
      <c r="NQE450" s="741"/>
      <c r="NQF450" s="741"/>
      <c r="NQG450" s="741"/>
      <c r="NQH450" s="741"/>
      <c r="NQI450" s="741"/>
      <c r="NQJ450" s="741"/>
      <c r="NQK450" s="741"/>
      <c r="NQL450" s="741"/>
      <c r="NQM450" s="741"/>
      <c r="NQN450" s="741"/>
      <c r="NQO450" s="741"/>
      <c r="NQP450" s="741"/>
      <c r="NQQ450" s="741"/>
      <c r="NQR450" s="741"/>
      <c r="NQS450" s="741"/>
      <c r="NQT450" s="741"/>
      <c r="NQU450" s="741"/>
      <c r="NQV450" s="741"/>
      <c r="NQW450" s="741"/>
      <c r="NQX450" s="741"/>
      <c r="NQY450" s="741"/>
      <c r="NQZ450" s="741"/>
      <c r="NRA450" s="741"/>
      <c r="NRB450" s="741"/>
      <c r="NRC450" s="741"/>
      <c r="NRD450" s="741"/>
      <c r="NRE450" s="741"/>
      <c r="NRF450" s="741"/>
      <c r="NRG450" s="741"/>
      <c r="NRH450" s="741"/>
      <c r="NRI450" s="741"/>
      <c r="NRJ450" s="741"/>
      <c r="NRK450" s="741"/>
      <c r="NRL450" s="741"/>
      <c r="NRM450" s="741"/>
      <c r="NRN450" s="741"/>
      <c r="NRO450" s="741"/>
      <c r="NRP450" s="741"/>
      <c r="NRQ450" s="741"/>
      <c r="NRR450" s="741"/>
      <c r="NRS450" s="741"/>
      <c r="NRT450" s="741"/>
      <c r="NRU450" s="741"/>
      <c r="NRV450" s="741"/>
      <c r="NRW450" s="741"/>
      <c r="NRX450" s="741"/>
      <c r="NRY450" s="741"/>
      <c r="NRZ450" s="741"/>
      <c r="NSA450" s="741"/>
      <c r="NSB450" s="741"/>
      <c r="NSC450" s="741"/>
      <c r="NSD450" s="741"/>
      <c r="NSE450" s="741"/>
      <c r="NSF450" s="741"/>
      <c r="NSG450" s="741"/>
      <c r="NSH450" s="741"/>
      <c r="NSI450" s="741"/>
      <c r="NSJ450" s="741"/>
      <c r="NSK450" s="741"/>
      <c r="NSL450" s="741"/>
      <c r="NSM450" s="741"/>
      <c r="NSN450" s="741"/>
      <c r="NSO450" s="741"/>
      <c r="NSP450" s="741"/>
      <c r="NSQ450" s="741"/>
      <c r="NSR450" s="741"/>
      <c r="NSS450" s="741"/>
      <c r="NST450" s="741"/>
      <c r="NSU450" s="741"/>
      <c r="NSV450" s="741"/>
      <c r="NSW450" s="741"/>
      <c r="NSX450" s="741"/>
      <c r="NSY450" s="741"/>
      <c r="NSZ450" s="741"/>
      <c r="NTA450" s="741"/>
      <c r="NTB450" s="741"/>
      <c r="NTC450" s="741"/>
      <c r="NTD450" s="741"/>
      <c r="NTE450" s="741"/>
      <c r="NTF450" s="741"/>
      <c r="NTG450" s="741"/>
      <c r="NTH450" s="741"/>
      <c r="NTI450" s="741"/>
      <c r="NTJ450" s="741"/>
      <c r="NTK450" s="741"/>
      <c r="NTL450" s="741"/>
      <c r="NTM450" s="741"/>
      <c r="NTN450" s="741"/>
      <c r="NTO450" s="741"/>
      <c r="NTP450" s="741"/>
      <c r="NTQ450" s="741"/>
      <c r="NTR450" s="741"/>
      <c r="NTS450" s="741"/>
      <c r="NTT450" s="741"/>
      <c r="NTU450" s="741"/>
      <c r="NTV450" s="741"/>
      <c r="NTW450" s="741"/>
      <c r="NTX450" s="741"/>
      <c r="NTY450" s="741"/>
      <c r="NTZ450" s="741"/>
      <c r="NUA450" s="741"/>
      <c r="NUB450" s="741"/>
      <c r="NUC450" s="741"/>
      <c r="NUD450" s="741"/>
      <c r="NUE450" s="741"/>
      <c r="NUF450" s="741"/>
      <c r="NUG450" s="741"/>
      <c r="NUH450" s="741"/>
      <c r="NUI450" s="741"/>
      <c r="NUJ450" s="741"/>
      <c r="NUK450" s="741"/>
      <c r="NUL450" s="741"/>
      <c r="NUM450" s="741"/>
      <c r="NUN450" s="741"/>
      <c r="NUO450" s="741"/>
      <c r="NUP450" s="741"/>
      <c r="NUQ450" s="741"/>
      <c r="NUR450" s="741"/>
      <c r="NUS450" s="741"/>
      <c r="NUT450" s="741"/>
      <c r="NUU450" s="741"/>
      <c r="NUV450" s="741"/>
      <c r="NUW450" s="741"/>
      <c r="NUX450" s="741"/>
      <c r="NUY450" s="741"/>
      <c r="NUZ450" s="741"/>
      <c r="NVA450" s="741"/>
      <c r="NVB450" s="741"/>
      <c r="NVC450" s="741"/>
      <c r="NVD450" s="741"/>
      <c r="NVE450" s="741"/>
      <c r="NVF450" s="741"/>
      <c r="NVG450" s="741"/>
      <c r="NVH450" s="741"/>
      <c r="NVI450" s="741"/>
      <c r="NVJ450" s="741"/>
      <c r="NVK450" s="741"/>
      <c r="NVL450" s="741"/>
      <c r="NVM450" s="741"/>
      <c r="NVN450" s="741"/>
      <c r="NVO450" s="741"/>
      <c r="NVP450" s="741"/>
      <c r="NVQ450" s="741"/>
      <c r="NVR450" s="741"/>
      <c r="NVS450" s="741"/>
      <c r="NVT450" s="741"/>
      <c r="NVU450" s="741"/>
      <c r="NVV450" s="741"/>
      <c r="NVW450" s="741"/>
      <c r="NVX450" s="741"/>
      <c r="NVY450" s="741"/>
      <c r="NVZ450" s="741"/>
      <c r="NWA450" s="741"/>
      <c r="NWB450" s="741"/>
      <c r="NWC450" s="741"/>
      <c r="NWD450" s="741"/>
      <c r="NWE450" s="741"/>
      <c r="NWF450" s="741"/>
      <c r="NWG450" s="741"/>
      <c r="NWH450" s="741"/>
      <c r="NWI450" s="741"/>
      <c r="NWJ450" s="741"/>
      <c r="NWK450" s="741"/>
      <c r="NWL450" s="741"/>
      <c r="NWM450" s="741"/>
      <c r="NWN450" s="741"/>
      <c r="NWO450" s="741"/>
      <c r="NWP450" s="741"/>
      <c r="NWQ450" s="741"/>
      <c r="NWR450" s="741"/>
      <c r="NWS450" s="741"/>
      <c r="NWT450" s="741"/>
      <c r="NWU450" s="741"/>
      <c r="NWV450" s="741"/>
      <c r="NWW450" s="741"/>
      <c r="NWX450" s="741"/>
      <c r="NWY450" s="741"/>
      <c r="NWZ450" s="741"/>
      <c r="NXA450" s="741"/>
      <c r="NXB450" s="741"/>
      <c r="NXC450" s="741"/>
      <c r="NXD450" s="741"/>
      <c r="NXE450" s="741"/>
      <c r="NXF450" s="741"/>
      <c r="NXG450" s="741"/>
      <c r="NXH450" s="741"/>
      <c r="NXI450" s="741"/>
      <c r="NXJ450" s="741"/>
      <c r="NXK450" s="741"/>
      <c r="NXL450" s="741"/>
      <c r="NXM450" s="741"/>
      <c r="NXN450" s="741"/>
      <c r="NXO450" s="741"/>
      <c r="NXP450" s="741"/>
      <c r="NXQ450" s="741"/>
      <c r="NXR450" s="741"/>
      <c r="NXS450" s="741"/>
      <c r="NXT450" s="741"/>
      <c r="NXU450" s="741"/>
      <c r="NXV450" s="741"/>
      <c r="NXW450" s="741"/>
      <c r="NXX450" s="741"/>
      <c r="NXY450" s="741"/>
      <c r="NXZ450" s="741"/>
      <c r="NYA450" s="741"/>
      <c r="NYB450" s="741"/>
      <c r="NYC450" s="741"/>
      <c r="NYD450" s="741"/>
      <c r="NYE450" s="741"/>
      <c r="NYF450" s="741"/>
      <c r="NYG450" s="741"/>
      <c r="NYH450" s="741"/>
      <c r="NYI450" s="741"/>
      <c r="NYJ450" s="741"/>
      <c r="NYK450" s="741"/>
      <c r="NYL450" s="741"/>
      <c r="NYM450" s="741"/>
      <c r="NYN450" s="741"/>
      <c r="NYO450" s="741"/>
      <c r="NYP450" s="741"/>
      <c r="NYQ450" s="741"/>
      <c r="NYR450" s="741"/>
      <c r="NYS450" s="741"/>
      <c r="NYT450" s="741"/>
      <c r="NYU450" s="741"/>
      <c r="NYV450" s="741"/>
      <c r="NYW450" s="741"/>
      <c r="NYX450" s="741"/>
      <c r="NYY450" s="741"/>
      <c r="NYZ450" s="741"/>
      <c r="NZA450" s="741"/>
      <c r="NZB450" s="741"/>
      <c r="NZC450" s="741"/>
      <c r="NZD450" s="741"/>
      <c r="NZE450" s="741"/>
      <c r="NZF450" s="741"/>
      <c r="NZG450" s="741"/>
      <c r="NZH450" s="741"/>
      <c r="NZI450" s="741"/>
      <c r="NZJ450" s="741"/>
      <c r="NZK450" s="741"/>
      <c r="NZL450" s="741"/>
      <c r="NZM450" s="741"/>
      <c r="NZN450" s="741"/>
      <c r="NZO450" s="741"/>
      <c r="NZP450" s="741"/>
      <c r="NZQ450" s="741"/>
      <c r="NZR450" s="741"/>
      <c r="NZS450" s="741"/>
      <c r="NZT450" s="741"/>
      <c r="NZU450" s="741"/>
      <c r="NZV450" s="741"/>
      <c r="NZW450" s="741"/>
      <c r="NZX450" s="741"/>
      <c r="NZY450" s="741"/>
      <c r="NZZ450" s="741"/>
      <c r="OAA450" s="741"/>
      <c r="OAB450" s="741"/>
      <c r="OAC450" s="741"/>
      <c r="OAD450" s="741"/>
      <c r="OAE450" s="741"/>
      <c r="OAF450" s="741"/>
      <c r="OAG450" s="741"/>
      <c r="OAH450" s="741"/>
      <c r="OAI450" s="741"/>
      <c r="OAJ450" s="741"/>
      <c r="OAK450" s="741"/>
      <c r="OAL450" s="741"/>
      <c r="OAM450" s="741"/>
      <c r="OAN450" s="741"/>
      <c r="OAO450" s="741"/>
      <c r="OAP450" s="741"/>
      <c r="OAQ450" s="741"/>
      <c r="OAR450" s="741"/>
      <c r="OAS450" s="741"/>
      <c r="OAT450" s="741"/>
      <c r="OAU450" s="741"/>
      <c r="OAV450" s="741"/>
      <c r="OAW450" s="741"/>
      <c r="OAX450" s="741"/>
      <c r="OAY450" s="741"/>
      <c r="OAZ450" s="741"/>
      <c r="OBA450" s="741"/>
      <c r="OBB450" s="741"/>
      <c r="OBC450" s="741"/>
      <c r="OBD450" s="741"/>
      <c r="OBE450" s="741"/>
      <c r="OBF450" s="741"/>
      <c r="OBG450" s="741"/>
      <c r="OBH450" s="741"/>
      <c r="OBI450" s="741"/>
      <c r="OBJ450" s="741"/>
      <c r="OBK450" s="741"/>
      <c r="OBL450" s="741"/>
      <c r="OBM450" s="741"/>
      <c r="OBN450" s="741"/>
      <c r="OBO450" s="741"/>
      <c r="OBP450" s="741"/>
      <c r="OBQ450" s="741"/>
      <c r="OBR450" s="741"/>
      <c r="OBS450" s="741"/>
      <c r="OBT450" s="741"/>
      <c r="OBU450" s="741"/>
      <c r="OBV450" s="741"/>
      <c r="OBW450" s="741"/>
      <c r="OBX450" s="741"/>
      <c r="OBY450" s="741"/>
      <c r="OBZ450" s="741"/>
      <c r="OCA450" s="741"/>
      <c r="OCB450" s="741"/>
      <c r="OCC450" s="741"/>
      <c r="OCD450" s="741"/>
      <c r="OCE450" s="741"/>
      <c r="OCF450" s="741"/>
      <c r="OCG450" s="741"/>
      <c r="OCH450" s="741"/>
      <c r="OCI450" s="741"/>
      <c r="OCJ450" s="741"/>
      <c r="OCK450" s="741"/>
      <c r="OCL450" s="741"/>
      <c r="OCM450" s="741"/>
      <c r="OCN450" s="741"/>
      <c r="OCO450" s="741"/>
      <c r="OCP450" s="741"/>
      <c r="OCQ450" s="741"/>
      <c r="OCR450" s="741"/>
      <c r="OCS450" s="741"/>
      <c r="OCT450" s="741"/>
      <c r="OCU450" s="741"/>
      <c r="OCV450" s="741"/>
      <c r="OCW450" s="741"/>
      <c r="OCX450" s="741"/>
      <c r="OCY450" s="741"/>
      <c r="OCZ450" s="741"/>
      <c r="ODA450" s="741"/>
      <c r="ODB450" s="741"/>
      <c r="ODC450" s="741"/>
      <c r="ODD450" s="741"/>
      <c r="ODE450" s="741"/>
      <c r="ODF450" s="741"/>
      <c r="ODG450" s="741"/>
      <c r="ODH450" s="741"/>
      <c r="ODI450" s="741"/>
      <c r="ODJ450" s="741"/>
      <c r="ODK450" s="741"/>
      <c r="ODL450" s="741"/>
      <c r="ODM450" s="741"/>
      <c r="ODN450" s="741"/>
      <c r="ODO450" s="741"/>
      <c r="ODP450" s="741"/>
      <c r="ODQ450" s="741"/>
      <c r="ODR450" s="741"/>
      <c r="ODS450" s="741"/>
      <c r="ODT450" s="741"/>
      <c r="ODU450" s="741"/>
      <c r="ODV450" s="741"/>
      <c r="ODW450" s="741"/>
      <c r="ODX450" s="741"/>
      <c r="ODY450" s="741"/>
      <c r="ODZ450" s="741"/>
      <c r="OEA450" s="741"/>
      <c r="OEB450" s="741"/>
      <c r="OEC450" s="741"/>
      <c r="OED450" s="741"/>
      <c r="OEE450" s="741"/>
      <c r="OEF450" s="741"/>
      <c r="OEG450" s="741"/>
      <c r="OEH450" s="741"/>
      <c r="OEI450" s="741"/>
      <c r="OEJ450" s="741"/>
      <c r="OEK450" s="741"/>
      <c r="OEL450" s="741"/>
      <c r="OEM450" s="741"/>
      <c r="OEN450" s="741"/>
      <c r="OEO450" s="741"/>
      <c r="OEP450" s="741"/>
      <c r="OEQ450" s="741"/>
      <c r="OER450" s="741"/>
      <c r="OES450" s="741"/>
      <c r="OET450" s="741"/>
      <c r="OEU450" s="741"/>
      <c r="OEV450" s="741"/>
      <c r="OEW450" s="741"/>
      <c r="OEX450" s="741"/>
      <c r="OEY450" s="741"/>
      <c r="OEZ450" s="741"/>
      <c r="OFA450" s="741"/>
      <c r="OFB450" s="741"/>
      <c r="OFC450" s="741"/>
      <c r="OFD450" s="741"/>
      <c r="OFE450" s="741"/>
      <c r="OFF450" s="741"/>
      <c r="OFG450" s="741"/>
      <c r="OFH450" s="741"/>
      <c r="OFI450" s="741"/>
      <c r="OFJ450" s="741"/>
      <c r="OFK450" s="741"/>
      <c r="OFL450" s="741"/>
      <c r="OFM450" s="741"/>
      <c r="OFN450" s="741"/>
      <c r="OFO450" s="741"/>
      <c r="OFP450" s="741"/>
      <c r="OFQ450" s="741"/>
      <c r="OFR450" s="741"/>
      <c r="OFS450" s="741"/>
      <c r="OFT450" s="741"/>
      <c r="OFU450" s="741"/>
      <c r="OFV450" s="741"/>
      <c r="OFW450" s="741"/>
      <c r="OFX450" s="741"/>
      <c r="OFY450" s="741"/>
      <c r="OFZ450" s="741"/>
      <c r="OGA450" s="741"/>
      <c r="OGB450" s="741"/>
      <c r="OGC450" s="741"/>
      <c r="OGD450" s="741"/>
      <c r="OGE450" s="741"/>
      <c r="OGF450" s="741"/>
      <c r="OGG450" s="741"/>
      <c r="OGH450" s="741"/>
      <c r="OGI450" s="741"/>
      <c r="OGJ450" s="741"/>
      <c r="OGK450" s="741"/>
      <c r="OGL450" s="741"/>
      <c r="OGM450" s="741"/>
      <c r="OGN450" s="741"/>
      <c r="OGO450" s="741"/>
      <c r="OGP450" s="741"/>
      <c r="OGQ450" s="741"/>
      <c r="OGR450" s="741"/>
      <c r="OGS450" s="741"/>
      <c r="OGT450" s="741"/>
      <c r="OGU450" s="741"/>
      <c r="OGV450" s="741"/>
      <c r="OGW450" s="741"/>
      <c r="OGX450" s="741"/>
      <c r="OGY450" s="741"/>
      <c r="OGZ450" s="741"/>
      <c r="OHA450" s="741"/>
      <c r="OHB450" s="741"/>
      <c r="OHC450" s="741"/>
      <c r="OHD450" s="741"/>
      <c r="OHE450" s="741"/>
      <c r="OHF450" s="741"/>
      <c r="OHG450" s="741"/>
      <c r="OHH450" s="741"/>
      <c r="OHI450" s="741"/>
      <c r="OHJ450" s="741"/>
      <c r="OHK450" s="741"/>
      <c r="OHL450" s="741"/>
      <c r="OHM450" s="741"/>
      <c r="OHN450" s="741"/>
      <c r="OHO450" s="741"/>
      <c r="OHP450" s="741"/>
      <c r="OHQ450" s="741"/>
      <c r="OHR450" s="741"/>
      <c r="OHS450" s="741"/>
      <c r="OHT450" s="741"/>
      <c r="OHU450" s="741"/>
      <c r="OHV450" s="741"/>
      <c r="OHW450" s="741"/>
      <c r="OHX450" s="741"/>
      <c r="OHY450" s="741"/>
      <c r="OHZ450" s="741"/>
      <c r="OIA450" s="741"/>
      <c r="OIB450" s="741"/>
      <c r="OIC450" s="741"/>
      <c r="OID450" s="741"/>
      <c r="OIE450" s="741"/>
      <c r="OIF450" s="741"/>
      <c r="OIG450" s="741"/>
      <c r="OIH450" s="741"/>
      <c r="OII450" s="741"/>
      <c r="OIJ450" s="741"/>
      <c r="OIK450" s="741"/>
      <c r="OIL450" s="741"/>
      <c r="OIM450" s="741"/>
      <c r="OIN450" s="741"/>
      <c r="OIO450" s="741"/>
      <c r="OIP450" s="741"/>
      <c r="OIQ450" s="741"/>
      <c r="OIR450" s="741"/>
      <c r="OIS450" s="741"/>
      <c r="OIT450" s="741"/>
      <c r="OIU450" s="741"/>
      <c r="OIV450" s="741"/>
      <c r="OIW450" s="741"/>
      <c r="OIX450" s="741"/>
      <c r="OIY450" s="741"/>
      <c r="OIZ450" s="741"/>
      <c r="OJA450" s="741"/>
      <c r="OJB450" s="741"/>
      <c r="OJC450" s="741"/>
      <c r="OJD450" s="741"/>
      <c r="OJE450" s="741"/>
      <c r="OJF450" s="741"/>
      <c r="OJG450" s="741"/>
      <c r="OJH450" s="741"/>
      <c r="OJI450" s="741"/>
      <c r="OJJ450" s="741"/>
      <c r="OJK450" s="741"/>
      <c r="OJL450" s="741"/>
      <c r="OJM450" s="741"/>
      <c r="OJN450" s="741"/>
      <c r="OJO450" s="741"/>
      <c r="OJP450" s="741"/>
      <c r="OJQ450" s="741"/>
      <c r="OJR450" s="741"/>
      <c r="OJS450" s="741"/>
      <c r="OJT450" s="741"/>
      <c r="OJU450" s="741"/>
      <c r="OJV450" s="741"/>
      <c r="OJW450" s="741"/>
      <c r="OJX450" s="741"/>
      <c r="OJY450" s="741"/>
      <c r="OJZ450" s="741"/>
      <c r="OKA450" s="741"/>
      <c r="OKB450" s="741"/>
      <c r="OKC450" s="741"/>
      <c r="OKD450" s="741"/>
      <c r="OKE450" s="741"/>
      <c r="OKF450" s="741"/>
      <c r="OKG450" s="741"/>
      <c r="OKH450" s="741"/>
      <c r="OKI450" s="741"/>
      <c r="OKJ450" s="741"/>
      <c r="OKK450" s="741"/>
      <c r="OKL450" s="741"/>
      <c r="OKM450" s="741"/>
      <c r="OKN450" s="741"/>
      <c r="OKO450" s="741"/>
      <c r="OKP450" s="741"/>
      <c r="OKQ450" s="741"/>
      <c r="OKR450" s="741"/>
      <c r="OKS450" s="741"/>
      <c r="OKT450" s="741"/>
      <c r="OKU450" s="741"/>
      <c r="OKV450" s="741"/>
      <c r="OKW450" s="741"/>
      <c r="OKX450" s="741"/>
      <c r="OKY450" s="741"/>
      <c r="OKZ450" s="741"/>
      <c r="OLA450" s="741"/>
      <c r="OLB450" s="741"/>
      <c r="OLC450" s="741"/>
      <c r="OLD450" s="741"/>
      <c r="OLE450" s="741"/>
      <c r="OLF450" s="741"/>
      <c r="OLG450" s="741"/>
      <c r="OLH450" s="741"/>
      <c r="OLI450" s="741"/>
      <c r="OLJ450" s="741"/>
      <c r="OLK450" s="741"/>
      <c r="OLL450" s="741"/>
      <c r="OLM450" s="741"/>
      <c r="OLN450" s="741"/>
      <c r="OLO450" s="741"/>
      <c r="OLP450" s="741"/>
      <c r="OLQ450" s="741"/>
      <c r="OLR450" s="741"/>
      <c r="OLS450" s="741"/>
      <c r="OLT450" s="741"/>
      <c r="OLU450" s="741"/>
      <c r="OLV450" s="741"/>
      <c r="OLW450" s="741"/>
      <c r="OLX450" s="741"/>
      <c r="OLY450" s="741"/>
      <c r="OLZ450" s="741"/>
      <c r="OMA450" s="741"/>
      <c r="OMB450" s="741"/>
      <c r="OMC450" s="741"/>
      <c r="OMD450" s="741"/>
      <c r="OME450" s="741"/>
      <c r="OMF450" s="741"/>
      <c r="OMG450" s="741"/>
      <c r="OMH450" s="741"/>
      <c r="OMI450" s="741"/>
      <c r="OMJ450" s="741"/>
      <c r="OMK450" s="741"/>
      <c r="OML450" s="741"/>
      <c r="OMM450" s="741"/>
      <c r="OMN450" s="741"/>
      <c r="OMO450" s="741"/>
      <c r="OMP450" s="741"/>
      <c r="OMQ450" s="741"/>
      <c r="OMR450" s="741"/>
      <c r="OMS450" s="741"/>
      <c r="OMT450" s="741"/>
      <c r="OMU450" s="741"/>
      <c r="OMV450" s="741"/>
      <c r="OMW450" s="741"/>
      <c r="OMX450" s="741"/>
      <c r="OMY450" s="741"/>
      <c r="OMZ450" s="741"/>
      <c r="ONA450" s="741"/>
      <c r="ONB450" s="741"/>
      <c r="ONC450" s="741"/>
      <c r="OND450" s="741"/>
      <c r="ONE450" s="741"/>
      <c r="ONF450" s="741"/>
      <c r="ONG450" s="741"/>
      <c r="ONH450" s="741"/>
      <c r="ONI450" s="741"/>
      <c r="ONJ450" s="741"/>
      <c r="ONK450" s="741"/>
      <c r="ONL450" s="741"/>
      <c r="ONM450" s="741"/>
      <c r="ONN450" s="741"/>
      <c r="ONO450" s="741"/>
      <c r="ONP450" s="741"/>
      <c r="ONQ450" s="741"/>
      <c r="ONR450" s="741"/>
      <c r="ONS450" s="741"/>
      <c r="ONT450" s="741"/>
      <c r="ONU450" s="741"/>
      <c r="ONV450" s="741"/>
      <c r="ONW450" s="741"/>
      <c r="ONX450" s="741"/>
      <c r="ONY450" s="741"/>
      <c r="ONZ450" s="741"/>
      <c r="OOA450" s="741"/>
      <c r="OOB450" s="741"/>
      <c r="OOC450" s="741"/>
      <c r="OOD450" s="741"/>
      <c r="OOE450" s="741"/>
      <c r="OOF450" s="741"/>
      <c r="OOG450" s="741"/>
      <c r="OOH450" s="741"/>
      <c r="OOI450" s="741"/>
      <c r="OOJ450" s="741"/>
      <c r="OOK450" s="741"/>
      <c r="OOL450" s="741"/>
      <c r="OOM450" s="741"/>
      <c r="OON450" s="741"/>
      <c r="OOO450" s="741"/>
      <c r="OOP450" s="741"/>
      <c r="OOQ450" s="741"/>
      <c r="OOR450" s="741"/>
      <c r="OOS450" s="741"/>
      <c r="OOT450" s="741"/>
      <c r="OOU450" s="741"/>
      <c r="OOV450" s="741"/>
      <c r="OOW450" s="741"/>
      <c r="OOX450" s="741"/>
      <c r="OOY450" s="741"/>
      <c r="OOZ450" s="741"/>
      <c r="OPA450" s="741"/>
      <c r="OPB450" s="741"/>
      <c r="OPC450" s="741"/>
      <c r="OPD450" s="741"/>
      <c r="OPE450" s="741"/>
      <c r="OPF450" s="741"/>
      <c r="OPG450" s="741"/>
      <c r="OPH450" s="741"/>
      <c r="OPI450" s="741"/>
      <c r="OPJ450" s="741"/>
      <c r="OPK450" s="741"/>
      <c r="OPL450" s="741"/>
      <c r="OPM450" s="741"/>
      <c r="OPN450" s="741"/>
      <c r="OPO450" s="741"/>
      <c r="OPP450" s="741"/>
      <c r="OPQ450" s="741"/>
      <c r="OPR450" s="741"/>
      <c r="OPS450" s="741"/>
      <c r="OPT450" s="741"/>
      <c r="OPU450" s="741"/>
      <c r="OPV450" s="741"/>
      <c r="OPW450" s="741"/>
      <c r="OPX450" s="741"/>
      <c r="OPY450" s="741"/>
      <c r="OPZ450" s="741"/>
      <c r="OQA450" s="741"/>
      <c r="OQB450" s="741"/>
      <c r="OQC450" s="741"/>
      <c r="OQD450" s="741"/>
      <c r="OQE450" s="741"/>
      <c r="OQF450" s="741"/>
      <c r="OQG450" s="741"/>
      <c r="OQH450" s="741"/>
      <c r="OQI450" s="741"/>
      <c r="OQJ450" s="741"/>
      <c r="OQK450" s="741"/>
      <c r="OQL450" s="741"/>
      <c r="OQM450" s="741"/>
      <c r="OQN450" s="741"/>
      <c r="OQO450" s="741"/>
      <c r="OQP450" s="741"/>
      <c r="OQQ450" s="741"/>
      <c r="OQR450" s="741"/>
      <c r="OQS450" s="741"/>
      <c r="OQT450" s="741"/>
      <c r="OQU450" s="741"/>
      <c r="OQV450" s="741"/>
      <c r="OQW450" s="741"/>
      <c r="OQX450" s="741"/>
      <c r="OQY450" s="741"/>
      <c r="OQZ450" s="741"/>
      <c r="ORA450" s="741"/>
      <c r="ORB450" s="741"/>
      <c r="ORC450" s="741"/>
      <c r="ORD450" s="741"/>
      <c r="ORE450" s="741"/>
      <c r="ORF450" s="741"/>
      <c r="ORG450" s="741"/>
      <c r="ORH450" s="741"/>
      <c r="ORI450" s="741"/>
      <c r="ORJ450" s="741"/>
      <c r="ORK450" s="741"/>
      <c r="ORL450" s="741"/>
      <c r="ORM450" s="741"/>
      <c r="ORN450" s="741"/>
      <c r="ORO450" s="741"/>
      <c r="ORP450" s="741"/>
      <c r="ORQ450" s="741"/>
      <c r="ORR450" s="741"/>
      <c r="ORS450" s="741"/>
      <c r="ORT450" s="741"/>
      <c r="ORU450" s="741"/>
      <c r="ORV450" s="741"/>
      <c r="ORW450" s="741"/>
      <c r="ORX450" s="741"/>
      <c r="ORY450" s="741"/>
      <c r="ORZ450" s="741"/>
      <c r="OSA450" s="741"/>
      <c r="OSB450" s="741"/>
      <c r="OSC450" s="741"/>
      <c r="OSD450" s="741"/>
      <c r="OSE450" s="741"/>
      <c r="OSF450" s="741"/>
      <c r="OSG450" s="741"/>
      <c r="OSH450" s="741"/>
      <c r="OSI450" s="741"/>
      <c r="OSJ450" s="741"/>
      <c r="OSK450" s="741"/>
      <c r="OSL450" s="741"/>
      <c r="OSM450" s="741"/>
      <c r="OSN450" s="741"/>
      <c r="OSO450" s="741"/>
      <c r="OSP450" s="741"/>
      <c r="OSQ450" s="741"/>
      <c r="OSR450" s="741"/>
      <c r="OSS450" s="741"/>
      <c r="OST450" s="741"/>
      <c r="OSU450" s="741"/>
      <c r="OSV450" s="741"/>
      <c r="OSW450" s="741"/>
      <c r="OSX450" s="741"/>
      <c r="OSY450" s="741"/>
      <c r="OSZ450" s="741"/>
      <c r="OTA450" s="741"/>
      <c r="OTB450" s="741"/>
      <c r="OTC450" s="741"/>
      <c r="OTD450" s="741"/>
      <c r="OTE450" s="741"/>
      <c r="OTF450" s="741"/>
      <c r="OTG450" s="741"/>
      <c r="OTH450" s="741"/>
      <c r="OTI450" s="741"/>
      <c r="OTJ450" s="741"/>
      <c r="OTK450" s="741"/>
      <c r="OTL450" s="741"/>
      <c r="OTM450" s="741"/>
      <c r="OTN450" s="741"/>
      <c r="OTO450" s="741"/>
      <c r="OTP450" s="741"/>
      <c r="OTQ450" s="741"/>
      <c r="OTR450" s="741"/>
      <c r="OTS450" s="741"/>
      <c r="OTT450" s="741"/>
      <c r="OTU450" s="741"/>
      <c r="OTV450" s="741"/>
      <c r="OTW450" s="741"/>
      <c r="OTX450" s="741"/>
      <c r="OTY450" s="741"/>
      <c r="OTZ450" s="741"/>
      <c r="OUA450" s="741"/>
      <c r="OUB450" s="741"/>
      <c r="OUC450" s="741"/>
      <c r="OUD450" s="741"/>
      <c r="OUE450" s="741"/>
      <c r="OUF450" s="741"/>
      <c r="OUG450" s="741"/>
      <c r="OUH450" s="741"/>
      <c r="OUI450" s="741"/>
      <c r="OUJ450" s="741"/>
      <c r="OUK450" s="741"/>
      <c r="OUL450" s="741"/>
      <c r="OUM450" s="741"/>
      <c r="OUN450" s="741"/>
      <c r="OUO450" s="741"/>
      <c r="OUP450" s="741"/>
      <c r="OUQ450" s="741"/>
      <c r="OUR450" s="741"/>
      <c r="OUS450" s="741"/>
      <c r="OUT450" s="741"/>
      <c r="OUU450" s="741"/>
      <c r="OUV450" s="741"/>
      <c r="OUW450" s="741"/>
      <c r="OUX450" s="741"/>
      <c r="OUY450" s="741"/>
      <c r="OUZ450" s="741"/>
      <c r="OVA450" s="741"/>
      <c r="OVB450" s="741"/>
      <c r="OVC450" s="741"/>
      <c r="OVD450" s="741"/>
      <c r="OVE450" s="741"/>
      <c r="OVF450" s="741"/>
      <c r="OVG450" s="741"/>
      <c r="OVH450" s="741"/>
      <c r="OVI450" s="741"/>
      <c r="OVJ450" s="741"/>
      <c r="OVK450" s="741"/>
      <c r="OVL450" s="741"/>
      <c r="OVM450" s="741"/>
      <c r="OVN450" s="741"/>
      <c r="OVO450" s="741"/>
      <c r="OVP450" s="741"/>
      <c r="OVQ450" s="741"/>
      <c r="OVR450" s="741"/>
      <c r="OVS450" s="741"/>
      <c r="OVT450" s="741"/>
      <c r="OVU450" s="741"/>
      <c r="OVV450" s="741"/>
      <c r="OVW450" s="741"/>
      <c r="OVX450" s="741"/>
      <c r="OVY450" s="741"/>
      <c r="OVZ450" s="741"/>
      <c r="OWA450" s="741"/>
      <c r="OWB450" s="741"/>
      <c r="OWC450" s="741"/>
      <c r="OWD450" s="741"/>
      <c r="OWE450" s="741"/>
      <c r="OWF450" s="741"/>
      <c r="OWG450" s="741"/>
      <c r="OWH450" s="741"/>
      <c r="OWI450" s="741"/>
      <c r="OWJ450" s="741"/>
      <c r="OWK450" s="741"/>
      <c r="OWL450" s="741"/>
      <c r="OWM450" s="741"/>
      <c r="OWN450" s="741"/>
      <c r="OWO450" s="741"/>
      <c r="OWP450" s="741"/>
      <c r="OWQ450" s="741"/>
      <c r="OWR450" s="741"/>
      <c r="OWS450" s="741"/>
      <c r="OWT450" s="741"/>
      <c r="OWU450" s="741"/>
      <c r="OWV450" s="741"/>
      <c r="OWW450" s="741"/>
      <c r="OWX450" s="741"/>
      <c r="OWY450" s="741"/>
      <c r="OWZ450" s="741"/>
      <c r="OXA450" s="741"/>
      <c r="OXB450" s="741"/>
      <c r="OXC450" s="741"/>
      <c r="OXD450" s="741"/>
      <c r="OXE450" s="741"/>
      <c r="OXF450" s="741"/>
      <c r="OXG450" s="741"/>
      <c r="OXH450" s="741"/>
      <c r="OXI450" s="741"/>
      <c r="OXJ450" s="741"/>
      <c r="OXK450" s="741"/>
      <c r="OXL450" s="741"/>
      <c r="OXM450" s="741"/>
      <c r="OXN450" s="741"/>
      <c r="OXO450" s="741"/>
      <c r="OXP450" s="741"/>
      <c r="OXQ450" s="741"/>
      <c r="OXR450" s="741"/>
      <c r="OXS450" s="741"/>
      <c r="OXT450" s="741"/>
      <c r="OXU450" s="741"/>
      <c r="OXV450" s="741"/>
      <c r="OXW450" s="741"/>
      <c r="OXX450" s="741"/>
      <c r="OXY450" s="741"/>
      <c r="OXZ450" s="741"/>
      <c r="OYA450" s="741"/>
      <c r="OYB450" s="741"/>
      <c r="OYC450" s="741"/>
      <c r="OYD450" s="741"/>
      <c r="OYE450" s="741"/>
      <c r="OYF450" s="741"/>
      <c r="OYG450" s="741"/>
      <c r="OYH450" s="741"/>
      <c r="OYI450" s="741"/>
      <c r="OYJ450" s="741"/>
      <c r="OYK450" s="741"/>
      <c r="OYL450" s="741"/>
      <c r="OYM450" s="741"/>
      <c r="OYN450" s="741"/>
      <c r="OYO450" s="741"/>
      <c r="OYP450" s="741"/>
      <c r="OYQ450" s="741"/>
      <c r="OYR450" s="741"/>
      <c r="OYS450" s="741"/>
      <c r="OYT450" s="741"/>
      <c r="OYU450" s="741"/>
      <c r="OYV450" s="741"/>
      <c r="OYW450" s="741"/>
      <c r="OYX450" s="741"/>
      <c r="OYY450" s="741"/>
      <c r="OYZ450" s="741"/>
      <c r="OZA450" s="741"/>
      <c r="OZB450" s="741"/>
      <c r="OZC450" s="741"/>
      <c r="OZD450" s="741"/>
      <c r="OZE450" s="741"/>
      <c r="OZF450" s="741"/>
      <c r="OZG450" s="741"/>
      <c r="OZH450" s="741"/>
      <c r="OZI450" s="741"/>
      <c r="OZJ450" s="741"/>
      <c r="OZK450" s="741"/>
      <c r="OZL450" s="741"/>
      <c r="OZM450" s="741"/>
      <c r="OZN450" s="741"/>
      <c r="OZO450" s="741"/>
      <c r="OZP450" s="741"/>
      <c r="OZQ450" s="741"/>
      <c r="OZR450" s="741"/>
      <c r="OZS450" s="741"/>
      <c r="OZT450" s="741"/>
      <c r="OZU450" s="741"/>
      <c r="OZV450" s="741"/>
      <c r="OZW450" s="741"/>
      <c r="OZX450" s="741"/>
      <c r="OZY450" s="741"/>
      <c r="OZZ450" s="741"/>
      <c r="PAA450" s="741"/>
      <c r="PAB450" s="741"/>
      <c r="PAC450" s="741"/>
      <c r="PAD450" s="741"/>
      <c r="PAE450" s="741"/>
      <c r="PAF450" s="741"/>
      <c r="PAG450" s="741"/>
      <c r="PAH450" s="741"/>
      <c r="PAI450" s="741"/>
      <c r="PAJ450" s="741"/>
      <c r="PAK450" s="741"/>
      <c r="PAL450" s="741"/>
      <c r="PAM450" s="741"/>
      <c r="PAN450" s="741"/>
      <c r="PAO450" s="741"/>
      <c r="PAP450" s="741"/>
      <c r="PAQ450" s="741"/>
      <c r="PAR450" s="741"/>
      <c r="PAS450" s="741"/>
      <c r="PAT450" s="741"/>
      <c r="PAU450" s="741"/>
      <c r="PAV450" s="741"/>
      <c r="PAW450" s="741"/>
      <c r="PAX450" s="741"/>
      <c r="PAY450" s="741"/>
      <c r="PAZ450" s="741"/>
      <c r="PBA450" s="741"/>
      <c r="PBB450" s="741"/>
      <c r="PBC450" s="741"/>
      <c r="PBD450" s="741"/>
      <c r="PBE450" s="741"/>
      <c r="PBF450" s="741"/>
      <c r="PBG450" s="741"/>
      <c r="PBH450" s="741"/>
      <c r="PBI450" s="741"/>
      <c r="PBJ450" s="741"/>
      <c r="PBK450" s="741"/>
      <c r="PBL450" s="741"/>
      <c r="PBM450" s="741"/>
      <c r="PBN450" s="741"/>
      <c r="PBO450" s="741"/>
      <c r="PBP450" s="741"/>
      <c r="PBQ450" s="741"/>
      <c r="PBR450" s="741"/>
      <c r="PBS450" s="741"/>
      <c r="PBT450" s="741"/>
      <c r="PBU450" s="741"/>
      <c r="PBV450" s="741"/>
      <c r="PBW450" s="741"/>
      <c r="PBX450" s="741"/>
      <c r="PBY450" s="741"/>
      <c r="PBZ450" s="741"/>
      <c r="PCA450" s="741"/>
      <c r="PCB450" s="741"/>
      <c r="PCC450" s="741"/>
      <c r="PCD450" s="741"/>
      <c r="PCE450" s="741"/>
      <c r="PCF450" s="741"/>
      <c r="PCG450" s="741"/>
      <c r="PCH450" s="741"/>
      <c r="PCI450" s="741"/>
      <c r="PCJ450" s="741"/>
      <c r="PCK450" s="741"/>
      <c r="PCL450" s="741"/>
      <c r="PCM450" s="741"/>
      <c r="PCN450" s="741"/>
      <c r="PCO450" s="741"/>
      <c r="PCP450" s="741"/>
      <c r="PCQ450" s="741"/>
      <c r="PCR450" s="741"/>
      <c r="PCS450" s="741"/>
      <c r="PCT450" s="741"/>
      <c r="PCU450" s="741"/>
      <c r="PCV450" s="741"/>
      <c r="PCW450" s="741"/>
      <c r="PCX450" s="741"/>
      <c r="PCY450" s="741"/>
      <c r="PCZ450" s="741"/>
      <c r="PDA450" s="741"/>
      <c r="PDB450" s="741"/>
      <c r="PDC450" s="741"/>
      <c r="PDD450" s="741"/>
      <c r="PDE450" s="741"/>
      <c r="PDF450" s="741"/>
      <c r="PDG450" s="741"/>
      <c r="PDH450" s="741"/>
      <c r="PDI450" s="741"/>
      <c r="PDJ450" s="741"/>
      <c r="PDK450" s="741"/>
      <c r="PDL450" s="741"/>
      <c r="PDM450" s="741"/>
      <c r="PDN450" s="741"/>
      <c r="PDO450" s="741"/>
      <c r="PDP450" s="741"/>
      <c r="PDQ450" s="741"/>
      <c r="PDR450" s="741"/>
      <c r="PDS450" s="741"/>
      <c r="PDT450" s="741"/>
      <c r="PDU450" s="741"/>
      <c r="PDV450" s="741"/>
      <c r="PDW450" s="741"/>
      <c r="PDX450" s="741"/>
      <c r="PDY450" s="741"/>
      <c r="PDZ450" s="741"/>
      <c r="PEA450" s="741"/>
      <c r="PEB450" s="741"/>
      <c r="PEC450" s="741"/>
      <c r="PED450" s="741"/>
      <c r="PEE450" s="741"/>
      <c r="PEF450" s="741"/>
      <c r="PEG450" s="741"/>
      <c r="PEH450" s="741"/>
      <c r="PEI450" s="741"/>
      <c r="PEJ450" s="741"/>
      <c r="PEK450" s="741"/>
      <c r="PEL450" s="741"/>
      <c r="PEM450" s="741"/>
      <c r="PEN450" s="741"/>
      <c r="PEO450" s="741"/>
      <c r="PEP450" s="741"/>
      <c r="PEQ450" s="741"/>
      <c r="PER450" s="741"/>
      <c r="PES450" s="741"/>
      <c r="PET450" s="741"/>
      <c r="PEU450" s="741"/>
      <c r="PEV450" s="741"/>
      <c r="PEW450" s="741"/>
      <c r="PEX450" s="741"/>
      <c r="PEY450" s="741"/>
      <c r="PEZ450" s="741"/>
      <c r="PFA450" s="741"/>
      <c r="PFB450" s="741"/>
      <c r="PFC450" s="741"/>
      <c r="PFD450" s="741"/>
      <c r="PFE450" s="741"/>
      <c r="PFF450" s="741"/>
      <c r="PFG450" s="741"/>
      <c r="PFH450" s="741"/>
      <c r="PFI450" s="741"/>
      <c r="PFJ450" s="741"/>
      <c r="PFK450" s="741"/>
      <c r="PFL450" s="741"/>
      <c r="PFM450" s="741"/>
      <c r="PFN450" s="741"/>
      <c r="PFO450" s="741"/>
      <c r="PFP450" s="741"/>
      <c r="PFQ450" s="741"/>
      <c r="PFR450" s="741"/>
      <c r="PFS450" s="741"/>
      <c r="PFT450" s="741"/>
      <c r="PFU450" s="741"/>
      <c r="PFV450" s="741"/>
      <c r="PFW450" s="741"/>
      <c r="PFX450" s="741"/>
      <c r="PFY450" s="741"/>
      <c r="PFZ450" s="741"/>
      <c r="PGA450" s="741"/>
      <c r="PGB450" s="741"/>
      <c r="PGC450" s="741"/>
      <c r="PGD450" s="741"/>
      <c r="PGE450" s="741"/>
      <c r="PGF450" s="741"/>
      <c r="PGG450" s="741"/>
      <c r="PGH450" s="741"/>
      <c r="PGI450" s="741"/>
      <c r="PGJ450" s="741"/>
      <c r="PGK450" s="741"/>
      <c r="PGL450" s="741"/>
      <c r="PGM450" s="741"/>
      <c r="PGN450" s="741"/>
      <c r="PGO450" s="741"/>
      <c r="PGP450" s="741"/>
      <c r="PGQ450" s="741"/>
      <c r="PGR450" s="741"/>
      <c r="PGS450" s="741"/>
      <c r="PGT450" s="741"/>
      <c r="PGU450" s="741"/>
      <c r="PGV450" s="741"/>
      <c r="PGW450" s="741"/>
      <c r="PGX450" s="741"/>
      <c r="PGY450" s="741"/>
      <c r="PGZ450" s="741"/>
      <c r="PHA450" s="741"/>
      <c r="PHB450" s="741"/>
      <c r="PHC450" s="741"/>
      <c r="PHD450" s="741"/>
      <c r="PHE450" s="741"/>
      <c r="PHF450" s="741"/>
      <c r="PHG450" s="741"/>
      <c r="PHH450" s="741"/>
      <c r="PHI450" s="741"/>
      <c r="PHJ450" s="741"/>
      <c r="PHK450" s="741"/>
      <c r="PHL450" s="741"/>
      <c r="PHM450" s="741"/>
      <c r="PHN450" s="741"/>
      <c r="PHO450" s="741"/>
      <c r="PHP450" s="741"/>
      <c r="PHQ450" s="741"/>
      <c r="PHR450" s="741"/>
      <c r="PHS450" s="741"/>
      <c r="PHT450" s="741"/>
      <c r="PHU450" s="741"/>
      <c r="PHV450" s="741"/>
      <c r="PHW450" s="741"/>
      <c r="PHX450" s="741"/>
      <c r="PHY450" s="741"/>
      <c r="PHZ450" s="741"/>
      <c r="PIA450" s="741"/>
      <c r="PIB450" s="741"/>
      <c r="PIC450" s="741"/>
      <c r="PID450" s="741"/>
      <c r="PIE450" s="741"/>
      <c r="PIF450" s="741"/>
      <c r="PIG450" s="741"/>
      <c r="PIH450" s="741"/>
      <c r="PII450" s="741"/>
      <c r="PIJ450" s="741"/>
      <c r="PIK450" s="741"/>
      <c r="PIL450" s="741"/>
      <c r="PIM450" s="741"/>
      <c r="PIN450" s="741"/>
      <c r="PIO450" s="741"/>
      <c r="PIP450" s="741"/>
      <c r="PIQ450" s="741"/>
      <c r="PIR450" s="741"/>
      <c r="PIS450" s="741"/>
      <c r="PIT450" s="741"/>
      <c r="PIU450" s="741"/>
      <c r="PIV450" s="741"/>
      <c r="PIW450" s="741"/>
      <c r="PIX450" s="741"/>
      <c r="PIY450" s="741"/>
      <c r="PIZ450" s="741"/>
      <c r="PJA450" s="741"/>
      <c r="PJB450" s="741"/>
      <c r="PJC450" s="741"/>
      <c r="PJD450" s="741"/>
      <c r="PJE450" s="741"/>
      <c r="PJF450" s="741"/>
      <c r="PJG450" s="741"/>
      <c r="PJH450" s="741"/>
      <c r="PJI450" s="741"/>
      <c r="PJJ450" s="741"/>
      <c r="PJK450" s="741"/>
      <c r="PJL450" s="741"/>
      <c r="PJM450" s="741"/>
      <c r="PJN450" s="741"/>
      <c r="PJO450" s="741"/>
      <c r="PJP450" s="741"/>
      <c r="PJQ450" s="741"/>
      <c r="PJR450" s="741"/>
      <c r="PJS450" s="741"/>
      <c r="PJT450" s="741"/>
      <c r="PJU450" s="741"/>
      <c r="PJV450" s="741"/>
      <c r="PJW450" s="741"/>
      <c r="PJX450" s="741"/>
      <c r="PJY450" s="741"/>
      <c r="PJZ450" s="741"/>
      <c r="PKA450" s="741"/>
      <c r="PKB450" s="741"/>
      <c r="PKC450" s="741"/>
      <c r="PKD450" s="741"/>
      <c r="PKE450" s="741"/>
      <c r="PKF450" s="741"/>
      <c r="PKG450" s="741"/>
      <c r="PKH450" s="741"/>
      <c r="PKI450" s="741"/>
      <c r="PKJ450" s="741"/>
      <c r="PKK450" s="741"/>
      <c r="PKL450" s="741"/>
      <c r="PKM450" s="741"/>
      <c r="PKN450" s="741"/>
      <c r="PKO450" s="741"/>
      <c r="PKP450" s="741"/>
      <c r="PKQ450" s="741"/>
      <c r="PKR450" s="741"/>
      <c r="PKS450" s="741"/>
      <c r="PKT450" s="741"/>
      <c r="PKU450" s="741"/>
      <c r="PKV450" s="741"/>
      <c r="PKW450" s="741"/>
      <c r="PKX450" s="741"/>
      <c r="PKY450" s="741"/>
      <c r="PKZ450" s="741"/>
      <c r="PLA450" s="741"/>
      <c r="PLB450" s="741"/>
      <c r="PLC450" s="741"/>
      <c r="PLD450" s="741"/>
      <c r="PLE450" s="741"/>
      <c r="PLF450" s="741"/>
      <c r="PLG450" s="741"/>
      <c r="PLH450" s="741"/>
      <c r="PLI450" s="741"/>
      <c r="PLJ450" s="741"/>
      <c r="PLK450" s="741"/>
      <c r="PLL450" s="741"/>
      <c r="PLM450" s="741"/>
      <c r="PLN450" s="741"/>
      <c r="PLO450" s="741"/>
      <c r="PLP450" s="741"/>
      <c r="PLQ450" s="741"/>
      <c r="PLR450" s="741"/>
      <c r="PLS450" s="741"/>
      <c r="PLT450" s="741"/>
      <c r="PLU450" s="741"/>
      <c r="PLV450" s="741"/>
      <c r="PLW450" s="741"/>
      <c r="PLX450" s="741"/>
      <c r="PLY450" s="741"/>
      <c r="PLZ450" s="741"/>
      <c r="PMA450" s="741"/>
      <c r="PMB450" s="741"/>
      <c r="PMC450" s="741"/>
      <c r="PMD450" s="741"/>
      <c r="PME450" s="741"/>
      <c r="PMF450" s="741"/>
      <c r="PMG450" s="741"/>
      <c r="PMH450" s="741"/>
      <c r="PMI450" s="741"/>
      <c r="PMJ450" s="741"/>
      <c r="PMK450" s="741"/>
      <c r="PML450" s="741"/>
      <c r="PMM450" s="741"/>
      <c r="PMN450" s="741"/>
      <c r="PMO450" s="741"/>
      <c r="PMP450" s="741"/>
      <c r="PMQ450" s="741"/>
      <c r="PMR450" s="741"/>
      <c r="PMS450" s="741"/>
      <c r="PMT450" s="741"/>
      <c r="PMU450" s="741"/>
      <c r="PMV450" s="741"/>
      <c r="PMW450" s="741"/>
      <c r="PMX450" s="741"/>
      <c r="PMY450" s="741"/>
      <c r="PMZ450" s="741"/>
      <c r="PNA450" s="741"/>
      <c r="PNB450" s="741"/>
      <c r="PNC450" s="741"/>
      <c r="PND450" s="741"/>
      <c r="PNE450" s="741"/>
      <c r="PNF450" s="741"/>
      <c r="PNG450" s="741"/>
      <c r="PNH450" s="741"/>
      <c r="PNI450" s="741"/>
      <c r="PNJ450" s="741"/>
      <c r="PNK450" s="741"/>
      <c r="PNL450" s="741"/>
      <c r="PNM450" s="741"/>
      <c r="PNN450" s="741"/>
      <c r="PNO450" s="741"/>
      <c r="PNP450" s="741"/>
      <c r="PNQ450" s="741"/>
      <c r="PNR450" s="741"/>
      <c r="PNS450" s="741"/>
      <c r="PNT450" s="741"/>
      <c r="PNU450" s="741"/>
      <c r="PNV450" s="741"/>
      <c r="PNW450" s="741"/>
      <c r="PNX450" s="741"/>
      <c r="PNY450" s="741"/>
      <c r="PNZ450" s="741"/>
      <c r="POA450" s="741"/>
      <c r="POB450" s="741"/>
      <c r="POC450" s="741"/>
      <c r="POD450" s="741"/>
      <c r="POE450" s="741"/>
      <c r="POF450" s="741"/>
      <c r="POG450" s="741"/>
      <c r="POH450" s="741"/>
      <c r="POI450" s="741"/>
      <c r="POJ450" s="741"/>
      <c r="POK450" s="741"/>
      <c r="POL450" s="741"/>
      <c r="POM450" s="741"/>
      <c r="PON450" s="741"/>
      <c r="POO450" s="741"/>
      <c r="POP450" s="741"/>
      <c r="POQ450" s="741"/>
      <c r="POR450" s="741"/>
      <c r="POS450" s="741"/>
      <c r="POT450" s="741"/>
      <c r="POU450" s="741"/>
      <c r="POV450" s="741"/>
      <c r="POW450" s="741"/>
      <c r="POX450" s="741"/>
      <c r="POY450" s="741"/>
      <c r="POZ450" s="741"/>
      <c r="PPA450" s="741"/>
      <c r="PPB450" s="741"/>
      <c r="PPC450" s="741"/>
      <c r="PPD450" s="741"/>
      <c r="PPE450" s="741"/>
      <c r="PPF450" s="741"/>
      <c r="PPG450" s="741"/>
      <c r="PPH450" s="741"/>
      <c r="PPI450" s="741"/>
      <c r="PPJ450" s="741"/>
      <c r="PPK450" s="741"/>
      <c r="PPL450" s="741"/>
      <c r="PPM450" s="741"/>
      <c r="PPN450" s="741"/>
      <c r="PPO450" s="741"/>
      <c r="PPP450" s="741"/>
      <c r="PPQ450" s="741"/>
      <c r="PPR450" s="741"/>
      <c r="PPS450" s="741"/>
      <c r="PPT450" s="741"/>
      <c r="PPU450" s="741"/>
      <c r="PPV450" s="741"/>
      <c r="PPW450" s="741"/>
      <c r="PPX450" s="741"/>
      <c r="PPY450" s="741"/>
      <c r="PPZ450" s="741"/>
      <c r="PQA450" s="741"/>
      <c r="PQB450" s="741"/>
      <c r="PQC450" s="741"/>
      <c r="PQD450" s="741"/>
      <c r="PQE450" s="741"/>
      <c r="PQF450" s="741"/>
      <c r="PQG450" s="741"/>
      <c r="PQH450" s="741"/>
      <c r="PQI450" s="741"/>
      <c r="PQJ450" s="741"/>
      <c r="PQK450" s="741"/>
      <c r="PQL450" s="741"/>
      <c r="PQM450" s="741"/>
      <c r="PQN450" s="741"/>
      <c r="PQO450" s="741"/>
      <c r="PQP450" s="741"/>
      <c r="PQQ450" s="741"/>
      <c r="PQR450" s="741"/>
      <c r="PQS450" s="741"/>
      <c r="PQT450" s="741"/>
      <c r="PQU450" s="741"/>
      <c r="PQV450" s="741"/>
      <c r="PQW450" s="741"/>
      <c r="PQX450" s="741"/>
      <c r="PQY450" s="741"/>
      <c r="PQZ450" s="741"/>
      <c r="PRA450" s="741"/>
      <c r="PRB450" s="741"/>
      <c r="PRC450" s="741"/>
      <c r="PRD450" s="741"/>
      <c r="PRE450" s="741"/>
      <c r="PRF450" s="741"/>
      <c r="PRG450" s="741"/>
      <c r="PRH450" s="741"/>
      <c r="PRI450" s="741"/>
      <c r="PRJ450" s="741"/>
      <c r="PRK450" s="741"/>
      <c r="PRL450" s="741"/>
      <c r="PRM450" s="741"/>
      <c r="PRN450" s="741"/>
      <c r="PRO450" s="741"/>
      <c r="PRP450" s="741"/>
      <c r="PRQ450" s="741"/>
      <c r="PRR450" s="741"/>
      <c r="PRS450" s="741"/>
      <c r="PRT450" s="741"/>
      <c r="PRU450" s="741"/>
      <c r="PRV450" s="741"/>
      <c r="PRW450" s="741"/>
      <c r="PRX450" s="741"/>
      <c r="PRY450" s="741"/>
      <c r="PRZ450" s="741"/>
      <c r="PSA450" s="741"/>
      <c r="PSB450" s="741"/>
      <c r="PSC450" s="741"/>
      <c r="PSD450" s="741"/>
      <c r="PSE450" s="741"/>
      <c r="PSF450" s="741"/>
      <c r="PSG450" s="741"/>
      <c r="PSH450" s="741"/>
      <c r="PSI450" s="741"/>
      <c r="PSJ450" s="741"/>
      <c r="PSK450" s="741"/>
      <c r="PSL450" s="741"/>
      <c r="PSM450" s="741"/>
      <c r="PSN450" s="741"/>
      <c r="PSO450" s="741"/>
      <c r="PSP450" s="741"/>
      <c r="PSQ450" s="741"/>
      <c r="PSR450" s="741"/>
      <c r="PSS450" s="741"/>
      <c r="PST450" s="741"/>
      <c r="PSU450" s="741"/>
      <c r="PSV450" s="741"/>
      <c r="PSW450" s="741"/>
      <c r="PSX450" s="741"/>
      <c r="PSY450" s="741"/>
      <c r="PSZ450" s="741"/>
      <c r="PTA450" s="741"/>
      <c r="PTB450" s="741"/>
      <c r="PTC450" s="741"/>
      <c r="PTD450" s="741"/>
      <c r="PTE450" s="741"/>
      <c r="PTF450" s="741"/>
      <c r="PTG450" s="741"/>
      <c r="PTH450" s="741"/>
      <c r="PTI450" s="741"/>
      <c r="PTJ450" s="741"/>
      <c r="PTK450" s="741"/>
      <c r="PTL450" s="741"/>
      <c r="PTM450" s="741"/>
      <c r="PTN450" s="741"/>
      <c r="PTO450" s="741"/>
      <c r="PTP450" s="741"/>
      <c r="PTQ450" s="741"/>
      <c r="PTR450" s="741"/>
      <c r="PTS450" s="741"/>
      <c r="PTT450" s="741"/>
      <c r="PTU450" s="741"/>
      <c r="PTV450" s="741"/>
      <c r="PTW450" s="741"/>
      <c r="PTX450" s="741"/>
      <c r="PTY450" s="741"/>
      <c r="PTZ450" s="741"/>
      <c r="PUA450" s="741"/>
      <c r="PUB450" s="741"/>
      <c r="PUC450" s="741"/>
      <c r="PUD450" s="741"/>
      <c r="PUE450" s="741"/>
      <c r="PUF450" s="741"/>
      <c r="PUG450" s="741"/>
      <c r="PUH450" s="741"/>
      <c r="PUI450" s="741"/>
      <c r="PUJ450" s="741"/>
      <c r="PUK450" s="741"/>
      <c r="PUL450" s="741"/>
      <c r="PUM450" s="741"/>
      <c r="PUN450" s="741"/>
      <c r="PUO450" s="741"/>
      <c r="PUP450" s="741"/>
      <c r="PUQ450" s="741"/>
      <c r="PUR450" s="741"/>
      <c r="PUS450" s="741"/>
      <c r="PUT450" s="741"/>
      <c r="PUU450" s="741"/>
      <c r="PUV450" s="741"/>
      <c r="PUW450" s="741"/>
      <c r="PUX450" s="741"/>
      <c r="PUY450" s="741"/>
      <c r="PUZ450" s="741"/>
      <c r="PVA450" s="741"/>
      <c r="PVB450" s="741"/>
      <c r="PVC450" s="741"/>
      <c r="PVD450" s="741"/>
      <c r="PVE450" s="741"/>
      <c r="PVF450" s="741"/>
      <c r="PVG450" s="741"/>
      <c r="PVH450" s="741"/>
      <c r="PVI450" s="741"/>
      <c r="PVJ450" s="741"/>
      <c r="PVK450" s="741"/>
      <c r="PVL450" s="741"/>
      <c r="PVM450" s="741"/>
      <c r="PVN450" s="741"/>
      <c r="PVO450" s="741"/>
      <c r="PVP450" s="741"/>
      <c r="PVQ450" s="741"/>
      <c r="PVR450" s="741"/>
      <c r="PVS450" s="741"/>
      <c r="PVT450" s="741"/>
      <c r="PVU450" s="741"/>
      <c r="PVV450" s="741"/>
      <c r="PVW450" s="741"/>
      <c r="PVX450" s="741"/>
      <c r="PVY450" s="741"/>
      <c r="PVZ450" s="741"/>
      <c r="PWA450" s="741"/>
      <c r="PWB450" s="741"/>
      <c r="PWC450" s="741"/>
      <c r="PWD450" s="741"/>
      <c r="PWE450" s="741"/>
      <c r="PWF450" s="741"/>
      <c r="PWG450" s="741"/>
      <c r="PWH450" s="741"/>
      <c r="PWI450" s="741"/>
      <c r="PWJ450" s="741"/>
      <c r="PWK450" s="741"/>
      <c r="PWL450" s="741"/>
      <c r="PWM450" s="741"/>
      <c r="PWN450" s="741"/>
      <c r="PWO450" s="741"/>
      <c r="PWP450" s="741"/>
      <c r="PWQ450" s="741"/>
      <c r="PWR450" s="741"/>
      <c r="PWS450" s="741"/>
      <c r="PWT450" s="741"/>
      <c r="PWU450" s="741"/>
      <c r="PWV450" s="741"/>
      <c r="PWW450" s="741"/>
      <c r="PWX450" s="741"/>
      <c r="PWY450" s="741"/>
      <c r="PWZ450" s="741"/>
      <c r="PXA450" s="741"/>
      <c r="PXB450" s="741"/>
      <c r="PXC450" s="741"/>
      <c r="PXD450" s="741"/>
      <c r="PXE450" s="741"/>
      <c r="PXF450" s="741"/>
      <c r="PXG450" s="741"/>
      <c r="PXH450" s="741"/>
      <c r="PXI450" s="741"/>
      <c r="PXJ450" s="741"/>
      <c r="PXK450" s="741"/>
      <c r="PXL450" s="741"/>
      <c r="PXM450" s="741"/>
      <c r="PXN450" s="741"/>
      <c r="PXO450" s="741"/>
      <c r="PXP450" s="741"/>
      <c r="PXQ450" s="741"/>
      <c r="PXR450" s="741"/>
      <c r="PXS450" s="741"/>
      <c r="PXT450" s="741"/>
      <c r="PXU450" s="741"/>
      <c r="PXV450" s="741"/>
      <c r="PXW450" s="741"/>
      <c r="PXX450" s="741"/>
      <c r="PXY450" s="741"/>
      <c r="PXZ450" s="741"/>
      <c r="PYA450" s="741"/>
      <c r="PYB450" s="741"/>
      <c r="PYC450" s="741"/>
      <c r="PYD450" s="741"/>
      <c r="PYE450" s="741"/>
      <c r="PYF450" s="741"/>
      <c r="PYG450" s="741"/>
      <c r="PYH450" s="741"/>
      <c r="PYI450" s="741"/>
      <c r="PYJ450" s="741"/>
      <c r="PYK450" s="741"/>
      <c r="PYL450" s="741"/>
      <c r="PYM450" s="741"/>
      <c r="PYN450" s="741"/>
      <c r="PYO450" s="741"/>
      <c r="PYP450" s="741"/>
      <c r="PYQ450" s="741"/>
      <c r="PYR450" s="741"/>
      <c r="PYS450" s="741"/>
      <c r="PYT450" s="741"/>
      <c r="PYU450" s="741"/>
      <c r="PYV450" s="741"/>
      <c r="PYW450" s="741"/>
      <c r="PYX450" s="741"/>
      <c r="PYY450" s="741"/>
      <c r="PYZ450" s="741"/>
      <c r="PZA450" s="741"/>
      <c r="PZB450" s="741"/>
      <c r="PZC450" s="741"/>
      <c r="PZD450" s="741"/>
      <c r="PZE450" s="741"/>
      <c r="PZF450" s="741"/>
      <c r="PZG450" s="741"/>
      <c r="PZH450" s="741"/>
      <c r="PZI450" s="741"/>
      <c r="PZJ450" s="741"/>
      <c r="PZK450" s="741"/>
      <c r="PZL450" s="741"/>
      <c r="PZM450" s="741"/>
      <c r="PZN450" s="741"/>
      <c r="PZO450" s="741"/>
      <c r="PZP450" s="741"/>
      <c r="PZQ450" s="741"/>
      <c r="PZR450" s="741"/>
      <c r="PZS450" s="741"/>
      <c r="PZT450" s="741"/>
      <c r="PZU450" s="741"/>
      <c r="PZV450" s="741"/>
      <c r="PZW450" s="741"/>
      <c r="PZX450" s="741"/>
      <c r="PZY450" s="741"/>
      <c r="PZZ450" s="741"/>
      <c r="QAA450" s="741"/>
      <c r="QAB450" s="741"/>
      <c r="QAC450" s="741"/>
      <c r="QAD450" s="741"/>
      <c r="QAE450" s="741"/>
      <c r="QAF450" s="741"/>
      <c r="QAG450" s="741"/>
      <c r="QAH450" s="741"/>
      <c r="QAI450" s="741"/>
      <c r="QAJ450" s="741"/>
      <c r="QAK450" s="741"/>
      <c r="QAL450" s="741"/>
      <c r="QAM450" s="741"/>
      <c r="QAN450" s="741"/>
      <c r="QAO450" s="741"/>
      <c r="QAP450" s="741"/>
      <c r="QAQ450" s="741"/>
      <c r="QAR450" s="741"/>
      <c r="QAS450" s="741"/>
      <c r="QAT450" s="741"/>
      <c r="QAU450" s="741"/>
      <c r="QAV450" s="741"/>
      <c r="QAW450" s="741"/>
      <c r="QAX450" s="741"/>
      <c r="QAY450" s="741"/>
      <c r="QAZ450" s="741"/>
      <c r="QBA450" s="741"/>
      <c r="QBB450" s="741"/>
      <c r="QBC450" s="741"/>
      <c r="QBD450" s="741"/>
      <c r="QBE450" s="741"/>
      <c r="QBF450" s="741"/>
      <c r="QBG450" s="741"/>
      <c r="QBH450" s="741"/>
      <c r="QBI450" s="741"/>
      <c r="QBJ450" s="741"/>
      <c r="QBK450" s="741"/>
      <c r="QBL450" s="741"/>
      <c r="QBM450" s="741"/>
      <c r="QBN450" s="741"/>
      <c r="QBO450" s="741"/>
      <c r="QBP450" s="741"/>
      <c r="QBQ450" s="741"/>
      <c r="QBR450" s="741"/>
      <c r="QBS450" s="741"/>
      <c r="QBT450" s="741"/>
      <c r="QBU450" s="741"/>
      <c r="QBV450" s="741"/>
      <c r="QBW450" s="741"/>
      <c r="QBX450" s="741"/>
      <c r="QBY450" s="741"/>
      <c r="QBZ450" s="741"/>
      <c r="QCA450" s="741"/>
      <c r="QCB450" s="741"/>
      <c r="QCC450" s="741"/>
      <c r="QCD450" s="741"/>
      <c r="QCE450" s="741"/>
      <c r="QCF450" s="741"/>
      <c r="QCG450" s="741"/>
      <c r="QCH450" s="741"/>
      <c r="QCI450" s="741"/>
      <c r="QCJ450" s="741"/>
      <c r="QCK450" s="741"/>
      <c r="QCL450" s="741"/>
      <c r="QCM450" s="741"/>
      <c r="QCN450" s="741"/>
      <c r="QCO450" s="741"/>
      <c r="QCP450" s="741"/>
      <c r="QCQ450" s="741"/>
      <c r="QCR450" s="741"/>
      <c r="QCS450" s="741"/>
      <c r="QCT450" s="741"/>
      <c r="QCU450" s="741"/>
      <c r="QCV450" s="741"/>
      <c r="QCW450" s="741"/>
      <c r="QCX450" s="741"/>
      <c r="QCY450" s="741"/>
      <c r="QCZ450" s="741"/>
      <c r="QDA450" s="741"/>
      <c r="QDB450" s="741"/>
      <c r="QDC450" s="741"/>
      <c r="QDD450" s="741"/>
      <c r="QDE450" s="741"/>
      <c r="QDF450" s="741"/>
      <c r="QDG450" s="741"/>
      <c r="QDH450" s="741"/>
      <c r="QDI450" s="741"/>
      <c r="QDJ450" s="741"/>
      <c r="QDK450" s="741"/>
      <c r="QDL450" s="741"/>
      <c r="QDM450" s="741"/>
      <c r="QDN450" s="741"/>
      <c r="QDO450" s="741"/>
      <c r="QDP450" s="741"/>
      <c r="QDQ450" s="741"/>
      <c r="QDR450" s="741"/>
      <c r="QDS450" s="741"/>
      <c r="QDT450" s="741"/>
      <c r="QDU450" s="741"/>
      <c r="QDV450" s="741"/>
      <c r="QDW450" s="741"/>
      <c r="QDX450" s="741"/>
      <c r="QDY450" s="741"/>
      <c r="QDZ450" s="741"/>
      <c r="QEA450" s="741"/>
      <c r="QEB450" s="741"/>
      <c r="QEC450" s="741"/>
      <c r="QED450" s="741"/>
      <c r="QEE450" s="741"/>
      <c r="QEF450" s="741"/>
      <c r="QEG450" s="741"/>
      <c r="QEH450" s="741"/>
      <c r="QEI450" s="741"/>
      <c r="QEJ450" s="741"/>
      <c r="QEK450" s="741"/>
      <c r="QEL450" s="741"/>
      <c r="QEM450" s="741"/>
      <c r="QEN450" s="741"/>
      <c r="QEO450" s="741"/>
      <c r="QEP450" s="741"/>
      <c r="QEQ450" s="741"/>
      <c r="QER450" s="741"/>
      <c r="QES450" s="741"/>
      <c r="QET450" s="741"/>
      <c r="QEU450" s="741"/>
      <c r="QEV450" s="741"/>
      <c r="QEW450" s="741"/>
      <c r="QEX450" s="741"/>
      <c r="QEY450" s="741"/>
      <c r="QEZ450" s="741"/>
      <c r="QFA450" s="741"/>
      <c r="QFB450" s="741"/>
      <c r="QFC450" s="741"/>
      <c r="QFD450" s="741"/>
      <c r="QFE450" s="741"/>
      <c r="QFF450" s="741"/>
      <c r="QFG450" s="741"/>
      <c r="QFH450" s="741"/>
      <c r="QFI450" s="741"/>
      <c r="QFJ450" s="741"/>
      <c r="QFK450" s="741"/>
      <c r="QFL450" s="741"/>
      <c r="QFM450" s="741"/>
      <c r="QFN450" s="741"/>
      <c r="QFO450" s="741"/>
      <c r="QFP450" s="741"/>
      <c r="QFQ450" s="741"/>
      <c r="QFR450" s="741"/>
      <c r="QFS450" s="741"/>
      <c r="QFT450" s="741"/>
      <c r="QFU450" s="741"/>
      <c r="QFV450" s="741"/>
      <c r="QFW450" s="741"/>
      <c r="QFX450" s="741"/>
      <c r="QFY450" s="741"/>
      <c r="QFZ450" s="741"/>
      <c r="QGA450" s="741"/>
      <c r="QGB450" s="741"/>
      <c r="QGC450" s="741"/>
      <c r="QGD450" s="741"/>
      <c r="QGE450" s="741"/>
      <c r="QGF450" s="741"/>
      <c r="QGG450" s="741"/>
      <c r="QGH450" s="741"/>
      <c r="QGI450" s="741"/>
      <c r="QGJ450" s="741"/>
      <c r="QGK450" s="741"/>
      <c r="QGL450" s="741"/>
      <c r="QGM450" s="741"/>
      <c r="QGN450" s="741"/>
      <c r="QGO450" s="741"/>
      <c r="QGP450" s="741"/>
      <c r="QGQ450" s="741"/>
      <c r="QGR450" s="741"/>
      <c r="QGS450" s="741"/>
      <c r="QGT450" s="741"/>
      <c r="QGU450" s="741"/>
      <c r="QGV450" s="741"/>
      <c r="QGW450" s="741"/>
      <c r="QGX450" s="741"/>
      <c r="QGY450" s="741"/>
      <c r="QGZ450" s="741"/>
      <c r="QHA450" s="741"/>
      <c r="QHB450" s="741"/>
      <c r="QHC450" s="741"/>
      <c r="QHD450" s="741"/>
      <c r="QHE450" s="741"/>
      <c r="QHF450" s="741"/>
      <c r="QHG450" s="741"/>
      <c r="QHH450" s="741"/>
      <c r="QHI450" s="741"/>
      <c r="QHJ450" s="741"/>
      <c r="QHK450" s="741"/>
      <c r="QHL450" s="741"/>
      <c r="QHM450" s="741"/>
      <c r="QHN450" s="741"/>
      <c r="QHO450" s="741"/>
      <c r="QHP450" s="741"/>
      <c r="QHQ450" s="741"/>
      <c r="QHR450" s="741"/>
      <c r="QHS450" s="741"/>
      <c r="QHT450" s="741"/>
      <c r="QHU450" s="741"/>
      <c r="QHV450" s="741"/>
      <c r="QHW450" s="741"/>
      <c r="QHX450" s="741"/>
      <c r="QHY450" s="741"/>
      <c r="QHZ450" s="741"/>
      <c r="QIA450" s="741"/>
      <c r="QIB450" s="741"/>
      <c r="QIC450" s="741"/>
      <c r="QID450" s="741"/>
      <c r="QIE450" s="741"/>
      <c r="QIF450" s="741"/>
      <c r="QIG450" s="741"/>
      <c r="QIH450" s="741"/>
      <c r="QII450" s="741"/>
      <c r="QIJ450" s="741"/>
      <c r="QIK450" s="741"/>
      <c r="QIL450" s="741"/>
      <c r="QIM450" s="741"/>
      <c r="QIN450" s="741"/>
      <c r="QIO450" s="741"/>
      <c r="QIP450" s="741"/>
      <c r="QIQ450" s="741"/>
      <c r="QIR450" s="741"/>
      <c r="QIS450" s="741"/>
      <c r="QIT450" s="741"/>
      <c r="QIU450" s="741"/>
      <c r="QIV450" s="741"/>
      <c r="QIW450" s="741"/>
      <c r="QIX450" s="741"/>
      <c r="QIY450" s="741"/>
      <c r="QIZ450" s="741"/>
      <c r="QJA450" s="741"/>
      <c r="QJB450" s="741"/>
      <c r="QJC450" s="741"/>
      <c r="QJD450" s="741"/>
      <c r="QJE450" s="741"/>
      <c r="QJF450" s="741"/>
      <c r="QJG450" s="741"/>
      <c r="QJH450" s="741"/>
      <c r="QJI450" s="741"/>
      <c r="QJJ450" s="741"/>
      <c r="QJK450" s="741"/>
      <c r="QJL450" s="741"/>
      <c r="QJM450" s="741"/>
      <c r="QJN450" s="741"/>
      <c r="QJO450" s="741"/>
      <c r="QJP450" s="741"/>
      <c r="QJQ450" s="741"/>
      <c r="QJR450" s="741"/>
      <c r="QJS450" s="741"/>
      <c r="QJT450" s="741"/>
      <c r="QJU450" s="741"/>
      <c r="QJV450" s="741"/>
      <c r="QJW450" s="741"/>
      <c r="QJX450" s="741"/>
      <c r="QJY450" s="741"/>
      <c r="QJZ450" s="741"/>
      <c r="QKA450" s="741"/>
      <c r="QKB450" s="741"/>
      <c r="QKC450" s="741"/>
      <c r="QKD450" s="741"/>
      <c r="QKE450" s="741"/>
      <c r="QKF450" s="741"/>
      <c r="QKG450" s="741"/>
      <c r="QKH450" s="741"/>
      <c r="QKI450" s="741"/>
      <c r="QKJ450" s="741"/>
      <c r="QKK450" s="741"/>
      <c r="QKL450" s="741"/>
      <c r="QKM450" s="741"/>
      <c r="QKN450" s="741"/>
      <c r="QKO450" s="741"/>
      <c r="QKP450" s="741"/>
      <c r="QKQ450" s="741"/>
      <c r="QKR450" s="741"/>
      <c r="QKS450" s="741"/>
      <c r="QKT450" s="741"/>
      <c r="QKU450" s="741"/>
      <c r="QKV450" s="741"/>
      <c r="QKW450" s="741"/>
      <c r="QKX450" s="741"/>
      <c r="QKY450" s="741"/>
      <c r="QKZ450" s="741"/>
      <c r="QLA450" s="741"/>
      <c r="QLB450" s="741"/>
      <c r="QLC450" s="741"/>
      <c r="QLD450" s="741"/>
      <c r="QLE450" s="741"/>
      <c r="QLF450" s="741"/>
      <c r="QLG450" s="741"/>
      <c r="QLH450" s="741"/>
      <c r="QLI450" s="741"/>
      <c r="QLJ450" s="741"/>
      <c r="QLK450" s="741"/>
      <c r="QLL450" s="741"/>
      <c r="QLM450" s="741"/>
      <c r="QLN450" s="741"/>
      <c r="QLO450" s="741"/>
      <c r="QLP450" s="741"/>
      <c r="QLQ450" s="741"/>
      <c r="QLR450" s="741"/>
      <c r="QLS450" s="741"/>
      <c r="QLT450" s="741"/>
      <c r="QLU450" s="741"/>
      <c r="QLV450" s="741"/>
      <c r="QLW450" s="741"/>
      <c r="QLX450" s="741"/>
      <c r="QLY450" s="741"/>
      <c r="QLZ450" s="741"/>
      <c r="QMA450" s="741"/>
      <c r="QMB450" s="741"/>
      <c r="QMC450" s="741"/>
      <c r="QMD450" s="741"/>
      <c r="QME450" s="741"/>
      <c r="QMF450" s="741"/>
      <c r="QMG450" s="741"/>
      <c r="QMH450" s="741"/>
      <c r="QMI450" s="741"/>
      <c r="QMJ450" s="741"/>
      <c r="QMK450" s="741"/>
      <c r="QML450" s="741"/>
      <c r="QMM450" s="741"/>
      <c r="QMN450" s="741"/>
      <c r="QMO450" s="741"/>
      <c r="QMP450" s="741"/>
      <c r="QMQ450" s="741"/>
      <c r="QMR450" s="741"/>
      <c r="QMS450" s="741"/>
      <c r="QMT450" s="741"/>
      <c r="QMU450" s="741"/>
      <c r="QMV450" s="741"/>
      <c r="QMW450" s="741"/>
      <c r="QMX450" s="741"/>
      <c r="QMY450" s="741"/>
      <c r="QMZ450" s="741"/>
      <c r="QNA450" s="741"/>
      <c r="QNB450" s="741"/>
      <c r="QNC450" s="741"/>
      <c r="QND450" s="741"/>
      <c r="QNE450" s="741"/>
      <c r="QNF450" s="741"/>
      <c r="QNG450" s="741"/>
      <c r="QNH450" s="741"/>
      <c r="QNI450" s="741"/>
      <c r="QNJ450" s="741"/>
      <c r="QNK450" s="741"/>
      <c r="QNL450" s="741"/>
      <c r="QNM450" s="741"/>
      <c r="QNN450" s="741"/>
      <c r="QNO450" s="741"/>
      <c r="QNP450" s="741"/>
      <c r="QNQ450" s="741"/>
      <c r="QNR450" s="741"/>
      <c r="QNS450" s="741"/>
      <c r="QNT450" s="741"/>
      <c r="QNU450" s="741"/>
      <c r="QNV450" s="741"/>
      <c r="QNW450" s="741"/>
      <c r="QNX450" s="741"/>
      <c r="QNY450" s="741"/>
      <c r="QNZ450" s="741"/>
      <c r="QOA450" s="741"/>
      <c r="QOB450" s="741"/>
      <c r="QOC450" s="741"/>
      <c r="QOD450" s="741"/>
      <c r="QOE450" s="741"/>
      <c r="QOF450" s="741"/>
      <c r="QOG450" s="741"/>
      <c r="QOH450" s="741"/>
      <c r="QOI450" s="741"/>
      <c r="QOJ450" s="741"/>
      <c r="QOK450" s="741"/>
      <c r="QOL450" s="741"/>
      <c r="QOM450" s="741"/>
      <c r="QON450" s="741"/>
      <c r="QOO450" s="741"/>
      <c r="QOP450" s="741"/>
      <c r="QOQ450" s="741"/>
      <c r="QOR450" s="741"/>
      <c r="QOS450" s="741"/>
      <c r="QOT450" s="741"/>
      <c r="QOU450" s="741"/>
      <c r="QOV450" s="741"/>
      <c r="QOW450" s="741"/>
      <c r="QOX450" s="741"/>
      <c r="QOY450" s="741"/>
      <c r="QOZ450" s="741"/>
      <c r="QPA450" s="741"/>
      <c r="QPB450" s="741"/>
      <c r="QPC450" s="741"/>
      <c r="QPD450" s="741"/>
      <c r="QPE450" s="741"/>
      <c r="QPF450" s="741"/>
      <c r="QPG450" s="741"/>
      <c r="QPH450" s="741"/>
      <c r="QPI450" s="741"/>
      <c r="QPJ450" s="741"/>
      <c r="QPK450" s="741"/>
      <c r="QPL450" s="741"/>
      <c r="QPM450" s="741"/>
      <c r="QPN450" s="741"/>
      <c r="QPO450" s="741"/>
      <c r="QPP450" s="741"/>
      <c r="QPQ450" s="741"/>
      <c r="QPR450" s="741"/>
      <c r="QPS450" s="741"/>
      <c r="QPT450" s="741"/>
      <c r="QPU450" s="741"/>
      <c r="QPV450" s="741"/>
      <c r="QPW450" s="741"/>
      <c r="QPX450" s="741"/>
      <c r="QPY450" s="741"/>
      <c r="QPZ450" s="741"/>
      <c r="QQA450" s="741"/>
      <c r="QQB450" s="741"/>
      <c r="QQC450" s="741"/>
      <c r="QQD450" s="741"/>
      <c r="QQE450" s="741"/>
      <c r="QQF450" s="741"/>
      <c r="QQG450" s="741"/>
      <c r="QQH450" s="741"/>
      <c r="QQI450" s="741"/>
      <c r="QQJ450" s="741"/>
      <c r="QQK450" s="741"/>
      <c r="QQL450" s="741"/>
      <c r="QQM450" s="741"/>
      <c r="QQN450" s="741"/>
      <c r="QQO450" s="741"/>
      <c r="QQP450" s="741"/>
      <c r="QQQ450" s="741"/>
      <c r="QQR450" s="741"/>
      <c r="QQS450" s="741"/>
      <c r="QQT450" s="741"/>
      <c r="QQU450" s="741"/>
      <c r="QQV450" s="741"/>
      <c r="QQW450" s="741"/>
      <c r="QQX450" s="741"/>
      <c r="QQY450" s="741"/>
      <c r="QQZ450" s="741"/>
      <c r="QRA450" s="741"/>
      <c r="QRB450" s="741"/>
      <c r="QRC450" s="741"/>
      <c r="QRD450" s="741"/>
      <c r="QRE450" s="741"/>
      <c r="QRF450" s="741"/>
      <c r="QRG450" s="741"/>
      <c r="QRH450" s="741"/>
      <c r="QRI450" s="741"/>
      <c r="QRJ450" s="741"/>
      <c r="QRK450" s="741"/>
      <c r="QRL450" s="741"/>
      <c r="QRM450" s="741"/>
      <c r="QRN450" s="741"/>
      <c r="QRO450" s="741"/>
      <c r="QRP450" s="741"/>
      <c r="QRQ450" s="741"/>
      <c r="QRR450" s="741"/>
      <c r="QRS450" s="741"/>
      <c r="QRT450" s="741"/>
      <c r="QRU450" s="741"/>
      <c r="QRV450" s="741"/>
      <c r="QRW450" s="741"/>
      <c r="QRX450" s="741"/>
      <c r="QRY450" s="741"/>
      <c r="QRZ450" s="741"/>
      <c r="QSA450" s="741"/>
      <c r="QSB450" s="741"/>
      <c r="QSC450" s="741"/>
      <c r="QSD450" s="741"/>
      <c r="QSE450" s="741"/>
      <c r="QSF450" s="741"/>
      <c r="QSG450" s="741"/>
      <c r="QSH450" s="741"/>
      <c r="QSI450" s="741"/>
      <c r="QSJ450" s="741"/>
      <c r="QSK450" s="741"/>
      <c r="QSL450" s="741"/>
      <c r="QSM450" s="741"/>
      <c r="QSN450" s="741"/>
      <c r="QSO450" s="741"/>
      <c r="QSP450" s="741"/>
      <c r="QSQ450" s="741"/>
      <c r="QSR450" s="741"/>
      <c r="QSS450" s="741"/>
      <c r="QST450" s="741"/>
      <c r="QSU450" s="741"/>
      <c r="QSV450" s="741"/>
      <c r="QSW450" s="741"/>
      <c r="QSX450" s="741"/>
      <c r="QSY450" s="741"/>
      <c r="QSZ450" s="741"/>
      <c r="QTA450" s="741"/>
      <c r="QTB450" s="741"/>
      <c r="QTC450" s="741"/>
      <c r="QTD450" s="741"/>
      <c r="QTE450" s="741"/>
      <c r="QTF450" s="741"/>
      <c r="QTG450" s="741"/>
      <c r="QTH450" s="741"/>
      <c r="QTI450" s="741"/>
      <c r="QTJ450" s="741"/>
      <c r="QTK450" s="741"/>
      <c r="QTL450" s="741"/>
      <c r="QTM450" s="741"/>
      <c r="QTN450" s="741"/>
      <c r="QTO450" s="741"/>
      <c r="QTP450" s="741"/>
      <c r="QTQ450" s="741"/>
      <c r="QTR450" s="741"/>
      <c r="QTS450" s="741"/>
      <c r="QTT450" s="741"/>
      <c r="QTU450" s="741"/>
      <c r="QTV450" s="741"/>
      <c r="QTW450" s="741"/>
      <c r="QTX450" s="741"/>
      <c r="QTY450" s="741"/>
      <c r="QTZ450" s="741"/>
      <c r="QUA450" s="741"/>
      <c r="QUB450" s="741"/>
      <c r="QUC450" s="741"/>
      <c r="QUD450" s="741"/>
      <c r="QUE450" s="741"/>
      <c r="QUF450" s="741"/>
      <c r="QUG450" s="741"/>
      <c r="QUH450" s="741"/>
      <c r="QUI450" s="741"/>
      <c r="QUJ450" s="741"/>
      <c r="QUK450" s="741"/>
      <c r="QUL450" s="741"/>
      <c r="QUM450" s="741"/>
      <c r="QUN450" s="741"/>
      <c r="QUO450" s="741"/>
      <c r="QUP450" s="741"/>
      <c r="QUQ450" s="741"/>
      <c r="QUR450" s="741"/>
      <c r="QUS450" s="741"/>
      <c r="QUT450" s="741"/>
      <c r="QUU450" s="741"/>
      <c r="QUV450" s="741"/>
      <c r="QUW450" s="741"/>
      <c r="QUX450" s="741"/>
      <c r="QUY450" s="741"/>
      <c r="QUZ450" s="741"/>
      <c r="QVA450" s="741"/>
      <c r="QVB450" s="741"/>
      <c r="QVC450" s="741"/>
      <c r="QVD450" s="741"/>
      <c r="QVE450" s="741"/>
      <c r="QVF450" s="741"/>
      <c r="QVG450" s="741"/>
      <c r="QVH450" s="741"/>
      <c r="QVI450" s="741"/>
      <c r="QVJ450" s="741"/>
      <c r="QVK450" s="741"/>
      <c r="QVL450" s="741"/>
      <c r="QVM450" s="741"/>
      <c r="QVN450" s="741"/>
      <c r="QVO450" s="741"/>
      <c r="QVP450" s="741"/>
      <c r="QVQ450" s="741"/>
      <c r="QVR450" s="741"/>
      <c r="QVS450" s="741"/>
      <c r="QVT450" s="741"/>
      <c r="QVU450" s="741"/>
      <c r="QVV450" s="741"/>
      <c r="QVW450" s="741"/>
      <c r="QVX450" s="741"/>
      <c r="QVY450" s="741"/>
      <c r="QVZ450" s="741"/>
      <c r="QWA450" s="741"/>
      <c r="QWB450" s="741"/>
      <c r="QWC450" s="741"/>
      <c r="QWD450" s="741"/>
      <c r="QWE450" s="741"/>
      <c r="QWF450" s="741"/>
      <c r="QWG450" s="741"/>
      <c r="QWH450" s="741"/>
      <c r="QWI450" s="741"/>
      <c r="QWJ450" s="741"/>
      <c r="QWK450" s="741"/>
      <c r="QWL450" s="741"/>
      <c r="QWM450" s="741"/>
      <c r="QWN450" s="741"/>
      <c r="QWO450" s="741"/>
      <c r="QWP450" s="741"/>
      <c r="QWQ450" s="741"/>
      <c r="QWR450" s="741"/>
      <c r="QWS450" s="741"/>
      <c r="QWT450" s="741"/>
      <c r="QWU450" s="741"/>
      <c r="QWV450" s="741"/>
      <c r="QWW450" s="741"/>
      <c r="QWX450" s="741"/>
      <c r="QWY450" s="741"/>
      <c r="QWZ450" s="741"/>
      <c r="QXA450" s="741"/>
      <c r="QXB450" s="741"/>
      <c r="QXC450" s="741"/>
      <c r="QXD450" s="741"/>
      <c r="QXE450" s="741"/>
      <c r="QXF450" s="741"/>
      <c r="QXG450" s="741"/>
      <c r="QXH450" s="741"/>
      <c r="QXI450" s="741"/>
      <c r="QXJ450" s="741"/>
      <c r="QXK450" s="741"/>
      <c r="QXL450" s="741"/>
      <c r="QXM450" s="741"/>
      <c r="QXN450" s="741"/>
      <c r="QXO450" s="741"/>
      <c r="QXP450" s="741"/>
      <c r="QXQ450" s="741"/>
      <c r="QXR450" s="741"/>
      <c r="QXS450" s="741"/>
      <c r="QXT450" s="741"/>
      <c r="QXU450" s="741"/>
      <c r="QXV450" s="741"/>
      <c r="QXW450" s="741"/>
      <c r="QXX450" s="741"/>
      <c r="QXY450" s="741"/>
      <c r="QXZ450" s="741"/>
      <c r="QYA450" s="741"/>
      <c r="QYB450" s="741"/>
      <c r="QYC450" s="741"/>
      <c r="QYD450" s="741"/>
      <c r="QYE450" s="741"/>
      <c r="QYF450" s="741"/>
      <c r="QYG450" s="741"/>
      <c r="QYH450" s="741"/>
      <c r="QYI450" s="741"/>
      <c r="QYJ450" s="741"/>
      <c r="QYK450" s="741"/>
      <c r="QYL450" s="741"/>
      <c r="QYM450" s="741"/>
      <c r="QYN450" s="741"/>
      <c r="QYO450" s="741"/>
      <c r="QYP450" s="741"/>
      <c r="QYQ450" s="741"/>
      <c r="QYR450" s="741"/>
      <c r="QYS450" s="741"/>
      <c r="QYT450" s="741"/>
      <c r="QYU450" s="741"/>
      <c r="QYV450" s="741"/>
      <c r="QYW450" s="741"/>
      <c r="QYX450" s="741"/>
      <c r="QYY450" s="741"/>
      <c r="QYZ450" s="741"/>
      <c r="QZA450" s="741"/>
      <c r="QZB450" s="741"/>
      <c r="QZC450" s="741"/>
      <c r="QZD450" s="741"/>
      <c r="QZE450" s="741"/>
      <c r="QZF450" s="741"/>
      <c r="QZG450" s="741"/>
      <c r="QZH450" s="741"/>
      <c r="QZI450" s="741"/>
      <c r="QZJ450" s="741"/>
      <c r="QZK450" s="741"/>
      <c r="QZL450" s="741"/>
      <c r="QZM450" s="741"/>
      <c r="QZN450" s="741"/>
      <c r="QZO450" s="741"/>
      <c r="QZP450" s="741"/>
      <c r="QZQ450" s="741"/>
      <c r="QZR450" s="741"/>
      <c r="QZS450" s="741"/>
      <c r="QZT450" s="741"/>
      <c r="QZU450" s="741"/>
      <c r="QZV450" s="741"/>
      <c r="QZW450" s="741"/>
      <c r="QZX450" s="741"/>
      <c r="QZY450" s="741"/>
      <c r="QZZ450" s="741"/>
      <c r="RAA450" s="741"/>
      <c r="RAB450" s="741"/>
      <c r="RAC450" s="741"/>
      <c r="RAD450" s="741"/>
      <c r="RAE450" s="741"/>
      <c r="RAF450" s="741"/>
      <c r="RAG450" s="741"/>
      <c r="RAH450" s="741"/>
      <c r="RAI450" s="741"/>
      <c r="RAJ450" s="741"/>
      <c r="RAK450" s="741"/>
      <c r="RAL450" s="741"/>
      <c r="RAM450" s="741"/>
      <c r="RAN450" s="741"/>
      <c r="RAO450" s="741"/>
      <c r="RAP450" s="741"/>
      <c r="RAQ450" s="741"/>
      <c r="RAR450" s="741"/>
      <c r="RAS450" s="741"/>
      <c r="RAT450" s="741"/>
      <c r="RAU450" s="741"/>
      <c r="RAV450" s="741"/>
      <c r="RAW450" s="741"/>
      <c r="RAX450" s="741"/>
      <c r="RAY450" s="741"/>
      <c r="RAZ450" s="741"/>
      <c r="RBA450" s="741"/>
      <c r="RBB450" s="741"/>
      <c r="RBC450" s="741"/>
      <c r="RBD450" s="741"/>
      <c r="RBE450" s="741"/>
      <c r="RBF450" s="741"/>
      <c r="RBG450" s="741"/>
      <c r="RBH450" s="741"/>
      <c r="RBI450" s="741"/>
      <c r="RBJ450" s="741"/>
      <c r="RBK450" s="741"/>
      <c r="RBL450" s="741"/>
      <c r="RBM450" s="741"/>
      <c r="RBN450" s="741"/>
      <c r="RBO450" s="741"/>
      <c r="RBP450" s="741"/>
      <c r="RBQ450" s="741"/>
      <c r="RBR450" s="741"/>
      <c r="RBS450" s="741"/>
      <c r="RBT450" s="741"/>
      <c r="RBU450" s="741"/>
      <c r="RBV450" s="741"/>
      <c r="RBW450" s="741"/>
      <c r="RBX450" s="741"/>
      <c r="RBY450" s="741"/>
      <c r="RBZ450" s="741"/>
      <c r="RCA450" s="741"/>
      <c r="RCB450" s="741"/>
      <c r="RCC450" s="741"/>
      <c r="RCD450" s="741"/>
      <c r="RCE450" s="741"/>
      <c r="RCF450" s="741"/>
      <c r="RCG450" s="741"/>
      <c r="RCH450" s="741"/>
      <c r="RCI450" s="741"/>
      <c r="RCJ450" s="741"/>
      <c r="RCK450" s="741"/>
      <c r="RCL450" s="741"/>
      <c r="RCM450" s="741"/>
      <c r="RCN450" s="741"/>
      <c r="RCO450" s="741"/>
      <c r="RCP450" s="741"/>
      <c r="RCQ450" s="741"/>
      <c r="RCR450" s="741"/>
      <c r="RCS450" s="741"/>
      <c r="RCT450" s="741"/>
      <c r="RCU450" s="741"/>
      <c r="RCV450" s="741"/>
      <c r="RCW450" s="741"/>
      <c r="RCX450" s="741"/>
      <c r="RCY450" s="741"/>
      <c r="RCZ450" s="741"/>
      <c r="RDA450" s="741"/>
      <c r="RDB450" s="741"/>
      <c r="RDC450" s="741"/>
      <c r="RDD450" s="741"/>
      <c r="RDE450" s="741"/>
      <c r="RDF450" s="741"/>
      <c r="RDG450" s="741"/>
      <c r="RDH450" s="741"/>
      <c r="RDI450" s="741"/>
      <c r="RDJ450" s="741"/>
      <c r="RDK450" s="741"/>
      <c r="RDL450" s="741"/>
      <c r="RDM450" s="741"/>
      <c r="RDN450" s="741"/>
      <c r="RDO450" s="741"/>
      <c r="RDP450" s="741"/>
      <c r="RDQ450" s="741"/>
      <c r="RDR450" s="741"/>
      <c r="RDS450" s="741"/>
      <c r="RDT450" s="741"/>
      <c r="RDU450" s="741"/>
      <c r="RDV450" s="741"/>
      <c r="RDW450" s="741"/>
      <c r="RDX450" s="741"/>
      <c r="RDY450" s="741"/>
      <c r="RDZ450" s="741"/>
      <c r="REA450" s="741"/>
      <c r="REB450" s="741"/>
      <c r="REC450" s="741"/>
      <c r="RED450" s="741"/>
      <c r="REE450" s="741"/>
      <c r="REF450" s="741"/>
      <c r="REG450" s="741"/>
      <c r="REH450" s="741"/>
      <c r="REI450" s="741"/>
      <c r="REJ450" s="741"/>
      <c r="REK450" s="741"/>
      <c r="REL450" s="741"/>
      <c r="REM450" s="741"/>
      <c r="REN450" s="741"/>
      <c r="REO450" s="741"/>
      <c r="REP450" s="741"/>
      <c r="REQ450" s="741"/>
      <c r="RER450" s="741"/>
      <c r="RES450" s="741"/>
      <c r="RET450" s="741"/>
      <c r="REU450" s="741"/>
      <c r="REV450" s="741"/>
      <c r="REW450" s="741"/>
      <c r="REX450" s="741"/>
      <c r="REY450" s="741"/>
      <c r="REZ450" s="741"/>
      <c r="RFA450" s="741"/>
      <c r="RFB450" s="741"/>
      <c r="RFC450" s="741"/>
      <c r="RFD450" s="741"/>
      <c r="RFE450" s="741"/>
      <c r="RFF450" s="741"/>
      <c r="RFG450" s="741"/>
      <c r="RFH450" s="741"/>
      <c r="RFI450" s="741"/>
      <c r="RFJ450" s="741"/>
      <c r="RFK450" s="741"/>
      <c r="RFL450" s="741"/>
      <c r="RFM450" s="741"/>
      <c r="RFN450" s="741"/>
      <c r="RFO450" s="741"/>
      <c r="RFP450" s="741"/>
      <c r="RFQ450" s="741"/>
      <c r="RFR450" s="741"/>
      <c r="RFS450" s="741"/>
      <c r="RFT450" s="741"/>
      <c r="RFU450" s="741"/>
      <c r="RFV450" s="741"/>
      <c r="RFW450" s="741"/>
      <c r="RFX450" s="741"/>
      <c r="RFY450" s="741"/>
      <c r="RFZ450" s="741"/>
      <c r="RGA450" s="741"/>
      <c r="RGB450" s="741"/>
      <c r="RGC450" s="741"/>
      <c r="RGD450" s="741"/>
      <c r="RGE450" s="741"/>
      <c r="RGF450" s="741"/>
      <c r="RGG450" s="741"/>
      <c r="RGH450" s="741"/>
      <c r="RGI450" s="741"/>
      <c r="RGJ450" s="741"/>
      <c r="RGK450" s="741"/>
      <c r="RGL450" s="741"/>
      <c r="RGM450" s="741"/>
      <c r="RGN450" s="741"/>
      <c r="RGO450" s="741"/>
      <c r="RGP450" s="741"/>
      <c r="RGQ450" s="741"/>
      <c r="RGR450" s="741"/>
      <c r="RGS450" s="741"/>
      <c r="RGT450" s="741"/>
      <c r="RGU450" s="741"/>
      <c r="RGV450" s="741"/>
      <c r="RGW450" s="741"/>
      <c r="RGX450" s="741"/>
      <c r="RGY450" s="741"/>
      <c r="RGZ450" s="741"/>
      <c r="RHA450" s="741"/>
      <c r="RHB450" s="741"/>
      <c r="RHC450" s="741"/>
      <c r="RHD450" s="741"/>
      <c r="RHE450" s="741"/>
      <c r="RHF450" s="741"/>
      <c r="RHG450" s="741"/>
      <c r="RHH450" s="741"/>
      <c r="RHI450" s="741"/>
      <c r="RHJ450" s="741"/>
      <c r="RHK450" s="741"/>
      <c r="RHL450" s="741"/>
      <c r="RHM450" s="741"/>
      <c r="RHN450" s="741"/>
      <c r="RHO450" s="741"/>
      <c r="RHP450" s="741"/>
      <c r="RHQ450" s="741"/>
      <c r="RHR450" s="741"/>
      <c r="RHS450" s="741"/>
      <c r="RHT450" s="741"/>
      <c r="RHU450" s="741"/>
      <c r="RHV450" s="741"/>
      <c r="RHW450" s="741"/>
      <c r="RHX450" s="741"/>
      <c r="RHY450" s="741"/>
      <c r="RHZ450" s="741"/>
      <c r="RIA450" s="741"/>
      <c r="RIB450" s="741"/>
      <c r="RIC450" s="741"/>
      <c r="RID450" s="741"/>
      <c r="RIE450" s="741"/>
      <c r="RIF450" s="741"/>
      <c r="RIG450" s="741"/>
      <c r="RIH450" s="741"/>
      <c r="RII450" s="741"/>
      <c r="RIJ450" s="741"/>
      <c r="RIK450" s="741"/>
      <c r="RIL450" s="741"/>
      <c r="RIM450" s="741"/>
      <c r="RIN450" s="741"/>
      <c r="RIO450" s="741"/>
      <c r="RIP450" s="741"/>
      <c r="RIQ450" s="741"/>
      <c r="RIR450" s="741"/>
      <c r="RIS450" s="741"/>
      <c r="RIT450" s="741"/>
      <c r="RIU450" s="741"/>
      <c r="RIV450" s="741"/>
      <c r="RIW450" s="741"/>
      <c r="RIX450" s="741"/>
      <c r="RIY450" s="741"/>
      <c r="RIZ450" s="741"/>
      <c r="RJA450" s="741"/>
      <c r="RJB450" s="741"/>
      <c r="RJC450" s="741"/>
      <c r="RJD450" s="741"/>
      <c r="RJE450" s="741"/>
      <c r="RJF450" s="741"/>
      <c r="RJG450" s="741"/>
      <c r="RJH450" s="741"/>
      <c r="RJI450" s="741"/>
      <c r="RJJ450" s="741"/>
      <c r="RJK450" s="741"/>
      <c r="RJL450" s="741"/>
      <c r="RJM450" s="741"/>
      <c r="RJN450" s="741"/>
      <c r="RJO450" s="741"/>
      <c r="RJP450" s="741"/>
      <c r="RJQ450" s="741"/>
      <c r="RJR450" s="741"/>
      <c r="RJS450" s="741"/>
      <c r="RJT450" s="741"/>
      <c r="RJU450" s="741"/>
      <c r="RJV450" s="741"/>
      <c r="RJW450" s="741"/>
      <c r="RJX450" s="741"/>
      <c r="RJY450" s="741"/>
      <c r="RJZ450" s="741"/>
      <c r="RKA450" s="741"/>
      <c r="RKB450" s="741"/>
      <c r="RKC450" s="741"/>
      <c r="RKD450" s="741"/>
      <c r="RKE450" s="741"/>
      <c r="RKF450" s="741"/>
      <c r="RKG450" s="741"/>
      <c r="RKH450" s="741"/>
      <c r="RKI450" s="741"/>
      <c r="RKJ450" s="741"/>
      <c r="RKK450" s="741"/>
      <c r="RKL450" s="741"/>
      <c r="RKM450" s="741"/>
      <c r="RKN450" s="741"/>
      <c r="RKO450" s="741"/>
      <c r="RKP450" s="741"/>
      <c r="RKQ450" s="741"/>
      <c r="RKR450" s="741"/>
      <c r="RKS450" s="741"/>
      <c r="RKT450" s="741"/>
      <c r="RKU450" s="741"/>
      <c r="RKV450" s="741"/>
      <c r="RKW450" s="741"/>
      <c r="RKX450" s="741"/>
      <c r="RKY450" s="741"/>
      <c r="RKZ450" s="741"/>
      <c r="RLA450" s="741"/>
      <c r="RLB450" s="741"/>
      <c r="RLC450" s="741"/>
      <c r="RLD450" s="741"/>
      <c r="RLE450" s="741"/>
      <c r="RLF450" s="741"/>
      <c r="RLG450" s="741"/>
      <c r="RLH450" s="741"/>
      <c r="RLI450" s="741"/>
      <c r="RLJ450" s="741"/>
      <c r="RLK450" s="741"/>
      <c r="RLL450" s="741"/>
      <c r="RLM450" s="741"/>
      <c r="RLN450" s="741"/>
      <c r="RLO450" s="741"/>
      <c r="RLP450" s="741"/>
      <c r="RLQ450" s="741"/>
      <c r="RLR450" s="741"/>
      <c r="RLS450" s="741"/>
      <c r="RLT450" s="741"/>
      <c r="RLU450" s="741"/>
      <c r="RLV450" s="741"/>
      <c r="RLW450" s="741"/>
      <c r="RLX450" s="741"/>
      <c r="RLY450" s="741"/>
      <c r="RLZ450" s="741"/>
      <c r="RMA450" s="741"/>
      <c r="RMB450" s="741"/>
      <c r="RMC450" s="741"/>
      <c r="RMD450" s="741"/>
      <c r="RME450" s="741"/>
      <c r="RMF450" s="741"/>
      <c r="RMG450" s="741"/>
      <c r="RMH450" s="741"/>
      <c r="RMI450" s="741"/>
      <c r="RMJ450" s="741"/>
      <c r="RMK450" s="741"/>
      <c r="RML450" s="741"/>
      <c r="RMM450" s="741"/>
      <c r="RMN450" s="741"/>
      <c r="RMO450" s="741"/>
      <c r="RMP450" s="741"/>
      <c r="RMQ450" s="741"/>
      <c r="RMR450" s="741"/>
      <c r="RMS450" s="741"/>
      <c r="RMT450" s="741"/>
      <c r="RMU450" s="741"/>
      <c r="RMV450" s="741"/>
      <c r="RMW450" s="741"/>
      <c r="RMX450" s="741"/>
      <c r="RMY450" s="741"/>
      <c r="RMZ450" s="741"/>
      <c r="RNA450" s="741"/>
      <c r="RNB450" s="741"/>
      <c r="RNC450" s="741"/>
      <c r="RND450" s="741"/>
      <c r="RNE450" s="741"/>
      <c r="RNF450" s="741"/>
      <c r="RNG450" s="741"/>
      <c r="RNH450" s="741"/>
      <c r="RNI450" s="741"/>
      <c r="RNJ450" s="741"/>
      <c r="RNK450" s="741"/>
      <c r="RNL450" s="741"/>
      <c r="RNM450" s="741"/>
      <c r="RNN450" s="741"/>
      <c r="RNO450" s="741"/>
      <c r="RNP450" s="741"/>
      <c r="RNQ450" s="741"/>
      <c r="RNR450" s="741"/>
      <c r="RNS450" s="741"/>
      <c r="RNT450" s="741"/>
      <c r="RNU450" s="741"/>
      <c r="RNV450" s="741"/>
      <c r="RNW450" s="741"/>
      <c r="RNX450" s="741"/>
      <c r="RNY450" s="741"/>
      <c r="RNZ450" s="741"/>
      <c r="ROA450" s="741"/>
      <c r="ROB450" s="741"/>
      <c r="ROC450" s="741"/>
      <c r="ROD450" s="741"/>
      <c r="ROE450" s="741"/>
      <c r="ROF450" s="741"/>
      <c r="ROG450" s="741"/>
      <c r="ROH450" s="741"/>
      <c r="ROI450" s="741"/>
      <c r="ROJ450" s="741"/>
      <c r="ROK450" s="741"/>
      <c r="ROL450" s="741"/>
      <c r="ROM450" s="741"/>
      <c r="RON450" s="741"/>
      <c r="ROO450" s="741"/>
      <c r="ROP450" s="741"/>
      <c r="ROQ450" s="741"/>
      <c r="ROR450" s="741"/>
      <c r="ROS450" s="741"/>
      <c r="ROT450" s="741"/>
      <c r="ROU450" s="741"/>
      <c r="ROV450" s="741"/>
      <c r="ROW450" s="741"/>
      <c r="ROX450" s="741"/>
      <c r="ROY450" s="741"/>
      <c r="ROZ450" s="741"/>
      <c r="RPA450" s="741"/>
      <c r="RPB450" s="741"/>
      <c r="RPC450" s="741"/>
      <c r="RPD450" s="741"/>
      <c r="RPE450" s="741"/>
      <c r="RPF450" s="741"/>
      <c r="RPG450" s="741"/>
      <c r="RPH450" s="741"/>
      <c r="RPI450" s="741"/>
      <c r="RPJ450" s="741"/>
      <c r="RPK450" s="741"/>
      <c r="RPL450" s="741"/>
      <c r="RPM450" s="741"/>
      <c r="RPN450" s="741"/>
      <c r="RPO450" s="741"/>
      <c r="RPP450" s="741"/>
      <c r="RPQ450" s="741"/>
      <c r="RPR450" s="741"/>
      <c r="RPS450" s="741"/>
      <c r="RPT450" s="741"/>
      <c r="RPU450" s="741"/>
      <c r="RPV450" s="741"/>
      <c r="RPW450" s="741"/>
      <c r="RPX450" s="741"/>
      <c r="RPY450" s="741"/>
      <c r="RPZ450" s="741"/>
      <c r="RQA450" s="741"/>
      <c r="RQB450" s="741"/>
      <c r="RQC450" s="741"/>
      <c r="RQD450" s="741"/>
      <c r="RQE450" s="741"/>
      <c r="RQF450" s="741"/>
      <c r="RQG450" s="741"/>
      <c r="RQH450" s="741"/>
      <c r="RQI450" s="741"/>
      <c r="RQJ450" s="741"/>
      <c r="RQK450" s="741"/>
      <c r="RQL450" s="741"/>
      <c r="RQM450" s="741"/>
      <c r="RQN450" s="741"/>
      <c r="RQO450" s="741"/>
      <c r="RQP450" s="741"/>
      <c r="RQQ450" s="741"/>
      <c r="RQR450" s="741"/>
      <c r="RQS450" s="741"/>
      <c r="RQT450" s="741"/>
      <c r="RQU450" s="741"/>
      <c r="RQV450" s="741"/>
      <c r="RQW450" s="741"/>
      <c r="RQX450" s="741"/>
      <c r="RQY450" s="741"/>
      <c r="RQZ450" s="741"/>
      <c r="RRA450" s="741"/>
      <c r="RRB450" s="741"/>
      <c r="RRC450" s="741"/>
      <c r="RRD450" s="741"/>
      <c r="RRE450" s="741"/>
      <c r="RRF450" s="741"/>
      <c r="RRG450" s="741"/>
      <c r="RRH450" s="741"/>
      <c r="RRI450" s="741"/>
      <c r="RRJ450" s="741"/>
      <c r="RRK450" s="741"/>
      <c r="RRL450" s="741"/>
      <c r="RRM450" s="741"/>
      <c r="RRN450" s="741"/>
      <c r="RRO450" s="741"/>
      <c r="RRP450" s="741"/>
      <c r="RRQ450" s="741"/>
      <c r="RRR450" s="741"/>
      <c r="RRS450" s="741"/>
      <c r="RRT450" s="741"/>
      <c r="RRU450" s="741"/>
      <c r="RRV450" s="741"/>
      <c r="RRW450" s="741"/>
      <c r="RRX450" s="741"/>
      <c r="RRY450" s="741"/>
      <c r="RRZ450" s="741"/>
      <c r="RSA450" s="741"/>
      <c r="RSB450" s="741"/>
      <c r="RSC450" s="741"/>
      <c r="RSD450" s="741"/>
      <c r="RSE450" s="741"/>
      <c r="RSF450" s="741"/>
      <c r="RSG450" s="741"/>
      <c r="RSH450" s="741"/>
      <c r="RSI450" s="741"/>
      <c r="RSJ450" s="741"/>
      <c r="RSK450" s="741"/>
      <c r="RSL450" s="741"/>
      <c r="RSM450" s="741"/>
      <c r="RSN450" s="741"/>
      <c r="RSO450" s="741"/>
      <c r="RSP450" s="741"/>
      <c r="RSQ450" s="741"/>
      <c r="RSR450" s="741"/>
      <c r="RSS450" s="741"/>
      <c r="RST450" s="741"/>
      <c r="RSU450" s="741"/>
      <c r="RSV450" s="741"/>
      <c r="RSW450" s="741"/>
      <c r="RSX450" s="741"/>
      <c r="RSY450" s="741"/>
      <c r="RSZ450" s="741"/>
      <c r="RTA450" s="741"/>
      <c r="RTB450" s="741"/>
      <c r="RTC450" s="741"/>
      <c r="RTD450" s="741"/>
      <c r="RTE450" s="741"/>
      <c r="RTF450" s="741"/>
      <c r="RTG450" s="741"/>
      <c r="RTH450" s="741"/>
      <c r="RTI450" s="741"/>
      <c r="RTJ450" s="741"/>
      <c r="RTK450" s="741"/>
      <c r="RTL450" s="741"/>
      <c r="RTM450" s="741"/>
      <c r="RTN450" s="741"/>
      <c r="RTO450" s="741"/>
      <c r="RTP450" s="741"/>
      <c r="RTQ450" s="741"/>
      <c r="RTR450" s="741"/>
      <c r="RTS450" s="741"/>
      <c r="RTT450" s="741"/>
      <c r="RTU450" s="741"/>
      <c r="RTV450" s="741"/>
      <c r="RTW450" s="741"/>
      <c r="RTX450" s="741"/>
      <c r="RTY450" s="741"/>
      <c r="RTZ450" s="741"/>
      <c r="RUA450" s="741"/>
      <c r="RUB450" s="741"/>
      <c r="RUC450" s="741"/>
      <c r="RUD450" s="741"/>
      <c r="RUE450" s="741"/>
      <c r="RUF450" s="741"/>
      <c r="RUG450" s="741"/>
      <c r="RUH450" s="741"/>
      <c r="RUI450" s="741"/>
      <c r="RUJ450" s="741"/>
      <c r="RUK450" s="741"/>
      <c r="RUL450" s="741"/>
      <c r="RUM450" s="741"/>
      <c r="RUN450" s="741"/>
      <c r="RUO450" s="741"/>
      <c r="RUP450" s="741"/>
      <c r="RUQ450" s="741"/>
      <c r="RUR450" s="741"/>
      <c r="RUS450" s="741"/>
      <c r="RUT450" s="741"/>
      <c r="RUU450" s="741"/>
      <c r="RUV450" s="741"/>
      <c r="RUW450" s="741"/>
      <c r="RUX450" s="741"/>
      <c r="RUY450" s="741"/>
      <c r="RUZ450" s="741"/>
      <c r="RVA450" s="741"/>
      <c r="RVB450" s="741"/>
      <c r="RVC450" s="741"/>
      <c r="RVD450" s="741"/>
      <c r="RVE450" s="741"/>
      <c r="RVF450" s="741"/>
      <c r="RVG450" s="741"/>
      <c r="RVH450" s="741"/>
      <c r="RVI450" s="741"/>
      <c r="RVJ450" s="741"/>
      <c r="RVK450" s="741"/>
      <c r="RVL450" s="741"/>
      <c r="RVM450" s="741"/>
      <c r="RVN450" s="741"/>
      <c r="RVO450" s="741"/>
      <c r="RVP450" s="741"/>
      <c r="RVQ450" s="741"/>
      <c r="RVR450" s="741"/>
      <c r="RVS450" s="741"/>
      <c r="RVT450" s="741"/>
      <c r="RVU450" s="741"/>
      <c r="RVV450" s="741"/>
      <c r="RVW450" s="741"/>
      <c r="RVX450" s="741"/>
      <c r="RVY450" s="741"/>
      <c r="RVZ450" s="741"/>
      <c r="RWA450" s="741"/>
      <c r="RWB450" s="741"/>
      <c r="RWC450" s="741"/>
      <c r="RWD450" s="741"/>
      <c r="RWE450" s="741"/>
      <c r="RWF450" s="741"/>
      <c r="RWG450" s="741"/>
      <c r="RWH450" s="741"/>
      <c r="RWI450" s="741"/>
      <c r="RWJ450" s="741"/>
      <c r="RWK450" s="741"/>
      <c r="RWL450" s="741"/>
      <c r="RWM450" s="741"/>
      <c r="RWN450" s="741"/>
      <c r="RWO450" s="741"/>
      <c r="RWP450" s="741"/>
      <c r="RWQ450" s="741"/>
      <c r="RWR450" s="741"/>
      <c r="RWS450" s="741"/>
      <c r="RWT450" s="741"/>
      <c r="RWU450" s="741"/>
      <c r="RWV450" s="741"/>
      <c r="RWW450" s="741"/>
      <c r="RWX450" s="741"/>
      <c r="RWY450" s="741"/>
      <c r="RWZ450" s="741"/>
      <c r="RXA450" s="741"/>
      <c r="RXB450" s="741"/>
      <c r="RXC450" s="741"/>
      <c r="RXD450" s="741"/>
      <c r="RXE450" s="741"/>
      <c r="RXF450" s="741"/>
      <c r="RXG450" s="741"/>
      <c r="RXH450" s="741"/>
      <c r="RXI450" s="741"/>
      <c r="RXJ450" s="741"/>
      <c r="RXK450" s="741"/>
      <c r="RXL450" s="741"/>
      <c r="RXM450" s="741"/>
      <c r="RXN450" s="741"/>
      <c r="RXO450" s="741"/>
      <c r="RXP450" s="741"/>
      <c r="RXQ450" s="741"/>
      <c r="RXR450" s="741"/>
      <c r="RXS450" s="741"/>
      <c r="RXT450" s="741"/>
      <c r="RXU450" s="741"/>
      <c r="RXV450" s="741"/>
      <c r="RXW450" s="741"/>
      <c r="RXX450" s="741"/>
      <c r="RXY450" s="741"/>
      <c r="RXZ450" s="741"/>
      <c r="RYA450" s="741"/>
      <c r="RYB450" s="741"/>
      <c r="RYC450" s="741"/>
      <c r="RYD450" s="741"/>
      <c r="RYE450" s="741"/>
      <c r="RYF450" s="741"/>
      <c r="RYG450" s="741"/>
      <c r="RYH450" s="741"/>
      <c r="RYI450" s="741"/>
      <c r="RYJ450" s="741"/>
      <c r="RYK450" s="741"/>
      <c r="RYL450" s="741"/>
      <c r="RYM450" s="741"/>
      <c r="RYN450" s="741"/>
      <c r="RYO450" s="741"/>
      <c r="RYP450" s="741"/>
      <c r="RYQ450" s="741"/>
      <c r="RYR450" s="741"/>
      <c r="RYS450" s="741"/>
      <c r="RYT450" s="741"/>
      <c r="RYU450" s="741"/>
      <c r="RYV450" s="741"/>
      <c r="RYW450" s="741"/>
      <c r="RYX450" s="741"/>
      <c r="RYY450" s="741"/>
      <c r="RYZ450" s="741"/>
      <c r="RZA450" s="741"/>
      <c r="RZB450" s="741"/>
      <c r="RZC450" s="741"/>
      <c r="RZD450" s="741"/>
      <c r="RZE450" s="741"/>
      <c r="RZF450" s="741"/>
      <c r="RZG450" s="741"/>
      <c r="RZH450" s="741"/>
      <c r="RZI450" s="741"/>
      <c r="RZJ450" s="741"/>
      <c r="RZK450" s="741"/>
      <c r="RZL450" s="741"/>
      <c r="RZM450" s="741"/>
      <c r="RZN450" s="741"/>
      <c r="RZO450" s="741"/>
      <c r="RZP450" s="741"/>
      <c r="RZQ450" s="741"/>
      <c r="RZR450" s="741"/>
      <c r="RZS450" s="741"/>
      <c r="RZT450" s="741"/>
      <c r="RZU450" s="741"/>
      <c r="RZV450" s="741"/>
      <c r="RZW450" s="741"/>
      <c r="RZX450" s="741"/>
      <c r="RZY450" s="741"/>
      <c r="RZZ450" s="741"/>
      <c r="SAA450" s="741"/>
      <c r="SAB450" s="741"/>
      <c r="SAC450" s="741"/>
      <c r="SAD450" s="741"/>
      <c r="SAE450" s="741"/>
      <c r="SAF450" s="741"/>
      <c r="SAG450" s="741"/>
      <c r="SAH450" s="741"/>
      <c r="SAI450" s="741"/>
      <c r="SAJ450" s="741"/>
      <c r="SAK450" s="741"/>
      <c r="SAL450" s="741"/>
      <c r="SAM450" s="741"/>
      <c r="SAN450" s="741"/>
      <c r="SAO450" s="741"/>
      <c r="SAP450" s="741"/>
      <c r="SAQ450" s="741"/>
      <c r="SAR450" s="741"/>
      <c r="SAS450" s="741"/>
      <c r="SAT450" s="741"/>
      <c r="SAU450" s="741"/>
      <c r="SAV450" s="741"/>
      <c r="SAW450" s="741"/>
      <c r="SAX450" s="741"/>
      <c r="SAY450" s="741"/>
      <c r="SAZ450" s="741"/>
      <c r="SBA450" s="741"/>
      <c r="SBB450" s="741"/>
      <c r="SBC450" s="741"/>
      <c r="SBD450" s="741"/>
      <c r="SBE450" s="741"/>
      <c r="SBF450" s="741"/>
      <c r="SBG450" s="741"/>
      <c r="SBH450" s="741"/>
      <c r="SBI450" s="741"/>
      <c r="SBJ450" s="741"/>
      <c r="SBK450" s="741"/>
      <c r="SBL450" s="741"/>
      <c r="SBM450" s="741"/>
      <c r="SBN450" s="741"/>
      <c r="SBO450" s="741"/>
      <c r="SBP450" s="741"/>
      <c r="SBQ450" s="741"/>
      <c r="SBR450" s="741"/>
      <c r="SBS450" s="741"/>
      <c r="SBT450" s="741"/>
      <c r="SBU450" s="741"/>
      <c r="SBV450" s="741"/>
      <c r="SBW450" s="741"/>
      <c r="SBX450" s="741"/>
      <c r="SBY450" s="741"/>
      <c r="SBZ450" s="741"/>
      <c r="SCA450" s="741"/>
      <c r="SCB450" s="741"/>
      <c r="SCC450" s="741"/>
      <c r="SCD450" s="741"/>
      <c r="SCE450" s="741"/>
      <c r="SCF450" s="741"/>
      <c r="SCG450" s="741"/>
      <c r="SCH450" s="741"/>
      <c r="SCI450" s="741"/>
      <c r="SCJ450" s="741"/>
      <c r="SCK450" s="741"/>
      <c r="SCL450" s="741"/>
      <c r="SCM450" s="741"/>
      <c r="SCN450" s="741"/>
      <c r="SCO450" s="741"/>
      <c r="SCP450" s="741"/>
      <c r="SCQ450" s="741"/>
      <c r="SCR450" s="741"/>
      <c r="SCS450" s="741"/>
      <c r="SCT450" s="741"/>
      <c r="SCU450" s="741"/>
      <c r="SCV450" s="741"/>
      <c r="SCW450" s="741"/>
      <c r="SCX450" s="741"/>
      <c r="SCY450" s="741"/>
      <c r="SCZ450" s="741"/>
      <c r="SDA450" s="741"/>
      <c r="SDB450" s="741"/>
      <c r="SDC450" s="741"/>
      <c r="SDD450" s="741"/>
      <c r="SDE450" s="741"/>
      <c r="SDF450" s="741"/>
      <c r="SDG450" s="741"/>
      <c r="SDH450" s="741"/>
      <c r="SDI450" s="741"/>
      <c r="SDJ450" s="741"/>
      <c r="SDK450" s="741"/>
      <c r="SDL450" s="741"/>
      <c r="SDM450" s="741"/>
      <c r="SDN450" s="741"/>
      <c r="SDO450" s="741"/>
      <c r="SDP450" s="741"/>
      <c r="SDQ450" s="741"/>
      <c r="SDR450" s="741"/>
      <c r="SDS450" s="741"/>
      <c r="SDT450" s="741"/>
      <c r="SDU450" s="741"/>
      <c r="SDV450" s="741"/>
      <c r="SDW450" s="741"/>
      <c r="SDX450" s="741"/>
      <c r="SDY450" s="741"/>
      <c r="SDZ450" s="741"/>
      <c r="SEA450" s="741"/>
      <c r="SEB450" s="741"/>
      <c r="SEC450" s="741"/>
      <c r="SED450" s="741"/>
      <c r="SEE450" s="741"/>
      <c r="SEF450" s="741"/>
      <c r="SEG450" s="741"/>
      <c r="SEH450" s="741"/>
      <c r="SEI450" s="741"/>
      <c r="SEJ450" s="741"/>
      <c r="SEK450" s="741"/>
      <c r="SEL450" s="741"/>
      <c r="SEM450" s="741"/>
      <c r="SEN450" s="741"/>
      <c r="SEO450" s="741"/>
      <c r="SEP450" s="741"/>
      <c r="SEQ450" s="741"/>
      <c r="SER450" s="741"/>
      <c r="SES450" s="741"/>
      <c r="SET450" s="741"/>
      <c r="SEU450" s="741"/>
      <c r="SEV450" s="741"/>
      <c r="SEW450" s="741"/>
      <c r="SEX450" s="741"/>
      <c r="SEY450" s="741"/>
      <c r="SEZ450" s="741"/>
      <c r="SFA450" s="741"/>
      <c r="SFB450" s="741"/>
      <c r="SFC450" s="741"/>
      <c r="SFD450" s="741"/>
      <c r="SFE450" s="741"/>
      <c r="SFF450" s="741"/>
      <c r="SFG450" s="741"/>
      <c r="SFH450" s="741"/>
      <c r="SFI450" s="741"/>
      <c r="SFJ450" s="741"/>
      <c r="SFK450" s="741"/>
      <c r="SFL450" s="741"/>
      <c r="SFM450" s="741"/>
      <c r="SFN450" s="741"/>
      <c r="SFO450" s="741"/>
      <c r="SFP450" s="741"/>
      <c r="SFQ450" s="741"/>
      <c r="SFR450" s="741"/>
      <c r="SFS450" s="741"/>
      <c r="SFT450" s="741"/>
      <c r="SFU450" s="741"/>
      <c r="SFV450" s="741"/>
      <c r="SFW450" s="741"/>
      <c r="SFX450" s="741"/>
      <c r="SFY450" s="741"/>
      <c r="SFZ450" s="741"/>
      <c r="SGA450" s="741"/>
      <c r="SGB450" s="741"/>
      <c r="SGC450" s="741"/>
      <c r="SGD450" s="741"/>
      <c r="SGE450" s="741"/>
      <c r="SGF450" s="741"/>
      <c r="SGG450" s="741"/>
      <c r="SGH450" s="741"/>
      <c r="SGI450" s="741"/>
      <c r="SGJ450" s="741"/>
      <c r="SGK450" s="741"/>
      <c r="SGL450" s="741"/>
      <c r="SGM450" s="741"/>
      <c r="SGN450" s="741"/>
      <c r="SGO450" s="741"/>
      <c r="SGP450" s="741"/>
      <c r="SGQ450" s="741"/>
      <c r="SGR450" s="741"/>
      <c r="SGS450" s="741"/>
      <c r="SGT450" s="741"/>
      <c r="SGU450" s="741"/>
      <c r="SGV450" s="741"/>
      <c r="SGW450" s="741"/>
      <c r="SGX450" s="741"/>
      <c r="SGY450" s="741"/>
      <c r="SGZ450" s="741"/>
      <c r="SHA450" s="741"/>
      <c r="SHB450" s="741"/>
      <c r="SHC450" s="741"/>
      <c r="SHD450" s="741"/>
      <c r="SHE450" s="741"/>
      <c r="SHF450" s="741"/>
      <c r="SHG450" s="741"/>
      <c r="SHH450" s="741"/>
      <c r="SHI450" s="741"/>
      <c r="SHJ450" s="741"/>
      <c r="SHK450" s="741"/>
      <c r="SHL450" s="741"/>
      <c r="SHM450" s="741"/>
      <c r="SHN450" s="741"/>
      <c r="SHO450" s="741"/>
      <c r="SHP450" s="741"/>
      <c r="SHQ450" s="741"/>
      <c r="SHR450" s="741"/>
      <c r="SHS450" s="741"/>
      <c r="SHT450" s="741"/>
      <c r="SHU450" s="741"/>
      <c r="SHV450" s="741"/>
      <c r="SHW450" s="741"/>
      <c r="SHX450" s="741"/>
      <c r="SHY450" s="741"/>
      <c r="SHZ450" s="741"/>
      <c r="SIA450" s="741"/>
      <c r="SIB450" s="741"/>
      <c r="SIC450" s="741"/>
      <c r="SID450" s="741"/>
      <c r="SIE450" s="741"/>
      <c r="SIF450" s="741"/>
      <c r="SIG450" s="741"/>
      <c r="SIH450" s="741"/>
      <c r="SII450" s="741"/>
      <c r="SIJ450" s="741"/>
      <c r="SIK450" s="741"/>
      <c r="SIL450" s="741"/>
      <c r="SIM450" s="741"/>
      <c r="SIN450" s="741"/>
      <c r="SIO450" s="741"/>
      <c r="SIP450" s="741"/>
      <c r="SIQ450" s="741"/>
      <c r="SIR450" s="741"/>
      <c r="SIS450" s="741"/>
      <c r="SIT450" s="741"/>
      <c r="SIU450" s="741"/>
      <c r="SIV450" s="741"/>
      <c r="SIW450" s="741"/>
      <c r="SIX450" s="741"/>
      <c r="SIY450" s="741"/>
      <c r="SIZ450" s="741"/>
      <c r="SJA450" s="741"/>
      <c r="SJB450" s="741"/>
      <c r="SJC450" s="741"/>
      <c r="SJD450" s="741"/>
      <c r="SJE450" s="741"/>
      <c r="SJF450" s="741"/>
      <c r="SJG450" s="741"/>
      <c r="SJH450" s="741"/>
      <c r="SJI450" s="741"/>
      <c r="SJJ450" s="741"/>
      <c r="SJK450" s="741"/>
      <c r="SJL450" s="741"/>
      <c r="SJM450" s="741"/>
      <c r="SJN450" s="741"/>
      <c r="SJO450" s="741"/>
      <c r="SJP450" s="741"/>
      <c r="SJQ450" s="741"/>
      <c r="SJR450" s="741"/>
      <c r="SJS450" s="741"/>
      <c r="SJT450" s="741"/>
      <c r="SJU450" s="741"/>
      <c r="SJV450" s="741"/>
      <c r="SJW450" s="741"/>
      <c r="SJX450" s="741"/>
      <c r="SJY450" s="741"/>
      <c r="SJZ450" s="741"/>
      <c r="SKA450" s="741"/>
      <c r="SKB450" s="741"/>
      <c r="SKC450" s="741"/>
      <c r="SKD450" s="741"/>
      <c r="SKE450" s="741"/>
      <c r="SKF450" s="741"/>
      <c r="SKG450" s="741"/>
      <c r="SKH450" s="741"/>
      <c r="SKI450" s="741"/>
      <c r="SKJ450" s="741"/>
      <c r="SKK450" s="741"/>
      <c r="SKL450" s="741"/>
      <c r="SKM450" s="741"/>
      <c r="SKN450" s="741"/>
      <c r="SKO450" s="741"/>
      <c r="SKP450" s="741"/>
      <c r="SKQ450" s="741"/>
      <c r="SKR450" s="741"/>
      <c r="SKS450" s="741"/>
      <c r="SKT450" s="741"/>
      <c r="SKU450" s="741"/>
      <c r="SKV450" s="741"/>
      <c r="SKW450" s="741"/>
      <c r="SKX450" s="741"/>
      <c r="SKY450" s="741"/>
      <c r="SKZ450" s="741"/>
      <c r="SLA450" s="741"/>
      <c r="SLB450" s="741"/>
      <c r="SLC450" s="741"/>
      <c r="SLD450" s="741"/>
      <c r="SLE450" s="741"/>
      <c r="SLF450" s="741"/>
      <c r="SLG450" s="741"/>
      <c r="SLH450" s="741"/>
      <c r="SLI450" s="741"/>
      <c r="SLJ450" s="741"/>
      <c r="SLK450" s="741"/>
      <c r="SLL450" s="741"/>
      <c r="SLM450" s="741"/>
      <c r="SLN450" s="741"/>
      <c r="SLO450" s="741"/>
      <c r="SLP450" s="741"/>
      <c r="SLQ450" s="741"/>
      <c r="SLR450" s="741"/>
      <c r="SLS450" s="741"/>
      <c r="SLT450" s="741"/>
      <c r="SLU450" s="741"/>
      <c r="SLV450" s="741"/>
      <c r="SLW450" s="741"/>
      <c r="SLX450" s="741"/>
      <c r="SLY450" s="741"/>
      <c r="SLZ450" s="741"/>
      <c r="SMA450" s="741"/>
      <c r="SMB450" s="741"/>
      <c r="SMC450" s="741"/>
      <c r="SMD450" s="741"/>
      <c r="SME450" s="741"/>
      <c r="SMF450" s="741"/>
      <c r="SMG450" s="741"/>
      <c r="SMH450" s="741"/>
      <c r="SMI450" s="741"/>
      <c r="SMJ450" s="741"/>
      <c r="SMK450" s="741"/>
      <c r="SML450" s="741"/>
      <c r="SMM450" s="741"/>
      <c r="SMN450" s="741"/>
      <c r="SMO450" s="741"/>
      <c r="SMP450" s="741"/>
      <c r="SMQ450" s="741"/>
      <c r="SMR450" s="741"/>
      <c r="SMS450" s="741"/>
      <c r="SMT450" s="741"/>
      <c r="SMU450" s="741"/>
      <c r="SMV450" s="741"/>
      <c r="SMW450" s="741"/>
      <c r="SMX450" s="741"/>
      <c r="SMY450" s="741"/>
      <c r="SMZ450" s="741"/>
      <c r="SNA450" s="741"/>
      <c r="SNB450" s="741"/>
      <c r="SNC450" s="741"/>
      <c r="SND450" s="741"/>
      <c r="SNE450" s="741"/>
      <c r="SNF450" s="741"/>
      <c r="SNG450" s="741"/>
      <c r="SNH450" s="741"/>
      <c r="SNI450" s="741"/>
      <c r="SNJ450" s="741"/>
      <c r="SNK450" s="741"/>
      <c r="SNL450" s="741"/>
      <c r="SNM450" s="741"/>
      <c r="SNN450" s="741"/>
      <c r="SNO450" s="741"/>
      <c r="SNP450" s="741"/>
      <c r="SNQ450" s="741"/>
      <c r="SNR450" s="741"/>
      <c r="SNS450" s="741"/>
      <c r="SNT450" s="741"/>
      <c r="SNU450" s="741"/>
      <c r="SNV450" s="741"/>
      <c r="SNW450" s="741"/>
      <c r="SNX450" s="741"/>
      <c r="SNY450" s="741"/>
      <c r="SNZ450" s="741"/>
      <c r="SOA450" s="741"/>
      <c r="SOB450" s="741"/>
      <c r="SOC450" s="741"/>
      <c r="SOD450" s="741"/>
      <c r="SOE450" s="741"/>
      <c r="SOF450" s="741"/>
      <c r="SOG450" s="741"/>
      <c r="SOH450" s="741"/>
      <c r="SOI450" s="741"/>
      <c r="SOJ450" s="741"/>
      <c r="SOK450" s="741"/>
      <c r="SOL450" s="741"/>
      <c r="SOM450" s="741"/>
      <c r="SON450" s="741"/>
      <c r="SOO450" s="741"/>
      <c r="SOP450" s="741"/>
      <c r="SOQ450" s="741"/>
      <c r="SOR450" s="741"/>
      <c r="SOS450" s="741"/>
      <c r="SOT450" s="741"/>
      <c r="SOU450" s="741"/>
      <c r="SOV450" s="741"/>
      <c r="SOW450" s="741"/>
      <c r="SOX450" s="741"/>
      <c r="SOY450" s="741"/>
      <c r="SOZ450" s="741"/>
      <c r="SPA450" s="741"/>
      <c r="SPB450" s="741"/>
      <c r="SPC450" s="741"/>
      <c r="SPD450" s="741"/>
      <c r="SPE450" s="741"/>
      <c r="SPF450" s="741"/>
      <c r="SPG450" s="741"/>
      <c r="SPH450" s="741"/>
      <c r="SPI450" s="741"/>
      <c r="SPJ450" s="741"/>
      <c r="SPK450" s="741"/>
      <c r="SPL450" s="741"/>
      <c r="SPM450" s="741"/>
      <c r="SPN450" s="741"/>
      <c r="SPO450" s="741"/>
      <c r="SPP450" s="741"/>
      <c r="SPQ450" s="741"/>
      <c r="SPR450" s="741"/>
      <c r="SPS450" s="741"/>
      <c r="SPT450" s="741"/>
      <c r="SPU450" s="741"/>
      <c r="SPV450" s="741"/>
      <c r="SPW450" s="741"/>
      <c r="SPX450" s="741"/>
      <c r="SPY450" s="741"/>
      <c r="SPZ450" s="741"/>
      <c r="SQA450" s="741"/>
      <c r="SQB450" s="741"/>
      <c r="SQC450" s="741"/>
      <c r="SQD450" s="741"/>
      <c r="SQE450" s="741"/>
      <c r="SQF450" s="741"/>
      <c r="SQG450" s="741"/>
      <c r="SQH450" s="741"/>
      <c r="SQI450" s="741"/>
      <c r="SQJ450" s="741"/>
      <c r="SQK450" s="741"/>
      <c r="SQL450" s="741"/>
      <c r="SQM450" s="741"/>
      <c r="SQN450" s="741"/>
      <c r="SQO450" s="741"/>
      <c r="SQP450" s="741"/>
      <c r="SQQ450" s="741"/>
      <c r="SQR450" s="741"/>
      <c r="SQS450" s="741"/>
      <c r="SQT450" s="741"/>
      <c r="SQU450" s="741"/>
      <c r="SQV450" s="741"/>
      <c r="SQW450" s="741"/>
      <c r="SQX450" s="741"/>
      <c r="SQY450" s="741"/>
      <c r="SQZ450" s="741"/>
      <c r="SRA450" s="741"/>
      <c r="SRB450" s="741"/>
      <c r="SRC450" s="741"/>
      <c r="SRD450" s="741"/>
      <c r="SRE450" s="741"/>
      <c r="SRF450" s="741"/>
      <c r="SRG450" s="741"/>
      <c r="SRH450" s="741"/>
      <c r="SRI450" s="741"/>
      <c r="SRJ450" s="741"/>
      <c r="SRK450" s="741"/>
      <c r="SRL450" s="741"/>
      <c r="SRM450" s="741"/>
      <c r="SRN450" s="741"/>
      <c r="SRO450" s="741"/>
      <c r="SRP450" s="741"/>
      <c r="SRQ450" s="741"/>
      <c r="SRR450" s="741"/>
      <c r="SRS450" s="741"/>
      <c r="SRT450" s="741"/>
      <c r="SRU450" s="741"/>
      <c r="SRV450" s="741"/>
      <c r="SRW450" s="741"/>
      <c r="SRX450" s="741"/>
      <c r="SRY450" s="741"/>
      <c r="SRZ450" s="741"/>
      <c r="SSA450" s="741"/>
      <c r="SSB450" s="741"/>
      <c r="SSC450" s="741"/>
      <c r="SSD450" s="741"/>
      <c r="SSE450" s="741"/>
      <c r="SSF450" s="741"/>
      <c r="SSG450" s="741"/>
      <c r="SSH450" s="741"/>
      <c r="SSI450" s="741"/>
      <c r="SSJ450" s="741"/>
      <c r="SSK450" s="741"/>
      <c r="SSL450" s="741"/>
      <c r="SSM450" s="741"/>
      <c r="SSN450" s="741"/>
      <c r="SSO450" s="741"/>
      <c r="SSP450" s="741"/>
      <c r="SSQ450" s="741"/>
      <c r="SSR450" s="741"/>
      <c r="SSS450" s="741"/>
      <c r="SST450" s="741"/>
      <c r="SSU450" s="741"/>
      <c r="SSV450" s="741"/>
      <c r="SSW450" s="741"/>
      <c r="SSX450" s="741"/>
      <c r="SSY450" s="741"/>
      <c r="SSZ450" s="741"/>
      <c r="STA450" s="741"/>
      <c r="STB450" s="741"/>
      <c r="STC450" s="741"/>
      <c r="STD450" s="741"/>
      <c r="STE450" s="741"/>
      <c r="STF450" s="741"/>
      <c r="STG450" s="741"/>
      <c r="STH450" s="741"/>
      <c r="STI450" s="741"/>
      <c r="STJ450" s="741"/>
      <c r="STK450" s="741"/>
      <c r="STL450" s="741"/>
      <c r="STM450" s="741"/>
      <c r="STN450" s="741"/>
      <c r="STO450" s="741"/>
      <c r="STP450" s="741"/>
      <c r="STQ450" s="741"/>
      <c r="STR450" s="741"/>
      <c r="STS450" s="741"/>
      <c r="STT450" s="741"/>
      <c r="STU450" s="741"/>
      <c r="STV450" s="741"/>
      <c r="STW450" s="741"/>
      <c r="STX450" s="741"/>
      <c r="STY450" s="741"/>
      <c r="STZ450" s="741"/>
      <c r="SUA450" s="741"/>
      <c r="SUB450" s="741"/>
      <c r="SUC450" s="741"/>
      <c r="SUD450" s="741"/>
      <c r="SUE450" s="741"/>
      <c r="SUF450" s="741"/>
      <c r="SUG450" s="741"/>
      <c r="SUH450" s="741"/>
      <c r="SUI450" s="741"/>
      <c r="SUJ450" s="741"/>
      <c r="SUK450" s="741"/>
      <c r="SUL450" s="741"/>
      <c r="SUM450" s="741"/>
      <c r="SUN450" s="741"/>
      <c r="SUO450" s="741"/>
      <c r="SUP450" s="741"/>
      <c r="SUQ450" s="741"/>
      <c r="SUR450" s="741"/>
      <c r="SUS450" s="741"/>
      <c r="SUT450" s="741"/>
      <c r="SUU450" s="741"/>
      <c r="SUV450" s="741"/>
      <c r="SUW450" s="741"/>
      <c r="SUX450" s="741"/>
      <c r="SUY450" s="741"/>
      <c r="SUZ450" s="741"/>
      <c r="SVA450" s="741"/>
      <c r="SVB450" s="741"/>
      <c r="SVC450" s="741"/>
      <c r="SVD450" s="741"/>
      <c r="SVE450" s="741"/>
      <c r="SVF450" s="741"/>
      <c r="SVG450" s="741"/>
      <c r="SVH450" s="741"/>
      <c r="SVI450" s="741"/>
      <c r="SVJ450" s="741"/>
      <c r="SVK450" s="741"/>
      <c r="SVL450" s="741"/>
      <c r="SVM450" s="741"/>
      <c r="SVN450" s="741"/>
      <c r="SVO450" s="741"/>
      <c r="SVP450" s="741"/>
      <c r="SVQ450" s="741"/>
      <c r="SVR450" s="741"/>
      <c r="SVS450" s="741"/>
      <c r="SVT450" s="741"/>
      <c r="SVU450" s="741"/>
      <c r="SVV450" s="741"/>
      <c r="SVW450" s="741"/>
      <c r="SVX450" s="741"/>
      <c r="SVY450" s="741"/>
      <c r="SVZ450" s="741"/>
      <c r="SWA450" s="741"/>
      <c r="SWB450" s="741"/>
      <c r="SWC450" s="741"/>
      <c r="SWD450" s="741"/>
      <c r="SWE450" s="741"/>
      <c r="SWF450" s="741"/>
      <c r="SWG450" s="741"/>
      <c r="SWH450" s="741"/>
      <c r="SWI450" s="741"/>
      <c r="SWJ450" s="741"/>
      <c r="SWK450" s="741"/>
      <c r="SWL450" s="741"/>
      <c r="SWM450" s="741"/>
      <c r="SWN450" s="741"/>
      <c r="SWO450" s="741"/>
      <c r="SWP450" s="741"/>
      <c r="SWQ450" s="741"/>
      <c r="SWR450" s="741"/>
      <c r="SWS450" s="741"/>
      <c r="SWT450" s="741"/>
      <c r="SWU450" s="741"/>
      <c r="SWV450" s="741"/>
      <c r="SWW450" s="741"/>
      <c r="SWX450" s="741"/>
      <c r="SWY450" s="741"/>
      <c r="SWZ450" s="741"/>
      <c r="SXA450" s="741"/>
      <c r="SXB450" s="741"/>
      <c r="SXC450" s="741"/>
      <c r="SXD450" s="741"/>
      <c r="SXE450" s="741"/>
      <c r="SXF450" s="741"/>
      <c r="SXG450" s="741"/>
      <c r="SXH450" s="741"/>
      <c r="SXI450" s="741"/>
      <c r="SXJ450" s="741"/>
      <c r="SXK450" s="741"/>
      <c r="SXL450" s="741"/>
      <c r="SXM450" s="741"/>
      <c r="SXN450" s="741"/>
      <c r="SXO450" s="741"/>
      <c r="SXP450" s="741"/>
      <c r="SXQ450" s="741"/>
      <c r="SXR450" s="741"/>
      <c r="SXS450" s="741"/>
      <c r="SXT450" s="741"/>
      <c r="SXU450" s="741"/>
      <c r="SXV450" s="741"/>
      <c r="SXW450" s="741"/>
      <c r="SXX450" s="741"/>
      <c r="SXY450" s="741"/>
      <c r="SXZ450" s="741"/>
      <c r="SYA450" s="741"/>
      <c r="SYB450" s="741"/>
      <c r="SYC450" s="741"/>
      <c r="SYD450" s="741"/>
      <c r="SYE450" s="741"/>
      <c r="SYF450" s="741"/>
      <c r="SYG450" s="741"/>
      <c r="SYH450" s="741"/>
      <c r="SYI450" s="741"/>
      <c r="SYJ450" s="741"/>
      <c r="SYK450" s="741"/>
      <c r="SYL450" s="741"/>
      <c r="SYM450" s="741"/>
      <c r="SYN450" s="741"/>
      <c r="SYO450" s="741"/>
      <c r="SYP450" s="741"/>
      <c r="SYQ450" s="741"/>
      <c r="SYR450" s="741"/>
      <c r="SYS450" s="741"/>
      <c r="SYT450" s="741"/>
      <c r="SYU450" s="741"/>
      <c r="SYV450" s="741"/>
      <c r="SYW450" s="741"/>
      <c r="SYX450" s="741"/>
      <c r="SYY450" s="741"/>
      <c r="SYZ450" s="741"/>
      <c r="SZA450" s="741"/>
      <c r="SZB450" s="741"/>
      <c r="SZC450" s="741"/>
      <c r="SZD450" s="741"/>
      <c r="SZE450" s="741"/>
      <c r="SZF450" s="741"/>
      <c r="SZG450" s="741"/>
      <c r="SZH450" s="741"/>
      <c r="SZI450" s="741"/>
      <c r="SZJ450" s="741"/>
      <c r="SZK450" s="741"/>
      <c r="SZL450" s="741"/>
      <c r="SZM450" s="741"/>
      <c r="SZN450" s="741"/>
      <c r="SZO450" s="741"/>
      <c r="SZP450" s="741"/>
      <c r="SZQ450" s="741"/>
      <c r="SZR450" s="741"/>
      <c r="SZS450" s="741"/>
      <c r="SZT450" s="741"/>
      <c r="SZU450" s="741"/>
      <c r="SZV450" s="741"/>
      <c r="SZW450" s="741"/>
      <c r="SZX450" s="741"/>
      <c r="SZY450" s="741"/>
      <c r="SZZ450" s="741"/>
      <c r="TAA450" s="741"/>
      <c r="TAB450" s="741"/>
      <c r="TAC450" s="741"/>
      <c r="TAD450" s="741"/>
      <c r="TAE450" s="741"/>
      <c r="TAF450" s="741"/>
      <c r="TAG450" s="741"/>
      <c r="TAH450" s="741"/>
      <c r="TAI450" s="741"/>
      <c r="TAJ450" s="741"/>
      <c r="TAK450" s="741"/>
      <c r="TAL450" s="741"/>
      <c r="TAM450" s="741"/>
      <c r="TAN450" s="741"/>
      <c r="TAO450" s="741"/>
      <c r="TAP450" s="741"/>
      <c r="TAQ450" s="741"/>
      <c r="TAR450" s="741"/>
      <c r="TAS450" s="741"/>
      <c r="TAT450" s="741"/>
      <c r="TAU450" s="741"/>
      <c r="TAV450" s="741"/>
      <c r="TAW450" s="741"/>
      <c r="TAX450" s="741"/>
      <c r="TAY450" s="741"/>
      <c r="TAZ450" s="741"/>
      <c r="TBA450" s="741"/>
      <c r="TBB450" s="741"/>
      <c r="TBC450" s="741"/>
      <c r="TBD450" s="741"/>
      <c r="TBE450" s="741"/>
      <c r="TBF450" s="741"/>
      <c r="TBG450" s="741"/>
      <c r="TBH450" s="741"/>
      <c r="TBI450" s="741"/>
      <c r="TBJ450" s="741"/>
      <c r="TBK450" s="741"/>
      <c r="TBL450" s="741"/>
      <c r="TBM450" s="741"/>
      <c r="TBN450" s="741"/>
      <c r="TBO450" s="741"/>
      <c r="TBP450" s="741"/>
      <c r="TBQ450" s="741"/>
      <c r="TBR450" s="741"/>
      <c r="TBS450" s="741"/>
      <c r="TBT450" s="741"/>
      <c r="TBU450" s="741"/>
      <c r="TBV450" s="741"/>
      <c r="TBW450" s="741"/>
      <c r="TBX450" s="741"/>
      <c r="TBY450" s="741"/>
      <c r="TBZ450" s="741"/>
      <c r="TCA450" s="741"/>
      <c r="TCB450" s="741"/>
      <c r="TCC450" s="741"/>
      <c r="TCD450" s="741"/>
      <c r="TCE450" s="741"/>
      <c r="TCF450" s="741"/>
      <c r="TCG450" s="741"/>
      <c r="TCH450" s="741"/>
      <c r="TCI450" s="741"/>
      <c r="TCJ450" s="741"/>
      <c r="TCK450" s="741"/>
      <c r="TCL450" s="741"/>
      <c r="TCM450" s="741"/>
      <c r="TCN450" s="741"/>
      <c r="TCO450" s="741"/>
      <c r="TCP450" s="741"/>
      <c r="TCQ450" s="741"/>
      <c r="TCR450" s="741"/>
      <c r="TCS450" s="741"/>
      <c r="TCT450" s="741"/>
      <c r="TCU450" s="741"/>
      <c r="TCV450" s="741"/>
      <c r="TCW450" s="741"/>
      <c r="TCX450" s="741"/>
      <c r="TCY450" s="741"/>
      <c r="TCZ450" s="741"/>
      <c r="TDA450" s="741"/>
      <c r="TDB450" s="741"/>
      <c r="TDC450" s="741"/>
      <c r="TDD450" s="741"/>
      <c r="TDE450" s="741"/>
      <c r="TDF450" s="741"/>
      <c r="TDG450" s="741"/>
      <c r="TDH450" s="741"/>
      <c r="TDI450" s="741"/>
      <c r="TDJ450" s="741"/>
      <c r="TDK450" s="741"/>
      <c r="TDL450" s="741"/>
      <c r="TDM450" s="741"/>
      <c r="TDN450" s="741"/>
      <c r="TDO450" s="741"/>
      <c r="TDP450" s="741"/>
      <c r="TDQ450" s="741"/>
      <c r="TDR450" s="741"/>
      <c r="TDS450" s="741"/>
      <c r="TDT450" s="741"/>
      <c r="TDU450" s="741"/>
      <c r="TDV450" s="741"/>
      <c r="TDW450" s="741"/>
      <c r="TDX450" s="741"/>
      <c r="TDY450" s="741"/>
      <c r="TDZ450" s="741"/>
      <c r="TEA450" s="741"/>
      <c r="TEB450" s="741"/>
      <c r="TEC450" s="741"/>
      <c r="TED450" s="741"/>
      <c r="TEE450" s="741"/>
      <c r="TEF450" s="741"/>
      <c r="TEG450" s="741"/>
      <c r="TEH450" s="741"/>
      <c r="TEI450" s="741"/>
      <c r="TEJ450" s="741"/>
      <c r="TEK450" s="741"/>
      <c r="TEL450" s="741"/>
      <c r="TEM450" s="741"/>
      <c r="TEN450" s="741"/>
      <c r="TEO450" s="741"/>
      <c r="TEP450" s="741"/>
      <c r="TEQ450" s="741"/>
      <c r="TER450" s="741"/>
      <c r="TES450" s="741"/>
      <c r="TET450" s="741"/>
      <c r="TEU450" s="741"/>
      <c r="TEV450" s="741"/>
      <c r="TEW450" s="741"/>
      <c r="TEX450" s="741"/>
      <c r="TEY450" s="741"/>
      <c r="TEZ450" s="741"/>
      <c r="TFA450" s="741"/>
      <c r="TFB450" s="741"/>
      <c r="TFC450" s="741"/>
      <c r="TFD450" s="741"/>
      <c r="TFE450" s="741"/>
      <c r="TFF450" s="741"/>
      <c r="TFG450" s="741"/>
      <c r="TFH450" s="741"/>
      <c r="TFI450" s="741"/>
      <c r="TFJ450" s="741"/>
      <c r="TFK450" s="741"/>
      <c r="TFL450" s="741"/>
      <c r="TFM450" s="741"/>
      <c r="TFN450" s="741"/>
      <c r="TFO450" s="741"/>
      <c r="TFP450" s="741"/>
      <c r="TFQ450" s="741"/>
      <c r="TFR450" s="741"/>
      <c r="TFS450" s="741"/>
      <c r="TFT450" s="741"/>
      <c r="TFU450" s="741"/>
      <c r="TFV450" s="741"/>
      <c r="TFW450" s="741"/>
      <c r="TFX450" s="741"/>
      <c r="TFY450" s="741"/>
      <c r="TFZ450" s="741"/>
      <c r="TGA450" s="741"/>
      <c r="TGB450" s="741"/>
      <c r="TGC450" s="741"/>
      <c r="TGD450" s="741"/>
      <c r="TGE450" s="741"/>
      <c r="TGF450" s="741"/>
      <c r="TGG450" s="741"/>
      <c r="TGH450" s="741"/>
      <c r="TGI450" s="741"/>
      <c r="TGJ450" s="741"/>
      <c r="TGK450" s="741"/>
      <c r="TGL450" s="741"/>
      <c r="TGM450" s="741"/>
      <c r="TGN450" s="741"/>
      <c r="TGO450" s="741"/>
      <c r="TGP450" s="741"/>
      <c r="TGQ450" s="741"/>
      <c r="TGR450" s="741"/>
      <c r="TGS450" s="741"/>
      <c r="TGT450" s="741"/>
      <c r="TGU450" s="741"/>
      <c r="TGV450" s="741"/>
      <c r="TGW450" s="741"/>
      <c r="TGX450" s="741"/>
      <c r="TGY450" s="741"/>
      <c r="TGZ450" s="741"/>
      <c r="THA450" s="741"/>
      <c r="THB450" s="741"/>
      <c r="THC450" s="741"/>
      <c r="THD450" s="741"/>
      <c r="THE450" s="741"/>
      <c r="THF450" s="741"/>
      <c r="THG450" s="741"/>
      <c r="THH450" s="741"/>
      <c r="THI450" s="741"/>
      <c r="THJ450" s="741"/>
      <c r="THK450" s="741"/>
      <c r="THL450" s="741"/>
      <c r="THM450" s="741"/>
      <c r="THN450" s="741"/>
      <c r="THO450" s="741"/>
      <c r="THP450" s="741"/>
      <c r="THQ450" s="741"/>
      <c r="THR450" s="741"/>
      <c r="THS450" s="741"/>
      <c r="THT450" s="741"/>
      <c r="THU450" s="741"/>
      <c r="THV450" s="741"/>
      <c r="THW450" s="741"/>
      <c r="THX450" s="741"/>
      <c r="THY450" s="741"/>
      <c r="THZ450" s="741"/>
      <c r="TIA450" s="741"/>
      <c r="TIB450" s="741"/>
      <c r="TIC450" s="741"/>
      <c r="TID450" s="741"/>
      <c r="TIE450" s="741"/>
      <c r="TIF450" s="741"/>
      <c r="TIG450" s="741"/>
      <c r="TIH450" s="741"/>
      <c r="TII450" s="741"/>
      <c r="TIJ450" s="741"/>
      <c r="TIK450" s="741"/>
      <c r="TIL450" s="741"/>
      <c r="TIM450" s="741"/>
      <c r="TIN450" s="741"/>
      <c r="TIO450" s="741"/>
      <c r="TIP450" s="741"/>
      <c r="TIQ450" s="741"/>
      <c r="TIR450" s="741"/>
      <c r="TIS450" s="741"/>
      <c r="TIT450" s="741"/>
      <c r="TIU450" s="741"/>
      <c r="TIV450" s="741"/>
      <c r="TIW450" s="741"/>
      <c r="TIX450" s="741"/>
      <c r="TIY450" s="741"/>
      <c r="TIZ450" s="741"/>
      <c r="TJA450" s="741"/>
      <c r="TJB450" s="741"/>
      <c r="TJC450" s="741"/>
      <c r="TJD450" s="741"/>
      <c r="TJE450" s="741"/>
      <c r="TJF450" s="741"/>
      <c r="TJG450" s="741"/>
      <c r="TJH450" s="741"/>
      <c r="TJI450" s="741"/>
      <c r="TJJ450" s="741"/>
      <c r="TJK450" s="741"/>
      <c r="TJL450" s="741"/>
      <c r="TJM450" s="741"/>
      <c r="TJN450" s="741"/>
      <c r="TJO450" s="741"/>
      <c r="TJP450" s="741"/>
      <c r="TJQ450" s="741"/>
      <c r="TJR450" s="741"/>
      <c r="TJS450" s="741"/>
      <c r="TJT450" s="741"/>
      <c r="TJU450" s="741"/>
      <c r="TJV450" s="741"/>
      <c r="TJW450" s="741"/>
      <c r="TJX450" s="741"/>
      <c r="TJY450" s="741"/>
      <c r="TJZ450" s="741"/>
      <c r="TKA450" s="741"/>
      <c r="TKB450" s="741"/>
      <c r="TKC450" s="741"/>
      <c r="TKD450" s="741"/>
      <c r="TKE450" s="741"/>
      <c r="TKF450" s="741"/>
      <c r="TKG450" s="741"/>
      <c r="TKH450" s="741"/>
      <c r="TKI450" s="741"/>
      <c r="TKJ450" s="741"/>
      <c r="TKK450" s="741"/>
      <c r="TKL450" s="741"/>
      <c r="TKM450" s="741"/>
      <c r="TKN450" s="741"/>
      <c r="TKO450" s="741"/>
      <c r="TKP450" s="741"/>
      <c r="TKQ450" s="741"/>
      <c r="TKR450" s="741"/>
      <c r="TKS450" s="741"/>
      <c r="TKT450" s="741"/>
      <c r="TKU450" s="741"/>
      <c r="TKV450" s="741"/>
      <c r="TKW450" s="741"/>
      <c r="TKX450" s="741"/>
      <c r="TKY450" s="741"/>
      <c r="TKZ450" s="741"/>
      <c r="TLA450" s="741"/>
      <c r="TLB450" s="741"/>
      <c r="TLC450" s="741"/>
      <c r="TLD450" s="741"/>
      <c r="TLE450" s="741"/>
      <c r="TLF450" s="741"/>
      <c r="TLG450" s="741"/>
      <c r="TLH450" s="741"/>
      <c r="TLI450" s="741"/>
      <c r="TLJ450" s="741"/>
      <c r="TLK450" s="741"/>
      <c r="TLL450" s="741"/>
      <c r="TLM450" s="741"/>
      <c r="TLN450" s="741"/>
      <c r="TLO450" s="741"/>
      <c r="TLP450" s="741"/>
      <c r="TLQ450" s="741"/>
      <c r="TLR450" s="741"/>
      <c r="TLS450" s="741"/>
      <c r="TLT450" s="741"/>
      <c r="TLU450" s="741"/>
      <c r="TLV450" s="741"/>
      <c r="TLW450" s="741"/>
      <c r="TLX450" s="741"/>
      <c r="TLY450" s="741"/>
      <c r="TLZ450" s="741"/>
      <c r="TMA450" s="741"/>
      <c r="TMB450" s="741"/>
      <c r="TMC450" s="741"/>
      <c r="TMD450" s="741"/>
      <c r="TME450" s="741"/>
      <c r="TMF450" s="741"/>
      <c r="TMG450" s="741"/>
      <c r="TMH450" s="741"/>
      <c r="TMI450" s="741"/>
      <c r="TMJ450" s="741"/>
      <c r="TMK450" s="741"/>
      <c r="TML450" s="741"/>
      <c r="TMM450" s="741"/>
      <c r="TMN450" s="741"/>
      <c r="TMO450" s="741"/>
      <c r="TMP450" s="741"/>
      <c r="TMQ450" s="741"/>
      <c r="TMR450" s="741"/>
      <c r="TMS450" s="741"/>
      <c r="TMT450" s="741"/>
      <c r="TMU450" s="741"/>
      <c r="TMV450" s="741"/>
      <c r="TMW450" s="741"/>
      <c r="TMX450" s="741"/>
      <c r="TMY450" s="741"/>
      <c r="TMZ450" s="741"/>
      <c r="TNA450" s="741"/>
      <c r="TNB450" s="741"/>
      <c r="TNC450" s="741"/>
      <c r="TND450" s="741"/>
      <c r="TNE450" s="741"/>
      <c r="TNF450" s="741"/>
      <c r="TNG450" s="741"/>
      <c r="TNH450" s="741"/>
      <c r="TNI450" s="741"/>
      <c r="TNJ450" s="741"/>
      <c r="TNK450" s="741"/>
      <c r="TNL450" s="741"/>
      <c r="TNM450" s="741"/>
      <c r="TNN450" s="741"/>
      <c r="TNO450" s="741"/>
      <c r="TNP450" s="741"/>
      <c r="TNQ450" s="741"/>
      <c r="TNR450" s="741"/>
      <c r="TNS450" s="741"/>
      <c r="TNT450" s="741"/>
      <c r="TNU450" s="741"/>
      <c r="TNV450" s="741"/>
      <c r="TNW450" s="741"/>
      <c r="TNX450" s="741"/>
      <c r="TNY450" s="741"/>
      <c r="TNZ450" s="741"/>
      <c r="TOA450" s="741"/>
      <c r="TOB450" s="741"/>
      <c r="TOC450" s="741"/>
      <c r="TOD450" s="741"/>
      <c r="TOE450" s="741"/>
      <c r="TOF450" s="741"/>
      <c r="TOG450" s="741"/>
      <c r="TOH450" s="741"/>
      <c r="TOI450" s="741"/>
      <c r="TOJ450" s="741"/>
      <c r="TOK450" s="741"/>
      <c r="TOL450" s="741"/>
      <c r="TOM450" s="741"/>
      <c r="TON450" s="741"/>
      <c r="TOO450" s="741"/>
      <c r="TOP450" s="741"/>
      <c r="TOQ450" s="741"/>
      <c r="TOR450" s="741"/>
      <c r="TOS450" s="741"/>
      <c r="TOT450" s="741"/>
      <c r="TOU450" s="741"/>
      <c r="TOV450" s="741"/>
      <c r="TOW450" s="741"/>
      <c r="TOX450" s="741"/>
      <c r="TOY450" s="741"/>
      <c r="TOZ450" s="741"/>
      <c r="TPA450" s="741"/>
      <c r="TPB450" s="741"/>
      <c r="TPC450" s="741"/>
      <c r="TPD450" s="741"/>
      <c r="TPE450" s="741"/>
      <c r="TPF450" s="741"/>
      <c r="TPG450" s="741"/>
      <c r="TPH450" s="741"/>
      <c r="TPI450" s="741"/>
      <c r="TPJ450" s="741"/>
      <c r="TPK450" s="741"/>
      <c r="TPL450" s="741"/>
      <c r="TPM450" s="741"/>
      <c r="TPN450" s="741"/>
      <c r="TPO450" s="741"/>
      <c r="TPP450" s="741"/>
      <c r="TPQ450" s="741"/>
      <c r="TPR450" s="741"/>
      <c r="TPS450" s="741"/>
      <c r="TPT450" s="741"/>
      <c r="TPU450" s="741"/>
      <c r="TPV450" s="741"/>
      <c r="TPW450" s="741"/>
      <c r="TPX450" s="741"/>
      <c r="TPY450" s="741"/>
      <c r="TPZ450" s="741"/>
      <c r="TQA450" s="741"/>
      <c r="TQB450" s="741"/>
      <c r="TQC450" s="741"/>
      <c r="TQD450" s="741"/>
      <c r="TQE450" s="741"/>
      <c r="TQF450" s="741"/>
      <c r="TQG450" s="741"/>
      <c r="TQH450" s="741"/>
      <c r="TQI450" s="741"/>
      <c r="TQJ450" s="741"/>
      <c r="TQK450" s="741"/>
      <c r="TQL450" s="741"/>
      <c r="TQM450" s="741"/>
      <c r="TQN450" s="741"/>
      <c r="TQO450" s="741"/>
      <c r="TQP450" s="741"/>
      <c r="TQQ450" s="741"/>
      <c r="TQR450" s="741"/>
      <c r="TQS450" s="741"/>
      <c r="TQT450" s="741"/>
      <c r="TQU450" s="741"/>
      <c r="TQV450" s="741"/>
      <c r="TQW450" s="741"/>
      <c r="TQX450" s="741"/>
      <c r="TQY450" s="741"/>
      <c r="TQZ450" s="741"/>
      <c r="TRA450" s="741"/>
      <c r="TRB450" s="741"/>
      <c r="TRC450" s="741"/>
      <c r="TRD450" s="741"/>
      <c r="TRE450" s="741"/>
      <c r="TRF450" s="741"/>
      <c r="TRG450" s="741"/>
      <c r="TRH450" s="741"/>
      <c r="TRI450" s="741"/>
      <c r="TRJ450" s="741"/>
      <c r="TRK450" s="741"/>
      <c r="TRL450" s="741"/>
      <c r="TRM450" s="741"/>
      <c r="TRN450" s="741"/>
      <c r="TRO450" s="741"/>
      <c r="TRP450" s="741"/>
      <c r="TRQ450" s="741"/>
      <c r="TRR450" s="741"/>
      <c r="TRS450" s="741"/>
      <c r="TRT450" s="741"/>
      <c r="TRU450" s="741"/>
      <c r="TRV450" s="741"/>
      <c r="TRW450" s="741"/>
      <c r="TRX450" s="741"/>
      <c r="TRY450" s="741"/>
      <c r="TRZ450" s="741"/>
      <c r="TSA450" s="741"/>
      <c r="TSB450" s="741"/>
      <c r="TSC450" s="741"/>
      <c r="TSD450" s="741"/>
      <c r="TSE450" s="741"/>
      <c r="TSF450" s="741"/>
      <c r="TSG450" s="741"/>
      <c r="TSH450" s="741"/>
      <c r="TSI450" s="741"/>
      <c r="TSJ450" s="741"/>
      <c r="TSK450" s="741"/>
      <c r="TSL450" s="741"/>
      <c r="TSM450" s="741"/>
      <c r="TSN450" s="741"/>
      <c r="TSO450" s="741"/>
      <c r="TSP450" s="741"/>
      <c r="TSQ450" s="741"/>
      <c r="TSR450" s="741"/>
      <c r="TSS450" s="741"/>
      <c r="TST450" s="741"/>
      <c r="TSU450" s="741"/>
      <c r="TSV450" s="741"/>
      <c r="TSW450" s="741"/>
      <c r="TSX450" s="741"/>
      <c r="TSY450" s="741"/>
      <c r="TSZ450" s="741"/>
      <c r="TTA450" s="741"/>
      <c r="TTB450" s="741"/>
      <c r="TTC450" s="741"/>
      <c r="TTD450" s="741"/>
      <c r="TTE450" s="741"/>
      <c r="TTF450" s="741"/>
      <c r="TTG450" s="741"/>
      <c r="TTH450" s="741"/>
      <c r="TTI450" s="741"/>
      <c r="TTJ450" s="741"/>
      <c r="TTK450" s="741"/>
      <c r="TTL450" s="741"/>
      <c r="TTM450" s="741"/>
      <c r="TTN450" s="741"/>
      <c r="TTO450" s="741"/>
      <c r="TTP450" s="741"/>
      <c r="TTQ450" s="741"/>
      <c r="TTR450" s="741"/>
      <c r="TTS450" s="741"/>
      <c r="TTT450" s="741"/>
      <c r="TTU450" s="741"/>
      <c r="TTV450" s="741"/>
      <c r="TTW450" s="741"/>
      <c r="TTX450" s="741"/>
      <c r="TTY450" s="741"/>
      <c r="TTZ450" s="741"/>
      <c r="TUA450" s="741"/>
      <c r="TUB450" s="741"/>
      <c r="TUC450" s="741"/>
      <c r="TUD450" s="741"/>
      <c r="TUE450" s="741"/>
      <c r="TUF450" s="741"/>
      <c r="TUG450" s="741"/>
      <c r="TUH450" s="741"/>
      <c r="TUI450" s="741"/>
      <c r="TUJ450" s="741"/>
      <c r="TUK450" s="741"/>
      <c r="TUL450" s="741"/>
      <c r="TUM450" s="741"/>
      <c r="TUN450" s="741"/>
      <c r="TUO450" s="741"/>
      <c r="TUP450" s="741"/>
      <c r="TUQ450" s="741"/>
      <c r="TUR450" s="741"/>
      <c r="TUS450" s="741"/>
      <c r="TUT450" s="741"/>
      <c r="TUU450" s="741"/>
      <c r="TUV450" s="741"/>
      <c r="TUW450" s="741"/>
      <c r="TUX450" s="741"/>
      <c r="TUY450" s="741"/>
      <c r="TUZ450" s="741"/>
      <c r="TVA450" s="741"/>
      <c r="TVB450" s="741"/>
      <c r="TVC450" s="741"/>
      <c r="TVD450" s="741"/>
      <c r="TVE450" s="741"/>
      <c r="TVF450" s="741"/>
      <c r="TVG450" s="741"/>
      <c r="TVH450" s="741"/>
      <c r="TVI450" s="741"/>
      <c r="TVJ450" s="741"/>
      <c r="TVK450" s="741"/>
      <c r="TVL450" s="741"/>
      <c r="TVM450" s="741"/>
      <c r="TVN450" s="741"/>
      <c r="TVO450" s="741"/>
      <c r="TVP450" s="741"/>
      <c r="TVQ450" s="741"/>
      <c r="TVR450" s="741"/>
      <c r="TVS450" s="741"/>
      <c r="TVT450" s="741"/>
      <c r="TVU450" s="741"/>
      <c r="TVV450" s="741"/>
      <c r="TVW450" s="741"/>
      <c r="TVX450" s="741"/>
      <c r="TVY450" s="741"/>
      <c r="TVZ450" s="741"/>
      <c r="TWA450" s="741"/>
      <c r="TWB450" s="741"/>
      <c r="TWC450" s="741"/>
      <c r="TWD450" s="741"/>
      <c r="TWE450" s="741"/>
      <c r="TWF450" s="741"/>
      <c r="TWG450" s="741"/>
      <c r="TWH450" s="741"/>
      <c r="TWI450" s="741"/>
      <c r="TWJ450" s="741"/>
      <c r="TWK450" s="741"/>
      <c r="TWL450" s="741"/>
      <c r="TWM450" s="741"/>
      <c r="TWN450" s="741"/>
      <c r="TWO450" s="741"/>
      <c r="TWP450" s="741"/>
      <c r="TWQ450" s="741"/>
      <c r="TWR450" s="741"/>
      <c r="TWS450" s="741"/>
      <c r="TWT450" s="741"/>
      <c r="TWU450" s="741"/>
      <c r="TWV450" s="741"/>
      <c r="TWW450" s="741"/>
      <c r="TWX450" s="741"/>
      <c r="TWY450" s="741"/>
      <c r="TWZ450" s="741"/>
      <c r="TXA450" s="741"/>
      <c r="TXB450" s="741"/>
      <c r="TXC450" s="741"/>
      <c r="TXD450" s="741"/>
      <c r="TXE450" s="741"/>
      <c r="TXF450" s="741"/>
      <c r="TXG450" s="741"/>
      <c r="TXH450" s="741"/>
      <c r="TXI450" s="741"/>
      <c r="TXJ450" s="741"/>
      <c r="TXK450" s="741"/>
      <c r="TXL450" s="741"/>
      <c r="TXM450" s="741"/>
      <c r="TXN450" s="741"/>
      <c r="TXO450" s="741"/>
      <c r="TXP450" s="741"/>
      <c r="TXQ450" s="741"/>
      <c r="TXR450" s="741"/>
      <c r="TXS450" s="741"/>
      <c r="TXT450" s="741"/>
      <c r="TXU450" s="741"/>
      <c r="TXV450" s="741"/>
      <c r="TXW450" s="741"/>
      <c r="TXX450" s="741"/>
      <c r="TXY450" s="741"/>
      <c r="TXZ450" s="741"/>
      <c r="TYA450" s="741"/>
      <c r="TYB450" s="741"/>
      <c r="TYC450" s="741"/>
      <c r="TYD450" s="741"/>
      <c r="TYE450" s="741"/>
      <c r="TYF450" s="741"/>
      <c r="TYG450" s="741"/>
      <c r="TYH450" s="741"/>
      <c r="TYI450" s="741"/>
      <c r="TYJ450" s="741"/>
      <c r="TYK450" s="741"/>
      <c r="TYL450" s="741"/>
      <c r="TYM450" s="741"/>
      <c r="TYN450" s="741"/>
      <c r="TYO450" s="741"/>
      <c r="TYP450" s="741"/>
      <c r="TYQ450" s="741"/>
      <c r="TYR450" s="741"/>
      <c r="TYS450" s="741"/>
      <c r="TYT450" s="741"/>
      <c r="TYU450" s="741"/>
      <c r="TYV450" s="741"/>
      <c r="TYW450" s="741"/>
      <c r="TYX450" s="741"/>
      <c r="TYY450" s="741"/>
      <c r="TYZ450" s="741"/>
      <c r="TZA450" s="741"/>
      <c r="TZB450" s="741"/>
      <c r="TZC450" s="741"/>
      <c r="TZD450" s="741"/>
      <c r="TZE450" s="741"/>
      <c r="TZF450" s="741"/>
      <c r="TZG450" s="741"/>
      <c r="TZH450" s="741"/>
      <c r="TZI450" s="741"/>
      <c r="TZJ450" s="741"/>
      <c r="TZK450" s="741"/>
      <c r="TZL450" s="741"/>
      <c r="TZM450" s="741"/>
      <c r="TZN450" s="741"/>
      <c r="TZO450" s="741"/>
      <c r="TZP450" s="741"/>
      <c r="TZQ450" s="741"/>
      <c r="TZR450" s="741"/>
      <c r="TZS450" s="741"/>
      <c r="TZT450" s="741"/>
      <c r="TZU450" s="741"/>
      <c r="TZV450" s="741"/>
      <c r="TZW450" s="741"/>
      <c r="TZX450" s="741"/>
      <c r="TZY450" s="741"/>
      <c r="TZZ450" s="741"/>
      <c r="UAA450" s="741"/>
      <c r="UAB450" s="741"/>
      <c r="UAC450" s="741"/>
      <c r="UAD450" s="741"/>
      <c r="UAE450" s="741"/>
      <c r="UAF450" s="741"/>
      <c r="UAG450" s="741"/>
      <c r="UAH450" s="741"/>
      <c r="UAI450" s="741"/>
      <c r="UAJ450" s="741"/>
      <c r="UAK450" s="741"/>
      <c r="UAL450" s="741"/>
      <c r="UAM450" s="741"/>
      <c r="UAN450" s="741"/>
      <c r="UAO450" s="741"/>
      <c r="UAP450" s="741"/>
      <c r="UAQ450" s="741"/>
      <c r="UAR450" s="741"/>
      <c r="UAS450" s="741"/>
      <c r="UAT450" s="741"/>
      <c r="UAU450" s="741"/>
      <c r="UAV450" s="741"/>
      <c r="UAW450" s="741"/>
      <c r="UAX450" s="741"/>
      <c r="UAY450" s="741"/>
      <c r="UAZ450" s="741"/>
      <c r="UBA450" s="741"/>
      <c r="UBB450" s="741"/>
      <c r="UBC450" s="741"/>
      <c r="UBD450" s="741"/>
      <c r="UBE450" s="741"/>
      <c r="UBF450" s="741"/>
      <c r="UBG450" s="741"/>
      <c r="UBH450" s="741"/>
      <c r="UBI450" s="741"/>
      <c r="UBJ450" s="741"/>
      <c r="UBK450" s="741"/>
      <c r="UBL450" s="741"/>
      <c r="UBM450" s="741"/>
      <c r="UBN450" s="741"/>
      <c r="UBO450" s="741"/>
      <c r="UBP450" s="741"/>
      <c r="UBQ450" s="741"/>
      <c r="UBR450" s="741"/>
      <c r="UBS450" s="741"/>
      <c r="UBT450" s="741"/>
      <c r="UBU450" s="741"/>
      <c r="UBV450" s="741"/>
      <c r="UBW450" s="741"/>
      <c r="UBX450" s="741"/>
      <c r="UBY450" s="741"/>
      <c r="UBZ450" s="741"/>
      <c r="UCA450" s="741"/>
      <c r="UCB450" s="741"/>
      <c r="UCC450" s="741"/>
      <c r="UCD450" s="741"/>
      <c r="UCE450" s="741"/>
      <c r="UCF450" s="741"/>
      <c r="UCG450" s="741"/>
      <c r="UCH450" s="741"/>
      <c r="UCI450" s="741"/>
      <c r="UCJ450" s="741"/>
      <c r="UCK450" s="741"/>
      <c r="UCL450" s="741"/>
      <c r="UCM450" s="741"/>
      <c r="UCN450" s="741"/>
      <c r="UCO450" s="741"/>
      <c r="UCP450" s="741"/>
      <c r="UCQ450" s="741"/>
      <c r="UCR450" s="741"/>
      <c r="UCS450" s="741"/>
      <c r="UCT450" s="741"/>
      <c r="UCU450" s="741"/>
      <c r="UCV450" s="741"/>
      <c r="UCW450" s="741"/>
      <c r="UCX450" s="741"/>
      <c r="UCY450" s="741"/>
      <c r="UCZ450" s="741"/>
      <c r="UDA450" s="741"/>
      <c r="UDB450" s="741"/>
      <c r="UDC450" s="741"/>
      <c r="UDD450" s="741"/>
      <c r="UDE450" s="741"/>
      <c r="UDF450" s="741"/>
      <c r="UDG450" s="741"/>
      <c r="UDH450" s="741"/>
      <c r="UDI450" s="741"/>
      <c r="UDJ450" s="741"/>
      <c r="UDK450" s="741"/>
      <c r="UDL450" s="741"/>
      <c r="UDM450" s="741"/>
      <c r="UDN450" s="741"/>
      <c r="UDO450" s="741"/>
      <c r="UDP450" s="741"/>
      <c r="UDQ450" s="741"/>
      <c r="UDR450" s="741"/>
      <c r="UDS450" s="741"/>
      <c r="UDT450" s="741"/>
      <c r="UDU450" s="741"/>
      <c r="UDV450" s="741"/>
      <c r="UDW450" s="741"/>
      <c r="UDX450" s="741"/>
      <c r="UDY450" s="741"/>
      <c r="UDZ450" s="741"/>
      <c r="UEA450" s="741"/>
      <c r="UEB450" s="741"/>
      <c r="UEC450" s="741"/>
      <c r="UED450" s="741"/>
      <c r="UEE450" s="741"/>
      <c r="UEF450" s="741"/>
      <c r="UEG450" s="741"/>
      <c r="UEH450" s="741"/>
      <c r="UEI450" s="741"/>
      <c r="UEJ450" s="741"/>
      <c r="UEK450" s="741"/>
      <c r="UEL450" s="741"/>
      <c r="UEM450" s="741"/>
      <c r="UEN450" s="741"/>
      <c r="UEO450" s="741"/>
      <c r="UEP450" s="741"/>
      <c r="UEQ450" s="741"/>
      <c r="UER450" s="741"/>
      <c r="UES450" s="741"/>
      <c r="UET450" s="741"/>
      <c r="UEU450" s="741"/>
      <c r="UEV450" s="741"/>
      <c r="UEW450" s="741"/>
      <c r="UEX450" s="741"/>
      <c r="UEY450" s="741"/>
      <c r="UEZ450" s="741"/>
      <c r="UFA450" s="741"/>
      <c r="UFB450" s="741"/>
      <c r="UFC450" s="741"/>
      <c r="UFD450" s="741"/>
      <c r="UFE450" s="741"/>
      <c r="UFF450" s="741"/>
      <c r="UFG450" s="741"/>
      <c r="UFH450" s="741"/>
      <c r="UFI450" s="741"/>
      <c r="UFJ450" s="741"/>
      <c r="UFK450" s="741"/>
      <c r="UFL450" s="741"/>
      <c r="UFM450" s="741"/>
      <c r="UFN450" s="741"/>
      <c r="UFO450" s="741"/>
      <c r="UFP450" s="741"/>
      <c r="UFQ450" s="741"/>
      <c r="UFR450" s="741"/>
      <c r="UFS450" s="741"/>
      <c r="UFT450" s="741"/>
      <c r="UFU450" s="741"/>
      <c r="UFV450" s="741"/>
      <c r="UFW450" s="741"/>
      <c r="UFX450" s="741"/>
      <c r="UFY450" s="741"/>
      <c r="UFZ450" s="741"/>
      <c r="UGA450" s="741"/>
      <c r="UGB450" s="741"/>
      <c r="UGC450" s="741"/>
      <c r="UGD450" s="741"/>
      <c r="UGE450" s="741"/>
      <c r="UGF450" s="741"/>
      <c r="UGG450" s="741"/>
      <c r="UGH450" s="741"/>
      <c r="UGI450" s="741"/>
      <c r="UGJ450" s="741"/>
      <c r="UGK450" s="741"/>
      <c r="UGL450" s="741"/>
      <c r="UGM450" s="741"/>
      <c r="UGN450" s="741"/>
      <c r="UGO450" s="741"/>
      <c r="UGP450" s="741"/>
      <c r="UGQ450" s="741"/>
      <c r="UGR450" s="741"/>
      <c r="UGS450" s="741"/>
      <c r="UGT450" s="741"/>
      <c r="UGU450" s="741"/>
      <c r="UGV450" s="741"/>
      <c r="UGW450" s="741"/>
      <c r="UGX450" s="741"/>
      <c r="UGY450" s="741"/>
      <c r="UGZ450" s="741"/>
      <c r="UHA450" s="741"/>
      <c r="UHB450" s="741"/>
      <c r="UHC450" s="741"/>
      <c r="UHD450" s="741"/>
      <c r="UHE450" s="741"/>
      <c r="UHF450" s="741"/>
      <c r="UHG450" s="741"/>
      <c r="UHH450" s="741"/>
      <c r="UHI450" s="741"/>
      <c r="UHJ450" s="741"/>
      <c r="UHK450" s="741"/>
      <c r="UHL450" s="741"/>
      <c r="UHM450" s="741"/>
      <c r="UHN450" s="741"/>
      <c r="UHO450" s="741"/>
      <c r="UHP450" s="741"/>
      <c r="UHQ450" s="741"/>
      <c r="UHR450" s="741"/>
      <c r="UHS450" s="741"/>
      <c r="UHT450" s="741"/>
      <c r="UHU450" s="741"/>
      <c r="UHV450" s="741"/>
      <c r="UHW450" s="741"/>
      <c r="UHX450" s="741"/>
      <c r="UHY450" s="741"/>
      <c r="UHZ450" s="741"/>
      <c r="UIA450" s="741"/>
      <c r="UIB450" s="741"/>
      <c r="UIC450" s="741"/>
      <c r="UID450" s="741"/>
      <c r="UIE450" s="741"/>
      <c r="UIF450" s="741"/>
      <c r="UIG450" s="741"/>
      <c r="UIH450" s="741"/>
      <c r="UII450" s="741"/>
      <c r="UIJ450" s="741"/>
      <c r="UIK450" s="741"/>
      <c r="UIL450" s="741"/>
      <c r="UIM450" s="741"/>
      <c r="UIN450" s="741"/>
      <c r="UIO450" s="741"/>
      <c r="UIP450" s="741"/>
      <c r="UIQ450" s="741"/>
      <c r="UIR450" s="741"/>
      <c r="UIS450" s="741"/>
      <c r="UIT450" s="741"/>
      <c r="UIU450" s="741"/>
      <c r="UIV450" s="741"/>
      <c r="UIW450" s="741"/>
      <c r="UIX450" s="741"/>
      <c r="UIY450" s="741"/>
      <c r="UIZ450" s="741"/>
      <c r="UJA450" s="741"/>
      <c r="UJB450" s="741"/>
      <c r="UJC450" s="741"/>
      <c r="UJD450" s="741"/>
      <c r="UJE450" s="741"/>
      <c r="UJF450" s="741"/>
      <c r="UJG450" s="741"/>
      <c r="UJH450" s="741"/>
      <c r="UJI450" s="741"/>
      <c r="UJJ450" s="741"/>
      <c r="UJK450" s="741"/>
      <c r="UJL450" s="741"/>
      <c r="UJM450" s="741"/>
      <c r="UJN450" s="741"/>
      <c r="UJO450" s="741"/>
      <c r="UJP450" s="741"/>
      <c r="UJQ450" s="741"/>
      <c r="UJR450" s="741"/>
      <c r="UJS450" s="741"/>
      <c r="UJT450" s="741"/>
      <c r="UJU450" s="741"/>
      <c r="UJV450" s="741"/>
      <c r="UJW450" s="741"/>
      <c r="UJX450" s="741"/>
      <c r="UJY450" s="741"/>
      <c r="UJZ450" s="741"/>
      <c r="UKA450" s="741"/>
      <c r="UKB450" s="741"/>
      <c r="UKC450" s="741"/>
      <c r="UKD450" s="741"/>
      <c r="UKE450" s="741"/>
      <c r="UKF450" s="741"/>
      <c r="UKG450" s="741"/>
      <c r="UKH450" s="741"/>
      <c r="UKI450" s="741"/>
      <c r="UKJ450" s="741"/>
      <c r="UKK450" s="741"/>
      <c r="UKL450" s="741"/>
      <c r="UKM450" s="741"/>
      <c r="UKN450" s="741"/>
      <c r="UKO450" s="741"/>
      <c r="UKP450" s="741"/>
      <c r="UKQ450" s="741"/>
      <c r="UKR450" s="741"/>
      <c r="UKS450" s="741"/>
      <c r="UKT450" s="741"/>
      <c r="UKU450" s="741"/>
      <c r="UKV450" s="741"/>
      <c r="UKW450" s="741"/>
      <c r="UKX450" s="741"/>
      <c r="UKY450" s="741"/>
      <c r="UKZ450" s="741"/>
      <c r="ULA450" s="741"/>
      <c r="ULB450" s="741"/>
      <c r="ULC450" s="741"/>
      <c r="ULD450" s="741"/>
      <c r="ULE450" s="741"/>
      <c r="ULF450" s="741"/>
      <c r="ULG450" s="741"/>
      <c r="ULH450" s="741"/>
      <c r="ULI450" s="741"/>
      <c r="ULJ450" s="741"/>
      <c r="ULK450" s="741"/>
      <c r="ULL450" s="741"/>
      <c r="ULM450" s="741"/>
      <c r="ULN450" s="741"/>
      <c r="ULO450" s="741"/>
      <c r="ULP450" s="741"/>
      <c r="ULQ450" s="741"/>
      <c r="ULR450" s="741"/>
      <c r="ULS450" s="741"/>
      <c r="ULT450" s="741"/>
      <c r="ULU450" s="741"/>
      <c r="ULV450" s="741"/>
      <c r="ULW450" s="741"/>
      <c r="ULX450" s="741"/>
      <c r="ULY450" s="741"/>
      <c r="ULZ450" s="741"/>
      <c r="UMA450" s="741"/>
      <c r="UMB450" s="741"/>
      <c r="UMC450" s="741"/>
      <c r="UMD450" s="741"/>
      <c r="UME450" s="741"/>
      <c r="UMF450" s="741"/>
      <c r="UMG450" s="741"/>
      <c r="UMH450" s="741"/>
      <c r="UMI450" s="741"/>
      <c r="UMJ450" s="741"/>
      <c r="UMK450" s="741"/>
      <c r="UML450" s="741"/>
      <c r="UMM450" s="741"/>
      <c r="UMN450" s="741"/>
      <c r="UMO450" s="741"/>
      <c r="UMP450" s="741"/>
      <c r="UMQ450" s="741"/>
      <c r="UMR450" s="741"/>
      <c r="UMS450" s="741"/>
      <c r="UMT450" s="741"/>
      <c r="UMU450" s="741"/>
      <c r="UMV450" s="741"/>
      <c r="UMW450" s="741"/>
      <c r="UMX450" s="741"/>
      <c r="UMY450" s="741"/>
      <c r="UMZ450" s="741"/>
      <c r="UNA450" s="741"/>
      <c r="UNB450" s="741"/>
      <c r="UNC450" s="741"/>
      <c r="UND450" s="741"/>
      <c r="UNE450" s="741"/>
      <c r="UNF450" s="741"/>
      <c r="UNG450" s="741"/>
      <c r="UNH450" s="741"/>
      <c r="UNI450" s="741"/>
      <c r="UNJ450" s="741"/>
      <c r="UNK450" s="741"/>
      <c r="UNL450" s="741"/>
      <c r="UNM450" s="741"/>
      <c r="UNN450" s="741"/>
      <c r="UNO450" s="741"/>
      <c r="UNP450" s="741"/>
      <c r="UNQ450" s="741"/>
      <c r="UNR450" s="741"/>
      <c r="UNS450" s="741"/>
      <c r="UNT450" s="741"/>
      <c r="UNU450" s="741"/>
      <c r="UNV450" s="741"/>
      <c r="UNW450" s="741"/>
      <c r="UNX450" s="741"/>
      <c r="UNY450" s="741"/>
      <c r="UNZ450" s="741"/>
      <c r="UOA450" s="741"/>
      <c r="UOB450" s="741"/>
      <c r="UOC450" s="741"/>
      <c r="UOD450" s="741"/>
      <c r="UOE450" s="741"/>
      <c r="UOF450" s="741"/>
      <c r="UOG450" s="741"/>
      <c r="UOH450" s="741"/>
      <c r="UOI450" s="741"/>
      <c r="UOJ450" s="741"/>
      <c r="UOK450" s="741"/>
      <c r="UOL450" s="741"/>
      <c r="UOM450" s="741"/>
      <c r="UON450" s="741"/>
      <c r="UOO450" s="741"/>
      <c r="UOP450" s="741"/>
      <c r="UOQ450" s="741"/>
      <c r="UOR450" s="741"/>
      <c r="UOS450" s="741"/>
      <c r="UOT450" s="741"/>
      <c r="UOU450" s="741"/>
      <c r="UOV450" s="741"/>
      <c r="UOW450" s="741"/>
      <c r="UOX450" s="741"/>
      <c r="UOY450" s="741"/>
      <c r="UOZ450" s="741"/>
      <c r="UPA450" s="741"/>
      <c r="UPB450" s="741"/>
      <c r="UPC450" s="741"/>
      <c r="UPD450" s="741"/>
      <c r="UPE450" s="741"/>
      <c r="UPF450" s="741"/>
      <c r="UPG450" s="741"/>
      <c r="UPH450" s="741"/>
      <c r="UPI450" s="741"/>
      <c r="UPJ450" s="741"/>
      <c r="UPK450" s="741"/>
      <c r="UPL450" s="741"/>
      <c r="UPM450" s="741"/>
      <c r="UPN450" s="741"/>
      <c r="UPO450" s="741"/>
      <c r="UPP450" s="741"/>
      <c r="UPQ450" s="741"/>
      <c r="UPR450" s="741"/>
      <c r="UPS450" s="741"/>
      <c r="UPT450" s="741"/>
      <c r="UPU450" s="741"/>
      <c r="UPV450" s="741"/>
      <c r="UPW450" s="741"/>
      <c r="UPX450" s="741"/>
      <c r="UPY450" s="741"/>
      <c r="UPZ450" s="741"/>
      <c r="UQA450" s="741"/>
      <c r="UQB450" s="741"/>
      <c r="UQC450" s="741"/>
      <c r="UQD450" s="741"/>
      <c r="UQE450" s="741"/>
      <c r="UQF450" s="741"/>
      <c r="UQG450" s="741"/>
      <c r="UQH450" s="741"/>
      <c r="UQI450" s="741"/>
      <c r="UQJ450" s="741"/>
      <c r="UQK450" s="741"/>
      <c r="UQL450" s="741"/>
      <c r="UQM450" s="741"/>
      <c r="UQN450" s="741"/>
      <c r="UQO450" s="741"/>
      <c r="UQP450" s="741"/>
      <c r="UQQ450" s="741"/>
      <c r="UQR450" s="741"/>
      <c r="UQS450" s="741"/>
      <c r="UQT450" s="741"/>
      <c r="UQU450" s="741"/>
      <c r="UQV450" s="741"/>
      <c r="UQW450" s="741"/>
      <c r="UQX450" s="741"/>
      <c r="UQY450" s="741"/>
      <c r="UQZ450" s="741"/>
      <c r="URA450" s="741"/>
      <c r="URB450" s="741"/>
      <c r="URC450" s="741"/>
      <c r="URD450" s="741"/>
      <c r="URE450" s="741"/>
      <c r="URF450" s="741"/>
      <c r="URG450" s="741"/>
      <c r="URH450" s="741"/>
      <c r="URI450" s="741"/>
      <c r="URJ450" s="741"/>
      <c r="URK450" s="741"/>
      <c r="URL450" s="741"/>
      <c r="URM450" s="741"/>
      <c r="URN450" s="741"/>
      <c r="URO450" s="741"/>
      <c r="URP450" s="741"/>
      <c r="URQ450" s="741"/>
      <c r="URR450" s="741"/>
      <c r="URS450" s="741"/>
      <c r="URT450" s="741"/>
      <c r="URU450" s="741"/>
      <c r="URV450" s="741"/>
      <c r="URW450" s="741"/>
      <c r="URX450" s="741"/>
      <c r="URY450" s="741"/>
      <c r="URZ450" s="741"/>
      <c r="USA450" s="741"/>
      <c r="USB450" s="741"/>
      <c r="USC450" s="741"/>
      <c r="USD450" s="741"/>
      <c r="USE450" s="741"/>
      <c r="USF450" s="741"/>
      <c r="USG450" s="741"/>
      <c r="USH450" s="741"/>
      <c r="USI450" s="741"/>
      <c r="USJ450" s="741"/>
      <c r="USK450" s="741"/>
      <c r="USL450" s="741"/>
      <c r="USM450" s="741"/>
      <c r="USN450" s="741"/>
      <c r="USO450" s="741"/>
      <c r="USP450" s="741"/>
      <c r="USQ450" s="741"/>
      <c r="USR450" s="741"/>
      <c r="USS450" s="741"/>
      <c r="UST450" s="741"/>
      <c r="USU450" s="741"/>
      <c r="USV450" s="741"/>
      <c r="USW450" s="741"/>
      <c r="USX450" s="741"/>
      <c r="USY450" s="741"/>
      <c r="USZ450" s="741"/>
      <c r="UTA450" s="741"/>
      <c r="UTB450" s="741"/>
      <c r="UTC450" s="741"/>
      <c r="UTD450" s="741"/>
      <c r="UTE450" s="741"/>
      <c r="UTF450" s="741"/>
      <c r="UTG450" s="741"/>
      <c r="UTH450" s="741"/>
      <c r="UTI450" s="741"/>
      <c r="UTJ450" s="741"/>
      <c r="UTK450" s="741"/>
      <c r="UTL450" s="741"/>
      <c r="UTM450" s="741"/>
      <c r="UTN450" s="741"/>
      <c r="UTO450" s="741"/>
      <c r="UTP450" s="741"/>
      <c r="UTQ450" s="741"/>
      <c r="UTR450" s="741"/>
      <c r="UTS450" s="741"/>
      <c r="UTT450" s="741"/>
      <c r="UTU450" s="741"/>
      <c r="UTV450" s="741"/>
      <c r="UTW450" s="741"/>
      <c r="UTX450" s="741"/>
      <c r="UTY450" s="741"/>
      <c r="UTZ450" s="741"/>
      <c r="UUA450" s="741"/>
      <c r="UUB450" s="741"/>
      <c r="UUC450" s="741"/>
      <c r="UUD450" s="741"/>
      <c r="UUE450" s="741"/>
      <c r="UUF450" s="741"/>
      <c r="UUG450" s="741"/>
      <c r="UUH450" s="741"/>
      <c r="UUI450" s="741"/>
      <c r="UUJ450" s="741"/>
      <c r="UUK450" s="741"/>
      <c r="UUL450" s="741"/>
      <c r="UUM450" s="741"/>
      <c r="UUN450" s="741"/>
      <c r="UUO450" s="741"/>
      <c r="UUP450" s="741"/>
      <c r="UUQ450" s="741"/>
      <c r="UUR450" s="741"/>
      <c r="UUS450" s="741"/>
      <c r="UUT450" s="741"/>
      <c r="UUU450" s="741"/>
      <c r="UUV450" s="741"/>
      <c r="UUW450" s="741"/>
      <c r="UUX450" s="741"/>
      <c r="UUY450" s="741"/>
      <c r="UUZ450" s="741"/>
      <c r="UVA450" s="741"/>
      <c r="UVB450" s="741"/>
      <c r="UVC450" s="741"/>
      <c r="UVD450" s="741"/>
      <c r="UVE450" s="741"/>
      <c r="UVF450" s="741"/>
      <c r="UVG450" s="741"/>
      <c r="UVH450" s="741"/>
      <c r="UVI450" s="741"/>
      <c r="UVJ450" s="741"/>
      <c r="UVK450" s="741"/>
      <c r="UVL450" s="741"/>
      <c r="UVM450" s="741"/>
      <c r="UVN450" s="741"/>
      <c r="UVO450" s="741"/>
      <c r="UVP450" s="741"/>
      <c r="UVQ450" s="741"/>
      <c r="UVR450" s="741"/>
      <c r="UVS450" s="741"/>
      <c r="UVT450" s="741"/>
      <c r="UVU450" s="741"/>
      <c r="UVV450" s="741"/>
      <c r="UVW450" s="741"/>
      <c r="UVX450" s="741"/>
      <c r="UVY450" s="741"/>
      <c r="UVZ450" s="741"/>
      <c r="UWA450" s="741"/>
      <c r="UWB450" s="741"/>
      <c r="UWC450" s="741"/>
      <c r="UWD450" s="741"/>
      <c r="UWE450" s="741"/>
      <c r="UWF450" s="741"/>
      <c r="UWG450" s="741"/>
      <c r="UWH450" s="741"/>
      <c r="UWI450" s="741"/>
      <c r="UWJ450" s="741"/>
      <c r="UWK450" s="741"/>
      <c r="UWL450" s="741"/>
      <c r="UWM450" s="741"/>
      <c r="UWN450" s="741"/>
      <c r="UWO450" s="741"/>
      <c r="UWP450" s="741"/>
      <c r="UWQ450" s="741"/>
      <c r="UWR450" s="741"/>
      <c r="UWS450" s="741"/>
      <c r="UWT450" s="741"/>
      <c r="UWU450" s="741"/>
      <c r="UWV450" s="741"/>
      <c r="UWW450" s="741"/>
      <c r="UWX450" s="741"/>
      <c r="UWY450" s="741"/>
      <c r="UWZ450" s="741"/>
      <c r="UXA450" s="741"/>
      <c r="UXB450" s="741"/>
      <c r="UXC450" s="741"/>
      <c r="UXD450" s="741"/>
      <c r="UXE450" s="741"/>
      <c r="UXF450" s="741"/>
      <c r="UXG450" s="741"/>
      <c r="UXH450" s="741"/>
      <c r="UXI450" s="741"/>
      <c r="UXJ450" s="741"/>
      <c r="UXK450" s="741"/>
      <c r="UXL450" s="741"/>
      <c r="UXM450" s="741"/>
      <c r="UXN450" s="741"/>
      <c r="UXO450" s="741"/>
      <c r="UXP450" s="741"/>
      <c r="UXQ450" s="741"/>
      <c r="UXR450" s="741"/>
      <c r="UXS450" s="741"/>
      <c r="UXT450" s="741"/>
      <c r="UXU450" s="741"/>
      <c r="UXV450" s="741"/>
      <c r="UXW450" s="741"/>
      <c r="UXX450" s="741"/>
      <c r="UXY450" s="741"/>
      <c r="UXZ450" s="741"/>
      <c r="UYA450" s="741"/>
      <c r="UYB450" s="741"/>
      <c r="UYC450" s="741"/>
      <c r="UYD450" s="741"/>
      <c r="UYE450" s="741"/>
      <c r="UYF450" s="741"/>
      <c r="UYG450" s="741"/>
      <c r="UYH450" s="741"/>
      <c r="UYI450" s="741"/>
      <c r="UYJ450" s="741"/>
      <c r="UYK450" s="741"/>
      <c r="UYL450" s="741"/>
      <c r="UYM450" s="741"/>
      <c r="UYN450" s="741"/>
      <c r="UYO450" s="741"/>
      <c r="UYP450" s="741"/>
      <c r="UYQ450" s="741"/>
      <c r="UYR450" s="741"/>
      <c r="UYS450" s="741"/>
      <c r="UYT450" s="741"/>
      <c r="UYU450" s="741"/>
      <c r="UYV450" s="741"/>
      <c r="UYW450" s="741"/>
      <c r="UYX450" s="741"/>
      <c r="UYY450" s="741"/>
      <c r="UYZ450" s="741"/>
      <c r="UZA450" s="741"/>
      <c r="UZB450" s="741"/>
      <c r="UZC450" s="741"/>
      <c r="UZD450" s="741"/>
      <c r="UZE450" s="741"/>
      <c r="UZF450" s="741"/>
      <c r="UZG450" s="741"/>
      <c r="UZH450" s="741"/>
      <c r="UZI450" s="741"/>
      <c r="UZJ450" s="741"/>
      <c r="UZK450" s="741"/>
      <c r="UZL450" s="741"/>
      <c r="UZM450" s="741"/>
      <c r="UZN450" s="741"/>
      <c r="UZO450" s="741"/>
      <c r="UZP450" s="741"/>
      <c r="UZQ450" s="741"/>
      <c r="UZR450" s="741"/>
      <c r="UZS450" s="741"/>
      <c r="UZT450" s="741"/>
      <c r="UZU450" s="741"/>
      <c r="UZV450" s="741"/>
      <c r="UZW450" s="741"/>
      <c r="UZX450" s="741"/>
      <c r="UZY450" s="741"/>
      <c r="UZZ450" s="741"/>
      <c r="VAA450" s="741"/>
      <c r="VAB450" s="741"/>
      <c r="VAC450" s="741"/>
      <c r="VAD450" s="741"/>
      <c r="VAE450" s="741"/>
      <c r="VAF450" s="741"/>
      <c r="VAG450" s="741"/>
      <c r="VAH450" s="741"/>
      <c r="VAI450" s="741"/>
      <c r="VAJ450" s="741"/>
      <c r="VAK450" s="741"/>
      <c r="VAL450" s="741"/>
      <c r="VAM450" s="741"/>
      <c r="VAN450" s="741"/>
      <c r="VAO450" s="741"/>
      <c r="VAP450" s="741"/>
      <c r="VAQ450" s="741"/>
      <c r="VAR450" s="741"/>
      <c r="VAS450" s="741"/>
      <c r="VAT450" s="741"/>
      <c r="VAU450" s="741"/>
      <c r="VAV450" s="741"/>
      <c r="VAW450" s="741"/>
      <c r="VAX450" s="741"/>
      <c r="VAY450" s="741"/>
      <c r="VAZ450" s="741"/>
      <c r="VBA450" s="741"/>
      <c r="VBB450" s="741"/>
      <c r="VBC450" s="741"/>
      <c r="VBD450" s="741"/>
      <c r="VBE450" s="741"/>
      <c r="VBF450" s="741"/>
      <c r="VBG450" s="741"/>
      <c r="VBH450" s="741"/>
      <c r="VBI450" s="741"/>
      <c r="VBJ450" s="741"/>
      <c r="VBK450" s="741"/>
      <c r="VBL450" s="741"/>
      <c r="VBM450" s="741"/>
      <c r="VBN450" s="741"/>
      <c r="VBO450" s="741"/>
      <c r="VBP450" s="741"/>
      <c r="VBQ450" s="741"/>
      <c r="VBR450" s="741"/>
      <c r="VBS450" s="741"/>
      <c r="VBT450" s="741"/>
      <c r="VBU450" s="741"/>
      <c r="VBV450" s="741"/>
      <c r="VBW450" s="741"/>
      <c r="VBX450" s="741"/>
      <c r="VBY450" s="741"/>
      <c r="VBZ450" s="741"/>
      <c r="VCA450" s="741"/>
      <c r="VCB450" s="741"/>
      <c r="VCC450" s="741"/>
      <c r="VCD450" s="741"/>
      <c r="VCE450" s="741"/>
      <c r="VCF450" s="741"/>
      <c r="VCG450" s="741"/>
      <c r="VCH450" s="741"/>
      <c r="VCI450" s="741"/>
      <c r="VCJ450" s="741"/>
      <c r="VCK450" s="741"/>
      <c r="VCL450" s="741"/>
      <c r="VCM450" s="741"/>
      <c r="VCN450" s="741"/>
      <c r="VCO450" s="741"/>
      <c r="VCP450" s="741"/>
      <c r="VCQ450" s="741"/>
      <c r="VCR450" s="741"/>
      <c r="VCS450" s="741"/>
      <c r="VCT450" s="741"/>
      <c r="VCU450" s="741"/>
      <c r="VCV450" s="741"/>
      <c r="VCW450" s="741"/>
      <c r="VCX450" s="741"/>
      <c r="VCY450" s="741"/>
      <c r="VCZ450" s="741"/>
      <c r="VDA450" s="741"/>
      <c r="VDB450" s="741"/>
      <c r="VDC450" s="741"/>
      <c r="VDD450" s="741"/>
      <c r="VDE450" s="741"/>
      <c r="VDF450" s="741"/>
      <c r="VDG450" s="741"/>
      <c r="VDH450" s="741"/>
      <c r="VDI450" s="741"/>
      <c r="VDJ450" s="741"/>
      <c r="VDK450" s="741"/>
      <c r="VDL450" s="741"/>
      <c r="VDM450" s="741"/>
      <c r="VDN450" s="741"/>
      <c r="VDO450" s="741"/>
      <c r="VDP450" s="741"/>
      <c r="VDQ450" s="741"/>
      <c r="VDR450" s="741"/>
      <c r="VDS450" s="741"/>
      <c r="VDT450" s="741"/>
      <c r="VDU450" s="741"/>
      <c r="VDV450" s="741"/>
      <c r="VDW450" s="741"/>
      <c r="VDX450" s="741"/>
      <c r="VDY450" s="741"/>
      <c r="VDZ450" s="741"/>
      <c r="VEA450" s="741"/>
      <c r="VEB450" s="741"/>
      <c r="VEC450" s="741"/>
      <c r="VED450" s="741"/>
      <c r="VEE450" s="741"/>
      <c r="VEF450" s="741"/>
      <c r="VEG450" s="741"/>
      <c r="VEH450" s="741"/>
      <c r="VEI450" s="741"/>
      <c r="VEJ450" s="741"/>
      <c r="VEK450" s="741"/>
      <c r="VEL450" s="741"/>
      <c r="VEM450" s="741"/>
      <c r="VEN450" s="741"/>
      <c r="VEO450" s="741"/>
      <c r="VEP450" s="741"/>
      <c r="VEQ450" s="741"/>
      <c r="VER450" s="741"/>
      <c r="VES450" s="741"/>
      <c r="VET450" s="741"/>
      <c r="VEU450" s="741"/>
      <c r="VEV450" s="741"/>
      <c r="VEW450" s="741"/>
      <c r="VEX450" s="741"/>
      <c r="VEY450" s="741"/>
      <c r="VEZ450" s="741"/>
      <c r="VFA450" s="741"/>
      <c r="VFB450" s="741"/>
      <c r="VFC450" s="741"/>
      <c r="VFD450" s="741"/>
      <c r="VFE450" s="741"/>
      <c r="VFF450" s="741"/>
      <c r="VFG450" s="741"/>
      <c r="VFH450" s="741"/>
      <c r="VFI450" s="741"/>
      <c r="VFJ450" s="741"/>
      <c r="VFK450" s="741"/>
      <c r="VFL450" s="741"/>
      <c r="VFM450" s="741"/>
      <c r="VFN450" s="741"/>
      <c r="VFO450" s="741"/>
      <c r="VFP450" s="741"/>
      <c r="VFQ450" s="741"/>
      <c r="VFR450" s="741"/>
      <c r="VFS450" s="741"/>
      <c r="VFT450" s="741"/>
      <c r="VFU450" s="741"/>
      <c r="VFV450" s="741"/>
      <c r="VFW450" s="741"/>
      <c r="VFX450" s="741"/>
      <c r="VFY450" s="741"/>
      <c r="VFZ450" s="741"/>
      <c r="VGA450" s="741"/>
      <c r="VGB450" s="741"/>
      <c r="VGC450" s="741"/>
      <c r="VGD450" s="741"/>
      <c r="VGE450" s="741"/>
      <c r="VGF450" s="741"/>
      <c r="VGG450" s="741"/>
      <c r="VGH450" s="741"/>
      <c r="VGI450" s="741"/>
      <c r="VGJ450" s="741"/>
      <c r="VGK450" s="741"/>
      <c r="VGL450" s="741"/>
      <c r="VGM450" s="741"/>
      <c r="VGN450" s="741"/>
      <c r="VGO450" s="741"/>
      <c r="VGP450" s="741"/>
      <c r="VGQ450" s="741"/>
      <c r="VGR450" s="741"/>
      <c r="VGS450" s="741"/>
      <c r="VGT450" s="741"/>
      <c r="VGU450" s="741"/>
      <c r="VGV450" s="741"/>
      <c r="VGW450" s="741"/>
      <c r="VGX450" s="741"/>
      <c r="VGY450" s="741"/>
      <c r="VGZ450" s="741"/>
      <c r="VHA450" s="741"/>
      <c r="VHB450" s="741"/>
      <c r="VHC450" s="741"/>
      <c r="VHD450" s="741"/>
      <c r="VHE450" s="741"/>
      <c r="VHF450" s="741"/>
      <c r="VHG450" s="741"/>
      <c r="VHH450" s="741"/>
      <c r="VHI450" s="741"/>
      <c r="VHJ450" s="741"/>
      <c r="VHK450" s="741"/>
      <c r="VHL450" s="741"/>
      <c r="VHM450" s="741"/>
      <c r="VHN450" s="741"/>
      <c r="VHO450" s="741"/>
      <c r="VHP450" s="741"/>
      <c r="VHQ450" s="741"/>
      <c r="VHR450" s="741"/>
      <c r="VHS450" s="741"/>
      <c r="VHT450" s="741"/>
      <c r="VHU450" s="741"/>
      <c r="VHV450" s="741"/>
      <c r="VHW450" s="741"/>
      <c r="VHX450" s="741"/>
      <c r="VHY450" s="741"/>
      <c r="VHZ450" s="741"/>
      <c r="VIA450" s="741"/>
      <c r="VIB450" s="741"/>
      <c r="VIC450" s="741"/>
      <c r="VID450" s="741"/>
      <c r="VIE450" s="741"/>
      <c r="VIF450" s="741"/>
      <c r="VIG450" s="741"/>
      <c r="VIH450" s="741"/>
      <c r="VII450" s="741"/>
      <c r="VIJ450" s="741"/>
      <c r="VIK450" s="741"/>
      <c r="VIL450" s="741"/>
      <c r="VIM450" s="741"/>
      <c r="VIN450" s="741"/>
      <c r="VIO450" s="741"/>
      <c r="VIP450" s="741"/>
      <c r="VIQ450" s="741"/>
      <c r="VIR450" s="741"/>
      <c r="VIS450" s="741"/>
      <c r="VIT450" s="741"/>
      <c r="VIU450" s="741"/>
      <c r="VIV450" s="741"/>
      <c r="VIW450" s="741"/>
      <c r="VIX450" s="741"/>
      <c r="VIY450" s="741"/>
      <c r="VIZ450" s="741"/>
      <c r="VJA450" s="741"/>
      <c r="VJB450" s="741"/>
      <c r="VJC450" s="741"/>
      <c r="VJD450" s="741"/>
      <c r="VJE450" s="741"/>
      <c r="VJF450" s="741"/>
      <c r="VJG450" s="741"/>
      <c r="VJH450" s="741"/>
      <c r="VJI450" s="741"/>
      <c r="VJJ450" s="741"/>
      <c r="VJK450" s="741"/>
      <c r="VJL450" s="741"/>
      <c r="VJM450" s="741"/>
      <c r="VJN450" s="741"/>
      <c r="VJO450" s="741"/>
      <c r="VJP450" s="741"/>
      <c r="VJQ450" s="741"/>
      <c r="VJR450" s="741"/>
      <c r="VJS450" s="741"/>
      <c r="VJT450" s="741"/>
      <c r="VJU450" s="741"/>
      <c r="VJV450" s="741"/>
      <c r="VJW450" s="741"/>
      <c r="VJX450" s="741"/>
      <c r="VJY450" s="741"/>
      <c r="VJZ450" s="741"/>
      <c r="VKA450" s="741"/>
      <c r="VKB450" s="741"/>
      <c r="VKC450" s="741"/>
      <c r="VKD450" s="741"/>
      <c r="VKE450" s="741"/>
      <c r="VKF450" s="741"/>
      <c r="VKG450" s="741"/>
      <c r="VKH450" s="741"/>
      <c r="VKI450" s="741"/>
      <c r="VKJ450" s="741"/>
      <c r="VKK450" s="741"/>
      <c r="VKL450" s="741"/>
      <c r="VKM450" s="741"/>
      <c r="VKN450" s="741"/>
      <c r="VKO450" s="741"/>
      <c r="VKP450" s="741"/>
      <c r="VKQ450" s="741"/>
      <c r="VKR450" s="741"/>
      <c r="VKS450" s="741"/>
      <c r="VKT450" s="741"/>
      <c r="VKU450" s="741"/>
      <c r="VKV450" s="741"/>
      <c r="VKW450" s="741"/>
      <c r="VKX450" s="741"/>
      <c r="VKY450" s="741"/>
      <c r="VKZ450" s="741"/>
      <c r="VLA450" s="741"/>
      <c r="VLB450" s="741"/>
      <c r="VLC450" s="741"/>
      <c r="VLD450" s="741"/>
      <c r="VLE450" s="741"/>
      <c r="VLF450" s="741"/>
      <c r="VLG450" s="741"/>
      <c r="VLH450" s="741"/>
      <c r="VLI450" s="741"/>
      <c r="VLJ450" s="741"/>
      <c r="VLK450" s="741"/>
      <c r="VLL450" s="741"/>
      <c r="VLM450" s="741"/>
      <c r="VLN450" s="741"/>
      <c r="VLO450" s="741"/>
      <c r="VLP450" s="741"/>
      <c r="VLQ450" s="741"/>
      <c r="VLR450" s="741"/>
      <c r="VLS450" s="741"/>
      <c r="VLT450" s="741"/>
      <c r="VLU450" s="741"/>
      <c r="VLV450" s="741"/>
      <c r="VLW450" s="741"/>
      <c r="VLX450" s="741"/>
      <c r="VLY450" s="741"/>
      <c r="VLZ450" s="741"/>
      <c r="VMA450" s="741"/>
      <c r="VMB450" s="741"/>
      <c r="VMC450" s="741"/>
      <c r="VMD450" s="741"/>
      <c r="VME450" s="741"/>
      <c r="VMF450" s="741"/>
      <c r="VMG450" s="741"/>
      <c r="VMH450" s="741"/>
      <c r="VMI450" s="741"/>
      <c r="VMJ450" s="741"/>
      <c r="VMK450" s="741"/>
      <c r="VML450" s="741"/>
      <c r="VMM450" s="741"/>
      <c r="VMN450" s="741"/>
      <c r="VMO450" s="741"/>
      <c r="VMP450" s="741"/>
      <c r="VMQ450" s="741"/>
      <c r="VMR450" s="741"/>
      <c r="VMS450" s="741"/>
      <c r="VMT450" s="741"/>
      <c r="VMU450" s="741"/>
      <c r="VMV450" s="741"/>
      <c r="VMW450" s="741"/>
      <c r="VMX450" s="741"/>
      <c r="VMY450" s="741"/>
      <c r="VMZ450" s="741"/>
      <c r="VNA450" s="741"/>
      <c r="VNB450" s="741"/>
      <c r="VNC450" s="741"/>
      <c r="VND450" s="741"/>
      <c r="VNE450" s="741"/>
      <c r="VNF450" s="741"/>
      <c r="VNG450" s="741"/>
      <c r="VNH450" s="741"/>
      <c r="VNI450" s="741"/>
      <c r="VNJ450" s="741"/>
      <c r="VNK450" s="741"/>
      <c r="VNL450" s="741"/>
      <c r="VNM450" s="741"/>
      <c r="VNN450" s="741"/>
      <c r="VNO450" s="741"/>
      <c r="VNP450" s="741"/>
      <c r="VNQ450" s="741"/>
      <c r="VNR450" s="741"/>
      <c r="VNS450" s="741"/>
      <c r="VNT450" s="741"/>
      <c r="VNU450" s="741"/>
      <c r="VNV450" s="741"/>
      <c r="VNW450" s="741"/>
      <c r="VNX450" s="741"/>
      <c r="VNY450" s="741"/>
      <c r="VNZ450" s="741"/>
      <c r="VOA450" s="741"/>
      <c r="VOB450" s="741"/>
      <c r="VOC450" s="741"/>
      <c r="VOD450" s="741"/>
      <c r="VOE450" s="741"/>
      <c r="VOF450" s="741"/>
      <c r="VOG450" s="741"/>
      <c r="VOH450" s="741"/>
      <c r="VOI450" s="741"/>
      <c r="VOJ450" s="741"/>
      <c r="VOK450" s="741"/>
      <c r="VOL450" s="741"/>
      <c r="VOM450" s="741"/>
      <c r="VON450" s="741"/>
      <c r="VOO450" s="741"/>
      <c r="VOP450" s="741"/>
      <c r="VOQ450" s="741"/>
      <c r="VOR450" s="741"/>
      <c r="VOS450" s="741"/>
      <c r="VOT450" s="741"/>
      <c r="VOU450" s="741"/>
      <c r="VOV450" s="741"/>
      <c r="VOW450" s="741"/>
      <c r="VOX450" s="741"/>
      <c r="VOY450" s="741"/>
      <c r="VOZ450" s="741"/>
      <c r="VPA450" s="741"/>
      <c r="VPB450" s="741"/>
      <c r="VPC450" s="741"/>
      <c r="VPD450" s="741"/>
      <c r="VPE450" s="741"/>
      <c r="VPF450" s="741"/>
      <c r="VPG450" s="741"/>
      <c r="VPH450" s="741"/>
      <c r="VPI450" s="741"/>
      <c r="VPJ450" s="741"/>
      <c r="VPK450" s="741"/>
      <c r="VPL450" s="741"/>
      <c r="VPM450" s="741"/>
      <c r="VPN450" s="741"/>
      <c r="VPO450" s="741"/>
      <c r="VPP450" s="741"/>
      <c r="VPQ450" s="741"/>
      <c r="VPR450" s="741"/>
      <c r="VPS450" s="741"/>
      <c r="VPT450" s="741"/>
      <c r="VPU450" s="741"/>
      <c r="VPV450" s="741"/>
      <c r="VPW450" s="741"/>
      <c r="VPX450" s="741"/>
      <c r="VPY450" s="741"/>
      <c r="VPZ450" s="741"/>
      <c r="VQA450" s="741"/>
      <c r="VQB450" s="741"/>
      <c r="VQC450" s="741"/>
      <c r="VQD450" s="741"/>
      <c r="VQE450" s="741"/>
      <c r="VQF450" s="741"/>
      <c r="VQG450" s="741"/>
      <c r="VQH450" s="741"/>
      <c r="VQI450" s="741"/>
      <c r="VQJ450" s="741"/>
      <c r="VQK450" s="741"/>
      <c r="VQL450" s="741"/>
      <c r="VQM450" s="741"/>
      <c r="VQN450" s="741"/>
      <c r="VQO450" s="741"/>
      <c r="VQP450" s="741"/>
      <c r="VQQ450" s="741"/>
      <c r="VQR450" s="741"/>
      <c r="VQS450" s="741"/>
      <c r="VQT450" s="741"/>
      <c r="VQU450" s="741"/>
      <c r="VQV450" s="741"/>
      <c r="VQW450" s="741"/>
      <c r="VQX450" s="741"/>
      <c r="VQY450" s="741"/>
      <c r="VQZ450" s="741"/>
      <c r="VRA450" s="741"/>
      <c r="VRB450" s="741"/>
      <c r="VRC450" s="741"/>
      <c r="VRD450" s="741"/>
      <c r="VRE450" s="741"/>
      <c r="VRF450" s="741"/>
      <c r="VRG450" s="741"/>
      <c r="VRH450" s="741"/>
      <c r="VRI450" s="741"/>
      <c r="VRJ450" s="741"/>
      <c r="VRK450" s="741"/>
      <c r="VRL450" s="741"/>
      <c r="VRM450" s="741"/>
      <c r="VRN450" s="741"/>
      <c r="VRO450" s="741"/>
      <c r="VRP450" s="741"/>
      <c r="VRQ450" s="741"/>
      <c r="VRR450" s="741"/>
      <c r="VRS450" s="741"/>
      <c r="VRT450" s="741"/>
      <c r="VRU450" s="741"/>
      <c r="VRV450" s="741"/>
      <c r="VRW450" s="741"/>
      <c r="VRX450" s="741"/>
      <c r="VRY450" s="741"/>
      <c r="VRZ450" s="741"/>
      <c r="VSA450" s="741"/>
      <c r="VSB450" s="741"/>
      <c r="VSC450" s="741"/>
      <c r="VSD450" s="741"/>
      <c r="VSE450" s="741"/>
      <c r="VSF450" s="741"/>
      <c r="VSG450" s="741"/>
      <c r="VSH450" s="741"/>
      <c r="VSI450" s="741"/>
      <c r="VSJ450" s="741"/>
      <c r="VSK450" s="741"/>
      <c r="VSL450" s="741"/>
      <c r="VSM450" s="741"/>
      <c r="VSN450" s="741"/>
      <c r="VSO450" s="741"/>
      <c r="VSP450" s="741"/>
      <c r="VSQ450" s="741"/>
      <c r="VSR450" s="741"/>
      <c r="VSS450" s="741"/>
      <c r="VST450" s="741"/>
      <c r="VSU450" s="741"/>
      <c r="VSV450" s="741"/>
      <c r="VSW450" s="741"/>
      <c r="VSX450" s="741"/>
      <c r="VSY450" s="741"/>
      <c r="VSZ450" s="741"/>
      <c r="VTA450" s="741"/>
      <c r="VTB450" s="741"/>
      <c r="VTC450" s="741"/>
      <c r="VTD450" s="741"/>
      <c r="VTE450" s="741"/>
      <c r="VTF450" s="741"/>
      <c r="VTG450" s="741"/>
      <c r="VTH450" s="741"/>
      <c r="VTI450" s="741"/>
      <c r="VTJ450" s="741"/>
      <c r="VTK450" s="741"/>
      <c r="VTL450" s="741"/>
      <c r="VTM450" s="741"/>
      <c r="VTN450" s="741"/>
      <c r="VTO450" s="741"/>
      <c r="VTP450" s="741"/>
      <c r="VTQ450" s="741"/>
      <c r="VTR450" s="741"/>
      <c r="VTS450" s="741"/>
      <c r="VTT450" s="741"/>
      <c r="VTU450" s="741"/>
      <c r="VTV450" s="741"/>
      <c r="VTW450" s="741"/>
      <c r="VTX450" s="741"/>
      <c r="VTY450" s="741"/>
      <c r="VTZ450" s="741"/>
      <c r="VUA450" s="741"/>
      <c r="VUB450" s="741"/>
      <c r="VUC450" s="741"/>
      <c r="VUD450" s="741"/>
      <c r="VUE450" s="741"/>
      <c r="VUF450" s="741"/>
      <c r="VUG450" s="741"/>
      <c r="VUH450" s="741"/>
      <c r="VUI450" s="741"/>
      <c r="VUJ450" s="741"/>
      <c r="VUK450" s="741"/>
      <c r="VUL450" s="741"/>
      <c r="VUM450" s="741"/>
      <c r="VUN450" s="741"/>
      <c r="VUO450" s="741"/>
      <c r="VUP450" s="741"/>
      <c r="VUQ450" s="741"/>
      <c r="VUR450" s="741"/>
      <c r="VUS450" s="741"/>
      <c r="VUT450" s="741"/>
      <c r="VUU450" s="741"/>
      <c r="VUV450" s="741"/>
      <c r="VUW450" s="741"/>
      <c r="VUX450" s="741"/>
      <c r="VUY450" s="741"/>
      <c r="VUZ450" s="741"/>
      <c r="VVA450" s="741"/>
      <c r="VVB450" s="741"/>
      <c r="VVC450" s="741"/>
      <c r="VVD450" s="741"/>
      <c r="VVE450" s="741"/>
      <c r="VVF450" s="741"/>
      <c r="VVG450" s="741"/>
      <c r="VVH450" s="741"/>
      <c r="VVI450" s="741"/>
      <c r="VVJ450" s="741"/>
      <c r="VVK450" s="741"/>
      <c r="VVL450" s="741"/>
      <c r="VVM450" s="741"/>
      <c r="VVN450" s="741"/>
      <c r="VVO450" s="741"/>
      <c r="VVP450" s="741"/>
      <c r="VVQ450" s="741"/>
      <c r="VVR450" s="741"/>
      <c r="VVS450" s="741"/>
      <c r="VVT450" s="741"/>
      <c r="VVU450" s="741"/>
      <c r="VVV450" s="741"/>
      <c r="VVW450" s="741"/>
      <c r="VVX450" s="741"/>
      <c r="VVY450" s="741"/>
      <c r="VVZ450" s="741"/>
      <c r="VWA450" s="741"/>
      <c r="VWB450" s="741"/>
      <c r="VWC450" s="741"/>
      <c r="VWD450" s="741"/>
      <c r="VWE450" s="741"/>
      <c r="VWF450" s="741"/>
      <c r="VWG450" s="741"/>
      <c r="VWH450" s="741"/>
      <c r="VWI450" s="741"/>
      <c r="VWJ450" s="741"/>
      <c r="VWK450" s="741"/>
      <c r="VWL450" s="741"/>
      <c r="VWM450" s="741"/>
      <c r="VWN450" s="741"/>
      <c r="VWO450" s="741"/>
      <c r="VWP450" s="741"/>
      <c r="VWQ450" s="741"/>
      <c r="VWR450" s="741"/>
      <c r="VWS450" s="741"/>
      <c r="VWT450" s="741"/>
      <c r="VWU450" s="741"/>
      <c r="VWV450" s="741"/>
      <c r="VWW450" s="741"/>
      <c r="VWX450" s="741"/>
      <c r="VWY450" s="741"/>
      <c r="VWZ450" s="741"/>
      <c r="VXA450" s="741"/>
      <c r="VXB450" s="741"/>
      <c r="VXC450" s="741"/>
      <c r="VXD450" s="741"/>
      <c r="VXE450" s="741"/>
      <c r="VXF450" s="741"/>
      <c r="VXG450" s="741"/>
      <c r="VXH450" s="741"/>
      <c r="VXI450" s="741"/>
      <c r="VXJ450" s="741"/>
      <c r="VXK450" s="741"/>
      <c r="VXL450" s="741"/>
      <c r="VXM450" s="741"/>
      <c r="VXN450" s="741"/>
      <c r="VXO450" s="741"/>
      <c r="VXP450" s="741"/>
      <c r="VXQ450" s="741"/>
      <c r="VXR450" s="741"/>
      <c r="VXS450" s="741"/>
      <c r="VXT450" s="741"/>
      <c r="VXU450" s="741"/>
      <c r="VXV450" s="741"/>
      <c r="VXW450" s="741"/>
      <c r="VXX450" s="741"/>
      <c r="VXY450" s="741"/>
      <c r="VXZ450" s="741"/>
      <c r="VYA450" s="741"/>
      <c r="VYB450" s="741"/>
      <c r="VYC450" s="741"/>
      <c r="VYD450" s="741"/>
      <c r="VYE450" s="741"/>
      <c r="VYF450" s="741"/>
      <c r="VYG450" s="741"/>
      <c r="VYH450" s="741"/>
      <c r="VYI450" s="741"/>
      <c r="VYJ450" s="741"/>
      <c r="VYK450" s="741"/>
      <c r="VYL450" s="741"/>
      <c r="VYM450" s="741"/>
      <c r="VYN450" s="741"/>
      <c r="VYO450" s="741"/>
      <c r="VYP450" s="741"/>
      <c r="VYQ450" s="741"/>
      <c r="VYR450" s="741"/>
      <c r="VYS450" s="741"/>
      <c r="VYT450" s="741"/>
      <c r="VYU450" s="741"/>
      <c r="VYV450" s="741"/>
      <c r="VYW450" s="741"/>
      <c r="VYX450" s="741"/>
      <c r="VYY450" s="741"/>
      <c r="VYZ450" s="741"/>
      <c r="VZA450" s="741"/>
      <c r="VZB450" s="741"/>
      <c r="VZC450" s="741"/>
      <c r="VZD450" s="741"/>
      <c r="VZE450" s="741"/>
      <c r="VZF450" s="741"/>
      <c r="VZG450" s="741"/>
      <c r="VZH450" s="741"/>
      <c r="VZI450" s="741"/>
      <c r="VZJ450" s="741"/>
      <c r="VZK450" s="741"/>
      <c r="VZL450" s="741"/>
      <c r="VZM450" s="741"/>
      <c r="VZN450" s="741"/>
      <c r="VZO450" s="741"/>
      <c r="VZP450" s="741"/>
      <c r="VZQ450" s="741"/>
      <c r="VZR450" s="741"/>
      <c r="VZS450" s="741"/>
      <c r="VZT450" s="741"/>
      <c r="VZU450" s="741"/>
      <c r="VZV450" s="741"/>
      <c r="VZW450" s="741"/>
      <c r="VZX450" s="741"/>
      <c r="VZY450" s="741"/>
      <c r="VZZ450" s="741"/>
      <c r="WAA450" s="741"/>
      <c r="WAB450" s="741"/>
      <c r="WAC450" s="741"/>
      <c r="WAD450" s="741"/>
      <c r="WAE450" s="741"/>
      <c r="WAF450" s="741"/>
      <c r="WAG450" s="741"/>
      <c r="WAH450" s="741"/>
      <c r="WAI450" s="741"/>
      <c r="WAJ450" s="741"/>
      <c r="WAK450" s="741"/>
      <c r="WAL450" s="741"/>
      <c r="WAM450" s="741"/>
      <c r="WAN450" s="741"/>
      <c r="WAO450" s="741"/>
      <c r="WAP450" s="741"/>
      <c r="WAQ450" s="741"/>
      <c r="WAR450" s="741"/>
      <c r="WAS450" s="741"/>
      <c r="WAT450" s="741"/>
      <c r="WAU450" s="741"/>
      <c r="WAV450" s="741"/>
      <c r="WAW450" s="741"/>
      <c r="WAX450" s="741"/>
      <c r="WAY450" s="741"/>
      <c r="WAZ450" s="741"/>
      <c r="WBA450" s="741"/>
      <c r="WBB450" s="741"/>
      <c r="WBC450" s="741"/>
      <c r="WBD450" s="741"/>
      <c r="WBE450" s="741"/>
      <c r="WBF450" s="741"/>
      <c r="WBG450" s="741"/>
      <c r="WBH450" s="741"/>
      <c r="WBI450" s="741"/>
      <c r="WBJ450" s="741"/>
      <c r="WBK450" s="741"/>
      <c r="WBL450" s="741"/>
      <c r="WBM450" s="741"/>
      <c r="WBN450" s="741"/>
      <c r="WBO450" s="741"/>
      <c r="WBP450" s="741"/>
      <c r="WBQ450" s="741"/>
      <c r="WBR450" s="741"/>
      <c r="WBS450" s="741"/>
      <c r="WBT450" s="741"/>
      <c r="WBU450" s="741"/>
      <c r="WBV450" s="741"/>
      <c r="WBW450" s="741"/>
      <c r="WBX450" s="741"/>
      <c r="WBY450" s="741"/>
      <c r="WBZ450" s="741"/>
      <c r="WCA450" s="741"/>
      <c r="WCB450" s="741"/>
      <c r="WCC450" s="741"/>
      <c r="WCD450" s="741"/>
      <c r="WCE450" s="741"/>
      <c r="WCF450" s="741"/>
      <c r="WCG450" s="741"/>
      <c r="WCH450" s="741"/>
      <c r="WCI450" s="741"/>
      <c r="WCJ450" s="741"/>
      <c r="WCK450" s="741"/>
      <c r="WCL450" s="741"/>
      <c r="WCM450" s="741"/>
      <c r="WCN450" s="741"/>
      <c r="WCO450" s="741"/>
      <c r="WCP450" s="741"/>
      <c r="WCQ450" s="741"/>
      <c r="WCR450" s="741"/>
      <c r="WCS450" s="741"/>
      <c r="WCT450" s="741"/>
      <c r="WCU450" s="741"/>
      <c r="WCV450" s="741"/>
      <c r="WCW450" s="741"/>
      <c r="WCX450" s="741"/>
      <c r="WCY450" s="741"/>
      <c r="WCZ450" s="741"/>
      <c r="WDA450" s="741"/>
      <c r="WDB450" s="741"/>
      <c r="WDC450" s="741"/>
      <c r="WDD450" s="741"/>
      <c r="WDE450" s="741"/>
      <c r="WDF450" s="741"/>
      <c r="WDG450" s="741"/>
      <c r="WDH450" s="741"/>
      <c r="WDI450" s="741"/>
      <c r="WDJ450" s="741"/>
      <c r="WDK450" s="741"/>
      <c r="WDL450" s="741"/>
      <c r="WDM450" s="741"/>
      <c r="WDN450" s="741"/>
      <c r="WDO450" s="741"/>
      <c r="WDP450" s="741"/>
      <c r="WDQ450" s="741"/>
      <c r="WDR450" s="741"/>
      <c r="WDS450" s="741"/>
      <c r="WDT450" s="741"/>
      <c r="WDU450" s="741"/>
      <c r="WDV450" s="741"/>
      <c r="WDW450" s="741"/>
      <c r="WDX450" s="741"/>
      <c r="WDY450" s="741"/>
      <c r="WDZ450" s="741"/>
      <c r="WEA450" s="741"/>
      <c r="WEB450" s="741"/>
      <c r="WEC450" s="741"/>
      <c r="WED450" s="741"/>
      <c r="WEE450" s="741"/>
      <c r="WEF450" s="741"/>
      <c r="WEG450" s="741"/>
      <c r="WEH450" s="741"/>
      <c r="WEI450" s="741"/>
      <c r="WEJ450" s="741"/>
      <c r="WEK450" s="741"/>
      <c r="WEL450" s="741"/>
      <c r="WEM450" s="741"/>
      <c r="WEN450" s="741"/>
      <c r="WEO450" s="741"/>
      <c r="WEP450" s="741"/>
      <c r="WEQ450" s="741"/>
      <c r="WER450" s="741"/>
      <c r="WES450" s="741"/>
      <c r="WET450" s="741"/>
      <c r="WEU450" s="741"/>
      <c r="WEV450" s="741"/>
      <c r="WEW450" s="741"/>
      <c r="WEX450" s="741"/>
      <c r="WEY450" s="741"/>
      <c r="WEZ450" s="741"/>
      <c r="WFA450" s="741"/>
      <c r="WFB450" s="741"/>
      <c r="WFC450" s="741"/>
      <c r="WFD450" s="741"/>
      <c r="WFE450" s="741"/>
      <c r="WFF450" s="741"/>
      <c r="WFG450" s="741"/>
      <c r="WFH450" s="741"/>
      <c r="WFI450" s="741"/>
      <c r="WFJ450" s="741"/>
      <c r="WFK450" s="741"/>
      <c r="WFL450" s="741"/>
      <c r="WFM450" s="741"/>
      <c r="WFN450" s="741"/>
      <c r="WFO450" s="741"/>
      <c r="WFP450" s="741"/>
      <c r="WFQ450" s="741"/>
      <c r="WFR450" s="741"/>
      <c r="WFS450" s="741"/>
      <c r="WFT450" s="741"/>
      <c r="WFU450" s="741"/>
      <c r="WFV450" s="741"/>
      <c r="WFW450" s="741"/>
      <c r="WFX450" s="741"/>
      <c r="WFY450" s="741"/>
      <c r="WFZ450" s="741"/>
      <c r="WGA450" s="741"/>
      <c r="WGB450" s="741"/>
      <c r="WGC450" s="741"/>
      <c r="WGD450" s="741"/>
      <c r="WGE450" s="741"/>
      <c r="WGF450" s="741"/>
      <c r="WGG450" s="741"/>
      <c r="WGH450" s="741"/>
      <c r="WGI450" s="741"/>
      <c r="WGJ450" s="741"/>
      <c r="WGK450" s="741"/>
      <c r="WGL450" s="741"/>
      <c r="WGM450" s="741"/>
      <c r="WGN450" s="741"/>
      <c r="WGO450" s="741"/>
      <c r="WGP450" s="741"/>
      <c r="WGQ450" s="741"/>
      <c r="WGR450" s="741"/>
      <c r="WGS450" s="741"/>
      <c r="WGT450" s="741"/>
      <c r="WGU450" s="741"/>
      <c r="WGV450" s="741"/>
      <c r="WGW450" s="741"/>
      <c r="WGX450" s="741"/>
      <c r="WGY450" s="741"/>
      <c r="WGZ450" s="741"/>
      <c r="WHA450" s="741"/>
      <c r="WHB450" s="741"/>
      <c r="WHC450" s="741"/>
      <c r="WHD450" s="741"/>
      <c r="WHE450" s="741"/>
      <c r="WHF450" s="741"/>
      <c r="WHG450" s="741"/>
      <c r="WHH450" s="741"/>
      <c r="WHI450" s="741"/>
      <c r="WHJ450" s="741"/>
      <c r="WHK450" s="741"/>
      <c r="WHL450" s="741"/>
      <c r="WHM450" s="741"/>
      <c r="WHN450" s="741"/>
      <c r="WHO450" s="741"/>
      <c r="WHP450" s="741"/>
      <c r="WHQ450" s="741"/>
      <c r="WHR450" s="741"/>
      <c r="WHS450" s="741"/>
      <c r="WHT450" s="741"/>
      <c r="WHU450" s="741"/>
      <c r="WHV450" s="741"/>
      <c r="WHW450" s="741"/>
      <c r="WHX450" s="741"/>
      <c r="WHY450" s="741"/>
      <c r="WHZ450" s="741"/>
      <c r="WIA450" s="741"/>
      <c r="WIB450" s="741"/>
      <c r="WIC450" s="741"/>
      <c r="WID450" s="741"/>
      <c r="WIE450" s="741"/>
      <c r="WIF450" s="741"/>
      <c r="WIG450" s="741"/>
      <c r="WIH450" s="741"/>
      <c r="WII450" s="741"/>
      <c r="WIJ450" s="741"/>
      <c r="WIK450" s="741"/>
      <c r="WIL450" s="741"/>
      <c r="WIM450" s="741"/>
      <c r="WIN450" s="741"/>
      <c r="WIO450" s="741"/>
      <c r="WIP450" s="741"/>
      <c r="WIQ450" s="741"/>
      <c r="WIR450" s="741"/>
      <c r="WIS450" s="741"/>
      <c r="WIT450" s="741"/>
      <c r="WIU450" s="741"/>
      <c r="WIV450" s="741"/>
      <c r="WIW450" s="741"/>
      <c r="WIX450" s="741"/>
      <c r="WIY450" s="741"/>
      <c r="WIZ450" s="741"/>
      <c r="WJA450" s="741"/>
      <c r="WJB450" s="741"/>
      <c r="WJC450" s="741"/>
      <c r="WJD450" s="741"/>
      <c r="WJE450" s="741"/>
      <c r="WJF450" s="741"/>
      <c r="WJG450" s="741"/>
      <c r="WJH450" s="741"/>
      <c r="WJI450" s="741"/>
      <c r="WJJ450" s="741"/>
      <c r="WJK450" s="741"/>
      <c r="WJL450" s="741"/>
      <c r="WJM450" s="741"/>
      <c r="WJN450" s="741"/>
      <c r="WJO450" s="741"/>
      <c r="WJP450" s="741"/>
      <c r="WJQ450" s="741"/>
      <c r="WJR450" s="741"/>
      <c r="WJS450" s="741"/>
      <c r="WJT450" s="741"/>
      <c r="WJU450" s="741"/>
      <c r="WJV450" s="741"/>
      <c r="WJW450" s="741"/>
      <c r="WJX450" s="741"/>
      <c r="WJY450" s="741"/>
      <c r="WJZ450" s="741"/>
      <c r="WKA450" s="741"/>
      <c r="WKB450" s="741"/>
      <c r="WKC450" s="741"/>
      <c r="WKD450" s="741"/>
      <c r="WKE450" s="741"/>
      <c r="WKF450" s="741"/>
      <c r="WKG450" s="741"/>
      <c r="WKH450" s="741"/>
      <c r="WKI450" s="741"/>
      <c r="WKJ450" s="741"/>
      <c r="WKK450" s="741"/>
      <c r="WKL450" s="741"/>
      <c r="WKM450" s="741"/>
      <c r="WKN450" s="741"/>
      <c r="WKO450" s="741"/>
      <c r="WKP450" s="741"/>
      <c r="WKQ450" s="741"/>
      <c r="WKR450" s="741"/>
      <c r="WKS450" s="741"/>
      <c r="WKT450" s="741"/>
      <c r="WKU450" s="741"/>
      <c r="WKV450" s="741"/>
      <c r="WKW450" s="741"/>
      <c r="WKX450" s="741"/>
      <c r="WKY450" s="741"/>
      <c r="WKZ450" s="741"/>
      <c r="WLA450" s="741"/>
      <c r="WLB450" s="741"/>
      <c r="WLC450" s="741"/>
      <c r="WLD450" s="741"/>
      <c r="WLE450" s="741"/>
      <c r="WLF450" s="741"/>
      <c r="WLG450" s="741"/>
      <c r="WLH450" s="741"/>
      <c r="WLI450" s="741"/>
      <c r="WLJ450" s="741"/>
      <c r="WLK450" s="741"/>
      <c r="WLL450" s="741"/>
      <c r="WLM450" s="741"/>
      <c r="WLN450" s="741"/>
      <c r="WLO450" s="741"/>
      <c r="WLP450" s="741"/>
      <c r="WLQ450" s="741"/>
      <c r="WLR450" s="741"/>
      <c r="WLS450" s="741"/>
      <c r="WLT450" s="741"/>
      <c r="WLU450" s="741"/>
      <c r="WLV450" s="741"/>
      <c r="WLW450" s="741"/>
      <c r="WLX450" s="741"/>
      <c r="WLY450" s="741"/>
      <c r="WLZ450" s="741"/>
      <c r="WMA450" s="741"/>
      <c r="WMB450" s="741"/>
      <c r="WMC450" s="741"/>
      <c r="WMD450" s="741"/>
      <c r="WME450" s="741"/>
      <c r="WMF450" s="741"/>
      <c r="WMG450" s="741"/>
      <c r="WMH450" s="741"/>
      <c r="WMI450" s="741"/>
      <c r="WMJ450" s="741"/>
      <c r="WMK450" s="741"/>
      <c r="WML450" s="741"/>
      <c r="WMM450" s="741"/>
      <c r="WMN450" s="741"/>
      <c r="WMO450" s="741"/>
      <c r="WMP450" s="741"/>
      <c r="WMQ450" s="741"/>
      <c r="WMR450" s="741"/>
      <c r="WMS450" s="741"/>
      <c r="WMT450" s="741"/>
      <c r="WMU450" s="741"/>
      <c r="WMV450" s="741"/>
      <c r="WMW450" s="741"/>
      <c r="WMX450" s="741"/>
      <c r="WMY450" s="741"/>
      <c r="WMZ450" s="741"/>
      <c r="WNA450" s="741"/>
      <c r="WNB450" s="741"/>
      <c r="WNC450" s="741"/>
      <c r="WND450" s="741"/>
      <c r="WNE450" s="741"/>
      <c r="WNF450" s="741"/>
      <c r="WNG450" s="741"/>
      <c r="WNH450" s="741"/>
      <c r="WNI450" s="741"/>
      <c r="WNJ450" s="741"/>
      <c r="WNK450" s="741"/>
      <c r="WNL450" s="741"/>
      <c r="WNM450" s="741"/>
      <c r="WNN450" s="741"/>
      <c r="WNO450" s="741"/>
      <c r="WNP450" s="741"/>
      <c r="WNQ450" s="741"/>
      <c r="WNR450" s="741"/>
      <c r="WNS450" s="741"/>
      <c r="WNT450" s="741"/>
      <c r="WNU450" s="741"/>
      <c r="WNV450" s="741"/>
      <c r="WNW450" s="741"/>
      <c r="WNX450" s="741"/>
      <c r="WNY450" s="741"/>
      <c r="WNZ450" s="741"/>
      <c r="WOA450" s="741"/>
      <c r="WOB450" s="741"/>
      <c r="WOC450" s="741"/>
      <c r="WOD450" s="741"/>
      <c r="WOE450" s="741"/>
      <c r="WOF450" s="741"/>
      <c r="WOG450" s="741"/>
      <c r="WOH450" s="741"/>
      <c r="WOI450" s="741"/>
      <c r="WOJ450" s="741"/>
      <c r="WOK450" s="741"/>
      <c r="WOL450" s="741"/>
      <c r="WOM450" s="741"/>
      <c r="WON450" s="741"/>
      <c r="WOO450" s="741"/>
      <c r="WOP450" s="741"/>
      <c r="WOQ450" s="741"/>
      <c r="WOR450" s="741"/>
      <c r="WOS450" s="741"/>
      <c r="WOT450" s="741"/>
      <c r="WOU450" s="741"/>
      <c r="WOV450" s="741"/>
      <c r="WOW450" s="741"/>
      <c r="WOX450" s="741"/>
      <c r="WOY450" s="741"/>
      <c r="WOZ450" s="741"/>
      <c r="WPA450" s="741"/>
      <c r="WPB450" s="741"/>
      <c r="WPC450" s="741"/>
      <c r="WPD450" s="741"/>
      <c r="WPE450" s="741"/>
      <c r="WPF450" s="741"/>
      <c r="WPG450" s="741"/>
      <c r="WPH450" s="741"/>
      <c r="WPI450" s="741"/>
      <c r="WPJ450" s="741"/>
      <c r="WPK450" s="741"/>
      <c r="WPL450" s="741"/>
      <c r="WPM450" s="741"/>
      <c r="WPN450" s="741"/>
      <c r="WPO450" s="741"/>
      <c r="WPP450" s="741"/>
      <c r="WPQ450" s="741"/>
      <c r="WPR450" s="741"/>
      <c r="WPS450" s="741"/>
      <c r="WPT450" s="741"/>
      <c r="WPU450" s="741"/>
      <c r="WPV450" s="741"/>
      <c r="WPW450" s="741"/>
      <c r="WPX450" s="741"/>
      <c r="WPY450" s="741"/>
      <c r="WPZ450" s="741"/>
      <c r="WQA450" s="741"/>
      <c r="WQB450" s="741"/>
      <c r="WQC450" s="741"/>
      <c r="WQD450" s="741"/>
      <c r="WQE450" s="741"/>
      <c r="WQF450" s="741"/>
      <c r="WQG450" s="741"/>
      <c r="WQH450" s="741"/>
      <c r="WQI450" s="741"/>
      <c r="WQJ450" s="741"/>
      <c r="WQK450" s="741"/>
      <c r="WQL450" s="741"/>
      <c r="WQM450" s="741"/>
      <c r="WQN450" s="741"/>
      <c r="WQO450" s="741"/>
      <c r="WQP450" s="741"/>
      <c r="WQQ450" s="741"/>
      <c r="WQR450" s="741"/>
      <c r="WQS450" s="741"/>
      <c r="WQT450" s="741"/>
      <c r="WQU450" s="741"/>
      <c r="WQV450" s="741"/>
      <c r="WQW450" s="741"/>
      <c r="WQX450" s="741"/>
      <c r="WQY450" s="741"/>
      <c r="WQZ450" s="741"/>
      <c r="WRA450" s="741"/>
      <c r="WRB450" s="741"/>
      <c r="WRC450" s="741"/>
      <c r="WRD450" s="741"/>
      <c r="WRE450" s="741"/>
      <c r="WRF450" s="741"/>
      <c r="WRG450" s="741"/>
      <c r="WRH450" s="741"/>
      <c r="WRI450" s="741"/>
      <c r="WRJ450" s="741"/>
      <c r="WRK450" s="741"/>
      <c r="WRL450" s="741"/>
      <c r="WRM450" s="741"/>
      <c r="WRN450" s="741"/>
      <c r="WRO450" s="741"/>
      <c r="WRP450" s="741"/>
      <c r="WRQ450" s="741"/>
      <c r="WRR450" s="741"/>
      <c r="WRS450" s="741"/>
      <c r="WRT450" s="741"/>
      <c r="WRU450" s="741"/>
      <c r="WRV450" s="741"/>
      <c r="WRW450" s="741"/>
      <c r="WRX450" s="741"/>
      <c r="WRY450" s="741"/>
      <c r="WRZ450" s="741"/>
      <c r="WSA450" s="741"/>
      <c r="WSB450" s="741"/>
      <c r="WSC450" s="741"/>
      <c r="WSD450" s="741"/>
      <c r="WSE450" s="741"/>
      <c r="WSF450" s="741"/>
      <c r="WSG450" s="741"/>
      <c r="WSH450" s="741"/>
      <c r="WSI450" s="741"/>
      <c r="WSJ450" s="741"/>
      <c r="WSK450" s="741"/>
      <c r="WSL450" s="741"/>
      <c r="WSM450" s="741"/>
      <c r="WSN450" s="741"/>
      <c r="WSO450" s="741"/>
      <c r="WSP450" s="741"/>
      <c r="WSQ450" s="741"/>
      <c r="WSR450" s="741"/>
      <c r="WSS450" s="741"/>
      <c r="WST450" s="741"/>
      <c r="WSU450" s="741"/>
      <c r="WSV450" s="741"/>
      <c r="WSW450" s="741"/>
      <c r="WSX450" s="741"/>
      <c r="WSY450" s="741"/>
      <c r="WSZ450" s="741"/>
      <c r="WTA450" s="741"/>
      <c r="WTB450" s="741"/>
      <c r="WTC450" s="741"/>
      <c r="WTD450" s="741"/>
      <c r="WTE450" s="741"/>
      <c r="WTF450" s="741"/>
      <c r="WTG450" s="741"/>
      <c r="WTH450" s="741"/>
      <c r="WTI450" s="741"/>
      <c r="WTJ450" s="741"/>
      <c r="WTK450" s="741"/>
      <c r="WTL450" s="741"/>
      <c r="WTM450" s="741"/>
      <c r="WTN450" s="741"/>
      <c r="WTO450" s="741"/>
      <c r="WTP450" s="741"/>
      <c r="WTQ450" s="741"/>
      <c r="WTR450" s="741"/>
      <c r="WTS450" s="741"/>
      <c r="WTT450" s="741"/>
      <c r="WTU450" s="741"/>
      <c r="WTV450" s="741"/>
      <c r="WTW450" s="741"/>
      <c r="WTX450" s="741"/>
      <c r="WTY450" s="741"/>
      <c r="WTZ450" s="741"/>
      <c r="WUA450" s="741"/>
      <c r="WUB450" s="741"/>
      <c r="WUC450" s="741"/>
      <c r="WUD450" s="741"/>
      <c r="WUE450" s="741"/>
      <c r="WUF450" s="741"/>
      <c r="WUG450" s="741"/>
      <c r="WUH450" s="741"/>
      <c r="WUI450" s="741"/>
      <c r="WUJ450" s="741"/>
      <c r="WUK450" s="741"/>
      <c r="WUL450" s="741"/>
      <c r="WUM450" s="741"/>
      <c r="WUN450" s="741"/>
      <c r="WUO450" s="741"/>
      <c r="WUP450" s="741"/>
      <c r="WUQ450" s="741"/>
      <c r="WUR450" s="741"/>
      <c r="WUS450" s="741"/>
      <c r="WUT450" s="741"/>
      <c r="WUU450" s="741"/>
      <c r="WUV450" s="741"/>
      <c r="WUW450" s="741"/>
      <c r="WUX450" s="741"/>
      <c r="WUY450" s="741"/>
      <c r="WUZ450" s="741"/>
      <c r="WVA450" s="741"/>
      <c r="WVB450" s="741"/>
      <c r="WVC450" s="741"/>
      <c r="WVD450" s="741"/>
      <c r="WVE450" s="741"/>
      <c r="WVF450" s="741"/>
      <c r="WVG450" s="741"/>
      <c r="WVH450" s="741"/>
      <c r="WVI450" s="741"/>
      <c r="WVJ450" s="741"/>
      <c r="WVK450" s="741"/>
      <c r="WVL450" s="741"/>
      <c r="WVM450" s="741"/>
      <c r="WVN450" s="741"/>
      <c r="WVO450" s="741"/>
      <c r="WVP450" s="741"/>
      <c r="WVQ450" s="741"/>
      <c r="WVR450" s="741"/>
      <c r="WVS450" s="741"/>
      <c r="WVT450" s="741"/>
      <c r="WVU450" s="741"/>
      <c r="WVV450" s="741"/>
      <c r="WVW450" s="741"/>
      <c r="WVX450" s="741"/>
      <c r="WVY450" s="741"/>
      <c r="WVZ450" s="741"/>
      <c r="WWA450" s="741"/>
      <c r="WWB450" s="741"/>
      <c r="WWC450" s="741"/>
      <c r="WWD450" s="741"/>
      <c r="WWE450" s="741"/>
      <c r="WWF450" s="741"/>
      <c r="WWG450" s="741"/>
      <c r="WWH450" s="741"/>
      <c r="WWI450" s="741"/>
      <c r="WWJ450" s="741"/>
      <c r="WWK450" s="741"/>
      <c r="WWL450" s="741"/>
      <c r="WWM450" s="741"/>
      <c r="WWN450" s="741"/>
      <c r="WWO450" s="741"/>
      <c r="WWP450" s="741"/>
      <c r="WWQ450" s="741"/>
      <c r="WWR450" s="741"/>
      <c r="WWS450" s="741"/>
      <c r="WWT450" s="741"/>
      <c r="WWU450" s="741"/>
      <c r="WWV450" s="741"/>
      <c r="WWW450" s="741"/>
      <c r="WWX450" s="741"/>
      <c r="WWY450" s="741"/>
      <c r="WWZ450" s="741"/>
      <c r="WXA450" s="741"/>
      <c r="WXB450" s="741"/>
      <c r="WXC450" s="741"/>
      <c r="WXD450" s="741"/>
      <c r="WXE450" s="741"/>
      <c r="WXF450" s="741"/>
      <c r="WXG450" s="741"/>
      <c r="WXH450" s="741"/>
      <c r="WXI450" s="741"/>
      <c r="WXJ450" s="741"/>
      <c r="WXK450" s="741"/>
      <c r="WXL450" s="741"/>
      <c r="WXM450" s="741"/>
      <c r="WXN450" s="741"/>
      <c r="WXO450" s="741"/>
      <c r="WXP450" s="741"/>
      <c r="WXQ450" s="741"/>
      <c r="WXR450" s="741"/>
      <c r="WXS450" s="741"/>
      <c r="WXT450" s="741"/>
      <c r="WXU450" s="741"/>
      <c r="WXV450" s="741"/>
      <c r="WXW450" s="741"/>
      <c r="WXX450" s="741"/>
      <c r="WXY450" s="741"/>
      <c r="WXZ450" s="741"/>
      <c r="WYA450" s="741"/>
      <c r="WYB450" s="741"/>
      <c r="WYC450" s="741"/>
      <c r="WYD450" s="741"/>
      <c r="WYE450" s="741"/>
      <c r="WYF450" s="741"/>
      <c r="WYG450" s="741"/>
      <c r="WYH450" s="741"/>
      <c r="WYI450" s="741"/>
      <c r="WYJ450" s="741"/>
      <c r="WYK450" s="741"/>
      <c r="WYL450" s="741"/>
      <c r="WYM450" s="741"/>
      <c r="WYN450" s="741"/>
      <c r="WYO450" s="741"/>
      <c r="WYP450" s="741"/>
      <c r="WYQ450" s="741"/>
      <c r="WYR450" s="741"/>
      <c r="WYS450" s="741"/>
      <c r="WYT450" s="741"/>
      <c r="WYU450" s="741"/>
      <c r="WYV450" s="741"/>
      <c r="WYW450" s="741"/>
      <c r="WYX450" s="741"/>
      <c r="WYY450" s="741"/>
      <c r="WYZ450" s="741"/>
      <c r="WZA450" s="741"/>
      <c r="WZB450" s="741"/>
      <c r="WZC450" s="741"/>
      <c r="WZD450" s="741"/>
      <c r="WZE450" s="741"/>
      <c r="WZF450" s="741"/>
      <c r="WZG450" s="741"/>
      <c r="WZH450" s="741"/>
      <c r="WZI450" s="741"/>
      <c r="WZJ450" s="741"/>
      <c r="WZK450" s="741"/>
      <c r="WZL450" s="741"/>
      <c r="WZM450" s="741"/>
      <c r="WZN450" s="741"/>
      <c r="WZO450" s="741"/>
      <c r="WZP450" s="741"/>
      <c r="WZQ450" s="741"/>
      <c r="WZR450" s="741"/>
      <c r="WZS450" s="741"/>
      <c r="WZT450" s="741"/>
      <c r="WZU450" s="741"/>
      <c r="WZV450" s="741"/>
      <c r="WZW450" s="741"/>
      <c r="WZX450" s="741"/>
      <c r="WZY450" s="741"/>
      <c r="WZZ450" s="741"/>
      <c r="XAA450" s="741"/>
      <c r="XAB450" s="741"/>
      <c r="XAC450" s="741"/>
      <c r="XAD450" s="741"/>
      <c r="XAE450" s="741"/>
      <c r="XAF450" s="741"/>
      <c r="XAG450" s="741"/>
      <c r="XAH450" s="741"/>
      <c r="XAI450" s="741"/>
      <c r="XAJ450" s="741"/>
      <c r="XAK450" s="741"/>
      <c r="XAL450" s="741"/>
      <c r="XAM450" s="741"/>
      <c r="XAN450" s="741"/>
      <c r="XAO450" s="741"/>
      <c r="XAP450" s="741"/>
      <c r="XAQ450" s="741"/>
      <c r="XAR450" s="741"/>
      <c r="XAS450" s="741"/>
      <c r="XAT450" s="741"/>
      <c r="XAU450" s="741"/>
      <c r="XAV450" s="741"/>
      <c r="XAW450" s="741"/>
      <c r="XAX450" s="741"/>
      <c r="XAY450" s="741"/>
      <c r="XAZ450" s="741"/>
      <c r="XBA450" s="741"/>
      <c r="XBB450" s="741"/>
      <c r="XBC450" s="741"/>
      <c r="XBD450" s="741"/>
      <c r="XBE450" s="741"/>
      <c r="XBF450" s="741"/>
      <c r="XBG450" s="741"/>
      <c r="XBH450" s="741"/>
      <c r="XBI450" s="741"/>
      <c r="XBJ450" s="741"/>
      <c r="XBK450" s="741"/>
      <c r="XBL450" s="741"/>
      <c r="XBM450" s="741"/>
      <c r="XBN450" s="741"/>
      <c r="XBO450" s="741"/>
      <c r="XBP450" s="741"/>
      <c r="XBQ450" s="741"/>
      <c r="XBR450" s="741"/>
      <c r="XBS450" s="741"/>
      <c r="XBT450" s="741"/>
      <c r="XBU450" s="741"/>
      <c r="XBV450" s="741"/>
      <c r="XBW450" s="741"/>
      <c r="XBX450" s="741"/>
      <c r="XBY450" s="741"/>
      <c r="XBZ450" s="741"/>
      <c r="XCA450" s="741"/>
      <c r="XCB450" s="741"/>
      <c r="XCC450" s="741"/>
      <c r="XCD450" s="741"/>
      <c r="XCE450" s="741"/>
      <c r="XCF450" s="741"/>
      <c r="XCG450" s="741"/>
      <c r="XCH450" s="741"/>
      <c r="XCI450" s="741"/>
      <c r="XCJ450" s="741"/>
      <c r="XCK450" s="741"/>
      <c r="XCL450" s="741"/>
      <c r="XCM450" s="741"/>
      <c r="XCN450" s="741"/>
      <c r="XCO450" s="770"/>
      <c r="XCP450" s="781"/>
      <c r="XCQ450" s="217"/>
      <c r="XCR450" s="751"/>
      <c r="XCS450" s="782"/>
      <c r="XCT450" s="751"/>
      <c r="XCU450" s="217"/>
      <c r="XCV450" s="217"/>
      <c r="XCW450" s="217"/>
      <c r="XDK450" s="741"/>
      <c r="XDL450" s="770"/>
      <c r="XDM450" s="781"/>
      <c r="XDN450" s="751"/>
      <c r="XDO450" s="217"/>
      <c r="XDP450" s="217"/>
      <c r="XDQ450" s="217"/>
      <c r="XDR450" s="232"/>
      <c r="XDS450" s="786"/>
      <c r="XDT450" s="770"/>
      <c r="XEH450" s="741"/>
      <c r="XEI450" s="770"/>
      <c r="XEJ450" s="781"/>
      <c r="XEK450" s="217"/>
      <c r="XEL450" s="230"/>
      <c r="XEM450" s="786"/>
      <c r="XEN450" s="783"/>
      <c r="XEO450" s="741"/>
      <c r="XEP450" s="741"/>
      <c r="XEQ450" s="741"/>
    </row>
    <row r="451" spans="1:16371" s="792" customFormat="1" ht="28.8" x14ac:dyDescent="0.3">
      <c r="A451" s="741" t="s">
        <v>264</v>
      </c>
      <c r="B451" s="770" t="s">
        <v>280</v>
      </c>
      <c r="C451" s="781" t="s">
        <v>747</v>
      </c>
      <c r="D451" s="783" t="s">
        <v>34</v>
      </c>
      <c r="E451" s="790" t="s">
        <v>282</v>
      </c>
      <c r="F451" s="1354" t="s">
        <v>285</v>
      </c>
      <c r="G451" s="790">
        <v>44.888300000000001</v>
      </c>
      <c r="H451" s="790">
        <v>554289.78</v>
      </c>
      <c r="I451" s="741" t="s">
        <v>267</v>
      </c>
      <c r="J451" s="790">
        <v>554289.78</v>
      </c>
      <c r="K451" s="1612">
        <v>0</v>
      </c>
      <c r="L451" s="1612">
        <v>0</v>
      </c>
      <c r="M451" s="741" t="s">
        <v>79</v>
      </c>
      <c r="N451" s="741" t="s">
        <v>748</v>
      </c>
      <c r="O451" s="741" t="s">
        <v>749</v>
      </c>
      <c r="P451" s="741" t="s">
        <v>40</v>
      </c>
      <c r="Q451" s="741"/>
      <c r="R451" s="741" t="s">
        <v>64</v>
      </c>
      <c r="S451" s="741"/>
      <c r="T451" s="741"/>
      <c r="U451" s="741"/>
      <c r="V451" s="741" t="s">
        <v>40</v>
      </c>
      <c r="W451" s="741"/>
      <c r="X451" s="741" t="s">
        <v>40</v>
      </c>
      <c r="Y451" s="741"/>
      <c r="Z451" s="741" t="s">
        <v>64</v>
      </c>
      <c r="AA451" s="741"/>
      <c r="AB451" s="741" t="s">
        <v>40</v>
      </c>
      <c r="AC451" s="741"/>
      <c r="AD451" s="741"/>
      <c r="AE451" s="1530">
        <v>46203</v>
      </c>
      <c r="AF451" s="741" t="s">
        <v>247</v>
      </c>
      <c r="AG451" s="741">
        <v>2023</v>
      </c>
      <c r="AH451" s="790">
        <v>2742681.2604180002</v>
      </c>
      <c r="AI451" s="791">
        <v>11845159</v>
      </c>
      <c r="AJ451" s="741"/>
      <c r="AK451" s="741" t="s">
        <v>43</v>
      </c>
      <c r="AL451" s="741" t="s">
        <v>41</v>
      </c>
      <c r="AM451" s="741">
        <v>0</v>
      </c>
      <c r="AN451" s="741" t="s">
        <v>40</v>
      </c>
      <c r="AO451" s="741"/>
      <c r="AP451" s="741"/>
      <c r="AQ451" s="741"/>
      <c r="AR451" s="741"/>
      <c r="AS451" s="741"/>
      <c r="AT451" s="741"/>
      <c r="AU451" s="741"/>
      <c r="AV451" s="741"/>
      <c r="AW451" s="741"/>
      <c r="AX451" s="741"/>
      <c r="AY451" s="741"/>
      <c r="AZ451" s="741"/>
      <c r="BA451" s="741"/>
      <c r="BB451" s="741"/>
      <c r="BC451" s="741"/>
      <c r="BD451" s="741"/>
      <c r="BE451" s="741"/>
      <c r="BF451" s="741"/>
      <c r="BG451" s="741"/>
      <c r="BH451" s="741"/>
      <c r="BI451" s="741"/>
      <c r="BJ451" s="741"/>
      <c r="BK451" s="741"/>
      <c r="BL451" s="741"/>
      <c r="BM451" s="741"/>
      <c r="BN451" s="741"/>
      <c r="BO451" s="741"/>
      <c r="BP451" s="741"/>
      <c r="BQ451" s="741"/>
      <c r="BR451" s="741"/>
      <c r="BS451" s="741"/>
      <c r="BT451" s="741"/>
      <c r="BU451" s="741"/>
      <c r="BV451" s="741"/>
      <c r="BW451" s="741"/>
      <c r="BX451" s="741"/>
      <c r="BY451" s="741"/>
      <c r="BZ451" s="741"/>
      <c r="CA451" s="741"/>
      <c r="CB451" s="741"/>
      <c r="CC451" s="741"/>
      <c r="CD451" s="741"/>
      <c r="CE451" s="741"/>
      <c r="CF451" s="741"/>
      <c r="CG451" s="741"/>
      <c r="CH451" s="741"/>
      <c r="CI451" s="741"/>
      <c r="CJ451" s="741"/>
      <c r="CK451" s="741"/>
      <c r="CL451" s="741"/>
      <c r="CM451" s="741"/>
      <c r="CN451" s="741"/>
      <c r="CO451" s="741"/>
      <c r="CP451" s="741"/>
      <c r="CQ451" s="741"/>
      <c r="CR451" s="741"/>
      <c r="CS451" s="741"/>
      <c r="CT451" s="741"/>
      <c r="CU451" s="741"/>
      <c r="CV451" s="741"/>
      <c r="CW451" s="741"/>
      <c r="CX451" s="741"/>
      <c r="CY451" s="741"/>
      <c r="CZ451" s="741"/>
      <c r="DA451" s="741"/>
      <c r="DB451" s="741"/>
      <c r="DC451" s="741"/>
      <c r="DD451" s="741"/>
      <c r="DE451" s="741"/>
      <c r="DF451" s="741"/>
      <c r="DG451" s="741"/>
      <c r="DH451" s="741"/>
      <c r="DI451" s="741"/>
      <c r="DJ451" s="741"/>
      <c r="DK451" s="741"/>
      <c r="DL451" s="741"/>
      <c r="DM451" s="741"/>
      <c r="DN451" s="741"/>
      <c r="DO451" s="741"/>
      <c r="DP451" s="741"/>
      <c r="DQ451" s="741"/>
      <c r="DR451" s="741"/>
      <c r="DS451" s="741"/>
      <c r="DT451" s="741"/>
      <c r="DU451" s="741"/>
      <c r="DV451" s="741"/>
      <c r="DW451" s="741"/>
      <c r="DX451" s="741"/>
      <c r="DY451" s="741"/>
      <c r="DZ451" s="741"/>
      <c r="EA451" s="741"/>
      <c r="EB451" s="741"/>
      <c r="EC451" s="741"/>
      <c r="ED451" s="741"/>
      <c r="EE451" s="741"/>
      <c r="EF451" s="741"/>
      <c r="EG451" s="741"/>
      <c r="EH451" s="741"/>
      <c r="EI451" s="741"/>
      <c r="EJ451" s="741"/>
      <c r="EK451" s="741"/>
      <c r="EL451" s="741"/>
      <c r="EM451" s="741"/>
      <c r="EN451" s="741"/>
      <c r="EO451" s="741"/>
      <c r="EP451" s="741"/>
      <c r="EQ451" s="741"/>
      <c r="ER451" s="741"/>
      <c r="ES451" s="741"/>
      <c r="ET451" s="741"/>
      <c r="EU451" s="741"/>
      <c r="EV451" s="741"/>
      <c r="EW451" s="741"/>
      <c r="EX451" s="741"/>
      <c r="EY451" s="741"/>
      <c r="EZ451" s="741"/>
      <c r="FA451" s="741"/>
      <c r="FB451" s="741"/>
      <c r="FC451" s="741"/>
      <c r="FD451" s="741"/>
      <c r="FE451" s="741"/>
      <c r="FF451" s="741"/>
      <c r="FG451" s="741"/>
      <c r="FH451" s="741"/>
      <c r="FI451" s="741"/>
      <c r="FJ451" s="741"/>
      <c r="FK451" s="741"/>
      <c r="FL451" s="741"/>
      <c r="FM451" s="741"/>
      <c r="FN451" s="741"/>
      <c r="FO451" s="741"/>
      <c r="FP451" s="741"/>
      <c r="FQ451" s="741"/>
      <c r="FR451" s="741"/>
      <c r="FS451" s="741"/>
      <c r="FT451" s="741"/>
      <c r="FU451" s="741"/>
      <c r="FV451" s="741"/>
      <c r="FW451" s="741"/>
      <c r="FX451" s="741"/>
      <c r="FY451" s="741"/>
      <c r="FZ451" s="741"/>
      <c r="GA451" s="741"/>
      <c r="GB451" s="741"/>
      <c r="GC451" s="741"/>
      <c r="GD451" s="741"/>
      <c r="GE451" s="741"/>
      <c r="GF451" s="741"/>
      <c r="GG451" s="741"/>
      <c r="GH451" s="741"/>
      <c r="GI451" s="741"/>
      <c r="GJ451" s="741"/>
      <c r="GK451" s="741"/>
      <c r="GL451" s="741"/>
      <c r="GM451" s="741"/>
      <c r="GN451" s="741"/>
      <c r="GO451" s="741"/>
      <c r="GP451" s="741"/>
      <c r="GQ451" s="741"/>
      <c r="GR451" s="741"/>
      <c r="GS451" s="741"/>
      <c r="GT451" s="741"/>
      <c r="GU451" s="741"/>
      <c r="GV451" s="741"/>
      <c r="GW451" s="741"/>
      <c r="GX451" s="741"/>
      <c r="GY451" s="741"/>
      <c r="GZ451" s="741"/>
      <c r="HA451" s="741"/>
      <c r="HB451" s="741"/>
      <c r="HC451" s="741"/>
      <c r="HD451" s="741"/>
      <c r="HE451" s="741"/>
      <c r="HF451" s="741"/>
      <c r="HG451" s="741"/>
      <c r="HH451" s="741"/>
      <c r="HI451" s="741"/>
      <c r="HJ451" s="741"/>
      <c r="HK451" s="741"/>
      <c r="HL451" s="741"/>
      <c r="HM451" s="741"/>
      <c r="HN451" s="741"/>
      <c r="HO451" s="741"/>
      <c r="HP451" s="741"/>
      <c r="HQ451" s="741"/>
      <c r="HR451" s="741"/>
      <c r="HS451" s="741"/>
      <c r="HT451" s="741"/>
      <c r="HU451" s="741"/>
      <c r="HV451" s="741"/>
      <c r="HW451" s="741"/>
      <c r="HX451" s="741"/>
      <c r="HY451" s="741"/>
      <c r="HZ451" s="741"/>
      <c r="IA451" s="741"/>
      <c r="IB451" s="741"/>
      <c r="IC451" s="741"/>
      <c r="ID451" s="741"/>
      <c r="IE451" s="741"/>
      <c r="IF451" s="741"/>
      <c r="IG451" s="741"/>
      <c r="IH451" s="741"/>
      <c r="II451" s="741"/>
      <c r="IJ451" s="741"/>
      <c r="IK451" s="741"/>
      <c r="IL451" s="741"/>
      <c r="IM451" s="741"/>
      <c r="IN451" s="741"/>
      <c r="IO451" s="741"/>
      <c r="IP451" s="741"/>
      <c r="IQ451" s="741"/>
      <c r="IR451" s="741"/>
      <c r="IS451" s="741"/>
      <c r="IT451" s="741"/>
      <c r="IU451" s="741"/>
      <c r="IV451" s="741"/>
      <c r="IW451" s="741"/>
      <c r="IX451" s="741"/>
      <c r="IY451" s="741"/>
      <c r="IZ451" s="741"/>
      <c r="JA451" s="741"/>
      <c r="JB451" s="741"/>
      <c r="JC451" s="741"/>
      <c r="JD451" s="741"/>
      <c r="JE451" s="741"/>
      <c r="JF451" s="741"/>
      <c r="JG451" s="741"/>
      <c r="JH451" s="741"/>
      <c r="JI451" s="741"/>
      <c r="JJ451" s="741"/>
      <c r="JK451" s="741"/>
      <c r="JL451" s="741"/>
      <c r="JM451" s="741"/>
      <c r="JN451" s="741"/>
      <c r="JO451" s="741"/>
      <c r="JP451" s="741"/>
      <c r="JQ451" s="741"/>
      <c r="JR451" s="741"/>
      <c r="JS451" s="741"/>
      <c r="JT451" s="741"/>
      <c r="JU451" s="741"/>
      <c r="JV451" s="741"/>
      <c r="JW451" s="741"/>
      <c r="JX451" s="741"/>
      <c r="JY451" s="741"/>
      <c r="JZ451" s="741"/>
      <c r="KA451" s="741"/>
      <c r="KB451" s="741"/>
      <c r="KC451" s="741"/>
      <c r="KD451" s="741"/>
      <c r="KE451" s="741"/>
      <c r="KF451" s="741"/>
      <c r="KG451" s="741"/>
      <c r="KH451" s="741"/>
      <c r="KI451" s="741"/>
      <c r="KJ451" s="741"/>
      <c r="KK451" s="741"/>
      <c r="KL451" s="741"/>
      <c r="KM451" s="741"/>
      <c r="KN451" s="741"/>
      <c r="KO451" s="741"/>
      <c r="KP451" s="741"/>
      <c r="KQ451" s="741"/>
      <c r="KR451" s="741"/>
      <c r="KS451" s="741"/>
      <c r="KT451" s="741"/>
      <c r="KU451" s="741"/>
      <c r="KV451" s="741"/>
      <c r="KW451" s="741"/>
      <c r="KX451" s="741"/>
      <c r="KY451" s="741"/>
      <c r="KZ451" s="741"/>
      <c r="LA451" s="741"/>
      <c r="LB451" s="741"/>
      <c r="LC451" s="741"/>
      <c r="LD451" s="741"/>
      <c r="LE451" s="741"/>
      <c r="LF451" s="741"/>
      <c r="LG451" s="741"/>
      <c r="LH451" s="741"/>
      <c r="LI451" s="741"/>
      <c r="LJ451" s="741"/>
      <c r="LK451" s="741"/>
      <c r="LL451" s="741"/>
      <c r="LM451" s="741"/>
      <c r="LN451" s="741"/>
      <c r="LO451" s="741"/>
      <c r="LP451" s="741"/>
      <c r="LQ451" s="741"/>
      <c r="LR451" s="741"/>
      <c r="LS451" s="741"/>
      <c r="LT451" s="741"/>
      <c r="LU451" s="741"/>
      <c r="LV451" s="741"/>
      <c r="LW451" s="741"/>
      <c r="LX451" s="741"/>
      <c r="LY451" s="741"/>
      <c r="LZ451" s="741"/>
      <c r="MA451" s="741"/>
      <c r="MB451" s="741"/>
      <c r="MC451" s="741"/>
      <c r="MD451" s="741"/>
      <c r="ME451" s="741"/>
      <c r="MF451" s="741"/>
      <c r="MG451" s="741"/>
      <c r="MH451" s="741"/>
      <c r="MI451" s="741"/>
      <c r="MJ451" s="741"/>
      <c r="MK451" s="741"/>
      <c r="ML451" s="741"/>
      <c r="MM451" s="741"/>
      <c r="MN451" s="741"/>
      <c r="MO451" s="741"/>
      <c r="MP451" s="741"/>
      <c r="MQ451" s="741"/>
      <c r="MR451" s="741"/>
      <c r="MS451" s="741"/>
      <c r="MT451" s="741"/>
      <c r="MU451" s="741"/>
      <c r="MV451" s="741"/>
      <c r="MW451" s="741"/>
      <c r="MX451" s="741"/>
      <c r="MY451" s="741"/>
      <c r="MZ451" s="741"/>
      <c r="NA451" s="741"/>
      <c r="NB451" s="741"/>
      <c r="NC451" s="741"/>
      <c r="ND451" s="741"/>
      <c r="NE451" s="741"/>
      <c r="NF451" s="741"/>
      <c r="NG451" s="741"/>
      <c r="NH451" s="741"/>
      <c r="NI451" s="741"/>
      <c r="NJ451" s="741"/>
      <c r="NK451" s="741"/>
      <c r="NL451" s="741"/>
      <c r="NM451" s="741"/>
      <c r="NN451" s="741"/>
      <c r="NO451" s="741"/>
      <c r="NP451" s="741"/>
      <c r="NQ451" s="741"/>
      <c r="NR451" s="741"/>
      <c r="NS451" s="741"/>
      <c r="NT451" s="741"/>
      <c r="NU451" s="741"/>
      <c r="NV451" s="741"/>
      <c r="NW451" s="741"/>
      <c r="NX451" s="741"/>
      <c r="NY451" s="741"/>
      <c r="NZ451" s="741"/>
      <c r="OA451" s="741"/>
      <c r="OB451" s="741"/>
      <c r="OC451" s="741"/>
      <c r="OD451" s="741"/>
      <c r="OE451" s="741"/>
      <c r="OF451" s="741"/>
      <c r="OG451" s="741"/>
      <c r="OH451" s="741"/>
      <c r="OI451" s="741"/>
      <c r="OJ451" s="741"/>
      <c r="OK451" s="741"/>
      <c r="OL451" s="741"/>
      <c r="OM451" s="741"/>
      <c r="ON451" s="741"/>
      <c r="OO451" s="741"/>
      <c r="OP451" s="741"/>
      <c r="OQ451" s="741"/>
      <c r="OR451" s="741"/>
      <c r="OS451" s="741"/>
      <c r="OT451" s="741"/>
      <c r="OU451" s="741"/>
      <c r="OV451" s="741"/>
      <c r="OW451" s="741"/>
      <c r="OX451" s="741"/>
      <c r="OY451" s="741"/>
      <c r="OZ451" s="741"/>
      <c r="PA451" s="741"/>
      <c r="PB451" s="741"/>
      <c r="PC451" s="741"/>
      <c r="PD451" s="741"/>
      <c r="PE451" s="741"/>
      <c r="PF451" s="741"/>
      <c r="PG451" s="741"/>
      <c r="PH451" s="741"/>
      <c r="PI451" s="741"/>
      <c r="PJ451" s="741"/>
      <c r="PK451" s="741"/>
      <c r="PL451" s="741"/>
      <c r="PM451" s="741"/>
      <c r="PN451" s="741"/>
      <c r="PO451" s="741"/>
      <c r="PP451" s="741"/>
      <c r="PQ451" s="741"/>
      <c r="PR451" s="741"/>
      <c r="PS451" s="741"/>
      <c r="PT451" s="741"/>
      <c r="PU451" s="741"/>
      <c r="PV451" s="741"/>
      <c r="PW451" s="741"/>
      <c r="PX451" s="741"/>
      <c r="PY451" s="741"/>
      <c r="PZ451" s="741"/>
      <c r="QA451" s="741"/>
      <c r="QB451" s="741"/>
      <c r="QC451" s="741"/>
      <c r="QD451" s="741"/>
      <c r="QE451" s="741"/>
      <c r="QF451" s="741"/>
      <c r="QG451" s="741"/>
      <c r="QH451" s="741"/>
      <c r="QI451" s="741"/>
      <c r="QJ451" s="741"/>
      <c r="QK451" s="741"/>
      <c r="QL451" s="741"/>
      <c r="QM451" s="741"/>
      <c r="QN451" s="741"/>
      <c r="QO451" s="741"/>
      <c r="QP451" s="741"/>
      <c r="QQ451" s="741"/>
      <c r="QR451" s="741"/>
      <c r="QS451" s="741"/>
      <c r="QT451" s="741"/>
      <c r="QU451" s="741"/>
      <c r="QV451" s="741"/>
      <c r="QW451" s="741"/>
      <c r="QX451" s="741"/>
      <c r="QY451" s="741"/>
      <c r="QZ451" s="741"/>
      <c r="RA451" s="741"/>
      <c r="RB451" s="741"/>
      <c r="RC451" s="741"/>
      <c r="RD451" s="741"/>
      <c r="RE451" s="741"/>
      <c r="RF451" s="741"/>
      <c r="RG451" s="741"/>
      <c r="RH451" s="741"/>
      <c r="RI451" s="741"/>
      <c r="RJ451" s="741"/>
      <c r="RK451" s="741"/>
      <c r="RL451" s="741"/>
      <c r="RM451" s="741"/>
      <c r="RN451" s="741"/>
      <c r="RO451" s="741"/>
      <c r="RP451" s="741"/>
      <c r="RQ451" s="741"/>
      <c r="RR451" s="741"/>
      <c r="RS451" s="741"/>
      <c r="RT451" s="741"/>
      <c r="RU451" s="741"/>
      <c r="RV451" s="741"/>
      <c r="RW451" s="741"/>
      <c r="RX451" s="741"/>
      <c r="RY451" s="741"/>
      <c r="RZ451" s="741"/>
      <c r="SA451" s="741"/>
      <c r="SB451" s="741"/>
      <c r="SC451" s="741"/>
      <c r="SD451" s="741"/>
      <c r="SE451" s="741"/>
      <c r="SF451" s="741"/>
      <c r="SG451" s="741"/>
      <c r="SH451" s="741"/>
      <c r="SI451" s="741"/>
      <c r="SJ451" s="741"/>
      <c r="SK451" s="741"/>
      <c r="SL451" s="741"/>
      <c r="SM451" s="741"/>
      <c r="SN451" s="741"/>
      <c r="SO451" s="741"/>
      <c r="SP451" s="741"/>
      <c r="SQ451" s="741"/>
      <c r="SR451" s="741"/>
      <c r="SS451" s="741"/>
      <c r="ST451" s="741"/>
      <c r="SU451" s="741"/>
      <c r="SV451" s="741"/>
      <c r="SW451" s="741"/>
      <c r="SX451" s="741"/>
      <c r="SY451" s="741"/>
      <c r="SZ451" s="741"/>
      <c r="TA451" s="741"/>
      <c r="TB451" s="741"/>
      <c r="TC451" s="741"/>
      <c r="TD451" s="741"/>
      <c r="TE451" s="741"/>
      <c r="TF451" s="741"/>
      <c r="TG451" s="741"/>
      <c r="TH451" s="741"/>
      <c r="TI451" s="741"/>
      <c r="TJ451" s="741"/>
      <c r="TK451" s="741"/>
      <c r="TL451" s="741"/>
      <c r="TM451" s="741"/>
      <c r="TN451" s="741"/>
      <c r="TO451" s="741"/>
      <c r="TP451" s="741"/>
      <c r="TQ451" s="741"/>
      <c r="TR451" s="741"/>
      <c r="TS451" s="741"/>
      <c r="TT451" s="741"/>
      <c r="TU451" s="741"/>
      <c r="TV451" s="741"/>
      <c r="TW451" s="741"/>
      <c r="TX451" s="741"/>
      <c r="TY451" s="741"/>
      <c r="TZ451" s="741"/>
      <c r="UA451" s="741"/>
      <c r="UB451" s="741"/>
      <c r="UC451" s="741"/>
      <c r="UD451" s="741"/>
      <c r="UE451" s="741"/>
      <c r="UF451" s="741"/>
      <c r="UG451" s="741"/>
      <c r="UH451" s="741"/>
      <c r="UI451" s="741"/>
      <c r="UJ451" s="741"/>
      <c r="UK451" s="741"/>
      <c r="UL451" s="741"/>
      <c r="UM451" s="741"/>
      <c r="UN451" s="741"/>
      <c r="UO451" s="741"/>
      <c r="UP451" s="741"/>
      <c r="UQ451" s="741"/>
      <c r="UR451" s="741"/>
      <c r="US451" s="741"/>
      <c r="UT451" s="741"/>
      <c r="UU451" s="741"/>
      <c r="UV451" s="741"/>
      <c r="UW451" s="741"/>
      <c r="UX451" s="741"/>
      <c r="UY451" s="741"/>
      <c r="UZ451" s="741"/>
      <c r="VA451" s="741"/>
      <c r="VB451" s="741"/>
      <c r="VC451" s="741"/>
      <c r="VD451" s="741"/>
      <c r="VE451" s="741"/>
      <c r="VF451" s="741"/>
      <c r="VG451" s="741"/>
      <c r="VH451" s="741"/>
      <c r="VI451" s="741"/>
      <c r="VJ451" s="741"/>
      <c r="VK451" s="741"/>
      <c r="VL451" s="741"/>
      <c r="VM451" s="741"/>
      <c r="VN451" s="741"/>
      <c r="VO451" s="741"/>
      <c r="VP451" s="741"/>
      <c r="VQ451" s="741"/>
      <c r="VR451" s="741"/>
      <c r="VS451" s="741"/>
      <c r="VT451" s="741"/>
      <c r="VU451" s="741"/>
      <c r="VV451" s="741"/>
      <c r="VW451" s="741"/>
      <c r="VX451" s="741"/>
      <c r="VY451" s="741"/>
      <c r="VZ451" s="741"/>
      <c r="WA451" s="741"/>
      <c r="WB451" s="741"/>
      <c r="WC451" s="741"/>
      <c r="WD451" s="741"/>
      <c r="WE451" s="741"/>
      <c r="WF451" s="741"/>
      <c r="WG451" s="741"/>
      <c r="WH451" s="741"/>
      <c r="WI451" s="741"/>
      <c r="WJ451" s="741"/>
      <c r="WK451" s="741"/>
      <c r="WL451" s="741"/>
      <c r="WM451" s="741"/>
      <c r="WN451" s="741"/>
      <c r="WO451" s="741"/>
      <c r="WP451" s="741"/>
      <c r="WQ451" s="741"/>
      <c r="WR451" s="741"/>
      <c r="WS451" s="741"/>
      <c r="WT451" s="741"/>
      <c r="WU451" s="741"/>
      <c r="WV451" s="741"/>
      <c r="WW451" s="741"/>
      <c r="WX451" s="741"/>
      <c r="WY451" s="741"/>
      <c r="WZ451" s="741"/>
      <c r="XA451" s="741"/>
      <c r="XB451" s="741"/>
      <c r="XC451" s="741"/>
      <c r="XD451" s="741"/>
      <c r="XE451" s="741"/>
      <c r="XF451" s="741"/>
      <c r="XG451" s="741"/>
      <c r="XH451" s="741"/>
      <c r="XI451" s="741"/>
      <c r="XJ451" s="741"/>
      <c r="XK451" s="741"/>
      <c r="XL451" s="741"/>
      <c r="XM451" s="741"/>
      <c r="XN451" s="741"/>
      <c r="XO451" s="741"/>
      <c r="XP451" s="741"/>
      <c r="XQ451" s="741"/>
      <c r="XR451" s="741"/>
      <c r="XS451" s="741"/>
      <c r="XT451" s="741"/>
      <c r="XU451" s="741"/>
      <c r="XV451" s="741"/>
      <c r="XW451" s="741"/>
      <c r="XX451" s="741"/>
      <c r="XY451" s="741"/>
      <c r="XZ451" s="741"/>
      <c r="YA451" s="741"/>
      <c r="YB451" s="741"/>
      <c r="YC451" s="741"/>
      <c r="YD451" s="741"/>
      <c r="YE451" s="741"/>
      <c r="YF451" s="741"/>
      <c r="YG451" s="741"/>
      <c r="YH451" s="741"/>
      <c r="YI451" s="741"/>
      <c r="YJ451" s="741"/>
      <c r="YK451" s="741"/>
      <c r="YL451" s="741"/>
      <c r="YM451" s="741"/>
      <c r="YN451" s="741"/>
      <c r="YO451" s="741"/>
      <c r="YP451" s="741"/>
      <c r="YQ451" s="741"/>
      <c r="YR451" s="741"/>
      <c r="YS451" s="741"/>
      <c r="YT451" s="741"/>
      <c r="YU451" s="741"/>
      <c r="YV451" s="741"/>
      <c r="YW451" s="741"/>
      <c r="YX451" s="741"/>
      <c r="YY451" s="741"/>
      <c r="YZ451" s="741"/>
      <c r="ZA451" s="741"/>
      <c r="ZB451" s="741"/>
      <c r="ZC451" s="741"/>
      <c r="ZD451" s="741"/>
      <c r="ZE451" s="741"/>
      <c r="ZF451" s="741"/>
      <c r="ZG451" s="741"/>
      <c r="ZH451" s="741"/>
      <c r="ZI451" s="741"/>
      <c r="ZJ451" s="741"/>
      <c r="ZK451" s="741"/>
      <c r="ZL451" s="741"/>
      <c r="ZM451" s="741"/>
      <c r="ZN451" s="741"/>
      <c r="ZO451" s="741"/>
      <c r="ZP451" s="741"/>
      <c r="ZQ451" s="741"/>
      <c r="ZR451" s="741"/>
      <c r="ZS451" s="741"/>
      <c r="ZT451" s="741"/>
      <c r="ZU451" s="741"/>
      <c r="ZV451" s="741"/>
      <c r="ZW451" s="741"/>
      <c r="ZX451" s="741"/>
      <c r="ZY451" s="741"/>
      <c r="ZZ451" s="741"/>
      <c r="AAA451" s="741"/>
      <c r="AAB451" s="741"/>
      <c r="AAC451" s="741"/>
      <c r="AAD451" s="741"/>
      <c r="AAE451" s="741"/>
      <c r="AAF451" s="741"/>
      <c r="AAG451" s="741"/>
      <c r="AAH451" s="741"/>
      <c r="AAI451" s="741"/>
      <c r="AAJ451" s="741"/>
      <c r="AAK451" s="741"/>
      <c r="AAL451" s="741"/>
      <c r="AAM451" s="741"/>
      <c r="AAN451" s="741"/>
      <c r="AAO451" s="741"/>
      <c r="AAP451" s="741"/>
      <c r="AAQ451" s="741"/>
      <c r="AAR451" s="741"/>
      <c r="AAS451" s="741"/>
      <c r="AAT451" s="741"/>
      <c r="AAU451" s="741"/>
      <c r="AAV451" s="741"/>
      <c r="AAW451" s="741"/>
      <c r="AAX451" s="741"/>
      <c r="AAY451" s="741"/>
      <c r="AAZ451" s="741"/>
      <c r="ABA451" s="741"/>
      <c r="ABB451" s="741"/>
      <c r="ABC451" s="741"/>
      <c r="ABD451" s="741"/>
      <c r="ABE451" s="741"/>
      <c r="ABF451" s="741"/>
      <c r="ABG451" s="741"/>
      <c r="ABH451" s="741"/>
      <c r="ABI451" s="741"/>
      <c r="ABJ451" s="741"/>
      <c r="ABK451" s="741"/>
      <c r="ABL451" s="741"/>
      <c r="ABM451" s="741"/>
      <c r="ABN451" s="741"/>
      <c r="ABO451" s="741"/>
      <c r="ABP451" s="741"/>
      <c r="ABQ451" s="741"/>
      <c r="ABR451" s="741"/>
      <c r="ABS451" s="741"/>
      <c r="ABT451" s="741"/>
      <c r="ABU451" s="741"/>
      <c r="ABV451" s="741"/>
      <c r="ABW451" s="741"/>
      <c r="ABX451" s="741"/>
      <c r="ABY451" s="741"/>
      <c r="ABZ451" s="741"/>
      <c r="ACA451" s="741"/>
      <c r="ACB451" s="741"/>
      <c r="ACC451" s="741"/>
      <c r="ACD451" s="741"/>
      <c r="ACE451" s="741"/>
      <c r="ACF451" s="741"/>
      <c r="ACG451" s="741"/>
      <c r="ACH451" s="741"/>
      <c r="ACI451" s="741"/>
      <c r="ACJ451" s="741"/>
      <c r="ACK451" s="741"/>
      <c r="ACL451" s="741"/>
      <c r="ACM451" s="741"/>
      <c r="ACN451" s="741"/>
      <c r="ACO451" s="741"/>
      <c r="ACP451" s="741"/>
      <c r="ACQ451" s="741"/>
      <c r="ACR451" s="741"/>
      <c r="ACS451" s="741"/>
      <c r="ACT451" s="741"/>
      <c r="ACU451" s="741"/>
      <c r="ACV451" s="741"/>
      <c r="ACW451" s="741"/>
      <c r="ACX451" s="741"/>
      <c r="ACY451" s="741"/>
      <c r="ACZ451" s="741"/>
      <c r="ADA451" s="741"/>
      <c r="ADB451" s="741"/>
      <c r="ADC451" s="741"/>
      <c r="ADD451" s="741"/>
      <c r="ADE451" s="741"/>
      <c r="ADF451" s="741"/>
      <c r="ADG451" s="741"/>
      <c r="ADH451" s="741"/>
      <c r="ADI451" s="741"/>
      <c r="ADJ451" s="741"/>
      <c r="ADK451" s="741"/>
      <c r="ADL451" s="741"/>
      <c r="ADM451" s="741"/>
      <c r="ADN451" s="741"/>
      <c r="ADO451" s="741"/>
      <c r="ADP451" s="741"/>
      <c r="ADQ451" s="741"/>
      <c r="ADR451" s="741"/>
      <c r="ADS451" s="741"/>
      <c r="ADT451" s="741"/>
      <c r="ADU451" s="741"/>
      <c r="ADV451" s="741"/>
      <c r="ADW451" s="741"/>
      <c r="ADX451" s="741"/>
      <c r="ADY451" s="741"/>
      <c r="ADZ451" s="741"/>
      <c r="AEA451" s="741"/>
      <c r="AEB451" s="741"/>
      <c r="AEC451" s="741"/>
      <c r="AED451" s="741"/>
      <c r="AEE451" s="741"/>
      <c r="AEF451" s="741"/>
      <c r="AEG451" s="741"/>
      <c r="AEH451" s="741"/>
      <c r="AEI451" s="741"/>
      <c r="AEJ451" s="741"/>
      <c r="AEK451" s="741"/>
      <c r="AEL451" s="741"/>
      <c r="AEM451" s="741"/>
      <c r="AEN451" s="741"/>
      <c r="AEO451" s="741"/>
      <c r="AEP451" s="741"/>
      <c r="AEQ451" s="741"/>
      <c r="AER451" s="741"/>
      <c r="AES451" s="741"/>
      <c r="AET451" s="741"/>
      <c r="AEU451" s="741"/>
      <c r="AEV451" s="741"/>
      <c r="AEW451" s="741"/>
      <c r="AEX451" s="741"/>
      <c r="AEY451" s="741"/>
      <c r="AEZ451" s="741"/>
      <c r="AFA451" s="741"/>
      <c r="AFB451" s="741"/>
      <c r="AFC451" s="741"/>
      <c r="AFD451" s="741"/>
      <c r="AFE451" s="741"/>
      <c r="AFF451" s="741"/>
      <c r="AFG451" s="741"/>
      <c r="AFH451" s="741"/>
      <c r="AFI451" s="741"/>
      <c r="AFJ451" s="741"/>
      <c r="AFK451" s="741"/>
      <c r="AFL451" s="741"/>
      <c r="AFM451" s="741"/>
      <c r="AFN451" s="741"/>
      <c r="AFO451" s="741"/>
      <c r="AFP451" s="741"/>
      <c r="AFQ451" s="741"/>
      <c r="AFR451" s="741"/>
      <c r="AFS451" s="741"/>
      <c r="AFT451" s="741"/>
      <c r="AFU451" s="741"/>
      <c r="AFV451" s="741"/>
      <c r="AFW451" s="741"/>
      <c r="AFX451" s="741"/>
      <c r="AFY451" s="741"/>
      <c r="AFZ451" s="741"/>
      <c r="AGA451" s="741"/>
      <c r="AGB451" s="741"/>
      <c r="AGC451" s="741"/>
      <c r="AGD451" s="741"/>
      <c r="AGE451" s="741"/>
      <c r="AGF451" s="741"/>
      <c r="AGG451" s="741"/>
      <c r="AGH451" s="741"/>
      <c r="AGI451" s="741"/>
      <c r="AGJ451" s="741"/>
      <c r="AGK451" s="741"/>
      <c r="AGL451" s="741"/>
      <c r="AGM451" s="741"/>
      <c r="AGN451" s="741"/>
      <c r="AGO451" s="741"/>
      <c r="AGP451" s="741"/>
      <c r="AGQ451" s="741"/>
      <c r="AGR451" s="741"/>
      <c r="AGS451" s="741"/>
      <c r="AGT451" s="741"/>
      <c r="AGU451" s="741"/>
      <c r="AGV451" s="741"/>
      <c r="AGW451" s="741"/>
      <c r="AGX451" s="741"/>
      <c r="AGY451" s="741"/>
      <c r="AGZ451" s="741"/>
      <c r="AHA451" s="741"/>
      <c r="AHB451" s="741"/>
      <c r="AHC451" s="741"/>
      <c r="AHD451" s="741"/>
      <c r="AHE451" s="741"/>
      <c r="AHF451" s="741"/>
      <c r="AHG451" s="741"/>
      <c r="AHH451" s="741"/>
      <c r="AHI451" s="741"/>
      <c r="AHJ451" s="741"/>
      <c r="AHK451" s="741"/>
      <c r="AHL451" s="741"/>
      <c r="AHM451" s="741"/>
      <c r="AHN451" s="741"/>
      <c r="AHO451" s="741"/>
      <c r="AHP451" s="741"/>
      <c r="AHQ451" s="741"/>
      <c r="AHR451" s="741"/>
      <c r="AHS451" s="741"/>
      <c r="AHT451" s="741"/>
      <c r="AHU451" s="741"/>
      <c r="AHV451" s="741"/>
      <c r="AHW451" s="741"/>
      <c r="AHX451" s="741"/>
      <c r="AHY451" s="741"/>
      <c r="AHZ451" s="741"/>
      <c r="AIA451" s="741"/>
      <c r="AIB451" s="741"/>
      <c r="AIC451" s="741"/>
      <c r="AID451" s="741"/>
      <c r="AIE451" s="741"/>
      <c r="AIF451" s="741"/>
      <c r="AIG451" s="741"/>
      <c r="AIH451" s="741"/>
      <c r="AII451" s="741"/>
      <c r="AIJ451" s="741"/>
      <c r="AIK451" s="741"/>
      <c r="AIL451" s="741"/>
      <c r="AIM451" s="741"/>
      <c r="AIN451" s="741"/>
      <c r="AIO451" s="741"/>
      <c r="AIP451" s="741"/>
      <c r="AIQ451" s="741"/>
      <c r="AIR451" s="741"/>
      <c r="AIS451" s="741"/>
      <c r="AIT451" s="741"/>
      <c r="AIU451" s="741"/>
      <c r="AIV451" s="741"/>
      <c r="AIW451" s="741"/>
      <c r="AIX451" s="741"/>
      <c r="AIY451" s="741"/>
      <c r="AIZ451" s="741"/>
      <c r="AJA451" s="741"/>
      <c r="AJB451" s="741"/>
      <c r="AJC451" s="741"/>
      <c r="AJD451" s="741"/>
      <c r="AJE451" s="741"/>
      <c r="AJF451" s="741"/>
      <c r="AJG451" s="741"/>
      <c r="AJH451" s="741"/>
      <c r="AJI451" s="741"/>
      <c r="AJJ451" s="741"/>
      <c r="AJK451" s="741"/>
      <c r="AJL451" s="741"/>
      <c r="AJM451" s="741"/>
      <c r="AJN451" s="741"/>
      <c r="AJO451" s="741"/>
      <c r="AJP451" s="741"/>
      <c r="AJQ451" s="741"/>
      <c r="AJR451" s="741"/>
      <c r="AJS451" s="741"/>
      <c r="AJT451" s="741"/>
      <c r="AJU451" s="741"/>
      <c r="AJV451" s="741"/>
      <c r="AJW451" s="741"/>
      <c r="AJX451" s="741"/>
      <c r="AJY451" s="741"/>
      <c r="AJZ451" s="741"/>
      <c r="AKA451" s="741"/>
      <c r="AKB451" s="741"/>
      <c r="AKC451" s="741"/>
      <c r="AKD451" s="741"/>
      <c r="AKE451" s="741"/>
      <c r="AKF451" s="741"/>
      <c r="AKG451" s="741"/>
      <c r="AKH451" s="741"/>
      <c r="AKI451" s="741"/>
      <c r="AKJ451" s="741"/>
      <c r="AKK451" s="741"/>
      <c r="AKL451" s="741"/>
      <c r="AKM451" s="741"/>
      <c r="AKN451" s="741"/>
      <c r="AKO451" s="741"/>
      <c r="AKP451" s="741"/>
      <c r="AKQ451" s="741"/>
      <c r="AKR451" s="741"/>
      <c r="AKS451" s="741"/>
      <c r="AKT451" s="741"/>
      <c r="AKU451" s="741"/>
      <c r="AKV451" s="741"/>
      <c r="AKW451" s="741"/>
      <c r="AKX451" s="741"/>
      <c r="AKY451" s="741"/>
      <c r="AKZ451" s="741"/>
      <c r="ALA451" s="741"/>
      <c r="ALB451" s="741"/>
      <c r="ALC451" s="741"/>
      <c r="ALD451" s="741"/>
      <c r="ALE451" s="741"/>
      <c r="ALF451" s="741"/>
      <c r="ALG451" s="741"/>
      <c r="ALH451" s="741"/>
      <c r="ALI451" s="741"/>
      <c r="ALJ451" s="741"/>
      <c r="ALK451" s="741"/>
      <c r="ALL451" s="741"/>
      <c r="ALM451" s="741"/>
      <c r="ALN451" s="741"/>
      <c r="ALO451" s="741"/>
      <c r="ALP451" s="741"/>
      <c r="ALQ451" s="741"/>
      <c r="ALR451" s="741"/>
      <c r="ALS451" s="741"/>
      <c r="ALT451" s="741"/>
      <c r="ALU451" s="741"/>
      <c r="ALV451" s="741"/>
      <c r="ALW451" s="741"/>
      <c r="ALX451" s="741"/>
      <c r="ALY451" s="741"/>
      <c r="ALZ451" s="741"/>
      <c r="AMA451" s="741"/>
      <c r="AMB451" s="741"/>
      <c r="AMC451" s="741"/>
      <c r="AMD451" s="741"/>
      <c r="AME451" s="741"/>
      <c r="AMF451" s="741"/>
      <c r="AMG451" s="741"/>
      <c r="AMH451" s="741"/>
      <c r="AMI451" s="741"/>
      <c r="AMJ451" s="741"/>
      <c r="AMK451" s="741"/>
      <c r="AML451" s="741"/>
      <c r="AMM451" s="741"/>
      <c r="AMN451" s="741"/>
      <c r="AMO451" s="741"/>
      <c r="AMP451" s="741"/>
      <c r="AMQ451" s="741"/>
      <c r="AMR451" s="741"/>
      <c r="AMS451" s="741"/>
      <c r="AMT451" s="741"/>
      <c r="AMU451" s="741"/>
      <c r="AMV451" s="741"/>
      <c r="AMW451" s="741"/>
      <c r="AMX451" s="741"/>
      <c r="AMY451" s="741"/>
      <c r="AMZ451" s="741"/>
      <c r="ANA451" s="741"/>
      <c r="ANB451" s="741"/>
      <c r="ANC451" s="741"/>
      <c r="AND451" s="741"/>
      <c r="ANE451" s="741"/>
      <c r="ANF451" s="741"/>
      <c r="ANG451" s="741"/>
      <c r="ANH451" s="741"/>
      <c r="ANI451" s="741"/>
      <c r="ANJ451" s="741"/>
      <c r="ANK451" s="741"/>
      <c r="ANL451" s="741"/>
      <c r="ANM451" s="741"/>
      <c r="ANN451" s="741"/>
      <c r="ANO451" s="741"/>
      <c r="ANP451" s="741"/>
      <c r="ANQ451" s="741"/>
      <c r="ANR451" s="741"/>
      <c r="ANS451" s="741"/>
      <c r="ANT451" s="741"/>
      <c r="ANU451" s="741"/>
      <c r="ANV451" s="741"/>
      <c r="ANW451" s="741"/>
      <c r="ANX451" s="741"/>
      <c r="ANY451" s="741"/>
      <c r="ANZ451" s="741"/>
      <c r="AOA451" s="741"/>
      <c r="AOB451" s="741"/>
      <c r="AOC451" s="741"/>
      <c r="AOD451" s="741"/>
      <c r="AOE451" s="741"/>
      <c r="AOF451" s="741"/>
      <c r="AOG451" s="741"/>
      <c r="AOH451" s="741"/>
      <c r="AOI451" s="741"/>
      <c r="AOJ451" s="741"/>
      <c r="AOK451" s="741"/>
      <c r="AOL451" s="741"/>
      <c r="AOM451" s="741"/>
      <c r="AON451" s="741"/>
      <c r="AOO451" s="741"/>
      <c r="AOP451" s="741"/>
      <c r="AOQ451" s="741"/>
      <c r="AOR451" s="741"/>
      <c r="AOS451" s="741"/>
      <c r="AOT451" s="741"/>
      <c r="AOU451" s="741"/>
      <c r="AOV451" s="741"/>
      <c r="AOW451" s="741"/>
      <c r="AOX451" s="741"/>
      <c r="AOY451" s="741"/>
      <c r="AOZ451" s="741"/>
      <c r="APA451" s="741"/>
      <c r="APB451" s="741"/>
      <c r="APC451" s="741"/>
      <c r="APD451" s="741"/>
      <c r="APE451" s="741"/>
      <c r="APF451" s="741"/>
      <c r="APG451" s="741"/>
      <c r="APH451" s="741"/>
      <c r="API451" s="741"/>
      <c r="APJ451" s="741"/>
      <c r="APK451" s="741"/>
      <c r="APL451" s="741"/>
      <c r="APM451" s="741"/>
      <c r="APN451" s="741"/>
      <c r="APO451" s="741"/>
      <c r="APP451" s="741"/>
      <c r="APQ451" s="741"/>
      <c r="APR451" s="741"/>
      <c r="APS451" s="741"/>
      <c r="APT451" s="741"/>
      <c r="APU451" s="741"/>
      <c r="APV451" s="741"/>
      <c r="APW451" s="741"/>
      <c r="APX451" s="741"/>
      <c r="APY451" s="741"/>
      <c r="APZ451" s="741"/>
      <c r="AQA451" s="741"/>
      <c r="AQB451" s="741"/>
      <c r="AQC451" s="741"/>
      <c r="AQD451" s="741"/>
      <c r="AQE451" s="741"/>
      <c r="AQF451" s="741"/>
      <c r="AQG451" s="741"/>
      <c r="AQH451" s="741"/>
      <c r="AQI451" s="741"/>
      <c r="AQJ451" s="741"/>
      <c r="AQK451" s="741"/>
      <c r="AQL451" s="741"/>
      <c r="AQM451" s="741"/>
      <c r="AQN451" s="741"/>
      <c r="AQO451" s="741"/>
      <c r="AQP451" s="741"/>
      <c r="AQQ451" s="741"/>
      <c r="AQR451" s="741"/>
      <c r="AQS451" s="741"/>
      <c r="AQT451" s="741"/>
      <c r="AQU451" s="741"/>
      <c r="AQV451" s="741"/>
      <c r="AQW451" s="741"/>
      <c r="AQX451" s="741"/>
      <c r="AQY451" s="741"/>
      <c r="AQZ451" s="741"/>
      <c r="ARA451" s="741"/>
      <c r="ARB451" s="741"/>
      <c r="ARC451" s="741"/>
      <c r="ARD451" s="741"/>
      <c r="ARE451" s="741"/>
      <c r="ARF451" s="741"/>
      <c r="ARG451" s="741"/>
      <c r="ARH451" s="741"/>
      <c r="ARI451" s="741"/>
      <c r="ARJ451" s="741"/>
      <c r="ARK451" s="741"/>
      <c r="ARL451" s="741"/>
      <c r="ARM451" s="741"/>
      <c r="ARN451" s="741"/>
      <c r="ARO451" s="741"/>
      <c r="ARP451" s="741"/>
      <c r="ARQ451" s="741"/>
      <c r="ARR451" s="741"/>
      <c r="ARS451" s="741"/>
      <c r="ART451" s="741"/>
      <c r="ARU451" s="741"/>
      <c r="ARV451" s="741"/>
      <c r="ARW451" s="741"/>
      <c r="ARX451" s="741"/>
      <c r="ARY451" s="741"/>
      <c r="ARZ451" s="741"/>
      <c r="ASA451" s="741"/>
      <c r="ASB451" s="741"/>
      <c r="ASC451" s="741"/>
      <c r="ASD451" s="741"/>
      <c r="ASE451" s="741"/>
      <c r="ASF451" s="741"/>
      <c r="ASG451" s="741"/>
      <c r="ASH451" s="741"/>
      <c r="ASI451" s="741"/>
      <c r="ASJ451" s="741"/>
      <c r="ASK451" s="741"/>
      <c r="ASL451" s="741"/>
      <c r="ASM451" s="741"/>
      <c r="ASN451" s="741"/>
      <c r="ASO451" s="741"/>
      <c r="ASP451" s="741"/>
      <c r="ASQ451" s="741"/>
      <c r="ASR451" s="741"/>
      <c r="ASS451" s="741"/>
      <c r="AST451" s="741"/>
      <c r="ASU451" s="741"/>
      <c r="ASV451" s="741"/>
      <c r="ASW451" s="741"/>
      <c r="ASX451" s="741"/>
      <c r="ASY451" s="741"/>
      <c r="ASZ451" s="741"/>
      <c r="ATA451" s="741"/>
      <c r="ATB451" s="741"/>
      <c r="ATC451" s="741"/>
      <c r="ATD451" s="741"/>
      <c r="ATE451" s="741"/>
      <c r="ATF451" s="741"/>
      <c r="ATG451" s="741"/>
      <c r="ATH451" s="741"/>
      <c r="ATI451" s="741"/>
      <c r="ATJ451" s="741"/>
      <c r="ATK451" s="741"/>
      <c r="ATL451" s="741"/>
      <c r="ATM451" s="741"/>
      <c r="ATN451" s="741"/>
      <c r="ATO451" s="741"/>
      <c r="ATP451" s="741"/>
      <c r="ATQ451" s="741"/>
      <c r="ATR451" s="741"/>
      <c r="ATS451" s="741"/>
      <c r="ATT451" s="741"/>
      <c r="ATU451" s="741"/>
      <c r="ATV451" s="741"/>
      <c r="ATW451" s="741"/>
      <c r="ATX451" s="741"/>
      <c r="ATY451" s="741"/>
      <c r="ATZ451" s="741"/>
      <c r="AUA451" s="741"/>
      <c r="AUB451" s="741"/>
      <c r="AUC451" s="741"/>
      <c r="AUD451" s="741"/>
      <c r="AUE451" s="741"/>
      <c r="AUF451" s="741"/>
      <c r="AUG451" s="741"/>
      <c r="AUH451" s="741"/>
      <c r="AUI451" s="741"/>
      <c r="AUJ451" s="741"/>
      <c r="AUK451" s="741"/>
      <c r="AUL451" s="741"/>
      <c r="AUM451" s="741"/>
      <c r="AUN451" s="741"/>
      <c r="AUO451" s="741"/>
      <c r="AUP451" s="741"/>
      <c r="AUQ451" s="741"/>
      <c r="AUR451" s="741"/>
      <c r="AUS451" s="741"/>
      <c r="AUT451" s="741"/>
      <c r="AUU451" s="741"/>
      <c r="AUV451" s="741"/>
      <c r="AUW451" s="741"/>
      <c r="AUX451" s="741"/>
      <c r="AUY451" s="741"/>
      <c r="AUZ451" s="741"/>
      <c r="AVA451" s="741"/>
      <c r="AVB451" s="741"/>
      <c r="AVC451" s="741"/>
      <c r="AVD451" s="741"/>
      <c r="AVE451" s="741"/>
      <c r="AVF451" s="741"/>
      <c r="AVG451" s="741"/>
      <c r="AVH451" s="741"/>
      <c r="AVI451" s="741"/>
      <c r="AVJ451" s="741"/>
      <c r="AVK451" s="741"/>
      <c r="AVL451" s="741"/>
      <c r="AVM451" s="741"/>
      <c r="AVN451" s="741"/>
      <c r="AVO451" s="741"/>
      <c r="AVP451" s="741"/>
      <c r="AVQ451" s="741"/>
      <c r="AVR451" s="741"/>
      <c r="AVS451" s="741"/>
      <c r="AVT451" s="741"/>
      <c r="AVU451" s="741"/>
      <c r="AVV451" s="741"/>
      <c r="AVW451" s="741"/>
      <c r="AVX451" s="741"/>
      <c r="AVY451" s="741"/>
      <c r="AVZ451" s="741"/>
      <c r="AWA451" s="741"/>
      <c r="AWB451" s="741"/>
      <c r="AWC451" s="741"/>
      <c r="AWD451" s="741"/>
      <c r="AWE451" s="741"/>
      <c r="AWF451" s="741"/>
      <c r="AWG451" s="741"/>
      <c r="AWH451" s="741"/>
      <c r="AWI451" s="741"/>
      <c r="AWJ451" s="741"/>
      <c r="AWK451" s="741"/>
      <c r="AWL451" s="741"/>
      <c r="AWM451" s="741"/>
      <c r="AWN451" s="741"/>
      <c r="AWO451" s="741"/>
      <c r="AWP451" s="741"/>
      <c r="AWQ451" s="741"/>
      <c r="AWR451" s="741"/>
      <c r="AWS451" s="741"/>
      <c r="AWT451" s="741"/>
      <c r="AWU451" s="741"/>
      <c r="AWV451" s="741"/>
      <c r="AWW451" s="741"/>
      <c r="AWX451" s="741"/>
      <c r="AWY451" s="741"/>
      <c r="AWZ451" s="741"/>
      <c r="AXA451" s="741"/>
      <c r="AXB451" s="741"/>
      <c r="AXC451" s="741"/>
      <c r="AXD451" s="741"/>
      <c r="AXE451" s="741"/>
      <c r="AXF451" s="741"/>
      <c r="AXG451" s="741"/>
      <c r="AXH451" s="741"/>
      <c r="AXI451" s="741"/>
      <c r="AXJ451" s="741"/>
      <c r="AXK451" s="741"/>
      <c r="AXL451" s="741"/>
      <c r="AXM451" s="741"/>
      <c r="AXN451" s="741"/>
      <c r="AXO451" s="741"/>
      <c r="AXP451" s="741"/>
      <c r="AXQ451" s="741"/>
      <c r="AXR451" s="741"/>
      <c r="AXS451" s="741"/>
      <c r="AXT451" s="741"/>
      <c r="AXU451" s="741"/>
      <c r="AXV451" s="741"/>
      <c r="AXW451" s="741"/>
      <c r="AXX451" s="741"/>
      <c r="AXY451" s="741"/>
      <c r="AXZ451" s="741"/>
      <c r="AYA451" s="741"/>
      <c r="AYB451" s="741"/>
      <c r="AYC451" s="741"/>
      <c r="AYD451" s="741"/>
      <c r="AYE451" s="741"/>
      <c r="AYF451" s="741"/>
      <c r="AYG451" s="741"/>
      <c r="AYH451" s="741"/>
      <c r="AYI451" s="741"/>
      <c r="AYJ451" s="741"/>
      <c r="AYK451" s="741"/>
      <c r="AYL451" s="741"/>
      <c r="AYM451" s="741"/>
      <c r="AYN451" s="741"/>
      <c r="AYO451" s="741"/>
      <c r="AYP451" s="741"/>
      <c r="AYQ451" s="741"/>
      <c r="AYR451" s="741"/>
      <c r="AYS451" s="741"/>
      <c r="AYT451" s="741"/>
      <c r="AYU451" s="741"/>
      <c r="AYV451" s="741"/>
      <c r="AYW451" s="741"/>
      <c r="AYX451" s="741"/>
      <c r="AYY451" s="741"/>
      <c r="AYZ451" s="741"/>
      <c r="AZA451" s="741"/>
      <c r="AZB451" s="741"/>
      <c r="AZC451" s="741"/>
      <c r="AZD451" s="741"/>
      <c r="AZE451" s="741"/>
      <c r="AZF451" s="741"/>
      <c r="AZG451" s="741"/>
      <c r="AZH451" s="741"/>
      <c r="AZI451" s="741"/>
      <c r="AZJ451" s="741"/>
      <c r="AZK451" s="741"/>
      <c r="AZL451" s="741"/>
      <c r="AZM451" s="741"/>
      <c r="AZN451" s="741"/>
      <c r="AZO451" s="741"/>
      <c r="AZP451" s="741"/>
      <c r="AZQ451" s="741"/>
      <c r="AZR451" s="741"/>
      <c r="AZS451" s="741"/>
      <c r="AZT451" s="741"/>
      <c r="AZU451" s="741"/>
      <c r="AZV451" s="741"/>
      <c r="AZW451" s="741"/>
      <c r="AZX451" s="741"/>
      <c r="AZY451" s="741"/>
      <c r="AZZ451" s="741"/>
      <c r="BAA451" s="741"/>
      <c r="BAB451" s="741"/>
      <c r="BAC451" s="741"/>
      <c r="BAD451" s="741"/>
      <c r="BAE451" s="741"/>
      <c r="BAF451" s="741"/>
      <c r="BAG451" s="741"/>
      <c r="BAH451" s="741"/>
      <c r="BAI451" s="741"/>
      <c r="BAJ451" s="741"/>
      <c r="BAK451" s="741"/>
      <c r="BAL451" s="741"/>
      <c r="BAM451" s="741"/>
      <c r="BAN451" s="741"/>
      <c r="BAO451" s="741"/>
      <c r="BAP451" s="741"/>
      <c r="BAQ451" s="741"/>
      <c r="BAR451" s="741"/>
      <c r="BAS451" s="741"/>
      <c r="BAT451" s="741"/>
      <c r="BAU451" s="741"/>
      <c r="BAV451" s="741"/>
      <c r="BAW451" s="741"/>
      <c r="BAX451" s="741"/>
      <c r="BAY451" s="741"/>
      <c r="BAZ451" s="741"/>
      <c r="BBA451" s="741"/>
      <c r="BBB451" s="741"/>
      <c r="BBC451" s="741"/>
      <c r="BBD451" s="741"/>
      <c r="BBE451" s="741"/>
      <c r="BBF451" s="741"/>
      <c r="BBG451" s="741"/>
      <c r="BBH451" s="741"/>
      <c r="BBI451" s="741"/>
      <c r="BBJ451" s="741"/>
      <c r="BBK451" s="741"/>
      <c r="BBL451" s="741"/>
      <c r="BBM451" s="741"/>
      <c r="BBN451" s="741"/>
      <c r="BBO451" s="741"/>
      <c r="BBP451" s="741"/>
      <c r="BBQ451" s="741"/>
      <c r="BBR451" s="741"/>
      <c r="BBS451" s="741"/>
      <c r="BBT451" s="741"/>
      <c r="BBU451" s="741"/>
      <c r="BBV451" s="741"/>
      <c r="BBW451" s="741"/>
      <c r="BBX451" s="741"/>
      <c r="BBY451" s="741"/>
      <c r="BBZ451" s="741"/>
      <c r="BCA451" s="741"/>
      <c r="BCB451" s="741"/>
      <c r="BCC451" s="741"/>
      <c r="BCD451" s="741"/>
      <c r="BCE451" s="741"/>
      <c r="BCF451" s="741"/>
      <c r="BCG451" s="741"/>
      <c r="BCH451" s="741"/>
      <c r="BCI451" s="741"/>
      <c r="BCJ451" s="741"/>
      <c r="BCK451" s="741"/>
      <c r="BCL451" s="741"/>
      <c r="BCM451" s="741"/>
      <c r="BCN451" s="741"/>
      <c r="BCO451" s="741"/>
      <c r="BCP451" s="741"/>
      <c r="BCQ451" s="741"/>
      <c r="BCR451" s="741"/>
      <c r="BCS451" s="741"/>
      <c r="BCT451" s="741"/>
      <c r="BCU451" s="741"/>
      <c r="BCV451" s="741"/>
      <c r="BCW451" s="741"/>
      <c r="BCX451" s="741"/>
      <c r="BCY451" s="741"/>
      <c r="BCZ451" s="741"/>
      <c r="BDA451" s="741"/>
      <c r="BDB451" s="741"/>
      <c r="BDC451" s="741"/>
      <c r="BDD451" s="741"/>
      <c r="BDE451" s="741"/>
      <c r="BDF451" s="741"/>
      <c r="BDG451" s="741"/>
      <c r="BDH451" s="741"/>
      <c r="BDI451" s="741"/>
      <c r="BDJ451" s="741"/>
      <c r="BDK451" s="741"/>
      <c r="BDL451" s="741"/>
      <c r="BDM451" s="741"/>
      <c r="BDN451" s="741"/>
      <c r="BDO451" s="741"/>
      <c r="BDP451" s="741"/>
      <c r="BDQ451" s="741"/>
      <c r="BDR451" s="741"/>
      <c r="BDS451" s="741"/>
      <c r="BDT451" s="741"/>
      <c r="BDU451" s="741"/>
      <c r="BDV451" s="741"/>
      <c r="BDW451" s="741"/>
      <c r="BDX451" s="741"/>
      <c r="BDY451" s="741"/>
      <c r="BDZ451" s="741"/>
      <c r="BEA451" s="741"/>
      <c r="BEB451" s="741"/>
      <c r="BEC451" s="741"/>
      <c r="BED451" s="741"/>
      <c r="BEE451" s="741"/>
      <c r="BEF451" s="741"/>
      <c r="BEG451" s="741"/>
      <c r="BEH451" s="741"/>
      <c r="BEI451" s="741"/>
      <c r="BEJ451" s="741"/>
      <c r="BEK451" s="741"/>
      <c r="BEL451" s="741"/>
      <c r="BEM451" s="741"/>
      <c r="BEN451" s="741"/>
      <c r="BEO451" s="741"/>
      <c r="BEP451" s="741"/>
      <c r="BEQ451" s="741"/>
      <c r="BER451" s="741"/>
      <c r="BES451" s="741"/>
      <c r="BET451" s="741"/>
      <c r="BEU451" s="741"/>
      <c r="BEV451" s="741"/>
      <c r="BEW451" s="741"/>
      <c r="BEX451" s="741"/>
      <c r="BEY451" s="741"/>
      <c r="BEZ451" s="741"/>
      <c r="BFA451" s="741"/>
      <c r="BFB451" s="741"/>
      <c r="BFC451" s="741"/>
      <c r="BFD451" s="741"/>
      <c r="BFE451" s="741"/>
      <c r="BFF451" s="741"/>
      <c r="BFG451" s="741"/>
      <c r="BFH451" s="741"/>
      <c r="BFI451" s="741"/>
      <c r="BFJ451" s="741"/>
      <c r="BFK451" s="741"/>
      <c r="BFL451" s="741"/>
      <c r="BFM451" s="741"/>
      <c r="BFN451" s="741"/>
      <c r="BFO451" s="741"/>
      <c r="BFP451" s="741"/>
      <c r="BFQ451" s="741"/>
      <c r="BFR451" s="741"/>
      <c r="BFS451" s="741"/>
      <c r="BFT451" s="741"/>
      <c r="BFU451" s="741"/>
      <c r="BFV451" s="741"/>
      <c r="BFW451" s="741"/>
      <c r="BFX451" s="741"/>
      <c r="BFY451" s="741"/>
      <c r="BFZ451" s="741"/>
      <c r="BGA451" s="741"/>
      <c r="BGB451" s="741"/>
      <c r="BGC451" s="741"/>
      <c r="BGD451" s="741"/>
      <c r="BGE451" s="741"/>
      <c r="BGF451" s="741"/>
      <c r="BGG451" s="741"/>
      <c r="BGH451" s="741"/>
      <c r="BGI451" s="741"/>
      <c r="BGJ451" s="741"/>
      <c r="BGK451" s="741"/>
      <c r="BGL451" s="741"/>
      <c r="BGM451" s="741"/>
      <c r="BGN451" s="741"/>
      <c r="BGO451" s="741"/>
      <c r="BGP451" s="741"/>
      <c r="BGQ451" s="741"/>
      <c r="BGR451" s="741"/>
      <c r="BGS451" s="741"/>
      <c r="BGT451" s="741"/>
      <c r="BGU451" s="741"/>
      <c r="BGV451" s="741"/>
      <c r="BGW451" s="741"/>
      <c r="BGX451" s="741"/>
      <c r="BGY451" s="741"/>
      <c r="BGZ451" s="741"/>
      <c r="BHA451" s="741"/>
      <c r="BHB451" s="741"/>
      <c r="BHC451" s="741"/>
      <c r="BHD451" s="741"/>
      <c r="BHE451" s="741"/>
      <c r="BHF451" s="741"/>
      <c r="BHG451" s="741"/>
      <c r="BHH451" s="741"/>
      <c r="BHI451" s="741"/>
      <c r="BHJ451" s="741"/>
      <c r="BHK451" s="741"/>
      <c r="BHL451" s="741"/>
      <c r="BHM451" s="741"/>
      <c r="BHN451" s="741"/>
      <c r="BHO451" s="741"/>
      <c r="BHP451" s="741"/>
      <c r="BHQ451" s="741"/>
      <c r="BHR451" s="741"/>
      <c r="BHS451" s="741"/>
      <c r="BHT451" s="741"/>
      <c r="BHU451" s="741"/>
      <c r="BHV451" s="741"/>
      <c r="BHW451" s="741"/>
      <c r="BHX451" s="741"/>
      <c r="BHY451" s="741"/>
      <c r="BHZ451" s="741"/>
      <c r="BIA451" s="741"/>
      <c r="BIB451" s="741"/>
      <c r="BIC451" s="741"/>
      <c r="BID451" s="741"/>
      <c r="BIE451" s="741"/>
      <c r="BIF451" s="741"/>
      <c r="BIG451" s="741"/>
      <c r="BIH451" s="741"/>
      <c r="BII451" s="741"/>
      <c r="BIJ451" s="741"/>
      <c r="BIK451" s="741"/>
      <c r="BIL451" s="741"/>
      <c r="BIM451" s="741"/>
      <c r="BIN451" s="741"/>
      <c r="BIO451" s="741"/>
      <c r="BIP451" s="741"/>
      <c r="BIQ451" s="741"/>
      <c r="BIR451" s="741"/>
      <c r="BIS451" s="741"/>
      <c r="BIT451" s="741"/>
      <c r="BIU451" s="741"/>
      <c r="BIV451" s="741"/>
      <c r="BIW451" s="741"/>
      <c r="BIX451" s="741"/>
      <c r="BIY451" s="741"/>
      <c r="BIZ451" s="741"/>
      <c r="BJA451" s="741"/>
      <c r="BJB451" s="741"/>
      <c r="BJC451" s="741"/>
      <c r="BJD451" s="741"/>
      <c r="BJE451" s="741"/>
      <c r="BJF451" s="741"/>
      <c r="BJG451" s="741"/>
      <c r="BJH451" s="741"/>
      <c r="BJI451" s="741"/>
      <c r="BJJ451" s="741"/>
      <c r="BJK451" s="741"/>
      <c r="BJL451" s="741"/>
      <c r="BJM451" s="741"/>
      <c r="BJN451" s="741"/>
      <c r="BJO451" s="741"/>
      <c r="BJP451" s="741"/>
      <c r="BJQ451" s="741"/>
      <c r="BJR451" s="741"/>
      <c r="BJS451" s="741"/>
      <c r="BJT451" s="741"/>
      <c r="BJU451" s="741"/>
      <c r="BJV451" s="741"/>
      <c r="BJW451" s="741"/>
      <c r="BJX451" s="741"/>
      <c r="BJY451" s="741"/>
      <c r="BJZ451" s="741"/>
      <c r="BKA451" s="741"/>
      <c r="BKB451" s="741"/>
      <c r="BKC451" s="741"/>
      <c r="BKD451" s="741"/>
      <c r="BKE451" s="741"/>
      <c r="BKF451" s="741"/>
      <c r="BKG451" s="741"/>
      <c r="BKH451" s="741"/>
      <c r="BKI451" s="741"/>
      <c r="BKJ451" s="741"/>
      <c r="BKK451" s="741"/>
      <c r="BKL451" s="741"/>
      <c r="BKM451" s="741"/>
      <c r="BKN451" s="741"/>
      <c r="BKO451" s="741"/>
      <c r="BKP451" s="741"/>
      <c r="BKQ451" s="741"/>
      <c r="BKR451" s="741"/>
      <c r="BKS451" s="741"/>
      <c r="BKT451" s="741"/>
      <c r="BKU451" s="741"/>
      <c r="BKV451" s="741"/>
      <c r="BKW451" s="741"/>
      <c r="BKX451" s="741"/>
      <c r="BKY451" s="741"/>
      <c r="BKZ451" s="741"/>
      <c r="BLA451" s="741"/>
      <c r="BLB451" s="741"/>
      <c r="BLC451" s="741"/>
      <c r="BLD451" s="741"/>
      <c r="BLE451" s="741"/>
      <c r="BLF451" s="741"/>
      <c r="BLG451" s="741"/>
      <c r="BLH451" s="741"/>
      <c r="BLI451" s="741"/>
      <c r="BLJ451" s="741"/>
      <c r="BLK451" s="741"/>
      <c r="BLL451" s="741"/>
      <c r="BLM451" s="741"/>
      <c r="BLN451" s="741"/>
      <c r="BLO451" s="741"/>
      <c r="BLP451" s="741"/>
      <c r="BLQ451" s="741"/>
      <c r="BLR451" s="741"/>
      <c r="BLS451" s="741"/>
      <c r="BLT451" s="741"/>
      <c r="BLU451" s="741"/>
      <c r="BLV451" s="741"/>
      <c r="BLW451" s="741"/>
      <c r="BLX451" s="741"/>
      <c r="BLY451" s="741"/>
      <c r="BLZ451" s="741"/>
      <c r="BMA451" s="741"/>
      <c r="BMB451" s="741"/>
      <c r="BMC451" s="741"/>
      <c r="BMD451" s="741"/>
      <c r="BME451" s="741"/>
      <c r="BMF451" s="741"/>
      <c r="BMG451" s="741"/>
      <c r="BMH451" s="741"/>
      <c r="BMI451" s="741"/>
      <c r="BMJ451" s="741"/>
      <c r="BMK451" s="741"/>
      <c r="BML451" s="741"/>
      <c r="BMM451" s="741"/>
      <c r="BMN451" s="741"/>
      <c r="BMO451" s="741"/>
      <c r="BMP451" s="741"/>
      <c r="BMQ451" s="741"/>
      <c r="BMR451" s="741"/>
      <c r="BMS451" s="741"/>
      <c r="BMT451" s="741"/>
      <c r="BMU451" s="741"/>
      <c r="BMV451" s="741"/>
      <c r="BMW451" s="741"/>
      <c r="BMX451" s="741"/>
      <c r="BMY451" s="741"/>
      <c r="BMZ451" s="741"/>
      <c r="BNA451" s="741"/>
      <c r="BNB451" s="741"/>
      <c r="BNC451" s="741"/>
      <c r="BND451" s="741"/>
      <c r="BNE451" s="741"/>
      <c r="BNF451" s="741"/>
      <c r="BNG451" s="741"/>
      <c r="BNH451" s="741"/>
      <c r="BNI451" s="741"/>
      <c r="BNJ451" s="741"/>
      <c r="BNK451" s="741"/>
      <c r="BNL451" s="741"/>
      <c r="BNM451" s="741"/>
      <c r="BNN451" s="741"/>
      <c r="BNO451" s="741"/>
      <c r="BNP451" s="741"/>
      <c r="BNQ451" s="741"/>
      <c r="BNR451" s="741"/>
      <c r="BNS451" s="741"/>
      <c r="BNT451" s="741"/>
      <c r="BNU451" s="741"/>
      <c r="BNV451" s="741"/>
      <c r="BNW451" s="741"/>
      <c r="BNX451" s="741"/>
      <c r="BNY451" s="741"/>
      <c r="BNZ451" s="741"/>
      <c r="BOA451" s="741"/>
      <c r="BOB451" s="741"/>
      <c r="BOC451" s="741"/>
      <c r="BOD451" s="741"/>
      <c r="BOE451" s="741"/>
      <c r="BOF451" s="741"/>
      <c r="BOG451" s="741"/>
      <c r="BOH451" s="741"/>
      <c r="BOI451" s="741"/>
      <c r="BOJ451" s="741"/>
      <c r="BOK451" s="741"/>
      <c r="BOL451" s="741"/>
      <c r="BOM451" s="741"/>
      <c r="BON451" s="741"/>
      <c r="BOO451" s="741"/>
      <c r="BOP451" s="741"/>
      <c r="BOQ451" s="741"/>
      <c r="BOR451" s="741"/>
      <c r="BOS451" s="741"/>
      <c r="BOT451" s="741"/>
      <c r="BOU451" s="741"/>
      <c r="BOV451" s="741"/>
      <c r="BOW451" s="741"/>
      <c r="BOX451" s="741"/>
      <c r="BOY451" s="741"/>
      <c r="BOZ451" s="741"/>
      <c r="BPA451" s="741"/>
      <c r="BPB451" s="741"/>
      <c r="BPC451" s="741"/>
      <c r="BPD451" s="741"/>
      <c r="BPE451" s="741"/>
      <c r="BPF451" s="741"/>
      <c r="BPG451" s="741"/>
      <c r="BPH451" s="741"/>
      <c r="BPI451" s="741"/>
      <c r="BPJ451" s="741"/>
      <c r="BPK451" s="741"/>
      <c r="BPL451" s="741"/>
      <c r="BPM451" s="741"/>
      <c r="BPN451" s="741"/>
      <c r="BPO451" s="741"/>
      <c r="BPP451" s="741"/>
      <c r="BPQ451" s="741"/>
      <c r="BPR451" s="741"/>
      <c r="BPS451" s="741"/>
      <c r="BPT451" s="741"/>
      <c r="BPU451" s="741"/>
      <c r="BPV451" s="741"/>
      <c r="BPW451" s="741"/>
      <c r="BPX451" s="741"/>
      <c r="BPY451" s="741"/>
      <c r="BPZ451" s="741"/>
      <c r="BQA451" s="741"/>
      <c r="BQB451" s="741"/>
      <c r="BQC451" s="741"/>
      <c r="BQD451" s="741"/>
      <c r="BQE451" s="741"/>
      <c r="BQF451" s="741"/>
      <c r="BQG451" s="741"/>
      <c r="BQH451" s="741"/>
      <c r="BQI451" s="741"/>
      <c r="BQJ451" s="741"/>
      <c r="BQK451" s="741"/>
      <c r="BQL451" s="741"/>
      <c r="BQM451" s="741"/>
      <c r="BQN451" s="741"/>
      <c r="BQO451" s="741"/>
      <c r="BQP451" s="741"/>
      <c r="BQQ451" s="741"/>
      <c r="BQR451" s="741"/>
      <c r="BQS451" s="741"/>
      <c r="BQT451" s="741"/>
      <c r="BQU451" s="741"/>
      <c r="BQV451" s="741"/>
      <c r="BQW451" s="741"/>
      <c r="BQX451" s="741"/>
      <c r="BQY451" s="741"/>
      <c r="BQZ451" s="741"/>
      <c r="BRA451" s="741"/>
      <c r="BRB451" s="741"/>
      <c r="BRC451" s="741"/>
      <c r="BRD451" s="741"/>
      <c r="BRE451" s="741"/>
      <c r="BRF451" s="741"/>
      <c r="BRG451" s="741"/>
      <c r="BRH451" s="741"/>
      <c r="BRI451" s="741"/>
      <c r="BRJ451" s="741"/>
      <c r="BRK451" s="741"/>
      <c r="BRL451" s="741"/>
      <c r="BRM451" s="741"/>
      <c r="BRN451" s="741"/>
      <c r="BRO451" s="741"/>
      <c r="BRP451" s="741"/>
      <c r="BRQ451" s="741"/>
      <c r="BRR451" s="741"/>
      <c r="BRS451" s="741"/>
      <c r="BRT451" s="741"/>
      <c r="BRU451" s="741"/>
      <c r="BRV451" s="741"/>
      <c r="BRW451" s="741"/>
      <c r="BRX451" s="741"/>
      <c r="BRY451" s="741"/>
      <c r="BRZ451" s="741"/>
      <c r="BSA451" s="741"/>
      <c r="BSB451" s="741"/>
      <c r="BSC451" s="741"/>
      <c r="BSD451" s="741"/>
      <c r="BSE451" s="741"/>
      <c r="BSF451" s="741"/>
      <c r="BSG451" s="741"/>
      <c r="BSH451" s="741"/>
      <c r="BSI451" s="741"/>
      <c r="BSJ451" s="741"/>
      <c r="BSK451" s="741"/>
      <c r="BSL451" s="741"/>
      <c r="BSM451" s="741"/>
      <c r="BSN451" s="741"/>
      <c r="BSO451" s="741"/>
      <c r="BSP451" s="741"/>
      <c r="BSQ451" s="741"/>
      <c r="BSR451" s="741"/>
      <c r="BSS451" s="741"/>
      <c r="BST451" s="741"/>
      <c r="BSU451" s="741"/>
      <c r="BSV451" s="741"/>
      <c r="BSW451" s="741"/>
      <c r="BSX451" s="741"/>
      <c r="BSY451" s="741"/>
      <c r="BSZ451" s="741"/>
      <c r="BTA451" s="741"/>
      <c r="BTB451" s="741"/>
      <c r="BTC451" s="741"/>
      <c r="BTD451" s="741"/>
      <c r="BTE451" s="741"/>
      <c r="BTF451" s="741"/>
      <c r="BTG451" s="741"/>
      <c r="BTH451" s="741"/>
      <c r="BTI451" s="741"/>
      <c r="BTJ451" s="741"/>
      <c r="BTK451" s="741"/>
      <c r="BTL451" s="741"/>
      <c r="BTM451" s="741"/>
      <c r="BTN451" s="741"/>
      <c r="BTO451" s="741"/>
      <c r="BTP451" s="741"/>
      <c r="BTQ451" s="741"/>
      <c r="BTR451" s="741"/>
      <c r="BTS451" s="741"/>
      <c r="BTT451" s="741"/>
      <c r="BTU451" s="741"/>
      <c r="BTV451" s="741"/>
      <c r="BTW451" s="741"/>
      <c r="BTX451" s="741"/>
      <c r="BTY451" s="741"/>
      <c r="BTZ451" s="741"/>
      <c r="BUA451" s="741"/>
      <c r="BUB451" s="741"/>
      <c r="BUC451" s="741"/>
      <c r="BUD451" s="741"/>
      <c r="BUE451" s="741"/>
      <c r="BUF451" s="741"/>
      <c r="BUG451" s="741"/>
      <c r="BUH451" s="741"/>
      <c r="BUI451" s="741"/>
      <c r="BUJ451" s="741"/>
      <c r="BUK451" s="741"/>
      <c r="BUL451" s="741"/>
      <c r="BUM451" s="741"/>
      <c r="BUN451" s="741"/>
      <c r="BUO451" s="741"/>
      <c r="BUP451" s="741"/>
      <c r="BUQ451" s="741"/>
      <c r="BUR451" s="741"/>
      <c r="BUS451" s="741"/>
      <c r="BUT451" s="741"/>
      <c r="BUU451" s="741"/>
      <c r="BUV451" s="741"/>
      <c r="BUW451" s="741"/>
      <c r="BUX451" s="741"/>
      <c r="BUY451" s="741"/>
      <c r="BUZ451" s="741"/>
      <c r="BVA451" s="741"/>
      <c r="BVB451" s="741"/>
      <c r="BVC451" s="741"/>
      <c r="BVD451" s="741"/>
      <c r="BVE451" s="741"/>
      <c r="BVF451" s="741"/>
      <c r="BVG451" s="741"/>
      <c r="BVH451" s="741"/>
      <c r="BVI451" s="741"/>
      <c r="BVJ451" s="741"/>
      <c r="BVK451" s="741"/>
      <c r="BVL451" s="741"/>
      <c r="BVM451" s="741"/>
      <c r="BVN451" s="741"/>
      <c r="BVO451" s="741"/>
      <c r="BVP451" s="741"/>
      <c r="BVQ451" s="741"/>
      <c r="BVR451" s="741"/>
      <c r="BVS451" s="741"/>
      <c r="BVT451" s="741"/>
      <c r="BVU451" s="741"/>
      <c r="BVV451" s="741"/>
      <c r="BVW451" s="741"/>
      <c r="BVX451" s="741"/>
      <c r="BVY451" s="741"/>
      <c r="BVZ451" s="741"/>
      <c r="BWA451" s="741"/>
      <c r="BWB451" s="741"/>
      <c r="BWC451" s="741"/>
      <c r="BWD451" s="741"/>
      <c r="BWE451" s="741"/>
      <c r="BWF451" s="741"/>
      <c r="BWG451" s="741"/>
      <c r="BWH451" s="741"/>
      <c r="BWI451" s="741"/>
      <c r="BWJ451" s="741"/>
      <c r="BWK451" s="741"/>
      <c r="BWL451" s="741"/>
      <c r="BWM451" s="741"/>
      <c r="BWN451" s="741"/>
      <c r="BWO451" s="741"/>
      <c r="BWP451" s="741"/>
      <c r="BWQ451" s="741"/>
      <c r="BWR451" s="741"/>
      <c r="BWS451" s="741"/>
      <c r="BWT451" s="741"/>
      <c r="BWU451" s="741"/>
      <c r="BWV451" s="741"/>
      <c r="BWW451" s="741"/>
      <c r="BWX451" s="741"/>
      <c r="BWY451" s="741"/>
      <c r="BWZ451" s="741"/>
      <c r="BXA451" s="741"/>
      <c r="BXB451" s="741"/>
      <c r="BXC451" s="741"/>
      <c r="BXD451" s="741"/>
      <c r="BXE451" s="741"/>
      <c r="BXF451" s="741"/>
      <c r="BXG451" s="741"/>
      <c r="BXH451" s="741"/>
      <c r="BXI451" s="741"/>
      <c r="BXJ451" s="741"/>
      <c r="BXK451" s="741"/>
      <c r="BXL451" s="741"/>
      <c r="BXM451" s="741"/>
      <c r="BXN451" s="741"/>
      <c r="BXO451" s="741"/>
      <c r="BXP451" s="741"/>
      <c r="BXQ451" s="741"/>
      <c r="BXR451" s="741"/>
      <c r="BXS451" s="741"/>
      <c r="BXT451" s="741"/>
      <c r="BXU451" s="741"/>
      <c r="BXV451" s="741"/>
      <c r="BXW451" s="741"/>
      <c r="BXX451" s="741"/>
      <c r="BXY451" s="741"/>
      <c r="BXZ451" s="741"/>
      <c r="BYA451" s="741"/>
      <c r="BYB451" s="741"/>
      <c r="BYC451" s="741"/>
      <c r="BYD451" s="741"/>
      <c r="BYE451" s="741"/>
      <c r="BYF451" s="741"/>
      <c r="BYG451" s="741"/>
      <c r="BYH451" s="741"/>
      <c r="BYI451" s="741"/>
      <c r="BYJ451" s="741"/>
      <c r="BYK451" s="741"/>
      <c r="BYL451" s="741"/>
      <c r="BYM451" s="741"/>
      <c r="BYN451" s="741"/>
      <c r="BYO451" s="741"/>
      <c r="BYP451" s="741"/>
      <c r="BYQ451" s="741"/>
      <c r="BYR451" s="741"/>
      <c r="BYS451" s="741"/>
      <c r="BYT451" s="741"/>
      <c r="BYU451" s="741"/>
      <c r="BYV451" s="741"/>
      <c r="BYW451" s="741"/>
      <c r="BYX451" s="741"/>
      <c r="BYY451" s="741"/>
      <c r="BYZ451" s="741"/>
      <c r="BZA451" s="741"/>
      <c r="BZB451" s="741"/>
      <c r="BZC451" s="741"/>
      <c r="BZD451" s="741"/>
      <c r="BZE451" s="741"/>
      <c r="BZF451" s="741"/>
      <c r="BZG451" s="741"/>
      <c r="BZH451" s="741"/>
      <c r="BZI451" s="741"/>
      <c r="BZJ451" s="741"/>
      <c r="BZK451" s="741"/>
      <c r="BZL451" s="741"/>
      <c r="BZM451" s="741"/>
      <c r="BZN451" s="741"/>
      <c r="BZO451" s="741"/>
      <c r="BZP451" s="741"/>
      <c r="BZQ451" s="741"/>
      <c r="BZR451" s="741"/>
      <c r="BZS451" s="741"/>
      <c r="BZT451" s="741"/>
      <c r="BZU451" s="741"/>
      <c r="BZV451" s="741"/>
      <c r="BZW451" s="741"/>
      <c r="BZX451" s="741"/>
      <c r="BZY451" s="741"/>
      <c r="BZZ451" s="741"/>
      <c r="CAA451" s="741"/>
      <c r="CAB451" s="741"/>
      <c r="CAC451" s="741"/>
      <c r="CAD451" s="741"/>
      <c r="CAE451" s="741"/>
      <c r="CAF451" s="741"/>
      <c r="CAG451" s="741"/>
      <c r="CAH451" s="741"/>
      <c r="CAI451" s="741"/>
      <c r="CAJ451" s="741"/>
      <c r="CAK451" s="741"/>
      <c r="CAL451" s="741"/>
      <c r="CAM451" s="741"/>
      <c r="CAN451" s="741"/>
      <c r="CAO451" s="741"/>
      <c r="CAP451" s="741"/>
      <c r="CAQ451" s="741"/>
      <c r="CAR451" s="741"/>
      <c r="CAS451" s="741"/>
      <c r="CAT451" s="741"/>
      <c r="CAU451" s="741"/>
      <c r="CAV451" s="741"/>
      <c r="CAW451" s="741"/>
      <c r="CAX451" s="741"/>
      <c r="CAY451" s="741"/>
      <c r="CAZ451" s="741"/>
      <c r="CBA451" s="741"/>
      <c r="CBB451" s="741"/>
      <c r="CBC451" s="741"/>
      <c r="CBD451" s="741"/>
      <c r="CBE451" s="741"/>
      <c r="CBF451" s="741"/>
      <c r="CBG451" s="741"/>
      <c r="CBH451" s="741"/>
      <c r="CBI451" s="741"/>
      <c r="CBJ451" s="741"/>
      <c r="CBK451" s="741"/>
      <c r="CBL451" s="741"/>
      <c r="CBM451" s="741"/>
      <c r="CBN451" s="741"/>
      <c r="CBO451" s="741"/>
      <c r="CBP451" s="741"/>
      <c r="CBQ451" s="741"/>
      <c r="CBR451" s="741"/>
      <c r="CBS451" s="741"/>
      <c r="CBT451" s="741"/>
      <c r="CBU451" s="741"/>
      <c r="CBV451" s="741"/>
      <c r="CBW451" s="741"/>
      <c r="CBX451" s="741"/>
      <c r="CBY451" s="741"/>
      <c r="CBZ451" s="741"/>
      <c r="CCA451" s="741"/>
      <c r="CCB451" s="741"/>
      <c r="CCC451" s="741"/>
      <c r="CCD451" s="741"/>
      <c r="CCE451" s="741"/>
      <c r="CCF451" s="741"/>
      <c r="CCG451" s="741"/>
      <c r="CCH451" s="741"/>
      <c r="CCI451" s="741"/>
      <c r="CCJ451" s="741"/>
      <c r="CCK451" s="741"/>
      <c r="CCL451" s="741"/>
      <c r="CCM451" s="741"/>
      <c r="CCN451" s="741"/>
      <c r="CCO451" s="741"/>
      <c r="CCP451" s="741"/>
      <c r="CCQ451" s="741"/>
      <c r="CCR451" s="741"/>
      <c r="CCS451" s="741"/>
      <c r="CCT451" s="741"/>
      <c r="CCU451" s="741"/>
      <c r="CCV451" s="741"/>
      <c r="CCW451" s="741"/>
      <c r="CCX451" s="741"/>
      <c r="CCY451" s="741"/>
      <c r="CCZ451" s="741"/>
      <c r="CDA451" s="741"/>
      <c r="CDB451" s="741"/>
      <c r="CDC451" s="741"/>
      <c r="CDD451" s="741"/>
      <c r="CDE451" s="741"/>
      <c r="CDF451" s="741"/>
      <c r="CDG451" s="741"/>
      <c r="CDH451" s="741"/>
      <c r="CDI451" s="741"/>
      <c r="CDJ451" s="741"/>
      <c r="CDK451" s="741"/>
      <c r="CDL451" s="741"/>
      <c r="CDM451" s="741"/>
      <c r="CDN451" s="741"/>
      <c r="CDO451" s="741"/>
      <c r="CDP451" s="741"/>
      <c r="CDQ451" s="741"/>
      <c r="CDR451" s="741"/>
      <c r="CDS451" s="741"/>
      <c r="CDT451" s="741"/>
      <c r="CDU451" s="741"/>
      <c r="CDV451" s="741"/>
      <c r="CDW451" s="741"/>
      <c r="CDX451" s="741"/>
      <c r="CDY451" s="741"/>
      <c r="CDZ451" s="741"/>
      <c r="CEA451" s="741"/>
      <c r="CEB451" s="741"/>
      <c r="CEC451" s="741"/>
      <c r="CED451" s="741"/>
      <c r="CEE451" s="741"/>
      <c r="CEF451" s="741"/>
      <c r="CEG451" s="741"/>
      <c r="CEH451" s="741"/>
      <c r="CEI451" s="741"/>
      <c r="CEJ451" s="741"/>
      <c r="CEK451" s="741"/>
      <c r="CEL451" s="741"/>
      <c r="CEM451" s="741"/>
      <c r="CEN451" s="741"/>
      <c r="CEO451" s="741"/>
      <c r="CEP451" s="741"/>
      <c r="CEQ451" s="741"/>
      <c r="CER451" s="741"/>
      <c r="CES451" s="741"/>
      <c r="CET451" s="741"/>
      <c r="CEU451" s="741"/>
      <c r="CEV451" s="741"/>
      <c r="CEW451" s="741"/>
      <c r="CEX451" s="741"/>
      <c r="CEY451" s="741"/>
      <c r="CEZ451" s="741"/>
      <c r="CFA451" s="741"/>
      <c r="CFB451" s="741"/>
      <c r="CFC451" s="741"/>
      <c r="CFD451" s="741"/>
      <c r="CFE451" s="741"/>
      <c r="CFF451" s="741"/>
      <c r="CFG451" s="741"/>
      <c r="CFH451" s="741"/>
      <c r="CFI451" s="741"/>
      <c r="CFJ451" s="741"/>
      <c r="CFK451" s="741"/>
      <c r="CFL451" s="741"/>
      <c r="CFM451" s="741"/>
      <c r="CFN451" s="741"/>
      <c r="CFO451" s="741"/>
      <c r="CFP451" s="741"/>
      <c r="CFQ451" s="741"/>
      <c r="CFR451" s="741"/>
      <c r="CFS451" s="741"/>
      <c r="CFT451" s="741"/>
      <c r="CFU451" s="741"/>
      <c r="CFV451" s="741"/>
      <c r="CFW451" s="741"/>
      <c r="CFX451" s="741"/>
      <c r="CFY451" s="741"/>
      <c r="CFZ451" s="741"/>
      <c r="CGA451" s="741"/>
      <c r="CGB451" s="741"/>
      <c r="CGC451" s="741"/>
      <c r="CGD451" s="741"/>
      <c r="CGE451" s="741"/>
      <c r="CGF451" s="741"/>
      <c r="CGG451" s="741"/>
      <c r="CGH451" s="741"/>
      <c r="CGI451" s="741"/>
      <c r="CGJ451" s="741"/>
      <c r="CGK451" s="741"/>
      <c r="CGL451" s="741"/>
      <c r="CGM451" s="741"/>
      <c r="CGN451" s="741"/>
      <c r="CGO451" s="741"/>
      <c r="CGP451" s="741"/>
      <c r="CGQ451" s="741"/>
      <c r="CGR451" s="741"/>
      <c r="CGS451" s="741"/>
      <c r="CGT451" s="741"/>
      <c r="CGU451" s="741"/>
      <c r="CGV451" s="741"/>
      <c r="CGW451" s="741"/>
      <c r="CGX451" s="741"/>
      <c r="CGY451" s="741"/>
      <c r="CGZ451" s="741"/>
      <c r="CHA451" s="741"/>
      <c r="CHB451" s="741"/>
      <c r="CHC451" s="741"/>
      <c r="CHD451" s="741"/>
      <c r="CHE451" s="741"/>
      <c r="CHF451" s="741"/>
      <c r="CHG451" s="741"/>
      <c r="CHH451" s="741"/>
      <c r="CHI451" s="741"/>
      <c r="CHJ451" s="741"/>
      <c r="CHK451" s="741"/>
      <c r="CHL451" s="741"/>
      <c r="CHM451" s="741"/>
      <c r="CHN451" s="741"/>
      <c r="CHO451" s="741"/>
      <c r="CHP451" s="741"/>
      <c r="CHQ451" s="741"/>
      <c r="CHR451" s="741"/>
      <c r="CHS451" s="741"/>
      <c r="CHT451" s="741"/>
      <c r="CHU451" s="741"/>
      <c r="CHV451" s="741"/>
      <c r="CHW451" s="741"/>
      <c r="CHX451" s="741"/>
      <c r="CHY451" s="741"/>
      <c r="CHZ451" s="741"/>
      <c r="CIA451" s="741"/>
      <c r="CIB451" s="741"/>
      <c r="CIC451" s="741"/>
      <c r="CID451" s="741"/>
      <c r="CIE451" s="741"/>
      <c r="CIF451" s="741"/>
      <c r="CIG451" s="741"/>
      <c r="CIH451" s="741"/>
      <c r="CII451" s="741"/>
      <c r="CIJ451" s="741"/>
      <c r="CIK451" s="741"/>
      <c r="CIL451" s="741"/>
      <c r="CIM451" s="741"/>
      <c r="CIN451" s="741"/>
      <c r="CIO451" s="741"/>
      <c r="CIP451" s="741"/>
      <c r="CIQ451" s="741"/>
      <c r="CIR451" s="741"/>
      <c r="CIS451" s="741"/>
      <c r="CIT451" s="741"/>
      <c r="CIU451" s="741"/>
      <c r="CIV451" s="741"/>
      <c r="CIW451" s="741"/>
      <c r="CIX451" s="741"/>
      <c r="CIY451" s="741"/>
      <c r="CIZ451" s="741"/>
      <c r="CJA451" s="741"/>
      <c r="CJB451" s="741"/>
      <c r="CJC451" s="741"/>
      <c r="CJD451" s="741"/>
      <c r="CJE451" s="741"/>
      <c r="CJF451" s="741"/>
      <c r="CJG451" s="741"/>
      <c r="CJH451" s="741"/>
      <c r="CJI451" s="741"/>
      <c r="CJJ451" s="741"/>
      <c r="CJK451" s="741"/>
      <c r="CJL451" s="741"/>
      <c r="CJM451" s="741"/>
      <c r="CJN451" s="741"/>
      <c r="CJO451" s="741"/>
      <c r="CJP451" s="741"/>
      <c r="CJQ451" s="741"/>
      <c r="CJR451" s="741"/>
      <c r="CJS451" s="741"/>
      <c r="CJT451" s="741"/>
      <c r="CJU451" s="741"/>
      <c r="CJV451" s="741"/>
      <c r="CJW451" s="741"/>
      <c r="CJX451" s="741"/>
      <c r="CJY451" s="741"/>
      <c r="CJZ451" s="741"/>
      <c r="CKA451" s="741"/>
      <c r="CKB451" s="741"/>
      <c r="CKC451" s="741"/>
      <c r="CKD451" s="741"/>
      <c r="CKE451" s="741"/>
      <c r="CKF451" s="741"/>
      <c r="CKG451" s="741"/>
      <c r="CKH451" s="741"/>
      <c r="CKI451" s="741"/>
      <c r="CKJ451" s="741"/>
      <c r="CKK451" s="741"/>
      <c r="CKL451" s="741"/>
      <c r="CKM451" s="741"/>
      <c r="CKN451" s="741"/>
      <c r="CKO451" s="741"/>
      <c r="CKP451" s="741"/>
      <c r="CKQ451" s="741"/>
      <c r="CKR451" s="741"/>
      <c r="CKS451" s="741"/>
      <c r="CKT451" s="741"/>
      <c r="CKU451" s="741"/>
      <c r="CKV451" s="741"/>
      <c r="CKW451" s="741"/>
      <c r="CKX451" s="741"/>
      <c r="CKY451" s="741"/>
      <c r="CKZ451" s="741"/>
      <c r="CLA451" s="741"/>
      <c r="CLB451" s="741"/>
      <c r="CLC451" s="741"/>
      <c r="CLD451" s="741"/>
      <c r="CLE451" s="741"/>
      <c r="CLF451" s="741"/>
      <c r="CLG451" s="741"/>
      <c r="CLH451" s="741"/>
      <c r="CLI451" s="741"/>
      <c r="CLJ451" s="741"/>
      <c r="CLK451" s="741"/>
      <c r="CLL451" s="741"/>
      <c r="CLM451" s="741"/>
      <c r="CLN451" s="741"/>
      <c r="CLO451" s="741"/>
      <c r="CLP451" s="741"/>
      <c r="CLQ451" s="741"/>
      <c r="CLR451" s="741"/>
      <c r="CLS451" s="741"/>
      <c r="CLT451" s="741"/>
      <c r="CLU451" s="741"/>
      <c r="CLV451" s="741"/>
      <c r="CLW451" s="741"/>
      <c r="CLX451" s="741"/>
      <c r="CLY451" s="741"/>
      <c r="CLZ451" s="741"/>
      <c r="CMA451" s="741"/>
      <c r="CMB451" s="741"/>
      <c r="CMC451" s="741"/>
      <c r="CMD451" s="741"/>
      <c r="CME451" s="741"/>
      <c r="CMF451" s="741"/>
      <c r="CMG451" s="741"/>
      <c r="CMH451" s="741"/>
      <c r="CMI451" s="741"/>
      <c r="CMJ451" s="741"/>
      <c r="CMK451" s="741"/>
      <c r="CML451" s="741"/>
      <c r="CMM451" s="741"/>
      <c r="CMN451" s="741"/>
      <c r="CMO451" s="741"/>
      <c r="CMP451" s="741"/>
      <c r="CMQ451" s="741"/>
      <c r="CMR451" s="741"/>
      <c r="CMS451" s="741"/>
      <c r="CMT451" s="741"/>
      <c r="CMU451" s="741"/>
      <c r="CMV451" s="741"/>
      <c r="CMW451" s="741"/>
      <c r="CMX451" s="741"/>
      <c r="CMY451" s="741"/>
      <c r="CMZ451" s="741"/>
      <c r="CNA451" s="741"/>
      <c r="CNB451" s="741"/>
      <c r="CNC451" s="741"/>
      <c r="CND451" s="741"/>
      <c r="CNE451" s="741"/>
      <c r="CNF451" s="741"/>
      <c r="CNG451" s="741"/>
      <c r="CNH451" s="741"/>
      <c r="CNI451" s="741"/>
      <c r="CNJ451" s="741"/>
      <c r="CNK451" s="741"/>
      <c r="CNL451" s="741"/>
      <c r="CNM451" s="741"/>
      <c r="CNN451" s="741"/>
      <c r="CNO451" s="741"/>
      <c r="CNP451" s="741"/>
      <c r="CNQ451" s="741"/>
      <c r="CNR451" s="741"/>
      <c r="CNS451" s="741"/>
      <c r="CNT451" s="741"/>
      <c r="CNU451" s="741"/>
      <c r="CNV451" s="741"/>
      <c r="CNW451" s="741"/>
      <c r="CNX451" s="741"/>
      <c r="CNY451" s="741"/>
      <c r="CNZ451" s="741"/>
      <c r="COA451" s="741"/>
      <c r="COB451" s="741"/>
      <c r="COC451" s="741"/>
      <c r="COD451" s="741"/>
      <c r="COE451" s="741"/>
      <c r="COF451" s="741"/>
      <c r="COG451" s="741"/>
      <c r="COH451" s="741"/>
      <c r="COI451" s="741"/>
      <c r="COJ451" s="741"/>
      <c r="COK451" s="741"/>
      <c r="COL451" s="741"/>
      <c r="COM451" s="741"/>
      <c r="CON451" s="741"/>
      <c r="COO451" s="741"/>
      <c r="COP451" s="741"/>
      <c r="COQ451" s="741"/>
      <c r="COR451" s="741"/>
      <c r="COS451" s="741"/>
      <c r="COT451" s="741"/>
      <c r="COU451" s="741"/>
      <c r="COV451" s="741"/>
      <c r="COW451" s="741"/>
      <c r="COX451" s="741"/>
      <c r="COY451" s="741"/>
      <c r="COZ451" s="741"/>
      <c r="CPA451" s="741"/>
      <c r="CPB451" s="741"/>
      <c r="CPC451" s="741"/>
      <c r="CPD451" s="741"/>
      <c r="CPE451" s="741"/>
      <c r="CPF451" s="741"/>
      <c r="CPG451" s="741"/>
      <c r="CPH451" s="741"/>
      <c r="CPI451" s="741"/>
      <c r="CPJ451" s="741"/>
      <c r="CPK451" s="741"/>
      <c r="CPL451" s="741"/>
      <c r="CPM451" s="741"/>
      <c r="CPN451" s="741"/>
      <c r="CPO451" s="741"/>
      <c r="CPP451" s="741"/>
      <c r="CPQ451" s="741"/>
      <c r="CPR451" s="741"/>
      <c r="CPS451" s="741"/>
      <c r="CPT451" s="741"/>
      <c r="CPU451" s="741"/>
      <c r="CPV451" s="741"/>
      <c r="CPW451" s="741"/>
      <c r="CPX451" s="741"/>
      <c r="CPY451" s="741"/>
      <c r="CPZ451" s="741"/>
      <c r="CQA451" s="741"/>
      <c r="CQB451" s="741"/>
      <c r="CQC451" s="741"/>
      <c r="CQD451" s="741"/>
      <c r="CQE451" s="741"/>
      <c r="CQF451" s="741"/>
      <c r="CQG451" s="741"/>
      <c r="CQH451" s="741"/>
      <c r="CQI451" s="741"/>
      <c r="CQJ451" s="741"/>
      <c r="CQK451" s="741"/>
      <c r="CQL451" s="741"/>
      <c r="CQM451" s="741"/>
      <c r="CQN451" s="741"/>
      <c r="CQO451" s="741"/>
      <c r="CQP451" s="741"/>
      <c r="CQQ451" s="741"/>
      <c r="CQR451" s="741"/>
      <c r="CQS451" s="741"/>
      <c r="CQT451" s="741"/>
      <c r="CQU451" s="741"/>
      <c r="CQV451" s="741"/>
      <c r="CQW451" s="741"/>
      <c r="CQX451" s="741"/>
      <c r="CQY451" s="741"/>
      <c r="CQZ451" s="741"/>
      <c r="CRA451" s="741"/>
      <c r="CRB451" s="741"/>
      <c r="CRC451" s="741"/>
      <c r="CRD451" s="741"/>
      <c r="CRE451" s="741"/>
      <c r="CRF451" s="741"/>
      <c r="CRG451" s="741"/>
      <c r="CRH451" s="741"/>
      <c r="CRI451" s="741"/>
      <c r="CRJ451" s="741"/>
      <c r="CRK451" s="741"/>
      <c r="CRL451" s="741"/>
      <c r="CRM451" s="741"/>
      <c r="CRN451" s="741"/>
      <c r="CRO451" s="741"/>
      <c r="CRP451" s="741"/>
      <c r="CRQ451" s="741"/>
      <c r="CRR451" s="741"/>
      <c r="CRS451" s="741"/>
      <c r="CRT451" s="741"/>
      <c r="CRU451" s="741"/>
      <c r="CRV451" s="741"/>
      <c r="CRW451" s="741"/>
      <c r="CRX451" s="741"/>
      <c r="CRY451" s="741"/>
      <c r="CRZ451" s="741"/>
      <c r="CSA451" s="741"/>
      <c r="CSB451" s="741"/>
      <c r="CSC451" s="741"/>
      <c r="CSD451" s="741"/>
      <c r="CSE451" s="741"/>
      <c r="CSF451" s="741"/>
      <c r="CSG451" s="741"/>
      <c r="CSH451" s="741"/>
      <c r="CSI451" s="741"/>
      <c r="CSJ451" s="741"/>
      <c r="CSK451" s="741"/>
      <c r="CSL451" s="741"/>
      <c r="CSM451" s="741"/>
      <c r="CSN451" s="741"/>
      <c r="CSO451" s="741"/>
      <c r="CSP451" s="741"/>
      <c r="CSQ451" s="741"/>
      <c r="CSR451" s="741"/>
      <c r="CSS451" s="741"/>
      <c r="CST451" s="741"/>
      <c r="CSU451" s="741"/>
      <c r="CSV451" s="741"/>
      <c r="CSW451" s="741"/>
      <c r="CSX451" s="741"/>
      <c r="CSY451" s="741"/>
      <c r="CSZ451" s="741"/>
      <c r="CTA451" s="741"/>
      <c r="CTB451" s="741"/>
      <c r="CTC451" s="741"/>
      <c r="CTD451" s="741"/>
      <c r="CTE451" s="741"/>
      <c r="CTF451" s="741"/>
      <c r="CTG451" s="741"/>
      <c r="CTH451" s="741"/>
      <c r="CTI451" s="741"/>
      <c r="CTJ451" s="741"/>
      <c r="CTK451" s="741"/>
      <c r="CTL451" s="741"/>
      <c r="CTM451" s="741"/>
      <c r="CTN451" s="741"/>
      <c r="CTO451" s="741"/>
      <c r="CTP451" s="741"/>
      <c r="CTQ451" s="741"/>
      <c r="CTR451" s="741"/>
      <c r="CTS451" s="741"/>
      <c r="CTT451" s="741"/>
      <c r="CTU451" s="741"/>
      <c r="CTV451" s="741"/>
      <c r="CTW451" s="741"/>
      <c r="CTX451" s="741"/>
      <c r="CTY451" s="741"/>
      <c r="CTZ451" s="741"/>
      <c r="CUA451" s="741"/>
      <c r="CUB451" s="741"/>
      <c r="CUC451" s="741"/>
      <c r="CUD451" s="741"/>
      <c r="CUE451" s="741"/>
      <c r="CUF451" s="741"/>
      <c r="CUG451" s="741"/>
      <c r="CUH451" s="741"/>
      <c r="CUI451" s="741"/>
      <c r="CUJ451" s="741"/>
      <c r="CUK451" s="741"/>
      <c r="CUL451" s="741"/>
      <c r="CUM451" s="741"/>
      <c r="CUN451" s="741"/>
      <c r="CUO451" s="741"/>
      <c r="CUP451" s="741"/>
      <c r="CUQ451" s="741"/>
      <c r="CUR451" s="741"/>
      <c r="CUS451" s="741"/>
      <c r="CUT451" s="741"/>
      <c r="CUU451" s="741"/>
      <c r="CUV451" s="741"/>
      <c r="CUW451" s="741"/>
      <c r="CUX451" s="741"/>
      <c r="CUY451" s="741"/>
      <c r="CUZ451" s="741"/>
      <c r="CVA451" s="741"/>
      <c r="CVB451" s="741"/>
      <c r="CVC451" s="741"/>
      <c r="CVD451" s="741"/>
      <c r="CVE451" s="741"/>
      <c r="CVF451" s="741"/>
      <c r="CVG451" s="741"/>
      <c r="CVH451" s="741"/>
      <c r="CVI451" s="741"/>
      <c r="CVJ451" s="741"/>
      <c r="CVK451" s="741"/>
      <c r="CVL451" s="741"/>
      <c r="CVM451" s="741"/>
      <c r="CVN451" s="741"/>
      <c r="CVO451" s="741"/>
      <c r="CVP451" s="741"/>
      <c r="CVQ451" s="741"/>
      <c r="CVR451" s="741"/>
      <c r="CVS451" s="741"/>
      <c r="CVT451" s="741"/>
      <c r="CVU451" s="741"/>
      <c r="CVV451" s="741"/>
      <c r="CVW451" s="741"/>
      <c r="CVX451" s="741"/>
      <c r="CVY451" s="741"/>
      <c r="CVZ451" s="741"/>
      <c r="CWA451" s="741"/>
      <c r="CWB451" s="741"/>
      <c r="CWC451" s="741"/>
      <c r="CWD451" s="741"/>
      <c r="CWE451" s="741"/>
      <c r="CWF451" s="741"/>
      <c r="CWG451" s="741"/>
      <c r="CWH451" s="741"/>
      <c r="CWI451" s="741"/>
      <c r="CWJ451" s="741"/>
      <c r="CWK451" s="741"/>
      <c r="CWL451" s="741"/>
      <c r="CWM451" s="741"/>
      <c r="CWN451" s="741"/>
      <c r="CWO451" s="741"/>
      <c r="CWP451" s="741"/>
      <c r="CWQ451" s="741"/>
      <c r="CWR451" s="741"/>
      <c r="CWS451" s="741"/>
      <c r="CWT451" s="741"/>
      <c r="CWU451" s="741"/>
      <c r="CWV451" s="741"/>
      <c r="CWW451" s="741"/>
      <c r="CWX451" s="741"/>
      <c r="CWY451" s="741"/>
      <c r="CWZ451" s="741"/>
      <c r="CXA451" s="741"/>
      <c r="CXB451" s="741"/>
      <c r="CXC451" s="741"/>
      <c r="CXD451" s="741"/>
      <c r="CXE451" s="741"/>
      <c r="CXF451" s="741"/>
      <c r="CXG451" s="741"/>
      <c r="CXH451" s="741"/>
      <c r="CXI451" s="741"/>
      <c r="CXJ451" s="741"/>
      <c r="CXK451" s="741"/>
      <c r="CXL451" s="741"/>
      <c r="CXM451" s="741"/>
      <c r="CXN451" s="741"/>
      <c r="CXO451" s="741"/>
      <c r="CXP451" s="741"/>
      <c r="CXQ451" s="741"/>
      <c r="CXR451" s="741"/>
      <c r="CXS451" s="741"/>
      <c r="CXT451" s="741"/>
      <c r="CXU451" s="741"/>
      <c r="CXV451" s="741"/>
      <c r="CXW451" s="741"/>
      <c r="CXX451" s="741"/>
      <c r="CXY451" s="741"/>
      <c r="CXZ451" s="741"/>
      <c r="CYA451" s="741"/>
      <c r="CYB451" s="741"/>
      <c r="CYC451" s="741"/>
      <c r="CYD451" s="741"/>
      <c r="CYE451" s="741"/>
      <c r="CYF451" s="741"/>
      <c r="CYG451" s="741"/>
      <c r="CYH451" s="741"/>
      <c r="CYI451" s="741"/>
      <c r="CYJ451" s="741"/>
      <c r="CYK451" s="741"/>
      <c r="CYL451" s="741"/>
      <c r="CYM451" s="741"/>
      <c r="CYN451" s="741"/>
      <c r="CYO451" s="741"/>
      <c r="CYP451" s="741"/>
      <c r="CYQ451" s="741"/>
      <c r="CYR451" s="741"/>
      <c r="CYS451" s="741"/>
      <c r="CYT451" s="741"/>
      <c r="CYU451" s="741"/>
      <c r="CYV451" s="741"/>
      <c r="CYW451" s="741"/>
      <c r="CYX451" s="741"/>
      <c r="CYY451" s="741"/>
      <c r="CYZ451" s="741"/>
      <c r="CZA451" s="741"/>
      <c r="CZB451" s="741"/>
      <c r="CZC451" s="741"/>
      <c r="CZD451" s="741"/>
      <c r="CZE451" s="741"/>
      <c r="CZF451" s="741"/>
      <c r="CZG451" s="741"/>
      <c r="CZH451" s="741"/>
      <c r="CZI451" s="741"/>
      <c r="CZJ451" s="741"/>
      <c r="CZK451" s="741"/>
      <c r="CZL451" s="741"/>
      <c r="CZM451" s="741"/>
      <c r="CZN451" s="741"/>
      <c r="CZO451" s="741"/>
      <c r="CZP451" s="741"/>
      <c r="CZQ451" s="741"/>
      <c r="CZR451" s="741"/>
      <c r="CZS451" s="741"/>
      <c r="CZT451" s="741"/>
      <c r="CZU451" s="741"/>
      <c r="CZV451" s="741"/>
      <c r="CZW451" s="741"/>
      <c r="CZX451" s="741"/>
      <c r="CZY451" s="741"/>
      <c r="CZZ451" s="741"/>
      <c r="DAA451" s="741"/>
      <c r="DAB451" s="741"/>
      <c r="DAC451" s="741"/>
      <c r="DAD451" s="741"/>
      <c r="DAE451" s="741"/>
      <c r="DAF451" s="741"/>
      <c r="DAG451" s="741"/>
      <c r="DAH451" s="741"/>
      <c r="DAI451" s="741"/>
      <c r="DAJ451" s="741"/>
      <c r="DAK451" s="741"/>
      <c r="DAL451" s="741"/>
      <c r="DAM451" s="741"/>
      <c r="DAN451" s="741"/>
      <c r="DAO451" s="741"/>
      <c r="DAP451" s="741"/>
      <c r="DAQ451" s="741"/>
      <c r="DAR451" s="741"/>
      <c r="DAS451" s="741"/>
      <c r="DAT451" s="741"/>
      <c r="DAU451" s="741"/>
      <c r="DAV451" s="741"/>
      <c r="DAW451" s="741"/>
      <c r="DAX451" s="741"/>
      <c r="DAY451" s="741"/>
      <c r="DAZ451" s="741"/>
      <c r="DBA451" s="741"/>
      <c r="DBB451" s="741"/>
      <c r="DBC451" s="741"/>
      <c r="DBD451" s="741"/>
      <c r="DBE451" s="741"/>
      <c r="DBF451" s="741"/>
      <c r="DBG451" s="741"/>
      <c r="DBH451" s="741"/>
      <c r="DBI451" s="741"/>
      <c r="DBJ451" s="741"/>
      <c r="DBK451" s="741"/>
      <c r="DBL451" s="741"/>
      <c r="DBM451" s="741"/>
      <c r="DBN451" s="741"/>
      <c r="DBO451" s="741"/>
      <c r="DBP451" s="741"/>
      <c r="DBQ451" s="741"/>
      <c r="DBR451" s="741"/>
      <c r="DBS451" s="741"/>
      <c r="DBT451" s="741"/>
      <c r="DBU451" s="741"/>
      <c r="DBV451" s="741"/>
      <c r="DBW451" s="741"/>
      <c r="DBX451" s="741"/>
      <c r="DBY451" s="741"/>
      <c r="DBZ451" s="741"/>
      <c r="DCA451" s="741"/>
      <c r="DCB451" s="741"/>
      <c r="DCC451" s="741"/>
      <c r="DCD451" s="741"/>
      <c r="DCE451" s="741"/>
      <c r="DCF451" s="741"/>
      <c r="DCG451" s="741"/>
      <c r="DCH451" s="741"/>
      <c r="DCI451" s="741"/>
      <c r="DCJ451" s="741"/>
      <c r="DCK451" s="741"/>
      <c r="DCL451" s="741"/>
      <c r="DCM451" s="741"/>
      <c r="DCN451" s="741"/>
      <c r="DCO451" s="741"/>
      <c r="DCP451" s="741"/>
      <c r="DCQ451" s="741"/>
      <c r="DCR451" s="741"/>
      <c r="DCS451" s="741"/>
      <c r="DCT451" s="741"/>
      <c r="DCU451" s="741"/>
      <c r="DCV451" s="741"/>
      <c r="DCW451" s="741"/>
      <c r="DCX451" s="741"/>
      <c r="DCY451" s="741"/>
      <c r="DCZ451" s="741"/>
      <c r="DDA451" s="741"/>
      <c r="DDB451" s="741"/>
      <c r="DDC451" s="741"/>
      <c r="DDD451" s="741"/>
      <c r="DDE451" s="741"/>
      <c r="DDF451" s="741"/>
      <c r="DDG451" s="741"/>
      <c r="DDH451" s="741"/>
      <c r="DDI451" s="741"/>
      <c r="DDJ451" s="741"/>
      <c r="DDK451" s="741"/>
      <c r="DDL451" s="741"/>
      <c r="DDM451" s="741"/>
      <c r="DDN451" s="741"/>
      <c r="DDO451" s="741"/>
      <c r="DDP451" s="741"/>
      <c r="DDQ451" s="741"/>
      <c r="DDR451" s="741"/>
      <c r="DDS451" s="741"/>
      <c r="DDT451" s="741"/>
      <c r="DDU451" s="741"/>
      <c r="DDV451" s="741"/>
      <c r="DDW451" s="741"/>
      <c r="DDX451" s="741"/>
      <c r="DDY451" s="741"/>
      <c r="DDZ451" s="741"/>
      <c r="DEA451" s="741"/>
      <c r="DEB451" s="741"/>
      <c r="DEC451" s="741"/>
      <c r="DED451" s="741"/>
      <c r="DEE451" s="741"/>
      <c r="DEF451" s="741"/>
      <c r="DEG451" s="741"/>
      <c r="DEH451" s="741"/>
      <c r="DEI451" s="741"/>
      <c r="DEJ451" s="741"/>
      <c r="DEK451" s="741"/>
      <c r="DEL451" s="741"/>
      <c r="DEM451" s="741"/>
      <c r="DEN451" s="741"/>
      <c r="DEO451" s="741"/>
      <c r="DEP451" s="741"/>
      <c r="DEQ451" s="741"/>
      <c r="DER451" s="741"/>
      <c r="DES451" s="741"/>
      <c r="DET451" s="741"/>
      <c r="DEU451" s="741"/>
      <c r="DEV451" s="741"/>
      <c r="DEW451" s="741"/>
      <c r="DEX451" s="741"/>
      <c r="DEY451" s="741"/>
      <c r="DEZ451" s="741"/>
      <c r="DFA451" s="741"/>
      <c r="DFB451" s="741"/>
      <c r="DFC451" s="741"/>
      <c r="DFD451" s="741"/>
      <c r="DFE451" s="741"/>
      <c r="DFF451" s="741"/>
      <c r="DFG451" s="741"/>
      <c r="DFH451" s="741"/>
      <c r="DFI451" s="741"/>
      <c r="DFJ451" s="741"/>
      <c r="DFK451" s="741"/>
      <c r="DFL451" s="741"/>
      <c r="DFM451" s="741"/>
      <c r="DFN451" s="741"/>
      <c r="DFO451" s="741"/>
      <c r="DFP451" s="741"/>
      <c r="DFQ451" s="741"/>
      <c r="DFR451" s="741"/>
      <c r="DFS451" s="741"/>
      <c r="DFT451" s="741"/>
      <c r="DFU451" s="741"/>
      <c r="DFV451" s="741"/>
      <c r="DFW451" s="741"/>
      <c r="DFX451" s="741"/>
      <c r="DFY451" s="741"/>
      <c r="DFZ451" s="741"/>
      <c r="DGA451" s="741"/>
      <c r="DGB451" s="741"/>
      <c r="DGC451" s="741"/>
      <c r="DGD451" s="741"/>
      <c r="DGE451" s="741"/>
      <c r="DGF451" s="741"/>
      <c r="DGG451" s="741"/>
      <c r="DGH451" s="741"/>
      <c r="DGI451" s="741"/>
      <c r="DGJ451" s="741"/>
      <c r="DGK451" s="741"/>
      <c r="DGL451" s="741"/>
      <c r="DGM451" s="741"/>
      <c r="DGN451" s="741"/>
      <c r="DGO451" s="741"/>
      <c r="DGP451" s="741"/>
      <c r="DGQ451" s="741"/>
      <c r="DGR451" s="741"/>
      <c r="DGS451" s="741"/>
      <c r="DGT451" s="741"/>
      <c r="DGU451" s="741"/>
      <c r="DGV451" s="741"/>
      <c r="DGW451" s="741"/>
      <c r="DGX451" s="741"/>
      <c r="DGY451" s="741"/>
      <c r="DGZ451" s="741"/>
      <c r="DHA451" s="741"/>
      <c r="DHB451" s="741"/>
      <c r="DHC451" s="741"/>
      <c r="DHD451" s="741"/>
      <c r="DHE451" s="741"/>
      <c r="DHF451" s="741"/>
      <c r="DHG451" s="741"/>
      <c r="DHH451" s="741"/>
      <c r="DHI451" s="741"/>
      <c r="DHJ451" s="741"/>
      <c r="DHK451" s="741"/>
      <c r="DHL451" s="741"/>
      <c r="DHM451" s="741"/>
      <c r="DHN451" s="741"/>
      <c r="DHO451" s="741"/>
      <c r="DHP451" s="741"/>
      <c r="DHQ451" s="741"/>
      <c r="DHR451" s="741"/>
      <c r="DHS451" s="741"/>
      <c r="DHT451" s="741"/>
      <c r="DHU451" s="741"/>
      <c r="DHV451" s="741"/>
      <c r="DHW451" s="741"/>
      <c r="DHX451" s="741"/>
      <c r="DHY451" s="741"/>
      <c r="DHZ451" s="741"/>
      <c r="DIA451" s="741"/>
      <c r="DIB451" s="741"/>
      <c r="DIC451" s="741"/>
      <c r="DID451" s="741"/>
      <c r="DIE451" s="741"/>
      <c r="DIF451" s="741"/>
      <c r="DIG451" s="741"/>
      <c r="DIH451" s="741"/>
      <c r="DII451" s="741"/>
      <c r="DIJ451" s="741"/>
      <c r="DIK451" s="741"/>
      <c r="DIL451" s="741"/>
      <c r="DIM451" s="741"/>
      <c r="DIN451" s="741"/>
      <c r="DIO451" s="741"/>
      <c r="DIP451" s="741"/>
      <c r="DIQ451" s="741"/>
      <c r="DIR451" s="741"/>
      <c r="DIS451" s="741"/>
      <c r="DIT451" s="741"/>
      <c r="DIU451" s="741"/>
      <c r="DIV451" s="741"/>
      <c r="DIW451" s="741"/>
      <c r="DIX451" s="741"/>
      <c r="DIY451" s="741"/>
      <c r="DIZ451" s="741"/>
      <c r="DJA451" s="741"/>
      <c r="DJB451" s="741"/>
      <c r="DJC451" s="741"/>
      <c r="DJD451" s="741"/>
      <c r="DJE451" s="741"/>
      <c r="DJF451" s="741"/>
      <c r="DJG451" s="741"/>
      <c r="DJH451" s="741"/>
      <c r="DJI451" s="741"/>
      <c r="DJJ451" s="741"/>
      <c r="DJK451" s="741"/>
      <c r="DJL451" s="741"/>
      <c r="DJM451" s="741"/>
      <c r="DJN451" s="741"/>
      <c r="DJO451" s="741"/>
      <c r="DJP451" s="741"/>
      <c r="DJQ451" s="741"/>
      <c r="DJR451" s="741"/>
      <c r="DJS451" s="741"/>
      <c r="DJT451" s="741"/>
      <c r="DJU451" s="741"/>
      <c r="DJV451" s="741"/>
      <c r="DJW451" s="741"/>
      <c r="DJX451" s="741"/>
      <c r="DJY451" s="741"/>
      <c r="DJZ451" s="741"/>
      <c r="DKA451" s="741"/>
      <c r="DKB451" s="741"/>
      <c r="DKC451" s="741"/>
      <c r="DKD451" s="741"/>
      <c r="DKE451" s="741"/>
      <c r="DKF451" s="741"/>
      <c r="DKG451" s="741"/>
      <c r="DKH451" s="741"/>
      <c r="DKI451" s="741"/>
      <c r="DKJ451" s="741"/>
      <c r="DKK451" s="741"/>
      <c r="DKL451" s="741"/>
      <c r="DKM451" s="741"/>
      <c r="DKN451" s="741"/>
      <c r="DKO451" s="741"/>
      <c r="DKP451" s="741"/>
      <c r="DKQ451" s="741"/>
      <c r="DKR451" s="741"/>
      <c r="DKS451" s="741"/>
      <c r="DKT451" s="741"/>
      <c r="DKU451" s="741"/>
      <c r="DKV451" s="741"/>
      <c r="DKW451" s="741"/>
      <c r="DKX451" s="741"/>
      <c r="DKY451" s="741"/>
      <c r="DKZ451" s="741"/>
      <c r="DLA451" s="741"/>
      <c r="DLB451" s="741"/>
      <c r="DLC451" s="741"/>
      <c r="DLD451" s="741"/>
      <c r="DLE451" s="741"/>
      <c r="DLF451" s="741"/>
      <c r="DLG451" s="741"/>
      <c r="DLH451" s="741"/>
      <c r="DLI451" s="741"/>
      <c r="DLJ451" s="741"/>
      <c r="DLK451" s="741"/>
      <c r="DLL451" s="741"/>
      <c r="DLM451" s="741"/>
      <c r="DLN451" s="741"/>
      <c r="DLO451" s="741"/>
      <c r="DLP451" s="741"/>
      <c r="DLQ451" s="741"/>
      <c r="DLR451" s="741"/>
      <c r="DLS451" s="741"/>
      <c r="DLT451" s="741"/>
      <c r="DLU451" s="741"/>
      <c r="DLV451" s="741"/>
      <c r="DLW451" s="741"/>
      <c r="DLX451" s="741"/>
      <c r="DLY451" s="741"/>
      <c r="DLZ451" s="741"/>
      <c r="DMA451" s="741"/>
      <c r="DMB451" s="741"/>
      <c r="DMC451" s="741"/>
      <c r="DMD451" s="741"/>
      <c r="DME451" s="741"/>
      <c r="DMF451" s="741"/>
      <c r="DMG451" s="741"/>
      <c r="DMH451" s="741"/>
      <c r="DMI451" s="741"/>
      <c r="DMJ451" s="741"/>
      <c r="DMK451" s="741"/>
      <c r="DML451" s="741"/>
      <c r="DMM451" s="741"/>
      <c r="DMN451" s="741"/>
      <c r="DMO451" s="741"/>
      <c r="DMP451" s="741"/>
      <c r="DMQ451" s="741"/>
      <c r="DMR451" s="741"/>
      <c r="DMS451" s="741"/>
      <c r="DMT451" s="741"/>
      <c r="DMU451" s="741"/>
      <c r="DMV451" s="741"/>
      <c r="DMW451" s="741"/>
      <c r="DMX451" s="741"/>
      <c r="DMY451" s="741"/>
      <c r="DMZ451" s="741"/>
      <c r="DNA451" s="741"/>
      <c r="DNB451" s="741"/>
      <c r="DNC451" s="741"/>
      <c r="DND451" s="741"/>
      <c r="DNE451" s="741"/>
      <c r="DNF451" s="741"/>
      <c r="DNG451" s="741"/>
      <c r="DNH451" s="741"/>
      <c r="DNI451" s="741"/>
      <c r="DNJ451" s="741"/>
      <c r="DNK451" s="741"/>
      <c r="DNL451" s="741"/>
      <c r="DNM451" s="741"/>
      <c r="DNN451" s="741"/>
      <c r="DNO451" s="741"/>
      <c r="DNP451" s="741"/>
      <c r="DNQ451" s="741"/>
      <c r="DNR451" s="741"/>
      <c r="DNS451" s="741"/>
      <c r="DNT451" s="741"/>
      <c r="DNU451" s="741"/>
      <c r="DNV451" s="741"/>
      <c r="DNW451" s="741"/>
      <c r="DNX451" s="741"/>
      <c r="DNY451" s="741"/>
      <c r="DNZ451" s="741"/>
      <c r="DOA451" s="741"/>
      <c r="DOB451" s="741"/>
      <c r="DOC451" s="741"/>
      <c r="DOD451" s="741"/>
      <c r="DOE451" s="741"/>
      <c r="DOF451" s="741"/>
      <c r="DOG451" s="741"/>
      <c r="DOH451" s="741"/>
      <c r="DOI451" s="741"/>
      <c r="DOJ451" s="741"/>
      <c r="DOK451" s="741"/>
      <c r="DOL451" s="741"/>
      <c r="DOM451" s="741"/>
      <c r="DON451" s="741"/>
      <c r="DOO451" s="741"/>
      <c r="DOP451" s="741"/>
      <c r="DOQ451" s="741"/>
      <c r="DOR451" s="741"/>
      <c r="DOS451" s="741"/>
      <c r="DOT451" s="741"/>
      <c r="DOU451" s="741"/>
      <c r="DOV451" s="741"/>
      <c r="DOW451" s="741"/>
      <c r="DOX451" s="741"/>
      <c r="DOY451" s="741"/>
      <c r="DOZ451" s="741"/>
      <c r="DPA451" s="741"/>
      <c r="DPB451" s="741"/>
      <c r="DPC451" s="741"/>
      <c r="DPD451" s="741"/>
      <c r="DPE451" s="741"/>
      <c r="DPF451" s="741"/>
      <c r="DPG451" s="741"/>
      <c r="DPH451" s="741"/>
      <c r="DPI451" s="741"/>
      <c r="DPJ451" s="741"/>
      <c r="DPK451" s="741"/>
      <c r="DPL451" s="741"/>
      <c r="DPM451" s="741"/>
      <c r="DPN451" s="741"/>
      <c r="DPO451" s="741"/>
      <c r="DPP451" s="741"/>
      <c r="DPQ451" s="741"/>
      <c r="DPR451" s="741"/>
      <c r="DPS451" s="741"/>
      <c r="DPT451" s="741"/>
      <c r="DPU451" s="741"/>
      <c r="DPV451" s="741"/>
      <c r="DPW451" s="741"/>
      <c r="DPX451" s="741"/>
      <c r="DPY451" s="741"/>
      <c r="DPZ451" s="741"/>
      <c r="DQA451" s="741"/>
      <c r="DQB451" s="741"/>
      <c r="DQC451" s="741"/>
      <c r="DQD451" s="741"/>
      <c r="DQE451" s="741"/>
      <c r="DQF451" s="741"/>
      <c r="DQG451" s="741"/>
      <c r="DQH451" s="741"/>
      <c r="DQI451" s="741"/>
      <c r="DQJ451" s="741"/>
      <c r="DQK451" s="741"/>
      <c r="DQL451" s="741"/>
      <c r="DQM451" s="741"/>
      <c r="DQN451" s="741"/>
      <c r="DQO451" s="741"/>
      <c r="DQP451" s="741"/>
      <c r="DQQ451" s="741"/>
      <c r="DQR451" s="741"/>
      <c r="DQS451" s="741"/>
      <c r="DQT451" s="741"/>
      <c r="DQU451" s="741"/>
      <c r="DQV451" s="741"/>
      <c r="DQW451" s="741"/>
      <c r="DQX451" s="741"/>
      <c r="DQY451" s="741"/>
      <c r="DQZ451" s="741"/>
      <c r="DRA451" s="741"/>
      <c r="DRB451" s="741"/>
      <c r="DRC451" s="741"/>
      <c r="DRD451" s="741"/>
      <c r="DRE451" s="741"/>
      <c r="DRF451" s="741"/>
      <c r="DRG451" s="741"/>
      <c r="DRH451" s="741"/>
      <c r="DRI451" s="741"/>
      <c r="DRJ451" s="741"/>
      <c r="DRK451" s="741"/>
      <c r="DRL451" s="741"/>
      <c r="DRM451" s="741"/>
      <c r="DRN451" s="741"/>
      <c r="DRO451" s="741"/>
      <c r="DRP451" s="741"/>
      <c r="DRQ451" s="741"/>
      <c r="DRR451" s="741"/>
      <c r="DRS451" s="741"/>
      <c r="DRT451" s="741"/>
      <c r="DRU451" s="741"/>
      <c r="DRV451" s="741"/>
      <c r="DRW451" s="741"/>
      <c r="DRX451" s="741"/>
      <c r="DRY451" s="741"/>
      <c r="DRZ451" s="741"/>
      <c r="DSA451" s="741"/>
      <c r="DSB451" s="741"/>
      <c r="DSC451" s="741"/>
      <c r="DSD451" s="741"/>
      <c r="DSE451" s="741"/>
      <c r="DSF451" s="741"/>
      <c r="DSG451" s="741"/>
      <c r="DSH451" s="741"/>
      <c r="DSI451" s="741"/>
      <c r="DSJ451" s="741"/>
      <c r="DSK451" s="741"/>
      <c r="DSL451" s="741"/>
      <c r="DSM451" s="741"/>
      <c r="DSN451" s="741"/>
      <c r="DSO451" s="741"/>
      <c r="DSP451" s="741"/>
      <c r="DSQ451" s="741"/>
      <c r="DSR451" s="741"/>
      <c r="DSS451" s="741"/>
      <c r="DST451" s="741"/>
      <c r="DSU451" s="741"/>
      <c r="DSV451" s="741"/>
      <c r="DSW451" s="741"/>
      <c r="DSX451" s="741"/>
      <c r="DSY451" s="741"/>
      <c r="DSZ451" s="741"/>
      <c r="DTA451" s="741"/>
      <c r="DTB451" s="741"/>
      <c r="DTC451" s="741"/>
      <c r="DTD451" s="741"/>
      <c r="DTE451" s="741"/>
      <c r="DTF451" s="741"/>
      <c r="DTG451" s="741"/>
      <c r="DTH451" s="741"/>
      <c r="DTI451" s="741"/>
      <c r="DTJ451" s="741"/>
      <c r="DTK451" s="741"/>
      <c r="DTL451" s="741"/>
      <c r="DTM451" s="741"/>
      <c r="DTN451" s="741"/>
      <c r="DTO451" s="741"/>
      <c r="DTP451" s="741"/>
      <c r="DTQ451" s="741"/>
      <c r="DTR451" s="741"/>
      <c r="DTS451" s="741"/>
      <c r="DTT451" s="741"/>
      <c r="DTU451" s="741"/>
      <c r="DTV451" s="741"/>
      <c r="DTW451" s="741"/>
      <c r="DTX451" s="741"/>
      <c r="DTY451" s="741"/>
      <c r="DTZ451" s="741"/>
      <c r="DUA451" s="741"/>
      <c r="DUB451" s="741"/>
      <c r="DUC451" s="741"/>
      <c r="DUD451" s="741"/>
      <c r="DUE451" s="741"/>
      <c r="DUF451" s="741"/>
      <c r="DUG451" s="741"/>
      <c r="DUH451" s="741"/>
      <c r="DUI451" s="741"/>
      <c r="DUJ451" s="741"/>
      <c r="DUK451" s="741"/>
      <c r="DUL451" s="741"/>
      <c r="DUM451" s="741"/>
      <c r="DUN451" s="741"/>
      <c r="DUO451" s="741"/>
      <c r="DUP451" s="741"/>
      <c r="DUQ451" s="741"/>
      <c r="DUR451" s="741"/>
      <c r="DUS451" s="741"/>
      <c r="DUT451" s="741"/>
      <c r="DUU451" s="741"/>
      <c r="DUV451" s="741"/>
      <c r="DUW451" s="741"/>
      <c r="DUX451" s="741"/>
      <c r="DUY451" s="741"/>
      <c r="DUZ451" s="741"/>
      <c r="DVA451" s="741"/>
      <c r="DVB451" s="741"/>
      <c r="DVC451" s="741"/>
      <c r="DVD451" s="741"/>
      <c r="DVE451" s="741"/>
      <c r="DVF451" s="741"/>
      <c r="DVG451" s="741"/>
      <c r="DVH451" s="741"/>
      <c r="DVI451" s="741"/>
      <c r="DVJ451" s="741"/>
      <c r="DVK451" s="741"/>
      <c r="DVL451" s="741"/>
      <c r="DVM451" s="741"/>
      <c r="DVN451" s="741"/>
      <c r="DVO451" s="741"/>
      <c r="DVP451" s="741"/>
      <c r="DVQ451" s="741"/>
      <c r="DVR451" s="741"/>
      <c r="DVS451" s="741"/>
      <c r="DVT451" s="741"/>
      <c r="DVU451" s="741"/>
      <c r="DVV451" s="741"/>
      <c r="DVW451" s="741"/>
      <c r="DVX451" s="741"/>
      <c r="DVY451" s="741"/>
      <c r="DVZ451" s="741"/>
      <c r="DWA451" s="741"/>
      <c r="DWB451" s="741"/>
      <c r="DWC451" s="741"/>
      <c r="DWD451" s="741"/>
      <c r="DWE451" s="741"/>
      <c r="DWF451" s="741"/>
      <c r="DWG451" s="741"/>
      <c r="DWH451" s="741"/>
      <c r="DWI451" s="741"/>
      <c r="DWJ451" s="741"/>
      <c r="DWK451" s="741"/>
      <c r="DWL451" s="741"/>
      <c r="DWM451" s="741"/>
      <c r="DWN451" s="741"/>
      <c r="DWO451" s="741"/>
      <c r="DWP451" s="741"/>
      <c r="DWQ451" s="741"/>
      <c r="DWR451" s="741"/>
      <c r="DWS451" s="741"/>
      <c r="DWT451" s="741"/>
      <c r="DWU451" s="741"/>
      <c r="DWV451" s="741"/>
      <c r="DWW451" s="741"/>
      <c r="DWX451" s="741"/>
      <c r="DWY451" s="741"/>
      <c r="DWZ451" s="741"/>
      <c r="DXA451" s="741"/>
      <c r="DXB451" s="741"/>
      <c r="DXC451" s="741"/>
      <c r="DXD451" s="741"/>
      <c r="DXE451" s="741"/>
      <c r="DXF451" s="741"/>
      <c r="DXG451" s="741"/>
      <c r="DXH451" s="741"/>
      <c r="DXI451" s="741"/>
      <c r="DXJ451" s="741"/>
      <c r="DXK451" s="741"/>
      <c r="DXL451" s="741"/>
      <c r="DXM451" s="741"/>
      <c r="DXN451" s="741"/>
      <c r="DXO451" s="741"/>
      <c r="DXP451" s="741"/>
      <c r="DXQ451" s="741"/>
      <c r="DXR451" s="741"/>
      <c r="DXS451" s="741"/>
      <c r="DXT451" s="741"/>
      <c r="DXU451" s="741"/>
      <c r="DXV451" s="741"/>
      <c r="DXW451" s="741"/>
      <c r="DXX451" s="741"/>
      <c r="DXY451" s="741"/>
      <c r="DXZ451" s="741"/>
      <c r="DYA451" s="741"/>
      <c r="DYB451" s="741"/>
      <c r="DYC451" s="741"/>
      <c r="DYD451" s="741"/>
      <c r="DYE451" s="741"/>
      <c r="DYF451" s="741"/>
      <c r="DYG451" s="741"/>
      <c r="DYH451" s="741"/>
      <c r="DYI451" s="741"/>
      <c r="DYJ451" s="741"/>
      <c r="DYK451" s="741"/>
      <c r="DYL451" s="741"/>
      <c r="DYM451" s="741"/>
      <c r="DYN451" s="741"/>
      <c r="DYO451" s="741"/>
      <c r="DYP451" s="741"/>
      <c r="DYQ451" s="741"/>
      <c r="DYR451" s="741"/>
      <c r="DYS451" s="741"/>
      <c r="DYT451" s="741"/>
      <c r="DYU451" s="741"/>
      <c r="DYV451" s="741"/>
      <c r="DYW451" s="741"/>
      <c r="DYX451" s="741"/>
      <c r="DYY451" s="741"/>
      <c r="DYZ451" s="741"/>
      <c r="DZA451" s="741"/>
      <c r="DZB451" s="741"/>
      <c r="DZC451" s="741"/>
      <c r="DZD451" s="741"/>
      <c r="DZE451" s="741"/>
      <c r="DZF451" s="741"/>
      <c r="DZG451" s="741"/>
      <c r="DZH451" s="741"/>
      <c r="DZI451" s="741"/>
      <c r="DZJ451" s="741"/>
      <c r="DZK451" s="741"/>
      <c r="DZL451" s="741"/>
      <c r="DZM451" s="741"/>
      <c r="DZN451" s="741"/>
      <c r="DZO451" s="741"/>
      <c r="DZP451" s="741"/>
      <c r="DZQ451" s="741"/>
      <c r="DZR451" s="741"/>
      <c r="DZS451" s="741"/>
      <c r="DZT451" s="741"/>
      <c r="DZU451" s="741"/>
      <c r="DZV451" s="741"/>
      <c r="DZW451" s="741"/>
      <c r="DZX451" s="741"/>
      <c r="DZY451" s="741"/>
      <c r="DZZ451" s="741"/>
      <c r="EAA451" s="741"/>
      <c r="EAB451" s="741"/>
      <c r="EAC451" s="741"/>
      <c r="EAD451" s="741"/>
      <c r="EAE451" s="741"/>
      <c r="EAF451" s="741"/>
      <c r="EAG451" s="741"/>
      <c r="EAH451" s="741"/>
      <c r="EAI451" s="741"/>
      <c r="EAJ451" s="741"/>
      <c r="EAK451" s="741"/>
      <c r="EAL451" s="741"/>
      <c r="EAM451" s="741"/>
      <c r="EAN451" s="741"/>
      <c r="EAO451" s="741"/>
      <c r="EAP451" s="741"/>
      <c r="EAQ451" s="741"/>
      <c r="EAR451" s="741"/>
      <c r="EAS451" s="741"/>
      <c r="EAT451" s="741"/>
      <c r="EAU451" s="741"/>
      <c r="EAV451" s="741"/>
      <c r="EAW451" s="741"/>
      <c r="EAX451" s="741"/>
      <c r="EAY451" s="741"/>
      <c r="EAZ451" s="741"/>
      <c r="EBA451" s="741"/>
      <c r="EBB451" s="741"/>
      <c r="EBC451" s="741"/>
      <c r="EBD451" s="741"/>
      <c r="EBE451" s="741"/>
      <c r="EBF451" s="741"/>
      <c r="EBG451" s="741"/>
      <c r="EBH451" s="741"/>
      <c r="EBI451" s="741"/>
      <c r="EBJ451" s="741"/>
      <c r="EBK451" s="741"/>
      <c r="EBL451" s="741"/>
      <c r="EBM451" s="741"/>
      <c r="EBN451" s="741"/>
      <c r="EBO451" s="741"/>
      <c r="EBP451" s="741"/>
      <c r="EBQ451" s="741"/>
      <c r="EBR451" s="741"/>
      <c r="EBS451" s="741"/>
      <c r="EBT451" s="741"/>
      <c r="EBU451" s="741"/>
      <c r="EBV451" s="741"/>
      <c r="EBW451" s="741"/>
      <c r="EBX451" s="741"/>
      <c r="EBY451" s="741"/>
      <c r="EBZ451" s="741"/>
      <c r="ECA451" s="741"/>
      <c r="ECB451" s="741"/>
      <c r="ECC451" s="741"/>
      <c r="ECD451" s="741"/>
      <c r="ECE451" s="741"/>
      <c r="ECF451" s="741"/>
      <c r="ECG451" s="741"/>
      <c r="ECH451" s="741"/>
      <c r="ECI451" s="741"/>
      <c r="ECJ451" s="741"/>
      <c r="ECK451" s="741"/>
      <c r="ECL451" s="741"/>
      <c r="ECM451" s="741"/>
      <c r="ECN451" s="741"/>
      <c r="ECO451" s="741"/>
      <c r="ECP451" s="741"/>
      <c r="ECQ451" s="741"/>
      <c r="ECR451" s="741"/>
      <c r="ECS451" s="741"/>
      <c r="ECT451" s="741"/>
      <c r="ECU451" s="741"/>
      <c r="ECV451" s="741"/>
      <c r="ECW451" s="741"/>
      <c r="ECX451" s="741"/>
      <c r="ECY451" s="741"/>
      <c r="ECZ451" s="741"/>
      <c r="EDA451" s="741"/>
      <c r="EDB451" s="741"/>
      <c r="EDC451" s="741"/>
      <c r="EDD451" s="741"/>
      <c r="EDE451" s="741"/>
      <c r="EDF451" s="741"/>
      <c r="EDG451" s="741"/>
      <c r="EDH451" s="741"/>
      <c r="EDI451" s="741"/>
      <c r="EDJ451" s="741"/>
      <c r="EDK451" s="741"/>
      <c r="EDL451" s="741"/>
      <c r="EDM451" s="741"/>
      <c r="EDN451" s="741"/>
      <c r="EDO451" s="741"/>
      <c r="EDP451" s="741"/>
      <c r="EDQ451" s="741"/>
      <c r="EDR451" s="741"/>
      <c r="EDS451" s="741"/>
      <c r="EDT451" s="741"/>
      <c r="EDU451" s="741"/>
      <c r="EDV451" s="741"/>
      <c r="EDW451" s="741"/>
      <c r="EDX451" s="741"/>
      <c r="EDY451" s="741"/>
      <c r="EDZ451" s="741"/>
      <c r="EEA451" s="741"/>
      <c r="EEB451" s="741"/>
      <c r="EEC451" s="741"/>
      <c r="EED451" s="741"/>
      <c r="EEE451" s="741"/>
      <c r="EEF451" s="741"/>
      <c r="EEG451" s="741"/>
      <c r="EEH451" s="741"/>
      <c r="EEI451" s="741"/>
      <c r="EEJ451" s="741"/>
      <c r="EEK451" s="741"/>
      <c r="EEL451" s="741"/>
      <c r="EEM451" s="741"/>
      <c r="EEN451" s="741"/>
      <c r="EEO451" s="741"/>
      <c r="EEP451" s="741"/>
      <c r="EEQ451" s="741"/>
      <c r="EER451" s="741"/>
      <c r="EES451" s="741"/>
      <c r="EET451" s="741"/>
      <c r="EEU451" s="741"/>
      <c r="EEV451" s="741"/>
      <c r="EEW451" s="741"/>
      <c r="EEX451" s="741"/>
      <c r="EEY451" s="741"/>
      <c r="EEZ451" s="741"/>
      <c r="EFA451" s="741"/>
      <c r="EFB451" s="741"/>
      <c r="EFC451" s="741"/>
      <c r="EFD451" s="741"/>
      <c r="EFE451" s="741"/>
      <c r="EFF451" s="741"/>
      <c r="EFG451" s="741"/>
      <c r="EFH451" s="741"/>
      <c r="EFI451" s="741"/>
      <c r="EFJ451" s="741"/>
      <c r="EFK451" s="741"/>
      <c r="EFL451" s="741"/>
      <c r="EFM451" s="741"/>
      <c r="EFN451" s="741"/>
      <c r="EFO451" s="741"/>
      <c r="EFP451" s="741"/>
      <c r="EFQ451" s="741"/>
      <c r="EFR451" s="741"/>
      <c r="EFS451" s="741"/>
      <c r="EFT451" s="741"/>
      <c r="EFU451" s="741"/>
      <c r="EFV451" s="741"/>
      <c r="EFW451" s="741"/>
      <c r="EFX451" s="741"/>
      <c r="EFY451" s="741"/>
      <c r="EFZ451" s="741"/>
      <c r="EGA451" s="741"/>
      <c r="EGB451" s="741"/>
      <c r="EGC451" s="741"/>
      <c r="EGD451" s="741"/>
      <c r="EGE451" s="741"/>
      <c r="EGF451" s="741"/>
      <c r="EGG451" s="741"/>
      <c r="EGH451" s="741"/>
      <c r="EGI451" s="741"/>
      <c r="EGJ451" s="741"/>
      <c r="EGK451" s="741"/>
      <c r="EGL451" s="741"/>
      <c r="EGM451" s="741"/>
      <c r="EGN451" s="741"/>
      <c r="EGO451" s="741"/>
      <c r="EGP451" s="741"/>
      <c r="EGQ451" s="741"/>
      <c r="EGR451" s="741"/>
      <c r="EGS451" s="741"/>
      <c r="EGT451" s="741"/>
      <c r="EGU451" s="741"/>
      <c r="EGV451" s="741"/>
      <c r="EGW451" s="741"/>
      <c r="EGX451" s="741"/>
      <c r="EGY451" s="741"/>
      <c r="EGZ451" s="741"/>
      <c r="EHA451" s="741"/>
      <c r="EHB451" s="741"/>
      <c r="EHC451" s="741"/>
      <c r="EHD451" s="741"/>
      <c r="EHE451" s="741"/>
      <c r="EHF451" s="741"/>
      <c r="EHG451" s="741"/>
      <c r="EHH451" s="741"/>
      <c r="EHI451" s="741"/>
      <c r="EHJ451" s="741"/>
      <c r="EHK451" s="741"/>
      <c r="EHL451" s="741"/>
      <c r="EHM451" s="741"/>
      <c r="EHN451" s="741"/>
      <c r="EHO451" s="741"/>
      <c r="EHP451" s="741"/>
      <c r="EHQ451" s="741"/>
      <c r="EHR451" s="741"/>
      <c r="EHS451" s="741"/>
      <c r="EHT451" s="741"/>
      <c r="EHU451" s="741"/>
      <c r="EHV451" s="741"/>
      <c r="EHW451" s="741"/>
      <c r="EHX451" s="741"/>
      <c r="EHY451" s="741"/>
      <c r="EHZ451" s="741"/>
      <c r="EIA451" s="741"/>
      <c r="EIB451" s="741"/>
      <c r="EIC451" s="741"/>
      <c r="EID451" s="741"/>
      <c r="EIE451" s="741"/>
      <c r="EIF451" s="741"/>
      <c r="EIG451" s="741"/>
      <c r="EIH451" s="741"/>
      <c r="EII451" s="741"/>
      <c r="EIJ451" s="741"/>
      <c r="EIK451" s="741"/>
      <c r="EIL451" s="741"/>
      <c r="EIM451" s="741"/>
      <c r="EIN451" s="741"/>
      <c r="EIO451" s="741"/>
      <c r="EIP451" s="741"/>
      <c r="EIQ451" s="741"/>
      <c r="EIR451" s="741"/>
      <c r="EIS451" s="741"/>
      <c r="EIT451" s="741"/>
      <c r="EIU451" s="741"/>
      <c r="EIV451" s="741"/>
      <c r="EIW451" s="741"/>
      <c r="EIX451" s="741"/>
      <c r="EIY451" s="741"/>
      <c r="EIZ451" s="741"/>
      <c r="EJA451" s="741"/>
      <c r="EJB451" s="741"/>
      <c r="EJC451" s="741"/>
      <c r="EJD451" s="741"/>
      <c r="EJE451" s="741"/>
      <c r="EJF451" s="741"/>
      <c r="EJG451" s="741"/>
      <c r="EJH451" s="741"/>
      <c r="EJI451" s="741"/>
      <c r="EJJ451" s="741"/>
      <c r="EJK451" s="741"/>
      <c r="EJL451" s="741"/>
      <c r="EJM451" s="741"/>
      <c r="EJN451" s="741"/>
      <c r="EJO451" s="741"/>
      <c r="EJP451" s="741"/>
      <c r="EJQ451" s="741"/>
      <c r="EJR451" s="741"/>
      <c r="EJS451" s="741"/>
      <c r="EJT451" s="741"/>
      <c r="EJU451" s="741"/>
      <c r="EJV451" s="741"/>
      <c r="EJW451" s="741"/>
      <c r="EJX451" s="741"/>
      <c r="EJY451" s="741"/>
      <c r="EJZ451" s="741"/>
      <c r="EKA451" s="741"/>
      <c r="EKB451" s="741"/>
      <c r="EKC451" s="741"/>
      <c r="EKD451" s="741"/>
      <c r="EKE451" s="741"/>
      <c r="EKF451" s="741"/>
      <c r="EKG451" s="741"/>
      <c r="EKH451" s="741"/>
      <c r="EKI451" s="741"/>
      <c r="EKJ451" s="741"/>
      <c r="EKK451" s="741"/>
      <c r="EKL451" s="741"/>
      <c r="EKM451" s="741"/>
      <c r="EKN451" s="741"/>
      <c r="EKO451" s="741"/>
      <c r="EKP451" s="741"/>
      <c r="EKQ451" s="741"/>
      <c r="EKR451" s="741"/>
      <c r="EKS451" s="741"/>
      <c r="EKT451" s="741"/>
      <c r="EKU451" s="741"/>
      <c r="EKV451" s="741"/>
      <c r="EKW451" s="741"/>
      <c r="EKX451" s="741"/>
      <c r="EKY451" s="741"/>
      <c r="EKZ451" s="741"/>
      <c r="ELA451" s="741"/>
      <c r="ELB451" s="741"/>
      <c r="ELC451" s="741"/>
      <c r="ELD451" s="741"/>
      <c r="ELE451" s="741"/>
      <c r="ELF451" s="741"/>
      <c r="ELG451" s="741"/>
      <c r="ELH451" s="741"/>
      <c r="ELI451" s="741"/>
      <c r="ELJ451" s="741"/>
      <c r="ELK451" s="741"/>
      <c r="ELL451" s="741"/>
      <c r="ELM451" s="741"/>
      <c r="ELN451" s="741"/>
      <c r="ELO451" s="741"/>
      <c r="ELP451" s="741"/>
      <c r="ELQ451" s="741"/>
      <c r="ELR451" s="741"/>
      <c r="ELS451" s="741"/>
      <c r="ELT451" s="741"/>
      <c r="ELU451" s="741"/>
      <c r="ELV451" s="741"/>
      <c r="ELW451" s="741"/>
      <c r="ELX451" s="741"/>
      <c r="ELY451" s="741"/>
      <c r="ELZ451" s="741"/>
      <c r="EMA451" s="741"/>
      <c r="EMB451" s="741"/>
      <c r="EMC451" s="741"/>
      <c r="EMD451" s="741"/>
      <c r="EME451" s="741"/>
      <c r="EMF451" s="741"/>
      <c r="EMG451" s="741"/>
      <c r="EMH451" s="741"/>
      <c r="EMI451" s="741"/>
      <c r="EMJ451" s="741"/>
      <c r="EMK451" s="741"/>
      <c r="EML451" s="741"/>
      <c r="EMM451" s="741"/>
      <c r="EMN451" s="741"/>
      <c r="EMO451" s="741"/>
      <c r="EMP451" s="741"/>
      <c r="EMQ451" s="741"/>
      <c r="EMR451" s="741"/>
      <c r="EMS451" s="741"/>
      <c r="EMT451" s="741"/>
      <c r="EMU451" s="741"/>
      <c r="EMV451" s="741"/>
      <c r="EMW451" s="741"/>
      <c r="EMX451" s="741"/>
      <c r="EMY451" s="741"/>
      <c r="EMZ451" s="741"/>
      <c r="ENA451" s="741"/>
      <c r="ENB451" s="741"/>
      <c r="ENC451" s="741"/>
      <c r="END451" s="741"/>
      <c r="ENE451" s="741"/>
      <c r="ENF451" s="741"/>
      <c r="ENG451" s="741"/>
      <c r="ENH451" s="741"/>
      <c r="ENI451" s="741"/>
      <c r="ENJ451" s="741"/>
      <c r="ENK451" s="741"/>
      <c r="ENL451" s="741"/>
      <c r="ENM451" s="741"/>
      <c r="ENN451" s="741"/>
      <c r="ENO451" s="741"/>
      <c r="ENP451" s="741"/>
      <c r="ENQ451" s="741"/>
      <c r="ENR451" s="741"/>
      <c r="ENS451" s="741"/>
      <c r="ENT451" s="741"/>
      <c r="ENU451" s="741"/>
      <c r="ENV451" s="741"/>
      <c r="ENW451" s="741"/>
      <c r="ENX451" s="741"/>
      <c r="ENY451" s="741"/>
      <c r="ENZ451" s="741"/>
      <c r="EOA451" s="741"/>
      <c r="EOB451" s="741"/>
      <c r="EOC451" s="741"/>
      <c r="EOD451" s="741"/>
      <c r="EOE451" s="741"/>
      <c r="EOF451" s="741"/>
      <c r="EOG451" s="741"/>
      <c r="EOH451" s="741"/>
      <c r="EOI451" s="741"/>
      <c r="EOJ451" s="741"/>
      <c r="EOK451" s="741"/>
      <c r="EOL451" s="741"/>
      <c r="EOM451" s="741"/>
      <c r="EON451" s="741"/>
      <c r="EOO451" s="741"/>
      <c r="EOP451" s="741"/>
      <c r="EOQ451" s="741"/>
      <c r="EOR451" s="741"/>
      <c r="EOS451" s="741"/>
      <c r="EOT451" s="741"/>
      <c r="EOU451" s="741"/>
      <c r="EOV451" s="741"/>
      <c r="EOW451" s="741"/>
      <c r="EOX451" s="741"/>
      <c r="EOY451" s="741"/>
      <c r="EOZ451" s="741"/>
      <c r="EPA451" s="741"/>
      <c r="EPB451" s="741"/>
      <c r="EPC451" s="741"/>
      <c r="EPD451" s="741"/>
      <c r="EPE451" s="741"/>
      <c r="EPF451" s="741"/>
      <c r="EPG451" s="741"/>
      <c r="EPH451" s="741"/>
      <c r="EPI451" s="741"/>
      <c r="EPJ451" s="741"/>
      <c r="EPK451" s="741"/>
      <c r="EPL451" s="741"/>
      <c r="EPM451" s="741"/>
      <c r="EPN451" s="741"/>
      <c r="EPO451" s="741"/>
      <c r="EPP451" s="741"/>
      <c r="EPQ451" s="741"/>
      <c r="EPR451" s="741"/>
      <c r="EPS451" s="741"/>
      <c r="EPT451" s="741"/>
      <c r="EPU451" s="741"/>
      <c r="EPV451" s="741"/>
      <c r="EPW451" s="741"/>
      <c r="EPX451" s="741"/>
      <c r="EPY451" s="741"/>
      <c r="EPZ451" s="741"/>
      <c r="EQA451" s="741"/>
      <c r="EQB451" s="741"/>
      <c r="EQC451" s="741"/>
      <c r="EQD451" s="741"/>
      <c r="EQE451" s="741"/>
      <c r="EQF451" s="741"/>
      <c r="EQG451" s="741"/>
      <c r="EQH451" s="741"/>
      <c r="EQI451" s="741"/>
      <c r="EQJ451" s="741"/>
      <c r="EQK451" s="741"/>
      <c r="EQL451" s="741"/>
      <c r="EQM451" s="741"/>
      <c r="EQN451" s="741"/>
      <c r="EQO451" s="741"/>
      <c r="EQP451" s="741"/>
      <c r="EQQ451" s="741"/>
      <c r="EQR451" s="741"/>
      <c r="EQS451" s="741"/>
      <c r="EQT451" s="741"/>
      <c r="EQU451" s="741"/>
      <c r="EQV451" s="741"/>
      <c r="EQW451" s="741"/>
      <c r="EQX451" s="741"/>
      <c r="EQY451" s="741"/>
      <c r="EQZ451" s="741"/>
      <c r="ERA451" s="741"/>
      <c r="ERB451" s="741"/>
      <c r="ERC451" s="741"/>
      <c r="ERD451" s="741"/>
      <c r="ERE451" s="741"/>
      <c r="ERF451" s="741"/>
      <c r="ERG451" s="741"/>
      <c r="ERH451" s="741"/>
      <c r="ERI451" s="741"/>
      <c r="ERJ451" s="741"/>
      <c r="ERK451" s="741"/>
      <c r="ERL451" s="741"/>
      <c r="ERM451" s="741"/>
      <c r="ERN451" s="741"/>
      <c r="ERO451" s="741"/>
      <c r="ERP451" s="741"/>
      <c r="ERQ451" s="741"/>
      <c r="ERR451" s="741"/>
      <c r="ERS451" s="741"/>
      <c r="ERT451" s="741"/>
      <c r="ERU451" s="741"/>
      <c r="ERV451" s="741"/>
      <c r="ERW451" s="741"/>
      <c r="ERX451" s="741"/>
      <c r="ERY451" s="741"/>
      <c r="ERZ451" s="741"/>
      <c r="ESA451" s="741"/>
      <c r="ESB451" s="741"/>
      <c r="ESC451" s="741"/>
      <c r="ESD451" s="741"/>
      <c r="ESE451" s="741"/>
      <c r="ESF451" s="741"/>
      <c r="ESG451" s="741"/>
      <c r="ESH451" s="741"/>
      <c r="ESI451" s="741"/>
      <c r="ESJ451" s="741"/>
      <c r="ESK451" s="741"/>
      <c r="ESL451" s="741"/>
      <c r="ESM451" s="741"/>
      <c r="ESN451" s="741"/>
      <c r="ESO451" s="741"/>
      <c r="ESP451" s="741"/>
      <c r="ESQ451" s="741"/>
      <c r="ESR451" s="741"/>
      <c r="ESS451" s="741"/>
      <c r="EST451" s="741"/>
      <c r="ESU451" s="741"/>
      <c r="ESV451" s="741"/>
      <c r="ESW451" s="741"/>
      <c r="ESX451" s="741"/>
      <c r="ESY451" s="741"/>
      <c r="ESZ451" s="741"/>
      <c r="ETA451" s="741"/>
      <c r="ETB451" s="741"/>
      <c r="ETC451" s="741"/>
      <c r="ETD451" s="741"/>
      <c r="ETE451" s="741"/>
      <c r="ETF451" s="741"/>
      <c r="ETG451" s="741"/>
      <c r="ETH451" s="741"/>
      <c r="ETI451" s="741"/>
      <c r="ETJ451" s="741"/>
      <c r="ETK451" s="741"/>
      <c r="ETL451" s="741"/>
      <c r="ETM451" s="741"/>
      <c r="ETN451" s="741"/>
      <c r="ETO451" s="741"/>
      <c r="ETP451" s="741"/>
      <c r="ETQ451" s="741"/>
      <c r="ETR451" s="741"/>
      <c r="ETS451" s="741"/>
      <c r="ETT451" s="741"/>
      <c r="ETU451" s="741"/>
      <c r="ETV451" s="741"/>
      <c r="ETW451" s="741"/>
      <c r="ETX451" s="741"/>
      <c r="ETY451" s="741"/>
      <c r="ETZ451" s="741"/>
      <c r="EUA451" s="741"/>
      <c r="EUB451" s="741"/>
      <c r="EUC451" s="741"/>
      <c r="EUD451" s="741"/>
      <c r="EUE451" s="741"/>
      <c r="EUF451" s="741"/>
      <c r="EUG451" s="741"/>
      <c r="EUH451" s="741"/>
      <c r="EUI451" s="741"/>
      <c r="EUJ451" s="741"/>
      <c r="EUK451" s="741"/>
      <c r="EUL451" s="741"/>
      <c r="EUM451" s="741"/>
      <c r="EUN451" s="741"/>
      <c r="EUO451" s="741"/>
      <c r="EUP451" s="741"/>
      <c r="EUQ451" s="741"/>
      <c r="EUR451" s="741"/>
      <c r="EUS451" s="741"/>
      <c r="EUT451" s="741"/>
      <c r="EUU451" s="741"/>
      <c r="EUV451" s="741"/>
      <c r="EUW451" s="741"/>
      <c r="EUX451" s="741"/>
      <c r="EUY451" s="741"/>
      <c r="EUZ451" s="741"/>
      <c r="EVA451" s="741"/>
      <c r="EVB451" s="741"/>
      <c r="EVC451" s="741"/>
      <c r="EVD451" s="741"/>
      <c r="EVE451" s="741"/>
      <c r="EVF451" s="741"/>
      <c r="EVG451" s="741"/>
      <c r="EVH451" s="741"/>
      <c r="EVI451" s="741"/>
      <c r="EVJ451" s="741"/>
      <c r="EVK451" s="741"/>
      <c r="EVL451" s="741"/>
      <c r="EVM451" s="741"/>
      <c r="EVN451" s="741"/>
      <c r="EVO451" s="741"/>
      <c r="EVP451" s="741"/>
      <c r="EVQ451" s="741"/>
      <c r="EVR451" s="741"/>
      <c r="EVS451" s="741"/>
      <c r="EVT451" s="741"/>
      <c r="EVU451" s="741"/>
      <c r="EVV451" s="741"/>
      <c r="EVW451" s="741"/>
      <c r="EVX451" s="741"/>
      <c r="EVY451" s="741"/>
      <c r="EVZ451" s="741"/>
      <c r="EWA451" s="741"/>
      <c r="EWB451" s="741"/>
      <c r="EWC451" s="741"/>
      <c r="EWD451" s="741"/>
      <c r="EWE451" s="741"/>
      <c r="EWF451" s="741"/>
      <c r="EWG451" s="741"/>
      <c r="EWH451" s="741"/>
      <c r="EWI451" s="741"/>
      <c r="EWJ451" s="741"/>
      <c r="EWK451" s="741"/>
      <c r="EWL451" s="741"/>
      <c r="EWM451" s="741"/>
      <c r="EWN451" s="741"/>
      <c r="EWO451" s="741"/>
      <c r="EWP451" s="741"/>
      <c r="EWQ451" s="741"/>
      <c r="EWR451" s="741"/>
      <c r="EWS451" s="741"/>
      <c r="EWT451" s="741"/>
      <c r="EWU451" s="741"/>
      <c r="EWV451" s="741"/>
      <c r="EWW451" s="741"/>
      <c r="EWX451" s="741"/>
      <c r="EWY451" s="741"/>
      <c r="EWZ451" s="741"/>
      <c r="EXA451" s="741"/>
      <c r="EXB451" s="741"/>
      <c r="EXC451" s="741"/>
      <c r="EXD451" s="741"/>
      <c r="EXE451" s="741"/>
      <c r="EXF451" s="741"/>
      <c r="EXG451" s="741"/>
      <c r="EXH451" s="741"/>
      <c r="EXI451" s="741"/>
      <c r="EXJ451" s="741"/>
      <c r="EXK451" s="741"/>
      <c r="EXL451" s="741"/>
      <c r="EXM451" s="741"/>
      <c r="EXN451" s="741"/>
      <c r="EXO451" s="741"/>
      <c r="EXP451" s="741"/>
      <c r="EXQ451" s="741"/>
      <c r="EXR451" s="741"/>
      <c r="EXS451" s="741"/>
      <c r="EXT451" s="741"/>
      <c r="EXU451" s="741"/>
      <c r="EXV451" s="741"/>
      <c r="EXW451" s="741"/>
      <c r="EXX451" s="741"/>
      <c r="EXY451" s="741"/>
      <c r="EXZ451" s="741"/>
      <c r="EYA451" s="741"/>
      <c r="EYB451" s="741"/>
      <c r="EYC451" s="741"/>
      <c r="EYD451" s="741"/>
      <c r="EYE451" s="741"/>
      <c r="EYF451" s="741"/>
      <c r="EYG451" s="741"/>
      <c r="EYH451" s="741"/>
      <c r="EYI451" s="741"/>
      <c r="EYJ451" s="741"/>
      <c r="EYK451" s="741"/>
      <c r="EYL451" s="741"/>
      <c r="EYM451" s="741"/>
      <c r="EYN451" s="741"/>
      <c r="EYO451" s="741"/>
      <c r="EYP451" s="741"/>
      <c r="EYQ451" s="741"/>
      <c r="EYR451" s="741"/>
      <c r="EYS451" s="741"/>
      <c r="EYT451" s="741"/>
      <c r="EYU451" s="741"/>
      <c r="EYV451" s="741"/>
      <c r="EYW451" s="741"/>
      <c r="EYX451" s="741"/>
      <c r="EYY451" s="741"/>
      <c r="EYZ451" s="741"/>
      <c r="EZA451" s="741"/>
      <c r="EZB451" s="741"/>
      <c r="EZC451" s="741"/>
      <c r="EZD451" s="741"/>
      <c r="EZE451" s="741"/>
      <c r="EZF451" s="741"/>
      <c r="EZG451" s="741"/>
      <c r="EZH451" s="741"/>
      <c r="EZI451" s="741"/>
      <c r="EZJ451" s="741"/>
      <c r="EZK451" s="741"/>
      <c r="EZL451" s="741"/>
      <c r="EZM451" s="741"/>
      <c r="EZN451" s="741"/>
      <c r="EZO451" s="741"/>
      <c r="EZP451" s="741"/>
      <c r="EZQ451" s="741"/>
      <c r="EZR451" s="741"/>
      <c r="EZS451" s="741"/>
      <c r="EZT451" s="741"/>
      <c r="EZU451" s="741"/>
      <c r="EZV451" s="741"/>
      <c r="EZW451" s="741"/>
      <c r="EZX451" s="741"/>
      <c r="EZY451" s="741"/>
      <c r="EZZ451" s="741"/>
      <c r="FAA451" s="741"/>
      <c r="FAB451" s="741"/>
      <c r="FAC451" s="741"/>
      <c r="FAD451" s="741"/>
      <c r="FAE451" s="741"/>
      <c r="FAF451" s="741"/>
      <c r="FAG451" s="741"/>
      <c r="FAH451" s="741"/>
      <c r="FAI451" s="741"/>
      <c r="FAJ451" s="741"/>
      <c r="FAK451" s="741"/>
      <c r="FAL451" s="741"/>
      <c r="FAM451" s="741"/>
      <c r="FAN451" s="741"/>
      <c r="FAO451" s="741"/>
      <c r="FAP451" s="741"/>
      <c r="FAQ451" s="741"/>
      <c r="FAR451" s="741"/>
      <c r="FAS451" s="741"/>
      <c r="FAT451" s="741"/>
      <c r="FAU451" s="741"/>
      <c r="FAV451" s="741"/>
      <c r="FAW451" s="741"/>
      <c r="FAX451" s="741"/>
      <c r="FAY451" s="741"/>
      <c r="FAZ451" s="741"/>
      <c r="FBA451" s="741"/>
      <c r="FBB451" s="741"/>
      <c r="FBC451" s="741"/>
      <c r="FBD451" s="741"/>
      <c r="FBE451" s="741"/>
      <c r="FBF451" s="741"/>
      <c r="FBG451" s="741"/>
      <c r="FBH451" s="741"/>
      <c r="FBI451" s="741"/>
      <c r="FBJ451" s="741"/>
      <c r="FBK451" s="741"/>
      <c r="FBL451" s="741"/>
      <c r="FBM451" s="741"/>
      <c r="FBN451" s="741"/>
      <c r="FBO451" s="741"/>
      <c r="FBP451" s="741"/>
      <c r="FBQ451" s="741"/>
      <c r="FBR451" s="741"/>
      <c r="FBS451" s="741"/>
      <c r="FBT451" s="741"/>
      <c r="FBU451" s="741"/>
      <c r="FBV451" s="741"/>
      <c r="FBW451" s="741"/>
      <c r="FBX451" s="741"/>
      <c r="FBY451" s="741"/>
      <c r="FBZ451" s="741"/>
      <c r="FCA451" s="741"/>
      <c r="FCB451" s="741"/>
      <c r="FCC451" s="741"/>
      <c r="FCD451" s="741"/>
      <c r="FCE451" s="741"/>
      <c r="FCF451" s="741"/>
      <c r="FCG451" s="741"/>
      <c r="FCH451" s="741"/>
      <c r="FCI451" s="741"/>
      <c r="FCJ451" s="741"/>
      <c r="FCK451" s="741"/>
      <c r="FCL451" s="741"/>
      <c r="FCM451" s="741"/>
      <c r="FCN451" s="741"/>
      <c r="FCO451" s="741"/>
      <c r="FCP451" s="741"/>
      <c r="FCQ451" s="741"/>
      <c r="FCR451" s="741"/>
      <c r="FCS451" s="741"/>
      <c r="FCT451" s="741"/>
      <c r="FCU451" s="741"/>
      <c r="FCV451" s="741"/>
      <c r="FCW451" s="741"/>
      <c r="FCX451" s="741"/>
      <c r="FCY451" s="741"/>
      <c r="FCZ451" s="741"/>
      <c r="FDA451" s="741"/>
      <c r="FDB451" s="741"/>
      <c r="FDC451" s="741"/>
      <c r="FDD451" s="741"/>
      <c r="FDE451" s="741"/>
      <c r="FDF451" s="741"/>
      <c r="FDG451" s="741"/>
      <c r="FDH451" s="741"/>
      <c r="FDI451" s="741"/>
      <c r="FDJ451" s="741"/>
      <c r="FDK451" s="741"/>
      <c r="FDL451" s="741"/>
      <c r="FDM451" s="741"/>
      <c r="FDN451" s="741"/>
      <c r="FDO451" s="741"/>
      <c r="FDP451" s="741"/>
      <c r="FDQ451" s="741"/>
      <c r="FDR451" s="741"/>
      <c r="FDS451" s="741"/>
      <c r="FDT451" s="741"/>
      <c r="FDU451" s="741"/>
      <c r="FDV451" s="741"/>
      <c r="FDW451" s="741"/>
      <c r="FDX451" s="741"/>
      <c r="FDY451" s="741"/>
      <c r="FDZ451" s="741"/>
      <c r="FEA451" s="741"/>
      <c r="FEB451" s="741"/>
      <c r="FEC451" s="741"/>
      <c r="FED451" s="741"/>
      <c r="FEE451" s="741"/>
      <c r="FEF451" s="741"/>
      <c r="FEG451" s="741"/>
      <c r="FEH451" s="741"/>
      <c r="FEI451" s="741"/>
      <c r="FEJ451" s="741"/>
      <c r="FEK451" s="741"/>
      <c r="FEL451" s="741"/>
      <c r="FEM451" s="741"/>
      <c r="FEN451" s="741"/>
      <c r="FEO451" s="741"/>
      <c r="FEP451" s="741"/>
      <c r="FEQ451" s="741"/>
      <c r="FER451" s="741"/>
      <c r="FES451" s="741"/>
      <c r="FET451" s="741"/>
      <c r="FEU451" s="741"/>
      <c r="FEV451" s="741"/>
      <c r="FEW451" s="741"/>
      <c r="FEX451" s="741"/>
      <c r="FEY451" s="741"/>
      <c r="FEZ451" s="741"/>
      <c r="FFA451" s="741"/>
      <c r="FFB451" s="741"/>
      <c r="FFC451" s="741"/>
      <c r="FFD451" s="741"/>
      <c r="FFE451" s="741"/>
      <c r="FFF451" s="741"/>
      <c r="FFG451" s="741"/>
      <c r="FFH451" s="741"/>
      <c r="FFI451" s="741"/>
      <c r="FFJ451" s="741"/>
      <c r="FFK451" s="741"/>
      <c r="FFL451" s="741"/>
      <c r="FFM451" s="741"/>
      <c r="FFN451" s="741"/>
      <c r="FFO451" s="741"/>
      <c r="FFP451" s="741"/>
      <c r="FFQ451" s="741"/>
      <c r="FFR451" s="741"/>
      <c r="FFS451" s="741"/>
      <c r="FFT451" s="741"/>
      <c r="FFU451" s="741"/>
      <c r="FFV451" s="741"/>
      <c r="FFW451" s="741"/>
      <c r="FFX451" s="741"/>
      <c r="FFY451" s="741"/>
      <c r="FFZ451" s="741"/>
      <c r="FGA451" s="741"/>
      <c r="FGB451" s="741"/>
      <c r="FGC451" s="741"/>
      <c r="FGD451" s="741"/>
      <c r="FGE451" s="741"/>
      <c r="FGF451" s="741"/>
      <c r="FGG451" s="741"/>
      <c r="FGH451" s="741"/>
      <c r="FGI451" s="741"/>
      <c r="FGJ451" s="741"/>
      <c r="FGK451" s="741"/>
      <c r="FGL451" s="741"/>
      <c r="FGM451" s="741"/>
      <c r="FGN451" s="741"/>
      <c r="FGO451" s="741"/>
      <c r="FGP451" s="741"/>
      <c r="FGQ451" s="741"/>
      <c r="FGR451" s="741"/>
      <c r="FGS451" s="741"/>
      <c r="FGT451" s="741"/>
      <c r="FGU451" s="741"/>
      <c r="FGV451" s="741"/>
      <c r="FGW451" s="741"/>
      <c r="FGX451" s="741"/>
      <c r="FGY451" s="741"/>
      <c r="FGZ451" s="741"/>
      <c r="FHA451" s="741"/>
      <c r="FHB451" s="741"/>
      <c r="FHC451" s="741"/>
      <c r="FHD451" s="741"/>
      <c r="FHE451" s="741"/>
      <c r="FHF451" s="741"/>
      <c r="FHG451" s="741"/>
      <c r="FHH451" s="741"/>
      <c r="FHI451" s="741"/>
      <c r="FHJ451" s="741"/>
      <c r="FHK451" s="741"/>
      <c r="FHL451" s="741"/>
      <c r="FHM451" s="741"/>
      <c r="FHN451" s="741"/>
      <c r="FHO451" s="741"/>
      <c r="FHP451" s="741"/>
      <c r="FHQ451" s="741"/>
      <c r="FHR451" s="741"/>
      <c r="FHS451" s="741"/>
      <c r="FHT451" s="741"/>
      <c r="FHU451" s="741"/>
      <c r="FHV451" s="741"/>
      <c r="FHW451" s="741"/>
      <c r="FHX451" s="741"/>
      <c r="FHY451" s="741"/>
      <c r="FHZ451" s="741"/>
      <c r="FIA451" s="741"/>
      <c r="FIB451" s="741"/>
      <c r="FIC451" s="741"/>
      <c r="FID451" s="741"/>
      <c r="FIE451" s="741"/>
      <c r="FIF451" s="741"/>
      <c r="FIG451" s="741"/>
      <c r="FIH451" s="741"/>
      <c r="FII451" s="741"/>
      <c r="FIJ451" s="741"/>
      <c r="FIK451" s="741"/>
      <c r="FIL451" s="741"/>
      <c r="FIM451" s="741"/>
      <c r="FIN451" s="741"/>
      <c r="FIO451" s="741"/>
      <c r="FIP451" s="741"/>
      <c r="FIQ451" s="741"/>
      <c r="FIR451" s="741"/>
      <c r="FIS451" s="741"/>
      <c r="FIT451" s="741"/>
      <c r="FIU451" s="741"/>
      <c r="FIV451" s="741"/>
      <c r="FIW451" s="741"/>
      <c r="FIX451" s="741"/>
      <c r="FIY451" s="741"/>
      <c r="FIZ451" s="741"/>
      <c r="FJA451" s="741"/>
      <c r="FJB451" s="741"/>
      <c r="FJC451" s="741"/>
      <c r="FJD451" s="741"/>
      <c r="FJE451" s="741"/>
      <c r="FJF451" s="741"/>
      <c r="FJG451" s="741"/>
      <c r="FJH451" s="741"/>
      <c r="FJI451" s="741"/>
      <c r="FJJ451" s="741"/>
      <c r="FJK451" s="741"/>
      <c r="FJL451" s="741"/>
      <c r="FJM451" s="741"/>
      <c r="FJN451" s="741"/>
      <c r="FJO451" s="741"/>
      <c r="FJP451" s="741"/>
      <c r="FJQ451" s="741"/>
      <c r="FJR451" s="741"/>
      <c r="FJS451" s="741"/>
      <c r="FJT451" s="741"/>
      <c r="FJU451" s="741"/>
      <c r="FJV451" s="741"/>
      <c r="FJW451" s="741"/>
      <c r="FJX451" s="741"/>
      <c r="FJY451" s="741"/>
      <c r="FJZ451" s="741"/>
      <c r="FKA451" s="741"/>
      <c r="FKB451" s="741"/>
      <c r="FKC451" s="741"/>
      <c r="FKD451" s="741"/>
      <c r="FKE451" s="741"/>
      <c r="FKF451" s="741"/>
      <c r="FKG451" s="741"/>
      <c r="FKH451" s="741"/>
      <c r="FKI451" s="741"/>
      <c r="FKJ451" s="741"/>
      <c r="FKK451" s="741"/>
      <c r="FKL451" s="741"/>
      <c r="FKM451" s="741"/>
      <c r="FKN451" s="741"/>
      <c r="FKO451" s="741"/>
      <c r="FKP451" s="741"/>
      <c r="FKQ451" s="741"/>
      <c r="FKR451" s="741"/>
      <c r="FKS451" s="741"/>
      <c r="FKT451" s="741"/>
      <c r="FKU451" s="741"/>
      <c r="FKV451" s="741"/>
      <c r="FKW451" s="741"/>
      <c r="FKX451" s="741"/>
      <c r="FKY451" s="741"/>
      <c r="FKZ451" s="741"/>
      <c r="FLA451" s="741"/>
      <c r="FLB451" s="741"/>
      <c r="FLC451" s="741"/>
      <c r="FLD451" s="741"/>
      <c r="FLE451" s="741"/>
      <c r="FLF451" s="741"/>
      <c r="FLG451" s="741"/>
      <c r="FLH451" s="741"/>
      <c r="FLI451" s="741"/>
      <c r="FLJ451" s="741"/>
      <c r="FLK451" s="741"/>
      <c r="FLL451" s="741"/>
      <c r="FLM451" s="741"/>
      <c r="FLN451" s="741"/>
      <c r="FLO451" s="741"/>
      <c r="FLP451" s="741"/>
      <c r="FLQ451" s="741"/>
      <c r="FLR451" s="741"/>
      <c r="FLS451" s="741"/>
      <c r="FLT451" s="741"/>
      <c r="FLU451" s="741"/>
      <c r="FLV451" s="741"/>
      <c r="FLW451" s="741"/>
      <c r="FLX451" s="741"/>
      <c r="FLY451" s="741"/>
      <c r="FLZ451" s="741"/>
      <c r="FMA451" s="741"/>
      <c r="FMB451" s="741"/>
      <c r="FMC451" s="741"/>
      <c r="FMD451" s="741"/>
      <c r="FME451" s="741"/>
      <c r="FMF451" s="741"/>
      <c r="FMG451" s="741"/>
      <c r="FMH451" s="741"/>
      <c r="FMI451" s="741"/>
      <c r="FMJ451" s="741"/>
      <c r="FMK451" s="741"/>
      <c r="FML451" s="741"/>
      <c r="FMM451" s="741"/>
      <c r="FMN451" s="741"/>
      <c r="FMO451" s="741"/>
      <c r="FMP451" s="741"/>
      <c r="FMQ451" s="741"/>
      <c r="FMR451" s="741"/>
      <c r="FMS451" s="741"/>
      <c r="FMT451" s="741"/>
      <c r="FMU451" s="741"/>
      <c r="FMV451" s="741"/>
      <c r="FMW451" s="741"/>
      <c r="FMX451" s="741"/>
      <c r="FMY451" s="741"/>
      <c r="FMZ451" s="741"/>
      <c r="FNA451" s="741"/>
      <c r="FNB451" s="741"/>
      <c r="FNC451" s="741"/>
      <c r="FND451" s="741"/>
      <c r="FNE451" s="741"/>
      <c r="FNF451" s="741"/>
      <c r="FNG451" s="741"/>
      <c r="FNH451" s="741"/>
      <c r="FNI451" s="741"/>
      <c r="FNJ451" s="741"/>
      <c r="FNK451" s="741"/>
      <c r="FNL451" s="741"/>
      <c r="FNM451" s="741"/>
      <c r="FNN451" s="741"/>
      <c r="FNO451" s="741"/>
      <c r="FNP451" s="741"/>
      <c r="FNQ451" s="741"/>
      <c r="FNR451" s="741"/>
      <c r="FNS451" s="741"/>
      <c r="FNT451" s="741"/>
      <c r="FNU451" s="741"/>
      <c r="FNV451" s="741"/>
      <c r="FNW451" s="741"/>
      <c r="FNX451" s="741"/>
      <c r="FNY451" s="741"/>
      <c r="FNZ451" s="741"/>
      <c r="FOA451" s="741"/>
      <c r="FOB451" s="741"/>
      <c r="FOC451" s="741"/>
      <c r="FOD451" s="741"/>
      <c r="FOE451" s="741"/>
      <c r="FOF451" s="741"/>
      <c r="FOG451" s="741"/>
      <c r="FOH451" s="741"/>
      <c r="FOI451" s="741"/>
      <c r="FOJ451" s="741"/>
      <c r="FOK451" s="741"/>
      <c r="FOL451" s="741"/>
      <c r="FOM451" s="741"/>
      <c r="FON451" s="741"/>
      <c r="FOO451" s="741"/>
      <c r="FOP451" s="741"/>
      <c r="FOQ451" s="741"/>
      <c r="FOR451" s="741"/>
      <c r="FOS451" s="741"/>
      <c r="FOT451" s="741"/>
      <c r="FOU451" s="741"/>
      <c r="FOV451" s="741"/>
      <c r="FOW451" s="741"/>
      <c r="FOX451" s="741"/>
      <c r="FOY451" s="741"/>
      <c r="FOZ451" s="741"/>
      <c r="FPA451" s="741"/>
      <c r="FPB451" s="741"/>
      <c r="FPC451" s="741"/>
      <c r="FPD451" s="741"/>
      <c r="FPE451" s="741"/>
      <c r="FPF451" s="741"/>
      <c r="FPG451" s="741"/>
      <c r="FPH451" s="741"/>
      <c r="FPI451" s="741"/>
      <c r="FPJ451" s="741"/>
      <c r="FPK451" s="741"/>
      <c r="FPL451" s="741"/>
      <c r="FPM451" s="741"/>
      <c r="FPN451" s="741"/>
      <c r="FPO451" s="741"/>
      <c r="FPP451" s="741"/>
      <c r="FPQ451" s="741"/>
      <c r="FPR451" s="741"/>
      <c r="FPS451" s="741"/>
      <c r="FPT451" s="741"/>
      <c r="FPU451" s="741"/>
      <c r="FPV451" s="741"/>
      <c r="FPW451" s="741"/>
      <c r="FPX451" s="741"/>
      <c r="FPY451" s="741"/>
      <c r="FPZ451" s="741"/>
      <c r="FQA451" s="741"/>
      <c r="FQB451" s="741"/>
      <c r="FQC451" s="741"/>
      <c r="FQD451" s="741"/>
      <c r="FQE451" s="741"/>
      <c r="FQF451" s="741"/>
      <c r="FQG451" s="741"/>
      <c r="FQH451" s="741"/>
      <c r="FQI451" s="741"/>
      <c r="FQJ451" s="741"/>
      <c r="FQK451" s="741"/>
      <c r="FQL451" s="741"/>
      <c r="FQM451" s="741"/>
      <c r="FQN451" s="741"/>
      <c r="FQO451" s="741"/>
      <c r="FQP451" s="741"/>
      <c r="FQQ451" s="741"/>
      <c r="FQR451" s="741"/>
      <c r="FQS451" s="741"/>
      <c r="FQT451" s="741"/>
      <c r="FQU451" s="741"/>
      <c r="FQV451" s="741"/>
      <c r="FQW451" s="741"/>
      <c r="FQX451" s="741"/>
      <c r="FQY451" s="741"/>
      <c r="FQZ451" s="741"/>
      <c r="FRA451" s="741"/>
      <c r="FRB451" s="741"/>
      <c r="FRC451" s="741"/>
      <c r="FRD451" s="741"/>
      <c r="FRE451" s="741"/>
      <c r="FRF451" s="741"/>
      <c r="FRG451" s="741"/>
      <c r="FRH451" s="741"/>
      <c r="FRI451" s="741"/>
      <c r="FRJ451" s="741"/>
      <c r="FRK451" s="741"/>
      <c r="FRL451" s="741"/>
      <c r="FRM451" s="741"/>
      <c r="FRN451" s="741"/>
      <c r="FRO451" s="741"/>
      <c r="FRP451" s="741"/>
      <c r="FRQ451" s="741"/>
      <c r="FRR451" s="741"/>
      <c r="FRS451" s="741"/>
      <c r="FRT451" s="741"/>
      <c r="FRU451" s="741"/>
      <c r="FRV451" s="741"/>
      <c r="FRW451" s="741"/>
      <c r="FRX451" s="741"/>
      <c r="FRY451" s="741"/>
      <c r="FRZ451" s="741"/>
      <c r="FSA451" s="741"/>
      <c r="FSB451" s="741"/>
      <c r="FSC451" s="741"/>
      <c r="FSD451" s="741"/>
      <c r="FSE451" s="741"/>
      <c r="FSF451" s="741"/>
      <c r="FSG451" s="741"/>
      <c r="FSH451" s="741"/>
      <c r="FSI451" s="741"/>
      <c r="FSJ451" s="741"/>
      <c r="FSK451" s="741"/>
      <c r="FSL451" s="741"/>
      <c r="FSM451" s="741"/>
      <c r="FSN451" s="741"/>
      <c r="FSO451" s="741"/>
      <c r="FSP451" s="741"/>
      <c r="FSQ451" s="741"/>
      <c r="FSR451" s="741"/>
      <c r="FSS451" s="741"/>
      <c r="FST451" s="741"/>
      <c r="FSU451" s="741"/>
      <c r="FSV451" s="741"/>
      <c r="FSW451" s="741"/>
      <c r="FSX451" s="741"/>
      <c r="FSY451" s="741"/>
      <c r="FSZ451" s="741"/>
      <c r="FTA451" s="741"/>
      <c r="FTB451" s="741"/>
      <c r="FTC451" s="741"/>
      <c r="FTD451" s="741"/>
      <c r="FTE451" s="741"/>
      <c r="FTF451" s="741"/>
      <c r="FTG451" s="741"/>
      <c r="FTH451" s="741"/>
      <c r="FTI451" s="741"/>
      <c r="FTJ451" s="741"/>
      <c r="FTK451" s="741"/>
      <c r="FTL451" s="741"/>
      <c r="FTM451" s="741"/>
      <c r="FTN451" s="741"/>
      <c r="FTO451" s="741"/>
      <c r="FTP451" s="741"/>
      <c r="FTQ451" s="741"/>
      <c r="FTR451" s="741"/>
      <c r="FTS451" s="741"/>
      <c r="FTT451" s="741"/>
      <c r="FTU451" s="741"/>
      <c r="FTV451" s="741"/>
      <c r="FTW451" s="741"/>
      <c r="FTX451" s="741"/>
      <c r="FTY451" s="741"/>
      <c r="FTZ451" s="741"/>
      <c r="FUA451" s="741"/>
      <c r="FUB451" s="741"/>
      <c r="FUC451" s="741"/>
      <c r="FUD451" s="741"/>
      <c r="FUE451" s="741"/>
      <c r="FUF451" s="741"/>
      <c r="FUG451" s="741"/>
      <c r="FUH451" s="741"/>
      <c r="FUI451" s="741"/>
      <c r="FUJ451" s="741"/>
      <c r="FUK451" s="741"/>
      <c r="FUL451" s="741"/>
      <c r="FUM451" s="741"/>
      <c r="FUN451" s="741"/>
      <c r="FUO451" s="741"/>
      <c r="FUP451" s="741"/>
      <c r="FUQ451" s="741"/>
      <c r="FUR451" s="741"/>
      <c r="FUS451" s="741"/>
      <c r="FUT451" s="741"/>
      <c r="FUU451" s="741"/>
      <c r="FUV451" s="741"/>
      <c r="FUW451" s="741"/>
      <c r="FUX451" s="741"/>
      <c r="FUY451" s="741"/>
      <c r="FUZ451" s="741"/>
      <c r="FVA451" s="741"/>
      <c r="FVB451" s="741"/>
      <c r="FVC451" s="741"/>
      <c r="FVD451" s="741"/>
      <c r="FVE451" s="741"/>
      <c r="FVF451" s="741"/>
      <c r="FVG451" s="741"/>
      <c r="FVH451" s="741"/>
      <c r="FVI451" s="741"/>
      <c r="FVJ451" s="741"/>
      <c r="FVK451" s="741"/>
      <c r="FVL451" s="741"/>
      <c r="FVM451" s="741"/>
      <c r="FVN451" s="741"/>
      <c r="FVO451" s="741"/>
      <c r="FVP451" s="741"/>
      <c r="FVQ451" s="741"/>
      <c r="FVR451" s="741"/>
      <c r="FVS451" s="741"/>
      <c r="FVT451" s="741"/>
      <c r="FVU451" s="741"/>
      <c r="FVV451" s="741"/>
      <c r="FVW451" s="741"/>
      <c r="FVX451" s="741"/>
      <c r="FVY451" s="741"/>
      <c r="FVZ451" s="741"/>
      <c r="FWA451" s="741"/>
      <c r="FWB451" s="741"/>
      <c r="FWC451" s="741"/>
      <c r="FWD451" s="741"/>
      <c r="FWE451" s="741"/>
      <c r="FWF451" s="741"/>
      <c r="FWG451" s="741"/>
      <c r="FWH451" s="741"/>
      <c r="FWI451" s="741"/>
      <c r="FWJ451" s="741"/>
      <c r="FWK451" s="741"/>
      <c r="FWL451" s="741"/>
      <c r="FWM451" s="741"/>
      <c r="FWN451" s="741"/>
      <c r="FWO451" s="741"/>
      <c r="FWP451" s="741"/>
      <c r="FWQ451" s="741"/>
      <c r="FWR451" s="741"/>
      <c r="FWS451" s="741"/>
      <c r="FWT451" s="741"/>
      <c r="FWU451" s="741"/>
      <c r="FWV451" s="741"/>
      <c r="FWW451" s="741"/>
      <c r="FWX451" s="741"/>
      <c r="FWY451" s="741"/>
      <c r="FWZ451" s="741"/>
      <c r="FXA451" s="741"/>
      <c r="FXB451" s="741"/>
      <c r="FXC451" s="741"/>
      <c r="FXD451" s="741"/>
      <c r="FXE451" s="741"/>
      <c r="FXF451" s="741"/>
      <c r="FXG451" s="741"/>
      <c r="FXH451" s="741"/>
      <c r="FXI451" s="741"/>
      <c r="FXJ451" s="741"/>
      <c r="FXK451" s="741"/>
      <c r="FXL451" s="741"/>
      <c r="FXM451" s="741"/>
      <c r="FXN451" s="741"/>
      <c r="FXO451" s="741"/>
      <c r="FXP451" s="741"/>
      <c r="FXQ451" s="741"/>
      <c r="FXR451" s="741"/>
      <c r="FXS451" s="741"/>
      <c r="FXT451" s="741"/>
      <c r="FXU451" s="741"/>
      <c r="FXV451" s="741"/>
      <c r="FXW451" s="741"/>
      <c r="FXX451" s="741"/>
      <c r="FXY451" s="741"/>
      <c r="FXZ451" s="741"/>
      <c r="FYA451" s="741"/>
      <c r="FYB451" s="741"/>
      <c r="FYC451" s="741"/>
      <c r="FYD451" s="741"/>
      <c r="FYE451" s="741"/>
      <c r="FYF451" s="741"/>
      <c r="FYG451" s="741"/>
      <c r="FYH451" s="741"/>
      <c r="FYI451" s="741"/>
      <c r="FYJ451" s="741"/>
      <c r="FYK451" s="741"/>
      <c r="FYL451" s="741"/>
      <c r="FYM451" s="741"/>
      <c r="FYN451" s="741"/>
      <c r="FYO451" s="741"/>
      <c r="FYP451" s="741"/>
      <c r="FYQ451" s="741"/>
      <c r="FYR451" s="741"/>
      <c r="FYS451" s="741"/>
      <c r="FYT451" s="741"/>
      <c r="FYU451" s="741"/>
      <c r="FYV451" s="741"/>
      <c r="FYW451" s="741"/>
      <c r="FYX451" s="741"/>
      <c r="FYY451" s="741"/>
      <c r="FYZ451" s="741"/>
      <c r="FZA451" s="741"/>
      <c r="FZB451" s="741"/>
      <c r="FZC451" s="741"/>
      <c r="FZD451" s="741"/>
      <c r="FZE451" s="741"/>
      <c r="FZF451" s="741"/>
      <c r="FZG451" s="741"/>
      <c r="FZH451" s="741"/>
      <c r="FZI451" s="741"/>
      <c r="FZJ451" s="741"/>
      <c r="FZK451" s="741"/>
      <c r="FZL451" s="741"/>
      <c r="FZM451" s="741"/>
      <c r="FZN451" s="741"/>
      <c r="FZO451" s="741"/>
      <c r="FZP451" s="741"/>
      <c r="FZQ451" s="741"/>
      <c r="FZR451" s="741"/>
      <c r="FZS451" s="741"/>
      <c r="FZT451" s="741"/>
      <c r="FZU451" s="741"/>
      <c r="FZV451" s="741"/>
      <c r="FZW451" s="741"/>
      <c r="FZX451" s="741"/>
      <c r="FZY451" s="741"/>
      <c r="FZZ451" s="741"/>
      <c r="GAA451" s="741"/>
      <c r="GAB451" s="741"/>
      <c r="GAC451" s="741"/>
      <c r="GAD451" s="741"/>
      <c r="GAE451" s="741"/>
      <c r="GAF451" s="741"/>
      <c r="GAG451" s="741"/>
      <c r="GAH451" s="741"/>
      <c r="GAI451" s="741"/>
      <c r="GAJ451" s="741"/>
      <c r="GAK451" s="741"/>
      <c r="GAL451" s="741"/>
      <c r="GAM451" s="741"/>
      <c r="GAN451" s="741"/>
      <c r="GAO451" s="741"/>
      <c r="GAP451" s="741"/>
      <c r="GAQ451" s="741"/>
      <c r="GAR451" s="741"/>
      <c r="GAS451" s="741"/>
      <c r="GAT451" s="741"/>
      <c r="GAU451" s="741"/>
      <c r="GAV451" s="741"/>
      <c r="GAW451" s="741"/>
      <c r="GAX451" s="741"/>
      <c r="GAY451" s="741"/>
      <c r="GAZ451" s="741"/>
      <c r="GBA451" s="741"/>
      <c r="GBB451" s="741"/>
      <c r="GBC451" s="741"/>
      <c r="GBD451" s="741"/>
      <c r="GBE451" s="741"/>
      <c r="GBF451" s="741"/>
      <c r="GBG451" s="741"/>
      <c r="GBH451" s="741"/>
      <c r="GBI451" s="741"/>
      <c r="GBJ451" s="741"/>
      <c r="GBK451" s="741"/>
      <c r="GBL451" s="741"/>
      <c r="GBM451" s="741"/>
      <c r="GBN451" s="741"/>
      <c r="GBO451" s="741"/>
      <c r="GBP451" s="741"/>
      <c r="GBQ451" s="741"/>
      <c r="GBR451" s="741"/>
      <c r="GBS451" s="741"/>
      <c r="GBT451" s="741"/>
      <c r="GBU451" s="741"/>
      <c r="GBV451" s="741"/>
      <c r="GBW451" s="741"/>
      <c r="GBX451" s="741"/>
      <c r="GBY451" s="741"/>
      <c r="GBZ451" s="741"/>
      <c r="GCA451" s="741"/>
      <c r="GCB451" s="741"/>
      <c r="GCC451" s="741"/>
      <c r="GCD451" s="741"/>
      <c r="GCE451" s="741"/>
      <c r="GCF451" s="741"/>
      <c r="GCG451" s="741"/>
      <c r="GCH451" s="741"/>
      <c r="GCI451" s="741"/>
      <c r="GCJ451" s="741"/>
      <c r="GCK451" s="741"/>
      <c r="GCL451" s="741"/>
      <c r="GCM451" s="741"/>
      <c r="GCN451" s="741"/>
      <c r="GCO451" s="741"/>
      <c r="GCP451" s="741"/>
      <c r="GCQ451" s="741"/>
      <c r="GCR451" s="741"/>
      <c r="GCS451" s="741"/>
      <c r="GCT451" s="741"/>
      <c r="GCU451" s="741"/>
      <c r="GCV451" s="741"/>
      <c r="GCW451" s="741"/>
      <c r="GCX451" s="741"/>
      <c r="GCY451" s="741"/>
      <c r="GCZ451" s="741"/>
      <c r="GDA451" s="741"/>
      <c r="GDB451" s="741"/>
      <c r="GDC451" s="741"/>
      <c r="GDD451" s="741"/>
      <c r="GDE451" s="741"/>
      <c r="GDF451" s="741"/>
      <c r="GDG451" s="741"/>
      <c r="GDH451" s="741"/>
      <c r="GDI451" s="741"/>
      <c r="GDJ451" s="741"/>
      <c r="GDK451" s="741"/>
      <c r="GDL451" s="741"/>
      <c r="GDM451" s="741"/>
      <c r="GDN451" s="741"/>
      <c r="GDO451" s="741"/>
      <c r="GDP451" s="741"/>
      <c r="GDQ451" s="741"/>
      <c r="GDR451" s="741"/>
      <c r="GDS451" s="741"/>
      <c r="GDT451" s="741"/>
      <c r="GDU451" s="741"/>
      <c r="GDV451" s="741"/>
      <c r="GDW451" s="741"/>
      <c r="GDX451" s="741"/>
      <c r="GDY451" s="741"/>
      <c r="GDZ451" s="741"/>
      <c r="GEA451" s="741"/>
      <c r="GEB451" s="741"/>
      <c r="GEC451" s="741"/>
      <c r="GED451" s="741"/>
      <c r="GEE451" s="741"/>
      <c r="GEF451" s="741"/>
      <c r="GEG451" s="741"/>
      <c r="GEH451" s="741"/>
      <c r="GEI451" s="741"/>
      <c r="GEJ451" s="741"/>
      <c r="GEK451" s="741"/>
      <c r="GEL451" s="741"/>
      <c r="GEM451" s="741"/>
      <c r="GEN451" s="741"/>
      <c r="GEO451" s="741"/>
      <c r="GEP451" s="741"/>
      <c r="GEQ451" s="741"/>
      <c r="GER451" s="741"/>
      <c r="GES451" s="741"/>
      <c r="GET451" s="741"/>
      <c r="GEU451" s="741"/>
      <c r="GEV451" s="741"/>
      <c r="GEW451" s="741"/>
      <c r="GEX451" s="741"/>
      <c r="GEY451" s="741"/>
      <c r="GEZ451" s="741"/>
      <c r="GFA451" s="741"/>
      <c r="GFB451" s="741"/>
      <c r="GFC451" s="741"/>
      <c r="GFD451" s="741"/>
      <c r="GFE451" s="741"/>
      <c r="GFF451" s="741"/>
      <c r="GFG451" s="741"/>
      <c r="GFH451" s="741"/>
      <c r="GFI451" s="741"/>
      <c r="GFJ451" s="741"/>
      <c r="GFK451" s="741"/>
      <c r="GFL451" s="741"/>
      <c r="GFM451" s="741"/>
      <c r="GFN451" s="741"/>
      <c r="GFO451" s="741"/>
      <c r="GFP451" s="741"/>
      <c r="GFQ451" s="741"/>
      <c r="GFR451" s="741"/>
      <c r="GFS451" s="741"/>
      <c r="GFT451" s="741"/>
      <c r="GFU451" s="741"/>
      <c r="GFV451" s="741"/>
      <c r="GFW451" s="741"/>
      <c r="GFX451" s="741"/>
      <c r="GFY451" s="741"/>
      <c r="GFZ451" s="741"/>
      <c r="GGA451" s="741"/>
      <c r="GGB451" s="741"/>
      <c r="GGC451" s="741"/>
      <c r="GGD451" s="741"/>
      <c r="GGE451" s="741"/>
      <c r="GGF451" s="741"/>
      <c r="GGG451" s="741"/>
      <c r="GGH451" s="741"/>
      <c r="GGI451" s="741"/>
      <c r="GGJ451" s="741"/>
      <c r="GGK451" s="741"/>
      <c r="GGL451" s="741"/>
      <c r="GGM451" s="741"/>
      <c r="GGN451" s="741"/>
      <c r="GGO451" s="741"/>
      <c r="GGP451" s="741"/>
      <c r="GGQ451" s="741"/>
      <c r="GGR451" s="741"/>
      <c r="GGS451" s="741"/>
      <c r="GGT451" s="741"/>
      <c r="GGU451" s="741"/>
      <c r="GGV451" s="741"/>
      <c r="GGW451" s="741"/>
      <c r="GGX451" s="741"/>
      <c r="GGY451" s="741"/>
      <c r="GGZ451" s="741"/>
      <c r="GHA451" s="741"/>
      <c r="GHB451" s="741"/>
      <c r="GHC451" s="741"/>
      <c r="GHD451" s="741"/>
      <c r="GHE451" s="741"/>
      <c r="GHF451" s="741"/>
      <c r="GHG451" s="741"/>
      <c r="GHH451" s="741"/>
      <c r="GHI451" s="741"/>
      <c r="GHJ451" s="741"/>
      <c r="GHK451" s="741"/>
      <c r="GHL451" s="741"/>
      <c r="GHM451" s="741"/>
      <c r="GHN451" s="741"/>
      <c r="GHO451" s="741"/>
      <c r="GHP451" s="741"/>
      <c r="GHQ451" s="741"/>
      <c r="GHR451" s="741"/>
      <c r="GHS451" s="741"/>
      <c r="GHT451" s="741"/>
      <c r="GHU451" s="741"/>
      <c r="GHV451" s="741"/>
      <c r="GHW451" s="741"/>
      <c r="GHX451" s="741"/>
      <c r="GHY451" s="741"/>
      <c r="GHZ451" s="741"/>
      <c r="GIA451" s="741"/>
      <c r="GIB451" s="741"/>
      <c r="GIC451" s="741"/>
      <c r="GID451" s="741"/>
      <c r="GIE451" s="741"/>
      <c r="GIF451" s="741"/>
      <c r="GIG451" s="741"/>
      <c r="GIH451" s="741"/>
      <c r="GII451" s="741"/>
      <c r="GIJ451" s="741"/>
      <c r="GIK451" s="741"/>
      <c r="GIL451" s="741"/>
      <c r="GIM451" s="741"/>
      <c r="GIN451" s="741"/>
      <c r="GIO451" s="741"/>
      <c r="GIP451" s="741"/>
      <c r="GIQ451" s="741"/>
      <c r="GIR451" s="741"/>
      <c r="GIS451" s="741"/>
      <c r="GIT451" s="741"/>
      <c r="GIU451" s="741"/>
      <c r="GIV451" s="741"/>
      <c r="GIW451" s="741"/>
      <c r="GIX451" s="741"/>
      <c r="GIY451" s="741"/>
      <c r="GIZ451" s="741"/>
      <c r="GJA451" s="741"/>
      <c r="GJB451" s="741"/>
      <c r="GJC451" s="741"/>
      <c r="GJD451" s="741"/>
      <c r="GJE451" s="741"/>
      <c r="GJF451" s="741"/>
      <c r="GJG451" s="741"/>
      <c r="GJH451" s="741"/>
      <c r="GJI451" s="741"/>
      <c r="GJJ451" s="741"/>
      <c r="GJK451" s="741"/>
      <c r="GJL451" s="741"/>
      <c r="GJM451" s="741"/>
      <c r="GJN451" s="741"/>
      <c r="GJO451" s="741"/>
      <c r="GJP451" s="741"/>
      <c r="GJQ451" s="741"/>
      <c r="GJR451" s="741"/>
      <c r="GJS451" s="741"/>
      <c r="GJT451" s="741"/>
      <c r="GJU451" s="741"/>
      <c r="GJV451" s="741"/>
      <c r="GJW451" s="741"/>
      <c r="GJX451" s="741"/>
      <c r="GJY451" s="741"/>
      <c r="GJZ451" s="741"/>
      <c r="GKA451" s="741"/>
      <c r="GKB451" s="741"/>
      <c r="GKC451" s="741"/>
      <c r="GKD451" s="741"/>
      <c r="GKE451" s="741"/>
      <c r="GKF451" s="741"/>
      <c r="GKG451" s="741"/>
      <c r="GKH451" s="741"/>
      <c r="GKI451" s="741"/>
      <c r="GKJ451" s="741"/>
      <c r="GKK451" s="741"/>
      <c r="GKL451" s="741"/>
      <c r="GKM451" s="741"/>
      <c r="GKN451" s="741"/>
      <c r="GKO451" s="741"/>
      <c r="GKP451" s="741"/>
      <c r="GKQ451" s="741"/>
      <c r="GKR451" s="741"/>
      <c r="GKS451" s="741"/>
      <c r="GKT451" s="741"/>
      <c r="GKU451" s="741"/>
      <c r="GKV451" s="741"/>
      <c r="GKW451" s="741"/>
      <c r="GKX451" s="741"/>
      <c r="GKY451" s="741"/>
      <c r="GKZ451" s="741"/>
      <c r="GLA451" s="741"/>
      <c r="GLB451" s="741"/>
      <c r="GLC451" s="741"/>
      <c r="GLD451" s="741"/>
      <c r="GLE451" s="741"/>
      <c r="GLF451" s="741"/>
      <c r="GLG451" s="741"/>
      <c r="GLH451" s="741"/>
      <c r="GLI451" s="741"/>
      <c r="GLJ451" s="741"/>
      <c r="GLK451" s="741"/>
      <c r="GLL451" s="741"/>
      <c r="GLM451" s="741"/>
      <c r="GLN451" s="741"/>
      <c r="GLO451" s="741"/>
      <c r="GLP451" s="741"/>
      <c r="GLQ451" s="741"/>
      <c r="GLR451" s="741"/>
      <c r="GLS451" s="741"/>
      <c r="GLT451" s="741"/>
      <c r="GLU451" s="741"/>
      <c r="GLV451" s="741"/>
      <c r="GLW451" s="741"/>
      <c r="GLX451" s="741"/>
      <c r="GLY451" s="741"/>
      <c r="GLZ451" s="741"/>
      <c r="GMA451" s="741"/>
      <c r="GMB451" s="741"/>
      <c r="GMC451" s="741"/>
      <c r="GMD451" s="741"/>
      <c r="GME451" s="741"/>
      <c r="GMF451" s="741"/>
      <c r="GMG451" s="741"/>
      <c r="GMH451" s="741"/>
      <c r="GMI451" s="741"/>
      <c r="GMJ451" s="741"/>
      <c r="GMK451" s="741"/>
      <c r="GML451" s="741"/>
      <c r="GMM451" s="741"/>
      <c r="GMN451" s="741"/>
      <c r="GMO451" s="741"/>
      <c r="GMP451" s="741"/>
      <c r="GMQ451" s="741"/>
      <c r="GMR451" s="741"/>
      <c r="GMS451" s="741"/>
      <c r="GMT451" s="741"/>
      <c r="GMU451" s="741"/>
      <c r="GMV451" s="741"/>
      <c r="GMW451" s="741"/>
      <c r="GMX451" s="741"/>
      <c r="GMY451" s="741"/>
      <c r="GMZ451" s="741"/>
      <c r="GNA451" s="741"/>
      <c r="GNB451" s="741"/>
      <c r="GNC451" s="741"/>
      <c r="GND451" s="741"/>
      <c r="GNE451" s="741"/>
      <c r="GNF451" s="741"/>
      <c r="GNG451" s="741"/>
      <c r="GNH451" s="741"/>
      <c r="GNI451" s="741"/>
      <c r="GNJ451" s="741"/>
      <c r="GNK451" s="741"/>
      <c r="GNL451" s="741"/>
      <c r="GNM451" s="741"/>
      <c r="GNN451" s="741"/>
      <c r="GNO451" s="741"/>
      <c r="GNP451" s="741"/>
      <c r="GNQ451" s="741"/>
      <c r="GNR451" s="741"/>
      <c r="GNS451" s="741"/>
      <c r="GNT451" s="741"/>
      <c r="GNU451" s="741"/>
      <c r="GNV451" s="741"/>
      <c r="GNW451" s="741"/>
      <c r="GNX451" s="741"/>
      <c r="GNY451" s="741"/>
      <c r="GNZ451" s="741"/>
      <c r="GOA451" s="741"/>
      <c r="GOB451" s="741"/>
      <c r="GOC451" s="741"/>
      <c r="GOD451" s="741"/>
      <c r="GOE451" s="741"/>
      <c r="GOF451" s="741"/>
      <c r="GOG451" s="741"/>
      <c r="GOH451" s="741"/>
      <c r="GOI451" s="741"/>
      <c r="GOJ451" s="741"/>
      <c r="GOK451" s="741"/>
      <c r="GOL451" s="741"/>
      <c r="GOM451" s="741"/>
      <c r="GON451" s="741"/>
      <c r="GOO451" s="741"/>
      <c r="GOP451" s="741"/>
      <c r="GOQ451" s="741"/>
      <c r="GOR451" s="741"/>
      <c r="GOS451" s="741"/>
      <c r="GOT451" s="741"/>
      <c r="GOU451" s="741"/>
      <c r="GOV451" s="741"/>
      <c r="GOW451" s="741"/>
      <c r="GOX451" s="741"/>
      <c r="GOY451" s="741"/>
      <c r="GOZ451" s="741"/>
      <c r="GPA451" s="741"/>
      <c r="GPB451" s="741"/>
      <c r="GPC451" s="741"/>
      <c r="GPD451" s="741"/>
      <c r="GPE451" s="741"/>
      <c r="GPF451" s="741"/>
      <c r="GPG451" s="741"/>
      <c r="GPH451" s="741"/>
      <c r="GPI451" s="741"/>
      <c r="GPJ451" s="741"/>
      <c r="GPK451" s="741"/>
      <c r="GPL451" s="741"/>
      <c r="GPM451" s="741"/>
      <c r="GPN451" s="741"/>
      <c r="GPO451" s="741"/>
      <c r="GPP451" s="741"/>
      <c r="GPQ451" s="741"/>
      <c r="GPR451" s="741"/>
      <c r="GPS451" s="741"/>
      <c r="GPT451" s="741"/>
      <c r="GPU451" s="741"/>
      <c r="GPV451" s="741"/>
      <c r="GPW451" s="741"/>
      <c r="GPX451" s="741"/>
      <c r="GPY451" s="741"/>
      <c r="GPZ451" s="741"/>
      <c r="GQA451" s="741"/>
      <c r="GQB451" s="741"/>
      <c r="GQC451" s="741"/>
      <c r="GQD451" s="741"/>
      <c r="GQE451" s="741"/>
      <c r="GQF451" s="741"/>
      <c r="GQG451" s="741"/>
      <c r="GQH451" s="741"/>
      <c r="GQI451" s="741"/>
      <c r="GQJ451" s="741"/>
      <c r="GQK451" s="741"/>
      <c r="GQL451" s="741"/>
      <c r="GQM451" s="741"/>
      <c r="GQN451" s="741"/>
      <c r="GQO451" s="741"/>
      <c r="GQP451" s="741"/>
      <c r="GQQ451" s="741"/>
      <c r="GQR451" s="741"/>
      <c r="GQS451" s="741"/>
      <c r="GQT451" s="741"/>
      <c r="GQU451" s="741"/>
      <c r="GQV451" s="741"/>
      <c r="GQW451" s="741"/>
      <c r="GQX451" s="741"/>
      <c r="GQY451" s="741"/>
      <c r="GQZ451" s="741"/>
      <c r="GRA451" s="741"/>
      <c r="GRB451" s="741"/>
      <c r="GRC451" s="741"/>
      <c r="GRD451" s="741"/>
      <c r="GRE451" s="741"/>
      <c r="GRF451" s="741"/>
      <c r="GRG451" s="741"/>
      <c r="GRH451" s="741"/>
      <c r="GRI451" s="741"/>
      <c r="GRJ451" s="741"/>
      <c r="GRK451" s="741"/>
      <c r="GRL451" s="741"/>
      <c r="GRM451" s="741"/>
      <c r="GRN451" s="741"/>
      <c r="GRO451" s="741"/>
      <c r="GRP451" s="741"/>
      <c r="GRQ451" s="741"/>
      <c r="GRR451" s="741"/>
      <c r="GRS451" s="741"/>
      <c r="GRT451" s="741"/>
      <c r="GRU451" s="741"/>
      <c r="GRV451" s="741"/>
      <c r="GRW451" s="741"/>
      <c r="GRX451" s="741"/>
      <c r="GRY451" s="741"/>
      <c r="GRZ451" s="741"/>
      <c r="GSA451" s="741"/>
      <c r="GSB451" s="741"/>
      <c r="GSC451" s="741"/>
      <c r="GSD451" s="741"/>
      <c r="GSE451" s="741"/>
      <c r="GSF451" s="741"/>
      <c r="GSG451" s="741"/>
      <c r="GSH451" s="741"/>
      <c r="GSI451" s="741"/>
      <c r="GSJ451" s="741"/>
      <c r="GSK451" s="741"/>
      <c r="GSL451" s="741"/>
      <c r="GSM451" s="741"/>
      <c r="GSN451" s="741"/>
      <c r="GSO451" s="741"/>
      <c r="GSP451" s="741"/>
      <c r="GSQ451" s="741"/>
      <c r="GSR451" s="741"/>
      <c r="GSS451" s="741"/>
      <c r="GST451" s="741"/>
      <c r="GSU451" s="741"/>
      <c r="GSV451" s="741"/>
      <c r="GSW451" s="741"/>
      <c r="GSX451" s="741"/>
      <c r="GSY451" s="741"/>
      <c r="GSZ451" s="741"/>
      <c r="GTA451" s="741"/>
      <c r="GTB451" s="741"/>
      <c r="GTC451" s="741"/>
      <c r="GTD451" s="741"/>
      <c r="GTE451" s="741"/>
      <c r="GTF451" s="741"/>
      <c r="GTG451" s="741"/>
      <c r="GTH451" s="741"/>
      <c r="GTI451" s="741"/>
      <c r="GTJ451" s="741"/>
      <c r="GTK451" s="741"/>
      <c r="GTL451" s="741"/>
      <c r="GTM451" s="741"/>
      <c r="GTN451" s="741"/>
      <c r="GTO451" s="741"/>
      <c r="GTP451" s="741"/>
      <c r="GTQ451" s="741"/>
      <c r="GTR451" s="741"/>
      <c r="GTS451" s="741"/>
      <c r="GTT451" s="741"/>
      <c r="GTU451" s="741"/>
      <c r="GTV451" s="741"/>
      <c r="GTW451" s="741"/>
      <c r="GTX451" s="741"/>
      <c r="GTY451" s="741"/>
      <c r="GTZ451" s="741"/>
      <c r="GUA451" s="741"/>
      <c r="GUB451" s="741"/>
      <c r="GUC451" s="741"/>
      <c r="GUD451" s="741"/>
      <c r="GUE451" s="741"/>
      <c r="GUF451" s="741"/>
      <c r="GUG451" s="741"/>
      <c r="GUH451" s="741"/>
      <c r="GUI451" s="741"/>
      <c r="GUJ451" s="741"/>
      <c r="GUK451" s="741"/>
      <c r="GUL451" s="741"/>
      <c r="GUM451" s="741"/>
      <c r="GUN451" s="741"/>
      <c r="GUO451" s="741"/>
      <c r="GUP451" s="741"/>
      <c r="GUQ451" s="741"/>
      <c r="GUR451" s="741"/>
      <c r="GUS451" s="741"/>
      <c r="GUT451" s="741"/>
      <c r="GUU451" s="741"/>
      <c r="GUV451" s="741"/>
      <c r="GUW451" s="741"/>
      <c r="GUX451" s="741"/>
      <c r="GUY451" s="741"/>
      <c r="GUZ451" s="741"/>
      <c r="GVA451" s="741"/>
      <c r="GVB451" s="741"/>
      <c r="GVC451" s="741"/>
      <c r="GVD451" s="741"/>
      <c r="GVE451" s="741"/>
      <c r="GVF451" s="741"/>
      <c r="GVG451" s="741"/>
      <c r="GVH451" s="741"/>
      <c r="GVI451" s="741"/>
      <c r="GVJ451" s="741"/>
      <c r="GVK451" s="741"/>
      <c r="GVL451" s="741"/>
      <c r="GVM451" s="741"/>
      <c r="GVN451" s="741"/>
      <c r="GVO451" s="741"/>
      <c r="GVP451" s="741"/>
      <c r="GVQ451" s="741"/>
      <c r="GVR451" s="741"/>
      <c r="GVS451" s="741"/>
      <c r="GVT451" s="741"/>
      <c r="GVU451" s="741"/>
      <c r="GVV451" s="741"/>
      <c r="GVW451" s="741"/>
      <c r="GVX451" s="741"/>
      <c r="GVY451" s="741"/>
      <c r="GVZ451" s="741"/>
      <c r="GWA451" s="741"/>
      <c r="GWB451" s="741"/>
      <c r="GWC451" s="741"/>
      <c r="GWD451" s="741"/>
      <c r="GWE451" s="741"/>
      <c r="GWF451" s="741"/>
      <c r="GWG451" s="741"/>
      <c r="GWH451" s="741"/>
      <c r="GWI451" s="741"/>
      <c r="GWJ451" s="741"/>
      <c r="GWK451" s="741"/>
      <c r="GWL451" s="741"/>
      <c r="GWM451" s="741"/>
      <c r="GWN451" s="741"/>
      <c r="GWO451" s="741"/>
      <c r="GWP451" s="741"/>
      <c r="GWQ451" s="741"/>
      <c r="GWR451" s="741"/>
      <c r="GWS451" s="741"/>
      <c r="GWT451" s="741"/>
      <c r="GWU451" s="741"/>
      <c r="GWV451" s="741"/>
      <c r="GWW451" s="741"/>
      <c r="GWX451" s="741"/>
      <c r="GWY451" s="741"/>
      <c r="GWZ451" s="741"/>
      <c r="GXA451" s="741"/>
      <c r="GXB451" s="741"/>
      <c r="GXC451" s="741"/>
      <c r="GXD451" s="741"/>
      <c r="GXE451" s="741"/>
      <c r="GXF451" s="741"/>
      <c r="GXG451" s="741"/>
      <c r="GXH451" s="741"/>
      <c r="GXI451" s="741"/>
      <c r="GXJ451" s="741"/>
      <c r="GXK451" s="741"/>
      <c r="GXL451" s="741"/>
      <c r="GXM451" s="741"/>
      <c r="GXN451" s="741"/>
      <c r="GXO451" s="741"/>
      <c r="GXP451" s="741"/>
      <c r="GXQ451" s="741"/>
      <c r="GXR451" s="741"/>
      <c r="GXS451" s="741"/>
      <c r="GXT451" s="741"/>
      <c r="GXU451" s="741"/>
      <c r="GXV451" s="741"/>
      <c r="GXW451" s="741"/>
      <c r="GXX451" s="741"/>
      <c r="GXY451" s="741"/>
      <c r="GXZ451" s="741"/>
      <c r="GYA451" s="741"/>
      <c r="GYB451" s="741"/>
      <c r="GYC451" s="741"/>
      <c r="GYD451" s="741"/>
      <c r="GYE451" s="741"/>
      <c r="GYF451" s="741"/>
      <c r="GYG451" s="741"/>
      <c r="GYH451" s="741"/>
      <c r="GYI451" s="741"/>
      <c r="GYJ451" s="741"/>
      <c r="GYK451" s="741"/>
      <c r="GYL451" s="741"/>
      <c r="GYM451" s="741"/>
      <c r="GYN451" s="741"/>
      <c r="GYO451" s="741"/>
      <c r="GYP451" s="741"/>
      <c r="GYQ451" s="741"/>
      <c r="GYR451" s="741"/>
      <c r="GYS451" s="741"/>
      <c r="GYT451" s="741"/>
      <c r="GYU451" s="741"/>
      <c r="GYV451" s="741"/>
      <c r="GYW451" s="741"/>
      <c r="GYX451" s="741"/>
      <c r="GYY451" s="741"/>
      <c r="GYZ451" s="741"/>
      <c r="GZA451" s="741"/>
      <c r="GZB451" s="741"/>
      <c r="GZC451" s="741"/>
      <c r="GZD451" s="741"/>
      <c r="GZE451" s="741"/>
      <c r="GZF451" s="741"/>
      <c r="GZG451" s="741"/>
      <c r="GZH451" s="741"/>
      <c r="GZI451" s="741"/>
      <c r="GZJ451" s="741"/>
      <c r="GZK451" s="741"/>
      <c r="GZL451" s="741"/>
      <c r="GZM451" s="741"/>
      <c r="GZN451" s="741"/>
      <c r="GZO451" s="741"/>
      <c r="GZP451" s="741"/>
      <c r="GZQ451" s="741"/>
      <c r="GZR451" s="741"/>
      <c r="GZS451" s="741"/>
      <c r="GZT451" s="741"/>
      <c r="GZU451" s="741"/>
      <c r="GZV451" s="741"/>
      <c r="GZW451" s="741"/>
      <c r="GZX451" s="741"/>
      <c r="GZY451" s="741"/>
      <c r="GZZ451" s="741"/>
      <c r="HAA451" s="741"/>
      <c r="HAB451" s="741"/>
      <c r="HAC451" s="741"/>
      <c r="HAD451" s="741"/>
      <c r="HAE451" s="741"/>
      <c r="HAF451" s="741"/>
      <c r="HAG451" s="741"/>
      <c r="HAH451" s="741"/>
      <c r="HAI451" s="741"/>
      <c r="HAJ451" s="741"/>
      <c r="HAK451" s="741"/>
      <c r="HAL451" s="741"/>
      <c r="HAM451" s="741"/>
      <c r="HAN451" s="741"/>
      <c r="HAO451" s="741"/>
      <c r="HAP451" s="741"/>
      <c r="HAQ451" s="741"/>
      <c r="HAR451" s="741"/>
      <c r="HAS451" s="741"/>
      <c r="HAT451" s="741"/>
      <c r="HAU451" s="741"/>
      <c r="HAV451" s="741"/>
      <c r="HAW451" s="741"/>
      <c r="HAX451" s="741"/>
      <c r="HAY451" s="741"/>
      <c r="HAZ451" s="741"/>
      <c r="HBA451" s="741"/>
      <c r="HBB451" s="741"/>
      <c r="HBC451" s="741"/>
      <c r="HBD451" s="741"/>
      <c r="HBE451" s="741"/>
      <c r="HBF451" s="741"/>
      <c r="HBG451" s="741"/>
      <c r="HBH451" s="741"/>
      <c r="HBI451" s="741"/>
      <c r="HBJ451" s="741"/>
      <c r="HBK451" s="741"/>
      <c r="HBL451" s="741"/>
      <c r="HBM451" s="741"/>
      <c r="HBN451" s="741"/>
      <c r="HBO451" s="741"/>
      <c r="HBP451" s="741"/>
      <c r="HBQ451" s="741"/>
      <c r="HBR451" s="741"/>
      <c r="HBS451" s="741"/>
      <c r="HBT451" s="741"/>
      <c r="HBU451" s="741"/>
      <c r="HBV451" s="741"/>
      <c r="HBW451" s="741"/>
      <c r="HBX451" s="741"/>
      <c r="HBY451" s="741"/>
      <c r="HBZ451" s="741"/>
      <c r="HCA451" s="741"/>
      <c r="HCB451" s="741"/>
      <c r="HCC451" s="741"/>
      <c r="HCD451" s="741"/>
      <c r="HCE451" s="741"/>
      <c r="HCF451" s="741"/>
      <c r="HCG451" s="741"/>
      <c r="HCH451" s="741"/>
      <c r="HCI451" s="741"/>
      <c r="HCJ451" s="741"/>
      <c r="HCK451" s="741"/>
      <c r="HCL451" s="741"/>
      <c r="HCM451" s="741"/>
      <c r="HCN451" s="741"/>
      <c r="HCO451" s="741"/>
      <c r="HCP451" s="741"/>
      <c r="HCQ451" s="741"/>
      <c r="HCR451" s="741"/>
      <c r="HCS451" s="741"/>
      <c r="HCT451" s="741"/>
      <c r="HCU451" s="741"/>
      <c r="HCV451" s="741"/>
      <c r="HCW451" s="741"/>
      <c r="HCX451" s="741"/>
      <c r="HCY451" s="741"/>
      <c r="HCZ451" s="741"/>
      <c r="HDA451" s="741"/>
      <c r="HDB451" s="741"/>
      <c r="HDC451" s="741"/>
      <c r="HDD451" s="741"/>
      <c r="HDE451" s="741"/>
      <c r="HDF451" s="741"/>
      <c r="HDG451" s="741"/>
      <c r="HDH451" s="741"/>
      <c r="HDI451" s="741"/>
      <c r="HDJ451" s="741"/>
      <c r="HDK451" s="741"/>
      <c r="HDL451" s="741"/>
      <c r="HDM451" s="741"/>
      <c r="HDN451" s="741"/>
      <c r="HDO451" s="741"/>
      <c r="HDP451" s="741"/>
      <c r="HDQ451" s="741"/>
      <c r="HDR451" s="741"/>
      <c r="HDS451" s="741"/>
      <c r="HDT451" s="741"/>
      <c r="HDU451" s="741"/>
      <c r="HDV451" s="741"/>
      <c r="HDW451" s="741"/>
      <c r="HDX451" s="741"/>
      <c r="HDY451" s="741"/>
      <c r="HDZ451" s="741"/>
      <c r="HEA451" s="741"/>
      <c r="HEB451" s="741"/>
      <c r="HEC451" s="741"/>
      <c r="HED451" s="741"/>
      <c r="HEE451" s="741"/>
      <c r="HEF451" s="741"/>
      <c r="HEG451" s="741"/>
      <c r="HEH451" s="741"/>
      <c r="HEI451" s="741"/>
      <c r="HEJ451" s="741"/>
      <c r="HEK451" s="741"/>
      <c r="HEL451" s="741"/>
      <c r="HEM451" s="741"/>
      <c r="HEN451" s="741"/>
      <c r="HEO451" s="741"/>
      <c r="HEP451" s="741"/>
      <c r="HEQ451" s="741"/>
      <c r="HER451" s="741"/>
      <c r="HES451" s="741"/>
      <c r="HET451" s="741"/>
      <c r="HEU451" s="741"/>
      <c r="HEV451" s="741"/>
      <c r="HEW451" s="741"/>
      <c r="HEX451" s="741"/>
      <c r="HEY451" s="741"/>
      <c r="HEZ451" s="741"/>
      <c r="HFA451" s="741"/>
      <c r="HFB451" s="741"/>
      <c r="HFC451" s="741"/>
      <c r="HFD451" s="741"/>
      <c r="HFE451" s="741"/>
      <c r="HFF451" s="741"/>
      <c r="HFG451" s="741"/>
      <c r="HFH451" s="741"/>
      <c r="HFI451" s="741"/>
      <c r="HFJ451" s="741"/>
      <c r="HFK451" s="741"/>
      <c r="HFL451" s="741"/>
      <c r="HFM451" s="741"/>
      <c r="HFN451" s="741"/>
      <c r="HFO451" s="741"/>
      <c r="HFP451" s="741"/>
      <c r="HFQ451" s="741"/>
      <c r="HFR451" s="741"/>
      <c r="HFS451" s="741"/>
      <c r="HFT451" s="741"/>
      <c r="HFU451" s="741"/>
      <c r="HFV451" s="741"/>
      <c r="HFW451" s="741"/>
      <c r="HFX451" s="741"/>
      <c r="HFY451" s="741"/>
      <c r="HFZ451" s="741"/>
      <c r="HGA451" s="741"/>
      <c r="HGB451" s="741"/>
      <c r="HGC451" s="741"/>
      <c r="HGD451" s="741"/>
      <c r="HGE451" s="741"/>
      <c r="HGF451" s="741"/>
      <c r="HGG451" s="741"/>
      <c r="HGH451" s="741"/>
      <c r="HGI451" s="741"/>
      <c r="HGJ451" s="741"/>
      <c r="HGK451" s="741"/>
      <c r="HGL451" s="741"/>
      <c r="HGM451" s="741"/>
      <c r="HGN451" s="741"/>
      <c r="HGO451" s="741"/>
      <c r="HGP451" s="741"/>
      <c r="HGQ451" s="741"/>
      <c r="HGR451" s="741"/>
      <c r="HGS451" s="741"/>
      <c r="HGT451" s="741"/>
      <c r="HGU451" s="741"/>
      <c r="HGV451" s="741"/>
      <c r="HGW451" s="741"/>
      <c r="HGX451" s="741"/>
      <c r="HGY451" s="741"/>
      <c r="HGZ451" s="741"/>
      <c r="HHA451" s="741"/>
      <c r="HHB451" s="741"/>
      <c r="HHC451" s="741"/>
      <c r="HHD451" s="741"/>
      <c r="HHE451" s="741"/>
      <c r="HHF451" s="741"/>
      <c r="HHG451" s="741"/>
      <c r="HHH451" s="741"/>
      <c r="HHI451" s="741"/>
      <c r="HHJ451" s="741"/>
      <c r="HHK451" s="741"/>
      <c r="HHL451" s="741"/>
      <c r="HHM451" s="741"/>
      <c r="HHN451" s="741"/>
      <c r="HHO451" s="741"/>
      <c r="HHP451" s="741"/>
      <c r="HHQ451" s="741"/>
      <c r="HHR451" s="741"/>
      <c r="HHS451" s="741"/>
      <c r="HHT451" s="741"/>
      <c r="HHU451" s="741"/>
      <c r="HHV451" s="741"/>
      <c r="HHW451" s="741"/>
      <c r="HHX451" s="741"/>
      <c r="HHY451" s="741"/>
      <c r="HHZ451" s="741"/>
      <c r="HIA451" s="741"/>
      <c r="HIB451" s="741"/>
      <c r="HIC451" s="741"/>
      <c r="HID451" s="741"/>
      <c r="HIE451" s="741"/>
      <c r="HIF451" s="741"/>
      <c r="HIG451" s="741"/>
      <c r="HIH451" s="741"/>
      <c r="HII451" s="741"/>
      <c r="HIJ451" s="741"/>
      <c r="HIK451" s="741"/>
      <c r="HIL451" s="741"/>
      <c r="HIM451" s="741"/>
      <c r="HIN451" s="741"/>
      <c r="HIO451" s="741"/>
      <c r="HIP451" s="741"/>
      <c r="HIQ451" s="741"/>
      <c r="HIR451" s="741"/>
      <c r="HIS451" s="741"/>
      <c r="HIT451" s="741"/>
      <c r="HIU451" s="741"/>
      <c r="HIV451" s="741"/>
      <c r="HIW451" s="741"/>
      <c r="HIX451" s="741"/>
      <c r="HIY451" s="741"/>
      <c r="HIZ451" s="741"/>
      <c r="HJA451" s="741"/>
      <c r="HJB451" s="741"/>
      <c r="HJC451" s="741"/>
      <c r="HJD451" s="741"/>
      <c r="HJE451" s="741"/>
      <c r="HJF451" s="741"/>
      <c r="HJG451" s="741"/>
      <c r="HJH451" s="741"/>
      <c r="HJI451" s="741"/>
      <c r="HJJ451" s="741"/>
      <c r="HJK451" s="741"/>
      <c r="HJL451" s="741"/>
      <c r="HJM451" s="741"/>
      <c r="HJN451" s="741"/>
      <c r="HJO451" s="741"/>
      <c r="HJP451" s="741"/>
      <c r="HJQ451" s="741"/>
      <c r="HJR451" s="741"/>
      <c r="HJS451" s="741"/>
      <c r="HJT451" s="741"/>
      <c r="HJU451" s="741"/>
      <c r="HJV451" s="741"/>
      <c r="HJW451" s="741"/>
      <c r="HJX451" s="741"/>
      <c r="HJY451" s="741"/>
      <c r="HJZ451" s="741"/>
      <c r="HKA451" s="741"/>
      <c r="HKB451" s="741"/>
      <c r="HKC451" s="741"/>
      <c r="HKD451" s="741"/>
      <c r="HKE451" s="741"/>
      <c r="HKF451" s="741"/>
      <c r="HKG451" s="741"/>
      <c r="HKH451" s="741"/>
      <c r="HKI451" s="741"/>
      <c r="HKJ451" s="741"/>
      <c r="HKK451" s="741"/>
      <c r="HKL451" s="741"/>
      <c r="HKM451" s="741"/>
      <c r="HKN451" s="741"/>
      <c r="HKO451" s="741"/>
      <c r="HKP451" s="741"/>
      <c r="HKQ451" s="741"/>
      <c r="HKR451" s="741"/>
      <c r="HKS451" s="741"/>
      <c r="HKT451" s="741"/>
      <c r="HKU451" s="741"/>
      <c r="HKV451" s="741"/>
      <c r="HKW451" s="741"/>
      <c r="HKX451" s="741"/>
      <c r="HKY451" s="741"/>
      <c r="HKZ451" s="741"/>
      <c r="HLA451" s="741"/>
      <c r="HLB451" s="741"/>
      <c r="HLC451" s="741"/>
      <c r="HLD451" s="741"/>
      <c r="HLE451" s="741"/>
      <c r="HLF451" s="741"/>
      <c r="HLG451" s="741"/>
      <c r="HLH451" s="741"/>
      <c r="HLI451" s="741"/>
      <c r="HLJ451" s="741"/>
      <c r="HLK451" s="741"/>
      <c r="HLL451" s="741"/>
      <c r="HLM451" s="741"/>
      <c r="HLN451" s="741"/>
      <c r="HLO451" s="741"/>
      <c r="HLP451" s="741"/>
      <c r="HLQ451" s="741"/>
      <c r="HLR451" s="741"/>
      <c r="HLS451" s="741"/>
      <c r="HLT451" s="741"/>
      <c r="HLU451" s="741"/>
      <c r="HLV451" s="741"/>
      <c r="HLW451" s="741"/>
      <c r="HLX451" s="741"/>
      <c r="HLY451" s="741"/>
      <c r="HLZ451" s="741"/>
      <c r="HMA451" s="741"/>
      <c r="HMB451" s="741"/>
      <c r="HMC451" s="741"/>
      <c r="HMD451" s="741"/>
      <c r="HME451" s="741"/>
      <c r="HMF451" s="741"/>
      <c r="HMG451" s="741"/>
      <c r="HMH451" s="741"/>
      <c r="HMI451" s="741"/>
      <c r="HMJ451" s="741"/>
      <c r="HMK451" s="741"/>
      <c r="HML451" s="741"/>
      <c r="HMM451" s="741"/>
      <c r="HMN451" s="741"/>
      <c r="HMO451" s="741"/>
      <c r="HMP451" s="741"/>
      <c r="HMQ451" s="741"/>
      <c r="HMR451" s="741"/>
      <c r="HMS451" s="741"/>
      <c r="HMT451" s="741"/>
      <c r="HMU451" s="741"/>
      <c r="HMV451" s="741"/>
      <c r="HMW451" s="741"/>
      <c r="HMX451" s="741"/>
      <c r="HMY451" s="741"/>
      <c r="HMZ451" s="741"/>
      <c r="HNA451" s="741"/>
      <c r="HNB451" s="741"/>
      <c r="HNC451" s="741"/>
      <c r="HND451" s="741"/>
      <c r="HNE451" s="741"/>
      <c r="HNF451" s="741"/>
      <c r="HNG451" s="741"/>
      <c r="HNH451" s="741"/>
      <c r="HNI451" s="741"/>
      <c r="HNJ451" s="741"/>
      <c r="HNK451" s="741"/>
      <c r="HNL451" s="741"/>
      <c r="HNM451" s="741"/>
      <c r="HNN451" s="741"/>
      <c r="HNO451" s="741"/>
      <c r="HNP451" s="741"/>
      <c r="HNQ451" s="741"/>
      <c r="HNR451" s="741"/>
      <c r="HNS451" s="741"/>
      <c r="HNT451" s="741"/>
      <c r="HNU451" s="741"/>
      <c r="HNV451" s="741"/>
      <c r="HNW451" s="741"/>
      <c r="HNX451" s="741"/>
      <c r="HNY451" s="741"/>
      <c r="HNZ451" s="741"/>
      <c r="HOA451" s="741"/>
      <c r="HOB451" s="741"/>
      <c r="HOC451" s="741"/>
      <c r="HOD451" s="741"/>
      <c r="HOE451" s="741"/>
      <c r="HOF451" s="741"/>
      <c r="HOG451" s="741"/>
      <c r="HOH451" s="741"/>
      <c r="HOI451" s="741"/>
      <c r="HOJ451" s="741"/>
      <c r="HOK451" s="741"/>
      <c r="HOL451" s="741"/>
      <c r="HOM451" s="741"/>
      <c r="HON451" s="741"/>
      <c r="HOO451" s="741"/>
      <c r="HOP451" s="741"/>
      <c r="HOQ451" s="741"/>
      <c r="HOR451" s="741"/>
      <c r="HOS451" s="741"/>
      <c r="HOT451" s="741"/>
      <c r="HOU451" s="741"/>
      <c r="HOV451" s="741"/>
      <c r="HOW451" s="741"/>
      <c r="HOX451" s="741"/>
      <c r="HOY451" s="741"/>
      <c r="HOZ451" s="741"/>
      <c r="HPA451" s="741"/>
      <c r="HPB451" s="741"/>
      <c r="HPC451" s="741"/>
      <c r="HPD451" s="741"/>
      <c r="HPE451" s="741"/>
      <c r="HPF451" s="741"/>
      <c r="HPG451" s="741"/>
      <c r="HPH451" s="741"/>
      <c r="HPI451" s="741"/>
      <c r="HPJ451" s="741"/>
      <c r="HPK451" s="741"/>
      <c r="HPL451" s="741"/>
      <c r="HPM451" s="741"/>
      <c r="HPN451" s="741"/>
      <c r="HPO451" s="741"/>
      <c r="HPP451" s="741"/>
      <c r="HPQ451" s="741"/>
      <c r="HPR451" s="741"/>
      <c r="HPS451" s="741"/>
      <c r="HPT451" s="741"/>
      <c r="HPU451" s="741"/>
      <c r="HPV451" s="741"/>
      <c r="HPW451" s="741"/>
      <c r="HPX451" s="741"/>
      <c r="HPY451" s="741"/>
      <c r="HPZ451" s="741"/>
      <c r="HQA451" s="741"/>
      <c r="HQB451" s="741"/>
      <c r="HQC451" s="741"/>
      <c r="HQD451" s="741"/>
      <c r="HQE451" s="741"/>
      <c r="HQF451" s="741"/>
      <c r="HQG451" s="741"/>
      <c r="HQH451" s="741"/>
      <c r="HQI451" s="741"/>
      <c r="HQJ451" s="741"/>
      <c r="HQK451" s="741"/>
      <c r="HQL451" s="741"/>
      <c r="HQM451" s="741"/>
      <c r="HQN451" s="741"/>
      <c r="HQO451" s="741"/>
      <c r="HQP451" s="741"/>
      <c r="HQQ451" s="741"/>
      <c r="HQR451" s="741"/>
      <c r="HQS451" s="741"/>
      <c r="HQT451" s="741"/>
      <c r="HQU451" s="741"/>
      <c r="HQV451" s="741"/>
      <c r="HQW451" s="741"/>
      <c r="HQX451" s="741"/>
      <c r="HQY451" s="741"/>
      <c r="HQZ451" s="741"/>
      <c r="HRA451" s="741"/>
      <c r="HRB451" s="741"/>
      <c r="HRC451" s="741"/>
      <c r="HRD451" s="741"/>
      <c r="HRE451" s="741"/>
      <c r="HRF451" s="741"/>
      <c r="HRG451" s="741"/>
      <c r="HRH451" s="741"/>
      <c r="HRI451" s="741"/>
      <c r="HRJ451" s="741"/>
      <c r="HRK451" s="741"/>
      <c r="HRL451" s="741"/>
      <c r="HRM451" s="741"/>
      <c r="HRN451" s="741"/>
      <c r="HRO451" s="741"/>
      <c r="HRP451" s="741"/>
      <c r="HRQ451" s="741"/>
      <c r="HRR451" s="741"/>
      <c r="HRS451" s="741"/>
      <c r="HRT451" s="741"/>
      <c r="HRU451" s="741"/>
      <c r="HRV451" s="741"/>
      <c r="HRW451" s="741"/>
      <c r="HRX451" s="741"/>
      <c r="HRY451" s="741"/>
      <c r="HRZ451" s="741"/>
      <c r="HSA451" s="741"/>
      <c r="HSB451" s="741"/>
      <c r="HSC451" s="741"/>
      <c r="HSD451" s="741"/>
      <c r="HSE451" s="741"/>
      <c r="HSF451" s="741"/>
      <c r="HSG451" s="741"/>
      <c r="HSH451" s="741"/>
      <c r="HSI451" s="741"/>
      <c r="HSJ451" s="741"/>
      <c r="HSK451" s="741"/>
      <c r="HSL451" s="741"/>
      <c r="HSM451" s="741"/>
      <c r="HSN451" s="741"/>
      <c r="HSO451" s="741"/>
      <c r="HSP451" s="741"/>
      <c r="HSQ451" s="741"/>
      <c r="HSR451" s="741"/>
      <c r="HSS451" s="741"/>
      <c r="HST451" s="741"/>
      <c r="HSU451" s="741"/>
      <c r="HSV451" s="741"/>
      <c r="HSW451" s="741"/>
      <c r="HSX451" s="741"/>
      <c r="HSY451" s="741"/>
      <c r="HSZ451" s="741"/>
      <c r="HTA451" s="741"/>
      <c r="HTB451" s="741"/>
      <c r="HTC451" s="741"/>
      <c r="HTD451" s="741"/>
      <c r="HTE451" s="741"/>
      <c r="HTF451" s="741"/>
      <c r="HTG451" s="741"/>
      <c r="HTH451" s="741"/>
      <c r="HTI451" s="741"/>
      <c r="HTJ451" s="741"/>
      <c r="HTK451" s="741"/>
      <c r="HTL451" s="741"/>
      <c r="HTM451" s="741"/>
      <c r="HTN451" s="741"/>
      <c r="HTO451" s="741"/>
      <c r="HTP451" s="741"/>
      <c r="HTQ451" s="741"/>
      <c r="HTR451" s="741"/>
      <c r="HTS451" s="741"/>
      <c r="HTT451" s="741"/>
      <c r="HTU451" s="741"/>
      <c r="HTV451" s="741"/>
      <c r="HTW451" s="741"/>
      <c r="HTX451" s="741"/>
      <c r="HTY451" s="741"/>
      <c r="HTZ451" s="741"/>
      <c r="HUA451" s="741"/>
      <c r="HUB451" s="741"/>
      <c r="HUC451" s="741"/>
      <c r="HUD451" s="741"/>
      <c r="HUE451" s="741"/>
      <c r="HUF451" s="741"/>
      <c r="HUG451" s="741"/>
      <c r="HUH451" s="741"/>
      <c r="HUI451" s="741"/>
      <c r="HUJ451" s="741"/>
      <c r="HUK451" s="741"/>
      <c r="HUL451" s="741"/>
      <c r="HUM451" s="741"/>
      <c r="HUN451" s="741"/>
      <c r="HUO451" s="741"/>
      <c r="HUP451" s="741"/>
      <c r="HUQ451" s="741"/>
      <c r="HUR451" s="741"/>
      <c r="HUS451" s="741"/>
      <c r="HUT451" s="741"/>
      <c r="HUU451" s="741"/>
      <c r="HUV451" s="741"/>
      <c r="HUW451" s="741"/>
      <c r="HUX451" s="741"/>
      <c r="HUY451" s="741"/>
      <c r="HUZ451" s="741"/>
      <c r="HVA451" s="741"/>
      <c r="HVB451" s="741"/>
      <c r="HVC451" s="741"/>
      <c r="HVD451" s="741"/>
      <c r="HVE451" s="741"/>
      <c r="HVF451" s="741"/>
      <c r="HVG451" s="741"/>
      <c r="HVH451" s="741"/>
      <c r="HVI451" s="741"/>
      <c r="HVJ451" s="741"/>
      <c r="HVK451" s="741"/>
      <c r="HVL451" s="741"/>
      <c r="HVM451" s="741"/>
      <c r="HVN451" s="741"/>
      <c r="HVO451" s="741"/>
      <c r="HVP451" s="741"/>
      <c r="HVQ451" s="741"/>
      <c r="HVR451" s="741"/>
      <c r="HVS451" s="741"/>
      <c r="HVT451" s="741"/>
      <c r="HVU451" s="741"/>
      <c r="HVV451" s="741"/>
      <c r="HVW451" s="741"/>
      <c r="HVX451" s="741"/>
      <c r="HVY451" s="741"/>
      <c r="HVZ451" s="741"/>
      <c r="HWA451" s="741"/>
      <c r="HWB451" s="741"/>
      <c r="HWC451" s="741"/>
      <c r="HWD451" s="741"/>
      <c r="HWE451" s="741"/>
      <c r="HWF451" s="741"/>
      <c r="HWG451" s="741"/>
      <c r="HWH451" s="741"/>
      <c r="HWI451" s="741"/>
      <c r="HWJ451" s="741"/>
      <c r="HWK451" s="741"/>
      <c r="HWL451" s="741"/>
      <c r="HWM451" s="741"/>
      <c r="HWN451" s="741"/>
      <c r="HWO451" s="741"/>
      <c r="HWP451" s="741"/>
      <c r="HWQ451" s="741"/>
      <c r="HWR451" s="741"/>
      <c r="HWS451" s="741"/>
      <c r="HWT451" s="741"/>
      <c r="HWU451" s="741"/>
      <c r="HWV451" s="741"/>
      <c r="HWW451" s="741"/>
      <c r="HWX451" s="741"/>
      <c r="HWY451" s="741"/>
      <c r="HWZ451" s="741"/>
      <c r="HXA451" s="741"/>
      <c r="HXB451" s="741"/>
      <c r="HXC451" s="741"/>
      <c r="HXD451" s="741"/>
      <c r="HXE451" s="741"/>
      <c r="HXF451" s="741"/>
      <c r="HXG451" s="741"/>
      <c r="HXH451" s="741"/>
      <c r="HXI451" s="741"/>
      <c r="HXJ451" s="741"/>
      <c r="HXK451" s="741"/>
      <c r="HXL451" s="741"/>
      <c r="HXM451" s="741"/>
      <c r="HXN451" s="741"/>
      <c r="HXO451" s="741"/>
      <c r="HXP451" s="741"/>
      <c r="HXQ451" s="741"/>
      <c r="HXR451" s="741"/>
      <c r="HXS451" s="741"/>
      <c r="HXT451" s="741"/>
      <c r="HXU451" s="741"/>
      <c r="HXV451" s="741"/>
      <c r="HXW451" s="741"/>
      <c r="HXX451" s="741"/>
      <c r="HXY451" s="741"/>
      <c r="HXZ451" s="741"/>
      <c r="HYA451" s="741"/>
      <c r="HYB451" s="741"/>
      <c r="HYC451" s="741"/>
      <c r="HYD451" s="741"/>
      <c r="HYE451" s="741"/>
      <c r="HYF451" s="741"/>
      <c r="HYG451" s="741"/>
      <c r="HYH451" s="741"/>
      <c r="HYI451" s="741"/>
      <c r="HYJ451" s="741"/>
      <c r="HYK451" s="741"/>
      <c r="HYL451" s="741"/>
      <c r="HYM451" s="741"/>
      <c r="HYN451" s="741"/>
      <c r="HYO451" s="741"/>
      <c r="HYP451" s="741"/>
      <c r="HYQ451" s="741"/>
      <c r="HYR451" s="741"/>
      <c r="HYS451" s="741"/>
      <c r="HYT451" s="741"/>
      <c r="HYU451" s="741"/>
      <c r="HYV451" s="741"/>
      <c r="HYW451" s="741"/>
      <c r="HYX451" s="741"/>
      <c r="HYY451" s="741"/>
      <c r="HYZ451" s="741"/>
      <c r="HZA451" s="741"/>
      <c r="HZB451" s="741"/>
      <c r="HZC451" s="741"/>
      <c r="HZD451" s="741"/>
      <c r="HZE451" s="741"/>
      <c r="HZF451" s="741"/>
      <c r="HZG451" s="741"/>
      <c r="HZH451" s="741"/>
      <c r="HZI451" s="741"/>
      <c r="HZJ451" s="741"/>
      <c r="HZK451" s="741"/>
      <c r="HZL451" s="741"/>
      <c r="HZM451" s="741"/>
      <c r="HZN451" s="741"/>
      <c r="HZO451" s="741"/>
      <c r="HZP451" s="741"/>
      <c r="HZQ451" s="741"/>
      <c r="HZR451" s="741"/>
      <c r="HZS451" s="741"/>
      <c r="HZT451" s="741"/>
      <c r="HZU451" s="741"/>
      <c r="HZV451" s="741"/>
      <c r="HZW451" s="741"/>
      <c r="HZX451" s="741"/>
      <c r="HZY451" s="741"/>
      <c r="HZZ451" s="741"/>
      <c r="IAA451" s="741"/>
      <c r="IAB451" s="741"/>
      <c r="IAC451" s="741"/>
      <c r="IAD451" s="741"/>
      <c r="IAE451" s="741"/>
      <c r="IAF451" s="741"/>
      <c r="IAG451" s="741"/>
      <c r="IAH451" s="741"/>
      <c r="IAI451" s="741"/>
      <c r="IAJ451" s="741"/>
      <c r="IAK451" s="741"/>
      <c r="IAL451" s="741"/>
      <c r="IAM451" s="741"/>
      <c r="IAN451" s="741"/>
      <c r="IAO451" s="741"/>
      <c r="IAP451" s="741"/>
      <c r="IAQ451" s="741"/>
      <c r="IAR451" s="741"/>
      <c r="IAS451" s="741"/>
      <c r="IAT451" s="741"/>
      <c r="IAU451" s="741"/>
      <c r="IAV451" s="741"/>
      <c r="IAW451" s="741"/>
      <c r="IAX451" s="741"/>
      <c r="IAY451" s="741"/>
      <c r="IAZ451" s="741"/>
      <c r="IBA451" s="741"/>
      <c r="IBB451" s="741"/>
      <c r="IBC451" s="741"/>
      <c r="IBD451" s="741"/>
      <c r="IBE451" s="741"/>
      <c r="IBF451" s="741"/>
      <c r="IBG451" s="741"/>
      <c r="IBH451" s="741"/>
      <c r="IBI451" s="741"/>
      <c r="IBJ451" s="741"/>
      <c r="IBK451" s="741"/>
      <c r="IBL451" s="741"/>
      <c r="IBM451" s="741"/>
      <c r="IBN451" s="741"/>
      <c r="IBO451" s="741"/>
      <c r="IBP451" s="741"/>
      <c r="IBQ451" s="741"/>
      <c r="IBR451" s="741"/>
      <c r="IBS451" s="741"/>
      <c r="IBT451" s="741"/>
      <c r="IBU451" s="741"/>
      <c r="IBV451" s="741"/>
      <c r="IBW451" s="741"/>
      <c r="IBX451" s="741"/>
      <c r="IBY451" s="741"/>
      <c r="IBZ451" s="741"/>
      <c r="ICA451" s="741"/>
      <c r="ICB451" s="741"/>
      <c r="ICC451" s="741"/>
      <c r="ICD451" s="741"/>
      <c r="ICE451" s="741"/>
      <c r="ICF451" s="741"/>
      <c r="ICG451" s="741"/>
      <c r="ICH451" s="741"/>
      <c r="ICI451" s="741"/>
      <c r="ICJ451" s="741"/>
      <c r="ICK451" s="741"/>
      <c r="ICL451" s="741"/>
      <c r="ICM451" s="741"/>
      <c r="ICN451" s="741"/>
      <c r="ICO451" s="741"/>
      <c r="ICP451" s="741"/>
      <c r="ICQ451" s="741"/>
      <c r="ICR451" s="741"/>
      <c r="ICS451" s="741"/>
      <c r="ICT451" s="741"/>
      <c r="ICU451" s="741"/>
      <c r="ICV451" s="741"/>
      <c r="ICW451" s="741"/>
      <c r="ICX451" s="741"/>
      <c r="ICY451" s="741"/>
      <c r="ICZ451" s="741"/>
      <c r="IDA451" s="741"/>
      <c r="IDB451" s="741"/>
      <c r="IDC451" s="741"/>
      <c r="IDD451" s="741"/>
      <c r="IDE451" s="741"/>
      <c r="IDF451" s="741"/>
      <c r="IDG451" s="741"/>
      <c r="IDH451" s="741"/>
      <c r="IDI451" s="741"/>
      <c r="IDJ451" s="741"/>
      <c r="IDK451" s="741"/>
      <c r="IDL451" s="741"/>
      <c r="IDM451" s="741"/>
      <c r="IDN451" s="741"/>
      <c r="IDO451" s="741"/>
      <c r="IDP451" s="741"/>
      <c r="IDQ451" s="741"/>
      <c r="IDR451" s="741"/>
      <c r="IDS451" s="741"/>
      <c r="IDT451" s="741"/>
      <c r="IDU451" s="741"/>
      <c r="IDV451" s="741"/>
      <c r="IDW451" s="741"/>
      <c r="IDX451" s="741"/>
      <c r="IDY451" s="741"/>
      <c r="IDZ451" s="741"/>
      <c r="IEA451" s="741"/>
      <c r="IEB451" s="741"/>
      <c r="IEC451" s="741"/>
      <c r="IED451" s="741"/>
      <c r="IEE451" s="741"/>
      <c r="IEF451" s="741"/>
      <c r="IEG451" s="741"/>
      <c r="IEH451" s="741"/>
      <c r="IEI451" s="741"/>
      <c r="IEJ451" s="741"/>
      <c r="IEK451" s="741"/>
      <c r="IEL451" s="741"/>
      <c r="IEM451" s="741"/>
      <c r="IEN451" s="741"/>
      <c r="IEO451" s="741"/>
      <c r="IEP451" s="741"/>
      <c r="IEQ451" s="741"/>
      <c r="IER451" s="741"/>
      <c r="IES451" s="741"/>
      <c r="IET451" s="741"/>
      <c r="IEU451" s="741"/>
      <c r="IEV451" s="741"/>
      <c r="IEW451" s="741"/>
      <c r="IEX451" s="741"/>
      <c r="IEY451" s="741"/>
      <c r="IEZ451" s="741"/>
      <c r="IFA451" s="741"/>
      <c r="IFB451" s="741"/>
      <c r="IFC451" s="741"/>
      <c r="IFD451" s="741"/>
      <c r="IFE451" s="741"/>
      <c r="IFF451" s="741"/>
      <c r="IFG451" s="741"/>
      <c r="IFH451" s="741"/>
      <c r="IFI451" s="741"/>
      <c r="IFJ451" s="741"/>
      <c r="IFK451" s="741"/>
      <c r="IFL451" s="741"/>
      <c r="IFM451" s="741"/>
      <c r="IFN451" s="741"/>
      <c r="IFO451" s="741"/>
      <c r="IFP451" s="741"/>
      <c r="IFQ451" s="741"/>
      <c r="IFR451" s="741"/>
      <c r="IFS451" s="741"/>
      <c r="IFT451" s="741"/>
      <c r="IFU451" s="741"/>
      <c r="IFV451" s="741"/>
      <c r="IFW451" s="741"/>
      <c r="IFX451" s="741"/>
      <c r="IFY451" s="741"/>
      <c r="IFZ451" s="741"/>
      <c r="IGA451" s="741"/>
      <c r="IGB451" s="741"/>
      <c r="IGC451" s="741"/>
      <c r="IGD451" s="741"/>
      <c r="IGE451" s="741"/>
      <c r="IGF451" s="741"/>
      <c r="IGG451" s="741"/>
      <c r="IGH451" s="741"/>
      <c r="IGI451" s="741"/>
      <c r="IGJ451" s="741"/>
      <c r="IGK451" s="741"/>
      <c r="IGL451" s="741"/>
      <c r="IGM451" s="741"/>
      <c r="IGN451" s="741"/>
      <c r="IGO451" s="741"/>
      <c r="IGP451" s="741"/>
      <c r="IGQ451" s="741"/>
      <c r="IGR451" s="741"/>
      <c r="IGS451" s="741"/>
      <c r="IGT451" s="741"/>
      <c r="IGU451" s="741"/>
      <c r="IGV451" s="741"/>
      <c r="IGW451" s="741"/>
      <c r="IGX451" s="741"/>
      <c r="IGY451" s="741"/>
      <c r="IGZ451" s="741"/>
      <c r="IHA451" s="741"/>
      <c r="IHB451" s="741"/>
      <c r="IHC451" s="741"/>
      <c r="IHD451" s="741"/>
      <c r="IHE451" s="741"/>
      <c r="IHF451" s="741"/>
      <c r="IHG451" s="741"/>
      <c r="IHH451" s="741"/>
      <c r="IHI451" s="741"/>
      <c r="IHJ451" s="741"/>
      <c r="IHK451" s="741"/>
      <c r="IHL451" s="741"/>
      <c r="IHM451" s="741"/>
      <c r="IHN451" s="741"/>
      <c r="IHO451" s="741"/>
      <c r="IHP451" s="741"/>
      <c r="IHQ451" s="741"/>
      <c r="IHR451" s="741"/>
      <c r="IHS451" s="741"/>
      <c r="IHT451" s="741"/>
      <c r="IHU451" s="741"/>
      <c r="IHV451" s="741"/>
      <c r="IHW451" s="741"/>
      <c r="IHX451" s="741"/>
      <c r="IHY451" s="741"/>
      <c r="IHZ451" s="741"/>
      <c r="IIA451" s="741"/>
      <c r="IIB451" s="741"/>
      <c r="IIC451" s="741"/>
      <c r="IID451" s="741"/>
      <c r="IIE451" s="741"/>
      <c r="IIF451" s="741"/>
      <c r="IIG451" s="741"/>
      <c r="IIH451" s="741"/>
      <c r="III451" s="741"/>
      <c r="IIJ451" s="741"/>
      <c r="IIK451" s="741"/>
      <c r="IIL451" s="741"/>
      <c r="IIM451" s="741"/>
      <c r="IIN451" s="741"/>
      <c r="IIO451" s="741"/>
      <c r="IIP451" s="741"/>
      <c r="IIQ451" s="741"/>
      <c r="IIR451" s="741"/>
      <c r="IIS451" s="741"/>
      <c r="IIT451" s="741"/>
      <c r="IIU451" s="741"/>
      <c r="IIV451" s="741"/>
      <c r="IIW451" s="741"/>
      <c r="IIX451" s="741"/>
      <c r="IIY451" s="741"/>
      <c r="IIZ451" s="741"/>
      <c r="IJA451" s="741"/>
      <c r="IJB451" s="741"/>
      <c r="IJC451" s="741"/>
      <c r="IJD451" s="741"/>
      <c r="IJE451" s="741"/>
      <c r="IJF451" s="741"/>
      <c r="IJG451" s="741"/>
      <c r="IJH451" s="741"/>
      <c r="IJI451" s="741"/>
      <c r="IJJ451" s="741"/>
      <c r="IJK451" s="741"/>
      <c r="IJL451" s="741"/>
      <c r="IJM451" s="741"/>
      <c r="IJN451" s="741"/>
      <c r="IJO451" s="741"/>
      <c r="IJP451" s="741"/>
      <c r="IJQ451" s="741"/>
      <c r="IJR451" s="741"/>
      <c r="IJS451" s="741"/>
      <c r="IJT451" s="741"/>
      <c r="IJU451" s="741"/>
      <c r="IJV451" s="741"/>
      <c r="IJW451" s="741"/>
      <c r="IJX451" s="741"/>
      <c r="IJY451" s="741"/>
      <c r="IJZ451" s="741"/>
      <c r="IKA451" s="741"/>
      <c r="IKB451" s="741"/>
      <c r="IKC451" s="741"/>
      <c r="IKD451" s="741"/>
      <c r="IKE451" s="741"/>
      <c r="IKF451" s="741"/>
      <c r="IKG451" s="741"/>
      <c r="IKH451" s="741"/>
      <c r="IKI451" s="741"/>
      <c r="IKJ451" s="741"/>
      <c r="IKK451" s="741"/>
      <c r="IKL451" s="741"/>
      <c r="IKM451" s="741"/>
      <c r="IKN451" s="741"/>
      <c r="IKO451" s="741"/>
      <c r="IKP451" s="741"/>
      <c r="IKQ451" s="741"/>
      <c r="IKR451" s="741"/>
      <c r="IKS451" s="741"/>
      <c r="IKT451" s="741"/>
      <c r="IKU451" s="741"/>
      <c r="IKV451" s="741"/>
      <c r="IKW451" s="741"/>
      <c r="IKX451" s="741"/>
      <c r="IKY451" s="741"/>
      <c r="IKZ451" s="741"/>
      <c r="ILA451" s="741"/>
      <c r="ILB451" s="741"/>
      <c r="ILC451" s="741"/>
      <c r="ILD451" s="741"/>
      <c r="ILE451" s="741"/>
      <c r="ILF451" s="741"/>
      <c r="ILG451" s="741"/>
      <c r="ILH451" s="741"/>
      <c r="ILI451" s="741"/>
      <c r="ILJ451" s="741"/>
      <c r="ILK451" s="741"/>
      <c r="ILL451" s="741"/>
      <c r="ILM451" s="741"/>
      <c r="ILN451" s="741"/>
      <c r="ILO451" s="741"/>
      <c r="ILP451" s="741"/>
      <c r="ILQ451" s="741"/>
      <c r="ILR451" s="741"/>
      <c r="ILS451" s="741"/>
      <c r="ILT451" s="741"/>
      <c r="ILU451" s="741"/>
      <c r="ILV451" s="741"/>
      <c r="ILW451" s="741"/>
      <c r="ILX451" s="741"/>
      <c r="ILY451" s="741"/>
      <c r="ILZ451" s="741"/>
      <c r="IMA451" s="741"/>
      <c r="IMB451" s="741"/>
      <c r="IMC451" s="741"/>
      <c r="IMD451" s="741"/>
      <c r="IME451" s="741"/>
      <c r="IMF451" s="741"/>
      <c r="IMG451" s="741"/>
      <c r="IMH451" s="741"/>
      <c r="IMI451" s="741"/>
      <c r="IMJ451" s="741"/>
      <c r="IMK451" s="741"/>
      <c r="IML451" s="741"/>
      <c r="IMM451" s="741"/>
      <c r="IMN451" s="741"/>
      <c r="IMO451" s="741"/>
      <c r="IMP451" s="741"/>
      <c r="IMQ451" s="741"/>
      <c r="IMR451" s="741"/>
      <c r="IMS451" s="741"/>
      <c r="IMT451" s="741"/>
      <c r="IMU451" s="741"/>
      <c r="IMV451" s="741"/>
      <c r="IMW451" s="741"/>
      <c r="IMX451" s="741"/>
      <c r="IMY451" s="741"/>
      <c r="IMZ451" s="741"/>
      <c r="INA451" s="741"/>
      <c r="INB451" s="741"/>
      <c r="INC451" s="741"/>
      <c r="IND451" s="741"/>
      <c r="INE451" s="741"/>
      <c r="INF451" s="741"/>
      <c r="ING451" s="741"/>
      <c r="INH451" s="741"/>
      <c r="INI451" s="741"/>
      <c r="INJ451" s="741"/>
      <c r="INK451" s="741"/>
      <c r="INL451" s="741"/>
      <c r="INM451" s="741"/>
      <c r="INN451" s="741"/>
      <c r="INO451" s="741"/>
      <c r="INP451" s="741"/>
      <c r="INQ451" s="741"/>
      <c r="INR451" s="741"/>
      <c r="INS451" s="741"/>
      <c r="INT451" s="741"/>
      <c r="INU451" s="741"/>
      <c r="INV451" s="741"/>
      <c r="INW451" s="741"/>
      <c r="INX451" s="741"/>
      <c r="INY451" s="741"/>
      <c r="INZ451" s="741"/>
      <c r="IOA451" s="741"/>
      <c r="IOB451" s="741"/>
      <c r="IOC451" s="741"/>
      <c r="IOD451" s="741"/>
      <c r="IOE451" s="741"/>
      <c r="IOF451" s="741"/>
      <c r="IOG451" s="741"/>
      <c r="IOH451" s="741"/>
      <c r="IOI451" s="741"/>
      <c r="IOJ451" s="741"/>
      <c r="IOK451" s="741"/>
      <c r="IOL451" s="741"/>
      <c r="IOM451" s="741"/>
      <c r="ION451" s="741"/>
      <c r="IOO451" s="741"/>
      <c r="IOP451" s="741"/>
      <c r="IOQ451" s="741"/>
      <c r="IOR451" s="741"/>
      <c r="IOS451" s="741"/>
      <c r="IOT451" s="741"/>
      <c r="IOU451" s="741"/>
      <c r="IOV451" s="741"/>
      <c r="IOW451" s="741"/>
      <c r="IOX451" s="741"/>
      <c r="IOY451" s="741"/>
      <c r="IOZ451" s="741"/>
      <c r="IPA451" s="741"/>
      <c r="IPB451" s="741"/>
      <c r="IPC451" s="741"/>
      <c r="IPD451" s="741"/>
      <c r="IPE451" s="741"/>
      <c r="IPF451" s="741"/>
      <c r="IPG451" s="741"/>
      <c r="IPH451" s="741"/>
      <c r="IPI451" s="741"/>
      <c r="IPJ451" s="741"/>
      <c r="IPK451" s="741"/>
      <c r="IPL451" s="741"/>
      <c r="IPM451" s="741"/>
      <c r="IPN451" s="741"/>
      <c r="IPO451" s="741"/>
      <c r="IPP451" s="741"/>
      <c r="IPQ451" s="741"/>
      <c r="IPR451" s="741"/>
      <c r="IPS451" s="741"/>
      <c r="IPT451" s="741"/>
      <c r="IPU451" s="741"/>
      <c r="IPV451" s="741"/>
      <c r="IPW451" s="741"/>
      <c r="IPX451" s="741"/>
      <c r="IPY451" s="741"/>
      <c r="IPZ451" s="741"/>
      <c r="IQA451" s="741"/>
      <c r="IQB451" s="741"/>
      <c r="IQC451" s="741"/>
      <c r="IQD451" s="741"/>
      <c r="IQE451" s="741"/>
      <c r="IQF451" s="741"/>
      <c r="IQG451" s="741"/>
      <c r="IQH451" s="741"/>
      <c r="IQI451" s="741"/>
      <c r="IQJ451" s="741"/>
      <c r="IQK451" s="741"/>
      <c r="IQL451" s="741"/>
      <c r="IQM451" s="741"/>
      <c r="IQN451" s="741"/>
      <c r="IQO451" s="741"/>
      <c r="IQP451" s="741"/>
      <c r="IQQ451" s="741"/>
      <c r="IQR451" s="741"/>
      <c r="IQS451" s="741"/>
      <c r="IQT451" s="741"/>
      <c r="IQU451" s="741"/>
      <c r="IQV451" s="741"/>
      <c r="IQW451" s="741"/>
      <c r="IQX451" s="741"/>
      <c r="IQY451" s="741"/>
      <c r="IQZ451" s="741"/>
      <c r="IRA451" s="741"/>
      <c r="IRB451" s="741"/>
      <c r="IRC451" s="741"/>
      <c r="IRD451" s="741"/>
      <c r="IRE451" s="741"/>
      <c r="IRF451" s="741"/>
      <c r="IRG451" s="741"/>
      <c r="IRH451" s="741"/>
      <c r="IRI451" s="741"/>
      <c r="IRJ451" s="741"/>
      <c r="IRK451" s="741"/>
      <c r="IRL451" s="741"/>
      <c r="IRM451" s="741"/>
      <c r="IRN451" s="741"/>
      <c r="IRO451" s="741"/>
      <c r="IRP451" s="741"/>
      <c r="IRQ451" s="741"/>
      <c r="IRR451" s="741"/>
      <c r="IRS451" s="741"/>
      <c r="IRT451" s="741"/>
      <c r="IRU451" s="741"/>
      <c r="IRV451" s="741"/>
      <c r="IRW451" s="741"/>
      <c r="IRX451" s="741"/>
      <c r="IRY451" s="741"/>
      <c r="IRZ451" s="741"/>
      <c r="ISA451" s="741"/>
      <c r="ISB451" s="741"/>
      <c r="ISC451" s="741"/>
      <c r="ISD451" s="741"/>
      <c r="ISE451" s="741"/>
      <c r="ISF451" s="741"/>
      <c r="ISG451" s="741"/>
      <c r="ISH451" s="741"/>
      <c r="ISI451" s="741"/>
      <c r="ISJ451" s="741"/>
      <c r="ISK451" s="741"/>
      <c r="ISL451" s="741"/>
      <c r="ISM451" s="741"/>
      <c r="ISN451" s="741"/>
      <c r="ISO451" s="741"/>
      <c r="ISP451" s="741"/>
      <c r="ISQ451" s="741"/>
      <c r="ISR451" s="741"/>
      <c r="ISS451" s="741"/>
      <c r="IST451" s="741"/>
      <c r="ISU451" s="741"/>
      <c r="ISV451" s="741"/>
      <c r="ISW451" s="741"/>
      <c r="ISX451" s="741"/>
      <c r="ISY451" s="741"/>
      <c r="ISZ451" s="741"/>
      <c r="ITA451" s="741"/>
      <c r="ITB451" s="741"/>
      <c r="ITC451" s="741"/>
      <c r="ITD451" s="741"/>
      <c r="ITE451" s="741"/>
      <c r="ITF451" s="741"/>
      <c r="ITG451" s="741"/>
      <c r="ITH451" s="741"/>
      <c r="ITI451" s="741"/>
      <c r="ITJ451" s="741"/>
      <c r="ITK451" s="741"/>
      <c r="ITL451" s="741"/>
      <c r="ITM451" s="741"/>
      <c r="ITN451" s="741"/>
      <c r="ITO451" s="741"/>
      <c r="ITP451" s="741"/>
      <c r="ITQ451" s="741"/>
      <c r="ITR451" s="741"/>
      <c r="ITS451" s="741"/>
      <c r="ITT451" s="741"/>
      <c r="ITU451" s="741"/>
      <c r="ITV451" s="741"/>
      <c r="ITW451" s="741"/>
      <c r="ITX451" s="741"/>
      <c r="ITY451" s="741"/>
      <c r="ITZ451" s="741"/>
      <c r="IUA451" s="741"/>
      <c r="IUB451" s="741"/>
      <c r="IUC451" s="741"/>
      <c r="IUD451" s="741"/>
      <c r="IUE451" s="741"/>
      <c r="IUF451" s="741"/>
      <c r="IUG451" s="741"/>
      <c r="IUH451" s="741"/>
      <c r="IUI451" s="741"/>
      <c r="IUJ451" s="741"/>
      <c r="IUK451" s="741"/>
      <c r="IUL451" s="741"/>
      <c r="IUM451" s="741"/>
      <c r="IUN451" s="741"/>
      <c r="IUO451" s="741"/>
      <c r="IUP451" s="741"/>
      <c r="IUQ451" s="741"/>
      <c r="IUR451" s="741"/>
      <c r="IUS451" s="741"/>
      <c r="IUT451" s="741"/>
      <c r="IUU451" s="741"/>
      <c r="IUV451" s="741"/>
      <c r="IUW451" s="741"/>
      <c r="IUX451" s="741"/>
      <c r="IUY451" s="741"/>
      <c r="IUZ451" s="741"/>
      <c r="IVA451" s="741"/>
      <c r="IVB451" s="741"/>
      <c r="IVC451" s="741"/>
      <c r="IVD451" s="741"/>
      <c r="IVE451" s="741"/>
      <c r="IVF451" s="741"/>
      <c r="IVG451" s="741"/>
      <c r="IVH451" s="741"/>
      <c r="IVI451" s="741"/>
      <c r="IVJ451" s="741"/>
      <c r="IVK451" s="741"/>
      <c r="IVL451" s="741"/>
      <c r="IVM451" s="741"/>
      <c r="IVN451" s="741"/>
      <c r="IVO451" s="741"/>
      <c r="IVP451" s="741"/>
      <c r="IVQ451" s="741"/>
      <c r="IVR451" s="741"/>
      <c r="IVS451" s="741"/>
      <c r="IVT451" s="741"/>
      <c r="IVU451" s="741"/>
      <c r="IVV451" s="741"/>
      <c r="IVW451" s="741"/>
      <c r="IVX451" s="741"/>
      <c r="IVY451" s="741"/>
      <c r="IVZ451" s="741"/>
      <c r="IWA451" s="741"/>
      <c r="IWB451" s="741"/>
      <c r="IWC451" s="741"/>
      <c r="IWD451" s="741"/>
      <c r="IWE451" s="741"/>
      <c r="IWF451" s="741"/>
      <c r="IWG451" s="741"/>
      <c r="IWH451" s="741"/>
      <c r="IWI451" s="741"/>
      <c r="IWJ451" s="741"/>
      <c r="IWK451" s="741"/>
      <c r="IWL451" s="741"/>
      <c r="IWM451" s="741"/>
      <c r="IWN451" s="741"/>
      <c r="IWO451" s="741"/>
      <c r="IWP451" s="741"/>
      <c r="IWQ451" s="741"/>
      <c r="IWR451" s="741"/>
      <c r="IWS451" s="741"/>
      <c r="IWT451" s="741"/>
      <c r="IWU451" s="741"/>
      <c r="IWV451" s="741"/>
      <c r="IWW451" s="741"/>
      <c r="IWX451" s="741"/>
      <c r="IWY451" s="741"/>
      <c r="IWZ451" s="741"/>
      <c r="IXA451" s="741"/>
      <c r="IXB451" s="741"/>
      <c r="IXC451" s="741"/>
      <c r="IXD451" s="741"/>
      <c r="IXE451" s="741"/>
      <c r="IXF451" s="741"/>
      <c r="IXG451" s="741"/>
      <c r="IXH451" s="741"/>
      <c r="IXI451" s="741"/>
      <c r="IXJ451" s="741"/>
      <c r="IXK451" s="741"/>
      <c r="IXL451" s="741"/>
      <c r="IXM451" s="741"/>
      <c r="IXN451" s="741"/>
      <c r="IXO451" s="741"/>
      <c r="IXP451" s="741"/>
      <c r="IXQ451" s="741"/>
      <c r="IXR451" s="741"/>
      <c r="IXS451" s="741"/>
      <c r="IXT451" s="741"/>
      <c r="IXU451" s="741"/>
      <c r="IXV451" s="741"/>
      <c r="IXW451" s="741"/>
      <c r="IXX451" s="741"/>
      <c r="IXY451" s="741"/>
      <c r="IXZ451" s="741"/>
      <c r="IYA451" s="741"/>
      <c r="IYB451" s="741"/>
      <c r="IYC451" s="741"/>
      <c r="IYD451" s="741"/>
      <c r="IYE451" s="741"/>
      <c r="IYF451" s="741"/>
      <c r="IYG451" s="741"/>
      <c r="IYH451" s="741"/>
      <c r="IYI451" s="741"/>
      <c r="IYJ451" s="741"/>
      <c r="IYK451" s="741"/>
      <c r="IYL451" s="741"/>
      <c r="IYM451" s="741"/>
      <c r="IYN451" s="741"/>
      <c r="IYO451" s="741"/>
      <c r="IYP451" s="741"/>
      <c r="IYQ451" s="741"/>
      <c r="IYR451" s="741"/>
      <c r="IYS451" s="741"/>
      <c r="IYT451" s="741"/>
      <c r="IYU451" s="741"/>
      <c r="IYV451" s="741"/>
      <c r="IYW451" s="741"/>
      <c r="IYX451" s="741"/>
      <c r="IYY451" s="741"/>
      <c r="IYZ451" s="741"/>
      <c r="IZA451" s="741"/>
      <c r="IZB451" s="741"/>
      <c r="IZC451" s="741"/>
      <c r="IZD451" s="741"/>
      <c r="IZE451" s="741"/>
      <c r="IZF451" s="741"/>
      <c r="IZG451" s="741"/>
      <c r="IZH451" s="741"/>
      <c r="IZI451" s="741"/>
      <c r="IZJ451" s="741"/>
      <c r="IZK451" s="741"/>
      <c r="IZL451" s="741"/>
      <c r="IZM451" s="741"/>
      <c r="IZN451" s="741"/>
      <c r="IZO451" s="741"/>
      <c r="IZP451" s="741"/>
      <c r="IZQ451" s="741"/>
      <c r="IZR451" s="741"/>
      <c r="IZS451" s="741"/>
      <c r="IZT451" s="741"/>
      <c r="IZU451" s="741"/>
      <c r="IZV451" s="741"/>
      <c r="IZW451" s="741"/>
      <c r="IZX451" s="741"/>
      <c r="IZY451" s="741"/>
      <c r="IZZ451" s="741"/>
      <c r="JAA451" s="741"/>
      <c r="JAB451" s="741"/>
      <c r="JAC451" s="741"/>
      <c r="JAD451" s="741"/>
      <c r="JAE451" s="741"/>
      <c r="JAF451" s="741"/>
      <c r="JAG451" s="741"/>
      <c r="JAH451" s="741"/>
      <c r="JAI451" s="741"/>
      <c r="JAJ451" s="741"/>
      <c r="JAK451" s="741"/>
      <c r="JAL451" s="741"/>
      <c r="JAM451" s="741"/>
      <c r="JAN451" s="741"/>
      <c r="JAO451" s="741"/>
      <c r="JAP451" s="741"/>
      <c r="JAQ451" s="741"/>
      <c r="JAR451" s="741"/>
      <c r="JAS451" s="741"/>
      <c r="JAT451" s="741"/>
      <c r="JAU451" s="741"/>
      <c r="JAV451" s="741"/>
      <c r="JAW451" s="741"/>
      <c r="JAX451" s="741"/>
      <c r="JAY451" s="741"/>
      <c r="JAZ451" s="741"/>
      <c r="JBA451" s="741"/>
      <c r="JBB451" s="741"/>
      <c r="JBC451" s="741"/>
      <c r="JBD451" s="741"/>
      <c r="JBE451" s="741"/>
      <c r="JBF451" s="741"/>
      <c r="JBG451" s="741"/>
      <c r="JBH451" s="741"/>
      <c r="JBI451" s="741"/>
      <c r="JBJ451" s="741"/>
      <c r="JBK451" s="741"/>
      <c r="JBL451" s="741"/>
      <c r="JBM451" s="741"/>
      <c r="JBN451" s="741"/>
      <c r="JBO451" s="741"/>
      <c r="JBP451" s="741"/>
      <c r="JBQ451" s="741"/>
      <c r="JBR451" s="741"/>
      <c r="JBS451" s="741"/>
      <c r="JBT451" s="741"/>
      <c r="JBU451" s="741"/>
      <c r="JBV451" s="741"/>
      <c r="JBW451" s="741"/>
      <c r="JBX451" s="741"/>
      <c r="JBY451" s="741"/>
      <c r="JBZ451" s="741"/>
      <c r="JCA451" s="741"/>
      <c r="JCB451" s="741"/>
      <c r="JCC451" s="741"/>
      <c r="JCD451" s="741"/>
      <c r="JCE451" s="741"/>
      <c r="JCF451" s="741"/>
      <c r="JCG451" s="741"/>
      <c r="JCH451" s="741"/>
      <c r="JCI451" s="741"/>
      <c r="JCJ451" s="741"/>
      <c r="JCK451" s="741"/>
      <c r="JCL451" s="741"/>
      <c r="JCM451" s="741"/>
      <c r="JCN451" s="741"/>
      <c r="JCO451" s="741"/>
      <c r="JCP451" s="741"/>
      <c r="JCQ451" s="741"/>
      <c r="JCR451" s="741"/>
      <c r="JCS451" s="741"/>
      <c r="JCT451" s="741"/>
      <c r="JCU451" s="741"/>
      <c r="JCV451" s="741"/>
      <c r="JCW451" s="741"/>
      <c r="JCX451" s="741"/>
      <c r="JCY451" s="741"/>
      <c r="JCZ451" s="741"/>
      <c r="JDA451" s="741"/>
      <c r="JDB451" s="741"/>
      <c r="JDC451" s="741"/>
      <c r="JDD451" s="741"/>
      <c r="JDE451" s="741"/>
      <c r="JDF451" s="741"/>
      <c r="JDG451" s="741"/>
      <c r="JDH451" s="741"/>
      <c r="JDI451" s="741"/>
      <c r="JDJ451" s="741"/>
      <c r="JDK451" s="741"/>
      <c r="JDL451" s="741"/>
      <c r="JDM451" s="741"/>
      <c r="JDN451" s="741"/>
      <c r="JDO451" s="741"/>
      <c r="JDP451" s="741"/>
      <c r="JDQ451" s="741"/>
      <c r="JDR451" s="741"/>
      <c r="JDS451" s="741"/>
      <c r="JDT451" s="741"/>
      <c r="JDU451" s="741"/>
      <c r="JDV451" s="741"/>
      <c r="JDW451" s="741"/>
      <c r="JDX451" s="741"/>
      <c r="JDY451" s="741"/>
      <c r="JDZ451" s="741"/>
      <c r="JEA451" s="741"/>
      <c r="JEB451" s="741"/>
      <c r="JEC451" s="741"/>
      <c r="JED451" s="741"/>
      <c r="JEE451" s="741"/>
      <c r="JEF451" s="741"/>
      <c r="JEG451" s="741"/>
      <c r="JEH451" s="741"/>
      <c r="JEI451" s="741"/>
      <c r="JEJ451" s="741"/>
      <c r="JEK451" s="741"/>
      <c r="JEL451" s="741"/>
      <c r="JEM451" s="741"/>
      <c r="JEN451" s="741"/>
      <c r="JEO451" s="741"/>
      <c r="JEP451" s="741"/>
      <c r="JEQ451" s="741"/>
      <c r="JER451" s="741"/>
      <c r="JES451" s="741"/>
      <c r="JET451" s="741"/>
      <c r="JEU451" s="741"/>
      <c r="JEV451" s="741"/>
      <c r="JEW451" s="741"/>
      <c r="JEX451" s="741"/>
      <c r="JEY451" s="741"/>
      <c r="JEZ451" s="741"/>
      <c r="JFA451" s="741"/>
      <c r="JFB451" s="741"/>
      <c r="JFC451" s="741"/>
      <c r="JFD451" s="741"/>
      <c r="JFE451" s="741"/>
      <c r="JFF451" s="741"/>
      <c r="JFG451" s="741"/>
      <c r="JFH451" s="741"/>
      <c r="JFI451" s="741"/>
      <c r="JFJ451" s="741"/>
      <c r="JFK451" s="741"/>
      <c r="JFL451" s="741"/>
      <c r="JFM451" s="741"/>
      <c r="JFN451" s="741"/>
      <c r="JFO451" s="741"/>
      <c r="JFP451" s="741"/>
      <c r="JFQ451" s="741"/>
      <c r="JFR451" s="741"/>
      <c r="JFS451" s="741"/>
      <c r="JFT451" s="741"/>
      <c r="JFU451" s="741"/>
      <c r="JFV451" s="741"/>
      <c r="JFW451" s="741"/>
      <c r="JFX451" s="741"/>
      <c r="JFY451" s="741"/>
      <c r="JFZ451" s="741"/>
      <c r="JGA451" s="741"/>
      <c r="JGB451" s="741"/>
      <c r="JGC451" s="741"/>
      <c r="JGD451" s="741"/>
      <c r="JGE451" s="741"/>
      <c r="JGF451" s="741"/>
      <c r="JGG451" s="741"/>
      <c r="JGH451" s="741"/>
      <c r="JGI451" s="741"/>
      <c r="JGJ451" s="741"/>
      <c r="JGK451" s="741"/>
      <c r="JGL451" s="741"/>
      <c r="JGM451" s="741"/>
      <c r="JGN451" s="741"/>
      <c r="JGO451" s="741"/>
      <c r="JGP451" s="741"/>
      <c r="JGQ451" s="741"/>
      <c r="JGR451" s="741"/>
      <c r="JGS451" s="741"/>
      <c r="JGT451" s="741"/>
      <c r="JGU451" s="741"/>
      <c r="JGV451" s="741"/>
      <c r="JGW451" s="741"/>
      <c r="JGX451" s="741"/>
      <c r="JGY451" s="741"/>
      <c r="JGZ451" s="741"/>
      <c r="JHA451" s="741"/>
      <c r="JHB451" s="741"/>
      <c r="JHC451" s="741"/>
      <c r="JHD451" s="741"/>
      <c r="JHE451" s="741"/>
      <c r="JHF451" s="741"/>
      <c r="JHG451" s="741"/>
      <c r="JHH451" s="741"/>
      <c r="JHI451" s="741"/>
      <c r="JHJ451" s="741"/>
      <c r="JHK451" s="741"/>
      <c r="JHL451" s="741"/>
      <c r="JHM451" s="741"/>
      <c r="JHN451" s="741"/>
      <c r="JHO451" s="741"/>
      <c r="JHP451" s="741"/>
      <c r="JHQ451" s="741"/>
      <c r="JHR451" s="741"/>
      <c r="JHS451" s="741"/>
      <c r="JHT451" s="741"/>
      <c r="JHU451" s="741"/>
      <c r="JHV451" s="741"/>
      <c r="JHW451" s="741"/>
      <c r="JHX451" s="741"/>
      <c r="JHY451" s="741"/>
      <c r="JHZ451" s="741"/>
      <c r="JIA451" s="741"/>
      <c r="JIB451" s="741"/>
      <c r="JIC451" s="741"/>
      <c r="JID451" s="741"/>
      <c r="JIE451" s="741"/>
      <c r="JIF451" s="741"/>
      <c r="JIG451" s="741"/>
      <c r="JIH451" s="741"/>
      <c r="JII451" s="741"/>
      <c r="JIJ451" s="741"/>
      <c r="JIK451" s="741"/>
      <c r="JIL451" s="741"/>
      <c r="JIM451" s="741"/>
      <c r="JIN451" s="741"/>
      <c r="JIO451" s="741"/>
      <c r="JIP451" s="741"/>
      <c r="JIQ451" s="741"/>
      <c r="JIR451" s="741"/>
      <c r="JIS451" s="741"/>
      <c r="JIT451" s="741"/>
      <c r="JIU451" s="741"/>
      <c r="JIV451" s="741"/>
      <c r="JIW451" s="741"/>
      <c r="JIX451" s="741"/>
      <c r="JIY451" s="741"/>
      <c r="JIZ451" s="741"/>
      <c r="JJA451" s="741"/>
      <c r="JJB451" s="741"/>
      <c r="JJC451" s="741"/>
      <c r="JJD451" s="741"/>
      <c r="JJE451" s="741"/>
      <c r="JJF451" s="741"/>
      <c r="JJG451" s="741"/>
      <c r="JJH451" s="741"/>
      <c r="JJI451" s="741"/>
      <c r="JJJ451" s="741"/>
      <c r="JJK451" s="741"/>
      <c r="JJL451" s="741"/>
      <c r="JJM451" s="741"/>
      <c r="JJN451" s="741"/>
      <c r="JJO451" s="741"/>
      <c r="JJP451" s="741"/>
      <c r="JJQ451" s="741"/>
      <c r="JJR451" s="741"/>
      <c r="JJS451" s="741"/>
      <c r="JJT451" s="741"/>
      <c r="JJU451" s="741"/>
      <c r="JJV451" s="741"/>
      <c r="JJW451" s="741"/>
      <c r="JJX451" s="741"/>
      <c r="JJY451" s="741"/>
      <c r="JJZ451" s="741"/>
      <c r="JKA451" s="741"/>
      <c r="JKB451" s="741"/>
      <c r="JKC451" s="741"/>
      <c r="JKD451" s="741"/>
      <c r="JKE451" s="741"/>
      <c r="JKF451" s="741"/>
      <c r="JKG451" s="741"/>
      <c r="JKH451" s="741"/>
      <c r="JKI451" s="741"/>
      <c r="JKJ451" s="741"/>
      <c r="JKK451" s="741"/>
      <c r="JKL451" s="741"/>
      <c r="JKM451" s="741"/>
      <c r="JKN451" s="741"/>
      <c r="JKO451" s="741"/>
      <c r="JKP451" s="741"/>
      <c r="JKQ451" s="741"/>
      <c r="JKR451" s="741"/>
      <c r="JKS451" s="741"/>
      <c r="JKT451" s="741"/>
      <c r="JKU451" s="741"/>
      <c r="JKV451" s="741"/>
      <c r="JKW451" s="741"/>
      <c r="JKX451" s="741"/>
      <c r="JKY451" s="741"/>
      <c r="JKZ451" s="741"/>
      <c r="JLA451" s="741"/>
      <c r="JLB451" s="741"/>
      <c r="JLC451" s="741"/>
      <c r="JLD451" s="741"/>
      <c r="JLE451" s="741"/>
      <c r="JLF451" s="741"/>
      <c r="JLG451" s="741"/>
      <c r="JLH451" s="741"/>
      <c r="JLI451" s="741"/>
      <c r="JLJ451" s="741"/>
      <c r="JLK451" s="741"/>
      <c r="JLL451" s="741"/>
      <c r="JLM451" s="741"/>
      <c r="JLN451" s="741"/>
      <c r="JLO451" s="741"/>
      <c r="JLP451" s="741"/>
      <c r="JLQ451" s="741"/>
      <c r="JLR451" s="741"/>
      <c r="JLS451" s="741"/>
      <c r="JLT451" s="741"/>
      <c r="JLU451" s="741"/>
      <c r="JLV451" s="741"/>
      <c r="JLW451" s="741"/>
      <c r="JLX451" s="741"/>
      <c r="JLY451" s="741"/>
      <c r="JLZ451" s="741"/>
      <c r="JMA451" s="741"/>
      <c r="JMB451" s="741"/>
      <c r="JMC451" s="741"/>
      <c r="JMD451" s="741"/>
      <c r="JME451" s="741"/>
      <c r="JMF451" s="741"/>
      <c r="JMG451" s="741"/>
      <c r="JMH451" s="741"/>
      <c r="JMI451" s="741"/>
      <c r="JMJ451" s="741"/>
      <c r="JMK451" s="741"/>
      <c r="JML451" s="741"/>
      <c r="JMM451" s="741"/>
      <c r="JMN451" s="741"/>
      <c r="JMO451" s="741"/>
      <c r="JMP451" s="741"/>
      <c r="JMQ451" s="741"/>
      <c r="JMR451" s="741"/>
      <c r="JMS451" s="741"/>
      <c r="JMT451" s="741"/>
      <c r="JMU451" s="741"/>
      <c r="JMV451" s="741"/>
      <c r="JMW451" s="741"/>
      <c r="JMX451" s="741"/>
      <c r="JMY451" s="741"/>
      <c r="JMZ451" s="741"/>
      <c r="JNA451" s="741"/>
      <c r="JNB451" s="741"/>
      <c r="JNC451" s="741"/>
      <c r="JND451" s="741"/>
      <c r="JNE451" s="741"/>
      <c r="JNF451" s="741"/>
      <c r="JNG451" s="741"/>
      <c r="JNH451" s="741"/>
      <c r="JNI451" s="741"/>
      <c r="JNJ451" s="741"/>
      <c r="JNK451" s="741"/>
      <c r="JNL451" s="741"/>
      <c r="JNM451" s="741"/>
      <c r="JNN451" s="741"/>
      <c r="JNO451" s="741"/>
      <c r="JNP451" s="741"/>
      <c r="JNQ451" s="741"/>
      <c r="JNR451" s="741"/>
      <c r="JNS451" s="741"/>
      <c r="JNT451" s="741"/>
      <c r="JNU451" s="741"/>
      <c r="JNV451" s="741"/>
      <c r="JNW451" s="741"/>
      <c r="JNX451" s="741"/>
      <c r="JNY451" s="741"/>
      <c r="JNZ451" s="741"/>
      <c r="JOA451" s="741"/>
      <c r="JOB451" s="741"/>
      <c r="JOC451" s="741"/>
      <c r="JOD451" s="741"/>
      <c r="JOE451" s="741"/>
      <c r="JOF451" s="741"/>
      <c r="JOG451" s="741"/>
      <c r="JOH451" s="741"/>
      <c r="JOI451" s="741"/>
      <c r="JOJ451" s="741"/>
      <c r="JOK451" s="741"/>
      <c r="JOL451" s="741"/>
      <c r="JOM451" s="741"/>
      <c r="JON451" s="741"/>
      <c r="JOO451" s="741"/>
      <c r="JOP451" s="741"/>
      <c r="JOQ451" s="741"/>
      <c r="JOR451" s="741"/>
      <c r="JOS451" s="741"/>
      <c r="JOT451" s="741"/>
      <c r="JOU451" s="741"/>
      <c r="JOV451" s="741"/>
      <c r="JOW451" s="741"/>
      <c r="JOX451" s="741"/>
      <c r="JOY451" s="741"/>
      <c r="JOZ451" s="741"/>
      <c r="JPA451" s="741"/>
      <c r="JPB451" s="741"/>
      <c r="JPC451" s="741"/>
      <c r="JPD451" s="741"/>
      <c r="JPE451" s="741"/>
      <c r="JPF451" s="741"/>
      <c r="JPG451" s="741"/>
      <c r="JPH451" s="741"/>
      <c r="JPI451" s="741"/>
      <c r="JPJ451" s="741"/>
      <c r="JPK451" s="741"/>
      <c r="JPL451" s="741"/>
      <c r="JPM451" s="741"/>
      <c r="JPN451" s="741"/>
      <c r="JPO451" s="741"/>
      <c r="JPP451" s="741"/>
      <c r="JPQ451" s="741"/>
      <c r="JPR451" s="741"/>
      <c r="JPS451" s="741"/>
      <c r="JPT451" s="741"/>
      <c r="JPU451" s="741"/>
      <c r="JPV451" s="741"/>
      <c r="JPW451" s="741"/>
      <c r="JPX451" s="741"/>
      <c r="JPY451" s="741"/>
      <c r="JPZ451" s="741"/>
      <c r="JQA451" s="741"/>
      <c r="JQB451" s="741"/>
      <c r="JQC451" s="741"/>
      <c r="JQD451" s="741"/>
      <c r="JQE451" s="741"/>
      <c r="JQF451" s="741"/>
      <c r="JQG451" s="741"/>
      <c r="JQH451" s="741"/>
      <c r="JQI451" s="741"/>
      <c r="JQJ451" s="741"/>
      <c r="JQK451" s="741"/>
      <c r="JQL451" s="741"/>
      <c r="JQM451" s="741"/>
      <c r="JQN451" s="741"/>
      <c r="JQO451" s="741"/>
      <c r="JQP451" s="741"/>
      <c r="JQQ451" s="741"/>
      <c r="JQR451" s="741"/>
      <c r="JQS451" s="741"/>
      <c r="JQT451" s="741"/>
      <c r="JQU451" s="741"/>
      <c r="JQV451" s="741"/>
      <c r="JQW451" s="741"/>
      <c r="JQX451" s="741"/>
      <c r="JQY451" s="741"/>
      <c r="JQZ451" s="741"/>
      <c r="JRA451" s="741"/>
      <c r="JRB451" s="741"/>
      <c r="JRC451" s="741"/>
      <c r="JRD451" s="741"/>
      <c r="JRE451" s="741"/>
      <c r="JRF451" s="741"/>
      <c r="JRG451" s="741"/>
      <c r="JRH451" s="741"/>
      <c r="JRI451" s="741"/>
      <c r="JRJ451" s="741"/>
      <c r="JRK451" s="741"/>
      <c r="JRL451" s="741"/>
      <c r="JRM451" s="741"/>
      <c r="JRN451" s="741"/>
      <c r="JRO451" s="741"/>
      <c r="JRP451" s="741"/>
      <c r="JRQ451" s="741"/>
      <c r="JRR451" s="741"/>
      <c r="JRS451" s="741"/>
      <c r="JRT451" s="741"/>
      <c r="JRU451" s="741"/>
      <c r="JRV451" s="741"/>
      <c r="JRW451" s="741"/>
      <c r="JRX451" s="741"/>
      <c r="JRY451" s="741"/>
      <c r="JRZ451" s="741"/>
      <c r="JSA451" s="741"/>
      <c r="JSB451" s="741"/>
      <c r="JSC451" s="741"/>
      <c r="JSD451" s="741"/>
      <c r="JSE451" s="741"/>
      <c r="JSF451" s="741"/>
      <c r="JSG451" s="741"/>
      <c r="JSH451" s="741"/>
      <c r="JSI451" s="741"/>
      <c r="JSJ451" s="741"/>
      <c r="JSK451" s="741"/>
      <c r="JSL451" s="741"/>
      <c r="JSM451" s="741"/>
      <c r="JSN451" s="741"/>
      <c r="JSO451" s="741"/>
      <c r="JSP451" s="741"/>
      <c r="JSQ451" s="741"/>
      <c r="JSR451" s="741"/>
      <c r="JSS451" s="741"/>
      <c r="JST451" s="741"/>
      <c r="JSU451" s="741"/>
      <c r="JSV451" s="741"/>
      <c r="JSW451" s="741"/>
      <c r="JSX451" s="741"/>
      <c r="JSY451" s="741"/>
      <c r="JSZ451" s="741"/>
      <c r="JTA451" s="741"/>
      <c r="JTB451" s="741"/>
      <c r="JTC451" s="741"/>
      <c r="JTD451" s="741"/>
      <c r="JTE451" s="741"/>
      <c r="JTF451" s="741"/>
      <c r="JTG451" s="741"/>
      <c r="JTH451" s="741"/>
      <c r="JTI451" s="741"/>
      <c r="JTJ451" s="741"/>
      <c r="JTK451" s="741"/>
      <c r="JTL451" s="741"/>
      <c r="JTM451" s="741"/>
      <c r="JTN451" s="741"/>
      <c r="JTO451" s="741"/>
      <c r="JTP451" s="741"/>
      <c r="JTQ451" s="741"/>
      <c r="JTR451" s="741"/>
      <c r="JTS451" s="741"/>
      <c r="JTT451" s="741"/>
      <c r="JTU451" s="741"/>
      <c r="JTV451" s="741"/>
      <c r="JTW451" s="741"/>
      <c r="JTX451" s="741"/>
      <c r="JTY451" s="741"/>
      <c r="JTZ451" s="741"/>
      <c r="JUA451" s="741"/>
      <c r="JUB451" s="741"/>
      <c r="JUC451" s="741"/>
      <c r="JUD451" s="741"/>
      <c r="JUE451" s="741"/>
      <c r="JUF451" s="741"/>
      <c r="JUG451" s="741"/>
      <c r="JUH451" s="741"/>
      <c r="JUI451" s="741"/>
      <c r="JUJ451" s="741"/>
      <c r="JUK451" s="741"/>
      <c r="JUL451" s="741"/>
      <c r="JUM451" s="741"/>
      <c r="JUN451" s="741"/>
      <c r="JUO451" s="741"/>
      <c r="JUP451" s="741"/>
      <c r="JUQ451" s="741"/>
      <c r="JUR451" s="741"/>
      <c r="JUS451" s="741"/>
      <c r="JUT451" s="741"/>
      <c r="JUU451" s="741"/>
      <c r="JUV451" s="741"/>
      <c r="JUW451" s="741"/>
      <c r="JUX451" s="741"/>
      <c r="JUY451" s="741"/>
      <c r="JUZ451" s="741"/>
      <c r="JVA451" s="741"/>
      <c r="JVB451" s="741"/>
      <c r="JVC451" s="741"/>
      <c r="JVD451" s="741"/>
      <c r="JVE451" s="741"/>
      <c r="JVF451" s="741"/>
      <c r="JVG451" s="741"/>
      <c r="JVH451" s="741"/>
      <c r="JVI451" s="741"/>
      <c r="JVJ451" s="741"/>
      <c r="JVK451" s="741"/>
      <c r="JVL451" s="741"/>
      <c r="JVM451" s="741"/>
      <c r="JVN451" s="741"/>
      <c r="JVO451" s="741"/>
      <c r="JVP451" s="741"/>
      <c r="JVQ451" s="741"/>
      <c r="JVR451" s="741"/>
      <c r="JVS451" s="741"/>
      <c r="JVT451" s="741"/>
      <c r="JVU451" s="741"/>
      <c r="JVV451" s="741"/>
      <c r="JVW451" s="741"/>
      <c r="JVX451" s="741"/>
      <c r="JVY451" s="741"/>
      <c r="JVZ451" s="741"/>
      <c r="JWA451" s="741"/>
      <c r="JWB451" s="741"/>
      <c r="JWC451" s="741"/>
      <c r="JWD451" s="741"/>
      <c r="JWE451" s="741"/>
      <c r="JWF451" s="741"/>
      <c r="JWG451" s="741"/>
      <c r="JWH451" s="741"/>
      <c r="JWI451" s="741"/>
      <c r="JWJ451" s="741"/>
      <c r="JWK451" s="741"/>
      <c r="JWL451" s="741"/>
      <c r="JWM451" s="741"/>
      <c r="JWN451" s="741"/>
      <c r="JWO451" s="741"/>
      <c r="JWP451" s="741"/>
      <c r="JWQ451" s="741"/>
      <c r="JWR451" s="741"/>
      <c r="JWS451" s="741"/>
      <c r="JWT451" s="741"/>
      <c r="JWU451" s="741"/>
      <c r="JWV451" s="741"/>
      <c r="JWW451" s="741"/>
      <c r="JWX451" s="741"/>
      <c r="JWY451" s="741"/>
      <c r="JWZ451" s="741"/>
      <c r="JXA451" s="741"/>
      <c r="JXB451" s="741"/>
      <c r="JXC451" s="741"/>
      <c r="JXD451" s="741"/>
      <c r="JXE451" s="741"/>
      <c r="JXF451" s="741"/>
      <c r="JXG451" s="741"/>
      <c r="JXH451" s="741"/>
      <c r="JXI451" s="741"/>
      <c r="JXJ451" s="741"/>
      <c r="JXK451" s="741"/>
      <c r="JXL451" s="741"/>
      <c r="JXM451" s="741"/>
      <c r="JXN451" s="741"/>
      <c r="JXO451" s="741"/>
      <c r="JXP451" s="741"/>
      <c r="JXQ451" s="741"/>
      <c r="JXR451" s="741"/>
      <c r="JXS451" s="741"/>
      <c r="JXT451" s="741"/>
      <c r="JXU451" s="741"/>
      <c r="JXV451" s="741"/>
      <c r="JXW451" s="741"/>
      <c r="JXX451" s="741"/>
      <c r="JXY451" s="741"/>
      <c r="JXZ451" s="741"/>
      <c r="JYA451" s="741"/>
      <c r="JYB451" s="741"/>
      <c r="JYC451" s="741"/>
      <c r="JYD451" s="741"/>
      <c r="JYE451" s="741"/>
      <c r="JYF451" s="741"/>
      <c r="JYG451" s="741"/>
      <c r="JYH451" s="741"/>
      <c r="JYI451" s="741"/>
      <c r="JYJ451" s="741"/>
      <c r="JYK451" s="741"/>
      <c r="JYL451" s="741"/>
      <c r="JYM451" s="741"/>
      <c r="JYN451" s="741"/>
      <c r="JYO451" s="741"/>
      <c r="JYP451" s="741"/>
      <c r="JYQ451" s="741"/>
      <c r="JYR451" s="741"/>
      <c r="JYS451" s="741"/>
      <c r="JYT451" s="741"/>
      <c r="JYU451" s="741"/>
      <c r="JYV451" s="741"/>
      <c r="JYW451" s="741"/>
      <c r="JYX451" s="741"/>
      <c r="JYY451" s="741"/>
      <c r="JYZ451" s="741"/>
      <c r="JZA451" s="741"/>
      <c r="JZB451" s="741"/>
      <c r="JZC451" s="741"/>
      <c r="JZD451" s="741"/>
      <c r="JZE451" s="741"/>
      <c r="JZF451" s="741"/>
      <c r="JZG451" s="741"/>
      <c r="JZH451" s="741"/>
      <c r="JZI451" s="741"/>
      <c r="JZJ451" s="741"/>
      <c r="JZK451" s="741"/>
      <c r="JZL451" s="741"/>
      <c r="JZM451" s="741"/>
      <c r="JZN451" s="741"/>
      <c r="JZO451" s="741"/>
      <c r="JZP451" s="741"/>
      <c r="JZQ451" s="741"/>
      <c r="JZR451" s="741"/>
      <c r="JZS451" s="741"/>
      <c r="JZT451" s="741"/>
      <c r="JZU451" s="741"/>
      <c r="JZV451" s="741"/>
      <c r="JZW451" s="741"/>
      <c r="JZX451" s="741"/>
      <c r="JZY451" s="741"/>
      <c r="JZZ451" s="741"/>
      <c r="KAA451" s="741"/>
      <c r="KAB451" s="741"/>
      <c r="KAC451" s="741"/>
      <c r="KAD451" s="741"/>
      <c r="KAE451" s="741"/>
      <c r="KAF451" s="741"/>
      <c r="KAG451" s="741"/>
      <c r="KAH451" s="741"/>
      <c r="KAI451" s="741"/>
      <c r="KAJ451" s="741"/>
      <c r="KAK451" s="741"/>
      <c r="KAL451" s="741"/>
      <c r="KAM451" s="741"/>
      <c r="KAN451" s="741"/>
      <c r="KAO451" s="741"/>
      <c r="KAP451" s="741"/>
      <c r="KAQ451" s="741"/>
      <c r="KAR451" s="741"/>
      <c r="KAS451" s="741"/>
      <c r="KAT451" s="741"/>
      <c r="KAU451" s="741"/>
      <c r="KAV451" s="741"/>
      <c r="KAW451" s="741"/>
      <c r="KAX451" s="741"/>
      <c r="KAY451" s="741"/>
      <c r="KAZ451" s="741"/>
      <c r="KBA451" s="741"/>
      <c r="KBB451" s="741"/>
      <c r="KBC451" s="741"/>
      <c r="KBD451" s="741"/>
      <c r="KBE451" s="741"/>
      <c r="KBF451" s="741"/>
      <c r="KBG451" s="741"/>
      <c r="KBH451" s="741"/>
      <c r="KBI451" s="741"/>
      <c r="KBJ451" s="741"/>
      <c r="KBK451" s="741"/>
      <c r="KBL451" s="741"/>
      <c r="KBM451" s="741"/>
      <c r="KBN451" s="741"/>
      <c r="KBO451" s="741"/>
      <c r="KBP451" s="741"/>
      <c r="KBQ451" s="741"/>
      <c r="KBR451" s="741"/>
      <c r="KBS451" s="741"/>
      <c r="KBT451" s="741"/>
      <c r="KBU451" s="741"/>
      <c r="KBV451" s="741"/>
      <c r="KBW451" s="741"/>
      <c r="KBX451" s="741"/>
      <c r="KBY451" s="741"/>
      <c r="KBZ451" s="741"/>
      <c r="KCA451" s="741"/>
      <c r="KCB451" s="741"/>
      <c r="KCC451" s="741"/>
      <c r="KCD451" s="741"/>
      <c r="KCE451" s="741"/>
      <c r="KCF451" s="741"/>
      <c r="KCG451" s="741"/>
      <c r="KCH451" s="741"/>
      <c r="KCI451" s="741"/>
      <c r="KCJ451" s="741"/>
      <c r="KCK451" s="741"/>
      <c r="KCL451" s="741"/>
      <c r="KCM451" s="741"/>
      <c r="KCN451" s="741"/>
      <c r="KCO451" s="741"/>
      <c r="KCP451" s="741"/>
      <c r="KCQ451" s="741"/>
      <c r="KCR451" s="741"/>
      <c r="KCS451" s="741"/>
      <c r="KCT451" s="741"/>
      <c r="KCU451" s="741"/>
      <c r="KCV451" s="741"/>
      <c r="KCW451" s="741"/>
      <c r="KCX451" s="741"/>
      <c r="KCY451" s="741"/>
      <c r="KCZ451" s="741"/>
      <c r="KDA451" s="741"/>
      <c r="KDB451" s="741"/>
      <c r="KDC451" s="741"/>
      <c r="KDD451" s="741"/>
      <c r="KDE451" s="741"/>
      <c r="KDF451" s="741"/>
      <c r="KDG451" s="741"/>
      <c r="KDH451" s="741"/>
      <c r="KDI451" s="741"/>
      <c r="KDJ451" s="741"/>
      <c r="KDK451" s="741"/>
      <c r="KDL451" s="741"/>
      <c r="KDM451" s="741"/>
      <c r="KDN451" s="741"/>
      <c r="KDO451" s="741"/>
      <c r="KDP451" s="741"/>
      <c r="KDQ451" s="741"/>
      <c r="KDR451" s="741"/>
      <c r="KDS451" s="741"/>
      <c r="KDT451" s="741"/>
      <c r="KDU451" s="741"/>
      <c r="KDV451" s="741"/>
      <c r="KDW451" s="741"/>
      <c r="KDX451" s="741"/>
      <c r="KDY451" s="741"/>
      <c r="KDZ451" s="741"/>
      <c r="KEA451" s="741"/>
      <c r="KEB451" s="741"/>
      <c r="KEC451" s="741"/>
      <c r="KED451" s="741"/>
      <c r="KEE451" s="741"/>
      <c r="KEF451" s="741"/>
      <c r="KEG451" s="741"/>
      <c r="KEH451" s="741"/>
      <c r="KEI451" s="741"/>
      <c r="KEJ451" s="741"/>
      <c r="KEK451" s="741"/>
      <c r="KEL451" s="741"/>
      <c r="KEM451" s="741"/>
      <c r="KEN451" s="741"/>
      <c r="KEO451" s="741"/>
      <c r="KEP451" s="741"/>
      <c r="KEQ451" s="741"/>
      <c r="KER451" s="741"/>
      <c r="KES451" s="741"/>
      <c r="KET451" s="741"/>
      <c r="KEU451" s="741"/>
      <c r="KEV451" s="741"/>
      <c r="KEW451" s="741"/>
      <c r="KEX451" s="741"/>
      <c r="KEY451" s="741"/>
      <c r="KEZ451" s="741"/>
      <c r="KFA451" s="741"/>
      <c r="KFB451" s="741"/>
      <c r="KFC451" s="741"/>
      <c r="KFD451" s="741"/>
      <c r="KFE451" s="741"/>
      <c r="KFF451" s="741"/>
      <c r="KFG451" s="741"/>
      <c r="KFH451" s="741"/>
      <c r="KFI451" s="741"/>
      <c r="KFJ451" s="741"/>
      <c r="KFK451" s="741"/>
      <c r="KFL451" s="741"/>
      <c r="KFM451" s="741"/>
      <c r="KFN451" s="741"/>
      <c r="KFO451" s="741"/>
      <c r="KFP451" s="741"/>
      <c r="KFQ451" s="741"/>
      <c r="KFR451" s="741"/>
      <c r="KFS451" s="741"/>
      <c r="KFT451" s="741"/>
      <c r="KFU451" s="741"/>
      <c r="KFV451" s="741"/>
      <c r="KFW451" s="741"/>
      <c r="KFX451" s="741"/>
      <c r="KFY451" s="741"/>
      <c r="KFZ451" s="741"/>
      <c r="KGA451" s="741"/>
      <c r="KGB451" s="741"/>
      <c r="KGC451" s="741"/>
      <c r="KGD451" s="741"/>
      <c r="KGE451" s="741"/>
      <c r="KGF451" s="741"/>
      <c r="KGG451" s="741"/>
      <c r="KGH451" s="741"/>
      <c r="KGI451" s="741"/>
      <c r="KGJ451" s="741"/>
      <c r="KGK451" s="741"/>
      <c r="KGL451" s="741"/>
      <c r="KGM451" s="741"/>
      <c r="KGN451" s="741"/>
      <c r="KGO451" s="741"/>
      <c r="KGP451" s="741"/>
      <c r="KGQ451" s="741"/>
      <c r="KGR451" s="741"/>
      <c r="KGS451" s="741"/>
      <c r="KGT451" s="741"/>
      <c r="KGU451" s="741"/>
      <c r="KGV451" s="741"/>
      <c r="KGW451" s="741"/>
      <c r="KGX451" s="741"/>
      <c r="KGY451" s="741"/>
      <c r="KGZ451" s="741"/>
      <c r="KHA451" s="741"/>
      <c r="KHB451" s="741"/>
      <c r="KHC451" s="741"/>
      <c r="KHD451" s="741"/>
      <c r="KHE451" s="741"/>
      <c r="KHF451" s="741"/>
      <c r="KHG451" s="741"/>
      <c r="KHH451" s="741"/>
      <c r="KHI451" s="741"/>
      <c r="KHJ451" s="741"/>
      <c r="KHK451" s="741"/>
      <c r="KHL451" s="741"/>
      <c r="KHM451" s="741"/>
      <c r="KHN451" s="741"/>
      <c r="KHO451" s="741"/>
      <c r="KHP451" s="741"/>
      <c r="KHQ451" s="741"/>
      <c r="KHR451" s="741"/>
      <c r="KHS451" s="741"/>
      <c r="KHT451" s="741"/>
      <c r="KHU451" s="741"/>
      <c r="KHV451" s="741"/>
      <c r="KHW451" s="741"/>
      <c r="KHX451" s="741"/>
      <c r="KHY451" s="741"/>
      <c r="KHZ451" s="741"/>
      <c r="KIA451" s="741"/>
      <c r="KIB451" s="741"/>
      <c r="KIC451" s="741"/>
      <c r="KID451" s="741"/>
      <c r="KIE451" s="741"/>
      <c r="KIF451" s="741"/>
      <c r="KIG451" s="741"/>
      <c r="KIH451" s="741"/>
      <c r="KII451" s="741"/>
      <c r="KIJ451" s="741"/>
      <c r="KIK451" s="741"/>
      <c r="KIL451" s="741"/>
      <c r="KIM451" s="741"/>
      <c r="KIN451" s="741"/>
      <c r="KIO451" s="741"/>
      <c r="KIP451" s="741"/>
      <c r="KIQ451" s="741"/>
      <c r="KIR451" s="741"/>
      <c r="KIS451" s="741"/>
      <c r="KIT451" s="741"/>
      <c r="KIU451" s="741"/>
      <c r="KIV451" s="741"/>
      <c r="KIW451" s="741"/>
      <c r="KIX451" s="741"/>
      <c r="KIY451" s="741"/>
      <c r="KIZ451" s="741"/>
      <c r="KJA451" s="741"/>
      <c r="KJB451" s="741"/>
      <c r="KJC451" s="741"/>
      <c r="KJD451" s="741"/>
      <c r="KJE451" s="741"/>
      <c r="KJF451" s="741"/>
      <c r="KJG451" s="741"/>
      <c r="KJH451" s="741"/>
      <c r="KJI451" s="741"/>
      <c r="KJJ451" s="741"/>
      <c r="KJK451" s="741"/>
      <c r="KJL451" s="741"/>
      <c r="KJM451" s="741"/>
      <c r="KJN451" s="741"/>
      <c r="KJO451" s="741"/>
      <c r="KJP451" s="741"/>
      <c r="KJQ451" s="741"/>
      <c r="KJR451" s="741"/>
      <c r="KJS451" s="741"/>
      <c r="KJT451" s="741"/>
      <c r="KJU451" s="741"/>
      <c r="KJV451" s="741"/>
      <c r="KJW451" s="741"/>
      <c r="KJX451" s="741"/>
      <c r="KJY451" s="741"/>
      <c r="KJZ451" s="741"/>
      <c r="KKA451" s="741"/>
      <c r="KKB451" s="741"/>
      <c r="KKC451" s="741"/>
      <c r="KKD451" s="741"/>
      <c r="KKE451" s="741"/>
      <c r="KKF451" s="741"/>
      <c r="KKG451" s="741"/>
      <c r="KKH451" s="741"/>
      <c r="KKI451" s="741"/>
      <c r="KKJ451" s="741"/>
      <c r="KKK451" s="741"/>
      <c r="KKL451" s="741"/>
      <c r="KKM451" s="741"/>
      <c r="KKN451" s="741"/>
      <c r="KKO451" s="741"/>
      <c r="KKP451" s="741"/>
      <c r="KKQ451" s="741"/>
      <c r="KKR451" s="741"/>
      <c r="KKS451" s="741"/>
      <c r="KKT451" s="741"/>
      <c r="KKU451" s="741"/>
      <c r="KKV451" s="741"/>
      <c r="KKW451" s="741"/>
      <c r="KKX451" s="741"/>
      <c r="KKY451" s="741"/>
      <c r="KKZ451" s="741"/>
      <c r="KLA451" s="741"/>
      <c r="KLB451" s="741"/>
      <c r="KLC451" s="741"/>
      <c r="KLD451" s="741"/>
      <c r="KLE451" s="741"/>
      <c r="KLF451" s="741"/>
      <c r="KLG451" s="741"/>
      <c r="KLH451" s="741"/>
      <c r="KLI451" s="741"/>
      <c r="KLJ451" s="741"/>
      <c r="KLK451" s="741"/>
      <c r="KLL451" s="741"/>
      <c r="KLM451" s="741"/>
      <c r="KLN451" s="741"/>
      <c r="KLO451" s="741"/>
      <c r="KLP451" s="741"/>
      <c r="KLQ451" s="741"/>
      <c r="KLR451" s="741"/>
      <c r="KLS451" s="741"/>
      <c r="KLT451" s="741"/>
      <c r="KLU451" s="741"/>
      <c r="KLV451" s="741"/>
      <c r="KLW451" s="741"/>
      <c r="KLX451" s="741"/>
      <c r="KLY451" s="741"/>
      <c r="KLZ451" s="741"/>
      <c r="KMA451" s="741"/>
      <c r="KMB451" s="741"/>
      <c r="KMC451" s="741"/>
      <c r="KMD451" s="741"/>
      <c r="KME451" s="741"/>
      <c r="KMF451" s="741"/>
      <c r="KMG451" s="741"/>
      <c r="KMH451" s="741"/>
      <c r="KMI451" s="741"/>
      <c r="KMJ451" s="741"/>
      <c r="KMK451" s="741"/>
      <c r="KML451" s="741"/>
      <c r="KMM451" s="741"/>
      <c r="KMN451" s="741"/>
      <c r="KMO451" s="741"/>
      <c r="KMP451" s="741"/>
      <c r="KMQ451" s="741"/>
      <c r="KMR451" s="741"/>
      <c r="KMS451" s="741"/>
      <c r="KMT451" s="741"/>
      <c r="KMU451" s="741"/>
      <c r="KMV451" s="741"/>
      <c r="KMW451" s="741"/>
      <c r="KMX451" s="741"/>
      <c r="KMY451" s="741"/>
      <c r="KMZ451" s="741"/>
      <c r="KNA451" s="741"/>
      <c r="KNB451" s="741"/>
      <c r="KNC451" s="741"/>
      <c r="KND451" s="741"/>
      <c r="KNE451" s="741"/>
      <c r="KNF451" s="741"/>
      <c r="KNG451" s="741"/>
      <c r="KNH451" s="741"/>
      <c r="KNI451" s="741"/>
      <c r="KNJ451" s="741"/>
      <c r="KNK451" s="741"/>
      <c r="KNL451" s="741"/>
      <c r="KNM451" s="741"/>
      <c r="KNN451" s="741"/>
      <c r="KNO451" s="741"/>
      <c r="KNP451" s="741"/>
      <c r="KNQ451" s="741"/>
      <c r="KNR451" s="741"/>
      <c r="KNS451" s="741"/>
      <c r="KNT451" s="741"/>
      <c r="KNU451" s="741"/>
      <c r="KNV451" s="741"/>
      <c r="KNW451" s="741"/>
      <c r="KNX451" s="741"/>
      <c r="KNY451" s="741"/>
      <c r="KNZ451" s="741"/>
      <c r="KOA451" s="741"/>
      <c r="KOB451" s="741"/>
      <c r="KOC451" s="741"/>
      <c r="KOD451" s="741"/>
      <c r="KOE451" s="741"/>
      <c r="KOF451" s="741"/>
      <c r="KOG451" s="741"/>
      <c r="KOH451" s="741"/>
      <c r="KOI451" s="741"/>
      <c r="KOJ451" s="741"/>
      <c r="KOK451" s="741"/>
      <c r="KOL451" s="741"/>
      <c r="KOM451" s="741"/>
      <c r="KON451" s="741"/>
      <c r="KOO451" s="741"/>
      <c r="KOP451" s="741"/>
      <c r="KOQ451" s="741"/>
      <c r="KOR451" s="741"/>
      <c r="KOS451" s="741"/>
      <c r="KOT451" s="741"/>
      <c r="KOU451" s="741"/>
      <c r="KOV451" s="741"/>
      <c r="KOW451" s="741"/>
      <c r="KOX451" s="741"/>
      <c r="KOY451" s="741"/>
      <c r="KOZ451" s="741"/>
      <c r="KPA451" s="741"/>
      <c r="KPB451" s="741"/>
      <c r="KPC451" s="741"/>
      <c r="KPD451" s="741"/>
      <c r="KPE451" s="741"/>
      <c r="KPF451" s="741"/>
      <c r="KPG451" s="741"/>
      <c r="KPH451" s="741"/>
      <c r="KPI451" s="741"/>
      <c r="KPJ451" s="741"/>
      <c r="KPK451" s="741"/>
      <c r="KPL451" s="741"/>
      <c r="KPM451" s="741"/>
      <c r="KPN451" s="741"/>
      <c r="KPO451" s="741"/>
      <c r="KPP451" s="741"/>
      <c r="KPQ451" s="741"/>
      <c r="KPR451" s="741"/>
      <c r="KPS451" s="741"/>
      <c r="KPT451" s="741"/>
      <c r="KPU451" s="741"/>
      <c r="KPV451" s="741"/>
      <c r="KPW451" s="741"/>
      <c r="KPX451" s="741"/>
      <c r="KPY451" s="741"/>
      <c r="KPZ451" s="741"/>
      <c r="KQA451" s="741"/>
      <c r="KQB451" s="741"/>
      <c r="KQC451" s="741"/>
      <c r="KQD451" s="741"/>
      <c r="KQE451" s="741"/>
      <c r="KQF451" s="741"/>
      <c r="KQG451" s="741"/>
      <c r="KQH451" s="741"/>
      <c r="KQI451" s="741"/>
      <c r="KQJ451" s="741"/>
      <c r="KQK451" s="741"/>
      <c r="KQL451" s="741"/>
      <c r="KQM451" s="741"/>
      <c r="KQN451" s="741"/>
      <c r="KQO451" s="741"/>
      <c r="KQP451" s="741"/>
      <c r="KQQ451" s="741"/>
      <c r="KQR451" s="741"/>
      <c r="KQS451" s="741"/>
      <c r="KQT451" s="741"/>
      <c r="KQU451" s="741"/>
      <c r="KQV451" s="741"/>
      <c r="KQW451" s="741"/>
      <c r="KQX451" s="741"/>
      <c r="KQY451" s="741"/>
      <c r="KQZ451" s="741"/>
      <c r="KRA451" s="741"/>
      <c r="KRB451" s="741"/>
      <c r="KRC451" s="741"/>
      <c r="KRD451" s="741"/>
      <c r="KRE451" s="741"/>
      <c r="KRF451" s="741"/>
      <c r="KRG451" s="741"/>
      <c r="KRH451" s="741"/>
      <c r="KRI451" s="741"/>
      <c r="KRJ451" s="741"/>
      <c r="KRK451" s="741"/>
      <c r="KRL451" s="741"/>
      <c r="KRM451" s="741"/>
      <c r="KRN451" s="741"/>
      <c r="KRO451" s="741"/>
      <c r="KRP451" s="741"/>
      <c r="KRQ451" s="741"/>
      <c r="KRR451" s="741"/>
      <c r="KRS451" s="741"/>
      <c r="KRT451" s="741"/>
      <c r="KRU451" s="741"/>
      <c r="KRV451" s="741"/>
      <c r="KRW451" s="741"/>
      <c r="KRX451" s="741"/>
      <c r="KRY451" s="741"/>
      <c r="KRZ451" s="741"/>
      <c r="KSA451" s="741"/>
      <c r="KSB451" s="741"/>
      <c r="KSC451" s="741"/>
      <c r="KSD451" s="741"/>
      <c r="KSE451" s="741"/>
      <c r="KSF451" s="741"/>
      <c r="KSG451" s="741"/>
      <c r="KSH451" s="741"/>
      <c r="KSI451" s="741"/>
      <c r="KSJ451" s="741"/>
      <c r="KSK451" s="741"/>
      <c r="KSL451" s="741"/>
      <c r="KSM451" s="741"/>
      <c r="KSN451" s="741"/>
      <c r="KSO451" s="741"/>
      <c r="KSP451" s="741"/>
      <c r="KSQ451" s="741"/>
      <c r="KSR451" s="741"/>
      <c r="KSS451" s="741"/>
      <c r="KST451" s="741"/>
      <c r="KSU451" s="741"/>
      <c r="KSV451" s="741"/>
      <c r="KSW451" s="741"/>
      <c r="KSX451" s="741"/>
      <c r="KSY451" s="741"/>
      <c r="KSZ451" s="741"/>
      <c r="KTA451" s="741"/>
      <c r="KTB451" s="741"/>
      <c r="KTC451" s="741"/>
      <c r="KTD451" s="741"/>
      <c r="KTE451" s="741"/>
      <c r="KTF451" s="741"/>
      <c r="KTG451" s="741"/>
      <c r="KTH451" s="741"/>
      <c r="KTI451" s="741"/>
      <c r="KTJ451" s="741"/>
      <c r="KTK451" s="741"/>
      <c r="KTL451" s="741"/>
      <c r="KTM451" s="741"/>
      <c r="KTN451" s="741"/>
      <c r="KTO451" s="741"/>
      <c r="KTP451" s="741"/>
      <c r="KTQ451" s="741"/>
      <c r="KTR451" s="741"/>
      <c r="KTS451" s="741"/>
      <c r="KTT451" s="741"/>
      <c r="KTU451" s="741"/>
      <c r="KTV451" s="741"/>
      <c r="KTW451" s="741"/>
      <c r="KTX451" s="741"/>
      <c r="KTY451" s="741"/>
      <c r="KTZ451" s="741"/>
      <c r="KUA451" s="741"/>
      <c r="KUB451" s="741"/>
      <c r="KUC451" s="741"/>
      <c r="KUD451" s="741"/>
      <c r="KUE451" s="741"/>
      <c r="KUF451" s="741"/>
      <c r="KUG451" s="741"/>
      <c r="KUH451" s="741"/>
      <c r="KUI451" s="741"/>
      <c r="KUJ451" s="741"/>
      <c r="KUK451" s="741"/>
      <c r="KUL451" s="741"/>
      <c r="KUM451" s="741"/>
      <c r="KUN451" s="741"/>
      <c r="KUO451" s="741"/>
      <c r="KUP451" s="741"/>
      <c r="KUQ451" s="741"/>
      <c r="KUR451" s="741"/>
      <c r="KUS451" s="741"/>
      <c r="KUT451" s="741"/>
      <c r="KUU451" s="741"/>
      <c r="KUV451" s="741"/>
      <c r="KUW451" s="741"/>
      <c r="KUX451" s="741"/>
      <c r="KUY451" s="741"/>
      <c r="KUZ451" s="741"/>
      <c r="KVA451" s="741"/>
      <c r="KVB451" s="741"/>
      <c r="KVC451" s="741"/>
      <c r="KVD451" s="741"/>
      <c r="KVE451" s="741"/>
      <c r="KVF451" s="741"/>
      <c r="KVG451" s="741"/>
      <c r="KVH451" s="741"/>
      <c r="KVI451" s="741"/>
      <c r="KVJ451" s="741"/>
      <c r="KVK451" s="741"/>
      <c r="KVL451" s="741"/>
      <c r="KVM451" s="741"/>
      <c r="KVN451" s="741"/>
      <c r="KVO451" s="741"/>
      <c r="KVP451" s="741"/>
      <c r="KVQ451" s="741"/>
      <c r="KVR451" s="741"/>
      <c r="KVS451" s="741"/>
      <c r="KVT451" s="741"/>
      <c r="KVU451" s="741"/>
      <c r="KVV451" s="741"/>
      <c r="KVW451" s="741"/>
      <c r="KVX451" s="741"/>
      <c r="KVY451" s="741"/>
      <c r="KVZ451" s="741"/>
      <c r="KWA451" s="741"/>
      <c r="KWB451" s="741"/>
      <c r="KWC451" s="741"/>
      <c r="KWD451" s="741"/>
      <c r="KWE451" s="741"/>
      <c r="KWF451" s="741"/>
      <c r="KWG451" s="741"/>
      <c r="KWH451" s="741"/>
      <c r="KWI451" s="741"/>
      <c r="KWJ451" s="741"/>
      <c r="KWK451" s="741"/>
      <c r="KWL451" s="741"/>
      <c r="KWM451" s="741"/>
      <c r="KWN451" s="741"/>
      <c r="KWO451" s="741"/>
      <c r="KWP451" s="741"/>
      <c r="KWQ451" s="741"/>
      <c r="KWR451" s="741"/>
      <c r="KWS451" s="741"/>
      <c r="KWT451" s="741"/>
      <c r="KWU451" s="741"/>
      <c r="KWV451" s="741"/>
      <c r="KWW451" s="741"/>
      <c r="KWX451" s="741"/>
      <c r="KWY451" s="741"/>
      <c r="KWZ451" s="741"/>
      <c r="KXA451" s="741"/>
      <c r="KXB451" s="741"/>
      <c r="KXC451" s="741"/>
      <c r="KXD451" s="741"/>
      <c r="KXE451" s="741"/>
      <c r="KXF451" s="741"/>
      <c r="KXG451" s="741"/>
      <c r="KXH451" s="741"/>
      <c r="KXI451" s="741"/>
      <c r="KXJ451" s="741"/>
      <c r="KXK451" s="741"/>
      <c r="KXL451" s="741"/>
      <c r="KXM451" s="741"/>
      <c r="KXN451" s="741"/>
      <c r="KXO451" s="741"/>
      <c r="KXP451" s="741"/>
      <c r="KXQ451" s="741"/>
      <c r="KXR451" s="741"/>
      <c r="KXS451" s="741"/>
      <c r="KXT451" s="741"/>
      <c r="KXU451" s="741"/>
      <c r="KXV451" s="741"/>
      <c r="KXW451" s="741"/>
      <c r="KXX451" s="741"/>
      <c r="KXY451" s="741"/>
      <c r="KXZ451" s="741"/>
      <c r="KYA451" s="741"/>
      <c r="KYB451" s="741"/>
      <c r="KYC451" s="741"/>
      <c r="KYD451" s="741"/>
      <c r="KYE451" s="741"/>
      <c r="KYF451" s="741"/>
      <c r="KYG451" s="741"/>
      <c r="KYH451" s="741"/>
      <c r="KYI451" s="741"/>
      <c r="KYJ451" s="741"/>
      <c r="KYK451" s="741"/>
      <c r="KYL451" s="741"/>
      <c r="KYM451" s="741"/>
      <c r="KYN451" s="741"/>
      <c r="KYO451" s="741"/>
      <c r="KYP451" s="741"/>
      <c r="KYQ451" s="741"/>
      <c r="KYR451" s="741"/>
      <c r="KYS451" s="741"/>
      <c r="KYT451" s="741"/>
      <c r="KYU451" s="741"/>
      <c r="KYV451" s="741"/>
      <c r="KYW451" s="741"/>
      <c r="KYX451" s="741"/>
      <c r="KYY451" s="741"/>
      <c r="KYZ451" s="741"/>
      <c r="KZA451" s="741"/>
      <c r="KZB451" s="741"/>
      <c r="KZC451" s="741"/>
      <c r="KZD451" s="741"/>
      <c r="KZE451" s="741"/>
      <c r="KZF451" s="741"/>
      <c r="KZG451" s="741"/>
      <c r="KZH451" s="741"/>
      <c r="KZI451" s="741"/>
      <c r="KZJ451" s="741"/>
      <c r="KZK451" s="741"/>
      <c r="KZL451" s="741"/>
      <c r="KZM451" s="741"/>
      <c r="KZN451" s="741"/>
      <c r="KZO451" s="741"/>
      <c r="KZP451" s="741"/>
      <c r="KZQ451" s="741"/>
      <c r="KZR451" s="741"/>
      <c r="KZS451" s="741"/>
      <c r="KZT451" s="741"/>
      <c r="KZU451" s="741"/>
      <c r="KZV451" s="741"/>
      <c r="KZW451" s="741"/>
      <c r="KZX451" s="741"/>
      <c r="KZY451" s="741"/>
      <c r="KZZ451" s="741"/>
      <c r="LAA451" s="741"/>
      <c r="LAB451" s="741"/>
      <c r="LAC451" s="741"/>
      <c r="LAD451" s="741"/>
      <c r="LAE451" s="741"/>
      <c r="LAF451" s="741"/>
      <c r="LAG451" s="741"/>
      <c r="LAH451" s="741"/>
      <c r="LAI451" s="741"/>
      <c r="LAJ451" s="741"/>
      <c r="LAK451" s="741"/>
      <c r="LAL451" s="741"/>
      <c r="LAM451" s="741"/>
      <c r="LAN451" s="741"/>
      <c r="LAO451" s="741"/>
      <c r="LAP451" s="741"/>
      <c r="LAQ451" s="741"/>
      <c r="LAR451" s="741"/>
      <c r="LAS451" s="741"/>
      <c r="LAT451" s="741"/>
      <c r="LAU451" s="741"/>
      <c r="LAV451" s="741"/>
      <c r="LAW451" s="741"/>
      <c r="LAX451" s="741"/>
      <c r="LAY451" s="741"/>
      <c r="LAZ451" s="741"/>
      <c r="LBA451" s="741"/>
      <c r="LBB451" s="741"/>
      <c r="LBC451" s="741"/>
      <c r="LBD451" s="741"/>
      <c r="LBE451" s="741"/>
      <c r="LBF451" s="741"/>
      <c r="LBG451" s="741"/>
      <c r="LBH451" s="741"/>
      <c r="LBI451" s="741"/>
      <c r="LBJ451" s="741"/>
      <c r="LBK451" s="741"/>
      <c r="LBL451" s="741"/>
      <c r="LBM451" s="741"/>
      <c r="LBN451" s="741"/>
      <c r="LBO451" s="741"/>
      <c r="LBP451" s="741"/>
      <c r="LBQ451" s="741"/>
      <c r="LBR451" s="741"/>
      <c r="LBS451" s="741"/>
      <c r="LBT451" s="741"/>
      <c r="LBU451" s="741"/>
      <c r="LBV451" s="741"/>
      <c r="LBW451" s="741"/>
      <c r="LBX451" s="741"/>
      <c r="LBY451" s="741"/>
      <c r="LBZ451" s="741"/>
      <c r="LCA451" s="741"/>
      <c r="LCB451" s="741"/>
      <c r="LCC451" s="741"/>
      <c r="LCD451" s="741"/>
      <c r="LCE451" s="741"/>
      <c r="LCF451" s="741"/>
      <c r="LCG451" s="741"/>
      <c r="LCH451" s="741"/>
      <c r="LCI451" s="741"/>
      <c r="LCJ451" s="741"/>
      <c r="LCK451" s="741"/>
      <c r="LCL451" s="741"/>
      <c r="LCM451" s="741"/>
      <c r="LCN451" s="741"/>
      <c r="LCO451" s="741"/>
      <c r="LCP451" s="741"/>
      <c r="LCQ451" s="741"/>
      <c r="LCR451" s="741"/>
      <c r="LCS451" s="741"/>
      <c r="LCT451" s="741"/>
      <c r="LCU451" s="741"/>
      <c r="LCV451" s="741"/>
      <c r="LCW451" s="741"/>
      <c r="LCX451" s="741"/>
      <c r="LCY451" s="741"/>
      <c r="LCZ451" s="741"/>
      <c r="LDA451" s="741"/>
      <c r="LDB451" s="741"/>
      <c r="LDC451" s="741"/>
      <c r="LDD451" s="741"/>
      <c r="LDE451" s="741"/>
      <c r="LDF451" s="741"/>
      <c r="LDG451" s="741"/>
      <c r="LDH451" s="741"/>
      <c r="LDI451" s="741"/>
      <c r="LDJ451" s="741"/>
      <c r="LDK451" s="741"/>
      <c r="LDL451" s="741"/>
      <c r="LDM451" s="741"/>
      <c r="LDN451" s="741"/>
      <c r="LDO451" s="741"/>
      <c r="LDP451" s="741"/>
      <c r="LDQ451" s="741"/>
      <c r="LDR451" s="741"/>
      <c r="LDS451" s="741"/>
      <c r="LDT451" s="741"/>
      <c r="LDU451" s="741"/>
      <c r="LDV451" s="741"/>
      <c r="LDW451" s="741"/>
      <c r="LDX451" s="741"/>
      <c r="LDY451" s="741"/>
      <c r="LDZ451" s="741"/>
      <c r="LEA451" s="741"/>
      <c r="LEB451" s="741"/>
      <c r="LEC451" s="741"/>
      <c r="LED451" s="741"/>
      <c r="LEE451" s="741"/>
      <c r="LEF451" s="741"/>
      <c r="LEG451" s="741"/>
      <c r="LEH451" s="741"/>
      <c r="LEI451" s="741"/>
      <c r="LEJ451" s="741"/>
      <c r="LEK451" s="741"/>
      <c r="LEL451" s="741"/>
      <c r="LEM451" s="741"/>
      <c r="LEN451" s="741"/>
      <c r="LEO451" s="741"/>
      <c r="LEP451" s="741"/>
      <c r="LEQ451" s="741"/>
      <c r="LER451" s="741"/>
      <c r="LES451" s="741"/>
      <c r="LET451" s="741"/>
      <c r="LEU451" s="741"/>
      <c r="LEV451" s="741"/>
      <c r="LEW451" s="741"/>
      <c r="LEX451" s="741"/>
      <c r="LEY451" s="741"/>
      <c r="LEZ451" s="741"/>
      <c r="LFA451" s="741"/>
      <c r="LFB451" s="741"/>
      <c r="LFC451" s="741"/>
      <c r="LFD451" s="741"/>
      <c r="LFE451" s="741"/>
      <c r="LFF451" s="741"/>
      <c r="LFG451" s="741"/>
      <c r="LFH451" s="741"/>
      <c r="LFI451" s="741"/>
      <c r="LFJ451" s="741"/>
      <c r="LFK451" s="741"/>
      <c r="LFL451" s="741"/>
      <c r="LFM451" s="741"/>
      <c r="LFN451" s="741"/>
      <c r="LFO451" s="741"/>
      <c r="LFP451" s="741"/>
      <c r="LFQ451" s="741"/>
      <c r="LFR451" s="741"/>
      <c r="LFS451" s="741"/>
      <c r="LFT451" s="741"/>
      <c r="LFU451" s="741"/>
      <c r="LFV451" s="741"/>
      <c r="LFW451" s="741"/>
      <c r="LFX451" s="741"/>
      <c r="LFY451" s="741"/>
      <c r="LFZ451" s="741"/>
      <c r="LGA451" s="741"/>
      <c r="LGB451" s="741"/>
      <c r="LGC451" s="741"/>
      <c r="LGD451" s="741"/>
      <c r="LGE451" s="741"/>
      <c r="LGF451" s="741"/>
      <c r="LGG451" s="741"/>
      <c r="LGH451" s="741"/>
      <c r="LGI451" s="741"/>
      <c r="LGJ451" s="741"/>
      <c r="LGK451" s="741"/>
      <c r="LGL451" s="741"/>
      <c r="LGM451" s="741"/>
      <c r="LGN451" s="741"/>
      <c r="LGO451" s="741"/>
      <c r="LGP451" s="741"/>
      <c r="LGQ451" s="741"/>
      <c r="LGR451" s="741"/>
      <c r="LGS451" s="741"/>
      <c r="LGT451" s="741"/>
      <c r="LGU451" s="741"/>
      <c r="LGV451" s="741"/>
      <c r="LGW451" s="741"/>
      <c r="LGX451" s="741"/>
      <c r="LGY451" s="741"/>
      <c r="LGZ451" s="741"/>
      <c r="LHA451" s="741"/>
      <c r="LHB451" s="741"/>
      <c r="LHC451" s="741"/>
      <c r="LHD451" s="741"/>
      <c r="LHE451" s="741"/>
      <c r="LHF451" s="741"/>
      <c r="LHG451" s="741"/>
      <c r="LHH451" s="741"/>
      <c r="LHI451" s="741"/>
      <c r="LHJ451" s="741"/>
      <c r="LHK451" s="741"/>
      <c r="LHL451" s="741"/>
      <c r="LHM451" s="741"/>
      <c r="LHN451" s="741"/>
      <c r="LHO451" s="741"/>
      <c r="LHP451" s="741"/>
      <c r="LHQ451" s="741"/>
      <c r="LHR451" s="741"/>
      <c r="LHS451" s="741"/>
      <c r="LHT451" s="741"/>
      <c r="LHU451" s="741"/>
      <c r="LHV451" s="741"/>
      <c r="LHW451" s="741"/>
      <c r="LHX451" s="741"/>
      <c r="LHY451" s="741"/>
      <c r="LHZ451" s="741"/>
      <c r="LIA451" s="741"/>
      <c r="LIB451" s="741"/>
      <c r="LIC451" s="741"/>
      <c r="LID451" s="741"/>
      <c r="LIE451" s="741"/>
      <c r="LIF451" s="741"/>
      <c r="LIG451" s="741"/>
      <c r="LIH451" s="741"/>
      <c r="LII451" s="741"/>
      <c r="LIJ451" s="741"/>
      <c r="LIK451" s="741"/>
      <c r="LIL451" s="741"/>
      <c r="LIM451" s="741"/>
      <c r="LIN451" s="741"/>
      <c r="LIO451" s="741"/>
      <c r="LIP451" s="741"/>
      <c r="LIQ451" s="741"/>
      <c r="LIR451" s="741"/>
      <c r="LIS451" s="741"/>
      <c r="LIT451" s="741"/>
      <c r="LIU451" s="741"/>
      <c r="LIV451" s="741"/>
      <c r="LIW451" s="741"/>
      <c r="LIX451" s="741"/>
      <c r="LIY451" s="741"/>
      <c r="LIZ451" s="741"/>
      <c r="LJA451" s="741"/>
      <c r="LJB451" s="741"/>
      <c r="LJC451" s="741"/>
      <c r="LJD451" s="741"/>
      <c r="LJE451" s="741"/>
      <c r="LJF451" s="741"/>
      <c r="LJG451" s="741"/>
      <c r="LJH451" s="741"/>
      <c r="LJI451" s="741"/>
      <c r="LJJ451" s="741"/>
      <c r="LJK451" s="741"/>
      <c r="LJL451" s="741"/>
      <c r="LJM451" s="741"/>
      <c r="LJN451" s="741"/>
      <c r="LJO451" s="741"/>
      <c r="LJP451" s="741"/>
      <c r="LJQ451" s="741"/>
      <c r="LJR451" s="741"/>
      <c r="LJS451" s="741"/>
      <c r="LJT451" s="741"/>
      <c r="LJU451" s="741"/>
      <c r="LJV451" s="741"/>
      <c r="LJW451" s="741"/>
      <c r="LJX451" s="741"/>
      <c r="LJY451" s="741"/>
      <c r="LJZ451" s="741"/>
      <c r="LKA451" s="741"/>
      <c r="LKB451" s="741"/>
      <c r="LKC451" s="741"/>
      <c r="LKD451" s="741"/>
      <c r="LKE451" s="741"/>
      <c r="LKF451" s="741"/>
      <c r="LKG451" s="741"/>
      <c r="LKH451" s="741"/>
      <c r="LKI451" s="741"/>
      <c r="LKJ451" s="741"/>
      <c r="LKK451" s="741"/>
      <c r="LKL451" s="741"/>
      <c r="LKM451" s="741"/>
      <c r="LKN451" s="741"/>
      <c r="LKO451" s="741"/>
      <c r="LKP451" s="741"/>
      <c r="LKQ451" s="741"/>
      <c r="LKR451" s="741"/>
      <c r="LKS451" s="741"/>
      <c r="LKT451" s="741"/>
      <c r="LKU451" s="741"/>
      <c r="LKV451" s="741"/>
      <c r="LKW451" s="741"/>
      <c r="LKX451" s="741"/>
      <c r="LKY451" s="741"/>
      <c r="LKZ451" s="741"/>
      <c r="LLA451" s="741"/>
      <c r="LLB451" s="741"/>
      <c r="LLC451" s="741"/>
      <c r="LLD451" s="741"/>
      <c r="LLE451" s="741"/>
      <c r="LLF451" s="741"/>
      <c r="LLG451" s="741"/>
      <c r="LLH451" s="741"/>
      <c r="LLI451" s="741"/>
      <c r="LLJ451" s="741"/>
      <c r="LLK451" s="741"/>
      <c r="LLL451" s="741"/>
      <c r="LLM451" s="741"/>
      <c r="LLN451" s="741"/>
      <c r="LLO451" s="741"/>
      <c r="LLP451" s="741"/>
      <c r="LLQ451" s="741"/>
      <c r="LLR451" s="741"/>
      <c r="LLS451" s="741"/>
      <c r="LLT451" s="741"/>
      <c r="LLU451" s="741"/>
      <c r="LLV451" s="741"/>
      <c r="LLW451" s="741"/>
      <c r="LLX451" s="741"/>
      <c r="LLY451" s="741"/>
      <c r="LLZ451" s="741"/>
      <c r="LMA451" s="741"/>
      <c r="LMB451" s="741"/>
      <c r="LMC451" s="741"/>
      <c r="LMD451" s="741"/>
      <c r="LME451" s="741"/>
      <c r="LMF451" s="741"/>
      <c r="LMG451" s="741"/>
      <c r="LMH451" s="741"/>
      <c r="LMI451" s="741"/>
      <c r="LMJ451" s="741"/>
      <c r="LMK451" s="741"/>
      <c r="LML451" s="741"/>
      <c r="LMM451" s="741"/>
      <c r="LMN451" s="741"/>
      <c r="LMO451" s="741"/>
      <c r="LMP451" s="741"/>
      <c r="LMQ451" s="741"/>
      <c r="LMR451" s="741"/>
      <c r="LMS451" s="741"/>
      <c r="LMT451" s="741"/>
      <c r="LMU451" s="741"/>
      <c r="LMV451" s="741"/>
      <c r="LMW451" s="741"/>
      <c r="LMX451" s="741"/>
      <c r="LMY451" s="741"/>
      <c r="LMZ451" s="741"/>
      <c r="LNA451" s="741"/>
      <c r="LNB451" s="741"/>
      <c r="LNC451" s="741"/>
      <c r="LND451" s="741"/>
      <c r="LNE451" s="741"/>
      <c r="LNF451" s="741"/>
      <c r="LNG451" s="741"/>
      <c r="LNH451" s="741"/>
      <c r="LNI451" s="741"/>
      <c r="LNJ451" s="741"/>
      <c r="LNK451" s="741"/>
      <c r="LNL451" s="741"/>
      <c r="LNM451" s="741"/>
      <c r="LNN451" s="741"/>
      <c r="LNO451" s="741"/>
      <c r="LNP451" s="741"/>
      <c r="LNQ451" s="741"/>
      <c r="LNR451" s="741"/>
      <c r="LNS451" s="741"/>
      <c r="LNT451" s="741"/>
      <c r="LNU451" s="741"/>
      <c r="LNV451" s="741"/>
      <c r="LNW451" s="741"/>
      <c r="LNX451" s="741"/>
      <c r="LNY451" s="741"/>
      <c r="LNZ451" s="741"/>
      <c r="LOA451" s="741"/>
      <c r="LOB451" s="741"/>
      <c r="LOC451" s="741"/>
      <c r="LOD451" s="741"/>
      <c r="LOE451" s="741"/>
      <c r="LOF451" s="741"/>
      <c r="LOG451" s="741"/>
      <c r="LOH451" s="741"/>
      <c r="LOI451" s="741"/>
      <c r="LOJ451" s="741"/>
      <c r="LOK451" s="741"/>
      <c r="LOL451" s="741"/>
      <c r="LOM451" s="741"/>
      <c r="LON451" s="741"/>
      <c r="LOO451" s="741"/>
      <c r="LOP451" s="741"/>
      <c r="LOQ451" s="741"/>
      <c r="LOR451" s="741"/>
      <c r="LOS451" s="741"/>
      <c r="LOT451" s="741"/>
      <c r="LOU451" s="741"/>
      <c r="LOV451" s="741"/>
      <c r="LOW451" s="741"/>
      <c r="LOX451" s="741"/>
      <c r="LOY451" s="741"/>
      <c r="LOZ451" s="741"/>
      <c r="LPA451" s="741"/>
      <c r="LPB451" s="741"/>
      <c r="LPC451" s="741"/>
      <c r="LPD451" s="741"/>
      <c r="LPE451" s="741"/>
      <c r="LPF451" s="741"/>
      <c r="LPG451" s="741"/>
      <c r="LPH451" s="741"/>
      <c r="LPI451" s="741"/>
      <c r="LPJ451" s="741"/>
      <c r="LPK451" s="741"/>
      <c r="LPL451" s="741"/>
      <c r="LPM451" s="741"/>
      <c r="LPN451" s="741"/>
      <c r="LPO451" s="741"/>
      <c r="LPP451" s="741"/>
      <c r="LPQ451" s="741"/>
      <c r="LPR451" s="741"/>
      <c r="LPS451" s="741"/>
      <c r="LPT451" s="741"/>
      <c r="LPU451" s="741"/>
      <c r="LPV451" s="741"/>
      <c r="LPW451" s="741"/>
      <c r="LPX451" s="741"/>
      <c r="LPY451" s="741"/>
      <c r="LPZ451" s="741"/>
      <c r="LQA451" s="741"/>
      <c r="LQB451" s="741"/>
      <c r="LQC451" s="741"/>
      <c r="LQD451" s="741"/>
      <c r="LQE451" s="741"/>
      <c r="LQF451" s="741"/>
      <c r="LQG451" s="741"/>
      <c r="LQH451" s="741"/>
      <c r="LQI451" s="741"/>
      <c r="LQJ451" s="741"/>
      <c r="LQK451" s="741"/>
      <c r="LQL451" s="741"/>
      <c r="LQM451" s="741"/>
      <c r="LQN451" s="741"/>
      <c r="LQO451" s="741"/>
      <c r="LQP451" s="741"/>
      <c r="LQQ451" s="741"/>
      <c r="LQR451" s="741"/>
      <c r="LQS451" s="741"/>
      <c r="LQT451" s="741"/>
      <c r="LQU451" s="741"/>
      <c r="LQV451" s="741"/>
      <c r="LQW451" s="741"/>
      <c r="LQX451" s="741"/>
      <c r="LQY451" s="741"/>
      <c r="LQZ451" s="741"/>
      <c r="LRA451" s="741"/>
      <c r="LRB451" s="741"/>
      <c r="LRC451" s="741"/>
      <c r="LRD451" s="741"/>
      <c r="LRE451" s="741"/>
      <c r="LRF451" s="741"/>
      <c r="LRG451" s="741"/>
      <c r="LRH451" s="741"/>
      <c r="LRI451" s="741"/>
      <c r="LRJ451" s="741"/>
      <c r="LRK451" s="741"/>
      <c r="LRL451" s="741"/>
      <c r="LRM451" s="741"/>
      <c r="LRN451" s="741"/>
      <c r="LRO451" s="741"/>
      <c r="LRP451" s="741"/>
      <c r="LRQ451" s="741"/>
      <c r="LRR451" s="741"/>
      <c r="LRS451" s="741"/>
      <c r="LRT451" s="741"/>
      <c r="LRU451" s="741"/>
      <c r="LRV451" s="741"/>
      <c r="LRW451" s="741"/>
      <c r="LRX451" s="741"/>
      <c r="LRY451" s="741"/>
      <c r="LRZ451" s="741"/>
      <c r="LSA451" s="741"/>
      <c r="LSB451" s="741"/>
      <c r="LSC451" s="741"/>
      <c r="LSD451" s="741"/>
      <c r="LSE451" s="741"/>
      <c r="LSF451" s="741"/>
      <c r="LSG451" s="741"/>
      <c r="LSH451" s="741"/>
      <c r="LSI451" s="741"/>
      <c r="LSJ451" s="741"/>
      <c r="LSK451" s="741"/>
      <c r="LSL451" s="741"/>
      <c r="LSM451" s="741"/>
      <c r="LSN451" s="741"/>
      <c r="LSO451" s="741"/>
      <c r="LSP451" s="741"/>
      <c r="LSQ451" s="741"/>
      <c r="LSR451" s="741"/>
      <c r="LSS451" s="741"/>
      <c r="LST451" s="741"/>
      <c r="LSU451" s="741"/>
      <c r="LSV451" s="741"/>
      <c r="LSW451" s="741"/>
      <c r="LSX451" s="741"/>
      <c r="LSY451" s="741"/>
      <c r="LSZ451" s="741"/>
      <c r="LTA451" s="741"/>
      <c r="LTB451" s="741"/>
      <c r="LTC451" s="741"/>
      <c r="LTD451" s="741"/>
      <c r="LTE451" s="741"/>
      <c r="LTF451" s="741"/>
      <c r="LTG451" s="741"/>
      <c r="LTH451" s="741"/>
      <c r="LTI451" s="741"/>
      <c r="LTJ451" s="741"/>
      <c r="LTK451" s="741"/>
      <c r="LTL451" s="741"/>
      <c r="LTM451" s="741"/>
      <c r="LTN451" s="741"/>
      <c r="LTO451" s="741"/>
      <c r="LTP451" s="741"/>
      <c r="LTQ451" s="741"/>
      <c r="LTR451" s="741"/>
      <c r="LTS451" s="741"/>
      <c r="LTT451" s="741"/>
      <c r="LTU451" s="741"/>
      <c r="LTV451" s="741"/>
      <c r="LTW451" s="741"/>
      <c r="LTX451" s="741"/>
      <c r="LTY451" s="741"/>
      <c r="LTZ451" s="741"/>
      <c r="LUA451" s="741"/>
      <c r="LUB451" s="741"/>
      <c r="LUC451" s="741"/>
      <c r="LUD451" s="741"/>
      <c r="LUE451" s="741"/>
      <c r="LUF451" s="741"/>
      <c r="LUG451" s="741"/>
      <c r="LUH451" s="741"/>
      <c r="LUI451" s="741"/>
      <c r="LUJ451" s="741"/>
      <c r="LUK451" s="741"/>
      <c r="LUL451" s="741"/>
      <c r="LUM451" s="741"/>
      <c r="LUN451" s="741"/>
      <c r="LUO451" s="741"/>
      <c r="LUP451" s="741"/>
      <c r="LUQ451" s="741"/>
      <c r="LUR451" s="741"/>
      <c r="LUS451" s="741"/>
      <c r="LUT451" s="741"/>
      <c r="LUU451" s="741"/>
      <c r="LUV451" s="741"/>
      <c r="LUW451" s="741"/>
      <c r="LUX451" s="741"/>
      <c r="LUY451" s="741"/>
      <c r="LUZ451" s="741"/>
      <c r="LVA451" s="741"/>
      <c r="LVB451" s="741"/>
      <c r="LVC451" s="741"/>
      <c r="LVD451" s="741"/>
      <c r="LVE451" s="741"/>
      <c r="LVF451" s="741"/>
      <c r="LVG451" s="741"/>
      <c r="LVH451" s="741"/>
      <c r="LVI451" s="741"/>
      <c r="LVJ451" s="741"/>
      <c r="LVK451" s="741"/>
      <c r="LVL451" s="741"/>
      <c r="LVM451" s="741"/>
      <c r="LVN451" s="741"/>
      <c r="LVO451" s="741"/>
      <c r="LVP451" s="741"/>
      <c r="LVQ451" s="741"/>
      <c r="LVR451" s="741"/>
      <c r="LVS451" s="741"/>
      <c r="LVT451" s="741"/>
      <c r="LVU451" s="741"/>
      <c r="LVV451" s="741"/>
      <c r="LVW451" s="741"/>
      <c r="LVX451" s="741"/>
      <c r="LVY451" s="741"/>
      <c r="LVZ451" s="741"/>
      <c r="LWA451" s="741"/>
      <c r="LWB451" s="741"/>
      <c r="LWC451" s="741"/>
      <c r="LWD451" s="741"/>
      <c r="LWE451" s="741"/>
      <c r="LWF451" s="741"/>
      <c r="LWG451" s="741"/>
      <c r="LWH451" s="741"/>
      <c r="LWI451" s="741"/>
      <c r="LWJ451" s="741"/>
      <c r="LWK451" s="741"/>
      <c r="LWL451" s="741"/>
      <c r="LWM451" s="741"/>
      <c r="LWN451" s="741"/>
      <c r="LWO451" s="741"/>
      <c r="LWP451" s="741"/>
      <c r="LWQ451" s="741"/>
      <c r="LWR451" s="741"/>
      <c r="LWS451" s="741"/>
      <c r="LWT451" s="741"/>
      <c r="LWU451" s="741"/>
      <c r="LWV451" s="741"/>
      <c r="LWW451" s="741"/>
      <c r="LWX451" s="741"/>
      <c r="LWY451" s="741"/>
      <c r="LWZ451" s="741"/>
      <c r="LXA451" s="741"/>
      <c r="LXB451" s="741"/>
      <c r="LXC451" s="741"/>
      <c r="LXD451" s="741"/>
      <c r="LXE451" s="741"/>
      <c r="LXF451" s="741"/>
      <c r="LXG451" s="741"/>
      <c r="LXH451" s="741"/>
      <c r="LXI451" s="741"/>
      <c r="LXJ451" s="741"/>
      <c r="LXK451" s="741"/>
      <c r="LXL451" s="741"/>
      <c r="LXM451" s="741"/>
      <c r="LXN451" s="741"/>
      <c r="LXO451" s="741"/>
      <c r="LXP451" s="741"/>
      <c r="LXQ451" s="741"/>
      <c r="LXR451" s="741"/>
      <c r="LXS451" s="741"/>
      <c r="LXT451" s="741"/>
      <c r="LXU451" s="741"/>
      <c r="LXV451" s="741"/>
      <c r="LXW451" s="741"/>
      <c r="LXX451" s="741"/>
      <c r="LXY451" s="741"/>
      <c r="LXZ451" s="741"/>
      <c r="LYA451" s="741"/>
      <c r="LYB451" s="741"/>
      <c r="LYC451" s="741"/>
      <c r="LYD451" s="741"/>
      <c r="LYE451" s="741"/>
      <c r="LYF451" s="741"/>
      <c r="LYG451" s="741"/>
      <c r="LYH451" s="741"/>
      <c r="LYI451" s="741"/>
      <c r="LYJ451" s="741"/>
      <c r="LYK451" s="741"/>
      <c r="LYL451" s="741"/>
      <c r="LYM451" s="741"/>
      <c r="LYN451" s="741"/>
      <c r="LYO451" s="741"/>
      <c r="LYP451" s="741"/>
      <c r="LYQ451" s="741"/>
      <c r="LYR451" s="741"/>
      <c r="LYS451" s="741"/>
      <c r="LYT451" s="741"/>
      <c r="LYU451" s="741"/>
      <c r="LYV451" s="741"/>
      <c r="LYW451" s="741"/>
      <c r="LYX451" s="741"/>
      <c r="LYY451" s="741"/>
      <c r="LYZ451" s="741"/>
      <c r="LZA451" s="741"/>
      <c r="LZB451" s="741"/>
      <c r="LZC451" s="741"/>
      <c r="LZD451" s="741"/>
      <c r="LZE451" s="741"/>
      <c r="LZF451" s="741"/>
      <c r="LZG451" s="741"/>
      <c r="LZH451" s="741"/>
      <c r="LZI451" s="741"/>
      <c r="LZJ451" s="741"/>
      <c r="LZK451" s="741"/>
      <c r="LZL451" s="741"/>
      <c r="LZM451" s="741"/>
      <c r="LZN451" s="741"/>
      <c r="LZO451" s="741"/>
      <c r="LZP451" s="741"/>
      <c r="LZQ451" s="741"/>
      <c r="LZR451" s="741"/>
      <c r="LZS451" s="741"/>
      <c r="LZT451" s="741"/>
      <c r="LZU451" s="741"/>
      <c r="LZV451" s="741"/>
      <c r="LZW451" s="741"/>
      <c r="LZX451" s="741"/>
      <c r="LZY451" s="741"/>
      <c r="LZZ451" s="741"/>
      <c r="MAA451" s="741"/>
      <c r="MAB451" s="741"/>
      <c r="MAC451" s="741"/>
      <c r="MAD451" s="741"/>
      <c r="MAE451" s="741"/>
      <c r="MAF451" s="741"/>
      <c r="MAG451" s="741"/>
      <c r="MAH451" s="741"/>
      <c r="MAI451" s="741"/>
      <c r="MAJ451" s="741"/>
      <c r="MAK451" s="741"/>
      <c r="MAL451" s="741"/>
      <c r="MAM451" s="741"/>
      <c r="MAN451" s="741"/>
      <c r="MAO451" s="741"/>
      <c r="MAP451" s="741"/>
      <c r="MAQ451" s="741"/>
      <c r="MAR451" s="741"/>
      <c r="MAS451" s="741"/>
      <c r="MAT451" s="741"/>
      <c r="MAU451" s="741"/>
      <c r="MAV451" s="741"/>
      <c r="MAW451" s="741"/>
      <c r="MAX451" s="741"/>
      <c r="MAY451" s="741"/>
      <c r="MAZ451" s="741"/>
      <c r="MBA451" s="741"/>
      <c r="MBB451" s="741"/>
      <c r="MBC451" s="741"/>
      <c r="MBD451" s="741"/>
      <c r="MBE451" s="741"/>
      <c r="MBF451" s="741"/>
      <c r="MBG451" s="741"/>
      <c r="MBH451" s="741"/>
      <c r="MBI451" s="741"/>
      <c r="MBJ451" s="741"/>
      <c r="MBK451" s="741"/>
      <c r="MBL451" s="741"/>
      <c r="MBM451" s="741"/>
      <c r="MBN451" s="741"/>
      <c r="MBO451" s="741"/>
      <c r="MBP451" s="741"/>
      <c r="MBQ451" s="741"/>
      <c r="MBR451" s="741"/>
      <c r="MBS451" s="741"/>
      <c r="MBT451" s="741"/>
      <c r="MBU451" s="741"/>
      <c r="MBV451" s="741"/>
      <c r="MBW451" s="741"/>
      <c r="MBX451" s="741"/>
      <c r="MBY451" s="741"/>
      <c r="MBZ451" s="741"/>
      <c r="MCA451" s="741"/>
      <c r="MCB451" s="741"/>
      <c r="MCC451" s="741"/>
      <c r="MCD451" s="741"/>
      <c r="MCE451" s="741"/>
      <c r="MCF451" s="741"/>
      <c r="MCG451" s="741"/>
      <c r="MCH451" s="741"/>
      <c r="MCI451" s="741"/>
      <c r="MCJ451" s="741"/>
      <c r="MCK451" s="741"/>
      <c r="MCL451" s="741"/>
      <c r="MCM451" s="741"/>
      <c r="MCN451" s="741"/>
      <c r="MCO451" s="741"/>
      <c r="MCP451" s="741"/>
      <c r="MCQ451" s="741"/>
      <c r="MCR451" s="741"/>
      <c r="MCS451" s="741"/>
      <c r="MCT451" s="741"/>
      <c r="MCU451" s="741"/>
      <c r="MCV451" s="741"/>
      <c r="MCW451" s="741"/>
      <c r="MCX451" s="741"/>
      <c r="MCY451" s="741"/>
      <c r="MCZ451" s="741"/>
      <c r="MDA451" s="741"/>
      <c r="MDB451" s="741"/>
      <c r="MDC451" s="741"/>
      <c r="MDD451" s="741"/>
      <c r="MDE451" s="741"/>
      <c r="MDF451" s="741"/>
      <c r="MDG451" s="741"/>
      <c r="MDH451" s="741"/>
      <c r="MDI451" s="741"/>
      <c r="MDJ451" s="741"/>
      <c r="MDK451" s="741"/>
      <c r="MDL451" s="741"/>
      <c r="MDM451" s="741"/>
      <c r="MDN451" s="741"/>
      <c r="MDO451" s="741"/>
      <c r="MDP451" s="741"/>
      <c r="MDQ451" s="741"/>
      <c r="MDR451" s="741"/>
      <c r="MDS451" s="741"/>
      <c r="MDT451" s="741"/>
      <c r="MDU451" s="741"/>
      <c r="MDV451" s="741"/>
      <c r="MDW451" s="741"/>
      <c r="MDX451" s="741"/>
      <c r="MDY451" s="741"/>
      <c r="MDZ451" s="741"/>
      <c r="MEA451" s="741"/>
      <c r="MEB451" s="741"/>
      <c r="MEC451" s="741"/>
      <c r="MED451" s="741"/>
      <c r="MEE451" s="741"/>
      <c r="MEF451" s="741"/>
      <c r="MEG451" s="741"/>
      <c r="MEH451" s="741"/>
      <c r="MEI451" s="741"/>
      <c r="MEJ451" s="741"/>
      <c r="MEK451" s="741"/>
      <c r="MEL451" s="741"/>
      <c r="MEM451" s="741"/>
      <c r="MEN451" s="741"/>
      <c r="MEO451" s="741"/>
      <c r="MEP451" s="741"/>
      <c r="MEQ451" s="741"/>
      <c r="MER451" s="741"/>
      <c r="MES451" s="741"/>
      <c r="MET451" s="741"/>
      <c r="MEU451" s="741"/>
      <c r="MEV451" s="741"/>
      <c r="MEW451" s="741"/>
      <c r="MEX451" s="741"/>
      <c r="MEY451" s="741"/>
      <c r="MEZ451" s="741"/>
      <c r="MFA451" s="741"/>
      <c r="MFB451" s="741"/>
      <c r="MFC451" s="741"/>
      <c r="MFD451" s="741"/>
      <c r="MFE451" s="741"/>
      <c r="MFF451" s="741"/>
      <c r="MFG451" s="741"/>
      <c r="MFH451" s="741"/>
      <c r="MFI451" s="741"/>
      <c r="MFJ451" s="741"/>
      <c r="MFK451" s="741"/>
      <c r="MFL451" s="741"/>
      <c r="MFM451" s="741"/>
      <c r="MFN451" s="741"/>
      <c r="MFO451" s="741"/>
      <c r="MFP451" s="741"/>
      <c r="MFQ451" s="741"/>
      <c r="MFR451" s="741"/>
      <c r="MFS451" s="741"/>
      <c r="MFT451" s="741"/>
      <c r="MFU451" s="741"/>
      <c r="MFV451" s="741"/>
      <c r="MFW451" s="741"/>
      <c r="MFX451" s="741"/>
      <c r="MFY451" s="741"/>
      <c r="MFZ451" s="741"/>
      <c r="MGA451" s="741"/>
      <c r="MGB451" s="741"/>
      <c r="MGC451" s="741"/>
      <c r="MGD451" s="741"/>
      <c r="MGE451" s="741"/>
      <c r="MGF451" s="741"/>
      <c r="MGG451" s="741"/>
      <c r="MGH451" s="741"/>
      <c r="MGI451" s="741"/>
      <c r="MGJ451" s="741"/>
      <c r="MGK451" s="741"/>
      <c r="MGL451" s="741"/>
      <c r="MGM451" s="741"/>
      <c r="MGN451" s="741"/>
      <c r="MGO451" s="741"/>
      <c r="MGP451" s="741"/>
      <c r="MGQ451" s="741"/>
      <c r="MGR451" s="741"/>
      <c r="MGS451" s="741"/>
      <c r="MGT451" s="741"/>
      <c r="MGU451" s="741"/>
      <c r="MGV451" s="741"/>
      <c r="MGW451" s="741"/>
      <c r="MGX451" s="741"/>
      <c r="MGY451" s="741"/>
      <c r="MGZ451" s="741"/>
      <c r="MHA451" s="741"/>
      <c r="MHB451" s="741"/>
      <c r="MHC451" s="741"/>
      <c r="MHD451" s="741"/>
      <c r="MHE451" s="741"/>
      <c r="MHF451" s="741"/>
      <c r="MHG451" s="741"/>
      <c r="MHH451" s="741"/>
      <c r="MHI451" s="741"/>
      <c r="MHJ451" s="741"/>
      <c r="MHK451" s="741"/>
      <c r="MHL451" s="741"/>
      <c r="MHM451" s="741"/>
      <c r="MHN451" s="741"/>
      <c r="MHO451" s="741"/>
      <c r="MHP451" s="741"/>
      <c r="MHQ451" s="741"/>
      <c r="MHR451" s="741"/>
      <c r="MHS451" s="741"/>
      <c r="MHT451" s="741"/>
      <c r="MHU451" s="741"/>
      <c r="MHV451" s="741"/>
      <c r="MHW451" s="741"/>
      <c r="MHX451" s="741"/>
      <c r="MHY451" s="741"/>
      <c r="MHZ451" s="741"/>
      <c r="MIA451" s="741"/>
      <c r="MIB451" s="741"/>
      <c r="MIC451" s="741"/>
      <c r="MID451" s="741"/>
      <c r="MIE451" s="741"/>
      <c r="MIF451" s="741"/>
      <c r="MIG451" s="741"/>
      <c r="MIH451" s="741"/>
      <c r="MII451" s="741"/>
      <c r="MIJ451" s="741"/>
      <c r="MIK451" s="741"/>
      <c r="MIL451" s="741"/>
      <c r="MIM451" s="741"/>
      <c r="MIN451" s="741"/>
      <c r="MIO451" s="741"/>
      <c r="MIP451" s="741"/>
      <c r="MIQ451" s="741"/>
      <c r="MIR451" s="741"/>
      <c r="MIS451" s="741"/>
      <c r="MIT451" s="741"/>
      <c r="MIU451" s="741"/>
      <c r="MIV451" s="741"/>
      <c r="MIW451" s="741"/>
      <c r="MIX451" s="741"/>
      <c r="MIY451" s="741"/>
      <c r="MIZ451" s="741"/>
      <c r="MJA451" s="741"/>
      <c r="MJB451" s="741"/>
      <c r="MJC451" s="741"/>
      <c r="MJD451" s="741"/>
      <c r="MJE451" s="741"/>
      <c r="MJF451" s="741"/>
      <c r="MJG451" s="741"/>
      <c r="MJH451" s="741"/>
      <c r="MJI451" s="741"/>
      <c r="MJJ451" s="741"/>
      <c r="MJK451" s="741"/>
      <c r="MJL451" s="741"/>
      <c r="MJM451" s="741"/>
      <c r="MJN451" s="741"/>
      <c r="MJO451" s="741"/>
      <c r="MJP451" s="741"/>
      <c r="MJQ451" s="741"/>
      <c r="MJR451" s="741"/>
      <c r="MJS451" s="741"/>
      <c r="MJT451" s="741"/>
      <c r="MJU451" s="741"/>
      <c r="MJV451" s="741"/>
      <c r="MJW451" s="741"/>
      <c r="MJX451" s="741"/>
      <c r="MJY451" s="741"/>
      <c r="MJZ451" s="741"/>
      <c r="MKA451" s="741"/>
      <c r="MKB451" s="741"/>
      <c r="MKC451" s="741"/>
      <c r="MKD451" s="741"/>
      <c r="MKE451" s="741"/>
      <c r="MKF451" s="741"/>
      <c r="MKG451" s="741"/>
      <c r="MKH451" s="741"/>
      <c r="MKI451" s="741"/>
      <c r="MKJ451" s="741"/>
      <c r="MKK451" s="741"/>
      <c r="MKL451" s="741"/>
      <c r="MKM451" s="741"/>
      <c r="MKN451" s="741"/>
      <c r="MKO451" s="741"/>
      <c r="MKP451" s="741"/>
      <c r="MKQ451" s="741"/>
      <c r="MKR451" s="741"/>
      <c r="MKS451" s="741"/>
      <c r="MKT451" s="741"/>
      <c r="MKU451" s="741"/>
      <c r="MKV451" s="741"/>
      <c r="MKW451" s="741"/>
      <c r="MKX451" s="741"/>
      <c r="MKY451" s="741"/>
      <c r="MKZ451" s="741"/>
      <c r="MLA451" s="741"/>
      <c r="MLB451" s="741"/>
      <c r="MLC451" s="741"/>
      <c r="MLD451" s="741"/>
      <c r="MLE451" s="741"/>
      <c r="MLF451" s="741"/>
      <c r="MLG451" s="741"/>
      <c r="MLH451" s="741"/>
      <c r="MLI451" s="741"/>
      <c r="MLJ451" s="741"/>
      <c r="MLK451" s="741"/>
      <c r="MLL451" s="741"/>
      <c r="MLM451" s="741"/>
      <c r="MLN451" s="741"/>
      <c r="MLO451" s="741"/>
      <c r="MLP451" s="741"/>
      <c r="MLQ451" s="741"/>
      <c r="MLR451" s="741"/>
      <c r="MLS451" s="741"/>
      <c r="MLT451" s="741"/>
      <c r="MLU451" s="741"/>
      <c r="MLV451" s="741"/>
      <c r="MLW451" s="741"/>
      <c r="MLX451" s="741"/>
      <c r="MLY451" s="741"/>
      <c r="MLZ451" s="741"/>
      <c r="MMA451" s="741"/>
      <c r="MMB451" s="741"/>
      <c r="MMC451" s="741"/>
      <c r="MMD451" s="741"/>
      <c r="MME451" s="741"/>
      <c r="MMF451" s="741"/>
      <c r="MMG451" s="741"/>
      <c r="MMH451" s="741"/>
      <c r="MMI451" s="741"/>
      <c r="MMJ451" s="741"/>
      <c r="MMK451" s="741"/>
      <c r="MML451" s="741"/>
      <c r="MMM451" s="741"/>
      <c r="MMN451" s="741"/>
      <c r="MMO451" s="741"/>
      <c r="MMP451" s="741"/>
      <c r="MMQ451" s="741"/>
      <c r="MMR451" s="741"/>
      <c r="MMS451" s="741"/>
      <c r="MMT451" s="741"/>
      <c r="MMU451" s="741"/>
      <c r="MMV451" s="741"/>
      <c r="MMW451" s="741"/>
      <c r="MMX451" s="741"/>
      <c r="MMY451" s="741"/>
      <c r="MMZ451" s="741"/>
      <c r="MNA451" s="741"/>
      <c r="MNB451" s="741"/>
      <c r="MNC451" s="741"/>
      <c r="MND451" s="741"/>
      <c r="MNE451" s="741"/>
      <c r="MNF451" s="741"/>
      <c r="MNG451" s="741"/>
      <c r="MNH451" s="741"/>
      <c r="MNI451" s="741"/>
      <c r="MNJ451" s="741"/>
      <c r="MNK451" s="741"/>
      <c r="MNL451" s="741"/>
      <c r="MNM451" s="741"/>
      <c r="MNN451" s="741"/>
      <c r="MNO451" s="741"/>
      <c r="MNP451" s="741"/>
      <c r="MNQ451" s="741"/>
      <c r="MNR451" s="741"/>
      <c r="MNS451" s="741"/>
      <c r="MNT451" s="741"/>
      <c r="MNU451" s="741"/>
      <c r="MNV451" s="741"/>
      <c r="MNW451" s="741"/>
      <c r="MNX451" s="741"/>
      <c r="MNY451" s="741"/>
      <c r="MNZ451" s="741"/>
      <c r="MOA451" s="741"/>
      <c r="MOB451" s="741"/>
      <c r="MOC451" s="741"/>
      <c r="MOD451" s="741"/>
      <c r="MOE451" s="741"/>
      <c r="MOF451" s="741"/>
      <c r="MOG451" s="741"/>
      <c r="MOH451" s="741"/>
      <c r="MOI451" s="741"/>
      <c r="MOJ451" s="741"/>
      <c r="MOK451" s="741"/>
      <c r="MOL451" s="741"/>
      <c r="MOM451" s="741"/>
      <c r="MON451" s="741"/>
      <c r="MOO451" s="741"/>
      <c r="MOP451" s="741"/>
      <c r="MOQ451" s="741"/>
      <c r="MOR451" s="741"/>
      <c r="MOS451" s="741"/>
      <c r="MOT451" s="741"/>
      <c r="MOU451" s="741"/>
      <c r="MOV451" s="741"/>
      <c r="MOW451" s="741"/>
      <c r="MOX451" s="741"/>
      <c r="MOY451" s="741"/>
      <c r="MOZ451" s="741"/>
      <c r="MPA451" s="741"/>
      <c r="MPB451" s="741"/>
      <c r="MPC451" s="741"/>
      <c r="MPD451" s="741"/>
      <c r="MPE451" s="741"/>
      <c r="MPF451" s="741"/>
      <c r="MPG451" s="741"/>
      <c r="MPH451" s="741"/>
      <c r="MPI451" s="741"/>
      <c r="MPJ451" s="741"/>
      <c r="MPK451" s="741"/>
      <c r="MPL451" s="741"/>
      <c r="MPM451" s="741"/>
      <c r="MPN451" s="741"/>
      <c r="MPO451" s="741"/>
      <c r="MPP451" s="741"/>
      <c r="MPQ451" s="741"/>
      <c r="MPR451" s="741"/>
      <c r="MPS451" s="741"/>
      <c r="MPT451" s="741"/>
      <c r="MPU451" s="741"/>
      <c r="MPV451" s="741"/>
      <c r="MPW451" s="741"/>
      <c r="MPX451" s="741"/>
      <c r="MPY451" s="741"/>
      <c r="MPZ451" s="741"/>
      <c r="MQA451" s="741"/>
      <c r="MQB451" s="741"/>
      <c r="MQC451" s="741"/>
      <c r="MQD451" s="741"/>
      <c r="MQE451" s="741"/>
      <c r="MQF451" s="741"/>
      <c r="MQG451" s="741"/>
      <c r="MQH451" s="741"/>
      <c r="MQI451" s="741"/>
      <c r="MQJ451" s="741"/>
      <c r="MQK451" s="741"/>
      <c r="MQL451" s="741"/>
      <c r="MQM451" s="741"/>
      <c r="MQN451" s="741"/>
      <c r="MQO451" s="741"/>
      <c r="MQP451" s="741"/>
      <c r="MQQ451" s="741"/>
      <c r="MQR451" s="741"/>
      <c r="MQS451" s="741"/>
      <c r="MQT451" s="741"/>
      <c r="MQU451" s="741"/>
      <c r="MQV451" s="741"/>
      <c r="MQW451" s="741"/>
      <c r="MQX451" s="741"/>
      <c r="MQY451" s="741"/>
      <c r="MQZ451" s="741"/>
      <c r="MRA451" s="741"/>
      <c r="MRB451" s="741"/>
      <c r="MRC451" s="741"/>
      <c r="MRD451" s="741"/>
      <c r="MRE451" s="741"/>
      <c r="MRF451" s="741"/>
      <c r="MRG451" s="741"/>
      <c r="MRH451" s="741"/>
      <c r="MRI451" s="741"/>
      <c r="MRJ451" s="741"/>
      <c r="MRK451" s="741"/>
      <c r="MRL451" s="741"/>
      <c r="MRM451" s="741"/>
      <c r="MRN451" s="741"/>
      <c r="MRO451" s="741"/>
      <c r="MRP451" s="741"/>
      <c r="MRQ451" s="741"/>
      <c r="MRR451" s="741"/>
      <c r="MRS451" s="741"/>
      <c r="MRT451" s="741"/>
      <c r="MRU451" s="741"/>
      <c r="MRV451" s="741"/>
      <c r="MRW451" s="741"/>
      <c r="MRX451" s="741"/>
      <c r="MRY451" s="741"/>
      <c r="MRZ451" s="741"/>
      <c r="MSA451" s="741"/>
      <c r="MSB451" s="741"/>
      <c r="MSC451" s="741"/>
      <c r="MSD451" s="741"/>
      <c r="MSE451" s="741"/>
      <c r="MSF451" s="741"/>
      <c r="MSG451" s="741"/>
      <c r="MSH451" s="741"/>
      <c r="MSI451" s="741"/>
      <c r="MSJ451" s="741"/>
      <c r="MSK451" s="741"/>
      <c r="MSL451" s="741"/>
      <c r="MSM451" s="741"/>
      <c r="MSN451" s="741"/>
      <c r="MSO451" s="741"/>
      <c r="MSP451" s="741"/>
      <c r="MSQ451" s="741"/>
      <c r="MSR451" s="741"/>
      <c r="MSS451" s="741"/>
      <c r="MST451" s="741"/>
      <c r="MSU451" s="741"/>
      <c r="MSV451" s="741"/>
      <c r="MSW451" s="741"/>
      <c r="MSX451" s="741"/>
      <c r="MSY451" s="741"/>
      <c r="MSZ451" s="741"/>
      <c r="MTA451" s="741"/>
      <c r="MTB451" s="741"/>
      <c r="MTC451" s="741"/>
      <c r="MTD451" s="741"/>
      <c r="MTE451" s="741"/>
      <c r="MTF451" s="741"/>
      <c r="MTG451" s="741"/>
      <c r="MTH451" s="741"/>
      <c r="MTI451" s="741"/>
      <c r="MTJ451" s="741"/>
      <c r="MTK451" s="741"/>
      <c r="MTL451" s="741"/>
      <c r="MTM451" s="741"/>
      <c r="MTN451" s="741"/>
      <c r="MTO451" s="741"/>
      <c r="MTP451" s="741"/>
      <c r="MTQ451" s="741"/>
      <c r="MTR451" s="741"/>
      <c r="MTS451" s="741"/>
      <c r="MTT451" s="741"/>
      <c r="MTU451" s="741"/>
      <c r="MTV451" s="741"/>
      <c r="MTW451" s="741"/>
      <c r="MTX451" s="741"/>
      <c r="MTY451" s="741"/>
      <c r="MTZ451" s="741"/>
      <c r="MUA451" s="741"/>
      <c r="MUB451" s="741"/>
      <c r="MUC451" s="741"/>
      <c r="MUD451" s="741"/>
      <c r="MUE451" s="741"/>
      <c r="MUF451" s="741"/>
      <c r="MUG451" s="741"/>
      <c r="MUH451" s="741"/>
      <c r="MUI451" s="741"/>
      <c r="MUJ451" s="741"/>
      <c r="MUK451" s="741"/>
      <c r="MUL451" s="741"/>
      <c r="MUM451" s="741"/>
      <c r="MUN451" s="741"/>
      <c r="MUO451" s="741"/>
      <c r="MUP451" s="741"/>
      <c r="MUQ451" s="741"/>
      <c r="MUR451" s="741"/>
      <c r="MUS451" s="741"/>
      <c r="MUT451" s="741"/>
      <c r="MUU451" s="741"/>
      <c r="MUV451" s="741"/>
      <c r="MUW451" s="741"/>
      <c r="MUX451" s="741"/>
      <c r="MUY451" s="741"/>
      <c r="MUZ451" s="741"/>
      <c r="MVA451" s="741"/>
      <c r="MVB451" s="741"/>
      <c r="MVC451" s="741"/>
      <c r="MVD451" s="741"/>
      <c r="MVE451" s="741"/>
      <c r="MVF451" s="741"/>
      <c r="MVG451" s="741"/>
      <c r="MVH451" s="741"/>
      <c r="MVI451" s="741"/>
      <c r="MVJ451" s="741"/>
      <c r="MVK451" s="741"/>
      <c r="MVL451" s="741"/>
      <c r="MVM451" s="741"/>
      <c r="MVN451" s="741"/>
      <c r="MVO451" s="741"/>
      <c r="MVP451" s="741"/>
      <c r="MVQ451" s="741"/>
      <c r="MVR451" s="741"/>
      <c r="MVS451" s="741"/>
      <c r="MVT451" s="741"/>
      <c r="MVU451" s="741"/>
      <c r="MVV451" s="741"/>
      <c r="MVW451" s="741"/>
      <c r="MVX451" s="741"/>
      <c r="MVY451" s="741"/>
      <c r="MVZ451" s="741"/>
      <c r="MWA451" s="741"/>
      <c r="MWB451" s="741"/>
      <c r="MWC451" s="741"/>
      <c r="MWD451" s="741"/>
      <c r="MWE451" s="741"/>
      <c r="MWF451" s="741"/>
      <c r="MWG451" s="741"/>
      <c r="MWH451" s="741"/>
      <c r="MWI451" s="741"/>
      <c r="MWJ451" s="741"/>
      <c r="MWK451" s="741"/>
      <c r="MWL451" s="741"/>
      <c r="MWM451" s="741"/>
      <c r="MWN451" s="741"/>
      <c r="MWO451" s="741"/>
      <c r="MWP451" s="741"/>
      <c r="MWQ451" s="741"/>
      <c r="MWR451" s="741"/>
      <c r="MWS451" s="741"/>
      <c r="MWT451" s="741"/>
      <c r="MWU451" s="741"/>
      <c r="MWV451" s="741"/>
      <c r="MWW451" s="741"/>
      <c r="MWX451" s="741"/>
      <c r="MWY451" s="741"/>
      <c r="MWZ451" s="741"/>
      <c r="MXA451" s="741"/>
      <c r="MXB451" s="741"/>
      <c r="MXC451" s="741"/>
      <c r="MXD451" s="741"/>
      <c r="MXE451" s="741"/>
      <c r="MXF451" s="741"/>
      <c r="MXG451" s="741"/>
      <c r="MXH451" s="741"/>
      <c r="MXI451" s="741"/>
      <c r="MXJ451" s="741"/>
      <c r="MXK451" s="741"/>
      <c r="MXL451" s="741"/>
      <c r="MXM451" s="741"/>
      <c r="MXN451" s="741"/>
      <c r="MXO451" s="741"/>
      <c r="MXP451" s="741"/>
      <c r="MXQ451" s="741"/>
      <c r="MXR451" s="741"/>
      <c r="MXS451" s="741"/>
      <c r="MXT451" s="741"/>
      <c r="MXU451" s="741"/>
      <c r="MXV451" s="741"/>
      <c r="MXW451" s="741"/>
      <c r="MXX451" s="741"/>
      <c r="MXY451" s="741"/>
      <c r="MXZ451" s="741"/>
      <c r="MYA451" s="741"/>
      <c r="MYB451" s="741"/>
      <c r="MYC451" s="741"/>
      <c r="MYD451" s="741"/>
      <c r="MYE451" s="741"/>
      <c r="MYF451" s="741"/>
      <c r="MYG451" s="741"/>
      <c r="MYH451" s="741"/>
      <c r="MYI451" s="741"/>
      <c r="MYJ451" s="741"/>
      <c r="MYK451" s="741"/>
      <c r="MYL451" s="741"/>
      <c r="MYM451" s="741"/>
      <c r="MYN451" s="741"/>
      <c r="MYO451" s="741"/>
      <c r="MYP451" s="741"/>
      <c r="MYQ451" s="741"/>
      <c r="MYR451" s="741"/>
      <c r="MYS451" s="741"/>
      <c r="MYT451" s="741"/>
      <c r="MYU451" s="741"/>
      <c r="MYV451" s="741"/>
      <c r="MYW451" s="741"/>
      <c r="MYX451" s="741"/>
      <c r="MYY451" s="741"/>
      <c r="MYZ451" s="741"/>
      <c r="MZA451" s="741"/>
      <c r="MZB451" s="741"/>
      <c r="MZC451" s="741"/>
      <c r="MZD451" s="741"/>
      <c r="MZE451" s="741"/>
      <c r="MZF451" s="741"/>
      <c r="MZG451" s="741"/>
      <c r="MZH451" s="741"/>
      <c r="MZI451" s="741"/>
      <c r="MZJ451" s="741"/>
      <c r="MZK451" s="741"/>
      <c r="MZL451" s="741"/>
      <c r="MZM451" s="741"/>
      <c r="MZN451" s="741"/>
      <c r="MZO451" s="741"/>
      <c r="MZP451" s="741"/>
      <c r="MZQ451" s="741"/>
      <c r="MZR451" s="741"/>
      <c r="MZS451" s="741"/>
      <c r="MZT451" s="741"/>
      <c r="MZU451" s="741"/>
      <c r="MZV451" s="741"/>
      <c r="MZW451" s="741"/>
      <c r="MZX451" s="741"/>
      <c r="MZY451" s="741"/>
      <c r="MZZ451" s="741"/>
      <c r="NAA451" s="741"/>
      <c r="NAB451" s="741"/>
      <c r="NAC451" s="741"/>
      <c r="NAD451" s="741"/>
      <c r="NAE451" s="741"/>
      <c r="NAF451" s="741"/>
      <c r="NAG451" s="741"/>
      <c r="NAH451" s="741"/>
      <c r="NAI451" s="741"/>
      <c r="NAJ451" s="741"/>
      <c r="NAK451" s="741"/>
      <c r="NAL451" s="741"/>
      <c r="NAM451" s="741"/>
      <c r="NAN451" s="741"/>
      <c r="NAO451" s="741"/>
      <c r="NAP451" s="741"/>
      <c r="NAQ451" s="741"/>
      <c r="NAR451" s="741"/>
      <c r="NAS451" s="741"/>
      <c r="NAT451" s="741"/>
      <c r="NAU451" s="741"/>
      <c r="NAV451" s="741"/>
      <c r="NAW451" s="741"/>
      <c r="NAX451" s="741"/>
      <c r="NAY451" s="741"/>
      <c r="NAZ451" s="741"/>
      <c r="NBA451" s="741"/>
      <c r="NBB451" s="741"/>
      <c r="NBC451" s="741"/>
      <c r="NBD451" s="741"/>
      <c r="NBE451" s="741"/>
      <c r="NBF451" s="741"/>
      <c r="NBG451" s="741"/>
      <c r="NBH451" s="741"/>
      <c r="NBI451" s="741"/>
      <c r="NBJ451" s="741"/>
      <c r="NBK451" s="741"/>
      <c r="NBL451" s="741"/>
      <c r="NBM451" s="741"/>
      <c r="NBN451" s="741"/>
      <c r="NBO451" s="741"/>
      <c r="NBP451" s="741"/>
      <c r="NBQ451" s="741"/>
      <c r="NBR451" s="741"/>
      <c r="NBS451" s="741"/>
      <c r="NBT451" s="741"/>
      <c r="NBU451" s="741"/>
      <c r="NBV451" s="741"/>
      <c r="NBW451" s="741"/>
      <c r="NBX451" s="741"/>
      <c r="NBY451" s="741"/>
      <c r="NBZ451" s="741"/>
      <c r="NCA451" s="741"/>
      <c r="NCB451" s="741"/>
      <c r="NCC451" s="741"/>
      <c r="NCD451" s="741"/>
      <c r="NCE451" s="741"/>
      <c r="NCF451" s="741"/>
      <c r="NCG451" s="741"/>
      <c r="NCH451" s="741"/>
      <c r="NCI451" s="741"/>
      <c r="NCJ451" s="741"/>
      <c r="NCK451" s="741"/>
      <c r="NCL451" s="741"/>
      <c r="NCM451" s="741"/>
      <c r="NCN451" s="741"/>
      <c r="NCO451" s="741"/>
      <c r="NCP451" s="741"/>
      <c r="NCQ451" s="741"/>
      <c r="NCR451" s="741"/>
      <c r="NCS451" s="741"/>
      <c r="NCT451" s="741"/>
      <c r="NCU451" s="741"/>
      <c r="NCV451" s="741"/>
      <c r="NCW451" s="741"/>
      <c r="NCX451" s="741"/>
      <c r="NCY451" s="741"/>
      <c r="NCZ451" s="741"/>
      <c r="NDA451" s="741"/>
      <c r="NDB451" s="741"/>
      <c r="NDC451" s="741"/>
      <c r="NDD451" s="741"/>
      <c r="NDE451" s="741"/>
      <c r="NDF451" s="741"/>
      <c r="NDG451" s="741"/>
      <c r="NDH451" s="741"/>
      <c r="NDI451" s="741"/>
      <c r="NDJ451" s="741"/>
      <c r="NDK451" s="741"/>
      <c r="NDL451" s="741"/>
      <c r="NDM451" s="741"/>
      <c r="NDN451" s="741"/>
      <c r="NDO451" s="741"/>
      <c r="NDP451" s="741"/>
      <c r="NDQ451" s="741"/>
      <c r="NDR451" s="741"/>
      <c r="NDS451" s="741"/>
      <c r="NDT451" s="741"/>
      <c r="NDU451" s="741"/>
      <c r="NDV451" s="741"/>
      <c r="NDW451" s="741"/>
      <c r="NDX451" s="741"/>
      <c r="NDY451" s="741"/>
      <c r="NDZ451" s="741"/>
      <c r="NEA451" s="741"/>
      <c r="NEB451" s="741"/>
      <c r="NEC451" s="741"/>
      <c r="NED451" s="741"/>
      <c r="NEE451" s="741"/>
      <c r="NEF451" s="741"/>
      <c r="NEG451" s="741"/>
      <c r="NEH451" s="741"/>
      <c r="NEI451" s="741"/>
      <c r="NEJ451" s="741"/>
      <c r="NEK451" s="741"/>
      <c r="NEL451" s="741"/>
      <c r="NEM451" s="741"/>
      <c r="NEN451" s="741"/>
      <c r="NEO451" s="741"/>
      <c r="NEP451" s="741"/>
      <c r="NEQ451" s="741"/>
      <c r="NER451" s="741"/>
      <c r="NES451" s="741"/>
      <c r="NET451" s="741"/>
      <c r="NEU451" s="741"/>
      <c r="NEV451" s="741"/>
      <c r="NEW451" s="741"/>
      <c r="NEX451" s="741"/>
      <c r="NEY451" s="741"/>
      <c r="NEZ451" s="741"/>
      <c r="NFA451" s="741"/>
      <c r="NFB451" s="741"/>
      <c r="NFC451" s="741"/>
      <c r="NFD451" s="741"/>
      <c r="NFE451" s="741"/>
      <c r="NFF451" s="741"/>
      <c r="NFG451" s="741"/>
      <c r="NFH451" s="741"/>
      <c r="NFI451" s="741"/>
      <c r="NFJ451" s="741"/>
      <c r="NFK451" s="741"/>
      <c r="NFL451" s="741"/>
      <c r="NFM451" s="741"/>
      <c r="NFN451" s="741"/>
      <c r="NFO451" s="741"/>
      <c r="NFP451" s="741"/>
      <c r="NFQ451" s="741"/>
      <c r="NFR451" s="741"/>
      <c r="NFS451" s="741"/>
      <c r="NFT451" s="741"/>
      <c r="NFU451" s="741"/>
      <c r="NFV451" s="741"/>
      <c r="NFW451" s="741"/>
      <c r="NFX451" s="741"/>
      <c r="NFY451" s="741"/>
      <c r="NFZ451" s="741"/>
      <c r="NGA451" s="741"/>
      <c r="NGB451" s="741"/>
      <c r="NGC451" s="741"/>
      <c r="NGD451" s="741"/>
      <c r="NGE451" s="741"/>
      <c r="NGF451" s="741"/>
      <c r="NGG451" s="741"/>
      <c r="NGH451" s="741"/>
      <c r="NGI451" s="741"/>
      <c r="NGJ451" s="741"/>
      <c r="NGK451" s="741"/>
      <c r="NGL451" s="741"/>
      <c r="NGM451" s="741"/>
      <c r="NGN451" s="741"/>
      <c r="NGO451" s="741"/>
      <c r="NGP451" s="741"/>
      <c r="NGQ451" s="741"/>
      <c r="NGR451" s="741"/>
      <c r="NGS451" s="741"/>
      <c r="NGT451" s="741"/>
      <c r="NGU451" s="741"/>
      <c r="NGV451" s="741"/>
      <c r="NGW451" s="741"/>
      <c r="NGX451" s="741"/>
      <c r="NGY451" s="741"/>
      <c r="NGZ451" s="741"/>
      <c r="NHA451" s="741"/>
      <c r="NHB451" s="741"/>
      <c r="NHC451" s="741"/>
      <c r="NHD451" s="741"/>
      <c r="NHE451" s="741"/>
      <c r="NHF451" s="741"/>
      <c r="NHG451" s="741"/>
      <c r="NHH451" s="741"/>
      <c r="NHI451" s="741"/>
      <c r="NHJ451" s="741"/>
      <c r="NHK451" s="741"/>
      <c r="NHL451" s="741"/>
      <c r="NHM451" s="741"/>
      <c r="NHN451" s="741"/>
      <c r="NHO451" s="741"/>
      <c r="NHP451" s="741"/>
      <c r="NHQ451" s="741"/>
      <c r="NHR451" s="741"/>
      <c r="NHS451" s="741"/>
      <c r="NHT451" s="741"/>
      <c r="NHU451" s="741"/>
      <c r="NHV451" s="741"/>
      <c r="NHW451" s="741"/>
      <c r="NHX451" s="741"/>
      <c r="NHY451" s="741"/>
      <c r="NHZ451" s="741"/>
      <c r="NIA451" s="741"/>
      <c r="NIB451" s="741"/>
      <c r="NIC451" s="741"/>
      <c r="NID451" s="741"/>
      <c r="NIE451" s="741"/>
      <c r="NIF451" s="741"/>
      <c r="NIG451" s="741"/>
      <c r="NIH451" s="741"/>
      <c r="NII451" s="741"/>
      <c r="NIJ451" s="741"/>
      <c r="NIK451" s="741"/>
      <c r="NIL451" s="741"/>
      <c r="NIM451" s="741"/>
      <c r="NIN451" s="741"/>
      <c r="NIO451" s="741"/>
      <c r="NIP451" s="741"/>
      <c r="NIQ451" s="741"/>
      <c r="NIR451" s="741"/>
      <c r="NIS451" s="741"/>
      <c r="NIT451" s="741"/>
      <c r="NIU451" s="741"/>
      <c r="NIV451" s="741"/>
      <c r="NIW451" s="741"/>
      <c r="NIX451" s="741"/>
      <c r="NIY451" s="741"/>
      <c r="NIZ451" s="741"/>
      <c r="NJA451" s="741"/>
      <c r="NJB451" s="741"/>
      <c r="NJC451" s="741"/>
      <c r="NJD451" s="741"/>
      <c r="NJE451" s="741"/>
      <c r="NJF451" s="741"/>
      <c r="NJG451" s="741"/>
      <c r="NJH451" s="741"/>
      <c r="NJI451" s="741"/>
      <c r="NJJ451" s="741"/>
      <c r="NJK451" s="741"/>
      <c r="NJL451" s="741"/>
      <c r="NJM451" s="741"/>
      <c r="NJN451" s="741"/>
      <c r="NJO451" s="741"/>
      <c r="NJP451" s="741"/>
      <c r="NJQ451" s="741"/>
      <c r="NJR451" s="741"/>
      <c r="NJS451" s="741"/>
      <c r="NJT451" s="741"/>
      <c r="NJU451" s="741"/>
      <c r="NJV451" s="741"/>
      <c r="NJW451" s="741"/>
      <c r="NJX451" s="741"/>
      <c r="NJY451" s="741"/>
      <c r="NJZ451" s="741"/>
      <c r="NKA451" s="741"/>
      <c r="NKB451" s="741"/>
      <c r="NKC451" s="741"/>
      <c r="NKD451" s="741"/>
      <c r="NKE451" s="741"/>
      <c r="NKF451" s="741"/>
      <c r="NKG451" s="741"/>
      <c r="NKH451" s="741"/>
      <c r="NKI451" s="741"/>
      <c r="NKJ451" s="741"/>
      <c r="NKK451" s="741"/>
      <c r="NKL451" s="741"/>
      <c r="NKM451" s="741"/>
      <c r="NKN451" s="741"/>
      <c r="NKO451" s="741"/>
      <c r="NKP451" s="741"/>
      <c r="NKQ451" s="741"/>
      <c r="NKR451" s="741"/>
      <c r="NKS451" s="741"/>
      <c r="NKT451" s="741"/>
      <c r="NKU451" s="741"/>
      <c r="NKV451" s="741"/>
      <c r="NKW451" s="741"/>
      <c r="NKX451" s="741"/>
      <c r="NKY451" s="741"/>
      <c r="NKZ451" s="741"/>
      <c r="NLA451" s="741"/>
      <c r="NLB451" s="741"/>
      <c r="NLC451" s="741"/>
      <c r="NLD451" s="741"/>
      <c r="NLE451" s="741"/>
      <c r="NLF451" s="741"/>
      <c r="NLG451" s="741"/>
      <c r="NLH451" s="741"/>
      <c r="NLI451" s="741"/>
      <c r="NLJ451" s="741"/>
      <c r="NLK451" s="741"/>
      <c r="NLL451" s="741"/>
      <c r="NLM451" s="741"/>
      <c r="NLN451" s="741"/>
      <c r="NLO451" s="741"/>
      <c r="NLP451" s="741"/>
      <c r="NLQ451" s="741"/>
      <c r="NLR451" s="741"/>
      <c r="NLS451" s="741"/>
      <c r="NLT451" s="741"/>
      <c r="NLU451" s="741"/>
      <c r="NLV451" s="741"/>
      <c r="NLW451" s="741"/>
      <c r="NLX451" s="741"/>
      <c r="NLY451" s="741"/>
      <c r="NLZ451" s="741"/>
      <c r="NMA451" s="741"/>
      <c r="NMB451" s="741"/>
      <c r="NMC451" s="741"/>
      <c r="NMD451" s="741"/>
      <c r="NME451" s="741"/>
      <c r="NMF451" s="741"/>
      <c r="NMG451" s="741"/>
      <c r="NMH451" s="741"/>
      <c r="NMI451" s="741"/>
      <c r="NMJ451" s="741"/>
      <c r="NMK451" s="741"/>
      <c r="NML451" s="741"/>
      <c r="NMM451" s="741"/>
      <c r="NMN451" s="741"/>
      <c r="NMO451" s="741"/>
      <c r="NMP451" s="741"/>
      <c r="NMQ451" s="741"/>
      <c r="NMR451" s="741"/>
      <c r="NMS451" s="741"/>
      <c r="NMT451" s="741"/>
      <c r="NMU451" s="741"/>
      <c r="NMV451" s="741"/>
      <c r="NMW451" s="741"/>
      <c r="NMX451" s="741"/>
      <c r="NMY451" s="741"/>
      <c r="NMZ451" s="741"/>
      <c r="NNA451" s="741"/>
      <c r="NNB451" s="741"/>
      <c r="NNC451" s="741"/>
      <c r="NND451" s="741"/>
      <c r="NNE451" s="741"/>
      <c r="NNF451" s="741"/>
      <c r="NNG451" s="741"/>
      <c r="NNH451" s="741"/>
      <c r="NNI451" s="741"/>
      <c r="NNJ451" s="741"/>
      <c r="NNK451" s="741"/>
      <c r="NNL451" s="741"/>
      <c r="NNM451" s="741"/>
      <c r="NNN451" s="741"/>
      <c r="NNO451" s="741"/>
      <c r="NNP451" s="741"/>
      <c r="NNQ451" s="741"/>
      <c r="NNR451" s="741"/>
      <c r="NNS451" s="741"/>
      <c r="NNT451" s="741"/>
      <c r="NNU451" s="741"/>
      <c r="NNV451" s="741"/>
      <c r="NNW451" s="741"/>
      <c r="NNX451" s="741"/>
      <c r="NNY451" s="741"/>
      <c r="NNZ451" s="741"/>
      <c r="NOA451" s="741"/>
      <c r="NOB451" s="741"/>
      <c r="NOC451" s="741"/>
      <c r="NOD451" s="741"/>
      <c r="NOE451" s="741"/>
      <c r="NOF451" s="741"/>
      <c r="NOG451" s="741"/>
      <c r="NOH451" s="741"/>
      <c r="NOI451" s="741"/>
      <c r="NOJ451" s="741"/>
      <c r="NOK451" s="741"/>
      <c r="NOL451" s="741"/>
      <c r="NOM451" s="741"/>
      <c r="NON451" s="741"/>
      <c r="NOO451" s="741"/>
      <c r="NOP451" s="741"/>
      <c r="NOQ451" s="741"/>
      <c r="NOR451" s="741"/>
      <c r="NOS451" s="741"/>
      <c r="NOT451" s="741"/>
      <c r="NOU451" s="741"/>
      <c r="NOV451" s="741"/>
      <c r="NOW451" s="741"/>
      <c r="NOX451" s="741"/>
      <c r="NOY451" s="741"/>
      <c r="NOZ451" s="741"/>
      <c r="NPA451" s="741"/>
      <c r="NPB451" s="741"/>
      <c r="NPC451" s="741"/>
      <c r="NPD451" s="741"/>
      <c r="NPE451" s="741"/>
      <c r="NPF451" s="741"/>
      <c r="NPG451" s="741"/>
      <c r="NPH451" s="741"/>
      <c r="NPI451" s="741"/>
      <c r="NPJ451" s="741"/>
      <c r="NPK451" s="741"/>
      <c r="NPL451" s="741"/>
      <c r="NPM451" s="741"/>
      <c r="NPN451" s="741"/>
      <c r="NPO451" s="741"/>
      <c r="NPP451" s="741"/>
      <c r="NPQ451" s="741"/>
      <c r="NPR451" s="741"/>
      <c r="NPS451" s="741"/>
      <c r="NPT451" s="741"/>
      <c r="NPU451" s="741"/>
      <c r="NPV451" s="741"/>
      <c r="NPW451" s="741"/>
      <c r="NPX451" s="741"/>
      <c r="NPY451" s="741"/>
      <c r="NPZ451" s="741"/>
      <c r="NQA451" s="741"/>
      <c r="NQB451" s="741"/>
      <c r="NQC451" s="741"/>
      <c r="NQD451" s="741"/>
      <c r="NQE451" s="741"/>
      <c r="NQF451" s="741"/>
      <c r="NQG451" s="741"/>
      <c r="NQH451" s="741"/>
      <c r="NQI451" s="741"/>
      <c r="NQJ451" s="741"/>
      <c r="NQK451" s="741"/>
      <c r="NQL451" s="741"/>
      <c r="NQM451" s="741"/>
      <c r="NQN451" s="741"/>
      <c r="NQO451" s="741"/>
      <c r="NQP451" s="741"/>
      <c r="NQQ451" s="741"/>
      <c r="NQR451" s="741"/>
      <c r="NQS451" s="741"/>
      <c r="NQT451" s="741"/>
      <c r="NQU451" s="741"/>
      <c r="NQV451" s="741"/>
      <c r="NQW451" s="741"/>
      <c r="NQX451" s="741"/>
      <c r="NQY451" s="741"/>
      <c r="NQZ451" s="741"/>
      <c r="NRA451" s="741"/>
      <c r="NRB451" s="741"/>
      <c r="NRC451" s="741"/>
      <c r="NRD451" s="741"/>
      <c r="NRE451" s="741"/>
      <c r="NRF451" s="741"/>
      <c r="NRG451" s="741"/>
      <c r="NRH451" s="741"/>
      <c r="NRI451" s="741"/>
      <c r="NRJ451" s="741"/>
      <c r="NRK451" s="741"/>
      <c r="NRL451" s="741"/>
      <c r="NRM451" s="741"/>
      <c r="NRN451" s="741"/>
      <c r="NRO451" s="741"/>
      <c r="NRP451" s="741"/>
      <c r="NRQ451" s="741"/>
      <c r="NRR451" s="741"/>
      <c r="NRS451" s="741"/>
      <c r="NRT451" s="741"/>
      <c r="NRU451" s="741"/>
      <c r="NRV451" s="741"/>
      <c r="NRW451" s="741"/>
      <c r="NRX451" s="741"/>
      <c r="NRY451" s="741"/>
      <c r="NRZ451" s="741"/>
      <c r="NSA451" s="741"/>
      <c r="NSB451" s="741"/>
      <c r="NSC451" s="741"/>
      <c r="NSD451" s="741"/>
      <c r="NSE451" s="741"/>
      <c r="NSF451" s="741"/>
      <c r="NSG451" s="741"/>
      <c r="NSH451" s="741"/>
      <c r="NSI451" s="741"/>
      <c r="NSJ451" s="741"/>
      <c r="NSK451" s="741"/>
      <c r="NSL451" s="741"/>
      <c r="NSM451" s="741"/>
      <c r="NSN451" s="741"/>
      <c r="NSO451" s="741"/>
      <c r="NSP451" s="741"/>
      <c r="NSQ451" s="741"/>
      <c r="NSR451" s="741"/>
      <c r="NSS451" s="741"/>
      <c r="NST451" s="741"/>
      <c r="NSU451" s="741"/>
      <c r="NSV451" s="741"/>
      <c r="NSW451" s="741"/>
      <c r="NSX451" s="741"/>
      <c r="NSY451" s="741"/>
      <c r="NSZ451" s="741"/>
      <c r="NTA451" s="741"/>
      <c r="NTB451" s="741"/>
      <c r="NTC451" s="741"/>
      <c r="NTD451" s="741"/>
      <c r="NTE451" s="741"/>
      <c r="NTF451" s="741"/>
      <c r="NTG451" s="741"/>
      <c r="NTH451" s="741"/>
      <c r="NTI451" s="741"/>
      <c r="NTJ451" s="741"/>
      <c r="NTK451" s="741"/>
      <c r="NTL451" s="741"/>
      <c r="NTM451" s="741"/>
      <c r="NTN451" s="741"/>
      <c r="NTO451" s="741"/>
      <c r="NTP451" s="741"/>
      <c r="NTQ451" s="741"/>
      <c r="NTR451" s="741"/>
      <c r="NTS451" s="741"/>
      <c r="NTT451" s="741"/>
      <c r="NTU451" s="741"/>
      <c r="NTV451" s="741"/>
      <c r="NTW451" s="741"/>
      <c r="NTX451" s="741"/>
      <c r="NTY451" s="741"/>
      <c r="NTZ451" s="741"/>
      <c r="NUA451" s="741"/>
      <c r="NUB451" s="741"/>
      <c r="NUC451" s="741"/>
      <c r="NUD451" s="741"/>
      <c r="NUE451" s="741"/>
      <c r="NUF451" s="741"/>
      <c r="NUG451" s="741"/>
      <c r="NUH451" s="741"/>
      <c r="NUI451" s="741"/>
      <c r="NUJ451" s="741"/>
      <c r="NUK451" s="741"/>
      <c r="NUL451" s="741"/>
      <c r="NUM451" s="741"/>
      <c r="NUN451" s="741"/>
      <c r="NUO451" s="741"/>
      <c r="NUP451" s="741"/>
      <c r="NUQ451" s="741"/>
      <c r="NUR451" s="741"/>
      <c r="NUS451" s="741"/>
      <c r="NUT451" s="741"/>
      <c r="NUU451" s="741"/>
      <c r="NUV451" s="741"/>
      <c r="NUW451" s="741"/>
      <c r="NUX451" s="741"/>
      <c r="NUY451" s="741"/>
      <c r="NUZ451" s="741"/>
      <c r="NVA451" s="741"/>
      <c r="NVB451" s="741"/>
      <c r="NVC451" s="741"/>
      <c r="NVD451" s="741"/>
      <c r="NVE451" s="741"/>
      <c r="NVF451" s="741"/>
      <c r="NVG451" s="741"/>
      <c r="NVH451" s="741"/>
      <c r="NVI451" s="741"/>
      <c r="NVJ451" s="741"/>
      <c r="NVK451" s="741"/>
      <c r="NVL451" s="741"/>
      <c r="NVM451" s="741"/>
      <c r="NVN451" s="741"/>
      <c r="NVO451" s="741"/>
      <c r="NVP451" s="741"/>
      <c r="NVQ451" s="741"/>
      <c r="NVR451" s="741"/>
      <c r="NVS451" s="741"/>
      <c r="NVT451" s="741"/>
      <c r="NVU451" s="741"/>
      <c r="NVV451" s="741"/>
      <c r="NVW451" s="741"/>
      <c r="NVX451" s="741"/>
      <c r="NVY451" s="741"/>
      <c r="NVZ451" s="741"/>
      <c r="NWA451" s="741"/>
      <c r="NWB451" s="741"/>
      <c r="NWC451" s="741"/>
      <c r="NWD451" s="741"/>
      <c r="NWE451" s="741"/>
      <c r="NWF451" s="741"/>
      <c r="NWG451" s="741"/>
      <c r="NWH451" s="741"/>
      <c r="NWI451" s="741"/>
      <c r="NWJ451" s="741"/>
      <c r="NWK451" s="741"/>
      <c r="NWL451" s="741"/>
      <c r="NWM451" s="741"/>
      <c r="NWN451" s="741"/>
      <c r="NWO451" s="741"/>
      <c r="NWP451" s="741"/>
      <c r="NWQ451" s="741"/>
      <c r="NWR451" s="741"/>
      <c r="NWS451" s="741"/>
      <c r="NWT451" s="741"/>
      <c r="NWU451" s="741"/>
      <c r="NWV451" s="741"/>
      <c r="NWW451" s="741"/>
      <c r="NWX451" s="741"/>
      <c r="NWY451" s="741"/>
      <c r="NWZ451" s="741"/>
      <c r="NXA451" s="741"/>
      <c r="NXB451" s="741"/>
      <c r="NXC451" s="741"/>
      <c r="NXD451" s="741"/>
      <c r="NXE451" s="741"/>
      <c r="NXF451" s="741"/>
      <c r="NXG451" s="741"/>
      <c r="NXH451" s="741"/>
      <c r="NXI451" s="741"/>
      <c r="NXJ451" s="741"/>
      <c r="NXK451" s="741"/>
      <c r="NXL451" s="741"/>
      <c r="NXM451" s="741"/>
      <c r="NXN451" s="741"/>
      <c r="NXO451" s="741"/>
      <c r="NXP451" s="741"/>
      <c r="NXQ451" s="741"/>
      <c r="NXR451" s="741"/>
      <c r="NXS451" s="741"/>
      <c r="NXT451" s="741"/>
      <c r="NXU451" s="741"/>
      <c r="NXV451" s="741"/>
      <c r="NXW451" s="741"/>
      <c r="NXX451" s="741"/>
      <c r="NXY451" s="741"/>
      <c r="NXZ451" s="741"/>
      <c r="NYA451" s="741"/>
      <c r="NYB451" s="741"/>
      <c r="NYC451" s="741"/>
      <c r="NYD451" s="741"/>
      <c r="NYE451" s="741"/>
      <c r="NYF451" s="741"/>
      <c r="NYG451" s="741"/>
      <c r="NYH451" s="741"/>
      <c r="NYI451" s="741"/>
      <c r="NYJ451" s="741"/>
      <c r="NYK451" s="741"/>
      <c r="NYL451" s="741"/>
      <c r="NYM451" s="741"/>
      <c r="NYN451" s="741"/>
      <c r="NYO451" s="741"/>
      <c r="NYP451" s="741"/>
      <c r="NYQ451" s="741"/>
      <c r="NYR451" s="741"/>
      <c r="NYS451" s="741"/>
      <c r="NYT451" s="741"/>
      <c r="NYU451" s="741"/>
      <c r="NYV451" s="741"/>
      <c r="NYW451" s="741"/>
      <c r="NYX451" s="741"/>
      <c r="NYY451" s="741"/>
      <c r="NYZ451" s="741"/>
      <c r="NZA451" s="741"/>
      <c r="NZB451" s="741"/>
      <c r="NZC451" s="741"/>
      <c r="NZD451" s="741"/>
      <c r="NZE451" s="741"/>
      <c r="NZF451" s="741"/>
      <c r="NZG451" s="741"/>
      <c r="NZH451" s="741"/>
      <c r="NZI451" s="741"/>
      <c r="NZJ451" s="741"/>
      <c r="NZK451" s="741"/>
      <c r="NZL451" s="741"/>
      <c r="NZM451" s="741"/>
      <c r="NZN451" s="741"/>
      <c r="NZO451" s="741"/>
      <c r="NZP451" s="741"/>
      <c r="NZQ451" s="741"/>
      <c r="NZR451" s="741"/>
      <c r="NZS451" s="741"/>
      <c r="NZT451" s="741"/>
      <c r="NZU451" s="741"/>
      <c r="NZV451" s="741"/>
      <c r="NZW451" s="741"/>
      <c r="NZX451" s="741"/>
      <c r="NZY451" s="741"/>
      <c r="NZZ451" s="741"/>
      <c r="OAA451" s="741"/>
      <c r="OAB451" s="741"/>
      <c r="OAC451" s="741"/>
      <c r="OAD451" s="741"/>
      <c r="OAE451" s="741"/>
      <c r="OAF451" s="741"/>
      <c r="OAG451" s="741"/>
      <c r="OAH451" s="741"/>
      <c r="OAI451" s="741"/>
      <c r="OAJ451" s="741"/>
      <c r="OAK451" s="741"/>
      <c r="OAL451" s="741"/>
      <c r="OAM451" s="741"/>
      <c r="OAN451" s="741"/>
      <c r="OAO451" s="741"/>
      <c r="OAP451" s="741"/>
      <c r="OAQ451" s="741"/>
      <c r="OAR451" s="741"/>
      <c r="OAS451" s="741"/>
      <c r="OAT451" s="741"/>
      <c r="OAU451" s="741"/>
      <c r="OAV451" s="741"/>
      <c r="OAW451" s="741"/>
      <c r="OAX451" s="741"/>
      <c r="OAY451" s="741"/>
      <c r="OAZ451" s="741"/>
      <c r="OBA451" s="741"/>
      <c r="OBB451" s="741"/>
      <c r="OBC451" s="741"/>
      <c r="OBD451" s="741"/>
      <c r="OBE451" s="741"/>
      <c r="OBF451" s="741"/>
      <c r="OBG451" s="741"/>
      <c r="OBH451" s="741"/>
      <c r="OBI451" s="741"/>
      <c r="OBJ451" s="741"/>
      <c r="OBK451" s="741"/>
      <c r="OBL451" s="741"/>
      <c r="OBM451" s="741"/>
      <c r="OBN451" s="741"/>
      <c r="OBO451" s="741"/>
      <c r="OBP451" s="741"/>
      <c r="OBQ451" s="741"/>
      <c r="OBR451" s="741"/>
      <c r="OBS451" s="741"/>
      <c r="OBT451" s="741"/>
      <c r="OBU451" s="741"/>
      <c r="OBV451" s="741"/>
      <c r="OBW451" s="741"/>
      <c r="OBX451" s="741"/>
      <c r="OBY451" s="741"/>
      <c r="OBZ451" s="741"/>
      <c r="OCA451" s="741"/>
      <c r="OCB451" s="741"/>
      <c r="OCC451" s="741"/>
      <c r="OCD451" s="741"/>
      <c r="OCE451" s="741"/>
      <c r="OCF451" s="741"/>
      <c r="OCG451" s="741"/>
      <c r="OCH451" s="741"/>
      <c r="OCI451" s="741"/>
      <c r="OCJ451" s="741"/>
      <c r="OCK451" s="741"/>
      <c r="OCL451" s="741"/>
      <c r="OCM451" s="741"/>
      <c r="OCN451" s="741"/>
      <c r="OCO451" s="741"/>
      <c r="OCP451" s="741"/>
      <c r="OCQ451" s="741"/>
      <c r="OCR451" s="741"/>
      <c r="OCS451" s="741"/>
      <c r="OCT451" s="741"/>
      <c r="OCU451" s="741"/>
      <c r="OCV451" s="741"/>
      <c r="OCW451" s="741"/>
      <c r="OCX451" s="741"/>
      <c r="OCY451" s="741"/>
      <c r="OCZ451" s="741"/>
      <c r="ODA451" s="741"/>
      <c r="ODB451" s="741"/>
      <c r="ODC451" s="741"/>
      <c r="ODD451" s="741"/>
      <c r="ODE451" s="741"/>
      <c r="ODF451" s="741"/>
      <c r="ODG451" s="741"/>
      <c r="ODH451" s="741"/>
      <c r="ODI451" s="741"/>
      <c r="ODJ451" s="741"/>
      <c r="ODK451" s="741"/>
      <c r="ODL451" s="741"/>
      <c r="ODM451" s="741"/>
      <c r="ODN451" s="741"/>
      <c r="ODO451" s="741"/>
      <c r="ODP451" s="741"/>
      <c r="ODQ451" s="741"/>
      <c r="ODR451" s="741"/>
      <c r="ODS451" s="741"/>
      <c r="ODT451" s="741"/>
      <c r="ODU451" s="741"/>
      <c r="ODV451" s="741"/>
      <c r="ODW451" s="741"/>
      <c r="ODX451" s="741"/>
      <c r="ODY451" s="741"/>
      <c r="ODZ451" s="741"/>
      <c r="OEA451" s="741"/>
      <c r="OEB451" s="741"/>
      <c r="OEC451" s="741"/>
      <c r="OED451" s="741"/>
      <c r="OEE451" s="741"/>
      <c r="OEF451" s="741"/>
      <c r="OEG451" s="741"/>
      <c r="OEH451" s="741"/>
      <c r="OEI451" s="741"/>
      <c r="OEJ451" s="741"/>
      <c r="OEK451" s="741"/>
      <c r="OEL451" s="741"/>
      <c r="OEM451" s="741"/>
      <c r="OEN451" s="741"/>
      <c r="OEO451" s="741"/>
      <c r="OEP451" s="741"/>
      <c r="OEQ451" s="741"/>
      <c r="OER451" s="741"/>
      <c r="OES451" s="741"/>
      <c r="OET451" s="741"/>
      <c r="OEU451" s="741"/>
      <c r="OEV451" s="741"/>
      <c r="OEW451" s="741"/>
      <c r="OEX451" s="741"/>
      <c r="OEY451" s="741"/>
      <c r="OEZ451" s="741"/>
      <c r="OFA451" s="741"/>
      <c r="OFB451" s="741"/>
      <c r="OFC451" s="741"/>
      <c r="OFD451" s="741"/>
      <c r="OFE451" s="741"/>
      <c r="OFF451" s="741"/>
      <c r="OFG451" s="741"/>
      <c r="OFH451" s="741"/>
      <c r="OFI451" s="741"/>
      <c r="OFJ451" s="741"/>
      <c r="OFK451" s="741"/>
      <c r="OFL451" s="741"/>
      <c r="OFM451" s="741"/>
      <c r="OFN451" s="741"/>
      <c r="OFO451" s="741"/>
      <c r="OFP451" s="741"/>
      <c r="OFQ451" s="741"/>
      <c r="OFR451" s="741"/>
      <c r="OFS451" s="741"/>
      <c r="OFT451" s="741"/>
      <c r="OFU451" s="741"/>
      <c r="OFV451" s="741"/>
      <c r="OFW451" s="741"/>
      <c r="OFX451" s="741"/>
      <c r="OFY451" s="741"/>
      <c r="OFZ451" s="741"/>
      <c r="OGA451" s="741"/>
      <c r="OGB451" s="741"/>
      <c r="OGC451" s="741"/>
      <c r="OGD451" s="741"/>
      <c r="OGE451" s="741"/>
      <c r="OGF451" s="741"/>
      <c r="OGG451" s="741"/>
      <c r="OGH451" s="741"/>
      <c r="OGI451" s="741"/>
      <c r="OGJ451" s="741"/>
      <c r="OGK451" s="741"/>
      <c r="OGL451" s="741"/>
      <c r="OGM451" s="741"/>
      <c r="OGN451" s="741"/>
      <c r="OGO451" s="741"/>
      <c r="OGP451" s="741"/>
      <c r="OGQ451" s="741"/>
      <c r="OGR451" s="741"/>
      <c r="OGS451" s="741"/>
      <c r="OGT451" s="741"/>
      <c r="OGU451" s="741"/>
      <c r="OGV451" s="741"/>
      <c r="OGW451" s="741"/>
      <c r="OGX451" s="741"/>
      <c r="OGY451" s="741"/>
      <c r="OGZ451" s="741"/>
      <c r="OHA451" s="741"/>
      <c r="OHB451" s="741"/>
      <c r="OHC451" s="741"/>
      <c r="OHD451" s="741"/>
      <c r="OHE451" s="741"/>
      <c r="OHF451" s="741"/>
      <c r="OHG451" s="741"/>
      <c r="OHH451" s="741"/>
      <c r="OHI451" s="741"/>
      <c r="OHJ451" s="741"/>
      <c r="OHK451" s="741"/>
      <c r="OHL451" s="741"/>
      <c r="OHM451" s="741"/>
      <c r="OHN451" s="741"/>
      <c r="OHO451" s="741"/>
      <c r="OHP451" s="741"/>
      <c r="OHQ451" s="741"/>
      <c r="OHR451" s="741"/>
      <c r="OHS451" s="741"/>
      <c r="OHT451" s="741"/>
      <c r="OHU451" s="741"/>
      <c r="OHV451" s="741"/>
      <c r="OHW451" s="741"/>
      <c r="OHX451" s="741"/>
      <c r="OHY451" s="741"/>
      <c r="OHZ451" s="741"/>
      <c r="OIA451" s="741"/>
      <c r="OIB451" s="741"/>
      <c r="OIC451" s="741"/>
      <c r="OID451" s="741"/>
      <c r="OIE451" s="741"/>
      <c r="OIF451" s="741"/>
      <c r="OIG451" s="741"/>
      <c r="OIH451" s="741"/>
      <c r="OII451" s="741"/>
      <c r="OIJ451" s="741"/>
      <c r="OIK451" s="741"/>
      <c r="OIL451" s="741"/>
      <c r="OIM451" s="741"/>
      <c r="OIN451" s="741"/>
      <c r="OIO451" s="741"/>
      <c r="OIP451" s="741"/>
      <c r="OIQ451" s="741"/>
      <c r="OIR451" s="741"/>
      <c r="OIS451" s="741"/>
      <c r="OIT451" s="741"/>
      <c r="OIU451" s="741"/>
      <c r="OIV451" s="741"/>
      <c r="OIW451" s="741"/>
      <c r="OIX451" s="741"/>
      <c r="OIY451" s="741"/>
      <c r="OIZ451" s="741"/>
      <c r="OJA451" s="741"/>
      <c r="OJB451" s="741"/>
      <c r="OJC451" s="741"/>
      <c r="OJD451" s="741"/>
      <c r="OJE451" s="741"/>
      <c r="OJF451" s="741"/>
      <c r="OJG451" s="741"/>
      <c r="OJH451" s="741"/>
      <c r="OJI451" s="741"/>
      <c r="OJJ451" s="741"/>
      <c r="OJK451" s="741"/>
      <c r="OJL451" s="741"/>
      <c r="OJM451" s="741"/>
      <c r="OJN451" s="741"/>
      <c r="OJO451" s="741"/>
      <c r="OJP451" s="741"/>
      <c r="OJQ451" s="741"/>
      <c r="OJR451" s="741"/>
      <c r="OJS451" s="741"/>
      <c r="OJT451" s="741"/>
      <c r="OJU451" s="741"/>
      <c r="OJV451" s="741"/>
      <c r="OJW451" s="741"/>
      <c r="OJX451" s="741"/>
      <c r="OJY451" s="741"/>
      <c r="OJZ451" s="741"/>
      <c r="OKA451" s="741"/>
      <c r="OKB451" s="741"/>
      <c r="OKC451" s="741"/>
      <c r="OKD451" s="741"/>
      <c r="OKE451" s="741"/>
      <c r="OKF451" s="741"/>
      <c r="OKG451" s="741"/>
      <c r="OKH451" s="741"/>
      <c r="OKI451" s="741"/>
      <c r="OKJ451" s="741"/>
      <c r="OKK451" s="741"/>
      <c r="OKL451" s="741"/>
      <c r="OKM451" s="741"/>
      <c r="OKN451" s="741"/>
      <c r="OKO451" s="741"/>
      <c r="OKP451" s="741"/>
      <c r="OKQ451" s="741"/>
      <c r="OKR451" s="741"/>
      <c r="OKS451" s="741"/>
      <c r="OKT451" s="741"/>
      <c r="OKU451" s="741"/>
      <c r="OKV451" s="741"/>
      <c r="OKW451" s="741"/>
      <c r="OKX451" s="741"/>
      <c r="OKY451" s="741"/>
      <c r="OKZ451" s="741"/>
      <c r="OLA451" s="741"/>
      <c r="OLB451" s="741"/>
      <c r="OLC451" s="741"/>
      <c r="OLD451" s="741"/>
      <c r="OLE451" s="741"/>
      <c r="OLF451" s="741"/>
      <c r="OLG451" s="741"/>
      <c r="OLH451" s="741"/>
      <c r="OLI451" s="741"/>
      <c r="OLJ451" s="741"/>
      <c r="OLK451" s="741"/>
      <c r="OLL451" s="741"/>
      <c r="OLM451" s="741"/>
      <c r="OLN451" s="741"/>
      <c r="OLO451" s="741"/>
      <c r="OLP451" s="741"/>
      <c r="OLQ451" s="741"/>
      <c r="OLR451" s="741"/>
      <c r="OLS451" s="741"/>
      <c r="OLT451" s="741"/>
      <c r="OLU451" s="741"/>
      <c r="OLV451" s="741"/>
      <c r="OLW451" s="741"/>
      <c r="OLX451" s="741"/>
      <c r="OLY451" s="741"/>
      <c r="OLZ451" s="741"/>
      <c r="OMA451" s="741"/>
      <c r="OMB451" s="741"/>
      <c r="OMC451" s="741"/>
      <c r="OMD451" s="741"/>
      <c r="OME451" s="741"/>
      <c r="OMF451" s="741"/>
      <c r="OMG451" s="741"/>
      <c r="OMH451" s="741"/>
      <c r="OMI451" s="741"/>
      <c r="OMJ451" s="741"/>
      <c r="OMK451" s="741"/>
      <c r="OML451" s="741"/>
      <c r="OMM451" s="741"/>
      <c r="OMN451" s="741"/>
      <c r="OMO451" s="741"/>
      <c r="OMP451" s="741"/>
      <c r="OMQ451" s="741"/>
      <c r="OMR451" s="741"/>
      <c r="OMS451" s="741"/>
      <c r="OMT451" s="741"/>
      <c r="OMU451" s="741"/>
      <c r="OMV451" s="741"/>
      <c r="OMW451" s="741"/>
      <c r="OMX451" s="741"/>
      <c r="OMY451" s="741"/>
      <c r="OMZ451" s="741"/>
      <c r="ONA451" s="741"/>
      <c r="ONB451" s="741"/>
      <c r="ONC451" s="741"/>
      <c r="OND451" s="741"/>
      <c r="ONE451" s="741"/>
      <c r="ONF451" s="741"/>
      <c r="ONG451" s="741"/>
      <c r="ONH451" s="741"/>
      <c r="ONI451" s="741"/>
      <c r="ONJ451" s="741"/>
      <c r="ONK451" s="741"/>
      <c r="ONL451" s="741"/>
      <c r="ONM451" s="741"/>
      <c r="ONN451" s="741"/>
      <c r="ONO451" s="741"/>
      <c r="ONP451" s="741"/>
      <c r="ONQ451" s="741"/>
      <c r="ONR451" s="741"/>
      <c r="ONS451" s="741"/>
      <c r="ONT451" s="741"/>
      <c r="ONU451" s="741"/>
      <c r="ONV451" s="741"/>
      <c r="ONW451" s="741"/>
      <c r="ONX451" s="741"/>
      <c r="ONY451" s="741"/>
      <c r="ONZ451" s="741"/>
      <c r="OOA451" s="741"/>
      <c r="OOB451" s="741"/>
      <c r="OOC451" s="741"/>
      <c r="OOD451" s="741"/>
      <c r="OOE451" s="741"/>
      <c r="OOF451" s="741"/>
      <c r="OOG451" s="741"/>
      <c r="OOH451" s="741"/>
      <c r="OOI451" s="741"/>
      <c r="OOJ451" s="741"/>
      <c r="OOK451" s="741"/>
      <c r="OOL451" s="741"/>
      <c r="OOM451" s="741"/>
      <c r="OON451" s="741"/>
      <c r="OOO451" s="741"/>
      <c r="OOP451" s="741"/>
      <c r="OOQ451" s="741"/>
      <c r="OOR451" s="741"/>
      <c r="OOS451" s="741"/>
      <c r="OOT451" s="741"/>
      <c r="OOU451" s="741"/>
      <c r="OOV451" s="741"/>
      <c r="OOW451" s="741"/>
      <c r="OOX451" s="741"/>
      <c r="OOY451" s="741"/>
      <c r="OOZ451" s="741"/>
      <c r="OPA451" s="741"/>
      <c r="OPB451" s="741"/>
      <c r="OPC451" s="741"/>
      <c r="OPD451" s="741"/>
      <c r="OPE451" s="741"/>
      <c r="OPF451" s="741"/>
      <c r="OPG451" s="741"/>
      <c r="OPH451" s="741"/>
      <c r="OPI451" s="741"/>
      <c r="OPJ451" s="741"/>
      <c r="OPK451" s="741"/>
      <c r="OPL451" s="741"/>
      <c r="OPM451" s="741"/>
      <c r="OPN451" s="741"/>
      <c r="OPO451" s="741"/>
      <c r="OPP451" s="741"/>
      <c r="OPQ451" s="741"/>
      <c r="OPR451" s="741"/>
      <c r="OPS451" s="741"/>
      <c r="OPT451" s="741"/>
      <c r="OPU451" s="741"/>
      <c r="OPV451" s="741"/>
      <c r="OPW451" s="741"/>
      <c r="OPX451" s="741"/>
      <c r="OPY451" s="741"/>
      <c r="OPZ451" s="741"/>
      <c r="OQA451" s="741"/>
      <c r="OQB451" s="741"/>
      <c r="OQC451" s="741"/>
      <c r="OQD451" s="741"/>
      <c r="OQE451" s="741"/>
      <c r="OQF451" s="741"/>
      <c r="OQG451" s="741"/>
      <c r="OQH451" s="741"/>
      <c r="OQI451" s="741"/>
      <c r="OQJ451" s="741"/>
      <c r="OQK451" s="741"/>
      <c r="OQL451" s="741"/>
      <c r="OQM451" s="741"/>
      <c r="OQN451" s="741"/>
      <c r="OQO451" s="741"/>
      <c r="OQP451" s="741"/>
      <c r="OQQ451" s="741"/>
      <c r="OQR451" s="741"/>
      <c r="OQS451" s="741"/>
      <c r="OQT451" s="741"/>
      <c r="OQU451" s="741"/>
      <c r="OQV451" s="741"/>
      <c r="OQW451" s="741"/>
      <c r="OQX451" s="741"/>
      <c r="OQY451" s="741"/>
      <c r="OQZ451" s="741"/>
      <c r="ORA451" s="741"/>
      <c r="ORB451" s="741"/>
      <c r="ORC451" s="741"/>
      <c r="ORD451" s="741"/>
      <c r="ORE451" s="741"/>
      <c r="ORF451" s="741"/>
      <c r="ORG451" s="741"/>
      <c r="ORH451" s="741"/>
      <c r="ORI451" s="741"/>
      <c r="ORJ451" s="741"/>
      <c r="ORK451" s="741"/>
      <c r="ORL451" s="741"/>
      <c r="ORM451" s="741"/>
      <c r="ORN451" s="741"/>
      <c r="ORO451" s="741"/>
      <c r="ORP451" s="741"/>
      <c r="ORQ451" s="741"/>
      <c r="ORR451" s="741"/>
      <c r="ORS451" s="741"/>
      <c r="ORT451" s="741"/>
      <c r="ORU451" s="741"/>
      <c r="ORV451" s="741"/>
      <c r="ORW451" s="741"/>
      <c r="ORX451" s="741"/>
      <c r="ORY451" s="741"/>
      <c r="ORZ451" s="741"/>
      <c r="OSA451" s="741"/>
      <c r="OSB451" s="741"/>
      <c r="OSC451" s="741"/>
      <c r="OSD451" s="741"/>
      <c r="OSE451" s="741"/>
      <c r="OSF451" s="741"/>
      <c r="OSG451" s="741"/>
      <c r="OSH451" s="741"/>
      <c r="OSI451" s="741"/>
      <c r="OSJ451" s="741"/>
      <c r="OSK451" s="741"/>
      <c r="OSL451" s="741"/>
      <c r="OSM451" s="741"/>
      <c r="OSN451" s="741"/>
      <c r="OSO451" s="741"/>
      <c r="OSP451" s="741"/>
      <c r="OSQ451" s="741"/>
      <c r="OSR451" s="741"/>
      <c r="OSS451" s="741"/>
      <c r="OST451" s="741"/>
      <c r="OSU451" s="741"/>
      <c r="OSV451" s="741"/>
      <c r="OSW451" s="741"/>
      <c r="OSX451" s="741"/>
      <c r="OSY451" s="741"/>
      <c r="OSZ451" s="741"/>
      <c r="OTA451" s="741"/>
      <c r="OTB451" s="741"/>
      <c r="OTC451" s="741"/>
      <c r="OTD451" s="741"/>
      <c r="OTE451" s="741"/>
      <c r="OTF451" s="741"/>
      <c r="OTG451" s="741"/>
      <c r="OTH451" s="741"/>
      <c r="OTI451" s="741"/>
      <c r="OTJ451" s="741"/>
      <c r="OTK451" s="741"/>
      <c r="OTL451" s="741"/>
      <c r="OTM451" s="741"/>
      <c r="OTN451" s="741"/>
      <c r="OTO451" s="741"/>
      <c r="OTP451" s="741"/>
      <c r="OTQ451" s="741"/>
      <c r="OTR451" s="741"/>
      <c r="OTS451" s="741"/>
      <c r="OTT451" s="741"/>
      <c r="OTU451" s="741"/>
      <c r="OTV451" s="741"/>
      <c r="OTW451" s="741"/>
      <c r="OTX451" s="741"/>
      <c r="OTY451" s="741"/>
      <c r="OTZ451" s="741"/>
      <c r="OUA451" s="741"/>
      <c r="OUB451" s="741"/>
      <c r="OUC451" s="741"/>
      <c r="OUD451" s="741"/>
      <c r="OUE451" s="741"/>
      <c r="OUF451" s="741"/>
      <c r="OUG451" s="741"/>
      <c r="OUH451" s="741"/>
      <c r="OUI451" s="741"/>
      <c r="OUJ451" s="741"/>
      <c r="OUK451" s="741"/>
      <c r="OUL451" s="741"/>
      <c r="OUM451" s="741"/>
      <c r="OUN451" s="741"/>
      <c r="OUO451" s="741"/>
      <c r="OUP451" s="741"/>
      <c r="OUQ451" s="741"/>
      <c r="OUR451" s="741"/>
      <c r="OUS451" s="741"/>
      <c r="OUT451" s="741"/>
      <c r="OUU451" s="741"/>
      <c r="OUV451" s="741"/>
      <c r="OUW451" s="741"/>
      <c r="OUX451" s="741"/>
      <c r="OUY451" s="741"/>
      <c r="OUZ451" s="741"/>
      <c r="OVA451" s="741"/>
      <c r="OVB451" s="741"/>
      <c r="OVC451" s="741"/>
      <c r="OVD451" s="741"/>
      <c r="OVE451" s="741"/>
      <c r="OVF451" s="741"/>
      <c r="OVG451" s="741"/>
      <c r="OVH451" s="741"/>
      <c r="OVI451" s="741"/>
      <c r="OVJ451" s="741"/>
      <c r="OVK451" s="741"/>
      <c r="OVL451" s="741"/>
      <c r="OVM451" s="741"/>
      <c r="OVN451" s="741"/>
      <c r="OVO451" s="741"/>
      <c r="OVP451" s="741"/>
      <c r="OVQ451" s="741"/>
      <c r="OVR451" s="741"/>
      <c r="OVS451" s="741"/>
      <c r="OVT451" s="741"/>
      <c r="OVU451" s="741"/>
      <c r="OVV451" s="741"/>
      <c r="OVW451" s="741"/>
      <c r="OVX451" s="741"/>
      <c r="OVY451" s="741"/>
      <c r="OVZ451" s="741"/>
      <c r="OWA451" s="741"/>
      <c r="OWB451" s="741"/>
      <c r="OWC451" s="741"/>
      <c r="OWD451" s="741"/>
      <c r="OWE451" s="741"/>
      <c r="OWF451" s="741"/>
      <c r="OWG451" s="741"/>
      <c r="OWH451" s="741"/>
      <c r="OWI451" s="741"/>
      <c r="OWJ451" s="741"/>
      <c r="OWK451" s="741"/>
      <c r="OWL451" s="741"/>
      <c r="OWM451" s="741"/>
      <c r="OWN451" s="741"/>
      <c r="OWO451" s="741"/>
      <c r="OWP451" s="741"/>
      <c r="OWQ451" s="741"/>
      <c r="OWR451" s="741"/>
      <c r="OWS451" s="741"/>
      <c r="OWT451" s="741"/>
      <c r="OWU451" s="741"/>
      <c r="OWV451" s="741"/>
      <c r="OWW451" s="741"/>
      <c r="OWX451" s="741"/>
      <c r="OWY451" s="741"/>
      <c r="OWZ451" s="741"/>
      <c r="OXA451" s="741"/>
      <c r="OXB451" s="741"/>
      <c r="OXC451" s="741"/>
      <c r="OXD451" s="741"/>
      <c r="OXE451" s="741"/>
      <c r="OXF451" s="741"/>
      <c r="OXG451" s="741"/>
      <c r="OXH451" s="741"/>
      <c r="OXI451" s="741"/>
      <c r="OXJ451" s="741"/>
      <c r="OXK451" s="741"/>
      <c r="OXL451" s="741"/>
      <c r="OXM451" s="741"/>
      <c r="OXN451" s="741"/>
      <c r="OXO451" s="741"/>
      <c r="OXP451" s="741"/>
      <c r="OXQ451" s="741"/>
      <c r="OXR451" s="741"/>
      <c r="OXS451" s="741"/>
      <c r="OXT451" s="741"/>
      <c r="OXU451" s="741"/>
      <c r="OXV451" s="741"/>
      <c r="OXW451" s="741"/>
      <c r="OXX451" s="741"/>
      <c r="OXY451" s="741"/>
      <c r="OXZ451" s="741"/>
      <c r="OYA451" s="741"/>
      <c r="OYB451" s="741"/>
      <c r="OYC451" s="741"/>
      <c r="OYD451" s="741"/>
      <c r="OYE451" s="741"/>
      <c r="OYF451" s="741"/>
      <c r="OYG451" s="741"/>
      <c r="OYH451" s="741"/>
      <c r="OYI451" s="741"/>
      <c r="OYJ451" s="741"/>
      <c r="OYK451" s="741"/>
      <c r="OYL451" s="741"/>
      <c r="OYM451" s="741"/>
      <c r="OYN451" s="741"/>
      <c r="OYO451" s="741"/>
      <c r="OYP451" s="741"/>
      <c r="OYQ451" s="741"/>
      <c r="OYR451" s="741"/>
      <c r="OYS451" s="741"/>
      <c r="OYT451" s="741"/>
      <c r="OYU451" s="741"/>
      <c r="OYV451" s="741"/>
      <c r="OYW451" s="741"/>
      <c r="OYX451" s="741"/>
      <c r="OYY451" s="741"/>
      <c r="OYZ451" s="741"/>
      <c r="OZA451" s="741"/>
      <c r="OZB451" s="741"/>
      <c r="OZC451" s="741"/>
      <c r="OZD451" s="741"/>
      <c r="OZE451" s="741"/>
      <c r="OZF451" s="741"/>
      <c r="OZG451" s="741"/>
      <c r="OZH451" s="741"/>
      <c r="OZI451" s="741"/>
      <c r="OZJ451" s="741"/>
      <c r="OZK451" s="741"/>
      <c r="OZL451" s="741"/>
      <c r="OZM451" s="741"/>
      <c r="OZN451" s="741"/>
      <c r="OZO451" s="741"/>
      <c r="OZP451" s="741"/>
      <c r="OZQ451" s="741"/>
      <c r="OZR451" s="741"/>
      <c r="OZS451" s="741"/>
      <c r="OZT451" s="741"/>
      <c r="OZU451" s="741"/>
      <c r="OZV451" s="741"/>
      <c r="OZW451" s="741"/>
      <c r="OZX451" s="741"/>
      <c r="OZY451" s="741"/>
      <c r="OZZ451" s="741"/>
      <c r="PAA451" s="741"/>
      <c r="PAB451" s="741"/>
      <c r="PAC451" s="741"/>
      <c r="PAD451" s="741"/>
      <c r="PAE451" s="741"/>
      <c r="PAF451" s="741"/>
      <c r="PAG451" s="741"/>
      <c r="PAH451" s="741"/>
      <c r="PAI451" s="741"/>
      <c r="PAJ451" s="741"/>
      <c r="PAK451" s="741"/>
      <c r="PAL451" s="741"/>
      <c r="PAM451" s="741"/>
      <c r="PAN451" s="741"/>
      <c r="PAO451" s="741"/>
      <c r="PAP451" s="741"/>
      <c r="PAQ451" s="741"/>
      <c r="PAR451" s="741"/>
      <c r="PAS451" s="741"/>
      <c r="PAT451" s="741"/>
      <c r="PAU451" s="741"/>
      <c r="PAV451" s="741"/>
      <c r="PAW451" s="741"/>
      <c r="PAX451" s="741"/>
      <c r="PAY451" s="741"/>
      <c r="PAZ451" s="741"/>
      <c r="PBA451" s="741"/>
      <c r="PBB451" s="741"/>
      <c r="PBC451" s="741"/>
      <c r="PBD451" s="741"/>
      <c r="PBE451" s="741"/>
      <c r="PBF451" s="741"/>
      <c r="PBG451" s="741"/>
      <c r="PBH451" s="741"/>
      <c r="PBI451" s="741"/>
      <c r="PBJ451" s="741"/>
      <c r="PBK451" s="741"/>
      <c r="PBL451" s="741"/>
      <c r="PBM451" s="741"/>
      <c r="PBN451" s="741"/>
      <c r="PBO451" s="741"/>
      <c r="PBP451" s="741"/>
      <c r="PBQ451" s="741"/>
      <c r="PBR451" s="741"/>
      <c r="PBS451" s="741"/>
      <c r="PBT451" s="741"/>
      <c r="PBU451" s="741"/>
      <c r="PBV451" s="741"/>
      <c r="PBW451" s="741"/>
      <c r="PBX451" s="741"/>
      <c r="PBY451" s="741"/>
      <c r="PBZ451" s="741"/>
      <c r="PCA451" s="741"/>
      <c r="PCB451" s="741"/>
      <c r="PCC451" s="741"/>
      <c r="PCD451" s="741"/>
      <c r="PCE451" s="741"/>
      <c r="PCF451" s="741"/>
      <c r="PCG451" s="741"/>
      <c r="PCH451" s="741"/>
      <c r="PCI451" s="741"/>
      <c r="PCJ451" s="741"/>
      <c r="PCK451" s="741"/>
      <c r="PCL451" s="741"/>
      <c r="PCM451" s="741"/>
      <c r="PCN451" s="741"/>
      <c r="PCO451" s="741"/>
      <c r="PCP451" s="741"/>
      <c r="PCQ451" s="741"/>
      <c r="PCR451" s="741"/>
      <c r="PCS451" s="741"/>
      <c r="PCT451" s="741"/>
      <c r="PCU451" s="741"/>
      <c r="PCV451" s="741"/>
      <c r="PCW451" s="741"/>
      <c r="PCX451" s="741"/>
      <c r="PCY451" s="741"/>
      <c r="PCZ451" s="741"/>
      <c r="PDA451" s="741"/>
      <c r="PDB451" s="741"/>
      <c r="PDC451" s="741"/>
      <c r="PDD451" s="741"/>
      <c r="PDE451" s="741"/>
      <c r="PDF451" s="741"/>
      <c r="PDG451" s="741"/>
      <c r="PDH451" s="741"/>
      <c r="PDI451" s="741"/>
      <c r="PDJ451" s="741"/>
      <c r="PDK451" s="741"/>
      <c r="PDL451" s="741"/>
      <c r="PDM451" s="741"/>
      <c r="PDN451" s="741"/>
      <c r="PDO451" s="741"/>
      <c r="PDP451" s="741"/>
      <c r="PDQ451" s="741"/>
      <c r="PDR451" s="741"/>
      <c r="PDS451" s="741"/>
      <c r="PDT451" s="741"/>
      <c r="PDU451" s="741"/>
      <c r="PDV451" s="741"/>
      <c r="PDW451" s="741"/>
      <c r="PDX451" s="741"/>
      <c r="PDY451" s="741"/>
      <c r="PDZ451" s="741"/>
      <c r="PEA451" s="741"/>
      <c r="PEB451" s="741"/>
      <c r="PEC451" s="741"/>
      <c r="PED451" s="741"/>
      <c r="PEE451" s="741"/>
      <c r="PEF451" s="741"/>
      <c r="PEG451" s="741"/>
      <c r="PEH451" s="741"/>
      <c r="PEI451" s="741"/>
      <c r="PEJ451" s="741"/>
      <c r="PEK451" s="741"/>
      <c r="PEL451" s="741"/>
      <c r="PEM451" s="741"/>
      <c r="PEN451" s="741"/>
      <c r="PEO451" s="741"/>
      <c r="PEP451" s="741"/>
      <c r="PEQ451" s="741"/>
      <c r="PER451" s="741"/>
      <c r="PES451" s="741"/>
      <c r="PET451" s="741"/>
      <c r="PEU451" s="741"/>
      <c r="PEV451" s="741"/>
      <c r="PEW451" s="741"/>
      <c r="PEX451" s="741"/>
      <c r="PEY451" s="741"/>
      <c r="PEZ451" s="741"/>
      <c r="PFA451" s="741"/>
      <c r="PFB451" s="741"/>
      <c r="PFC451" s="741"/>
      <c r="PFD451" s="741"/>
      <c r="PFE451" s="741"/>
      <c r="PFF451" s="741"/>
      <c r="PFG451" s="741"/>
      <c r="PFH451" s="741"/>
      <c r="PFI451" s="741"/>
      <c r="PFJ451" s="741"/>
      <c r="PFK451" s="741"/>
      <c r="PFL451" s="741"/>
      <c r="PFM451" s="741"/>
      <c r="PFN451" s="741"/>
      <c r="PFO451" s="741"/>
      <c r="PFP451" s="741"/>
      <c r="PFQ451" s="741"/>
      <c r="PFR451" s="741"/>
      <c r="PFS451" s="741"/>
      <c r="PFT451" s="741"/>
      <c r="PFU451" s="741"/>
      <c r="PFV451" s="741"/>
      <c r="PFW451" s="741"/>
      <c r="PFX451" s="741"/>
      <c r="PFY451" s="741"/>
      <c r="PFZ451" s="741"/>
      <c r="PGA451" s="741"/>
      <c r="PGB451" s="741"/>
      <c r="PGC451" s="741"/>
      <c r="PGD451" s="741"/>
      <c r="PGE451" s="741"/>
      <c r="PGF451" s="741"/>
      <c r="PGG451" s="741"/>
      <c r="PGH451" s="741"/>
      <c r="PGI451" s="741"/>
      <c r="PGJ451" s="741"/>
      <c r="PGK451" s="741"/>
      <c r="PGL451" s="741"/>
      <c r="PGM451" s="741"/>
      <c r="PGN451" s="741"/>
      <c r="PGO451" s="741"/>
      <c r="PGP451" s="741"/>
      <c r="PGQ451" s="741"/>
      <c r="PGR451" s="741"/>
      <c r="PGS451" s="741"/>
      <c r="PGT451" s="741"/>
      <c r="PGU451" s="741"/>
      <c r="PGV451" s="741"/>
      <c r="PGW451" s="741"/>
      <c r="PGX451" s="741"/>
      <c r="PGY451" s="741"/>
      <c r="PGZ451" s="741"/>
      <c r="PHA451" s="741"/>
      <c r="PHB451" s="741"/>
      <c r="PHC451" s="741"/>
      <c r="PHD451" s="741"/>
      <c r="PHE451" s="741"/>
      <c r="PHF451" s="741"/>
      <c r="PHG451" s="741"/>
      <c r="PHH451" s="741"/>
      <c r="PHI451" s="741"/>
      <c r="PHJ451" s="741"/>
      <c r="PHK451" s="741"/>
      <c r="PHL451" s="741"/>
      <c r="PHM451" s="741"/>
      <c r="PHN451" s="741"/>
      <c r="PHO451" s="741"/>
      <c r="PHP451" s="741"/>
      <c r="PHQ451" s="741"/>
      <c r="PHR451" s="741"/>
      <c r="PHS451" s="741"/>
      <c r="PHT451" s="741"/>
      <c r="PHU451" s="741"/>
      <c r="PHV451" s="741"/>
      <c r="PHW451" s="741"/>
      <c r="PHX451" s="741"/>
      <c r="PHY451" s="741"/>
      <c r="PHZ451" s="741"/>
      <c r="PIA451" s="741"/>
      <c r="PIB451" s="741"/>
      <c r="PIC451" s="741"/>
      <c r="PID451" s="741"/>
      <c r="PIE451" s="741"/>
      <c r="PIF451" s="741"/>
      <c r="PIG451" s="741"/>
      <c r="PIH451" s="741"/>
      <c r="PII451" s="741"/>
      <c r="PIJ451" s="741"/>
      <c r="PIK451" s="741"/>
      <c r="PIL451" s="741"/>
      <c r="PIM451" s="741"/>
      <c r="PIN451" s="741"/>
      <c r="PIO451" s="741"/>
      <c r="PIP451" s="741"/>
      <c r="PIQ451" s="741"/>
      <c r="PIR451" s="741"/>
      <c r="PIS451" s="741"/>
      <c r="PIT451" s="741"/>
      <c r="PIU451" s="741"/>
      <c r="PIV451" s="741"/>
      <c r="PIW451" s="741"/>
      <c r="PIX451" s="741"/>
      <c r="PIY451" s="741"/>
      <c r="PIZ451" s="741"/>
      <c r="PJA451" s="741"/>
      <c r="PJB451" s="741"/>
      <c r="PJC451" s="741"/>
      <c r="PJD451" s="741"/>
      <c r="PJE451" s="741"/>
      <c r="PJF451" s="741"/>
      <c r="PJG451" s="741"/>
      <c r="PJH451" s="741"/>
      <c r="PJI451" s="741"/>
      <c r="PJJ451" s="741"/>
      <c r="PJK451" s="741"/>
      <c r="PJL451" s="741"/>
      <c r="PJM451" s="741"/>
      <c r="PJN451" s="741"/>
      <c r="PJO451" s="741"/>
      <c r="PJP451" s="741"/>
      <c r="PJQ451" s="741"/>
      <c r="PJR451" s="741"/>
      <c r="PJS451" s="741"/>
      <c r="PJT451" s="741"/>
      <c r="PJU451" s="741"/>
      <c r="PJV451" s="741"/>
      <c r="PJW451" s="741"/>
      <c r="PJX451" s="741"/>
      <c r="PJY451" s="741"/>
      <c r="PJZ451" s="741"/>
      <c r="PKA451" s="741"/>
      <c r="PKB451" s="741"/>
      <c r="PKC451" s="741"/>
      <c r="PKD451" s="741"/>
      <c r="PKE451" s="741"/>
      <c r="PKF451" s="741"/>
      <c r="PKG451" s="741"/>
      <c r="PKH451" s="741"/>
      <c r="PKI451" s="741"/>
      <c r="PKJ451" s="741"/>
      <c r="PKK451" s="741"/>
      <c r="PKL451" s="741"/>
      <c r="PKM451" s="741"/>
      <c r="PKN451" s="741"/>
      <c r="PKO451" s="741"/>
      <c r="PKP451" s="741"/>
      <c r="PKQ451" s="741"/>
      <c r="PKR451" s="741"/>
      <c r="PKS451" s="741"/>
      <c r="PKT451" s="741"/>
      <c r="PKU451" s="741"/>
      <c r="PKV451" s="741"/>
      <c r="PKW451" s="741"/>
      <c r="PKX451" s="741"/>
      <c r="PKY451" s="741"/>
      <c r="PKZ451" s="741"/>
      <c r="PLA451" s="741"/>
      <c r="PLB451" s="741"/>
      <c r="PLC451" s="741"/>
      <c r="PLD451" s="741"/>
      <c r="PLE451" s="741"/>
      <c r="PLF451" s="741"/>
      <c r="PLG451" s="741"/>
      <c r="PLH451" s="741"/>
      <c r="PLI451" s="741"/>
      <c r="PLJ451" s="741"/>
      <c r="PLK451" s="741"/>
      <c r="PLL451" s="741"/>
      <c r="PLM451" s="741"/>
      <c r="PLN451" s="741"/>
      <c r="PLO451" s="741"/>
      <c r="PLP451" s="741"/>
      <c r="PLQ451" s="741"/>
      <c r="PLR451" s="741"/>
      <c r="PLS451" s="741"/>
      <c r="PLT451" s="741"/>
      <c r="PLU451" s="741"/>
      <c r="PLV451" s="741"/>
      <c r="PLW451" s="741"/>
      <c r="PLX451" s="741"/>
      <c r="PLY451" s="741"/>
      <c r="PLZ451" s="741"/>
      <c r="PMA451" s="741"/>
      <c r="PMB451" s="741"/>
      <c r="PMC451" s="741"/>
      <c r="PMD451" s="741"/>
      <c r="PME451" s="741"/>
      <c r="PMF451" s="741"/>
      <c r="PMG451" s="741"/>
      <c r="PMH451" s="741"/>
      <c r="PMI451" s="741"/>
      <c r="PMJ451" s="741"/>
      <c r="PMK451" s="741"/>
      <c r="PML451" s="741"/>
      <c r="PMM451" s="741"/>
      <c r="PMN451" s="741"/>
      <c r="PMO451" s="741"/>
      <c r="PMP451" s="741"/>
      <c r="PMQ451" s="741"/>
      <c r="PMR451" s="741"/>
      <c r="PMS451" s="741"/>
      <c r="PMT451" s="741"/>
      <c r="PMU451" s="741"/>
      <c r="PMV451" s="741"/>
      <c r="PMW451" s="741"/>
      <c r="PMX451" s="741"/>
      <c r="PMY451" s="741"/>
      <c r="PMZ451" s="741"/>
      <c r="PNA451" s="741"/>
      <c r="PNB451" s="741"/>
      <c r="PNC451" s="741"/>
      <c r="PND451" s="741"/>
      <c r="PNE451" s="741"/>
      <c r="PNF451" s="741"/>
      <c r="PNG451" s="741"/>
      <c r="PNH451" s="741"/>
      <c r="PNI451" s="741"/>
      <c r="PNJ451" s="741"/>
      <c r="PNK451" s="741"/>
      <c r="PNL451" s="741"/>
      <c r="PNM451" s="741"/>
      <c r="PNN451" s="741"/>
      <c r="PNO451" s="741"/>
      <c r="PNP451" s="741"/>
      <c r="PNQ451" s="741"/>
      <c r="PNR451" s="741"/>
      <c r="PNS451" s="741"/>
      <c r="PNT451" s="741"/>
      <c r="PNU451" s="741"/>
      <c r="PNV451" s="741"/>
      <c r="PNW451" s="741"/>
      <c r="PNX451" s="741"/>
      <c r="PNY451" s="741"/>
      <c r="PNZ451" s="741"/>
      <c r="POA451" s="741"/>
      <c r="POB451" s="741"/>
      <c r="POC451" s="741"/>
      <c r="POD451" s="741"/>
      <c r="POE451" s="741"/>
      <c r="POF451" s="741"/>
      <c r="POG451" s="741"/>
      <c r="POH451" s="741"/>
      <c r="POI451" s="741"/>
      <c r="POJ451" s="741"/>
      <c r="POK451" s="741"/>
      <c r="POL451" s="741"/>
      <c r="POM451" s="741"/>
      <c r="PON451" s="741"/>
      <c r="POO451" s="741"/>
      <c r="POP451" s="741"/>
      <c r="POQ451" s="741"/>
      <c r="POR451" s="741"/>
      <c r="POS451" s="741"/>
      <c r="POT451" s="741"/>
      <c r="POU451" s="741"/>
      <c r="POV451" s="741"/>
      <c r="POW451" s="741"/>
      <c r="POX451" s="741"/>
      <c r="POY451" s="741"/>
      <c r="POZ451" s="741"/>
      <c r="PPA451" s="741"/>
      <c r="PPB451" s="741"/>
      <c r="PPC451" s="741"/>
      <c r="PPD451" s="741"/>
      <c r="PPE451" s="741"/>
      <c r="PPF451" s="741"/>
      <c r="PPG451" s="741"/>
      <c r="PPH451" s="741"/>
      <c r="PPI451" s="741"/>
      <c r="PPJ451" s="741"/>
      <c r="PPK451" s="741"/>
      <c r="PPL451" s="741"/>
      <c r="PPM451" s="741"/>
      <c r="PPN451" s="741"/>
      <c r="PPO451" s="741"/>
      <c r="PPP451" s="741"/>
      <c r="PPQ451" s="741"/>
      <c r="PPR451" s="741"/>
      <c r="PPS451" s="741"/>
      <c r="PPT451" s="741"/>
      <c r="PPU451" s="741"/>
      <c r="PPV451" s="741"/>
      <c r="PPW451" s="741"/>
      <c r="PPX451" s="741"/>
      <c r="PPY451" s="741"/>
      <c r="PPZ451" s="741"/>
      <c r="PQA451" s="741"/>
      <c r="PQB451" s="741"/>
      <c r="PQC451" s="741"/>
      <c r="PQD451" s="741"/>
      <c r="PQE451" s="741"/>
      <c r="PQF451" s="741"/>
      <c r="PQG451" s="741"/>
      <c r="PQH451" s="741"/>
      <c r="PQI451" s="741"/>
      <c r="PQJ451" s="741"/>
      <c r="PQK451" s="741"/>
      <c r="PQL451" s="741"/>
      <c r="PQM451" s="741"/>
      <c r="PQN451" s="741"/>
      <c r="PQO451" s="741"/>
      <c r="PQP451" s="741"/>
      <c r="PQQ451" s="741"/>
      <c r="PQR451" s="741"/>
      <c r="PQS451" s="741"/>
      <c r="PQT451" s="741"/>
      <c r="PQU451" s="741"/>
      <c r="PQV451" s="741"/>
      <c r="PQW451" s="741"/>
      <c r="PQX451" s="741"/>
      <c r="PQY451" s="741"/>
      <c r="PQZ451" s="741"/>
      <c r="PRA451" s="741"/>
      <c r="PRB451" s="741"/>
      <c r="PRC451" s="741"/>
      <c r="PRD451" s="741"/>
      <c r="PRE451" s="741"/>
      <c r="PRF451" s="741"/>
      <c r="PRG451" s="741"/>
      <c r="PRH451" s="741"/>
      <c r="PRI451" s="741"/>
      <c r="PRJ451" s="741"/>
      <c r="PRK451" s="741"/>
      <c r="PRL451" s="741"/>
      <c r="PRM451" s="741"/>
      <c r="PRN451" s="741"/>
      <c r="PRO451" s="741"/>
      <c r="PRP451" s="741"/>
      <c r="PRQ451" s="741"/>
      <c r="PRR451" s="741"/>
      <c r="PRS451" s="741"/>
      <c r="PRT451" s="741"/>
      <c r="PRU451" s="741"/>
      <c r="PRV451" s="741"/>
      <c r="PRW451" s="741"/>
      <c r="PRX451" s="741"/>
      <c r="PRY451" s="741"/>
      <c r="PRZ451" s="741"/>
      <c r="PSA451" s="741"/>
      <c r="PSB451" s="741"/>
      <c r="PSC451" s="741"/>
      <c r="PSD451" s="741"/>
      <c r="PSE451" s="741"/>
      <c r="PSF451" s="741"/>
      <c r="PSG451" s="741"/>
      <c r="PSH451" s="741"/>
      <c r="PSI451" s="741"/>
      <c r="PSJ451" s="741"/>
      <c r="PSK451" s="741"/>
      <c r="PSL451" s="741"/>
      <c r="PSM451" s="741"/>
      <c r="PSN451" s="741"/>
      <c r="PSO451" s="741"/>
      <c r="PSP451" s="741"/>
      <c r="PSQ451" s="741"/>
      <c r="PSR451" s="741"/>
      <c r="PSS451" s="741"/>
      <c r="PST451" s="741"/>
      <c r="PSU451" s="741"/>
      <c r="PSV451" s="741"/>
      <c r="PSW451" s="741"/>
      <c r="PSX451" s="741"/>
      <c r="PSY451" s="741"/>
      <c r="PSZ451" s="741"/>
      <c r="PTA451" s="741"/>
      <c r="PTB451" s="741"/>
      <c r="PTC451" s="741"/>
      <c r="PTD451" s="741"/>
      <c r="PTE451" s="741"/>
      <c r="PTF451" s="741"/>
      <c r="PTG451" s="741"/>
      <c r="PTH451" s="741"/>
      <c r="PTI451" s="741"/>
      <c r="PTJ451" s="741"/>
      <c r="PTK451" s="741"/>
      <c r="PTL451" s="741"/>
      <c r="PTM451" s="741"/>
      <c r="PTN451" s="741"/>
      <c r="PTO451" s="741"/>
      <c r="PTP451" s="741"/>
      <c r="PTQ451" s="741"/>
      <c r="PTR451" s="741"/>
      <c r="PTS451" s="741"/>
      <c r="PTT451" s="741"/>
      <c r="PTU451" s="741"/>
      <c r="PTV451" s="741"/>
      <c r="PTW451" s="741"/>
      <c r="PTX451" s="741"/>
      <c r="PTY451" s="741"/>
      <c r="PTZ451" s="741"/>
      <c r="PUA451" s="741"/>
      <c r="PUB451" s="741"/>
      <c r="PUC451" s="741"/>
      <c r="PUD451" s="741"/>
      <c r="PUE451" s="741"/>
      <c r="PUF451" s="741"/>
      <c r="PUG451" s="741"/>
      <c r="PUH451" s="741"/>
      <c r="PUI451" s="741"/>
      <c r="PUJ451" s="741"/>
      <c r="PUK451" s="741"/>
      <c r="PUL451" s="741"/>
      <c r="PUM451" s="741"/>
      <c r="PUN451" s="741"/>
      <c r="PUO451" s="741"/>
      <c r="PUP451" s="741"/>
      <c r="PUQ451" s="741"/>
      <c r="PUR451" s="741"/>
      <c r="PUS451" s="741"/>
      <c r="PUT451" s="741"/>
      <c r="PUU451" s="741"/>
      <c r="PUV451" s="741"/>
      <c r="PUW451" s="741"/>
      <c r="PUX451" s="741"/>
      <c r="PUY451" s="741"/>
      <c r="PUZ451" s="741"/>
      <c r="PVA451" s="741"/>
      <c r="PVB451" s="741"/>
      <c r="PVC451" s="741"/>
      <c r="PVD451" s="741"/>
      <c r="PVE451" s="741"/>
      <c r="PVF451" s="741"/>
      <c r="PVG451" s="741"/>
      <c r="PVH451" s="741"/>
      <c r="PVI451" s="741"/>
      <c r="PVJ451" s="741"/>
      <c r="PVK451" s="741"/>
      <c r="PVL451" s="741"/>
      <c r="PVM451" s="741"/>
      <c r="PVN451" s="741"/>
      <c r="PVO451" s="741"/>
      <c r="PVP451" s="741"/>
      <c r="PVQ451" s="741"/>
      <c r="PVR451" s="741"/>
      <c r="PVS451" s="741"/>
      <c r="PVT451" s="741"/>
      <c r="PVU451" s="741"/>
      <c r="PVV451" s="741"/>
      <c r="PVW451" s="741"/>
      <c r="PVX451" s="741"/>
      <c r="PVY451" s="741"/>
      <c r="PVZ451" s="741"/>
      <c r="PWA451" s="741"/>
      <c r="PWB451" s="741"/>
      <c r="PWC451" s="741"/>
      <c r="PWD451" s="741"/>
      <c r="PWE451" s="741"/>
      <c r="PWF451" s="741"/>
      <c r="PWG451" s="741"/>
      <c r="PWH451" s="741"/>
      <c r="PWI451" s="741"/>
      <c r="PWJ451" s="741"/>
      <c r="PWK451" s="741"/>
      <c r="PWL451" s="741"/>
      <c r="PWM451" s="741"/>
      <c r="PWN451" s="741"/>
      <c r="PWO451" s="741"/>
      <c r="PWP451" s="741"/>
      <c r="PWQ451" s="741"/>
      <c r="PWR451" s="741"/>
      <c r="PWS451" s="741"/>
      <c r="PWT451" s="741"/>
      <c r="PWU451" s="741"/>
      <c r="PWV451" s="741"/>
      <c r="PWW451" s="741"/>
      <c r="PWX451" s="741"/>
      <c r="PWY451" s="741"/>
      <c r="PWZ451" s="741"/>
      <c r="PXA451" s="741"/>
      <c r="PXB451" s="741"/>
      <c r="PXC451" s="741"/>
      <c r="PXD451" s="741"/>
      <c r="PXE451" s="741"/>
      <c r="PXF451" s="741"/>
      <c r="PXG451" s="741"/>
      <c r="PXH451" s="741"/>
      <c r="PXI451" s="741"/>
      <c r="PXJ451" s="741"/>
      <c r="PXK451" s="741"/>
      <c r="PXL451" s="741"/>
      <c r="PXM451" s="741"/>
      <c r="PXN451" s="741"/>
      <c r="PXO451" s="741"/>
      <c r="PXP451" s="741"/>
      <c r="PXQ451" s="741"/>
      <c r="PXR451" s="741"/>
      <c r="PXS451" s="741"/>
      <c r="PXT451" s="741"/>
      <c r="PXU451" s="741"/>
      <c r="PXV451" s="741"/>
      <c r="PXW451" s="741"/>
      <c r="PXX451" s="741"/>
      <c r="PXY451" s="741"/>
      <c r="PXZ451" s="741"/>
      <c r="PYA451" s="741"/>
      <c r="PYB451" s="741"/>
      <c r="PYC451" s="741"/>
      <c r="PYD451" s="741"/>
      <c r="PYE451" s="741"/>
      <c r="PYF451" s="741"/>
      <c r="PYG451" s="741"/>
      <c r="PYH451" s="741"/>
      <c r="PYI451" s="741"/>
      <c r="PYJ451" s="741"/>
      <c r="PYK451" s="741"/>
      <c r="PYL451" s="741"/>
      <c r="PYM451" s="741"/>
      <c r="PYN451" s="741"/>
      <c r="PYO451" s="741"/>
      <c r="PYP451" s="741"/>
      <c r="PYQ451" s="741"/>
      <c r="PYR451" s="741"/>
      <c r="PYS451" s="741"/>
      <c r="PYT451" s="741"/>
      <c r="PYU451" s="741"/>
      <c r="PYV451" s="741"/>
      <c r="PYW451" s="741"/>
      <c r="PYX451" s="741"/>
      <c r="PYY451" s="741"/>
      <c r="PYZ451" s="741"/>
      <c r="PZA451" s="741"/>
      <c r="PZB451" s="741"/>
      <c r="PZC451" s="741"/>
      <c r="PZD451" s="741"/>
      <c r="PZE451" s="741"/>
      <c r="PZF451" s="741"/>
      <c r="PZG451" s="741"/>
      <c r="PZH451" s="741"/>
      <c r="PZI451" s="741"/>
      <c r="PZJ451" s="741"/>
      <c r="PZK451" s="741"/>
      <c r="PZL451" s="741"/>
      <c r="PZM451" s="741"/>
      <c r="PZN451" s="741"/>
      <c r="PZO451" s="741"/>
      <c r="PZP451" s="741"/>
      <c r="PZQ451" s="741"/>
      <c r="PZR451" s="741"/>
      <c r="PZS451" s="741"/>
      <c r="PZT451" s="741"/>
      <c r="PZU451" s="741"/>
      <c r="PZV451" s="741"/>
      <c r="PZW451" s="741"/>
      <c r="PZX451" s="741"/>
      <c r="PZY451" s="741"/>
      <c r="PZZ451" s="741"/>
      <c r="QAA451" s="741"/>
      <c r="QAB451" s="741"/>
      <c r="QAC451" s="741"/>
      <c r="QAD451" s="741"/>
      <c r="QAE451" s="741"/>
      <c r="QAF451" s="741"/>
      <c r="QAG451" s="741"/>
      <c r="QAH451" s="741"/>
      <c r="QAI451" s="741"/>
      <c r="QAJ451" s="741"/>
      <c r="QAK451" s="741"/>
      <c r="QAL451" s="741"/>
      <c r="QAM451" s="741"/>
      <c r="QAN451" s="741"/>
      <c r="QAO451" s="741"/>
      <c r="QAP451" s="741"/>
      <c r="QAQ451" s="741"/>
      <c r="QAR451" s="741"/>
      <c r="QAS451" s="741"/>
      <c r="QAT451" s="741"/>
      <c r="QAU451" s="741"/>
      <c r="QAV451" s="741"/>
      <c r="QAW451" s="741"/>
      <c r="QAX451" s="741"/>
      <c r="QAY451" s="741"/>
      <c r="QAZ451" s="741"/>
      <c r="QBA451" s="741"/>
      <c r="QBB451" s="741"/>
      <c r="QBC451" s="741"/>
      <c r="QBD451" s="741"/>
      <c r="QBE451" s="741"/>
      <c r="QBF451" s="741"/>
      <c r="QBG451" s="741"/>
      <c r="QBH451" s="741"/>
      <c r="QBI451" s="741"/>
      <c r="QBJ451" s="741"/>
      <c r="QBK451" s="741"/>
      <c r="QBL451" s="741"/>
      <c r="QBM451" s="741"/>
      <c r="QBN451" s="741"/>
      <c r="QBO451" s="741"/>
      <c r="QBP451" s="741"/>
      <c r="QBQ451" s="741"/>
      <c r="QBR451" s="741"/>
      <c r="QBS451" s="741"/>
      <c r="QBT451" s="741"/>
      <c r="QBU451" s="741"/>
      <c r="QBV451" s="741"/>
      <c r="QBW451" s="741"/>
      <c r="QBX451" s="741"/>
      <c r="QBY451" s="741"/>
      <c r="QBZ451" s="741"/>
      <c r="QCA451" s="741"/>
      <c r="QCB451" s="741"/>
      <c r="QCC451" s="741"/>
      <c r="QCD451" s="741"/>
      <c r="QCE451" s="741"/>
      <c r="QCF451" s="741"/>
      <c r="QCG451" s="741"/>
      <c r="QCH451" s="741"/>
      <c r="QCI451" s="741"/>
      <c r="QCJ451" s="741"/>
      <c r="QCK451" s="741"/>
      <c r="QCL451" s="741"/>
      <c r="QCM451" s="741"/>
      <c r="QCN451" s="741"/>
      <c r="QCO451" s="741"/>
      <c r="QCP451" s="741"/>
      <c r="QCQ451" s="741"/>
      <c r="QCR451" s="741"/>
      <c r="QCS451" s="741"/>
      <c r="QCT451" s="741"/>
      <c r="QCU451" s="741"/>
      <c r="QCV451" s="741"/>
      <c r="QCW451" s="741"/>
      <c r="QCX451" s="741"/>
      <c r="QCY451" s="741"/>
      <c r="QCZ451" s="741"/>
      <c r="QDA451" s="741"/>
      <c r="QDB451" s="741"/>
      <c r="QDC451" s="741"/>
      <c r="QDD451" s="741"/>
      <c r="QDE451" s="741"/>
      <c r="QDF451" s="741"/>
      <c r="QDG451" s="741"/>
      <c r="QDH451" s="741"/>
      <c r="QDI451" s="741"/>
      <c r="QDJ451" s="741"/>
      <c r="QDK451" s="741"/>
      <c r="QDL451" s="741"/>
      <c r="QDM451" s="741"/>
      <c r="QDN451" s="741"/>
      <c r="QDO451" s="741"/>
      <c r="QDP451" s="741"/>
      <c r="QDQ451" s="741"/>
      <c r="QDR451" s="741"/>
      <c r="QDS451" s="741"/>
      <c r="QDT451" s="741"/>
      <c r="QDU451" s="741"/>
      <c r="QDV451" s="741"/>
      <c r="QDW451" s="741"/>
      <c r="QDX451" s="741"/>
      <c r="QDY451" s="741"/>
      <c r="QDZ451" s="741"/>
      <c r="QEA451" s="741"/>
      <c r="QEB451" s="741"/>
      <c r="QEC451" s="741"/>
      <c r="QED451" s="741"/>
      <c r="QEE451" s="741"/>
      <c r="QEF451" s="741"/>
      <c r="QEG451" s="741"/>
      <c r="QEH451" s="741"/>
      <c r="QEI451" s="741"/>
      <c r="QEJ451" s="741"/>
      <c r="QEK451" s="741"/>
      <c r="QEL451" s="741"/>
      <c r="QEM451" s="741"/>
      <c r="QEN451" s="741"/>
      <c r="QEO451" s="741"/>
      <c r="QEP451" s="741"/>
      <c r="QEQ451" s="741"/>
      <c r="QER451" s="741"/>
      <c r="QES451" s="741"/>
      <c r="QET451" s="741"/>
      <c r="QEU451" s="741"/>
      <c r="QEV451" s="741"/>
      <c r="QEW451" s="741"/>
      <c r="QEX451" s="741"/>
      <c r="QEY451" s="741"/>
      <c r="QEZ451" s="741"/>
      <c r="QFA451" s="741"/>
      <c r="QFB451" s="741"/>
      <c r="QFC451" s="741"/>
      <c r="QFD451" s="741"/>
      <c r="QFE451" s="741"/>
      <c r="QFF451" s="741"/>
      <c r="QFG451" s="741"/>
      <c r="QFH451" s="741"/>
      <c r="QFI451" s="741"/>
      <c r="QFJ451" s="741"/>
      <c r="QFK451" s="741"/>
      <c r="QFL451" s="741"/>
      <c r="QFM451" s="741"/>
      <c r="QFN451" s="741"/>
      <c r="QFO451" s="741"/>
      <c r="QFP451" s="741"/>
      <c r="QFQ451" s="741"/>
      <c r="QFR451" s="741"/>
      <c r="QFS451" s="741"/>
      <c r="QFT451" s="741"/>
      <c r="QFU451" s="741"/>
      <c r="QFV451" s="741"/>
      <c r="QFW451" s="741"/>
      <c r="QFX451" s="741"/>
      <c r="QFY451" s="741"/>
      <c r="QFZ451" s="741"/>
      <c r="QGA451" s="741"/>
      <c r="QGB451" s="741"/>
      <c r="QGC451" s="741"/>
      <c r="QGD451" s="741"/>
      <c r="QGE451" s="741"/>
      <c r="QGF451" s="741"/>
      <c r="QGG451" s="741"/>
      <c r="QGH451" s="741"/>
      <c r="QGI451" s="741"/>
      <c r="QGJ451" s="741"/>
      <c r="QGK451" s="741"/>
      <c r="QGL451" s="741"/>
      <c r="QGM451" s="741"/>
      <c r="QGN451" s="741"/>
      <c r="QGO451" s="741"/>
      <c r="QGP451" s="741"/>
      <c r="QGQ451" s="741"/>
      <c r="QGR451" s="741"/>
      <c r="QGS451" s="741"/>
      <c r="QGT451" s="741"/>
      <c r="QGU451" s="741"/>
      <c r="QGV451" s="741"/>
      <c r="QGW451" s="741"/>
      <c r="QGX451" s="741"/>
      <c r="QGY451" s="741"/>
      <c r="QGZ451" s="741"/>
      <c r="QHA451" s="741"/>
      <c r="QHB451" s="741"/>
      <c r="QHC451" s="741"/>
      <c r="QHD451" s="741"/>
      <c r="QHE451" s="741"/>
      <c r="QHF451" s="741"/>
      <c r="QHG451" s="741"/>
      <c r="QHH451" s="741"/>
      <c r="QHI451" s="741"/>
      <c r="QHJ451" s="741"/>
      <c r="QHK451" s="741"/>
      <c r="QHL451" s="741"/>
      <c r="QHM451" s="741"/>
      <c r="QHN451" s="741"/>
      <c r="QHO451" s="741"/>
      <c r="QHP451" s="741"/>
      <c r="QHQ451" s="741"/>
      <c r="QHR451" s="741"/>
      <c r="QHS451" s="741"/>
      <c r="QHT451" s="741"/>
      <c r="QHU451" s="741"/>
      <c r="QHV451" s="741"/>
      <c r="QHW451" s="741"/>
      <c r="QHX451" s="741"/>
      <c r="QHY451" s="741"/>
      <c r="QHZ451" s="741"/>
      <c r="QIA451" s="741"/>
      <c r="QIB451" s="741"/>
      <c r="QIC451" s="741"/>
      <c r="QID451" s="741"/>
      <c r="QIE451" s="741"/>
      <c r="QIF451" s="741"/>
      <c r="QIG451" s="741"/>
      <c r="QIH451" s="741"/>
      <c r="QII451" s="741"/>
      <c r="QIJ451" s="741"/>
      <c r="QIK451" s="741"/>
      <c r="QIL451" s="741"/>
      <c r="QIM451" s="741"/>
      <c r="QIN451" s="741"/>
      <c r="QIO451" s="741"/>
      <c r="QIP451" s="741"/>
      <c r="QIQ451" s="741"/>
      <c r="QIR451" s="741"/>
      <c r="QIS451" s="741"/>
      <c r="QIT451" s="741"/>
      <c r="QIU451" s="741"/>
      <c r="QIV451" s="741"/>
      <c r="QIW451" s="741"/>
      <c r="QIX451" s="741"/>
      <c r="QIY451" s="741"/>
      <c r="QIZ451" s="741"/>
      <c r="QJA451" s="741"/>
      <c r="QJB451" s="741"/>
      <c r="QJC451" s="741"/>
      <c r="QJD451" s="741"/>
      <c r="QJE451" s="741"/>
      <c r="QJF451" s="741"/>
      <c r="QJG451" s="741"/>
      <c r="QJH451" s="741"/>
      <c r="QJI451" s="741"/>
      <c r="QJJ451" s="741"/>
      <c r="QJK451" s="741"/>
      <c r="QJL451" s="741"/>
      <c r="QJM451" s="741"/>
      <c r="QJN451" s="741"/>
      <c r="QJO451" s="741"/>
      <c r="QJP451" s="741"/>
      <c r="QJQ451" s="741"/>
      <c r="QJR451" s="741"/>
      <c r="QJS451" s="741"/>
      <c r="QJT451" s="741"/>
      <c r="QJU451" s="741"/>
      <c r="QJV451" s="741"/>
      <c r="QJW451" s="741"/>
      <c r="QJX451" s="741"/>
      <c r="QJY451" s="741"/>
      <c r="QJZ451" s="741"/>
      <c r="QKA451" s="741"/>
      <c r="QKB451" s="741"/>
      <c r="QKC451" s="741"/>
      <c r="QKD451" s="741"/>
      <c r="QKE451" s="741"/>
      <c r="QKF451" s="741"/>
      <c r="QKG451" s="741"/>
      <c r="QKH451" s="741"/>
      <c r="QKI451" s="741"/>
      <c r="QKJ451" s="741"/>
      <c r="QKK451" s="741"/>
      <c r="QKL451" s="741"/>
      <c r="QKM451" s="741"/>
      <c r="QKN451" s="741"/>
      <c r="QKO451" s="741"/>
      <c r="QKP451" s="741"/>
      <c r="QKQ451" s="741"/>
      <c r="QKR451" s="741"/>
      <c r="QKS451" s="741"/>
      <c r="QKT451" s="741"/>
      <c r="QKU451" s="741"/>
      <c r="QKV451" s="741"/>
      <c r="QKW451" s="741"/>
      <c r="QKX451" s="741"/>
      <c r="QKY451" s="741"/>
      <c r="QKZ451" s="741"/>
      <c r="QLA451" s="741"/>
      <c r="QLB451" s="741"/>
      <c r="QLC451" s="741"/>
      <c r="QLD451" s="741"/>
      <c r="QLE451" s="741"/>
      <c r="QLF451" s="741"/>
      <c r="QLG451" s="741"/>
      <c r="QLH451" s="741"/>
      <c r="QLI451" s="741"/>
      <c r="QLJ451" s="741"/>
      <c r="QLK451" s="741"/>
      <c r="QLL451" s="741"/>
      <c r="QLM451" s="741"/>
      <c r="QLN451" s="741"/>
      <c r="QLO451" s="741"/>
      <c r="QLP451" s="741"/>
      <c r="QLQ451" s="741"/>
      <c r="QLR451" s="741"/>
      <c r="QLS451" s="741"/>
      <c r="QLT451" s="741"/>
      <c r="QLU451" s="741"/>
      <c r="QLV451" s="741"/>
      <c r="QLW451" s="741"/>
      <c r="QLX451" s="741"/>
      <c r="QLY451" s="741"/>
      <c r="QLZ451" s="741"/>
      <c r="QMA451" s="741"/>
      <c r="QMB451" s="741"/>
      <c r="QMC451" s="741"/>
      <c r="QMD451" s="741"/>
      <c r="QME451" s="741"/>
      <c r="QMF451" s="741"/>
      <c r="QMG451" s="741"/>
      <c r="QMH451" s="741"/>
      <c r="QMI451" s="741"/>
      <c r="QMJ451" s="741"/>
      <c r="QMK451" s="741"/>
      <c r="QML451" s="741"/>
      <c r="QMM451" s="741"/>
      <c r="QMN451" s="741"/>
      <c r="QMO451" s="741"/>
      <c r="QMP451" s="741"/>
      <c r="QMQ451" s="741"/>
      <c r="QMR451" s="741"/>
      <c r="QMS451" s="741"/>
      <c r="QMT451" s="741"/>
      <c r="QMU451" s="741"/>
      <c r="QMV451" s="741"/>
      <c r="QMW451" s="741"/>
      <c r="QMX451" s="741"/>
      <c r="QMY451" s="741"/>
      <c r="QMZ451" s="741"/>
      <c r="QNA451" s="741"/>
      <c r="QNB451" s="741"/>
      <c r="QNC451" s="741"/>
      <c r="QND451" s="741"/>
      <c r="QNE451" s="741"/>
      <c r="QNF451" s="741"/>
      <c r="QNG451" s="741"/>
      <c r="QNH451" s="741"/>
      <c r="QNI451" s="741"/>
      <c r="QNJ451" s="741"/>
      <c r="QNK451" s="741"/>
      <c r="QNL451" s="741"/>
      <c r="QNM451" s="741"/>
      <c r="QNN451" s="741"/>
      <c r="QNO451" s="741"/>
      <c r="QNP451" s="741"/>
      <c r="QNQ451" s="741"/>
      <c r="QNR451" s="741"/>
      <c r="QNS451" s="741"/>
      <c r="QNT451" s="741"/>
      <c r="QNU451" s="741"/>
      <c r="QNV451" s="741"/>
      <c r="QNW451" s="741"/>
      <c r="QNX451" s="741"/>
      <c r="QNY451" s="741"/>
      <c r="QNZ451" s="741"/>
      <c r="QOA451" s="741"/>
      <c r="QOB451" s="741"/>
      <c r="QOC451" s="741"/>
      <c r="QOD451" s="741"/>
      <c r="QOE451" s="741"/>
      <c r="QOF451" s="741"/>
      <c r="QOG451" s="741"/>
      <c r="QOH451" s="741"/>
      <c r="QOI451" s="741"/>
      <c r="QOJ451" s="741"/>
      <c r="QOK451" s="741"/>
      <c r="QOL451" s="741"/>
      <c r="QOM451" s="741"/>
      <c r="QON451" s="741"/>
      <c r="QOO451" s="741"/>
      <c r="QOP451" s="741"/>
      <c r="QOQ451" s="741"/>
      <c r="QOR451" s="741"/>
      <c r="QOS451" s="741"/>
      <c r="QOT451" s="741"/>
      <c r="QOU451" s="741"/>
      <c r="QOV451" s="741"/>
      <c r="QOW451" s="741"/>
      <c r="QOX451" s="741"/>
      <c r="QOY451" s="741"/>
      <c r="QOZ451" s="741"/>
      <c r="QPA451" s="741"/>
      <c r="QPB451" s="741"/>
      <c r="QPC451" s="741"/>
      <c r="QPD451" s="741"/>
      <c r="QPE451" s="741"/>
      <c r="QPF451" s="741"/>
      <c r="QPG451" s="741"/>
      <c r="QPH451" s="741"/>
      <c r="QPI451" s="741"/>
      <c r="QPJ451" s="741"/>
      <c r="QPK451" s="741"/>
      <c r="QPL451" s="741"/>
      <c r="QPM451" s="741"/>
      <c r="QPN451" s="741"/>
      <c r="QPO451" s="741"/>
      <c r="QPP451" s="741"/>
      <c r="QPQ451" s="741"/>
      <c r="QPR451" s="741"/>
      <c r="QPS451" s="741"/>
      <c r="QPT451" s="741"/>
      <c r="QPU451" s="741"/>
      <c r="QPV451" s="741"/>
      <c r="QPW451" s="741"/>
      <c r="QPX451" s="741"/>
      <c r="QPY451" s="741"/>
      <c r="QPZ451" s="741"/>
      <c r="QQA451" s="741"/>
      <c r="QQB451" s="741"/>
      <c r="QQC451" s="741"/>
      <c r="QQD451" s="741"/>
      <c r="QQE451" s="741"/>
      <c r="QQF451" s="741"/>
      <c r="QQG451" s="741"/>
      <c r="QQH451" s="741"/>
      <c r="QQI451" s="741"/>
      <c r="QQJ451" s="741"/>
      <c r="QQK451" s="741"/>
      <c r="QQL451" s="741"/>
      <c r="QQM451" s="741"/>
      <c r="QQN451" s="741"/>
      <c r="QQO451" s="741"/>
      <c r="QQP451" s="741"/>
      <c r="QQQ451" s="741"/>
      <c r="QQR451" s="741"/>
      <c r="QQS451" s="741"/>
      <c r="QQT451" s="741"/>
      <c r="QQU451" s="741"/>
      <c r="QQV451" s="741"/>
      <c r="QQW451" s="741"/>
      <c r="QQX451" s="741"/>
      <c r="QQY451" s="741"/>
      <c r="QQZ451" s="741"/>
      <c r="QRA451" s="741"/>
      <c r="QRB451" s="741"/>
      <c r="QRC451" s="741"/>
      <c r="QRD451" s="741"/>
      <c r="QRE451" s="741"/>
      <c r="QRF451" s="741"/>
      <c r="QRG451" s="741"/>
      <c r="QRH451" s="741"/>
      <c r="QRI451" s="741"/>
      <c r="QRJ451" s="741"/>
      <c r="QRK451" s="741"/>
      <c r="QRL451" s="741"/>
      <c r="QRM451" s="741"/>
      <c r="QRN451" s="741"/>
      <c r="QRO451" s="741"/>
      <c r="QRP451" s="741"/>
      <c r="QRQ451" s="741"/>
      <c r="QRR451" s="741"/>
      <c r="QRS451" s="741"/>
      <c r="QRT451" s="741"/>
      <c r="QRU451" s="741"/>
      <c r="QRV451" s="741"/>
      <c r="QRW451" s="741"/>
      <c r="QRX451" s="741"/>
      <c r="QRY451" s="741"/>
      <c r="QRZ451" s="741"/>
      <c r="QSA451" s="741"/>
      <c r="QSB451" s="741"/>
      <c r="QSC451" s="741"/>
      <c r="QSD451" s="741"/>
      <c r="QSE451" s="741"/>
      <c r="QSF451" s="741"/>
      <c r="QSG451" s="741"/>
      <c r="QSH451" s="741"/>
      <c r="QSI451" s="741"/>
      <c r="QSJ451" s="741"/>
      <c r="QSK451" s="741"/>
      <c r="QSL451" s="741"/>
      <c r="QSM451" s="741"/>
      <c r="QSN451" s="741"/>
      <c r="QSO451" s="741"/>
      <c r="QSP451" s="741"/>
      <c r="QSQ451" s="741"/>
      <c r="QSR451" s="741"/>
      <c r="QSS451" s="741"/>
      <c r="QST451" s="741"/>
      <c r="QSU451" s="741"/>
      <c r="QSV451" s="741"/>
      <c r="QSW451" s="741"/>
      <c r="QSX451" s="741"/>
      <c r="QSY451" s="741"/>
      <c r="QSZ451" s="741"/>
      <c r="QTA451" s="741"/>
      <c r="QTB451" s="741"/>
      <c r="QTC451" s="741"/>
      <c r="QTD451" s="741"/>
      <c r="QTE451" s="741"/>
      <c r="QTF451" s="741"/>
      <c r="QTG451" s="741"/>
      <c r="QTH451" s="741"/>
      <c r="QTI451" s="741"/>
      <c r="QTJ451" s="741"/>
      <c r="QTK451" s="741"/>
      <c r="QTL451" s="741"/>
      <c r="QTM451" s="741"/>
      <c r="QTN451" s="741"/>
      <c r="QTO451" s="741"/>
      <c r="QTP451" s="741"/>
      <c r="QTQ451" s="741"/>
      <c r="QTR451" s="741"/>
      <c r="QTS451" s="741"/>
      <c r="QTT451" s="741"/>
      <c r="QTU451" s="741"/>
      <c r="QTV451" s="741"/>
      <c r="QTW451" s="741"/>
      <c r="QTX451" s="741"/>
      <c r="QTY451" s="741"/>
      <c r="QTZ451" s="741"/>
      <c r="QUA451" s="741"/>
      <c r="QUB451" s="741"/>
      <c r="QUC451" s="741"/>
      <c r="QUD451" s="741"/>
      <c r="QUE451" s="741"/>
      <c r="QUF451" s="741"/>
      <c r="QUG451" s="741"/>
      <c r="QUH451" s="741"/>
      <c r="QUI451" s="741"/>
      <c r="QUJ451" s="741"/>
      <c r="QUK451" s="741"/>
      <c r="QUL451" s="741"/>
      <c r="QUM451" s="741"/>
      <c r="QUN451" s="741"/>
      <c r="QUO451" s="741"/>
      <c r="QUP451" s="741"/>
      <c r="QUQ451" s="741"/>
      <c r="QUR451" s="741"/>
      <c r="QUS451" s="741"/>
      <c r="QUT451" s="741"/>
      <c r="QUU451" s="741"/>
      <c r="QUV451" s="741"/>
      <c r="QUW451" s="741"/>
      <c r="QUX451" s="741"/>
      <c r="QUY451" s="741"/>
      <c r="QUZ451" s="741"/>
      <c r="QVA451" s="741"/>
      <c r="QVB451" s="741"/>
      <c r="QVC451" s="741"/>
      <c r="QVD451" s="741"/>
      <c r="QVE451" s="741"/>
      <c r="QVF451" s="741"/>
      <c r="QVG451" s="741"/>
      <c r="QVH451" s="741"/>
      <c r="QVI451" s="741"/>
      <c r="QVJ451" s="741"/>
      <c r="QVK451" s="741"/>
      <c r="QVL451" s="741"/>
      <c r="QVM451" s="741"/>
      <c r="QVN451" s="741"/>
      <c r="QVO451" s="741"/>
      <c r="QVP451" s="741"/>
      <c r="QVQ451" s="741"/>
      <c r="QVR451" s="741"/>
      <c r="QVS451" s="741"/>
      <c r="QVT451" s="741"/>
      <c r="QVU451" s="741"/>
      <c r="QVV451" s="741"/>
      <c r="QVW451" s="741"/>
      <c r="QVX451" s="741"/>
      <c r="QVY451" s="741"/>
      <c r="QVZ451" s="741"/>
      <c r="QWA451" s="741"/>
      <c r="QWB451" s="741"/>
      <c r="QWC451" s="741"/>
      <c r="QWD451" s="741"/>
      <c r="QWE451" s="741"/>
      <c r="QWF451" s="741"/>
      <c r="QWG451" s="741"/>
      <c r="QWH451" s="741"/>
      <c r="QWI451" s="741"/>
      <c r="QWJ451" s="741"/>
      <c r="QWK451" s="741"/>
      <c r="QWL451" s="741"/>
      <c r="QWM451" s="741"/>
      <c r="QWN451" s="741"/>
      <c r="QWO451" s="741"/>
      <c r="QWP451" s="741"/>
      <c r="QWQ451" s="741"/>
      <c r="QWR451" s="741"/>
      <c r="QWS451" s="741"/>
      <c r="QWT451" s="741"/>
      <c r="QWU451" s="741"/>
      <c r="QWV451" s="741"/>
      <c r="QWW451" s="741"/>
      <c r="QWX451" s="741"/>
      <c r="QWY451" s="741"/>
      <c r="QWZ451" s="741"/>
      <c r="QXA451" s="741"/>
      <c r="QXB451" s="741"/>
      <c r="QXC451" s="741"/>
      <c r="QXD451" s="741"/>
      <c r="QXE451" s="741"/>
      <c r="QXF451" s="741"/>
      <c r="QXG451" s="741"/>
      <c r="QXH451" s="741"/>
      <c r="QXI451" s="741"/>
      <c r="QXJ451" s="741"/>
      <c r="QXK451" s="741"/>
      <c r="QXL451" s="741"/>
      <c r="QXM451" s="741"/>
      <c r="QXN451" s="741"/>
      <c r="QXO451" s="741"/>
      <c r="QXP451" s="741"/>
      <c r="QXQ451" s="741"/>
      <c r="QXR451" s="741"/>
      <c r="QXS451" s="741"/>
      <c r="QXT451" s="741"/>
      <c r="QXU451" s="741"/>
      <c r="QXV451" s="741"/>
      <c r="QXW451" s="741"/>
      <c r="QXX451" s="741"/>
      <c r="QXY451" s="741"/>
      <c r="QXZ451" s="741"/>
      <c r="QYA451" s="741"/>
      <c r="QYB451" s="741"/>
      <c r="QYC451" s="741"/>
      <c r="QYD451" s="741"/>
      <c r="QYE451" s="741"/>
      <c r="QYF451" s="741"/>
      <c r="QYG451" s="741"/>
      <c r="QYH451" s="741"/>
      <c r="QYI451" s="741"/>
      <c r="QYJ451" s="741"/>
      <c r="QYK451" s="741"/>
      <c r="QYL451" s="741"/>
      <c r="QYM451" s="741"/>
      <c r="QYN451" s="741"/>
      <c r="QYO451" s="741"/>
      <c r="QYP451" s="741"/>
      <c r="QYQ451" s="741"/>
      <c r="QYR451" s="741"/>
      <c r="QYS451" s="741"/>
      <c r="QYT451" s="741"/>
      <c r="QYU451" s="741"/>
      <c r="QYV451" s="741"/>
      <c r="QYW451" s="741"/>
      <c r="QYX451" s="741"/>
      <c r="QYY451" s="741"/>
      <c r="QYZ451" s="741"/>
      <c r="QZA451" s="741"/>
      <c r="QZB451" s="741"/>
      <c r="QZC451" s="741"/>
      <c r="QZD451" s="741"/>
      <c r="QZE451" s="741"/>
      <c r="QZF451" s="741"/>
      <c r="QZG451" s="741"/>
      <c r="QZH451" s="741"/>
      <c r="QZI451" s="741"/>
      <c r="QZJ451" s="741"/>
      <c r="QZK451" s="741"/>
      <c r="QZL451" s="741"/>
      <c r="QZM451" s="741"/>
      <c r="QZN451" s="741"/>
      <c r="QZO451" s="741"/>
      <c r="QZP451" s="741"/>
      <c r="QZQ451" s="741"/>
      <c r="QZR451" s="741"/>
      <c r="QZS451" s="741"/>
      <c r="QZT451" s="741"/>
      <c r="QZU451" s="741"/>
      <c r="QZV451" s="741"/>
      <c r="QZW451" s="741"/>
      <c r="QZX451" s="741"/>
      <c r="QZY451" s="741"/>
      <c r="QZZ451" s="741"/>
      <c r="RAA451" s="741"/>
      <c r="RAB451" s="741"/>
      <c r="RAC451" s="741"/>
      <c r="RAD451" s="741"/>
      <c r="RAE451" s="741"/>
      <c r="RAF451" s="741"/>
      <c r="RAG451" s="741"/>
      <c r="RAH451" s="741"/>
      <c r="RAI451" s="741"/>
      <c r="RAJ451" s="741"/>
      <c r="RAK451" s="741"/>
      <c r="RAL451" s="741"/>
      <c r="RAM451" s="741"/>
      <c r="RAN451" s="741"/>
      <c r="RAO451" s="741"/>
      <c r="RAP451" s="741"/>
      <c r="RAQ451" s="741"/>
      <c r="RAR451" s="741"/>
      <c r="RAS451" s="741"/>
      <c r="RAT451" s="741"/>
      <c r="RAU451" s="741"/>
      <c r="RAV451" s="741"/>
      <c r="RAW451" s="741"/>
      <c r="RAX451" s="741"/>
      <c r="RAY451" s="741"/>
      <c r="RAZ451" s="741"/>
      <c r="RBA451" s="741"/>
      <c r="RBB451" s="741"/>
      <c r="RBC451" s="741"/>
      <c r="RBD451" s="741"/>
      <c r="RBE451" s="741"/>
      <c r="RBF451" s="741"/>
      <c r="RBG451" s="741"/>
      <c r="RBH451" s="741"/>
      <c r="RBI451" s="741"/>
      <c r="RBJ451" s="741"/>
      <c r="RBK451" s="741"/>
      <c r="RBL451" s="741"/>
      <c r="RBM451" s="741"/>
      <c r="RBN451" s="741"/>
      <c r="RBO451" s="741"/>
      <c r="RBP451" s="741"/>
      <c r="RBQ451" s="741"/>
      <c r="RBR451" s="741"/>
      <c r="RBS451" s="741"/>
      <c r="RBT451" s="741"/>
      <c r="RBU451" s="741"/>
      <c r="RBV451" s="741"/>
      <c r="RBW451" s="741"/>
      <c r="RBX451" s="741"/>
      <c r="RBY451" s="741"/>
      <c r="RBZ451" s="741"/>
      <c r="RCA451" s="741"/>
      <c r="RCB451" s="741"/>
      <c r="RCC451" s="741"/>
      <c r="RCD451" s="741"/>
      <c r="RCE451" s="741"/>
      <c r="RCF451" s="741"/>
      <c r="RCG451" s="741"/>
      <c r="RCH451" s="741"/>
      <c r="RCI451" s="741"/>
      <c r="RCJ451" s="741"/>
      <c r="RCK451" s="741"/>
      <c r="RCL451" s="741"/>
      <c r="RCM451" s="741"/>
      <c r="RCN451" s="741"/>
      <c r="RCO451" s="741"/>
      <c r="RCP451" s="741"/>
      <c r="RCQ451" s="741"/>
      <c r="RCR451" s="741"/>
      <c r="RCS451" s="741"/>
      <c r="RCT451" s="741"/>
      <c r="RCU451" s="741"/>
      <c r="RCV451" s="741"/>
      <c r="RCW451" s="741"/>
      <c r="RCX451" s="741"/>
      <c r="RCY451" s="741"/>
      <c r="RCZ451" s="741"/>
      <c r="RDA451" s="741"/>
      <c r="RDB451" s="741"/>
      <c r="RDC451" s="741"/>
      <c r="RDD451" s="741"/>
      <c r="RDE451" s="741"/>
      <c r="RDF451" s="741"/>
      <c r="RDG451" s="741"/>
      <c r="RDH451" s="741"/>
      <c r="RDI451" s="741"/>
      <c r="RDJ451" s="741"/>
      <c r="RDK451" s="741"/>
      <c r="RDL451" s="741"/>
      <c r="RDM451" s="741"/>
      <c r="RDN451" s="741"/>
      <c r="RDO451" s="741"/>
      <c r="RDP451" s="741"/>
      <c r="RDQ451" s="741"/>
      <c r="RDR451" s="741"/>
      <c r="RDS451" s="741"/>
      <c r="RDT451" s="741"/>
      <c r="RDU451" s="741"/>
      <c r="RDV451" s="741"/>
      <c r="RDW451" s="741"/>
      <c r="RDX451" s="741"/>
      <c r="RDY451" s="741"/>
      <c r="RDZ451" s="741"/>
      <c r="REA451" s="741"/>
      <c r="REB451" s="741"/>
      <c r="REC451" s="741"/>
      <c r="RED451" s="741"/>
      <c r="REE451" s="741"/>
      <c r="REF451" s="741"/>
      <c r="REG451" s="741"/>
      <c r="REH451" s="741"/>
      <c r="REI451" s="741"/>
      <c r="REJ451" s="741"/>
      <c r="REK451" s="741"/>
      <c r="REL451" s="741"/>
      <c r="REM451" s="741"/>
      <c r="REN451" s="741"/>
      <c r="REO451" s="741"/>
      <c r="REP451" s="741"/>
      <c r="REQ451" s="741"/>
      <c r="RER451" s="741"/>
      <c r="RES451" s="741"/>
      <c r="RET451" s="741"/>
      <c r="REU451" s="741"/>
      <c r="REV451" s="741"/>
      <c r="REW451" s="741"/>
      <c r="REX451" s="741"/>
      <c r="REY451" s="741"/>
      <c r="REZ451" s="741"/>
      <c r="RFA451" s="741"/>
      <c r="RFB451" s="741"/>
      <c r="RFC451" s="741"/>
      <c r="RFD451" s="741"/>
      <c r="RFE451" s="741"/>
      <c r="RFF451" s="741"/>
      <c r="RFG451" s="741"/>
      <c r="RFH451" s="741"/>
      <c r="RFI451" s="741"/>
      <c r="RFJ451" s="741"/>
      <c r="RFK451" s="741"/>
      <c r="RFL451" s="741"/>
      <c r="RFM451" s="741"/>
      <c r="RFN451" s="741"/>
      <c r="RFO451" s="741"/>
      <c r="RFP451" s="741"/>
      <c r="RFQ451" s="741"/>
      <c r="RFR451" s="741"/>
      <c r="RFS451" s="741"/>
      <c r="RFT451" s="741"/>
      <c r="RFU451" s="741"/>
      <c r="RFV451" s="741"/>
      <c r="RFW451" s="741"/>
      <c r="RFX451" s="741"/>
      <c r="RFY451" s="741"/>
      <c r="RFZ451" s="741"/>
      <c r="RGA451" s="741"/>
      <c r="RGB451" s="741"/>
      <c r="RGC451" s="741"/>
      <c r="RGD451" s="741"/>
      <c r="RGE451" s="741"/>
      <c r="RGF451" s="741"/>
      <c r="RGG451" s="741"/>
      <c r="RGH451" s="741"/>
      <c r="RGI451" s="741"/>
      <c r="RGJ451" s="741"/>
      <c r="RGK451" s="741"/>
      <c r="RGL451" s="741"/>
      <c r="RGM451" s="741"/>
      <c r="RGN451" s="741"/>
      <c r="RGO451" s="741"/>
      <c r="RGP451" s="741"/>
      <c r="RGQ451" s="741"/>
      <c r="RGR451" s="741"/>
      <c r="RGS451" s="741"/>
      <c r="RGT451" s="741"/>
      <c r="RGU451" s="741"/>
      <c r="RGV451" s="741"/>
      <c r="RGW451" s="741"/>
      <c r="RGX451" s="741"/>
      <c r="RGY451" s="741"/>
      <c r="RGZ451" s="741"/>
      <c r="RHA451" s="741"/>
      <c r="RHB451" s="741"/>
      <c r="RHC451" s="741"/>
      <c r="RHD451" s="741"/>
      <c r="RHE451" s="741"/>
      <c r="RHF451" s="741"/>
      <c r="RHG451" s="741"/>
      <c r="RHH451" s="741"/>
      <c r="RHI451" s="741"/>
      <c r="RHJ451" s="741"/>
      <c r="RHK451" s="741"/>
      <c r="RHL451" s="741"/>
      <c r="RHM451" s="741"/>
      <c r="RHN451" s="741"/>
      <c r="RHO451" s="741"/>
      <c r="RHP451" s="741"/>
      <c r="RHQ451" s="741"/>
      <c r="RHR451" s="741"/>
      <c r="RHS451" s="741"/>
      <c r="RHT451" s="741"/>
      <c r="RHU451" s="741"/>
      <c r="RHV451" s="741"/>
      <c r="RHW451" s="741"/>
      <c r="RHX451" s="741"/>
      <c r="RHY451" s="741"/>
      <c r="RHZ451" s="741"/>
      <c r="RIA451" s="741"/>
      <c r="RIB451" s="741"/>
      <c r="RIC451" s="741"/>
      <c r="RID451" s="741"/>
      <c r="RIE451" s="741"/>
      <c r="RIF451" s="741"/>
      <c r="RIG451" s="741"/>
      <c r="RIH451" s="741"/>
      <c r="RII451" s="741"/>
      <c r="RIJ451" s="741"/>
      <c r="RIK451" s="741"/>
      <c r="RIL451" s="741"/>
      <c r="RIM451" s="741"/>
      <c r="RIN451" s="741"/>
      <c r="RIO451" s="741"/>
      <c r="RIP451" s="741"/>
      <c r="RIQ451" s="741"/>
      <c r="RIR451" s="741"/>
      <c r="RIS451" s="741"/>
      <c r="RIT451" s="741"/>
      <c r="RIU451" s="741"/>
      <c r="RIV451" s="741"/>
      <c r="RIW451" s="741"/>
      <c r="RIX451" s="741"/>
      <c r="RIY451" s="741"/>
      <c r="RIZ451" s="741"/>
      <c r="RJA451" s="741"/>
      <c r="RJB451" s="741"/>
      <c r="RJC451" s="741"/>
      <c r="RJD451" s="741"/>
      <c r="RJE451" s="741"/>
      <c r="RJF451" s="741"/>
      <c r="RJG451" s="741"/>
      <c r="RJH451" s="741"/>
      <c r="RJI451" s="741"/>
      <c r="RJJ451" s="741"/>
      <c r="RJK451" s="741"/>
      <c r="RJL451" s="741"/>
      <c r="RJM451" s="741"/>
      <c r="RJN451" s="741"/>
      <c r="RJO451" s="741"/>
      <c r="RJP451" s="741"/>
      <c r="RJQ451" s="741"/>
      <c r="RJR451" s="741"/>
      <c r="RJS451" s="741"/>
      <c r="RJT451" s="741"/>
      <c r="RJU451" s="741"/>
      <c r="RJV451" s="741"/>
      <c r="RJW451" s="741"/>
      <c r="RJX451" s="741"/>
      <c r="RJY451" s="741"/>
      <c r="RJZ451" s="741"/>
      <c r="RKA451" s="741"/>
      <c r="RKB451" s="741"/>
      <c r="RKC451" s="741"/>
      <c r="RKD451" s="741"/>
      <c r="RKE451" s="741"/>
      <c r="RKF451" s="741"/>
      <c r="RKG451" s="741"/>
      <c r="RKH451" s="741"/>
      <c r="RKI451" s="741"/>
      <c r="RKJ451" s="741"/>
      <c r="RKK451" s="741"/>
      <c r="RKL451" s="741"/>
      <c r="RKM451" s="741"/>
      <c r="RKN451" s="741"/>
      <c r="RKO451" s="741"/>
      <c r="RKP451" s="741"/>
      <c r="RKQ451" s="741"/>
      <c r="RKR451" s="741"/>
      <c r="RKS451" s="741"/>
      <c r="RKT451" s="741"/>
      <c r="RKU451" s="741"/>
      <c r="RKV451" s="741"/>
      <c r="RKW451" s="741"/>
      <c r="RKX451" s="741"/>
      <c r="RKY451" s="741"/>
      <c r="RKZ451" s="741"/>
      <c r="RLA451" s="741"/>
      <c r="RLB451" s="741"/>
      <c r="RLC451" s="741"/>
      <c r="RLD451" s="741"/>
      <c r="RLE451" s="741"/>
      <c r="RLF451" s="741"/>
      <c r="RLG451" s="741"/>
      <c r="RLH451" s="741"/>
      <c r="RLI451" s="741"/>
      <c r="RLJ451" s="741"/>
      <c r="RLK451" s="741"/>
      <c r="RLL451" s="741"/>
      <c r="RLM451" s="741"/>
      <c r="RLN451" s="741"/>
      <c r="RLO451" s="741"/>
      <c r="RLP451" s="741"/>
      <c r="RLQ451" s="741"/>
      <c r="RLR451" s="741"/>
      <c r="RLS451" s="741"/>
      <c r="RLT451" s="741"/>
      <c r="RLU451" s="741"/>
      <c r="RLV451" s="741"/>
      <c r="RLW451" s="741"/>
      <c r="RLX451" s="741"/>
      <c r="RLY451" s="741"/>
      <c r="RLZ451" s="741"/>
      <c r="RMA451" s="741"/>
      <c r="RMB451" s="741"/>
      <c r="RMC451" s="741"/>
      <c r="RMD451" s="741"/>
      <c r="RME451" s="741"/>
      <c r="RMF451" s="741"/>
      <c r="RMG451" s="741"/>
      <c r="RMH451" s="741"/>
      <c r="RMI451" s="741"/>
      <c r="RMJ451" s="741"/>
      <c r="RMK451" s="741"/>
      <c r="RML451" s="741"/>
      <c r="RMM451" s="741"/>
      <c r="RMN451" s="741"/>
      <c r="RMO451" s="741"/>
      <c r="RMP451" s="741"/>
      <c r="RMQ451" s="741"/>
      <c r="RMR451" s="741"/>
      <c r="RMS451" s="741"/>
      <c r="RMT451" s="741"/>
      <c r="RMU451" s="741"/>
      <c r="RMV451" s="741"/>
      <c r="RMW451" s="741"/>
      <c r="RMX451" s="741"/>
      <c r="RMY451" s="741"/>
      <c r="RMZ451" s="741"/>
      <c r="RNA451" s="741"/>
      <c r="RNB451" s="741"/>
      <c r="RNC451" s="741"/>
      <c r="RND451" s="741"/>
      <c r="RNE451" s="741"/>
      <c r="RNF451" s="741"/>
      <c r="RNG451" s="741"/>
      <c r="RNH451" s="741"/>
      <c r="RNI451" s="741"/>
      <c r="RNJ451" s="741"/>
      <c r="RNK451" s="741"/>
      <c r="RNL451" s="741"/>
      <c r="RNM451" s="741"/>
      <c r="RNN451" s="741"/>
      <c r="RNO451" s="741"/>
      <c r="RNP451" s="741"/>
      <c r="RNQ451" s="741"/>
      <c r="RNR451" s="741"/>
      <c r="RNS451" s="741"/>
      <c r="RNT451" s="741"/>
      <c r="RNU451" s="741"/>
      <c r="RNV451" s="741"/>
      <c r="RNW451" s="741"/>
      <c r="RNX451" s="741"/>
      <c r="RNY451" s="741"/>
      <c r="RNZ451" s="741"/>
      <c r="ROA451" s="741"/>
      <c r="ROB451" s="741"/>
      <c r="ROC451" s="741"/>
      <c r="ROD451" s="741"/>
      <c r="ROE451" s="741"/>
      <c r="ROF451" s="741"/>
      <c r="ROG451" s="741"/>
      <c r="ROH451" s="741"/>
      <c r="ROI451" s="741"/>
      <c r="ROJ451" s="741"/>
      <c r="ROK451" s="741"/>
      <c r="ROL451" s="741"/>
      <c r="ROM451" s="741"/>
      <c r="RON451" s="741"/>
      <c r="ROO451" s="741"/>
      <c r="ROP451" s="741"/>
      <c r="ROQ451" s="741"/>
      <c r="ROR451" s="741"/>
      <c r="ROS451" s="741"/>
      <c r="ROT451" s="741"/>
      <c r="ROU451" s="741"/>
      <c r="ROV451" s="741"/>
      <c r="ROW451" s="741"/>
      <c r="ROX451" s="741"/>
      <c r="ROY451" s="741"/>
      <c r="ROZ451" s="741"/>
      <c r="RPA451" s="741"/>
      <c r="RPB451" s="741"/>
      <c r="RPC451" s="741"/>
      <c r="RPD451" s="741"/>
      <c r="RPE451" s="741"/>
      <c r="RPF451" s="741"/>
      <c r="RPG451" s="741"/>
      <c r="RPH451" s="741"/>
      <c r="RPI451" s="741"/>
      <c r="RPJ451" s="741"/>
      <c r="RPK451" s="741"/>
      <c r="RPL451" s="741"/>
      <c r="RPM451" s="741"/>
      <c r="RPN451" s="741"/>
      <c r="RPO451" s="741"/>
      <c r="RPP451" s="741"/>
      <c r="RPQ451" s="741"/>
      <c r="RPR451" s="741"/>
      <c r="RPS451" s="741"/>
      <c r="RPT451" s="741"/>
      <c r="RPU451" s="741"/>
      <c r="RPV451" s="741"/>
      <c r="RPW451" s="741"/>
      <c r="RPX451" s="741"/>
      <c r="RPY451" s="741"/>
      <c r="RPZ451" s="741"/>
      <c r="RQA451" s="741"/>
      <c r="RQB451" s="741"/>
      <c r="RQC451" s="741"/>
      <c r="RQD451" s="741"/>
      <c r="RQE451" s="741"/>
      <c r="RQF451" s="741"/>
      <c r="RQG451" s="741"/>
      <c r="RQH451" s="741"/>
      <c r="RQI451" s="741"/>
      <c r="RQJ451" s="741"/>
      <c r="RQK451" s="741"/>
      <c r="RQL451" s="741"/>
      <c r="RQM451" s="741"/>
      <c r="RQN451" s="741"/>
      <c r="RQO451" s="741"/>
      <c r="RQP451" s="741"/>
      <c r="RQQ451" s="741"/>
      <c r="RQR451" s="741"/>
      <c r="RQS451" s="741"/>
      <c r="RQT451" s="741"/>
      <c r="RQU451" s="741"/>
      <c r="RQV451" s="741"/>
      <c r="RQW451" s="741"/>
      <c r="RQX451" s="741"/>
      <c r="RQY451" s="741"/>
      <c r="RQZ451" s="741"/>
      <c r="RRA451" s="741"/>
      <c r="RRB451" s="741"/>
      <c r="RRC451" s="741"/>
      <c r="RRD451" s="741"/>
      <c r="RRE451" s="741"/>
      <c r="RRF451" s="741"/>
      <c r="RRG451" s="741"/>
      <c r="RRH451" s="741"/>
      <c r="RRI451" s="741"/>
      <c r="RRJ451" s="741"/>
      <c r="RRK451" s="741"/>
      <c r="RRL451" s="741"/>
      <c r="RRM451" s="741"/>
      <c r="RRN451" s="741"/>
      <c r="RRO451" s="741"/>
      <c r="RRP451" s="741"/>
      <c r="RRQ451" s="741"/>
      <c r="RRR451" s="741"/>
      <c r="RRS451" s="741"/>
      <c r="RRT451" s="741"/>
      <c r="RRU451" s="741"/>
      <c r="RRV451" s="741"/>
      <c r="RRW451" s="741"/>
      <c r="RRX451" s="741"/>
      <c r="RRY451" s="741"/>
      <c r="RRZ451" s="741"/>
      <c r="RSA451" s="741"/>
      <c r="RSB451" s="741"/>
      <c r="RSC451" s="741"/>
      <c r="RSD451" s="741"/>
      <c r="RSE451" s="741"/>
      <c r="RSF451" s="741"/>
      <c r="RSG451" s="741"/>
      <c r="RSH451" s="741"/>
      <c r="RSI451" s="741"/>
      <c r="RSJ451" s="741"/>
      <c r="RSK451" s="741"/>
      <c r="RSL451" s="741"/>
      <c r="RSM451" s="741"/>
      <c r="RSN451" s="741"/>
      <c r="RSO451" s="741"/>
      <c r="RSP451" s="741"/>
      <c r="RSQ451" s="741"/>
      <c r="RSR451" s="741"/>
      <c r="RSS451" s="741"/>
      <c r="RST451" s="741"/>
      <c r="RSU451" s="741"/>
      <c r="RSV451" s="741"/>
      <c r="RSW451" s="741"/>
      <c r="RSX451" s="741"/>
      <c r="RSY451" s="741"/>
      <c r="RSZ451" s="741"/>
      <c r="RTA451" s="741"/>
      <c r="RTB451" s="741"/>
      <c r="RTC451" s="741"/>
      <c r="RTD451" s="741"/>
      <c r="RTE451" s="741"/>
      <c r="RTF451" s="741"/>
      <c r="RTG451" s="741"/>
      <c r="RTH451" s="741"/>
      <c r="RTI451" s="741"/>
      <c r="RTJ451" s="741"/>
      <c r="RTK451" s="741"/>
      <c r="RTL451" s="741"/>
      <c r="RTM451" s="741"/>
      <c r="RTN451" s="741"/>
      <c r="RTO451" s="741"/>
      <c r="RTP451" s="741"/>
      <c r="RTQ451" s="741"/>
      <c r="RTR451" s="741"/>
      <c r="RTS451" s="741"/>
      <c r="RTT451" s="741"/>
      <c r="RTU451" s="741"/>
      <c r="RTV451" s="741"/>
      <c r="RTW451" s="741"/>
      <c r="RTX451" s="741"/>
      <c r="RTY451" s="741"/>
      <c r="RTZ451" s="741"/>
      <c r="RUA451" s="741"/>
      <c r="RUB451" s="741"/>
      <c r="RUC451" s="741"/>
      <c r="RUD451" s="741"/>
      <c r="RUE451" s="741"/>
      <c r="RUF451" s="741"/>
      <c r="RUG451" s="741"/>
      <c r="RUH451" s="741"/>
      <c r="RUI451" s="741"/>
      <c r="RUJ451" s="741"/>
      <c r="RUK451" s="741"/>
      <c r="RUL451" s="741"/>
      <c r="RUM451" s="741"/>
      <c r="RUN451" s="741"/>
      <c r="RUO451" s="741"/>
      <c r="RUP451" s="741"/>
      <c r="RUQ451" s="741"/>
      <c r="RUR451" s="741"/>
      <c r="RUS451" s="741"/>
      <c r="RUT451" s="741"/>
      <c r="RUU451" s="741"/>
      <c r="RUV451" s="741"/>
      <c r="RUW451" s="741"/>
      <c r="RUX451" s="741"/>
      <c r="RUY451" s="741"/>
      <c r="RUZ451" s="741"/>
      <c r="RVA451" s="741"/>
      <c r="RVB451" s="741"/>
      <c r="RVC451" s="741"/>
      <c r="RVD451" s="741"/>
      <c r="RVE451" s="741"/>
      <c r="RVF451" s="741"/>
      <c r="RVG451" s="741"/>
      <c r="RVH451" s="741"/>
      <c r="RVI451" s="741"/>
      <c r="RVJ451" s="741"/>
      <c r="RVK451" s="741"/>
      <c r="RVL451" s="741"/>
      <c r="RVM451" s="741"/>
      <c r="RVN451" s="741"/>
      <c r="RVO451" s="741"/>
      <c r="RVP451" s="741"/>
      <c r="RVQ451" s="741"/>
      <c r="RVR451" s="741"/>
      <c r="RVS451" s="741"/>
      <c r="RVT451" s="741"/>
      <c r="RVU451" s="741"/>
      <c r="RVV451" s="741"/>
      <c r="RVW451" s="741"/>
      <c r="RVX451" s="741"/>
      <c r="RVY451" s="741"/>
      <c r="RVZ451" s="741"/>
      <c r="RWA451" s="741"/>
      <c r="RWB451" s="741"/>
      <c r="RWC451" s="741"/>
      <c r="RWD451" s="741"/>
      <c r="RWE451" s="741"/>
      <c r="RWF451" s="741"/>
      <c r="RWG451" s="741"/>
      <c r="RWH451" s="741"/>
      <c r="RWI451" s="741"/>
      <c r="RWJ451" s="741"/>
      <c r="RWK451" s="741"/>
      <c r="RWL451" s="741"/>
      <c r="RWM451" s="741"/>
      <c r="RWN451" s="741"/>
      <c r="RWO451" s="741"/>
      <c r="RWP451" s="741"/>
      <c r="RWQ451" s="741"/>
      <c r="RWR451" s="741"/>
      <c r="RWS451" s="741"/>
      <c r="RWT451" s="741"/>
      <c r="RWU451" s="741"/>
      <c r="RWV451" s="741"/>
      <c r="RWW451" s="741"/>
      <c r="RWX451" s="741"/>
      <c r="RWY451" s="741"/>
      <c r="RWZ451" s="741"/>
      <c r="RXA451" s="741"/>
      <c r="RXB451" s="741"/>
      <c r="RXC451" s="741"/>
      <c r="RXD451" s="741"/>
      <c r="RXE451" s="741"/>
      <c r="RXF451" s="741"/>
      <c r="RXG451" s="741"/>
      <c r="RXH451" s="741"/>
      <c r="RXI451" s="741"/>
      <c r="RXJ451" s="741"/>
      <c r="RXK451" s="741"/>
      <c r="RXL451" s="741"/>
      <c r="RXM451" s="741"/>
      <c r="RXN451" s="741"/>
      <c r="RXO451" s="741"/>
      <c r="RXP451" s="741"/>
      <c r="RXQ451" s="741"/>
      <c r="RXR451" s="741"/>
      <c r="RXS451" s="741"/>
      <c r="RXT451" s="741"/>
      <c r="RXU451" s="741"/>
      <c r="RXV451" s="741"/>
      <c r="RXW451" s="741"/>
      <c r="RXX451" s="741"/>
      <c r="RXY451" s="741"/>
      <c r="RXZ451" s="741"/>
      <c r="RYA451" s="741"/>
      <c r="RYB451" s="741"/>
      <c r="RYC451" s="741"/>
      <c r="RYD451" s="741"/>
      <c r="RYE451" s="741"/>
      <c r="RYF451" s="741"/>
      <c r="RYG451" s="741"/>
      <c r="RYH451" s="741"/>
      <c r="RYI451" s="741"/>
      <c r="RYJ451" s="741"/>
      <c r="RYK451" s="741"/>
      <c r="RYL451" s="741"/>
      <c r="RYM451" s="741"/>
      <c r="RYN451" s="741"/>
      <c r="RYO451" s="741"/>
      <c r="RYP451" s="741"/>
      <c r="RYQ451" s="741"/>
      <c r="RYR451" s="741"/>
      <c r="RYS451" s="741"/>
      <c r="RYT451" s="741"/>
      <c r="RYU451" s="741"/>
      <c r="RYV451" s="741"/>
      <c r="RYW451" s="741"/>
      <c r="RYX451" s="741"/>
      <c r="RYY451" s="741"/>
      <c r="RYZ451" s="741"/>
      <c r="RZA451" s="741"/>
      <c r="RZB451" s="741"/>
      <c r="RZC451" s="741"/>
      <c r="RZD451" s="741"/>
      <c r="RZE451" s="741"/>
      <c r="RZF451" s="741"/>
      <c r="RZG451" s="741"/>
      <c r="RZH451" s="741"/>
      <c r="RZI451" s="741"/>
      <c r="RZJ451" s="741"/>
      <c r="RZK451" s="741"/>
      <c r="RZL451" s="741"/>
      <c r="RZM451" s="741"/>
      <c r="RZN451" s="741"/>
      <c r="RZO451" s="741"/>
      <c r="RZP451" s="741"/>
      <c r="RZQ451" s="741"/>
      <c r="RZR451" s="741"/>
      <c r="RZS451" s="741"/>
      <c r="RZT451" s="741"/>
      <c r="RZU451" s="741"/>
      <c r="RZV451" s="741"/>
      <c r="RZW451" s="741"/>
      <c r="RZX451" s="741"/>
      <c r="RZY451" s="741"/>
      <c r="RZZ451" s="741"/>
      <c r="SAA451" s="741"/>
      <c r="SAB451" s="741"/>
      <c r="SAC451" s="741"/>
      <c r="SAD451" s="741"/>
      <c r="SAE451" s="741"/>
      <c r="SAF451" s="741"/>
      <c r="SAG451" s="741"/>
      <c r="SAH451" s="741"/>
      <c r="SAI451" s="741"/>
      <c r="SAJ451" s="741"/>
      <c r="SAK451" s="741"/>
      <c r="SAL451" s="741"/>
      <c r="SAM451" s="741"/>
      <c r="SAN451" s="741"/>
      <c r="SAO451" s="741"/>
      <c r="SAP451" s="741"/>
      <c r="SAQ451" s="741"/>
      <c r="SAR451" s="741"/>
      <c r="SAS451" s="741"/>
      <c r="SAT451" s="741"/>
      <c r="SAU451" s="741"/>
      <c r="SAV451" s="741"/>
      <c r="SAW451" s="741"/>
      <c r="SAX451" s="741"/>
      <c r="SAY451" s="741"/>
      <c r="SAZ451" s="741"/>
      <c r="SBA451" s="741"/>
      <c r="SBB451" s="741"/>
      <c r="SBC451" s="741"/>
      <c r="SBD451" s="741"/>
      <c r="SBE451" s="741"/>
      <c r="SBF451" s="741"/>
      <c r="SBG451" s="741"/>
      <c r="SBH451" s="741"/>
      <c r="SBI451" s="741"/>
      <c r="SBJ451" s="741"/>
      <c r="SBK451" s="741"/>
      <c r="SBL451" s="741"/>
      <c r="SBM451" s="741"/>
      <c r="SBN451" s="741"/>
      <c r="SBO451" s="741"/>
      <c r="SBP451" s="741"/>
      <c r="SBQ451" s="741"/>
      <c r="SBR451" s="741"/>
      <c r="SBS451" s="741"/>
      <c r="SBT451" s="741"/>
      <c r="SBU451" s="741"/>
      <c r="SBV451" s="741"/>
      <c r="SBW451" s="741"/>
      <c r="SBX451" s="741"/>
      <c r="SBY451" s="741"/>
      <c r="SBZ451" s="741"/>
      <c r="SCA451" s="741"/>
      <c r="SCB451" s="741"/>
      <c r="SCC451" s="741"/>
      <c r="SCD451" s="741"/>
      <c r="SCE451" s="741"/>
      <c r="SCF451" s="741"/>
      <c r="SCG451" s="741"/>
      <c r="SCH451" s="741"/>
      <c r="SCI451" s="741"/>
      <c r="SCJ451" s="741"/>
      <c r="SCK451" s="741"/>
      <c r="SCL451" s="741"/>
      <c r="SCM451" s="741"/>
      <c r="SCN451" s="741"/>
      <c r="SCO451" s="741"/>
      <c r="SCP451" s="741"/>
      <c r="SCQ451" s="741"/>
      <c r="SCR451" s="741"/>
      <c r="SCS451" s="741"/>
      <c r="SCT451" s="741"/>
      <c r="SCU451" s="741"/>
      <c r="SCV451" s="741"/>
      <c r="SCW451" s="741"/>
      <c r="SCX451" s="741"/>
      <c r="SCY451" s="741"/>
      <c r="SCZ451" s="741"/>
      <c r="SDA451" s="741"/>
      <c r="SDB451" s="741"/>
      <c r="SDC451" s="741"/>
      <c r="SDD451" s="741"/>
      <c r="SDE451" s="741"/>
      <c r="SDF451" s="741"/>
      <c r="SDG451" s="741"/>
      <c r="SDH451" s="741"/>
      <c r="SDI451" s="741"/>
      <c r="SDJ451" s="741"/>
      <c r="SDK451" s="741"/>
      <c r="SDL451" s="741"/>
      <c r="SDM451" s="741"/>
      <c r="SDN451" s="741"/>
      <c r="SDO451" s="741"/>
      <c r="SDP451" s="741"/>
      <c r="SDQ451" s="741"/>
      <c r="SDR451" s="741"/>
      <c r="SDS451" s="741"/>
      <c r="SDT451" s="741"/>
      <c r="SDU451" s="741"/>
      <c r="SDV451" s="741"/>
      <c r="SDW451" s="741"/>
      <c r="SDX451" s="741"/>
      <c r="SDY451" s="741"/>
      <c r="SDZ451" s="741"/>
      <c r="SEA451" s="741"/>
      <c r="SEB451" s="741"/>
      <c r="SEC451" s="741"/>
      <c r="SED451" s="741"/>
      <c r="SEE451" s="741"/>
      <c r="SEF451" s="741"/>
      <c r="SEG451" s="741"/>
      <c r="SEH451" s="741"/>
      <c r="SEI451" s="741"/>
      <c r="SEJ451" s="741"/>
      <c r="SEK451" s="741"/>
      <c r="SEL451" s="741"/>
      <c r="SEM451" s="741"/>
      <c r="SEN451" s="741"/>
      <c r="SEO451" s="741"/>
      <c r="SEP451" s="741"/>
      <c r="SEQ451" s="741"/>
      <c r="SER451" s="741"/>
      <c r="SES451" s="741"/>
      <c r="SET451" s="741"/>
      <c r="SEU451" s="741"/>
      <c r="SEV451" s="741"/>
      <c r="SEW451" s="741"/>
      <c r="SEX451" s="741"/>
      <c r="SEY451" s="741"/>
      <c r="SEZ451" s="741"/>
      <c r="SFA451" s="741"/>
      <c r="SFB451" s="741"/>
      <c r="SFC451" s="741"/>
      <c r="SFD451" s="741"/>
      <c r="SFE451" s="741"/>
      <c r="SFF451" s="741"/>
      <c r="SFG451" s="741"/>
      <c r="SFH451" s="741"/>
      <c r="SFI451" s="741"/>
      <c r="SFJ451" s="741"/>
      <c r="SFK451" s="741"/>
      <c r="SFL451" s="741"/>
      <c r="SFM451" s="741"/>
      <c r="SFN451" s="741"/>
      <c r="SFO451" s="741"/>
      <c r="SFP451" s="741"/>
      <c r="SFQ451" s="741"/>
      <c r="SFR451" s="741"/>
      <c r="SFS451" s="741"/>
      <c r="SFT451" s="741"/>
      <c r="SFU451" s="741"/>
      <c r="SFV451" s="741"/>
      <c r="SFW451" s="741"/>
      <c r="SFX451" s="741"/>
      <c r="SFY451" s="741"/>
      <c r="SFZ451" s="741"/>
      <c r="SGA451" s="741"/>
      <c r="SGB451" s="741"/>
      <c r="SGC451" s="741"/>
      <c r="SGD451" s="741"/>
      <c r="SGE451" s="741"/>
      <c r="SGF451" s="741"/>
      <c r="SGG451" s="741"/>
      <c r="SGH451" s="741"/>
      <c r="SGI451" s="741"/>
      <c r="SGJ451" s="741"/>
      <c r="SGK451" s="741"/>
      <c r="SGL451" s="741"/>
      <c r="SGM451" s="741"/>
      <c r="SGN451" s="741"/>
      <c r="SGO451" s="741"/>
      <c r="SGP451" s="741"/>
      <c r="SGQ451" s="741"/>
      <c r="SGR451" s="741"/>
      <c r="SGS451" s="741"/>
      <c r="SGT451" s="741"/>
      <c r="SGU451" s="741"/>
      <c r="SGV451" s="741"/>
      <c r="SGW451" s="741"/>
      <c r="SGX451" s="741"/>
      <c r="SGY451" s="741"/>
      <c r="SGZ451" s="741"/>
      <c r="SHA451" s="741"/>
      <c r="SHB451" s="741"/>
      <c r="SHC451" s="741"/>
      <c r="SHD451" s="741"/>
      <c r="SHE451" s="741"/>
      <c r="SHF451" s="741"/>
      <c r="SHG451" s="741"/>
      <c r="SHH451" s="741"/>
      <c r="SHI451" s="741"/>
      <c r="SHJ451" s="741"/>
      <c r="SHK451" s="741"/>
      <c r="SHL451" s="741"/>
      <c r="SHM451" s="741"/>
      <c r="SHN451" s="741"/>
      <c r="SHO451" s="741"/>
      <c r="SHP451" s="741"/>
      <c r="SHQ451" s="741"/>
      <c r="SHR451" s="741"/>
      <c r="SHS451" s="741"/>
      <c r="SHT451" s="741"/>
      <c r="SHU451" s="741"/>
      <c r="SHV451" s="741"/>
      <c r="SHW451" s="741"/>
      <c r="SHX451" s="741"/>
      <c r="SHY451" s="741"/>
      <c r="SHZ451" s="741"/>
      <c r="SIA451" s="741"/>
      <c r="SIB451" s="741"/>
      <c r="SIC451" s="741"/>
      <c r="SID451" s="741"/>
      <c r="SIE451" s="741"/>
      <c r="SIF451" s="741"/>
      <c r="SIG451" s="741"/>
      <c r="SIH451" s="741"/>
      <c r="SII451" s="741"/>
      <c r="SIJ451" s="741"/>
      <c r="SIK451" s="741"/>
      <c r="SIL451" s="741"/>
      <c r="SIM451" s="741"/>
      <c r="SIN451" s="741"/>
      <c r="SIO451" s="741"/>
      <c r="SIP451" s="741"/>
      <c r="SIQ451" s="741"/>
      <c r="SIR451" s="741"/>
      <c r="SIS451" s="741"/>
      <c r="SIT451" s="741"/>
      <c r="SIU451" s="741"/>
      <c r="SIV451" s="741"/>
      <c r="SIW451" s="741"/>
      <c r="SIX451" s="741"/>
      <c r="SIY451" s="741"/>
      <c r="SIZ451" s="741"/>
      <c r="SJA451" s="741"/>
      <c r="SJB451" s="741"/>
      <c r="SJC451" s="741"/>
      <c r="SJD451" s="741"/>
      <c r="SJE451" s="741"/>
      <c r="SJF451" s="741"/>
      <c r="SJG451" s="741"/>
      <c r="SJH451" s="741"/>
      <c r="SJI451" s="741"/>
      <c r="SJJ451" s="741"/>
      <c r="SJK451" s="741"/>
      <c r="SJL451" s="741"/>
      <c r="SJM451" s="741"/>
      <c r="SJN451" s="741"/>
      <c r="SJO451" s="741"/>
      <c r="SJP451" s="741"/>
      <c r="SJQ451" s="741"/>
      <c r="SJR451" s="741"/>
      <c r="SJS451" s="741"/>
      <c r="SJT451" s="741"/>
      <c r="SJU451" s="741"/>
      <c r="SJV451" s="741"/>
      <c r="SJW451" s="741"/>
      <c r="SJX451" s="741"/>
      <c r="SJY451" s="741"/>
      <c r="SJZ451" s="741"/>
      <c r="SKA451" s="741"/>
      <c r="SKB451" s="741"/>
      <c r="SKC451" s="741"/>
      <c r="SKD451" s="741"/>
      <c r="SKE451" s="741"/>
      <c r="SKF451" s="741"/>
      <c r="SKG451" s="741"/>
      <c r="SKH451" s="741"/>
      <c r="SKI451" s="741"/>
      <c r="SKJ451" s="741"/>
      <c r="SKK451" s="741"/>
      <c r="SKL451" s="741"/>
      <c r="SKM451" s="741"/>
      <c r="SKN451" s="741"/>
      <c r="SKO451" s="741"/>
      <c r="SKP451" s="741"/>
      <c r="SKQ451" s="741"/>
      <c r="SKR451" s="741"/>
      <c r="SKS451" s="741"/>
      <c r="SKT451" s="741"/>
      <c r="SKU451" s="741"/>
      <c r="SKV451" s="741"/>
      <c r="SKW451" s="741"/>
      <c r="SKX451" s="741"/>
      <c r="SKY451" s="741"/>
      <c r="SKZ451" s="741"/>
      <c r="SLA451" s="741"/>
      <c r="SLB451" s="741"/>
      <c r="SLC451" s="741"/>
      <c r="SLD451" s="741"/>
      <c r="SLE451" s="741"/>
      <c r="SLF451" s="741"/>
      <c r="SLG451" s="741"/>
      <c r="SLH451" s="741"/>
      <c r="SLI451" s="741"/>
      <c r="SLJ451" s="741"/>
      <c r="SLK451" s="741"/>
      <c r="SLL451" s="741"/>
      <c r="SLM451" s="741"/>
      <c r="SLN451" s="741"/>
      <c r="SLO451" s="741"/>
      <c r="SLP451" s="741"/>
      <c r="SLQ451" s="741"/>
      <c r="SLR451" s="741"/>
      <c r="SLS451" s="741"/>
      <c r="SLT451" s="741"/>
      <c r="SLU451" s="741"/>
      <c r="SLV451" s="741"/>
      <c r="SLW451" s="741"/>
      <c r="SLX451" s="741"/>
      <c r="SLY451" s="741"/>
      <c r="SLZ451" s="741"/>
      <c r="SMA451" s="741"/>
      <c r="SMB451" s="741"/>
      <c r="SMC451" s="741"/>
      <c r="SMD451" s="741"/>
      <c r="SME451" s="741"/>
      <c r="SMF451" s="741"/>
      <c r="SMG451" s="741"/>
      <c r="SMH451" s="741"/>
      <c r="SMI451" s="741"/>
      <c r="SMJ451" s="741"/>
      <c r="SMK451" s="741"/>
      <c r="SML451" s="741"/>
      <c r="SMM451" s="741"/>
      <c r="SMN451" s="741"/>
      <c r="SMO451" s="741"/>
      <c r="SMP451" s="741"/>
      <c r="SMQ451" s="741"/>
      <c r="SMR451" s="741"/>
      <c r="SMS451" s="741"/>
      <c r="SMT451" s="741"/>
      <c r="SMU451" s="741"/>
      <c r="SMV451" s="741"/>
      <c r="SMW451" s="741"/>
      <c r="SMX451" s="741"/>
      <c r="SMY451" s="741"/>
      <c r="SMZ451" s="741"/>
      <c r="SNA451" s="741"/>
      <c r="SNB451" s="741"/>
      <c r="SNC451" s="741"/>
      <c r="SND451" s="741"/>
      <c r="SNE451" s="741"/>
      <c r="SNF451" s="741"/>
      <c r="SNG451" s="741"/>
      <c r="SNH451" s="741"/>
      <c r="SNI451" s="741"/>
      <c r="SNJ451" s="741"/>
      <c r="SNK451" s="741"/>
      <c r="SNL451" s="741"/>
      <c r="SNM451" s="741"/>
      <c r="SNN451" s="741"/>
      <c r="SNO451" s="741"/>
      <c r="SNP451" s="741"/>
      <c r="SNQ451" s="741"/>
      <c r="SNR451" s="741"/>
      <c r="SNS451" s="741"/>
      <c r="SNT451" s="741"/>
      <c r="SNU451" s="741"/>
      <c r="SNV451" s="741"/>
      <c r="SNW451" s="741"/>
      <c r="SNX451" s="741"/>
      <c r="SNY451" s="741"/>
      <c r="SNZ451" s="741"/>
      <c r="SOA451" s="741"/>
      <c r="SOB451" s="741"/>
      <c r="SOC451" s="741"/>
      <c r="SOD451" s="741"/>
      <c r="SOE451" s="741"/>
      <c r="SOF451" s="741"/>
      <c r="SOG451" s="741"/>
      <c r="SOH451" s="741"/>
      <c r="SOI451" s="741"/>
      <c r="SOJ451" s="741"/>
      <c r="SOK451" s="741"/>
      <c r="SOL451" s="741"/>
      <c r="SOM451" s="741"/>
      <c r="SON451" s="741"/>
      <c r="SOO451" s="741"/>
      <c r="SOP451" s="741"/>
      <c r="SOQ451" s="741"/>
      <c r="SOR451" s="741"/>
      <c r="SOS451" s="741"/>
      <c r="SOT451" s="741"/>
      <c r="SOU451" s="741"/>
      <c r="SOV451" s="741"/>
      <c r="SOW451" s="741"/>
      <c r="SOX451" s="741"/>
      <c r="SOY451" s="741"/>
      <c r="SOZ451" s="741"/>
      <c r="SPA451" s="741"/>
      <c r="SPB451" s="741"/>
      <c r="SPC451" s="741"/>
      <c r="SPD451" s="741"/>
      <c r="SPE451" s="741"/>
      <c r="SPF451" s="741"/>
      <c r="SPG451" s="741"/>
      <c r="SPH451" s="741"/>
      <c r="SPI451" s="741"/>
      <c r="SPJ451" s="741"/>
      <c r="SPK451" s="741"/>
      <c r="SPL451" s="741"/>
      <c r="SPM451" s="741"/>
      <c r="SPN451" s="741"/>
      <c r="SPO451" s="741"/>
      <c r="SPP451" s="741"/>
      <c r="SPQ451" s="741"/>
      <c r="SPR451" s="741"/>
      <c r="SPS451" s="741"/>
      <c r="SPT451" s="741"/>
      <c r="SPU451" s="741"/>
      <c r="SPV451" s="741"/>
      <c r="SPW451" s="741"/>
      <c r="SPX451" s="741"/>
      <c r="SPY451" s="741"/>
      <c r="SPZ451" s="741"/>
      <c r="SQA451" s="741"/>
      <c r="SQB451" s="741"/>
      <c r="SQC451" s="741"/>
      <c r="SQD451" s="741"/>
      <c r="SQE451" s="741"/>
      <c r="SQF451" s="741"/>
      <c r="SQG451" s="741"/>
      <c r="SQH451" s="741"/>
      <c r="SQI451" s="741"/>
      <c r="SQJ451" s="741"/>
      <c r="SQK451" s="741"/>
      <c r="SQL451" s="741"/>
      <c r="SQM451" s="741"/>
      <c r="SQN451" s="741"/>
      <c r="SQO451" s="741"/>
      <c r="SQP451" s="741"/>
      <c r="SQQ451" s="741"/>
      <c r="SQR451" s="741"/>
      <c r="SQS451" s="741"/>
      <c r="SQT451" s="741"/>
      <c r="SQU451" s="741"/>
      <c r="SQV451" s="741"/>
      <c r="SQW451" s="741"/>
      <c r="SQX451" s="741"/>
      <c r="SQY451" s="741"/>
      <c r="SQZ451" s="741"/>
      <c r="SRA451" s="741"/>
      <c r="SRB451" s="741"/>
      <c r="SRC451" s="741"/>
      <c r="SRD451" s="741"/>
      <c r="SRE451" s="741"/>
      <c r="SRF451" s="741"/>
      <c r="SRG451" s="741"/>
      <c r="SRH451" s="741"/>
      <c r="SRI451" s="741"/>
      <c r="SRJ451" s="741"/>
      <c r="SRK451" s="741"/>
      <c r="SRL451" s="741"/>
      <c r="SRM451" s="741"/>
      <c r="SRN451" s="741"/>
      <c r="SRO451" s="741"/>
      <c r="SRP451" s="741"/>
      <c r="SRQ451" s="741"/>
      <c r="SRR451" s="741"/>
      <c r="SRS451" s="741"/>
      <c r="SRT451" s="741"/>
      <c r="SRU451" s="741"/>
      <c r="SRV451" s="741"/>
      <c r="SRW451" s="741"/>
      <c r="SRX451" s="741"/>
      <c r="SRY451" s="741"/>
      <c r="SRZ451" s="741"/>
      <c r="SSA451" s="741"/>
      <c r="SSB451" s="741"/>
      <c r="SSC451" s="741"/>
      <c r="SSD451" s="741"/>
      <c r="SSE451" s="741"/>
      <c r="SSF451" s="741"/>
      <c r="SSG451" s="741"/>
      <c r="SSH451" s="741"/>
      <c r="SSI451" s="741"/>
      <c r="SSJ451" s="741"/>
      <c r="SSK451" s="741"/>
      <c r="SSL451" s="741"/>
      <c r="SSM451" s="741"/>
      <c r="SSN451" s="741"/>
      <c r="SSO451" s="741"/>
      <c r="SSP451" s="741"/>
      <c r="SSQ451" s="741"/>
      <c r="SSR451" s="741"/>
      <c r="SSS451" s="741"/>
      <c r="SST451" s="741"/>
      <c r="SSU451" s="741"/>
      <c r="SSV451" s="741"/>
      <c r="SSW451" s="741"/>
      <c r="SSX451" s="741"/>
      <c r="SSY451" s="741"/>
      <c r="SSZ451" s="741"/>
      <c r="STA451" s="741"/>
      <c r="STB451" s="741"/>
      <c r="STC451" s="741"/>
      <c r="STD451" s="741"/>
      <c r="STE451" s="741"/>
      <c r="STF451" s="741"/>
      <c r="STG451" s="741"/>
      <c r="STH451" s="741"/>
      <c r="STI451" s="741"/>
      <c r="STJ451" s="741"/>
      <c r="STK451" s="741"/>
      <c r="STL451" s="741"/>
      <c r="STM451" s="741"/>
      <c r="STN451" s="741"/>
      <c r="STO451" s="741"/>
      <c r="STP451" s="741"/>
      <c r="STQ451" s="741"/>
      <c r="STR451" s="741"/>
      <c r="STS451" s="741"/>
      <c r="STT451" s="741"/>
      <c r="STU451" s="741"/>
      <c r="STV451" s="741"/>
      <c r="STW451" s="741"/>
      <c r="STX451" s="741"/>
      <c r="STY451" s="741"/>
      <c r="STZ451" s="741"/>
      <c r="SUA451" s="741"/>
      <c r="SUB451" s="741"/>
      <c r="SUC451" s="741"/>
      <c r="SUD451" s="741"/>
      <c r="SUE451" s="741"/>
      <c r="SUF451" s="741"/>
      <c r="SUG451" s="741"/>
      <c r="SUH451" s="741"/>
      <c r="SUI451" s="741"/>
      <c r="SUJ451" s="741"/>
      <c r="SUK451" s="741"/>
      <c r="SUL451" s="741"/>
      <c r="SUM451" s="741"/>
      <c r="SUN451" s="741"/>
      <c r="SUO451" s="741"/>
      <c r="SUP451" s="741"/>
      <c r="SUQ451" s="741"/>
      <c r="SUR451" s="741"/>
      <c r="SUS451" s="741"/>
      <c r="SUT451" s="741"/>
      <c r="SUU451" s="741"/>
      <c r="SUV451" s="741"/>
      <c r="SUW451" s="741"/>
      <c r="SUX451" s="741"/>
      <c r="SUY451" s="741"/>
      <c r="SUZ451" s="741"/>
      <c r="SVA451" s="741"/>
      <c r="SVB451" s="741"/>
      <c r="SVC451" s="741"/>
      <c r="SVD451" s="741"/>
      <c r="SVE451" s="741"/>
      <c r="SVF451" s="741"/>
      <c r="SVG451" s="741"/>
      <c r="SVH451" s="741"/>
      <c r="SVI451" s="741"/>
      <c r="SVJ451" s="741"/>
      <c r="SVK451" s="741"/>
      <c r="SVL451" s="741"/>
      <c r="SVM451" s="741"/>
      <c r="SVN451" s="741"/>
      <c r="SVO451" s="741"/>
      <c r="SVP451" s="741"/>
      <c r="SVQ451" s="741"/>
      <c r="SVR451" s="741"/>
      <c r="SVS451" s="741"/>
      <c r="SVT451" s="741"/>
      <c r="SVU451" s="741"/>
      <c r="SVV451" s="741"/>
      <c r="SVW451" s="741"/>
      <c r="SVX451" s="741"/>
      <c r="SVY451" s="741"/>
      <c r="SVZ451" s="741"/>
      <c r="SWA451" s="741"/>
      <c r="SWB451" s="741"/>
      <c r="SWC451" s="741"/>
      <c r="SWD451" s="741"/>
      <c r="SWE451" s="741"/>
      <c r="SWF451" s="741"/>
      <c r="SWG451" s="741"/>
      <c r="SWH451" s="741"/>
      <c r="SWI451" s="741"/>
      <c r="SWJ451" s="741"/>
      <c r="SWK451" s="741"/>
      <c r="SWL451" s="741"/>
      <c r="SWM451" s="741"/>
      <c r="SWN451" s="741"/>
      <c r="SWO451" s="741"/>
      <c r="SWP451" s="741"/>
      <c r="SWQ451" s="741"/>
      <c r="SWR451" s="741"/>
      <c r="SWS451" s="741"/>
      <c r="SWT451" s="741"/>
      <c r="SWU451" s="741"/>
      <c r="SWV451" s="741"/>
      <c r="SWW451" s="741"/>
      <c r="SWX451" s="741"/>
      <c r="SWY451" s="741"/>
      <c r="SWZ451" s="741"/>
      <c r="SXA451" s="741"/>
      <c r="SXB451" s="741"/>
      <c r="SXC451" s="741"/>
      <c r="SXD451" s="741"/>
      <c r="SXE451" s="741"/>
      <c r="SXF451" s="741"/>
      <c r="SXG451" s="741"/>
      <c r="SXH451" s="741"/>
      <c r="SXI451" s="741"/>
      <c r="SXJ451" s="741"/>
      <c r="SXK451" s="741"/>
      <c r="SXL451" s="741"/>
      <c r="SXM451" s="741"/>
      <c r="SXN451" s="741"/>
      <c r="SXO451" s="741"/>
      <c r="SXP451" s="741"/>
      <c r="SXQ451" s="741"/>
      <c r="SXR451" s="741"/>
      <c r="SXS451" s="741"/>
      <c r="SXT451" s="741"/>
      <c r="SXU451" s="741"/>
      <c r="SXV451" s="741"/>
      <c r="SXW451" s="741"/>
      <c r="SXX451" s="741"/>
      <c r="SXY451" s="741"/>
      <c r="SXZ451" s="741"/>
      <c r="SYA451" s="741"/>
      <c r="SYB451" s="741"/>
      <c r="SYC451" s="741"/>
      <c r="SYD451" s="741"/>
      <c r="SYE451" s="741"/>
      <c r="SYF451" s="741"/>
      <c r="SYG451" s="741"/>
      <c r="SYH451" s="741"/>
      <c r="SYI451" s="741"/>
      <c r="SYJ451" s="741"/>
      <c r="SYK451" s="741"/>
      <c r="SYL451" s="741"/>
      <c r="SYM451" s="741"/>
      <c r="SYN451" s="741"/>
      <c r="SYO451" s="741"/>
      <c r="SYP451" s="741"/>
      <c r="SYQ451" s="741"/>
      <c r="SYR451" s="741"/>
      <c r="SYS451" s="741"/>
      <c r="SYT451" s="741"/>
      <c r="SYU451" s="741"/>
      <c r="SYV451" s="741"/>
      <c r="SYW451" s="741"/>
      <c r="SYX451" s="741"/>
      <c r="SYY451" s="741"/>
      <c r="SYZ451" s="741"/>
      <c r="SZA451" s="741"/>
      <c r="SZB451" s="741"/>
      <c r="SZC451" s="741"/>
      <c r="SZD451" s="741"/>
      <c r="SZE451" s="741"/>
      <c r="SZF451" s="741"/>
      <c r="SZG451" s="741"/>
      <c r="SZH451" s="741"/>
      <c r="SZI451" s="741"/>
      <c r="SZJ451" s="741"/>
      <c r="SZK451" s="741"/>
      <c r="SZL451" s="741"/>
      <c r="SZM451" s="741"/>
      <c r="SZN451" s="741"/>
      <c r="SZO451" s="741"/>
      <c r="SZP451" s="741"/>
      <c r="SZQ451" s="741"/>
      <c r="SZR451" s="741"/>
      <c r="SZS451" s="741"/>
      <c r="SZT451" s="741"/>
      <c r="SZU451" s="741"/>
      <c r="SZV451" s="741"/>
      <c r="SZW451" s="741"/>
      <c r="SZX451" s="741"/>
      <c r="SZY451" s="741"/>
      <c r="SZZ451" s="741"/>
      <c r="TAA451" s="741"/>
      <c r="TAB451" s="741"/>
      <c r="TAC451" s="741"/>
      <c r="TAD451" s="741"/>
      <c r="TAE451" s="741"/>
      <c r="TAF451" s="741"/>
      <c r="TAG451" s="741"/>
      <c r="TAH451" s="741"/>
      <c r="TAI451" s="741"/>
      <c r="TAJ451" s="741"/>
      <c r="TAK451" s="741"/>
      <c r="TAL451" s="741"/>
      <c r="TAM451" s="741"/>
      <c r="TAN451" s="741"/>
      <c r="TAO451" s="741"/>
      <c r="TAP451" s="741"/>
      <c r="TAQ451" s="741"/>
      <c r="TAR451" s="741"/>
      <c r="TAS451" s="741"/>
      <c r="TAT451" s="741"/>
      <c r="TAU451" s="741"/>
      <c r="TAV451" s="741"/>
      <c r="TAW451" s="741"/>
      <c r="TAX451" s="741"/>
      <c r="TAY451" s="741"/>
      <c r="TAZ451" s="741"/>
      <c r="TBA451" s="741"/>
      <c r="TBB451" s="741"/>
      <c r="TBC451" s="741"/>
      <c r="TBD451" s="741"/>
      <c r="TBE451" s="741"/>
      <c r="TBF451" s="741"/>
      <c r="TBG451" s="741"/>
      <c r="TBH451" s="741"/>
      <c r="TBI451" s="741"/>
      <c r="TBJ451" s="741"/>
      <c r="TBK451" s="741"/>
      <c r="TBL451" s="741"/>
      <c r="TBM451" s="741"/>
      <c r="TBN451" s="741"/>
      <c r="TBO451" s="741"/>
      <c r="TBP451" s="741"/>
      <c r="TBQ451" s="741"/>
      <c r="TBR451" s="741"/>
      <c r="TBS451" s="741"/>
      <c r="TBT451" s="741"/>
      <c r="TBU451" s="741"/>
      <c r="TBV451" s="741"/>
      <c r="TBW451" s="741"/>
      <c r="TBX451" s="741"/>
      <c r="TBY451" s="741"/>
      <c r="TBZ451" s="741"/>
      <c r="TCA451" s="741"/>
      <c r="TCB451" s="741"/>
      <c r="TCC451" s="741"/>
      <c r="TCD451" s="741"/>
      <c r="TCE451" s="741"/>
      <c r="TCF451" s="741"/>
      <c r="TCG451" s="741"/>
      <c r="TCH451" s="741"/>
      <c r="TCI451" s="741"/>
      <c r="TCJ451" s="741"/>
      <c r="TCK451" s="741"/>
      <c r="TCL451" s="741"/>
      <c r="TCM451" s="741"/>
      <c r="TCN451" s="741"/>
      <c r="TCO451" s="741"/>
      <c r="TCP451" s="741"/>
      <c r="TCQ451" s="741"/>
      <c r="TCR451" s="741"/>
      <c r="TCS451" s="741"/>
      <c r="TCT451" s="741"/>
      <c r="TCU451" s="741"/>
      <c r="TCV451" s="741"/>
      <c r="TCW451" s="741"/>
      <c r="TCX451" s="741"/>
      <c r="TCY451" s="741"/>
      <c r="TCZ451" s="741"/>
      <c r="TDA451" s="741"/>
      <c r="TDB451" s="741"/>
      <c r="TDC451" s="741"/>
      <c r="TDD451" s="741"/>
      <c r="TDE451" s="741"/>
      <c r="TDF451" s="741"/>
      <c r="TDG451" s="741"/>
      <c r="TDH451" s="741"/>
      <c r="TDI451" s="741"/>
      <c r="TDJ451" s="741"/>
      <c r="TDK451" s="741"/>
      <c r="TDL451" s="741"/>
      <c r="TDM451" s="741"/>
      <c r="TDN451" s="741"/>
      <c r="TDO451" s="741"/>
      <c r="TDP451" s="741"/>
      <c r="TDQ451" s="741"/>
      <c r="TDR451" s="741"/>
      <c r="TDS451" s="741"/>
      <c r="TDT451" s="741"/>
      <c r="TDU451" s="741"/>
      <c r="TDV451" s="741"/>
      <c r="TDW451" s="741"/>
      <c r="TDX451" s="741"/>
      <c r="TDY451" s="741"/>
      <c r="TDZ451" s="741"/>
      <c r="TEA451" s="741"/>
      <c r="TEB451" s="741"/>
      <c r="TEC451" s="741"/>
      <c r="TED451" s="741"/>
      <c r="TEE451" s="741"/>
      <c r="TEF451" s="741"/>
      <c r="TEG451" s="741"/>
      <c r="TEH451" s="741"/>
      <c r="TEI451" s="741"/>
      <c r="TEJ451" s="741"/>
      <c r="TEK451" s="741"/>
      <c r="TEL451" s="741"/>
      <c r="TEM451" s="741"/>
      <c r="TEN451" s="741"/>
      <c r="TEO451" s="741"/>
      <c r="TEP451" s="741"/>
      <c r="TEQ451" s="741"/>
      <c r="TER451" s="741"/>
      <c r="TES451" s="741"/>
      <c r="TET451" s="741"/>
      <c r="TEU451" s="741"/>
      <c r="TEV451" s="741"/>
      <c r="TEW451" s="741"/>
      <c r="TEX451" s="741"/>
      <c r="TEY451" s="741"/>
      <c r="TEZ451" s="741"/>
      <c r="TFA451" s="741"/>
      <c r="TFB451" s="741"/>
      <c r="TFC451" s="741"/>
      <c r="TFD451" s="741"/>
      <c r="TFE451" s="741"/>
      <c r="TFF451" s="741"/>
      <c r="TFG451" s="741"/>
      <c r="TFH451" s="741"/>
      <c r="TFI451" s="741"/>
      <c r="TFJ451" s="741"/>
      <c r="TFK451" s="741"/>
      <c r="TFL451" s="741"/>
      <c r="TFM451" s="741"/>
      <c r="TFN451" s="741"/>
      <c r="TFO451" s="741"/>
      <c r="TFP451" s="741"/>
      <c r="TFQ451" s="741"/>
      <c r="TFR451" s="741"/>
      <c r="TFS451" s="741"/>
      <c r="TFT451" s="741"/>
      <c r="TFU451" s="741"/>
      <c r="TFV451" s="741"/>
      <c r="TFW451" s="741"/>
      <c r="TFX451" s="741"/>
      <c r="TFY451" s="741"/>
      <c r="TFZ451" s="741"/>
      <c r="TGA451" s="741"/>
      <c r="TGB451" s="741"/>
      <c r="TGC451" s="741"/>
      <c r="TGD451" s="741"/>
      <c r="TGE451" s="741"/>
      <c r="TGF451" s="741"/>
      <c r="TGG451" s="741"/>
      <c r="TGH451" s="741"/>
      <c r="TGI451" s="741"/>
      <c r="TGJ451" s="741"/>
      <c r="TGK451" s="741"/>
      <c r="TGL451" s="741"/>
      <c r="TGM451" s="741"/>
      <c r="TGN451" s="741"/>
      <c r="TGO451" s="741"/>
      <c r="TGP451" s="741"/>
      <c r="TGQ451" s="741"/>
      <c r="TGR451" s="741"/>
      <c r="TGS451" s="741"/>
      <c r="TGT451" s="741"/>
      <c r="TGU451" s="741"/>
      <c r="TGV451" s="741"/>
      <c r="TGW451" s="741"/>
      <c r="TGX451" s="741"/>
      <c r="TGY451" s="741"/>
      <c r="TGZ451" s="741"/>
      <c r="THA451" s="741"/>
      <c r="THB451" s="741"/>
      <c r="THC451" s="741"/>
      <c r="THD451" s="741"/>
      <c r="THE451" s="741"/>
      <c r="THF451" s="741"/>
      <c r="THG451" s="741"/>
      <c r="THH451" s="741"/>
      <c r="THI451" s="741"/>
      <c r="THJ451" s="741"/>
      <c r="THK451" s="741"/>
      <c r="THL451" s="741"/>
      <c r="THM451" s="741"/>
      <c r="THN451" s="741"/>
      <c r="THO451" s="741"/>
      <c r="THP451" s="741"/>
      <c r="THQ451" s="741"/>
      <c r="THR451" s="741"/>
      <c r="THS451" s="741"/>
      <c r="THT451" s="741"/>
      <c r="THU451" s="741"/>
      <c r="THV451" s="741"/>
      <c r="THW451" s="741"/>
      <c r="THX451" s="741"/>
      <c r="THY451" s="741"/>
      <c r="THZ451" s="741"/>
      <c r="TIA451" s="741"/>
      <c r="TIB451" s="741"/>
      <c r="TIC451" s="741"/>
      <c r="TID451" s="741"/>
      <c r="TIE451" s="741"/>
      <c r="TIF451" s="741"/>
      <c r="TIG451" s="741"/>
      <c r="TIH451" s="741"/>
      <c r="TII451" s="741"/>
      <c r="TIJ451" s="741"/>
      <c r="TIK451" s="741"/>
      <c r="TIL451" s="741"/>
      <c r="TIM451" s="741"/>
      <c r="TIN451" s="741"/>
      <c r="TIO451" s="741"/>
      <c r="TIP451" s="741"/>
      <c r="TIQ451" s="741"/>
      <c r="TIR451" s="741"/>
      <c r="TIS451" s="741"/>
      <c r="TIT451" s="741"/>
      <c r="TIU451" s="741"/>
      <c r="TIV451" s="741"/>
      <c r="TIW451" s="741"/>
      <c r="TIX451" s="741"/>
      <c r="TIY451" s="741"/>
      <c r="TIZ451" s="741"/>
      <c r="TJA451" s="741"/>
      <c r="TJB451" s="741"/>
      <c r="TJC451" s="741"/>
      <c r="TJD451" s="741"/>
      <c r="TJE451" s="741"/>
      <c r="TJF451" s="741"/>
      <c r="TJG451" s="741"/>
      <c r="TJH451" s="741"/>
      <c r="TJI451" s="741"/>
      <c r="TJJ451" s="741"/>
      <c r="TJK451" s="741"/>
      <c r="TJL451" s="741"/>
      <c r="TJM451" s="741"/>
      <c r="TJN451" s="741"/>
      <c r="TJO451" s="741"/>
      <c r="TJP451" s="741"/>
      <c r="TJQ451" s="741"/>
      <c r="TJR451" s="741"/>
      <c r="TJS451" s="741"/>
      <c r="TJT451" s="741"/>
      <c r="TJU451" s="741"/>
      <c r="TJV451" s="741"/>
      <c r="TJW451" s="741"/>
      <c r="TJX451" s="741"/>
      <c r="TJY451" s="741"/>
      <c r="TJZ451" s="741"/>
      <c r="TKA451" s="741"/>
      <c r="TKB451" s="741"/>
      <c r="TKC451" s="741"/>
      <c r="TKD451" s="741"/>
      <c r="TKE451" s="741"/>
      <c r="TKF451" s="741"/>
      <c r="TKG451" s="741"/>
      <c r="TKH451" s="741"/>
      <c r="TKI451" s="741"/>
      <c r="TKJ451" s="741"/>
      <c r="TKK451" s="741"/>
      <c r="TKL451" s="741"/>
      <c r="TKM451" s="741"/>
      <c r="TKN451" s="741"/>
      <c r="TKO451" s="741"/>
      <c r="TKP451" s="741"/>
      <c r="TKQ451" s="741"/>
      <c r="TKR451" s="741"/>
      <c r="TKS451" s="741"/>
      <c r="TKT451" s="741"/>
      <c r="TKU451" s="741"/>
      <c r="TKV451" s="741"/>
      <c r="TKW451" s="741"/>
      <c r="TKX451" s="741"/>
      <c r="TKY451" s="741"/>
      <c r="TKZ451" s="741"/>
      <c r="TLA451" s="741"/>
      <c r="TLB451" s="741"/>
      <c r="TLC451" s="741"/>
      <c r="TLD451" s="741"/>
      <c r="TLE451" s="741"/>
      <c r="TLF451" s="741"/>
      <c r="TLG451" s="741"/>
      <c r="TLH451" s="741"/>
      <c r="TLI451" s="741"/>
      <c r="TLJ451" s="741"/>
      <c r="TLK451" s="741"/>
      <c r="TLL451" s="741"/>
      <c r="TLM451" s="741"/>
      <c r="TLN451" s="741"/>
      <c r="TLO451" s="741"/>
      <c r="TLP451" s="741"/>
      <c r="TLQ451" s="741"/>
      <c r="TLR451" s="741"/>
      <c r="TLS451" s="741"/>
      <c r="TLT451" s="741"/>
      <c r="TLU451" s="741"/>
      <c r="TLV451" s="741"/>
      <c r="TLW451" s="741"/>
      <c r="TLX451" s="741"/>
      <c r="TLY451" s="741"/>
      <c r="TLZ451" s="741"/>
      <c r="TMA451" s="741"/>
      <c r="TMB451" s="741"/>
      <c r="TMC451" s="741"/>
      <c r="TMD451" s="741"/>
      <c r="TME451" s="741"/>
      <c r="TMF451" s="741"/>
      <c r="TMG451" s="741"/>
      <c r="TMH451" s="741"/>
      <c r="TMI451" s="741"/>
      <c r="TMJ451" s="741"/>
      <c r="TMK451" s="741"/>
      <c r="TML451" s="741"/>
      <c r="TMM451" s="741"/>
      <c r="TMN451" s="741"/>
      <c r="TMO451" s="741"/>
      <c r="TMP451" s="741"/>
      <c r="TMQ451" s="741"/>
      <c r="TMR451" s="741"/>
      <c r="TMS451" s="741"/>
      <c r="TMT451" s="741"/>
      <c r="TMU451" s="741"/>
      <c r="TMV451" s="741"/>
      <c r="TMW451" s="741"/>
      <c r="TMX451" s="741"/>
      <c r="TMY451" s="741"/>
      <c r="TMZ451" s="741"/>
      <c r="TNA451" s="741"/>
      <c r="TNB451" s="741"/>
      <c r="TNC451" s="741"/>
      <c r="TND451" s="741"/>
      <c r="TNE451" s="741"/>
      <c r="TNF451" s="741"/>
      <c r="TNG451" s="741"/>
      <c r="TNH451" s="741"/>
      <c r="TNI451" s="741"/>
      <c r="TNJ451" s="741"/>
      <c r="TNK451" s="741"/>
      <c r="TNL451" s="741"/>
      <c r="TNM451" s="741"/>
      <c r="TNN451" s="741"/>
      <c r="TNO451" s="741"/>
      <c r="TNP451" s="741"/>
      <c r="TNQ451" s="741"/>
      <c r="TNR451" s="741"/>
      <c r="TNS451" s="741"/>
      <c r="TNT451" s="741"/>
      <c r="TNU451" s="741"/>
      <c r="TNV451" s="741"/>
      <c r="TNW451" s="741"/>
      <c r="TNX451" s="741"/>
      <c r="TNY451" s="741"/>
      <c r="TNZ451" s="741"/>
      <c r="TOA451" s="741"/>
      <c r="TOB451" s="741"/>
      <c r="TOC451" s="741"/>
      <c r="TOD451" s="741"/>
      <c r="TOE451" s="741"/>
      <c r="TOF451" s="741"/>
      <c r="TOG451" s="741"/>
      <c r="TOH451" s="741"/>
      <c r="TOI451" s="741"/>
      <c r="TOJ451" s="741"/>
      <c r="TOK451" s="741"/>
      <c r="TOL451" s="741"/>
      <c r="TOM451" s="741"/>
      <c r="TON451" s="741"/>
      <c r="TOO451" s="741"/>
      <c r="TOP451" s="741"/>
      <c r="TOQ451" s="741"/>
      <c r="TOR451" s="741"/>
      <c r="TOS451" s="741"/>
      <c r="TOT451" s="741"/>
      <c r="TOU451" s="741"/>
      <c r="TOV451" s="741"/>
      <c r="TOW451" s="741"/>
      <c r="TOX451" s="741"/>
      <c r="TOY451" s="741"/>
      <c r="TOZ451" s="741"/>
      <c r="TPA451" s="741"/>
      <c r="TPB451" s="741"/>
      <c r="TPC451" s="741"/>
      <c r="TPD451" s="741"/>
      <c r="TPE451" s="741"/>
      <c r="TPF451" s="741"/>
      <c r="TPG451" s="741"/>
      <c r="TPH451" s="741"/>
      <c r="TPI451" s="741"/>
      <c r="TPJ451" s="741"/>
      <c r="TPK451" s="741"/>
      <c r="TPL451" s="741"/>
      <c r="TPM451" s="741"/>
      <c r="TPN451" s="741"/>
      <c r="TPO451" s="741"/>
      <c r="TPP451" s="741"/>
      <c r="TPQ451" s="741"/>
      <c r="TPR451" s="741"/>
      <c r="TPS451" s="741"/>
      <c r="TPT451" s="741"/>
      <c r="TPU451" s="741"/>
      <c r="TPV451" s="741"/>
      <c r="TPW451" s="741"/>
      <c r="TPX451" s="741"/>
      <c r="TPY451" s="741"/>
      <c r="TPZ451" s="741"/>
      <c r="TQA451" s="741"/>
      <c r="TQB451" s="741"/>
      <c r="TQC451" s="741"/>
      <c r="TQD451" s="741"/>
      <c r="TQE451" s="741"/>
      <c r="TQF451" s="741"/>
      <c r="TQG451" s="741"/>
      <c r="TQH451" s="741"/>
      <c r="TQI451" s="741"/>
      <c r="TQJ451" s="741"/>
      <c r="TQK451" s="741"/>
      <c r="TQL451" s="741"/>
      <c r="TQM451" s="741"/>
      <c r="TQN451" s="741"/>
      <c r="TQO451" s="741"/>
      <c r="TQP451" s="741"/>
      <c r="TQQ451" s="741"/>
      <c r="TQR451" s="741"/>
      <c r="TQS451" s="741"/>
      <c r="TQT451" s="741"/>
      <c r="TQU451" s="741"/>
      <c r="TQV451" s="741"/>
      <c r="TQW451" s="741"/>
      <c r="TQX451" s="741"/>
      <c r="TQY451" s="741"/>
      <c r="TQZ451" s="741"/>
      <c r="TRA451" s="741"/>
      <c r="TRB451" s="741"/>
      <c r="TRC451" s="741"/>
      <c r="TRD451" s="741"/>
      <c r="TRE451" s="741"/>
      <c r="TRF451" s="741"/>
      <c r="TRG451" s="741"/>
      <c r="TRH451" s="741"/>
      <c r="TRI451" s="741"/>
      <c r="TRJ451" s="741"/>
      <c r="TRK451" s="741"/>
      <c r="TRL451" s="741"/>
      <c r="TRM451" s="741"/>
      <c r="TRN451" s="741"/>
      <c r="TRO451" s="741"/>
      <c r="TRP451" s="741"/>
      <c r="TRQ451" s="741"/>
      <c r="TRR451" s="741"/>
      <c r="TRS451" s="741"/>
      <c r="TRT451" s="741"/>
      <c r="TRU451" s="741"/>
      <c r="TRV451" s="741"/>
      <c r="TRW451" s="741"/>
      <c r="TRX451" s="741"/>
      <c r="TRY451" s="741"/>
      <c r="TRZ451" s="741"/>
      <c r="TSA451" s="741"/>
      <c r="TSB451" s="741"/>
      <c r="TSC451" s="741"/>
      <c r="TSD451" s="741"/>
      <c r="TSE451" s="741"/>
      <c r="TSF451" s="741"/>
      <c r="TSG451" s="741"/>
      <c r="TSH451" s="741"/>
      <c r="TSI451" s="741"/>
      <c r="TSJ451" s="741"/>
      <c r="TSK451" s="741"/>
      <c r="TSL451" s="741"/>
      <c r="TSM451" s="741"/>
      <c r="TSN451" s="741"/>
      <c r="TSO451" s="741"/>
      <c r="TSP451" s="741"/>
      <c r="TSQ451" s="741"/>
      <c r="TSR451" s="741"/>
      <c r="TSS451" s="741"/>
      <c r="TST451" s="741"/>
      <c r="TSU451" s="741"/>
      <c r="TSV451" s="741"/>
      <c r="TSW451" s="741"/>
      <c r="TSX451" s="741"/>
      <c r="TSY451" s="741"/>
      <c r="TSZ451" s="741"/>
      <c r="TTA451" s="741"/>
      <c r="TTB451" s="741"/>
      <c r="TTC451" s="741"/>
      <c r="TTD451" s="741"/>
      <c r="TTE451" s="741"/>
      <c r="TTF451" s="741"/>
      <c r="TTG451" s="741"/>
      <c r="TTH451" s="741"/>
      <c r="TTI451" s="741"/>
      <c r="TTJ451" s="741"/>
      <c r="TTK451" s="741"/>
      <c r="TTL451" s="741"/>
      <c r="TTM451" s="741"/>
      <c r="TTN451" s="741"/>
      <c r="TTO451" s="741"/>
      <c r="TTP451" s="741"/>
      <c r="TTQ451" s="741"/>
      <c r="TTR451" s="741"/>
      <c r="TTS451" s="741"/>
      <c r="TTT451" s="741"/>
      <c r="TTU451" s="741"/>
      <c r="TTV451" s="741"/>
      <c r="TTW451" s="741"/>
      <c r="TTX451" s="741"/>
      <c r="TTY451" s="741"/>
      <c r="TTZ451" s="741"/>
      <c r="TUA451" s="741"/>
      <c r="TUB451" s="741"/>
      <c r="TUC451" s="741"/>
      <c r="TUD451" s="741"/>
      <c r="TUE451" s="741"/>
      <c r="TUF451" s="741"/>
      <c r="TUG451" s="741"/>
      <c r="TUH451" s="741"/>
      <c r="TUI451" s="741"/>
      <c r="TUJ451" s="741"/>
      <c r="TUK451" s="741"/>
      <c r="TUL451" s="741"/>
      <c r="TUM451" s="741"/>
      <c r="TUN451" s="741"/>
      <c r="TUO451" s="741"/>
      <c r="TUP451" s="741"/>
      <c r="TUQ451" s="741"/>
      <c r="TUR451" s="741"/>
      <c r="TUS451" s="741"/>
      <c r="TUT451" s="741"/>
      <c r="TUU451" s="741"/>
      <c r="TUV451" s="741"/>
      <c r="TUW451" s="741"/>
      <c r="TUX451" s="741"/>
      <c r="TUY451" s="741"/>
      <c r="TUZ451" s="741"/>
      <c r="TVA451" s="741"/>
      <c r="TVB451" s="741"/>
      <c r="TVC451" s="741"/>
      <c r="TVD451" s="741"/>
      <c r="TVE451" s="741"/>
      <c r="TVF451" s="741"/>
      <c r="TVG451" s="741"/>
      <c r="TVH451" s="741"/>
      <c r="TVI451" s="741"/>
      <c r="TVJ451" s="741"/>
      <c r="TVK451" s="741"/>
      <c r="TVL451" s="741"/>
      <c r="TVM451" s="741"/>
      <c r="TVN451" s="741"/>
      <c r="TVO451" s="741"/>
      <c r="TVP451" s="741"/>
      <c r="TVQ451" s="741"/>
      <c r="TVR451" s="741"/>
      <c r="TVS451" s="741"/>
      <c r="TVT451" s="741"/>
      <c r="TVU451" s="741"/>
      <c r="TVV451" s="741"/>
      <c r="TVW451" s="741"/>
      <c r="TVX451" s="741"/>
      <c r="TVY451" s="741"/>
      <c r="TVZ451" s="741"/>
      <c r="TWA451" s="741"/>
      <c r="TWB451" s="741"/>
      <c r="TWC451" s="741"/>
      <c r="TWD451" s="741"/>
      <c r="TWE451" s="741"/>
      <c r="TWF451" s="741"/>
      <c r="TWG451" s="741"/>
      <c r="TWH451" s="741"/>
      <c r="TWI451" s="741"/>
      <c r="TWJ451" s="741"/>
      <c r="TWK451" s="741"/>
      <c r="TWL451" s="741"/>
      <c r="TWM451" s="741"/>
      <c r="TWN451" s="741"/>
      <c r="TWO451" s="741"/>
      <c r="TWP451" s="741"/>
      <c r="TWQ451" s="741"/>
      <c r="TWR451" s="741"/>
      <c r="TWS451" s="741"/>
      <c r="TWT451" s="741"/>
      <c r="TWU451" s="741"/>
      <c r="TWV451" s="741"/>
      <c r="TWW451" s="741"/>
      <c r="TWX451" s="741"/>
      <c r="TWY451" s="741"/>
      <c r="TWZ451" s="741"/>
      <c r="TXA451" s="741"/>
      <c r="TXB451" s="741"/>
      <c r="TXC451" s="741"/>
      <c r="TXD451" s="741"/>
      <c r="TXE451" s="741"/>
      <c r="TXF451" s="741"/>
      <c r="TXG451" s="741"/>
      <c r="TXH451" s="741"/>
      <c r="TXI451" s="741"/>
      <c r="TXJ451" s="741"/>
      <c r="TXK451" s="741"/>
      <c r="TXL451" s="741"/>
      <c r="TXM451" s="741"/>
      <c r="TXN451" s="741"/>
      <c r="TXO451" s="741"/>
      <c r="TXP451" s="741"/>
      <c r="TXQ451" s="741"/>
      <c r="TXR451" s="741"/>
      <c r="TXS451" s="741"/>
      <c r="TXT451" s="741"/>
      <c r="TXU451" s="741"/>
      <c r="TXV451" s="741"/>
      <c r="TXW451" s="741"/>
      <c r="TXX451" s="741"/>
      <c r="TXY451" s="741"/>
      <c r="TXZ451" s="741"/>
      <c r="TYA451" s="741"/>
      <c r="TYB451" s="741"/>
      <c r="TYC451" s="741"/>
      <c r="TYD451" s="741"/>
      <c r="TYE451" s="741"/>
      <c r="TYF451" s="741"/>
      <c r="TYG451" s="741"/>
      <c r="TYH451" s="741"/>
      <c r="TYI451" s="741"/>
      <c r="TYJ451" s="741"/>
      <c r="TYK451" s="741"/>
      <c r="TYL451" s="741"/>
      <c r="TYM451" s="741"/>
      <c r="TYN451" s="741"/>
      <c r="TYO451" s="741"/>
      <c r="TYP451" s="741"/>
      <c r="TYQ451" s="741"/>
      <c r="TYR451" s="741"/>
      <c r="TYS451" s="741"/>
      <c r="TYT451" s="741"/>
      <c r="TYU451" s="741"/>
      <c r="TYV451" s="741"/>
      <c r="TYW451" s="741"/>
      <c r="TYX451" s="741"/>
      <c r="TYY451" s="741"/>
      <c r="TYZ451" s="741"/>
      <c r="TZA451" s="741"/>
      <c r="TZB451" s="741"/>
      <c r="TZC451" s="741"/>
      <c r="TZD451" s="741"/>
      <c r="TZE451" s="741"/>
      <c r="TZF451" s="741"/>
      <c r="TZG451" s="741"/>
      <c r="TZH451" s="741"/>
      <c r="TZI451" s="741"/>
      <c r="TZJ451" s="741"/>
      <c r="TZK451" s="741"/>
      <c r="TZL451" s="741"/>
      <c r="TZM451" s="741"/>
      <c r="TZN451" s="741"/>
      <c r="TZO451" s="741"/>
      <c r="TZP451" s="741"/>
      <c r="TZQ451" s="741"/>
      <c r="TZR451" s="741"/>
      <c r="TZS451" s="741"/>
      <c r="TZT451" s="741"/>
      <c r="TZU451" s="741"/>
      <c r="TZV451" s="741"/>
      <c r="TZW451" s="741"/>
      <c r="TZX451" s="741"/>
      <c r="TZY451" s="741"/>
      <c r="TZZ451" s="741"/>
      <c r="UAA451" s="741"/>
      <c r="UAB451" s="741"/>
      <c r="UAC451" s="741"/>
      <c r="UAD451" s="741"/>
      <c r="UAE451" s="741"/>
      <c r="UAF451" s="741"/>
      <c r="UAG451" s="741"/>
      <c r="UAH451" s="741"/>
      <c r="UAI451" s="741"/>
      <c r="UAJ451" s="741"/>
      <c r="UAK451" s="741"/>
      <c r="UAL451" s="741"/>
      <c r="UAM451" s="741"/>
      <c r="UAN451" s="741"/>
      <c r="UAO451" s="741"/>
      <c r="UAP451" s="741"/>
      <c r="UAQ451" s="741"/>
      <c r="UAR451" s="741"/>
      <c r="UAS451" s="741"/>
      <c r="UAT451" s="741"/>
      <c r="UAU451" s="741"/>
      <c r="UAV451" s="741"/>
      <c r="UAW451" s="741"/>
      <c r="UAX451" s="741"/>
      <c r="UAY451" s="741"/>
      <c r="UAZ451" s="741"/>
      <c r="UBA451" s="741"/>
      <c r="UBB451" s="741"/>
      <c r="UBC451" s="741"/>
      <c r="UBD451" s="741"/>
      <c r="UBE451" s="741"/>
      <c r="UBF451" s="741"/>
      <c r="UBG451" s="741"/>
      <c r="UBH451" s="741"/>
      <c r="UBI451" s="741"/>
      <c r="UBJ451" s="741"/>
      <c r="UBK451" s="741"/>
      <c r="UBL451" s="741"/>
      <c r="UBM451" s="741"/>
      <c r="UBN451" s="741"/>
      <c r="UBO451" s="741"/>
      <c r="UBP451" s="741"/>
      <c r="UBQ451" s="741"/>
      <c r="UBR451" s="741"/>
      <c r="UBS451" s="741"/>
      <c r="UBT451" s="741"/>
      <c r="UBU451" s="741"/>
      <c r="UBV451" s="741"/>
      <c r="UBW451" s="741"/>
      <c r="UBX451" s="741"/>
      <c r="UBY451" s="741"/>
      <c r="UBZ451" s="741"/>
      <c r="UCA451" s="741"/>
      <c r="UCB451" s="741"/>
      <c r="UCC451" s="741"/>
      <c r="UCD451" s="741"/>
      <c r="UCE451" s="741"/>
      <c r="UCF451" s="741"/>
      <c r="UCG451" s="741"/>
      <c r="UCH451" s="741"/>
      <c r="UCI451" s="741"/>
      <c r="UCJ451" s="741"/>
      <c r="UCK451" s="741"/>
      <c r="UCL451" s="741"/>
      <c r="UCM451" s="741"/>
      <c r="UCN451" s="741"/>
      <c r="UCO451" s="741"/>
      <c r="UCP451" s="741"/>
      <c r="UCQ451" s="741"/>
      <c r="UCR451" s="741"/>
      <c r="UCS451" s="741"/>
      <c r="UCT451" s="741"/>
      <c r="UCU451" s="741"/>
      <c r="UCV451" s="741"/>
      <c r="UCW451" s="741"/>
      <c r="UCX451" s="741"/>
      <c r="UCY451" s="741"/>
      <c r="UCZ451" s="741"/>
      <c r="UDA451" s="741"/>
      <c r="UDB451" s="741"/>
      <c r="UDC451" s="741"/>
      <c r="UDD451" s="741"/>
      <c r="UDE451" s="741"/>
      <c r="UDF451" s="741"/>
      <c r="UDG451" s="741"/>
      <c r="UDH451" s="741"/>
      <c r="UDI451" s="741"/>
      <c r="UDJ451" s="741"/>
      <c r="UDK451" s="741"/>
      <c r="UDL451" s="741"/>
      <c r="UDM451" s="741"/>
      <c r="UDN451" s="741"/>
      <c r="UDO451" s="741"/>
      <c r="UDP451" s="741"/>
      <c r="UDQ451" s="741"/>
      <c r="UDR451" s="741"/>
      <c r="UDS451" s="741"/>
      <c r="UDT451" s="741"/>
      <c r="UDU451" s="741"/>
      <c r="UDV451" s="741"/>
      <c r="UDW451" s="741"/>
      <c r="UDX451" s="741"/>
      <c r="UDY451" s="741"/>
      <c r="UDZ451" s="741"/>
      <c r="UEA451" s="741"/>
      <c r="UEB451" s="741"/>
      <c r="UEC451" s="741"/>
      <c r="UED451" s="741"/>
      <c r="UEE451" s="741"/>
      <c r="UEF451" s="741"/>
      <c r="UEG451" s="741"/>
      <c r="UEH451" s="741"/>
      <c r="UEI451" s="741"/>
      <c r="UEJ451" s="741"/>
      <c r="UEK451" s="741"/>
      <c r="UEL451" s="741"/>
      <c r="UEM451" s="741"/>
      <c r="UEN451" s="741"/>
      <c r="UEO451" s="741"/>
      <c r="UEP451" s="741"/>
      <c r="UEQ451" s="741"/>
      <c r="UER451" s="741"/>
      <c r="UES451" s="741"/>
      <c r="UET451" s="741"/>
      <c r="UEU451" s="741"/>
      <c r="UEV451" s="741"/>
      <c r="UEW451" s="741"/>
      <c r="UEX451" s="741"/>
      <c r="UEY451" s="741"/>
      <c r="UEZ451" s="741"/>
      <c r="UFA451" s="741"/>
      <c r="UFB451" s="741"/>
      <c r="UFC451" s="741"/>
      <c r="UFD451" s="741"/>
      <c r="UFE451" s="741"/>
      <c r="UFF451" s="741"/>
      <c r="UFG451" s="741"/>
      <c r="UFH451" s="741"/>
      <c r="UFI451" s="741"/>
      <c r="UFJ451" s="741"/>
      <c r="UFK451" s="741"/>
      <c r="UFL451" s="741"/>
      <c r="UFM451" s="741"/>
      <c r="UFN451" s="741"/>
      <c r="UFO451" s="741"/>
      <c r="UFP451" s="741"/>
      <c r="UFQ451" s="741"/>
      <c r="UFR451" s="741"/>
      <c r="UFS451" s="741"/>
      <c r="UFT451" s="741"/>
      <c r="UFU451" s="741"/>
      <c r="UFV451" s="741"/>
      <c r="UFW451" s="741"/>
      <c r="UFX451" s="741"/>
      <c r="UFY451" s="741"/>
      <c r="UFZ451" s="741"/>
      <c r="UGA451" s="741"/>
      <c r="UGB451" s="741"/>
      <c r="UGC451" s="741"/>
      <c r="UGD451" s="741"/>
      <c r="UGE451" s="741"/>
      <c r="UGF451" s="741"/>
      <c r="UGG451" s="741"/>
      <c r="UGH451" s="741"/>
      <c r="UGI451" s="741"/>
      <c r="UGJ451" s="741"/>
      <c r="UGK451" s="741"/>
      <c r="UGL451" s="741"/>
      <c r="UGM451" s="741"/>
      <c r="UGN451" s="741"/>
      <c r="UGO451" s="741"/>
      <c r="UGP451" s="741"/>
      <c r="UGQ451" s="741"/>
      <c r="UGR451" s="741"/>
      <c r="UGS451" s="741"/>
      <c r="UGT451" s="741"/>
      <c r="UGU451" s="741"/>
      <c r="UGV451" s="741"/>
      <c r="UGW451" s="741"/>
      <c r="UGX451" s="741"/>
      <c r="UGY451" s="741"/>
      <c r="UGZ451" s="741"/>
      <c r="UHA451" s="741"/>
      <c r="UHB451" s="741"/>
      <c r="UHC451" s="741"/>
      <c r="UHD451" s="741"/>
      <c r="UHE451" s="741"/>
      <c r="UHF451" s="741"/>
      <c r="UHG451" s="741"/>
      <c r="UHH451" s="741"/>
      <c r="UHI451" s="741"/>
      <c r="UHJ451" s="741"/>
      <c r="UHK451" s="741"/>
      <c r="UHL451" s="741"/>
      <c r="UHM451" s="741"/>
      <c r="UHN451" s="741"/>
      <c r="UHO451" s="741"/>
      <c r="UHP451" s="741"/>
      <c r="UHQ451" s="741"/>
      <c r="UHR451" s="741"/>
      <c r="UHS451" s="741"/>
      <c r="UHT451" s="741"/>
      <c r="UHU451" s="741"/>
      <c r="UHV451" s="741"/>
      <c r="UHW451" s="741"/>
      <c r="UHX451" s="741"/>
      <c r="UHY451" s="741"/>
      <c r="UHZ451" s="741"/>
      <c r="UIA451" s="741"/>
      <c r="UIB451" s="741"/>
      <c r="UIC451" s="741"/>
      <c r="UID451" s="741"/>
      <c r="UIE451" s="741"/>
      <c r="UIF451" s="741"/>
      <c r="UIG451" s="741"/>
      <c r="UIH451" s="741"/>
      <c r="UII451" s="741"/>
      <c r="UIJ451" s="741"/>
      <c r="UIK451" s="741"/>
      <c r="UIL451" s="741"/>
      <c r="UIM451" s="741"/>
      <c r="UIN451" s="741"/>
      <c r="UIO451" s="741"/>
      <c r="UIP451" s="741"/>
      <c r="UIQ451" s="741"/>
      <c r="UIR451" s="741"/>
      <c r="UIS451" s="741"/>
      <c r="UIT451" s="741"/>
      <c r="UIU451" s="741"/>
      <c r="UIV451" s="741"/>
      <c r="UIW451" s="741"/>
      <c r="UIX451" s="741"/>
      <c r="UIY451" s="741"/>
      <c r="UIZ451" s="741"/>
      <c r="UJA451" s="741"/>
      <c r="UJB451" s="741"/>
      <c r="UJC451" s="741"/>
      <c r="UJD451" s="741"/>
      <c r="UJE451" s="741"/>
      <c r="UJF451" s="741"/>
      <c r="UJG451" s="741"/>
      <c r="UJH451" s="741"/>
      <c r="UJI451" s="741"/>
      <c r="UJJ451" s="741"/>
      <c r="UJK451" s="741"/>
      <c r="UJL451" s="741"/>
      <c r="UJM451" s="741"/>
      <c r="UJN451" s="741"/>
      <c r="UJO451" s="741"/>
      <c r="UJP451" s="741"/>
      <c r="UJQ451" s="741"/>
      <c r="UJR451" s="741"/>
      <c r="UJS451" s="741"/>
      <c r="UJT451" s="741"/>
      <c r="UJU451" s="741"/>
      <c r="UJV451" s="741"/>
      <c r="UJW451" s="741"/>
      <c r="UJX451" s="741"/>
      <c r="UJY451" s="741"/>
      <c r="UJZ451" s="741"/>
      <c r="UKA451" s="741"/>
      <c r="UKB451" s="741"/>
      <c r="UKC451" s="741"/>
      <c r="UKD451" s="741"/>
      <c r="UKE451" s="741"/>
      <c r="UKF451" s="741"/>
      <c r="UKG451" s="741"/>
      <c r="UKH451" s="741"/>
      <c r="UKI451" s="741"/>
      <c r="UKJ451" s="741"/>
      <c r="UKK451" s="741"/>
      <c r="UKL451" s="741"/>
      <c r="UKM451" s="741"/>
      <c r="UKN451" s="741"/>
      <c r="UKO451" s="741"/>
      <c r="UKP451" s="741"/>
      <c r="UKQ451" s="741"/>
      <c r="UKR451" s="741"/>
      <c r="UKS451" s="741"/>
      <c r="UKT451" s="741"/>
      <c r="UKU451" s="741"/>
      <c r="UKV451" s="741"/>
      <c r="UKW451" s="741"/>
      <c r="UKX451" s="741"/>
      <c r="UKY451" s="741"/>
      <c r="UKZ451" s="741"/>
      <c r="ULA451" s="741"/>
      <c r="ULB451" s="741"/>
      <c r="ULC451" s="741"/>
      <c r="ULD451" s="741"/>
      <c r="ULE451" s="741"/>
      <c r="ULF451" s="741"/>
      <c r="ULG451" s="741"/>
      <c r="ULH451" s="741"/>
      <c r="ULI451" s="741"/>
      <c r="ULJ451" s="741"/>
      <c r="ULK451" s="741"/>
      <c r="ULL451" s="741"/>
      <c r="ULM451" s="741"/>
      <c r="ULN451" s="741"/>
      <c r="ULO451" s="741"/>
      <c r="ULP451" s="741"/>
      <c r="ULQ451" s="741"/>
      <c r="ULR451" s="741"/>
      <c r="ULS451" s="741"/>
      <c r="ULT451" s="741"/>
      <c r="ULU451" s="741"/>
      <c r="ULV451" s="741"/>
      <c r="ULW451" s="741"/>
      <c r="ULX451" s="741"/>
      <c r="ULY451" s="741"/>
      <c r="ULZ451" s="741"/>
      <c r="UMA451" s="741"/>
      <c r="UMB451" s="741"/>
      <c r="UMC451" s="741"/>
      <c r="UMD451" s="741"/>
      <c r="UME451" s="741"/>
      <c r="UMF451" s="741"/>
      <c r="UMG451" s="741"/>
      <c r="UMH451" s="741"/>
      <c r="UMI451" s="741"/>
      <c r="UMJ451" s="741"/>
      <c r="UMK451" s="741"/>
      <c r="UML451" s="741"/>
      <c r="UMM451" s="741"/>
      <c r="UMN451" s="741"/>
      <c r="UMO451" s="741"/>
      <c r="UMP451" s="741"/>
      <c r="UMQ451" s="741"/>
      <c r="UMR451" s="741"/>
      <c r="UMS451" s="741"/>
      <c r="UMT451" s="741"/>
      <c r="UMU451" s="741"/>
      <c r="UMV451" s="741"/>
      <c r="UMW451" s="741"/>
      <c r="UMX451" s="741"/>
      <c r="UMY451" s="741"/>
      <c r="UMZ451" s="741"/>
      <c r="UNA451" s="741"/>
      <c r="UNB451" s="741"/>
      <c r="UNC451" s="741"/>
      <c r="UND451" s="741"/>
      <c r="UNE451" s="741"/>
      <c r="UNF451" s="741"/>
      <c r="UNG451" s="741"/>
      <c r="UNH451" s="741"/>
      <c r="UNI451" s="741"/>
      <c r="UNJ451" s="741"/>
      <c r="UNK451" s="741"/>
      <c r="UNL451" s="741"/>
      <c r="UNM451" s="741"/>
      <c r="UNN451" s="741"/>
      <c r="UNO451" s="741"/>
      <c r="UNP451" s="741"/>
      <c r="UNQ451" s="741"/>
      <c r="UNR451" s="741"/>
      <c r="UNS451" s="741"/>
      <c r="UNT451" s="741"/>
      <c r="UNU451" s="741"/>
      <c r="UNV451" s="741"/>
      <c r="UNW451" s="741"/>
      <c r="UNX451" s="741"/>
      <c r="UNY451" s="741"/>
      <c r="UNZ451" s="741"/>
      <c r="UOA451" s="741"/>
      <c r="UOB451" s="741"/>
      <c r="UOC451" s="741"/>
      <c r="UOD451" s="741"/>
      <c r="UOE451" s="741"/>
      <c r="UOF451" s="741"/>
      <c r="UOG451" s="741"/>
      <c r="UOH451" s="741"/>
      <c r="UOI451" s="741"/>
      <c r="UOJ451" s="741"/>
      <c r="UOK451" s="741"/>
      <c r="UOL451" s="741"/>
      <c r="UOM451" s="741"/>
      <c r="UON451" s="741"/>
      <c r="UOO451" s="741"/>
      <c r="UOP451" s="741"/>
      <c r="UOQ451" s="741"/>
      <c r="UOR451" s="741"/>
      <c r="UOS451" s="741"/>
      <c r="UOT451" s="741"/>
      <c r="UOU451" s="741"/>
      <c r="UOV451" s="741"/>
      <c r="UOW451" s="741"/>
      <c r="UOX451" s="741"/>
      <c r="UOY451" s="741"/>
      <c r="UOZ451" s="741"/>
      <c r="UPA451" s="741"/>
      <c r="UPB451" s="741"/>
      <c r="UPC451" s="741"/>
      <c r="UPD451" s="741"/>
      <c r="UPE451" s="741"/>
      <c r="UPF451" s="741"/>
      <c r="UPG451" s="741"/>
      <c r="UPH451" s="741"/>
      <c r="UPI451" s="741"/>
      <c r="UPJ451" s="741"/>
      <c r="UPK451" s="741"/>
      <c r="UPL451" s="741"/>
      <c r="UPM451" s="741"/>
      <c r="UPN451" s="741"/>
      <c r="UPO451" s="741"/>
      <c r="UPP451" s="741"/>
      <c r="UPQ451" s="741"/>
      <c r="UPR451" s="741"/>
      <c r="UPS451" s="741"/>
      <c r="UPT451" s="741"/>
      <c r="UPU451" s="741"/>
      <c r="UPV451" s="741"/>
      <c r="UPW451" s="741"/>
      <c r="UPX451" s="741"/>
      <c r="UPY451" s="741"/>
      <c r="UPZ451" s="741"/>
      <c r="UQA451" s="741"/>
      <c r="UQB451" s="741"/>
      <c r="UQC451" s="741"/>
      <c r="UQD451" s="741"/>
      <c r="UQE451" s="741"/>
      <c r="UQF451" s="741"/>
      <c r="UQG451" s="741"/>
      <c r="UQH451" s="741"/>
      <c r="UQI451" s="741"/>
      <c r="UQJ451" s="741"/>
      <c r="UQK451" s="741"/>
      <c r="UQL451" s="741"/>
      <c r="UQM451" s="741"/>
      <c r="UQN451" s="741"/>
      <c r="UQO451" s="741"/>
      <c r="UQP451" s="741"/>
      <c r="UQQ451" s="741"/>
      <c r="UQR451" s="741"/>
      <c r="UQS451" s="741"/>
      <c r="UQT451" s="741"/>
      <c r="UQU451" s="741"/>
      <c r="UQV451" s="741"/>
      <c r="UQW451" s="741"/>
      <c r="UQX451" s="741"/>
      <c r="UQY451" s="741"/>
      <c r="UQZ451" s="741"/>
      <c r="URA451" s="741"/>
      <c r="URB451" s="741"/>
      <c r="URC451" s="741"/>
      <c r="URD451" s="741"/>
      <c r="URE451" s="741"/>
      <c r="URF451" s="741"/>
      <c r="URG451" s="741"/>
      <c r="URH451" s="741"/>
      <c r="URI451" s="741"/>
      <c r="URJ451" s="741"/>
      <c r="URK451" s="741"/>
      <c r="URL451" s="741"/>
      <c r="URM451" s="741"/>
      <c r="URN451" s="741"/>
      <c r="URO451" s="741"/>
      <c r="URP451" s="741"/>
      <c r="URQ451" s="741"/>
      <c r="URR451" s="741"/>
      <c r="URS451" s="741"/>
      <c r="URT451" s="741"/>
      <c r="URU451" s="741"/>
      <c r="URV451" s="741"/>
      <c r="URW451" s="741"/>
      <c r="URX451" s="741"/>
      <c r="URY451" s="741"/>
      <c r="URZ451" s="741"/>
      <c r="USA451" s="741"/>
      <c r="USB451" s="741"/>
      <c r="USC451" s="741"/>
      <c r="USD451" s="741"/>
      <c r="USE451" s="741"/>
      <c r="USF451" s="741"/>
      <c r="USG451" s="741"/>
      <c r="USH451" s="741"/>
      <c r="USI451" s="741"/>
      <c r="USJ451" s="741"/>
      <c r="USK451" s="741"/>
      <c r="USL451" s="741"/>
      <c r="USM451" s="741"/>
      <c r="USN451" s="741"/>
      <c r="USO451" s="741"/>
      <c r="USP451" s="741"/>
      <c r="USQ451" s="741"/>
      <c r="USR451" s="741"/>
      <c r="USS451" s="741"/>
      <c r="UST451" s="741"/>
      <c r="USU451" s="741"/>
      <c r="USV451" s="741"/>
      <c r="USW451" s="741"/>
      <c r="USX451" s="741"/>
      <c r="USY451" s="741"/>
      <c r="USZ451" s="741"/>
      <c r="UTA451" s="741"/>
      <c r="UTB451" s="741"/>
      <c r="UTC451" s="741"/>
      <c r="UTD451" s="741"/>
      <c r="UTE451" s="741"/>
      <c r="UTF451" s="741"/>
      <c r="UTG451" s="741"/>
      <c r="UTH451" s="741"/>
      <c r="UTI451" s="741"/>
      <c r="UTJ451" s="741"/>
      <c r="UTK451" s="741"/>
      <c r="UTL451" s="741"/>
      <c r="UTM451" s="741"/>
      <c r="UTN451" s="741"/>
      <c r="UTO451" s="741"/>
      <c r="UTP451" s="741"/>
      <c r="UTQ451" s="741"/>
      <c r="UTR451" s="741"/>
      <c r="UTS451" s="741"/>
      <c r="UTT451" s="741"/>
      <c r="UTU451" s="741"/>
      <c r="UTV451" s="741"/>
      <c r="UTW451" s="741"/>
      <c r="UTX451" s="741"/>
      <c r="UTY451" s="741"/>
      <c r="UTZ451" s="741"/>
      <c r="UUA451" s="741"/>
      <c r="UUB451" s="741"/>
      <c r="UUC451" s="741"/>
      <c r="UUD451" s="741"/>
      <c r="UUE451" s="741"/>
      <c r="UUF451" s="741"/>
      <c r="UUG451" s="741"/>
      <c r="UUH451" s="741"/>
      <c r="UUI451" s="741"/>
      <c r="UUJ451" s="741"/>
      <c r="UUK451" s="741"/>
      <c r="UUL451" s="741"/>
      <c r="UUM451" s="741"/>
      <c r="UUN451" s="741"/>
      <c r="UUO451" s="741"/>
      <c r="UUP451" s="741"/>
      <c r="UUQ451" s="741"/>
      <c r="UUR451" s="741"/>
      <c r="UUS451" s="741"/>
      <c r="UUT451" s="741"/>
      <c r="UUU451" s="741"/>
      <c r="UUV451" s="741"/>
      <c r="UUW451" s="741"/>
      <c r="UUX451" s="741"/>
      <c r="UUY451" s="741"/>
      <c r="UUZ451" s="741"/>
      <c r="UVA451" s="741"/>
      <c r="UVB451" s="741"/>
      <c r="UVC451" s="741"/>
      <c r="UVD451" s="741"/>
      <c r="UVE451" s="741"/>
      <c r="UVF451" s="741"/>
      <c r="UVG451" s="741"/>
      <c r="UVH451" s="741"/>
      <c r="UVI451" s="741"/>
      <c r="UVJ451" s="741"/>
      <c r="UVK451" s="741"/>
      <c r="UVL451" s="741"/>
      <c r="UVM451" s="741"/>
      <c r="UVN451" s="741"/>
      <c r="UVO451" s="741"/>
      <c r="UVP451" s="741"/>
      <c r="UVQ451" s="741"/>
      <c r="UVR451" s="741"/>
      <c r="UVS451" s="741"/>
      <c r="UVT451" s="741"/>
      <c r="UVU451" s="741"/>
      <c r="UVV451" s="741"/>
      <c r="UVW451" s="741"/>
      <c r="UVX451" s="741"/>
      <c r="UVY451" s="741"/>
      <c r="UVZ451" s="741"/>
      <c r="UWA451" s="741"/>
      <c r="UWB451" s="741"/>
      <c r="UWC451" s="741"/>
      <c r="UWD451" s="741"/>
      <c r="UWE451" s="741"/>
      <c r="UWF451" s="741"/>
      <c r="UWG451" s="741"/>
      <c r="UWH451" s="741"/>
      <c r="UWI451" s="741"/>
      <c r="UWJ451" s="741"/>
      <c r="UWK451" s="741"/>
      <c r="UWL451" s="741"/>
      <c r="UWM451" s="741"/>
      <c r="UWN451" s="741"/>
      <c r="UWO451" s="741"/>
      <c r="UWP451" s="741"/>
      <c r="UWQ451" s="741"/>
      <c r="UWR451" s="741"/>
      <c r="UWS451" s="741"/>
      <c r="UWT451" s="741"/>
      <c r="UWU451" s="741"/>
      <c r="UWV451" s="741"/>
      <c r="UWW451" s="741"/>
      <c r="UWX451" s="741"/>
      <c r="UWY451" s="741"/>
      <c r="UWZ451" s="741"/>
      <c r="UXA451" s="741"/>
      <c r="UXB451" s="741"/>
      <c r="UXC451" s="741"/>
      <c r="UXD451" s="741"/>
      <c r="UXE451" s="741"/>
      <c r="UXF451" s="741"/>
      <c r="UXG451" s="741"/>
      <c r="UXH451" s="741"/>
      <c r="UXI451" s="741"/>
      <c r="UXJ451" s="741"/>
      <c r="UXK451" s="741"/>
      <c r="UXL451" s="741"/>
      <c r="UXM451" s="741"/>
      <c r="UXN451" s="741"/>
      <c r="UXO451" s="741"/>
      <c r="UXP451" s="741"/>
      <c r="UXQ451" s="741"/>
      <c r="UXR451" s="741"/>
      <c r="UXS451" s="741"/>
      <c r="UXT451" s="741"/>
      <c r="UXU451" s="741"/>
      <c r="UXV451" s="741"/>
      <c r="UXW451" s="741"/>
      <c r="UXX451" s="741"/>
      <c r="UXY451" s="741"/>
      <c r="UXZ451" s="741"/>
      <c r="UYA451" s="741"/>
      <c r="UYB451" s="741"/>
      <c r="UYC451" s="741"/>
      <c r="UYD451" s="741"/>
      <c r="UYE451" s="741"/>
      <c r="UYF451" s="741"/>
      <c r="UYG451" s="741"/>
      <c r="UYH451" s="741"/>
      <c r="UYI451" s="741"/>
      <c r="UYJ451" s="741"/>
      <c r="UYK451" s="741"/>
      <c r="UYL451" s="741"/>
      <c r="UYM451" s="741"/>
      <c r="UYN451" s="741"/>
      <c r="UYO451" s="741"/>
      <c r="UYP451" s="741"/>
      <c r="UYQ451" s="741"/>
      <c r="UYR451" s="741"/>
      <c r="UYS451" s="741"/>
      <c r="UYT451" s="741"/>
      <c r="UYU451" s="741"/>
      <c r="UYV451" s="741"/>
      <c r="UYW451" s="741"/>
      <c r="UYX451" s="741"/>
      <c r="UYY451" s="741"/>
      <c r="UYZ451" s="741"/>
      <c r="UZA451" s="741"/>
      <c r="UZB451" s="741"/>
      <c r="UZC451" s="741"/>
      <c r="UZD451" s="741"/>
      <c r="UZE451" s="741"/>
      <c r="UZF451" s="741"/>
      <c r="UZG451" s="741"/>
      <c r="UZH451" s="741"/>
      <c r="UZI451" s="741"/>
      <c r="UZJ451" s="741"/>
      <c r="UZK451" s="741"/>
      <c r="UZL451" s="741"/>
      <c r="UZM451" s="741"/>
      <c r="UZN451" s="741"/>
      <c r="UZO451" s="741"/>
      <c r="UZP451" s="741"/>
      <c r="UZQ451" s="741"/>
      <c r="UZR451" s="741"/>
      <c r="UZS451" s="741"/>
      <c r="UZT451" s="741"/>
      <c r="UZU451" s="741"/>
      <c r="UZV451" s="741"/>
      <c r="UZW451" s="741"/>
      <c r="UZX451" s="741"/>
      <c r="UZY451" s="741"/>
      <c r="UZZ451" s="741"/>
      <c r="VAA451" s="741"/>
      <c r="VAB451" s="741"/>
      <c r="VAC451" s="741"/>
      <c r="VAD451" s="741"/>
      <c r="VAE451" s="741"/>
      <c r="VAF451" s="741"/>
      <c r="VAG451" s="741"/>
      <c r="VAH451" s="741"/>
      <c r="VAI451" s="741"/>
      <c r="VAJ451" s="741"/>
      <c r="VAK451" s="741"/>
      <c r="VAL451" s="741"/>
      <c r="VAM451" s="741"/>
      <c r="VAN451" s="741"/>
      <c r="VAO451" s="741"/>
      <c r="VAP451" s="741"/>
      <c r="VAQ451" s="741"/>
      <c r="VAR451" s="741"/>
      <c r="VAS451" s="741"/>
      <c r="VAT451" s="741"/>
      <c r="VAU451" s="741"/>
      <c r="VAV451" s="741"/>
      <c r="VAW451" s="741"/>
      <c r="VAX451" s="741"/>
      <c r="VAY451" s="741"/>
      <c r="VAZ451" s="741"/>
      <c r="VBA451" s="741"/>
      <c r="VBB451" s="741"/>
      <c r="VBC451" s="741"/>
      <c r="VBD451" s="741"/>
      <c r="VBE451" s="741"/>
      <c r="VBF451" s="741"/>
      <c r="VBG451" s="741"/>
      <c r="VBH451" s="741"/>
      <c r="VBI451" s="741"/>
      <c r="VBJ451" s="741"/>
      <c r="VBK451" s="741"/>
      <c r="VBL451" s="741"/>
      <c r="VBM451" s="741"/>
      <c r="VBN451" s="741"/>
      <c r="VBO451" s="741"/>
      <c r="VBP451" s="741"/>
      <c r="VBQ451" s="741"/>
      <c r="VBR451" s="741"/>
      <c r="VBS451" s="741"/>
      <c r="VBT451" s="741"/>
      <c r="VBU451" s="741"/>
      <c r="VBV451" s="741"/>
      <c r="VBW451" s="741"/>
      <c r="VBX451" s="741"/>
      <c r="VBY451" s="741"/>
      <c r="VBZ451" s="741"/>
      <c r="VCA451" s="741"/>
      <c r="VCB451" s="741"/>
      <c r="VCC451" s="741"/>
      <c r="VCD451" s="741"/>
      <c r="VCE451" s="741"/>
      <c r="VCF451" s="741"/>
      <c r="VCG451" s="741"/>
      <c r="VCH451" s="741"/>
      <c r="VCI451" s="741"/>
      <c r="VCJ451" s="741"/>
      <c r="VCK451" s="741"/>
      <c r="VCL451" s="741"/>
      <c r="VCM451" s="741"/>
      <c r="VCN451" s="741"/>
      <c r="VCO451" s="741"/>
      <c r="VCP451" s="741"/>
      <c r="VCQ451" s="741"/>
      <c r="VCR451" s="741"/>
      <c r="VCS451" s="741"/>
      <c r="VCT451" s="741"/>
      <c r="VCU451" s="741"/>
      <c r="VCV451" s="741"/>
      <c r="VCW451" s="741"/>
      <c r="VCX451" s="741"/>
      <c r="VCY451" s="741"/>
      <c r="VCZ451" s="741"/>
      <c r="VDA451" s="741"/>
      <c r="VDB451" s="741"/>
      <c r="VDC451" s="741"/>
      <c r="VDD451" s="741"/>
      <c r="VDE451" s="741"/>
      <c r="VDF451" s="741"/>
      <c r="VDG451" s="741"/>
      <c r="VDH451" s="741"/>
      <c r="VDI451" s="741"/>
      <c r="VDJ451" s="741"/>
      <c r="VDK451" s="741"/>
      <c r="VDL451" s="741"/>
      <c r="VDM451" s="741"/>
      <c r="VDN451" s="741"/>
      <c r="VDO451" s="741"/>
      <c r="VDP451" s="741"/>
      <c r="VDQ451" s="741"/>
      <c r="VDR451" s="741"/>
      <c r="VDS451" s="741"/>
      <c r="VDT451" s="741"/>
      <c r="VDU451" s="741"/>
      <c r="VDV451" s="741"/>
      <c r="VDW451" s="741"/>
      <c r="VDX451" s="741"/>
      <c r="VDY451" s="741"/>
      <c r="VDZ451" s="741"/>
      <c r="VEA451" s="741"/>
      <c r="VEB451" s="741"/>
      <c r="VEC451" s="741"/>
      <c r="VED451" s="741"/>
      <c r="VEE451" s="741"/>
      <c r="VEF451" s="741"/>
      <c r="VEG451" s="741"/>
      <c r="VEH451" s="741"/>
      <c r="VEI451" s="741"/>
      <c r="VEJ451" s="741"/>
      <c r="VEK451" s="741"/>
      <c r="VEL451" s="741"/>
      <c r="VEM451" s="741"/>
      <c r="VEN451" s="741"/>
      <c r="VEO451" s="741"/>
      <c r="VEP451" s="741"/>
      <c r="VEQ451" s="741"/>
      <c r="VER451" s="741"/>
      <c r="VES451" s="741"/>
      <c r="VET451" s="741"/>
      <c r="VEU451" s="741"/>
      <c r="VEV451" s="741"/>
      <c r="VEW451" s="741"/>
      <c r="VEX451" s="741"/>
      <c r="VEY451" s="741"/>
      <c r="VEZ451" s="741"/>
      <c r="VFA451" s="741"/>
      <c r="VFB451" s="741"/>
      <c r="VFC451" s="741"/>
      <c r="VFD451" s="741"/>
      <c r="VFE451" s="741"/>
      <c r="VFF451" s="741"/>
      <c r="VFG451" s="741"/>
      <c r="VFH451" s="741"/>
      <c r="VFI451" s="741"/>
      <c r="VFJ451" s="741"/>
      <c r="VFK451" s="741"/>
      <c r="VFL451" s="741"/>
      <c r="VFM451" s="741"/>
      <c r="VFN451" s="741"/>
      <c r="VFO451" s="741"/>
      <c r="VFP451" s="741"/>
      <c r="VFQ451" s="741"/>
      <c r="VFR451" s="741"/>
      <c r="VFS451" s="741"/>
      <c r="VFT451" s="741"/>
      <c r="VFU451" s="741"/>
      <c r="VFV451" s="741"/>
      <c r="VFW451" s="741"/>
      <c r="VFX451" s="741"/>
      <c r="VFY451" s="741"/>
      <c r="VFZ451" s="741"/>
      <c r="VGA451" s="741"/>
      <c r="VGB451" s="741"/>
      <c r="VGC451" s="741"/>
      <c r="VGD451" s="741"/>
      <c r="VGE451" s="741"/>
      <c r="VGF451" s="741"/>
      <c r="VGG451" s="741"/>
      <c r="VGH451" s="741"/>
      <c r="VGI451" s="741"/>
      <c r="VGJ451" s="741"/>
      <c r="VGK451" s="741"/>
      <c r="VGL451" s="741"/>
      <c r="VGM451" s="741"/>
      <c r="VGN451" s="741"/>
      <c r="VGO451" s="741"/>
      <c r="VGP451" s="741"/>
      <c r="VGQ451" s="741"/>
      <c r="VGR451" s="741"/>
      <c r="VGS451" s="741"/>
      <c r="VGT451" s="741"/>
      <c r="VGU451" s="741"/>
      <c r="VGV451" s="741"/>
      <c r="VGW451" s="741"/>
      <c r="VGX451" s="741"/>
      <c r="VGY451" s="741"/>
      <c r="VGZ451" s="741"/>
      <c r="VHA451" s="741"/>
      <c r="VHB451" s="741"/>
      <c r="VHC451" s="741"/>
      <c r="VHD451" s="741"/>
      <c r="VHE451" s="741"/>
      <c r="VHF451" s="741"/>
      <c r="VHG451" s="741"/>
      <c r="VHH451" s="741"/>
      <c r="VHI451" s="741"/>
      <c r="VHJ451" s="741"/>
      <c r="VHK451" s="741"/>
      <c r="VHL451" s="741"/>
      <c r="VHM451" s="741"/>
      <c r="VHN451" s="741"/>
      <c r="VHO451" s="741"/>
      <c r="VHP451" s="741"/>
      <c r="VHQ451" s="741"/>
      <c r="VHR451" s="741"/>
      <c r="VHS451" s="741"/>
      <c r="VHT451" s="741"/>
      <c r="VHU451" s="741"/>
      <c r="VHV451" s="741"/>
      <c r="VHW451" s="741"/>
      <c r="VHX451" s="741"/>
      <c r="VHY451" s="741"/>
      <c r="VHZ451" s="741"/>
      <c r="VIA451" s="741"/>
      <c r="VIB451" s="741"/>
      <c r="VIC451" s="741"/>
      <c r="VID451" s="741"/>
      <c r="VIE451" s="741"/>
      <c r="VIF451" s="741"/>
      <c r="VIG451" s="741"/>
      <c r="VIH451" s="741"/>
      <c r="VII451" s="741"/>
      <c r="VIJ451" s="741"/>
      <c r="VIK451" s="741"/>
      <c r="VIL451" s="741"/>
      <c r="VIM451" s="741"/>
      <c r="VIN451" s="741"/>
      <c r="VIO451" s="741"/>
      <c r="VIP451" s="741"/>
      <c r="VIQ451" s="741"/>
      <c r="VIR451" s="741"/>
      <c r="VIS451" s="741"/>
      <c r="VIT451" s="741"/>
      <c r="VIU451" s="741"/>
      <c r="VIV451" s="741"/>
      <c r="VIW451" s="741"/>
      <c r="VIX451" s="741"/>
      <c r="VIY451" s="741"/>
      <c r="VIZ451" s="741"/>
      <c r="VJA451" s="741"/>
      <c r="VJB451" s="741"/>
      <c r="VJC451" s="741"/>
      <c r="VJD451" s="741"/>
      <c r="VJE451" s="741"/>
      <c r="VJF451" s="741"/>
      <c r="VJG451" s="741"/>
      <c r="VJH451" s="741"/>
      <c r="VJI451" s="741"/>
      <c r="VJJ451" s="741"/>
      <c r="VJK451" s="741"/>
      <c r="VJL451" s="741"/>
      <c r="VJM451" s="741"/>
      <c r="VJN451" s="741"/>
      <c r="VJO451" s="741"/>
      <c r="VJP451" s="741"/>
      <c r="VJQ451" s="741"/>
      <c r="VJR451" s="741"/>
      <c r="VJS451" s="741"/>
      <c r="VJT451" s="741"/>
      <c r="VJU451" s="741"/>
      <c r="VJV451" s="741"/>
      <c r="VJW451" s="741"/>
      <c r="VJX451" s="741"/>
      <c r="VJY451" s="741"/>
      <c r="VJZ451" s="741"/>
      <c r="VKA451" s="741"/>
      <c r="VKB451" s="741"/>
      <c r="VKC451" s="741"/>
      <c r="VKD451" s="741"/>
      <c r="VKE451" s="741"/>
      <c r="VKF451" s="741"/>
      <c r="VKG451" s="741"/>
      <c r="VKH451" s="741"/>
      <c r="VKI451" s="741"/>
      <c r="VKJ451" s="741"/>
      <c r="VKK451" s="741"/>
      <c r="VKL451" s="741"/>
      <c r="VKM451" s="741"/>
      <c r="VKN451" s="741"/>
      <c r="VKO451" s="741"/>
      <c r="VKP451" s="741"/>
      <c r="VKQ451" s="741"/>
      <c r="VKR451" s="741"/>
      <c r="VKS451" s="741"/>
      <c r="VKT451" s="741"/>
      <c r="VKU451" s="741"/>
      <c r="VKV451" s="741"/>
      <c r="VKW451" s="741"/>
      <c r="VKX451" s="741"/>
      <c r="VKY451" s="741"/>
      <c r="VKZ451" s="741"/>
      <c r="VLA451" s="741"/>
      <c r="VLB451" s="741"/>
      <c r="VLC451" s="741"/>
      <c r="VLD451" s="741"/>
      <c r="VLE451" s="741"/>
      <c r="VLF451" s="741"/>
      <c r="VLG451" s="741"/>
      <c r="VLH451" s="741"/>
      <c r="VLI451" s="741"/>
      <c r="VLJ451" s="741"/>
      <c r="VLK451" s="741"/>
      <c r="VLL451" s="741"/>
      <c r="VLM451" s="741"/>
      <c r="VLN451" s="741"/>
      <c r="VLO451" s="741"/>
      <c r="VLP451" s="741"/>
      <c r="VLQ451" s="741"/>
      <c r="VLR451" s="741"/>
      <c r="VLS451" s="741"/>
      <c r="VLT451" s="741"/>
      <c r="VLU451" s="741"/>
      <c r="VLV451" s="741"/>
      <c r="VLW451" s="741"/>
      <c r="VLX451" s="741"/>
      <c r="VLY451" s="741"/>
      <c r="VLZ451" s="741"/>
      <c r="VMA451" s="741"/>
      <c r="VMB451" s="741"/>
      <c r="VMC451" s="741"/>
      <c r="VMD451" s="741"/>
      <c r="VME451" s="741"/>
      <c r="VMF451" s="741"/>
      <c r="VMG451" s="741"/>
      <c r="VMH451" s="741"/>
      <c r="VMI451" s="741"/>
      <c r="VMJ451" s="741"/>
      <c r="VMK451" s="741"/>
      <c r="VML451" s="741"/>
      <c r="VMM451" s="741"/>
      <c r="VMN451" s="741"/>
      <c r="VMO451" s="741"/>
      <c r="VMP451" s="741"/>
      <c r="VMQ451" s="741"/>
      <c r="VMR451" s="741"/>
      <c r="VMS451" s="741"/>
      <c r="VMT451" s="741"/>
      <c r="VMU451" s="741"/>
      <c r="VMV451" s="741"/>
      <c r="VMW451" s="741"/>
      <c r="VMX451" s="741"/>
      <c r="VMY451" s="741"/>
      <c r="VMZ451" s="741"/>
      <c r="VNA451" s="741"/>
      <c r="VNB451" s="741"/>
      <c r="VNC451" s="741"/>
      <c r="VND451" s="741"/>
      <c r="VNE451" s="741"/>
      <c r="VNF451" s="741"/>
      <c r="VNG451" s="741"/>
      <c r="VNH451" s="741"/>
      <c r="VNI451" s="741"/>
      <c r="VNJ451" s="741"/>
      <c r="VNK451" s="741"/>
      <c r="VNL451" s="741"/>
      <c r="VNM451" s="741"/>
      <c r="VNN451" s="741"/>
      <c r="VNO451" s="741"/>
      <c r="VNP451" s="741"/>
      <c r="VNQ451" s="741"/>
      <c r="VNR451" s="741"/>
      <c r="VNS451" s="741"/>
      <c r="VNT451" s="741"/>
      <c r="VNU451" s="741"/>
      <c r="VNV451" s="741"/>
      <c r="VNW451" s="741"/>
      <c r="VNX451" s="741"/>
      <c r="VNY451" s="741"/>
      <c r="VNZ451" s="741"/>
      <c r="VOA451" s="741"/>
      <c r="VOB451" s="741"/>
      <c r="VOC451" s="741"/>
      <c r="VOD451" s="741"/>
      <c r="VOE451" s="741"/>
      <c r="VOF451" s="741"/>
      <c r="VOG451" s="741"/>
      <c r="VOH451" s="741"/>
      <c r="VOI451" s="741"/>
      <c r="VOJ451" s="741"/>
      <c r="VOK451" s="741"/>
      <c r="VOL451" s="741"/>
      <c r="VOM451" s="741"/>
      <c r="VON451" s="741"/>
      <c r="VOO451" s="741"/>
      <c r="VOP451" s="741"/>
      <c r="VOQ451" s="741"/>
      <c r="VOR451" s="741"/>
      <c r="VOS451" s="741"/>
      <c r="VOT451" s="741"/>
      <c r="VOU451" s="741"/>
      <c r="VOV451" s="741"/>
      <c r="VOW451" s="741"/>
      <c r="VOX451" s="741"/>
      <c r="VOY451" s="741"/>
      <c r="VOZ451" s="741"/>
      <c r="VPA451" s="741"/>
      <c r="VPB451" s="741"/>
      <c r="VPC451" s="741"/>
      <c r="VPD451" s="741"/>
      <c r="VPE451" s="741"/>
      <c r="VPF451" s="741"/>
      <c r="VPG451" s="741"/>
      <c r="VPH451" s="741"/>
      <c r="VPI451" s="741"/>
      <c r="VPJ451" s="741"/>
      <c r="VPK451" s="741"/>
      <c r="VPL451" s="741"/>
      <c r="VPM451" s="741"/>
      <c r="VPN451" s="741"/>
      <c r="VPO451" s="741"/>
      <c r="VPP451" s="741"/>
      <c r="VPQ451" s="741"/>
      <c r="VPR451" s="741"/>
      <c r="VPS451" s="741"/>
      <c r="VPT451" s="741"/>
      <c r="VPU451" s="741"/>
      <c r="VPV451" s="741"/>
      <c r="VPW451" s="741"/>
      <c r="VPX451" s="741"/>
      <c r="VPY451" s="741"/>
      <c r="VPZ451" s="741"/>
      <c r="VQA451" s="741"/>
      <c r="VQB451" s="741"/>
      <c r="VQC451" s="741"/>
      <c r="VQD451" s="741"/>
      <c r="VQE451" s="741"/>
      <c r="VQF451" s="741"/>
      <c r="VQG451" s="741"/>
      <c r="VQH451" s="741"/>
      <c r="VQI451" s="741"/>
      <c r="VQJ451" s="741"/>
      <c r="VQK451" s="741"/>
      <c r="VQL451" s="741"/>
      <c r="VQM451" s="741"/>
      <c r="VQN451" s="741"/>
      <c r="VQO451" s="741"/>
      <c r="VQP451" s="741"/>
      <c r="VQQ451" s="741"/>
      <c r="VQR451" s="741"/>
      <c r="VQS451" s="741"/>
      <c r="VQT451" s="741"/>
      <c r="VQU451" s="741"/>
      <c r="VQV451" s="741"/>
      <c r="VQW451" s="741"/>
      <c r="VQX451" s="741"/>
      <c r="VQY451" s="741"/>
      <c r="VQZ451" s="741"/>
      <c r="VRA451" s="741"/>
      <c r="VRB451" s="741"/>
      <c r="VRC451" s="741"/>
      <c r="VRD451" s="741"/>
      <c r="VRE451" s="741"/>
      <c r="VRF451" s="741"/>
      <c r="VRG451" s="741"/>
      <c r="VRH451" s="741"/>
      <c r="VRI451" s="741"/>
      <c r="VRJ451" s="741"/>
      <c r="VRK451" s="741"/>
      <c r="VRL451" s="741"/>
      <c r="VRM451" s="741"/>
      <c r="VRN451" s="741"/>
      <c r="VRO451" s="741"/>
      <c r="VRP451" s="741"/>
      <c r="VRQ451" s="741"/>
      <c r="VRR451" s="741"/>
      <c r="VRS451" s="741"/>
      <c r="VRT451" s="741"/>
      <c r="VRU451" s="741"/>
      <c r="VRV451" s="741"/>
      <c r="VRW451" s="741"/>
      <c r="VRX451" s="741"/>
      <c r="VRY451" s="741"/>
      <c r="VRZ451" s="741"/>
      <c r="VSA451" s="741"/>
      <c r="VSB451" s="741"/>
      <c r="VSC451" s="741"/>
      <c r="VSD451" s="741"/>
      <c r="VSE451" s="741"/>
      <c r="VSF451" s="741"/>
      <c r="VSG451" s="741"/>
      <c r="VSH451" s="741"/>
      <c r="VSI451" s="741"/>
      <c r="VSJ451" s="741"/>
      <c r="VSK451" s="741"/>
      <c r="VSL451" s="741"/>
      <c r="VSM451" s="741"/>
      <c r="VSN451" s="741"/>
      <c r="VSO451" s="741"/>
      <c r="VSP451" s="741"/>
      <c r="VSQ451" s="741"/>
      <c r="VSR451" s="741"/>
      <c r="VSS451" s="741"/>
      <c r="VST451" s="741"/>
      <c r="VSU451" s="741"/>
      <c r="VSV451" s="741"/>
      <c r="VSW451" s="741"/>
      <c r="VSX451" s="741"/>
      <c r="VSY451" s="741"/>
      <c r="VSZ451" s="741"/>
      <c r="VTA451" s="741"/>
      <c r="VTB451" s="741"/>
      <c r="VTC451" s="741"/>
      <c r="VTD451" s="741"/>
      <c r="VTE451" s="741"/>
      <c r="VTF451" s="741"/>
      <c r="VTG451" s="741"/>
      <c r="VTH451" s="741"/>
      <c r="VTI451" s="741"/>
      <c r="VTJ451" s="741"/>
      <c r="VTK451" s="741"/>
      <c r="VTL451" s="741"/>
      <c r="VTM451" s="741"/>
      <c r="VTN451" s="741"/>
      <c r="VTO451" s="741"/>
      <c r="VTP451" s="741"/>
      <c r="VTQ451" s="741"/>
      <c r="VTR451" s="741"/>
      <c r="VTS451" s="741"/>
      <c r="VTT451" s="741"/>
      <c r="VTU451" s="741"/>
      <c r="VTV451" s="741"/>
      <c r="VTW451" s="741"/>
      <c r="VTX451" s="741"/>
      <c r="VTY451" s="741"/>
      <c r="VTZ451" s="741"/>
      <c r="VUA451" s="741"/>
      <c r="VUB451" s="741"/>
      <c r="VUC451" s="741"/>
      <c r="VUD451" s="741"/>
      <c r="VUE451" s="741"/>
      <c r="VUF451" s="741"/>
      <c r="VUG451" s="741"/>
      <c r="VUH451" s="741"/>
      <c r="VUI451" s="741"/>
      <c r="VUJ451" s="741"/>
      <c r="VUK451" s="741"/>
      <c r="VUL451" s="741"/>
      <c r="VUM451" s="741"/>
      <c r="VUN451" s="741"/>
      <c r="VUO451" s="741"/>
      <c r="VUP451" s="741"/>
      <c r="VUQ451" s="741"/>
      <c r="VUR451" s="741"/>
      <c r="VUS451" s="741"/>
      <c r="VUT451" s="741"/>
      <c r="VUU451" s="741"/>
      <c r="VUV451" s="741"/>
      <c r="VUW451" s="741"/>
      <c r="VUX451" s="741"/>
      <c r="VUY451" s="741"/>
      <c r="VUZ451" s="741"/>
      <c r="VVA451" s="741"/>
      <c r="VVB451" s="741"/>
      <c r="VVC451" s="741"/>
      <c r="VVD451" s="741"/>
      <c r="VVE451" s="741"/>
      <c r="VVF451" s="741"/>
      <c r="VVG451" s="741"/>
      <c r="VVH451" s="741"/>
      <c r="VVI451" s="741"/>
      <c r="VVJ451" s="741"/>
      <c r="VVK451" s="741"/>
      <c r="VVL451" s="741"/>
      <c r="VVM451" s="741"/>
      <c r="VVN451" s="741"/>
      <c r="VVO451" s="741"/>
      <c r="VVP451" s="741"/>
      <c r="VVQ451" s="741"/>
      <c r="VVR451" s="741"/>
      <c r="VVS451" s="741"/>
      <c r="VVT451" s="741"/>
      <c r="VVU451" s="741"/>
      <c r="VVV451" s="741"/>
      <c r="VVW451" s="741"/>
      <c r="VVX451" s="741"/>
      <c r="VVY451" s="741"/>
      <c r="VVZ451" s="741"/>
      <c r="VWA451" s="741"/>
      <c r="VWB451" s="741"/>
      <c r="VWC451" s="741"/>
      <c r="VWD451" s="741"/>
      <c r="VWE451" s="741"/>
      <c r="VWF451" s="741"/>
      <c r="VWG451" s="741"/>
      <c r="VWH451" s="741"/>
      <c r="VWI451" s="741"/>
      <c r="VWJ451" s="741"/>
      <c r="VWK451" s="741"/>
      <c r="VWL451" s="741"/>
      <c r="VWM451" s="741"/>
      <c r="VWN451" s="741"/>
      <c r="VWO451" s="741"/>
      <c r="VWP451" s="741"/>
      <c r="VWQ451" s="741"/>
      <c r="VWR451" s="741"/>
      <c r="VWS451" s="741"/>
      <c r="VWT451" s="741"/>
      <c r="VWU451" s="741"/>
      <c r="VWV451" s="741"/>
      <c r="VWW451" s="741"/>
      <c r="VWX451" s="741"/>
      <c r="VWY451" s="741"/>
      <c r="VWZ451" s="741"/>
      <c r="VXA451" s="741"/>
      <c r="VXB451" s="741"/>
      <c r="VXC451" s="741"/>
      <c r="VXD451" s="741"/>
      <c r="VXE451" s="741"/>
      <c r="VXF451" s="741"/>
      <c r="VXG451" s="741"/>
      <c r="VXH451" s="741"/>
      <c r="VXI451" s="741"/>
      <c r="VXJ451" s="741"/>
      <c r="VXK451" s="741"/>
      <c r="VXL451" s="741"/>
      <c r="VXM451" s="741"/>
      <c r="VXN451" s="741"/>
      <c r="VXO451" s="741"/>
      <c r="VXP451" s="741"/>
      <c r="VXQ451" s="741"/>
      <c r="VXR451" s="741"/>
      <c r="VXS451" s="741"/>
      <c r="VXT451" s="741"/>
      <c r="VXU451" s="741"/>
      <c r="VXV451" s="741"/>
      <c r="VXW451" s="741"/>
      <c r="VXX451" s="741"/>
      <c r="VXY451" s="741"/>
      <c r="VXZ451" s="741"/>
      <c r="VYA451" s="741"/>
      <c r="VYB451" s="741"/>
      <c r="VYC451" s="741"/>
      <c r="VYD451" s="741"/>
      <c r="VYE451" s="741"/>
      <c r="VYF451" s="741"/>
      <c r="VYG451" s="741"/>
      <c r="VYH451" s="741"/>
      <c r="VYI451" s="741"/>
      <c r="VYJ451" s="741"/>
      <c r="VYK451" s="741"/>
      <c r="VYL451" s="741"/>
      <c r="VYM451" s="741"/>
      <c r="VYN451" s="741"/>
      <c r="VYO451" s="741"/>
      <c r="VYP451" s="741"/>
      <c r="VYQ451" s="741"/>
      <c r="VYR451" s="741"/>
      <c r="VYS451" s="741"/>
      <c r="VYT451" s="741"/>
      <c r="VYU451" s="741"/>
      <c r="VYV451" s="741"/>
      <c r="VYW451" s="741"/>
      <c r="VYX451" s="741"/>
      <c r="VYY451" s="741"/>
      <c r="VYZ451" s="741"/>
      <c r="VZA451" s="741"/>
      <c r="VZB451" s="741"/>
      <c r="VZC451" s="741"/>
      <c r="VZD451" s="741"/>
      <c r="VZE451" s="741"/>
      <c r="VZF451" s="741"/>
      <c r="VZG451" s="741"/>
      <c r="VZH451" s="741"/>
      <c r="VZI451" s="741"/>
      <c r="VZJ451" s="741"/>
      <c r="VZK451" s="741"/>
      <c r="VZL451" s="741"/>
      <c r="VZM451" s="741"/>
      <c r="VZN451" s="741"/>
      <c r="VZO451" s="741"/>
      <c r="VZP451" s="741"/>
      <c r="VZQ451" s="741"/>
      <c r="VZR451" s="741"/>
      <c r="VZS451" s="741"/>
      <c r="VZT451" s="741"/>
      <c r="VZU451" s="741"/>
      <c r="VZV451" s="741"/>
      <c r="VZW451" s="741"/>
      <c r="VZX451" s="741"/>
      <c r="VZY451" s="741"/>
      <c r="VZZ451" s="741"/>
      <c r="WAA451" s="741"/>
      <c r="WAB451" s="741"/>
      <c r="WAC451" s="741"/>
      <c r="WAD451" s="741"/>
      <c r="WAE451" s="741"/>
      <c r="WAF451" s="741"/>
      <c r="WAG451" s="741"/>
      <c r="WAH451" s="741"/>
      <c r="WAI451" s="741"/>
      <c r="WAJ451" s="741"/>
      <c r="WAK451" s="741"/>
      <c r="WAL451" s="741"/>
      <c r="WAM451" s="741"/>
      <c r="WAN451" s="741"/>
      <c r="WAO451" s="741"/>
      <c r="WAP451" s="741"/>
      <c r="WAQ451" s="741"/>
      <c r="WAR451" s="741"/>
      <c r="WAS451" s="741"/>
      <c r="WAT451" s="741"/>
      <c r="WAU451" s="741"/>
      <c r="WAV451" s="741"/>
      <c r="WAW451" s="741"/>
      <c r="WAX451" s="741"/>
      <c r="WAY451" s="741"/>
      <c r="WAZ451" s="741"/>
      <c r="WBA451" s="741"/>
      <c r="WBB451" s="741"/>
      <c r="WBC451" s="741"/>
      <c r="WBD451" s="741"/>
      <c r="WBE451" s="741"/>
      <c r="WBF451" s="741"/>
      <c r="WBG451" s="741"/>
      <c r="WBH451" s="741"/>
      <c r="WBI451" s="741"/>
      <c r="WBJ451" s="741"/>
      <c r="WBK451" s="741"/>
      <c r="WBL451" s="741"/>
      <c r="WBM451" s="741"/>
      <c r="WBN451" s="741"/>
      <c r="WBO451" s="741"/>
      <c r="WBP451" s="741"/>
      <c r="WBQ451" s="741"/>
      <c r="WBR451" s="741"/>
      <c r="WBS451" s="741"/>
      <c r="WBT451" s="741"/>
      <c r="WBU451" s="741"/>
      <c r="WBV451" s="741"/>
      <c r="WBW451" s="741"/>
      <c r="WBX451" s="741"/>
      <c r="WBY451" s="741"/>
      <c r="WBZ451" s="741"/>
      <c r="WCA451" s="741"/>
      <c r="WCB451" s="741"/>
      <c r="WCC451" s="741"/>
      <c r="WCD451" s="741"/>
      <c r="WCE451" s="741"/>
      <c r="WCF451" s="741"/>
      <c r="WCG451" s="741"/>
      <c r="WCH451" s="741"/>
      <c r="WCI451" s="741"/>
      <c r="WCJ451" s="741"/>
      <c r="WCK451" s="741"/>
      <c r="WCL451" s="741"/>
      <c r="WCM451" s="741"/>
      <c r="WCN451" s="741"/>
      <c r="WCO451" s="741"/>
      <c r="WCP451" s="741"/>
      <c r="WCQ451" s="741"/>
      <c r="WCR451" s="741"/>
      <c r="WCS451" s="741"/>
      <c r="WCT451" s="741"/>
      <c r="WCU451" s="741"/>
      <c r="WCV451" s="741"/>
      <c r="WCW451" s="741"/>
      <c r="WCX451" s="741"/>
      <c r="WCY451" s="741"/>
      <c r="WCZ451" s="741"/>
      <c r="WDA451" s="741"/>
      <c r="WDB451" s="741"/>
      <c r="WDC451" s="741"/>
      <c r="WDD451" s="741"/>
      <c r="WDE451" s="741"/>
      <c r="WDF451" s="741"/>
      <c r="WDG451" s="741"/>
      <c r="WDH451" s="741"/>
      <c r="WDI451" s="741"/>
      <c r="WDJ451" s="741"/>
      <c r="WDK451" s="741"/>
      <c r="WDL451" s="741"/>
      <c r="WDM451" s="741"/>
      <c r="WDN451" s="741"/>
      <c r="WDO451" s="741"/>
      <c r="WDP451" s="741"/>
      <c r="WDQ451" s="741"/>
      <c r="WDR451" s="741"/>
      <c r="WDS451" s="741"/>
      <c r="WDT451" s="741"/>
      <c r="WDU451" s="741"/>
      <c r="WDV451" s="741"/>
      <c r="WDW451" s="741"/>
      <c r="WDX451" s="741"/>
      <c r="WDY451" s="741"/>
      <c r="WDZ451" s="741"/>
      <c r="WEA451" s="741"/>
      <c r="WEB451" s="741"/>
      <c r="WEC451" s="741"/>
      <c r="WED451" s="741"/>
      <c r="WEE451" s="741"/>
      <c r="WEF451" s="741"/>
      <c r="WEG451" s="741"/>
      <c r="WEH451" s="741"/>
      <c r="WEI451" s="741"/>
      <c r="WEJ451" s="741"/>
      <c r="WEK451" s="741"/>
      <c r="WEL451" s="741"/>
      <c r="WEM451" s="741"/>
      <c r="WEN451" s="741"/>
      <c r="WEO451" s="741"/>
      <c r="WEP451" s="741"/>
      <c r="WEQ451" s="741"/>
      <c r="WER451" s="741"/>
      <c r="WES451" s="741"/>
      <c r="WET451" s="741"/>
      <c r="WEU451" s="741"/>
      <c r="WEV451" s="741"/>
      <c r="WEW451" s="741"/>
      <c r="WEX451" s="741"/>
      <c r="WEY451" s="741"/>
      <c r="WEZ451" s="741"/>
      <c r="WFA451" s="741"/>
      <c r="WFB451" s="741"/>
      <c r="WFC451" s="741"/>
      <c r="WFD451" s="741"/>
      <c r="WFE451" s="741"/>
      <c r="WFF451" s="741"/>
      <c r="WFG451" s="741"/>
      <c r="WFH451" s="741"/>
      <c r="WFI451" s="741"/>
      <c r="WFJ451" s="741"/>
      <c r="WFK451" s="741"/>
      <c r="WFL451" s="741"/>
      <c r="WFM451" s="741"/>
      <c r="WFN451" s="741"/>
      <c r="WFO451" s="741"/>
      <c r="WFP451" s="741"/>
      <c r="WFQ451" s="741"/>
      <c r="WFR451" s="741"/>
      <c r="WFS451" s="741"/>
      <c r="WFT451" s="741"/>
      <c r="WFU451" s="741"/>
      <c r="WFV451" s="741"/>
      <c r="WFW451" s="741"/>
      <c r="WFX451" s="741"/>
      <c r="WFY451" s="741"/>
      <c r="WFZ451" s="741"/>
      <c r="WGA451" s="741"/>
      <c r="WGB451" s="741"/>
      <c r="WGC451" s="741"/>
      <c r="WGD451" s="741"/>
      <c r="WGE451" s="741"/>
      <c r="WGF451" s="741"/>
      <c r="WGG451" s="741"/>
      <c r="WGH451" s="741"/>
      <c r="WGI451" s="741"/>
      <c r="WGJ451" s="741"/>
      <c r="WGK451" s="741"/>
      <c r="WGL451" s="741"/>
      <c r="WGM451" s="741"/>
      <c r="WGN451" s="741"/>
      <c r="WGO451" s="741"/>
      <c r="WGP451" s="741"/>
      <c r="WGQ451" s="741"/>
      <c r="WGR451" s="741"/>
      <c r="WGS451" s="741"/>
      <c r="WGT451" s="741"/>
      <c r="WGU451" s="741"/>
      <c r="WGV451" s="741"/>
      <c r="WGW451" s="741"/>
      <c r="WGX451" s="741"/>
      <c r="WGY451" s="741"/>
      <c r="WGZ451" s="741"/>
      <c r="WHA451" s="741"/>
      <c r="WHB451" s="741"/>
      <c r="WHC451" s="741"/>
      <c r="WHD451" s="741"/>
      <c r="WHE451" s="741"/>
      <c r="WHF451" s="741"/>
      <c r="WHG451" s="741"/>
      <c r="WHH451" s="741"/>
      <c r="WHI451" s="741"/>
      <c r="WHJ451" s="741"/>
      <c r="WHK451" s="741"/>
      <c r="WHL451" s="741"/>
      <c r="WHM451" s="741"/>
      <c r="WHN451" s="741"/>
      <c r="WHO451" s="741"/>
      <c r="WHP451" s="741"/>
      <c r="WHQ451" s="741"/>
      <c r="WHR451" s="741"/>
      <c r="WHS451" s="741"/>
      <c r="WHT451" s="741"/>
      <c r="WHU451" s="741"/>
      <c r="WHV451" s="741"/>
      <c r="WHW451" s="741"/>
      <c r="WHX451" s="741"/>
      <c r="WHY451" s="741"/>
      <c r="WHZ451" s="741"/>
      <c r="WIA451" s="741"/>
      <c r="WIB451" s="741"/>
      <c r="WIC451" s="741"/>
      <c r="WID451" s="741"/>
      <c r="WIE451" s="741"/>
      <c r="WIF451" s="741"/>
      <c r="WIG451" s="741"/>
      <c r="WIH451" s="741"/>
      <c r="WII451" s="741"/>
      <c r="WIJ451" s="741"/>
      <c r="WIK451" s="741"/>
      <c r="WIL451" s="741"/>
      <c r="WIM451" s="741"/>
      <c r="WIN451" s="741"/>
      <c r="WIO451" s="741"/>
      <c r="WIP451" s="741"/>
      <c r="WIQ451" s="741"/>
      <c r="WIR451" s="741"/>
      <c r="WIS451" s="741"/>
      <c r="WIT451" s="741"/>
      <c r="WIU451" s="741"/>
      <c r="WIV451" s="741"/>
      <c r="WIW451" s="741"/>
      <c r="WIX451" s="741"/>
      <c r="WIY451" s="741"/>
      <c r="WIZ451" s="741"/>
      <c r="WJA451" s="741"/>
      <c r="WJB451" s="741"/>
      <c r="WJC451" s="741"/>
      <c r="WJD451" s="741"/>
      <c r="WJE451" s="741"/>
      <c r="WJF451" s="741"/>
      <c r="WJG451" s="741"/>
      <c r="WJH451" s="741"/>
      <c r="WJI451" s="741"/>
      <c r="WJJ451" s="741"/>
      <c r="WJK451" s="741"/>
      <c r="WJL451" s="741"/>
      <c r="WJM451" s="741"/>
      <c r="WJN451" s="741"/>
      <c r="WJO451" s="741"/>
      <c r="WJP451" s="741"/>
      <c r="WJQ451" s="741"/>
      <c r="WJR451" s="741"/>
      <c r="WJS451" s="741"/>
      <c r="WJT451" s="741"/>
      <c r="WJU451" s="741"/>
      <c r="WJV451" s="741"/>
      <c r="WJW451" s="741"/>
      <c r="WJX451" s="741"/>
      <c r="WJY451" s="741"/>
      <c r="WJZ451" s="741"/>
      <c r="WKA451" s="741"/>
      <c r="WKB451" s="741"/>
      <c r="WKC451" s="741"/>
      <c r="WKD451" s="741"/>
      <c r="WKE451" s="741"/>
      <c r="WKF451" s="741"/>
      <c r="WKG451" s="741"/>
      <c r="WKH451" s="741"/>
      <c r="WKI451" s="741"/>
      <c r="WKJ451" s="741"/>
      <c r="WKK451" s="741"/>
      <c r="WKL451" s="741"/>
      <c r="WKM451" s="741"/>
      <c r="WKN451" s="741"/>
      <c r="WKO451" s="741"/>
      <c r="WKP451" s="741"/>
      <c r="WKQ451" s="741"/>
      <c r="WKR451" s="741"/>
      <c r="WKS451" s="741"/>
      <c r="WKT451" s="741"/>
      <c r="WKU451" s="741"/>
      <c r="WKV451" s="741"/>
      <c r="WKW451" s="741"/>
      <c r="WKX451" s="741"/>
      <c r="WKY451" s="741"/>
      <c r="WKZ451" s="741"/>
      <c r="WLA451" s="741"/>
      <c r="WLB451" s="741"/>
      <c r="WLC451" s="741"/>
      <c r="WLD451" s="741"/>
      <c r="WLE451" s="741"/>
      <c r="WLF451" s="741"/>
      <c r="WLG451" s="741"/>
      <c r="WLH451" s="741"/>
      <c r="WLI451" s="741"/>
      <c r="WLJ451" s="741"/>
      <c r="WLK451" s="741"/>
      <c r="WLL451" s="741"/>
      <c r="WLM451" s="741"/>
      <c r="WLN451" s="741"/>
      <c r="WLO451" s="741"/>
      <c r="WLP451" s="741"/>
      <c r="WLQ451" s="741"/>
      <c r="WLR451" s="741"/>
      <c r="WLS451" s="741"/>
      <c r="WLT451" s="741"/>
      <c r="WLU451" s="741"/>
      <c r="WLV451" s="741"/>
      <c r="WLW451" s="741"/>
      <c r="WLX451" s="741"/>
      <c r="WLY451" s="741"/>
      <c r="WLZ451" s="741"/>
      <c r="WMA451" s="741"/>
      <c r="WMB451" s="741"/>
      <c r="WMC451" s="741"/>
      <c r="WMD451" s="741"/>
      <c r="WME451" s="741"/>
      <c r="WMF451" s="741"/>
      <c r="WMG451" s="741"/>
      <c r="WMH451" s="741"/>
      <c r="WMI451" s="741"/>
      <c r="WMJ451" s="741"/>
      <c r="WMK451" s="741"/>
      <c r="WML451" s="741"/>
      <c r="WMM451" s="741"/>
      <c r="WMN451" s="741"/>
      <c r="WMO451" s="741"/>
      <c r="WMP451" s="741"/>
      <c r="WMQ451" s="741"/>
      <c r="WMR451" s="741"/>
      <c r="WMS451" s="741"/>
      <c r="WMT451" s="741"/>
      <c r="WMU451" s="741"/>
      <c r="WMV451" s="741"/>
      <c r="WMW451" s="741"/>
      <c r="WMX451" s="741"/>
      <c r="WMY451" s="741"/>
      <c r="WMZ451" s="741"/>
      <c r="WNA451" s="741"/>
      <c r="WNB451" s="741"/>
      <c r="WNC451" s="741"/>
      <c r="WND451" s="741"/>
      <c r="WNE451" s="741"/>
      <c r="WNF451" s="741"/>
      <c r="WNG451" s="741"/>
      <c r="WNH451" s="741"/>
      <c r="WNI451" s="741"/>
      <c r="WNJ451" s="741"/>
      <c r="WNK451" s="741"/>
      <c r="WNL451" s="741"/>
      <c r="WNM451" s="741"/>
      <c r="WNN451" s="741"/>
      <c r="WNO451" s="741"/>
      <c r="WNP451" s="741"/>
      <c r="WNQ451" s="741"/>
      <c r="WNR451" s="741"/>
      <c r="WNS451" s="741"/>
      <c r="WNT451" s="741"/>
      <c r="WNU451" s="741"/>
      <c r="WNV451" s="741"/>
      <c r="WNW451" s="741"/>
      <c r="WNX451" s="741"/>
      <c r="WNY451" s="741"/>
      <c r="WNZ451" s="741"/>
      <c r="WOA451" s="741"/>
      <c r="WOB451" s="741"/>
      <c r="WOC451" s="741"/>
      <c r="WOD451" s="741"/>
      <c r="WOE451" s="741"/>
      <c r="WOF451" s="741"/>
      <c r="WOG451" s="741"/>
      <c r="WOH451" s="741"/>
      <c r="WOI451" s="741"/>
      <c r="WOJ451" s="741"/>
      <c r="WOK451" s="741"/>
      <c r="WOL451" s="741"/>
      <c r="WOM451" s="741"/>
      <c r="WON451" s="741"/>
      <c r="WOO451" s="741"/>
      <c r="WOP451" s="741"/>
      <c r="WOQ451" s="741"/>
      <c r="WOR451" s="741"/>
      <c r="WOS451" s="741"/>
      <c r="WOT451" s="741"/>
      <c r="WOU451" s="741"/>
      <c r="WOV451" s="741"/>
      <c r="WOW451" s="741"/>
      <c r="WOX451" s="741"/>
      <c r="WOY451" s="741"/>
      <c r="WOZ451" s="741"/>
      <c r="WPA451" s="741"/>
      <c r="WPB451" s="741"/>
      <c r="WPC451" s="741"/>
      <c r="WPD451" s="741"/>
      <c r="WPE451" s="741"/>
      <c r="WPF451" s="741"/>
      <c r="WPG451" s="741"/>
      <c r="WPH451" s="741"/>
      <c r="WPI451" s="741"/>
      <c r="WPJ451" s="741"/>
      <c r="WPK451" s="741"/>
      <c r="WPL451" s="741"/>
      <c r="WPM451" s="741"/>
      <c r="WPN451" s="741"/>
      <c r="WPO451" s="741"/>
      <c r="WPP451" s="741"/>
      <c r="WPQ451" s="741"/>
      <c r="WPR451" s="741"/>
      <c r="WPS451" s="741"/>
      <c r="WPT451" s="741"/>
      <c r="WPU451" s="741"/>
      <c r="WPV451" s="741"/>
      <c r="WPW451" s="741"/>
      <c r="WPX451" s="741"/>
      <c r="WPY451" s="741"/>
      <c r="WPZ451" s="741"/>
      <c r="WQA451" s="741"/>
      <c r="WQB451" s="741"/>
      <c r="WQC451" s="741"/>
      <c r="WQD451" s="741"/>
      <c r="WQE451" s="741"/>
      <c r="WQF451" s="741"/>
      <c r="WQG451" s="741"/>
      <c r="WQH451" s="741"/>
      <c r="WQI451" s="741"/>
      <c r="WQJ451" s="741"/>
      <c r="WQK451" s="741"/>
      <c r="WQL451" s="741"/>
      <c r="WQM451" s="741"/>
      <c r="WQN451" s="741"/>
      <c r="WQO451" s="741"/>
      <c r="WQP451" s="741"/>
      <c r="WQQ451" s="741"/>
      <c r="WQR451" s="741"/>
      <c r="WQS451" s="741"/>
      <c r="WQT451" s="741"/>
      <c r="WQU451" s="741"/>
      <c r="WQV451" s="741"/>
      <c r="WQW451" s="741"/>
      <c r="WQX451" s="741"/>
      <c r="WQY451" s="741"/>
      <c r="WQZ451" s="741"/>
      <c r="WRA451" s="741"/>
      <c r="WRB451" s="741"/>
      <c r="WRC451" s="741"/>
      <c r="WRD451" s="741"/>
      <c r="WRE451" s="741"/>
      <c r="WRF451" s="741"/>
      <c r="WRG451" s="741"/>
      <c r="WRH451" s="741"/>
      <c r="WRI451" s="741"/>
      <c r="WRJ451" s="741"/>
      <c r="WRK451" s="741"/>
      <c r="WRL451" s="741"/>
      <c r="WRM451" s="741"/>
      <c r="WRN451" s="741"/>
      <c r="WRO451" s="741"/>
      <c r="WRP451" s="741"/>
      <c r="WRQ451" s="741"/>
      <c r="WRR451" s="741"/>
      <c r="WRS451" s="741"/>
      <c r="WRT451" s="741"/>
      <c r="WRU451" s="741"/>
      <c r="WRV451" s="741"/>
      <c r="WRW451" s="741"/>
      <c r="WRX451" s="741"/>
      <c r="WRY451" s="741"/>
      <c r="WRZ451" s="741"/>
      <c r="WSA451" s="741"/>
      <c r="WSB451" s="741"/>
      <c r="WSC451" s="741"/>
      <c r="WSD451" s="741"/>
      <c r="WSE451" s="741"/>
      <c r="WSF451" s="741"/>
      <c r="WSG451" s="741"/>
      <c r="WSH451" s="741"/>
      <c r="WSI451" s="741"/>
      <c r="WSJ451" s="741"/>
      <c r="WSK451" s="741"/>
      <c r="WSL451" s="741"/>
      <c r="WSM451" s="741"/>
      <c r="WSN451" s="741"/>
      <c r="WSO451" s="741"/>
      <c r="WSP451" s="741"/>
      <c r="WSQ451" s="741"/>
      <c r="WSR451" s="741"/>
      <c r="WSS451" s="741"/>
      <c r="WST451" s="741"/>
      <c r="WSU451" s="741"/>
      <c r="WSV451" s="741"/>
      <c r="WSW451" s="741"/>
      <c r="WSX451" s="741"/>
      <c r="WSY451" s="741"/>
      <c r="WSZ451" s="741"/>
      <c r="WTA451" s="741"/>
      <c r="WTB451" s="741"/>
      <c r="WTC451" s="741"/>
      <c r="WTD451" s="741"/>
      <c r="WTE451" s="741"/>
      <c r="WTF451" s="741"/>
      <c r="WTG451" s="741"/>
      <c r="WTH451" s="741"/>
      <c r="WTI451" s="741"/>
      <c r="WTJ451" s="741"/>
      <c r="WTK451" s="741"/>
      <c r="WTL451" s="741"/>
      <c r="WTM451" s="741"/>
      <c r="WTN451" s="741"/>
      <c r="WTO451" s="741"/>
      <c r="WTP451" s="741"/>
      <c r="WTQ451" s="741"/>
      <c r="WTR451" s="741"/>
      <c r="WTS451" s="741"/>
      <c r="WTT451" s="741"/>
      <c r="WTU451" s="741"/>
      <c r="WTV451" s="741"/>
      <c r="WTW451" s="741"/>
      <c r="WTX451" s="741"/>
      <c r="WTY451" s="741"/>
      <c r="WTZ451" s="741"/>
      <c r="WUA451" s="741"/>
      <c r="WUB451" s="741"/>
      <c r="WUC451" s="741"/>
      <c r="WUD451" s="741"/>
      <c r="WUE451" s="741"/>
      <c r="WUF451" s="741"/>
      <c r="WUG451" s="741"/>
      <c r="WUH451" s="741"/>
      <c r="WUI451" s="741"/>
      <c r="WUJ451" s="741"/>
      <c r="WUK451" s="741"/>
      <c r="WUL451" s="741"/>
      <c r="WUM451" s="741"/>
      <c r="WUN451" s="741"/>
      <c r="WUO451" s="741"/>
      <c r="WUP451" s="741"/>
      <c r="WUQ451" s="741"/>
      <c r="WUR451" s="741"/>
      <c r="WUS451" s="741"/>
      <c r="WUT451" s="741"/>
      <c r="WUU451" s="741"/>
      <c r="WUV451" s="741"/>
      <c r="WUW451" s="741"/>
      <c r="WUX451" s="741"/>
      <c r="WUY451" s="741"/>
      <c r="WUZ451" s="741"/>
      <c r="WVA451" s="741"/>
      <c r="WVB451" s="741"/>
      <c r="WVC451" s="741"/>
      <c r="WVD451" s="741"/>
      <c r="WVE451" s="741"/>
      <c r="WVF451" s="741"/>
      <c r="WVG451" s="741"/>
      <c r="WVH451" s="741"/>
      <c r="WVI451" s="741"/>
      <c r="WVJ451" s="741"/>
      <c r="WVK451" s="741"/>
      <c r="WVL451" s="741"/>
      <c r="WVM451" s="741"/>
      <c r="WVN451" s="741"/>
      <c r="WVO451" s="741"/>
      <c r="WVP451" s="741"/>
      <c r="WVQ451" s="741"/>
      <c r="WVR451" s="741"/>
      <c r="WVS451" s="741"/>
      <c r="WVT451" s="741"/>
      <c r="WVU451" s="741"/>
      <c r="WVV451" s="741"/>
      <c r="WVW451" s="741"/>
      <c r="WVX451" s="741"/>
      <c r="WVY451" s="741"/>
      <c r="WVZ451" s="741"/>
      <c r="WWA451" s="741"/>
      <c r="WWB451" s="741"/>
      <c r="WWC451" s="741"/>
      <c r="WWD451" s="741"/>
      <c r="WWE451" s="741"/>
      <c r="WWF451" s="741"/>
      <c r="WWG451" s="741"/>
      <c r="WWH451" s="741"/>
      <c r="WWI451" s="741"/>
      <c r="WWJ451" s="741"/>
      <c r="WWK451" s="741"/>
      <c r="WWL451" s="741"/>
      <c r="WWM451" s="741"/>
      <c r="WWN451" s="741"/>
      <c r="WWO451" s="741"/>
      <c r="WWP451" s="741"/>
      <c r="WWQ451" s="741"/>
      <c r="WWR451" s="741"/>
      <c r="WWS451" s="741"/>
      <c r="WWT451" s="741"/>
      <c r="WWU451" s="741"/>
      <c r="WWV451" s="741"/>
      <c r="WWW451" s="741"/>
      <c r="WWX451" s="741"/>
      <c r="WWY451" s="741"/>
      <c r="WWZ451" s="741"/>
      <c r="WXA451" s="741"/>
      <c r="WXB451" s="741"/>
      <c r="WXC451" s="741"/>
      <c r="WXD451" s="741"/>
      <c r="WXE451" s="741"/>
      <c r="WXF451" s="741"/>
      <c r="WXG451" s="741"/>
      <c r="WXH451" s="741"/>
      <c r="WXI451" s="741"/>
      <c r="WXJ451" s="741"/>
      <c r="WXK451" s="741"/>
      <c r="WXL451" s="741"/>
      <c r="WXM451" s="741"/>
      <c r="WXN451" s="741"/>
      <c r="WXO451" s="741"/>
      <c r="WXP451" s="741"/>
      <c r="WXQ451" s="741"/>
      <c r="WXR451" s="741"/>
      <c r="WXS451" s="741"/>
      <c r="WXT451" s="741"/>
      <c r="WXU451" s="741"/>
      <c r="WXV451" s="741"/>
      <c r="WXW451" s="741"/>
      <c r="WXX451" s="741"/>
      <c r="WXY451" s="741"/>
      <c r="WXZ451" s="741"/>
      <c r="WYA451" s="741"/>
      <c r="WYB451" s="741"/>
      <c r="WYC451" s="741"/>
      <c r="WYD451" s="741"/>
      <c r="WYE451" s="741"/>
      <c r="WYF451" s="741"/>
      <c r="WYG451" s="741"/>
      <c r="WYH451" s="741"/>
      <c r="WYI451" s="741"/>
      <c r="WYJ451" s="741"/>
      <c r="WYK451" s="741"/>
      <c r="WYL451" s="741"/>
      <c r="WYM451" s="741"/>
      <c r="WYN451" s="741"/>
      <c r="WYO451" s="741"/>
      <c r="WYP451" s="741"/>
      <c r="WYQ451" s="741"/>
      <c r="WYR451" s="741"/>
      <c r="WYS451" s="741"/>
      <c r="WYT451" s="741"/>
      <c r="WYU451" s="741"/>
      <c r="WYV451" s="741"/>
      <c r="WYW451" s="741"/>
      <c r="WYX451" s="741"/>
      <c r="WYY451" s="741"/>
      <c r="WYZ451" s="741"/>
      <c r="WZA451" s="741"/>
      <c r="WZB451" s="741"/>
      <c r="WZC451" s="741"/>
      <c r="WZD451" s="741"/>
      <c r="WZE451" s="741"/>
      <c r="WZF451" s="741"/>
      <c r="WZG451" s="741"/>
      <c r="WZH451" s="741"/>
      <c r="WZI451" s="741"/>
      <c r="WZJ451" s="741"/>
      <c r="WZK451" s="741"/>
      <c r="WZL451" s="741"/>
      <c r="WZM451" s="741"/>
      <c r="WZN451" s="741"/>
      <c r="WZO451" s="741"/>
      <c r="WZP451" s="741"/>
      <c r="WZQ451" s="741"/>
      <c r="WZR451" s="741"/>
      <c r="WZS451" s="741"/>
      <c r="WZT451" s="741"/>
      <c r="WZU451" s="741"/>
      <c r="WZV451" s="741"/>
      <c r="WZW451" s="741"/>
      <c r="WZX451" s="741"/>
      <c r="WZY451" s="741"/>
      <c r="WZZ451" s="741"/>
      <c r="XAA451" s="741"/>
      <c r="XAB451" s="741"/>
      <c r="XAC451" s="741"/>
      <c r="XAD451" s="741"/>
      <c r="XAE451" s="741"/>
      <c r="XAF451" s="741"/>
      <c r="XAG451" s="741"/>
      <c r="XAH451" s="741"/>
      <c r="XAI451" s="741"/>
      <c r="XAJ451" s="741"/>
      <c r="XAK451" s="741"/>
      <c r="XAL451" s="741"/>
      <c r="XAM451" s="741"/>
      <c r="XAN451" s="741"/>
      <c r="XAO451" s="741"/>
      <c r="XAP451" s="741"/>
      <c r="XAQ451" s="741"/>
      <c r="XAR451" s="741"/>
      <c r="XAS451" s="741"/>
      <c r="XAT451" s="741"/>
      <c r="XAU451" s="741"/>
      <c r="XAV451" s="741"/>
      <c r="XAW451" s="741"/>
      <c r="XAX451" s="741"/>
      <c r="XAY451" s="741"/>
      <c r="XAZ451" s="741"/>
      <c r="XBA451" s="741"/>
      <c r="XBB451" s="741"/>
      <c r="XBC451" s="741"/>
      <c r="XBD451" s="741"/>
      <c r="XBE451" s="741"/>
      <c r="XBF451" s="741"/>
      <c r="XBG451" s="741"/>
      <c r="XBH451" s="741"/>
      <c r="XBI451" s="741"/>
      <c r="XBJ451" s="741"/>
      <c r="XBK451" s="741"/>
      <c r="XBL451" s="741"/>
      <c r="XBM451" s="741"/>
      <c r="XBN451" s="741"/>
      <c r="XBO451" s="741"/>
      <c r="XBP451" s="741"/>
      <c r="XBQ451" s="741"/>
      <c r="XBR451" s="770"/>
      <c r="XBS451" s="781"/>
      <c r="XBT451" s="217"/>
      <c r="XBU451" s="751"/>
      <c r="XBV451" s="782"/>
      <c r="XBW451" s="751"/>
      <c r="XBX451" s="217"/>
      <c r="XBY451" s="217"/>
      <c r="XBZ451" s="217"/>
      <c r="XCN451" s="741"/>
      <c r="XCO451" s="770"/>
      <c r="XCP451" s="781"/>
      <c r="XCQ451" s="751"/>
      <c r="XCR451" s="217"/>
      <c r="XCS451" s="217"/>
      <c r="XCT451" s="217"/>
      <c r="XCU451" s="232"/>
      <c r="XCV451" s="786"/>
      <c r="XCW451" s="770"/>
      <c r="XDK451" s="741"/>
      <c r="XDL451" s="770"/>
      <c r="XDM451" s="781"/>
      <c r="XDN451" s="217"/>
      <c r="XDO451" s="230"/>
      <c r="XDP451" s="786"/>
      <c r="XDQ451" s="783"/>
      <c r="XDR451" s="741"/>
      <c r="XDS451" s="741"/>
      <c r="XDT451" s="741"/>
      <c r="XEH451" s="741"/>
      <c r="XEI451" s="770"/>
      <c r="XEJ451" s="781"/>
      <c r="XEK451" s="783"/>
      <c r="XEL451" s="790"/>
      <c r="XEM451" s="741"/>
      <c r="XEN451" s="790"/>
      <c r="XEO451" s="741"/>
      <c r="XEP451" s="741"/>
      <c r="XEQ451" s="741"/>
    </row>
    <row r="452" spans="1:16371" s="792" customFormat="1" ht="28.8" x14ac:dyDescent="0.3">
      <c r="A452" s="741" t="s">
        <v>264</v>
      </c>
      <c r="B452" s="770" t="s">
        <v>280</v>
      </c>
      <c r="C452" s="781" t="s">
        <v>750</v>
      </c>
      <c r="D452" s="783" t="s">
        <v>34</v>
      </c>
      <c r="E452" s="790" t="s">
        <v>282</v>
      </c>
      <c r="F452" s="1354" t="s">
        <v>285</v>
      </c>
      <c r="G452" s="790">
        <v>14.2</v>
      </c>
      <c r="H452" s="790">
        <v>222574.56</v>
      </c>
      <c r="I452" s="741" t="s">
        <v>267</v>
      </c>
      <c r="J452" s="790">
        <v>222574.56</v>
      </c>
      <c r="K452" s="1612">
        <v>0</v>
      </c>
      <c r="L452" s="1612">
        <v>0</v>
      </c>
      <c r="M452" s="741" t="s">
        <v>55</v>
      </c>
      <c r="N452" s="741" t="s">
        <v>751</v>
      </c>
      <c r="O452" s="741" t="s">
        <v>752</v>
      </c>
      <c r="P452" s="741" t="s">
        <v>40</v>
      </c>
      <c r="Q452" s="741"/>
      <c r="R452" s="741" t="s">
        <v>64</v>
      </c>
      <c r="S452" s="741"/>
      <c r="T452" s="741"/>
      <c r="U452" s="741"/>
      <c r="V452" s="741" t="s">
        <v>40</v>
      </c>
      <c r="W452" s="741"/>
      <c r="X452" s="741" t="s">
        <v>40</v>
      </c>
      <c r="Y452" s="741"/>
      <c r="Z452" s="741" t="s">
        <v>64</v>
      </c>
      <c r="AA452" s="741"/>
      <c r="AB452" s="741" t="s">
        <v>40</v>
      </c>
      <c r="AC452" s="741"/>
      <c r="AD452" s="741"/>
      <c r="AE452" s="1530">
        <v>46203</v>
      </c>
      <c r="AF452" s="741" t="s">
        <v>247</v>
      </c>
      <c r="AG452" s="741">
        <v>2023</v>
      </c>
      <c r="AH452" s="790">
        <v>1101321.1803359999</v>
      </c>
      <c r="AI452" s="791">
        <v>14890979</v>
      </c>
      <c r="AJ452" s="741"/>
      <c r="AK452" s="741" t="s">
        <v>43</v>
      </c>
      <c r="AL452" s="741" t="s">
        <v>41</v>
      </c>
      <c r="AM452" s="741">
        <v>0</v>
      </c>
      <c r="AN452" s="741" t="s">
        <v>40</v>
      </c>
      <c r="AO452" s="741"/>
      <c r="AP452" s="741"/>
      <c r="AQ452" s="741"/>
      <c r="AR452" s="741"/>
      <c r="AS452" s="741"/>
      <c r="AT452" s="741"/>
      <c r="AU452" s="741"/>
      <c r="AV452" s="741"/>
      <c r="AW452" s="741"/>
      <c r="AX452" s="741"/>
      <c r="AY452" s="741"/>
      <c r="AZ452" s="741"/>
      <c r="BA452" s="741"/>
      <c r="BB452" s="741"/>
      <c r="BC452" s="741"/>
      <c r="BD452" s="741"/>
      <c r="BE452" s="741"/>
      <c r="BF452" s="741"/>
      <c r="BG452" s="741"/>
      <c r="BH452" s="741"/>
      <c r="BI452" s="741"/>
      <c r="BJ452" s="741"/>
      <c r="BK452" s="741"/>
      <c r="BL452" s="741"/>
      <c r="BM452" s="741"/>
      <c r="BN452" s="741"/>
      <c r="BO452" s="741"/>
      <c r="BP452" s="741"/>
      <c r="BQ452" s="741"/>
      <c r="BR452" s="741"/>
      <c r="BS452" s="741"/>
      <c r="BT452" s="741"/>
      <c r="BU452" s="741"/>
      <c r="BV452" s="741"/>
      <c r="BW452" s="741"/>
      <c r="BX452" s="741"/>
      <c r="BY452" s="741"/>
      <c r="BZ452" s="741"/>
      <c r="CA452" s="741"/>
      <c r="CB452" s="741"/>
      <c r="CC452" s="741"/>
      <c r="CD452" s="741"/>
      <c r="CE452" s="741"/>
      <c r="CF452" s="741"/>
      <c r="CG452" s="741"/>
      <c r="CH452" s="741"/>
      <c r="CI452" s="741"/>
      <c r="CJ452" s="741"/>
      <c r="CK452" s="741"/>
      <c r="CL452" s="741"/>
      <c r="CM452" s="741"/>
      <c r="CN452" s="741"/>
      <c r="CO452" s="741"/>
      <c r="CP452" s="741"/>
      <c r="CQ452" s="741"/>
      <c r="CR452" s="741"/>
      <c r="CS452" s="741"/>
      <c r="CT452" s="741"/>
      <c r="CU452" s="741"/>
      <c r="CV452" s="741"/>
      <c r="CW452" s="741"/>
      <c r="CX452" s="741"/>
      <c r="CY452" s="741"/>
      <c r="CZ452" s="741"/>
      <c r="DA452" s="741"/>
      <c r="DB452" s="741"/>
      <c r="DC452" s="741"/>
      <c r="DD452" s="741"/>
      <c r="DE452" s="741"/>
      <c r="DF452" s="741"/>
      <c r="DG452" s="741"/>
      <c r="DH452" s="741"/>
      <c r="DI452" s="741"/>
      <c r="DJ452" s="741"/>
      <c r="DK452" s="741"/>
      <c r="DL452" s="741"/>
      <c r="DM452" s="741"/>
      <c r="DN452" s="741"/>
      <c r="DO452" s="741"/>
      <c r="DP452" s="741"/>
      <c r="DQ452" s="741"/>
      <c r="DR452" s="741"/>
      <c r="DS452" s="741"/>
      <c r="DT452" s="741"/>
      <c r="DU452" s="741"/>
      <c r="DV452" s="741"/>
      <c r="DW452" s="741"/>
      <c r="DX452" s="741"/>
      <c r="DY452" s="741"/>
      <c r="DZ452" s="741"/>
      <c r="EA452" s="741"/>
      <c r="EB452" s="741"/>
      <c r="EC452" s="741"/>
      <c r="ED452" s="741"/>
      <c r="EE452" s="741"/>
      <c r="EF452" s="741"/>
      <c r="EG452" s="741"/>
      <c r="EH452" s="741"/>
      <c r="EI452" s="741"/>
      <c r="EJ452" s="741"/>
      <c r="EK452" s="741"/>
      <c r="EL452" s="741"/>
      <c r="EM452" s="741"/>
      <c r="EN452" s="741"/>
      <c r="EO452" s="741"/>
      <c r="EP452" s="741"/>
      <c r="EQ452" s="741"/>
      <c r="ER452" s="741"/>
      <c r="ES452" s="741"/>
      <c r="ET452" s="741"/>
      <c r="EU452" s="741"/>
      <c r="EV452" s="741"/>
      <c r="EW452" s="741"/>
      <c r="EX452" s="741"/>
      <c r="EY452" s="741"/>
      <c r="EZ452" s="741"/>
      <c r="FA452" s="741"/>
      <c r="FB452" s="741"/>
      <c r="FC452" s="741"/>
      <c r="FD452" s="741"/>
      <c r="FE452" s="741"/>
      <c r="FF452" s="741"/>
      <c r="FG452" s="741"/>
      <c r="FH452" s="741"/>
      <c r="FI452" s="741"/>
      <c r="FJ452" s="741"/>
      <c r="FK452" s="741"/>
      <c r="FL452" s="741"/>
      <c r="FM452" s="741"/>
      <c r="FN452" s="741"/>
      <c r="FO452" s="741"/>
      <c r="FP452" s="741"/>
      <c r="FQ452" s="741"/>
      <c r="FR452" s="741"/>
      <c r="FS452" s="741"/>
      <c r="FT452" s="741"/>
      <c r="FU452" s="741"/>
      <c r="FV452" s="741"/>
      <c r="FW452" s="741"/>
      <c r="FX452" s="741"/>
      <c r="FY452" s="741"/>
      <c r="FZ452" s="741"/>
      <c r="GA452" s="741"/>
      <c r="GB452" s="741"/>
      <c r="GC452" s="741"/>
      <c r="GD452" s="741"/>
      <c r="GE452" s="741"/>
      <c r="GF452" s="741"/>
      <c r="GG452" s="741"/>
      <c r="GH452" s="741"/>
      <c r="GI452" s="741"/>
      <c r="GJ452" s="741"/>
      <c r="GK452" s="741"/>
      <c r="GL452" s="741"/>
      <c r="GM452" s="741"/>
      <c r="GN452" s="741"/>
      <c r="GO452" s="741"/>
      <c r="GP452" s="741"/>
      <c r="GQ452" s="741"/>
      <c r="GR452" s="741"/>
      <c r="GS452" s="741"/>
      <c r="GT452" s="741"/>
      <c r="GU452" s="741"/>
      <c r="GV452" s="741"/>
      <c r="GW452" s="741"/>
      <c r="GX452" s="741"/>
      <c r="GY452" s="741"/>
      <c r="GZ452" s="741"/>
      <c r="HA452" s="741"/>
      <c r="HB452" s="741"/>
      <c r="HC452" s="741"/>
      <c r="HD452" s="741"/>
      <c r="HE452" s="741"/>
      <c r="HF452" s="741"/>
      <c r="HG452" s="741"/>
      <c r="HH452" s="741"/>
      <c r="HI452" s="741"/>
      <c r="HJ452" s="741"/>
      <c r="HK452" s="741"/>
      <c r="HL452" s="741"/>
      <c r="HM452" s="741"/>
      <c r="HN452" s="741"/>
      <c r="HO452" s="741"/>
      <c r="HP452" s="741"/>
      <c r="HQ452" s="741"/>
      <c r="HR452" s="741"/>
      <c r="HS452" s="741"/>
      <c r="HT452" s="741"/>
      <c r="HU452" s="741"/>
      <c r="HV452" s="741"/>
      <c r="HW452" s="741"/>
      <c r="HX452" s="741"/>
      <c r="HY452" s="741"/>
      <c r="HZ452" s="741"/>
      <c r="IA452" s="741"/>
      <c r="IB452" s="741"/>
      <c r="IC452" s="741"/>
      <c r="ID452" s="741"/>
      <c r="IE452" s="741"/>
      <c r="IF452" s="741"/>
      <c r="IG452" s="741"/>
      <c r="IH452" s="741"/>
      <c r="II452" s="741"/>
      <c r="IJ452" s="741"/>
      <c r="IK452" s="741"/>
      <c r="IL452" s="741"/>
      <c r="IM452" s="741"/>
      <c r="IN452" s="741"/>
      <c r="IO452" s="741"/>
      <c r="IP452" s="741"/>
      <c r="IQ452" s="741"/>
      <c r="IR452" s="741"/>
      <c r="IS452" s="741"/>
      <c r="IT452" s="741"/>
      <c r="IU452" s="741"/>
      <c r="IV452" s="741"/>
      <c r="IW452" s="741"/>
      <c r="IX452" s="741"/>
      <c r="IY452" s="741"/>
      <c r="IZ452" s="741"/>
      <c r="JA452" s="741"/>
      <c r="JB452" s="741"/>
      <c r="JC452" s="741"/>
      <c r="JD452" s="741"/>
      <c r="JE452" s="741"/>
      <c r="JF452" s="741"/>
      <c r="JG452" s="741"/>
      <c r="JH452" s="741"/>
      <c r="JI452" s="741"/>
      <c r="JJ452" s="741"/>
      <c r="JK452" s="741"/>
      <c r="JL452" s="741"/>
      <c r="JM452" s="741"/>
      <c r="JN452" s="741"/>
      <c r="JO452" s="741"/>
      <c r="JP452" s="741"/>
      <c r="JQ452" s="741"/>
      <c r="JR452" s="741"/>
      <c r="JS452" s="741"/>
      <c r="JT452" s="741"/>
      <c r="JU452" s="741"/>
      <c r="JV452" s="741"/>
      <c r="JW452" s="741"/>
      <c r="JX452" s="741"/>
      <c r="JY452" s="741"/>
      <c r="JZ452" s="741"/>
      <c r="KA452" s="741"/>
      <c r="KB452" s="741"/>
      <c r="KC452" s="741"/>
      <c r="KD452" s="741"/>
      <c r="KE452" s="741"/>
      <c r="KF452" s="741"/>
      <c r="KG452" s="741"/>
      <c r="KH452" s="741"/>
      <c r="KI452" s="741"/>
      <c r="KJ452" s="741"/>
      <c r="KK452" s="741"/>
      <c r="KL452" s="741"/>
      <c r="KM452" s="741"/>
      <c r="KN452" s="741"/>
      <c r="KO452" s="741"/>
      <c r="KP452" s="741"/>
      <c r="KQ452" s="741"/>
      <c r="KR452" s="741"/>
      <c r="KS452" s="741"/>
      <c r="KT452" s="741"/>
      <c r="KU452" s="741"/>
      <c r="KV452" s="741"/>
      <c r="KW452" s="741"/>
      <c r="KX452" s="741"/>
      <c r="KY452" s="741"/>
      <c r="KZ452" s="741"/>
      <c r="LA452" s="741"/>
      <c r="LB452" s="741"/>
      <c r="LC452" s="741"/>
      <c r="LD452" s="741"/>
      <c r="LE452" s="741"/>
      <c r="LF452" s="741"/>
      <c r="LG452" s="741"/>
      <c r="LH452" s="741"/>
      <c r="LI452" s="741"/>
      <c r="LJ452" s="741"/>
      <c r="LK452" s="741"/>
      <c r="LL452" s="741"/>
      <c r="LM452" s="741"/>
      <c r="LN452" s="741"/>
      <c r="LO452" s="741"/>
      <c r="LP452" s="741"/>
      <c r="LQ452" s="741"/>
      <c r="LR452" s="741"/>
      <c r="LS452" s="741"/>
      <c r="LT452" s="741"/>
      <c r="LU452" s="741"/>
      <c r="LV452" s="741"/>
      <c r="LW452" s="741"/>
      <c r="LX452" s="741"/>
      <c r="LY452" s="741"/>
      <c r="LZ452" s="741"/>
      <c r="MA452" s="741"/>
      <c r="MB452" s="741"/>
      <c r="MC452" s="741"/>
      <c r="MD452" s="741"/>
      <c r="ME452" s="741"/>
      <c r="MF452" s="741"/>
      <c r="MG452" s="741"/>
      <c r="MH452" s="741"/>
      <c r="MI452" s="741"/>
      <c r="MJ452" s="741"/>
      <c r="MK452" s="741"/>
      <c r="ML452" s="741"/>
      <c r="MM452" s="741"/>
      <c r="MN452" s="741"/>
      <c r="MO452" s="741"/>
      <c r="MP452" s="741"/>
      <c r="MQ452" s="741"/>
      <c r="MR452" s="741"/>
      <c r="MS452" s="741"/>
      <c r="MT452" s="741"/>
      <c r="MU452" s="741"/>
      <c r="MV452" s="741"/>
      <c r="MW452" s="741"/>
      <c r="MX452" s="741"/>
      <c r="MY452" s="741"/>
      <c r="MZ452" s="741"/>
      <c r="NA452" s="741"/>
      <c r="NB452" s="741"/>
      <c r="NC452" s="741"/>
      <c r="ND452" s="741"/>
      <c r="NE452" s="741"/>
      <c r="NF452" s="741"/>
      <c r="NG452" s="741"/>
      <c r="NH452" s="741"/>
      <c r="NI452" s="741"/>
      <c r="NJ452" s="741"/>
      <c r="NK452" s="741"/>
      <c r="NL452" s="741"/>
      <c r="NM452" s="741"/>
      <c r="NN452" s="741"/>
      <c r="NO452" s="741"/>
      <c r="NP452" s="741"/>
      <c r="NQ452" s="741"/>
      <c r="NR452" s="741"/>
      <c r="NS452" s="741"/>
      <c r="NT452" s="741"/>
      <c r="NU452" s="741"/>
      <c r="NV452" s="741"/>
      <c r="NW452" s="741"/>
      <c r="NX452" s="741"/>
      <c r="NY452" s="741"/>
      <c r="NZ452" s="741"/>
      <c r="OA452" s="741"/>
      <c r="OB452" s="741"/>
      <c r="OC452" s="741"/>
      <c r="OD452" s="741"/>
      <c r="OE452" s="741"/>
      <c r="OF452" s="741"/>
      <c r="OG452" s="741"/>
      <c r="OH452" s="741"/>
      <c r="OI452" s="741"/>
      <c r="OJ452" s="741"/>
      <c r="OK452" s="741"/>
      <c r="OL452" s="741"/>
      <c r="OM452" s="741"/>
      <c r="ON452" s="741"/>
      <c r="OO452" s="741"/>
      <c r="OP452" s="741"/>
      <c r="OQ452" s="741"/>
      <c r="OR452" s="741"/>
      <c r="OS452" s="741"/>
      <c r="OT452" s="741"/>
      <c r="OU452" s="741"/>
      <c r="OV452" s="741"/>
      <c r="OW452" s="741"/>
      <c r="OX452" s="741"/>
      <c r="OY452" s="741"/>
      <c r="OZ452" s="741"/>
      <c r="PA452" s="741"/>
      <c r="PB452" s="741"/>
      <c r="PC452" s="741"/>
      <c r="PD452" s="741"/>
      <c r="PE452" s="741"/>
      <c r="PF452" s="741"/>
      <c r="PG452" s="741"/>
      <c r="PH452" s="741"/>
      <c r="PI452" s="741"/>
      <c r="PJ452" s="741"/>
      <c r="PK452" s="741"/>
      <c r="PL452" s="741"/>
      <c r="PM452" s="741"/>
      <c r="PN452" s="741"/>
      <c r="PO452" s="741"/>
      <c r="PP452" s="741"/>
      <c r="PQ452" s="741"/>
      <c r="PR452" s="741"/>
      <c r="PS452" s="741"/>
      <c r="PT452" s="741"/>
      <c r="PU452" s="741"/>
      <c r="PV452" s="741"/>
      <c r="PW452" s="741"/>
      <c r="PX452" s="741"/>
      <c r="PY452" s="741"/>
      <c r="PZ452" s="741"/>
      <c r="QA452" s="741"/>
      <c r="QB452" s="741"/>
      <c r="QC452" s="741"/>
      <c r="QD452" s="741"/>
      <c r="QE452" s="741"/>
      <c r="QF452" s="741"/>
      <c r="QG452" s="741"/>
      <c r="QH452" s="741"/>
      <c r="QI452" s="741"/>
      <c r="QJ452" s="741"/>
      <c r="QK452" s="741"/>
      <c r="QL452" s="741"/>
      <c r="QM452" s="741"/>
      <c r="QN452" s="741"/>
      <c r="QO452" s="741"/>
      <c r="QP452" s="741"/>
      <c r="QQ452" s="741"/>
      <c r="QR452" s="741"/>
      <c r="QS452" s="741"/>
      <c r="QT452" s="741"/>
      <c r="QU452" s="741"/>
      <c r="QV452" s="741"/>
      <c r="QW452" s="741"/>
      <c r="QX452" s="741"/>
      <c r="QY452" s="741"/>
      <c r="QZ452" s="741"/>
      <c r="RA452" s="741"/>
      <c r="RB452" s="741"/>
      <c r="RC452" s="741"/>
      <c r="RD452" s="741"/>
      <c r="RE452" s="741"/>
      <c r="RF452" s="741"/>
      <c r="RG452" s="741"/>
      <c r="RH452" s="741"/>
      <c r="RI452" s="741"/>
      <c r="RJ452" s="741"/>
      <c r="RK452" s="741"/>
      <c r="RL452" s="741"/>
      <c r="RM452" s="741"/>
      <c r="RN452" s="741"/>
      <c r="RO452" s="741"/>
      <c r="RP452" s="741"/>
      <c r="RQ452" s="741"/>
      <c r="RR452" s="741"/>
      <c r="RS452" s="741"/>
      <c r="RT452" s="741"/>
      <c r="RU452" s="741"/>
      <c r="RV452" s="741"/>
      <c r="RW452" s="741"/>
      <c r="RX452" s="741"/>
      <c r="RY452" s="741"/>
      <c r="RZ452" s="741"/>
      <c r="SA452" s="741"/>
      <c r="SB452" s="741"/>
      <c r="SC452" s="741"/>
      <c r="SD452" s="741"/>
      <c r="SE452" s="741"/>
      <c r="SF452" s="741"/>
      <c r="SG452" s="741"/>
      <c r="SH452" s="741"/>
      <c r="SI452" s="741"/>
      <c r="SJ452" s="741"/>
      <c r="SK452" s="741"/>
      <c r="SL452" s="741"/>
      <c r="SM452" s="741"/>
      <c r="SN452" s="741"/>
      <c r="SO452" s="741"/>
      <c r="SP452" s="741"/>
      <c r="SQ452" s="741"/>
      <c r="SR452" s="741"/>
      <c r="SS452" s="741"/>
      <c r="ST452" s="741"/>
      <c r="SU452" s="741"/>
      <c r="SV452" s="741"/>
      <c r="SW452" s="741"/>
      <c r="SX452" s="741"/>
      <c r="SY452" s="741"/>
      <c r="SZ452" s="741"/>
      <c r="TA452" s="741"/>
      <c r="TB452" s="741"/>
      <c r="TC452" s="741"/>
      <c r="TD452" s="741"/>
      <c r="TE452" s="741"/>
      <c r="TF452" s="741"/>
      <c r="TG452" s="741"/>
      <c r="TH452" s="741"/>
      <c r="TI452" s="741"/>
      <c r="TJ452" s="741"/>
      <c r="TK452" s="741"/>
      <c r="TL452" s="741"/>
      <c r="TM452" s="741"/>
      <c r="TN452" s="741"/>
      <c r="TO452" s="741"/>
      <c r="TP452" s="741"/>
      <c r="TQ452" s="741"/>
      <c r="TR452" s="741"/>
      <c r="TS452" s="741"/>
      <c r="TT452" s="741"/>
      <c r="TU452" s="741"/>
      <c r="TV452" s="741"/>
      <c r="TW452" s="741"/>
      <c r="TX452" s="741"/>
      <c r="TY452" s="741"/>
      <c r="TZ452" s="741"/>
      <c r="UA452" s="741"/>
      <c r="UB452" s="741"/>
      <c r="UC452" s="741"/>
      <c r="UD452" s="741"/>
      <c r="UE452" s="741"/>
      <c r="UF452" s="741"/>
      <c r="UG452" s="741"/>
      <c r="UH452" s="741"/>
      <c r="UI452" s="741"/>
      <c r="UJ452" s="741"/>
      <c r="UK452" s="741"/>
      <c r="UL452" s="741"/>
      <c r="UM452" s="741"/>
      <c r="UN452" s="741"/>
      <c r="UO452" s="741"/>
      <c r="UP452" s="741"/>
      <c r="UQ452" s="741"/>
      <c r="UR452" s="741"/>
      <c r="US452" s="741"/>
      <c r="UT452" s="741"/>
      <c r="UU452" s="741"/>
      <c r="UV452" s="741"/>
      <c r="UW452" s="741"/>
      <c r="UX452" s="741"/>
      <c r="UY452" s="741"/>
      <c r="UZ452" s="741"/>
      <c r="VA452" s="741"/>
      <c r="VB452" s="741"/>
      <c r="VC452" s="741"/>
      <c r="VD452" s="741"/>
      <c r="VE452" s="741"/>
      <c r="VF452" s="741"/>
      <c r="VG452" s="741"/>
      <c r="VH452" s="741"/>
      <c r="VI452" s="741"/>
      <c r="VJ452" s="741"/>
      <c r="VK452" s="741"/>
      <c r="VL452" s="741"/>
      <c r="VM452" s="741"/>
      <c r="VN452" s="741"/>
      <c r="VO452" s="741"/>
      <c r="VP452" s="741"/>
      <c r="VQ452" s="741"/>
      <c r="VR452" s="741"/>
      <c r="VS452" s="741"/>
      <c r="VT452" s="741"/>
      <c r="VU452" s="741"/>
      <c r="VV452" s="741"/>
      <c r="VW452" s="741"/>
      <c r="VX452" s="741"/>
      <c r="VY452" s="741"/>
      <c r="VZ452" s="741"/>
      <c r="WA452" s="741"/>
      <c r="WB452" s="741"/>
      <c r="WC452" s="741"/>
      <c r="WD452" s="741"/>
      <c r="WE452" s="741"/>
      <c r="WF452" s="741"/>
      <c r="WG452" s="741"/>
      <c r="WH452" s="741"/>
      <c r="WI452" s="741"/>
      <c r="WJ452" s="741"/>
      <c r="WK452" s="741"/>
      <c r="WL452" s="741"/>
      <c r="WM452" s="741"/>
      <c r="WN452" s="741"/>
      <c r="WO452" s="741"/>
      <c r="WP452" s="741"/>
      <c r="WQ452" s="741"/>
      <c r="WR452" s="741"/>
      <c r="WS452" s="741"/>
      <c r="WT452" s="741"/>
      <c r="WU452" s="741"/>
      <c r="WV452" s="741"/>
      <c r="WW452" s="741"/>
      <c r="WX452" s="741"/>
      <c r="WY452" s="741"/>
      <c r="WZ452" s="741"/>
      <c r="XA452" s="741"/>
      <c r="XB452" s="741"/>
      <c r="XC452" s="741"/>
      <c r="XD452" s="741"/>
      <c r="XE452" s="741"/>
      <c r="XF452" s="741"/>
      <c r="XG452" s="741"/>
      <c r="XH452" s="741"/>
      <c r="XI452" s="741"/>
      <c r="XJ452" s="741"/>
      <c r="XK452" s="741"/>
      <c r="XL452" s="741"/>
      <c r="XM452" s="741"/>
      <c r="XN452" s="741"/>
      <c r="XO452" s="741"/>
      <c r="XP452" s="741"/>
      <c r="XQ452" s="741"/>
      <c r="XR452" s="741"/>
      <c r="XS452" s="741"/>
      <c r="XT452" s="741"/>
      <c r="XU452" s="741"/>
      <c r="XV452" s="741"/>
      <c r="XW452" s="741"/>
      <c r="XX452" s="741"/>
      <c r="XY452" s="741"/>
      <c r="XZ452" s="741"/>
      <c r="YA452" s="741"/>
      <c r="YB452" s="741"/>
      <c r="YC452" s="741"/>
      <c r="YD452" s="741"/>
      <c r="YE452" s="741"/>
      <c r="YF452" s="741"/>
      <c r="YG452" s="741"/>
      <c r="YH452" s="741"/>
      <c r="YI452" s="741"/>
      <c r="YJ452" s="741"/>
      <c r="YK452" s="741"/>
      <c r="YL452" s="741"/>
      <c r="YM452" s="741"/>
      <c r="YN452" s="741"/>
      <c r="YO452" s="741"/>
      <c r="YP452" s="741"/>
      <c r="YQ452" s="741"/>
      <c r="YR452" s="741"/>
      <c r="YS452" s="741"/>
      <c r="YT452" s="741"/>
      <c r="YU452" s="741"/>
      <c r="YV452" s="741"/>
      <c r="YW452" s="741"/>
      <c r="YX452" s="741"/>
      <c r="YY452" s="741"/>
      <c r="YZ452" s="741"/>
      <c r="ZA452" s="741"/>
      <c r="ZB452" s="741"/>
      <c r="ZC452" s="741"/>
      <c r="ZD452" s="741"/>
      <c r="ZE452" s="741"/>
      <c r="ZF452" s="741"/>
      <c r="ZG452" s="741"/>
      <c r="ZH452" s="741"/>
      <c r="ZI452" s="741"/>
      <c r="ZJ452" s="741"/>
      <c r="ZK452" s="741"/>
      <c r="ZL452" s="741"/>
      <c r="ZM452" s="741"/>
      <c r="ZN452" s="741"/>
      <c r="ZO452" s="741"/>
      <c r="ZP452" s="741"/>
      <c r="ZQ452" s="741"/>
      <c r="ZR452" s="741"/>
      <c r="ZS452" s="741"/>
      <c r="ZT452" s="741"/>
      <c r="ZU452" s="741"/>
      <c r="ZV452" s="741"/>
      <c r="ZW452" s="741"/>
      <c r="ZX452" s="741"/>
      <c r="ZY452" s="741"/>
      <c r="ZZ452" s="741"/>
      <c r="AAA452" s="741"/>
      <c r="AAB452" s="741"/>
      <c r="AAC452" s="741"/>
      <c r="AAD452" s="741"/>
      <c r="AAE452" s="741"/>
      <c r="AAF452" s="741"/>
      <c r="AAG452" s="741"/>
      <c r="AAH452" s="741"/>
      <c r="AAI452" s="741"/>
      <c r="AAJ452" s="741"/>
      <c r="AAK452" s="741"/>
      <c r="AAL452" s="741"/>
      <c r="AAM452" s="741"/>
      <c r="AAN452" s="741"/>
      <c r="AAO452" s="741"/>
      <c r="AAP452" s="741"/>
      <c r="AAQ452" s="741"/>
      <c r="AAR452" s="741"/>
      <c r="AAS452" s="741"/>
      <c r="AAT452" s="741"/>
      <c r="AAU452" s="741"/>
      <c r="AAV452" s="741"/>
      <c r="AAW452" s="741"/>
      <c r="AAX452" s="741"/>
      <c r="AAY452" s="741"/>
      <c r="AAZ452" s="741"/>
      <c r="ABA452" s="741"/>
      <c r="ABB452" s="741"/>
      <c r="ABC452" s="741"/>
      <c r="ABD452" s="741"/>
      <c r="ABE452" s="741"/>
      <c r="ABF452" s="741"/>
      <c r="ABG452" s="741"/>
      <c r="ABH452" s="741"/>
      <c r="ABI452" s="741"/>
      <c r="ABJ452" s="741"/>
      <c r="ABK452" s="741"/>
      <c r="ABL452" s="741"/>
      <c r="ABM452" s="741"/>
      <c r="ABN452" s="741"/>
      <c r="ABO452" s="741"/>
      <c r="ABP452" s="741"/>
      <c r="ABQ452" s="741"/>
      <c r="ABR452" s="741"/>
      <c r="ABS452" s="741"/>
      <c r="ABT452" s="741"/>
      <c r="ABU452" s="741"/>
      <c r="ABV452" s="741"/>
      <c r="ABW452" s="741"/>
      <c r="ABX452" s="741"/>
      <c r="ABY452" s="741"/>
      <c r="ABZ452" s="741"/>
      <c r="ACA452" s="741"/>
      <c r="ACB452" s="741"/>
      <c r="ACC452" s="741"/>
      <c r="ACD452" s="741"/>
      <c r="ACE452" s="741"/>
      <c r="ACF452" s="741"/>
      <c r="ACG452" s="741"/>
      <c r="ACH452" s="741"/>
      <c r="ACI452" s="741"/>
      <c r="ACJ452" s="741"/>
      <c r="ACK452" s="741"/>
      <c r="ACL452" s="741"/>
      <c r="ACM452" s="741"/>
      <c r="ACN452" s="741"/>
      <c r="ACO452" s="741"/>
      <c r="ACP452" s="741"/>
      <c r="ACQ452" s="741"/>
      <c r="ACR452" s="741"/>
      <c r="ACS452" s="741"/>
      <c r="ACT452" s="741"/>
      <c r="ACU452" s="741"/>
      <c r="ACV452" s="741"/>
      <c r="ACW452" s="741"/>
      <c r="ACX452" s="741"/>
      <c r="ACY452" s="741"/>
      <c r="ACZ452" s="741"/>
      <c r="ADA452" s="741"/>
      <c r="ADB452" s="741"/>
      <c r="ADC452" s="741"/>
      <c r="ADD452" s="741"/>
      <c r="ADE452" s="741"/>
      <c r="ADF452" s="741"/>
      <c r="ADG452" s="741"/>
      <c r="ADH452" s="741"/>
      <c r="ADI452" s="741"/>
      <c r="ADJ452" s="741"/>
      <c r="ADK452" s="741"/>
      <c r="ADL452" s="741"/>
      <c r="ADM452" s="741"/>
      <c r="ADN452" s="741"/>
      <c r="ADO452" s="741"/>
      <c r="ADP452" s="741"/>
      <c r="ADQ452" s="741"/>
      <c r="ADR452" s="741"/>
      <c r="ADS452" s="741"/>
      <c r="ADT452" s="741"/>
      <c r="ADU452" s="741"/>
      <c r="ADV452" s="741"/>
      <c r="ADW452" s="741"/>
      <c r="ADX452" s="741"/>
      <c r="ADY452" s="741"/>
      <c r="ADZ452" s="741"/>
      <c r="AEA452" s="741"/>
      <c r="AEB452" s="741"/>
      <c r="AEC452" s="741"/>
      <c r="AED452" s="741"/>
      <c r="AEE452" s="741"/>
      <c r="AEF452" s="741"/>
      <c r="AEG452" s="741"/>
      <c r="AEH452" s="741"/>
      <c r="AEI452" s="741"/>
      <c r="AEJ452" s="741"/>
      <c r="AEK452" s="741"/>
      <c r="AEL452" s="741"/>
      <c r="AEM452" s="741"/>
      <c r="AEN452" s="741"/>
      <c r="AEO452" s="741"/>
      <c r="AEP452" s="741"/>
      <c r="AEQ452" s="741"/>
      <c r="AER452" s="741"/>
      <c r="AES452" s="741"/>
      <c r="AET452" s="741"/>
      <c r="AEU452" s="741"/>
      <c r="AEV452" s="741"/>
      <c r="AEW452" s="741"/>
      <c r="AEX452" s="741"/>
      <c r="AEY452" s="741"/>
      <c r="AEZ452" s="741"/>
      <c r="AFA452" s="741"/>
      <c r="AFB452" s="741"/>
      <c r="AFC452" s="741"/>
      <c r="AFD452" s="741"/>
      <c r="AFE452" s="741"/>
      <c r="AFF452" s="741"/>
      <c r="AFG452" s="741"/>
      <c r="AFH452" s="741"/>
      <c r="AFI452" s="741"/>
      <c r="AFJ452" s="741"/>
      <c r="AFK452" s="741"/>
      <c r="AFL452" s="741"/>
      <c r="AFM452" s="741"/>
      <c r="AFN452" s="741"/>
      <c r="AFO452" s="741"/>
      <c r="AFP452" s="741"/>
      <c r="AFQ452" s="741"/>
      <c r="AFR452" s="741"/>
      <c r="AFS452" s="741"/>
      <c r="AFT452" s="741"/>
      <c r="AFU452" s="741"/>
      <c r="AFV452" s="741"/>
      <c r="AFW452" s="741"/>
      <c r="AFX452" s="741"/>
      <c r="AFY452" s="741"/>
      <c r="AFZ452" s="741"/>
      <c r="AGA452" s="741"/>
      <c r="AGB452" s="741"/>
      <c r="AGC452" s="741"/>
      <c r="AGD452" s="741"/>
      <c r="AGE452" s="741"/>
      <c r="AGF452" s="741"/>
      <c r="AGG452" s="741"/>
      <c r="AGH452" s="741"/>
      <c r="AGI452" s="741"/>
      <c r="AGJ452" s="741"/>
      <c r="AGK452" s="741"/>
      <c r="AGL452" s="741"/>
      <c r="AGM452" s="741"/>
      <c r="AGN452" s="741"/>
      <c r="AGO452" s="741"/>
      <c r="AGP452" s="741"/>
      <c r="AGQ452" s="741"/>
      <c r="AGR452" s="741"/>
      <c r="AGS452" s="741"/>
      <c r="AGT452" s="741"/>
      <c r="AGU452" s="741"/>
      <c r="AGV452" s="741"/>
      <c r="AGW452" s="741"/>
      <c r="AGX452" s="741"/>
      <c r="AGY452" s="741"/>
      <c r="AGZ452" s="741"/>
      <c r="AHA452" s="741"/>
      <c r="AHB452" s="741"/>
      <c r="AHC452" s="741"/>
      <c r="AHD452" s="741"/>
      <c r="AHE452" s="741"/>
      <c r="AHF452" s="741"/>
      <c r="AHG452" s="741"/>
      <c r="AHH452" s="741"/>
      <c r="AHI452" s="741"/>
      <c r="AHJ452" s="741"/>
      <c r="AHK452" s="741"/>
      <c r="AHL452" s="741"/>
      <c r="AHM452" s="741"/>
      <c r="AHN452" s="741"/>
      <c r="AHO452" s="741"/>
      <c r="AHP452" s="741"/>
      <c r="AHQ452" s="741"/>
      <c r="AHR452" s="741"/>
      <c r="AHS452" s="741"/>
      <c r="AHT452" s="741"/>
      <c r="AHU452" s="741"/>
      <c r="AHV452" s="741"/>
      <c r="AHW452" s="741"/>
      <c r="AHX452" s="741"/>
      <c r="AHY452" s="741"/>
      <c r="AHZ452" s="741"/>
      <c r="AIA452" s="741"/>
      <c r="AIB452" s="741"/>
      <c r="AIC452" s="741"/>
      <c r="AID452" s="741"/>
      <c r="AIE452" s="741"/>
      <c r="AIF452" s="741"/>
      <c r="AIG452" s="741"/>
      <c r="AIH452" s="741"/>
      <c r="AII452" s="741"/>
      <c r="AIJ452" s="741"/>
      <c r="AIK452" s="741"/>
      <c r="AIL452" s="741"/>
      <c r="AIM452" s="741"/>
      <c r="AIN452" s="741"/>
      <c r="AIO452" s="741"/>
      <c r="AIP452" s="741"/>
      <c r="AIQ452" s="741"/>
      <c r="AIR452" s="741"/>
      <c r="AIS452" s="741"/>
      <c r="AIT452" s="741"/>
      <c r="AIU452" s="741"/>
      <c r="AIV452" s="741"/>
      <c r="AIW452" s="741"/>
      <c r="AIX452" s="741"/>
      <c r="AIY452" s="741"/>
      <c r="AIZ452" s="741"/>
      <c r="AJA452" s="741"/>
      <c r="AJB452" s="741"/>
      <c r="AJC452" s="741"/>
      <c r="AJD452" s="741"/>
      <c r="AJE452" s="741"/>
      <c r="AJF452" s="741"/>
      <c r="AJG452" s="741"/>
      <c r="AJH452" s="741"/>
      <c r="AJI452" s="741"/>
      <c r="AJJ452" s="741"/>
      <c r="AJK452" s="741"/>
      <c r="AJL452" s="741"/>
      <c r="AJM452" s="741"/>
      <c r="AJN452" s="741"/>
      <c r="AJO452" s="741"/>
      <c r="AJP452" s="741"/>
      <c r="AJQ452" s="741"/>
      <c r="AJR452" s="741"/>
      <c r="AJS452" s="741"/>
      <c r="AJT452" s="741"/>
      <c r="AJU452" s="741"/>
      <c r="AJV452" s="741"/>
      <c r="AJW452" s="741"/>
      <c r="AJX452" s="741"/>
      <c r="AJY452" s="741"/>
      <c r="AJZ452" s="741"/>
      <c r="AKA452" s="741"/>
      <c r="AKB452" s="741"/>
      <c r="AKC452" s="741"/>
      <c r="AKD452" s="741"/>
      <c r="AKE452" s="741"/>
      <c r="AKF452" s="741"/>
      <c r="AKG452" s="741"/>
      <c r="AKH452" s="741"/>
      <c r="AKI452" s="741"/>
      <c r="AKJ452" s="741"/>
      <c r="AKK452" s="741"/>
      <c r="AKL452" s="741"/>
      <c r="AKM452" s="741"/>
      <c r="AKN452" s="741"/>
      <c r="AKO452" s="741"/>
      <c r="AKP452" s="741"/>
      <c r="AKQ452" s="741"/>
      <c r="AKR452" s="741"/>
      <c r="AKS452" s="741"/>
      <c r="AKT452" s="741"/>
      <c r="AKU452" s="741"/>
      <c r="AKV452" s="741"/>
      <c r="AKW452" s="741"/>
      <c r="AKX452" s="741"/>
      <c r="AKY452" s="741"/>
      <c r="AKZ452" s="741"/>
      <c r="ALA452" s="741"/>
      <c r="ALB452" s="741"/>
      <c r="ALC452" s="741"/>
      <c r="ALD452" s="741"/>
      <c r="ALE452" s="741"/>
      <c r="ALF452" s="741"/>
      <c r="ALG452" s="741"/>
      <c r="ALH452" s="741"/>
      <c r="ALI452" s="741"/>
      <c r="ALJ452" s="741"/>
      <c r="ALK452" s="741"/>
      <c r="ALL452" s="741"/>
      <c r="ALM452" s="741"/>
      <c r="ALN452" s="741"/>
      <c r="ALO452" s="741"/>
      <c r="ALP452" s="741"/>
      <c r="ALQ452" s="741"/>
      <c r="ALR452" s="741"/>
      <c r="ALS452" s="741"/>
      <c r="ALT452" s="741"/>
      <c r="ALU452" s="741"/>
      <c r="ALV452" s="741"/>
      <c r="ALW452" s="741"/>
      <c r="ALX452" s="741"/>
      <c r="ALY452" s="741"/>
      <c r="ALZ452" s="741"/>
      <c r="AMA452" s="741"/>
      <c r="AMB452" s="741"/>
      <c r="AMC452" s="741"/>
      <c r="AMD452" s="741"/>
      <c r="AME452" s="741"/>
      <c r="AMF452" s="741"/>
      <c r="AMG452" s="741"/>
      <c r="AMH452" s="741"/>
      <c r="AMI452" s="741"/>
      <c r="AMJ452" s="741"/>
      <c r="AMK452" s="741"/>
      <c r="AML452" s="741"/>
      <c r="AMM452" s="741"/>
      <c r="AMN452" s="741"/>
      <c r="AMO452" s="741"/>
      <c r="AMP452" s="741"/>
      <c r="AMQ452" s="741"/>
      <c r="AMR452" s="741"/>
      <c r="AMS452" s="741"/>
      <c r="AMT452" s="741"/>
      <c r="AMU452" s="741"/>
      <c r="AMV452" s="741"/>
      <c r="AMW452" s="741"/>
      <c r="AMX452" s="741"/>
      <c r="AMY452" s="741"/>
      <c r="AMZ452" s="741"/>
      <c r="ANA452" s="741"/>
      <c r="ANB452" s="741"/>
      <c r="ANC452" s="741"/>
      <c r="AND452" s="741"/>
      <c r="ANE452" s="741"/>
      <c r="ANF452" s="741"/>
      <c r="ANG452" s="741"/>
      <c r="ANH452" s="741"/>
      <c r="ANI452" s="741"/>
      <c r="ANJ452" s="741"/>
      <c r="ANK452" s="741"/>
      <c r="ANL452" s="741"/>
      <c r="ANM452" s="741"/>
      <c r="ANN452" s="741"/>
      <c r="ANO452" s="741"/>
      <c r="ANP452" s="741"/>
      <c r="ANQ452" s="741"/>
      <c r="ANR452" s="741"/>
      <c r="ANS452" s="741"/>
      <c r="ANT452" s="741"/>
      <c r="ANU452" s="741"/>
      <c r="ANV452" s="741"/>
      <c r="ANW452" s="741"/>
      <c r="ANX452" s="741"/>
      <c r="ANY452" s="741"/>
      <c r="ANZ452" s="741"/>
      <c r="AOA452" s="741"/>
      <c r="AOB452" s="741"/>
      <c r="AOC452" s="741"/>
      <c r="AOD452" s="741"/>
      <c r="AOE452" s="741"/>
      <c r="AOF452" s="741"/>
      <c r="AOG452" s="741"/>
      <c r="AOH452" s="741"/>
      <c r="AOI452" s="741"/>
      <c r="AOJ452" s="741"/>
      <c r="AOK452" s="741"/>
      <c r="AOL452" s="741"/>
      <c r="AOM452" s="741"/>
      <c r="AON452" s="741"/>
      <c r="AOO452" s="741"/>
      <c r="AOP452" s="741"/>
      <c r="AOQ452" s="741"/>
      <c r="AOR452" s="741"/>
      <c r="AOS452" s="741"/>
      <c r="AOT452" s="741"/>
      <c r="AOU452" s="741"/>
      <c r="AOV452" s="741"/>
      <c r="AOW452" s="741"/>
      <c r="AOX452" s="741"/>
      <c r="AOY452" s="741"/>
      <c r="AOZ452" s="741"/>
      <c r="APA452" s="741"/>
      <c r="APB452" s="741"/>
      <c r="APC452" s="741"/>
      <c r="APD452" s="741"/>
      <c r="APE452" s="741"/>
      <c r="APF452" s="741"/>
      <c r="APG452" s="741"/>
      <c r="APH452" s="741"/>
      <c r="API452" s="741"/>
      <c r="APJ452" s="741"/>
      <c r="APK452" s="741"/>
      <c r="APL452" s="741"/>
      <c r="APM452" s="741"/>
      <c r="APN452" s="741"/>
      <c r="APO452" s="741"/>
      <c r="APP452" s="741"/>
      <c r="APQ452" s="741"/>
      <c r="APR452" s="741"/>
      <c r="APS452" s="741"/>
      <c r="APT452" s="741"/>
      <c r="APU452" s="741"/>
      <c r="APV452" s="741"/>
      <c r="APW452" s="741"/>
      <c r="APX452" s="741"/>
      <c r="APY452" s="741"/>
      <c r="APZ452" s="741"/>
      <c r="AQA452" s="741"/>
      <c r="AQB452" s="741"/>
      <c r="AQC452" s="741"/>
      <c r="AQD452" s="741"/>
      <c r="AQE452" s="741"/>
      <c r="AQF452" s="741"/>
      <c r="AQG452" s="741"/>
      <c r="AQH452" s="741"/>
      <c r="AQI452" s="741"/>
      <c r="AQJ452" s="741"/>
      <c r="AQK452" s="741"/>
      <c r="AQL452" s="741"/>
      <c r="AQM452" s="741"/>
      <c r="AQN452" s="741"/>
      <c r="AQO452" s="741"/>
      <c r="AQP452" s="741"/>
      <c r="AQQ452" s="741"/>
      <c r="AQR452" s="741"/>
      <c r="AQS452" s="741"/>
      <c r="AQT452" s="741"/>
      <c r="AQU452" s="741"/>
      <c r="AQV452" s="741"/>
      <c r="AQW452" s="741"/>
      <c r="AQX452" s="741"/>
      <c r="AQY452" s="741"/>
      <c r="AQZ452" s="741"/>
      <c r="ARA452" s="741"/>
      <c r="ARB452" s="741"/>
      <c r="ARC452" s="741"/>
      <c r="ARD452" s="741"/>
      <c r="ARE452" s="741"/>
      <c r="ARF452" s="741"/>
      <c r="ARG452" s="741"/>
      <c r="ARH452" s="741"/>
      <c r="ARI452" s="741"/>
      <c r="ARJ452" s="741"/>
      <c r="ARK452" s="741"/>
      <c r="ARL452" s="741"/>
      <c r="ARM452" s="741"/>
      <c r="ARN452" s="741"/>
      <c r="ARO452" s="741"/>
      <c r="ARP452" s="741"/>
      <c r="ARQ452" s="741"/>
      <c r="ARR452" s="741"/>
      <c r="ARS452" s="741"/>
      <c r="ART452" s="741"/>
      <c r="ARU452" s="741"/>
      <c r="ARV452" s="741"/>
      <c r="ARW452" s="741"/>
      <c r="ARX452" s="741"/>
      <c r="ARY452" s="741"/>
      <c r="ARZ452" s="741"/>
      <c r="ASA452" s="741"/>
      <c r="ASB452" s="741"/>
      <c r="ASC452" s="741"/>
      <c r="ASD452" s="741"/>
      <c r="ASE452" s="741"/>
      <c r="ASF452" s="741"/>
      <c r="ASG452" s="741"/>
      <c r="ASH452" s="741"/>
      <c r="ASI452" s="741"/>
      <c r="ASJ452" s="741"/>
      <c r="ASK452" s="741"/>
      <c r="ASL452" s="741"/>
      <c r="ASM452" s="741"/>
      <c r="ASN452" s="741"/>
      <c r="ASO452" s="741"/>
      <c r="ASP452" s="741"/>
      <c r="ASQ452" s="741"/>
      <c r="ASR452" s="741"/>
      <c r="ASS452" s="741"/>
      <c r="AST452" s="741"/>
      <c r="ASU452" s="741"/>
      <c r="ASV452" s="741"/>
      <c r="ASW452" s="741"/>
      <c r="ASX452" s="741"/>
      <c r="ASY452" s="741"/>
      <c r="ASZ452" s="741"/>
      <c r="ATA452" s="741"/>
      <c r="ATB452" s="741"/>
      <c r="ATC452" s="741"/>
      <c r="ATD452" s="741"/>
      <c r="ATE452" s="741"/>
      <c r="ATF452" s="741"/>
      <c r="ATG452" s="741"/>
      <c r="ATH452" s="741"/>
      <c r="ATI452" s="741"/>
      <c r="ATJ452" s="741"/>
      <c r="ATK452" s="741"/>
      <c r="ATL452" s="741"/>
      <c r="ATM452" s="741"/>
      <c r="ATN452" s="741"/>
      <c r="ATO452" s="741"/>
      <c r="ATP452" s="741"/>
      <c r="ATQ452" s="741"/>
      <c r="ATR452" s="741"/>
      <c r="ATS452" s="741"/>
      <c r="ATT452" s="741"/>
      <c r="ATU452" s="741"/>
      <c r="ATV452" s="741"/>
      <c r="ATW452" s="741"/>
      <c r="ATX452" s="741"/>
      <c r="ATY452" s="741"/>
      <c r="ATZ452" s="741"/>
      <c r="AUA452" s="741"/>
      <c r="AUB452" s="741"/>
      <c r="AUC452" s="741"/>
      <c r="AUD452" s="741"/>
      <c r="AUE452" s="741"/>
      <c r="AUF452" s="741"/>
      <c r="AUG452" s="741"/>
      <c r="AUH452" s="741"/>
      <c r="AUI452" s="741"/>
      <c r="AUJ452" s="741"/>
      <c r="AUK452" s="741"/>
      <c r="AUL452" s="741"/>
      <c r="AUM452" s="741"/>
      <c r="AUN452" s="741"/>
      <c r="AUO452" s="741"/>
      <c r="AUP452" s="741"/>
      <c r="AUQ452" s="741"/>
      <c r="AUR452" s="741"/>
      <c r="AUS452" s="741"/>
      <c r="AUT452" s="741"/>
      <c r="AUU452" s="741"/>
      <c r="AUV452" s="741"/>
      <c r="AUW452" s="741"/>
      <c r="AUX452" s="741"/>
      <c r="AUY452" s="741"/>
      <c r="AUZ452" s="741"/>
      <c r="AVA452" s="741"/>
      <c r="AVB452" s="741"/>
      <c r="AVC452" s="741"/>
      <c r="AVD452" s="741"/>
      <c r="AVE452" s="741"/>
      <c r="AVF452" s="741"/>
      <c r="AVG452" s="741"/>
      <c r="AVH452" s="741"/>
      <c r="AVI452" s="741"/>
      <c r="AVJ452" s="741"/>
      <c r="AVK452" s="741"/>
      <c r="AVL452" s="741"/>
      <c r="AVM452" s="741"/>
      <c r="AVN452" s="741"/>
      <c r="AVO452" s="741"/>
      <c r="AVP452" s="741"/>
      <c r="AVQ452" s="741"/>
      <c r="AVR452" s="741"/>
      <c r="AVS452" s="741"/>
      <c r="AVT452" s="741"/>
      <c r="AVU452" s="741"/>
      <c r="AVV452" s="741"/>
      <c r="AVW452" s="741"/>
      <c r="AVX452" s="741"/>
      <c r="AVY452" s="741"/>
      <c r="AVZ452" s="741"/>
      <c r="AWA452" s="741"/>
      <c r="AWB452" s="741"/>
      <c r="AWC452" s="741"/>
      <c r="AWD452" s="741"/>
      <c r="AWE452" s="741"/>
      <c r="AWF452" s="741"/>
      <c r="AWG452" s="741"/>
      <c r="AWH452" s="741"/>
      <c r="AWI452" s="741"/>
      <c r="AWJ452" s="741"/>
      <c r="AWK452" s="741"/>
      <c r="AWL452" s="741"/>
      <c r="AWM452" s="741"/>
      <c r="AWN452" s="741"/>
      <c r="AWO452" s="741"/>
      <c r="AWP452" s="741"/>
      <c r="AWQ452" s="741"/>
      <c r="AWR452" s="741"/>
      <c r="AWS452" s="741"/>
      <c r="AWT452" s="741"/>
      <c r="AWU452" s="741"/>
      <c r="AWV452" s="741"/>
      <c r="AWW452" s="741"/>
      <c r="AWX452" s="741"/>
      <c r="AWY452" s="741"/>
      <c r="AWZ452" s="741"/>
      <c r="AXA452" s="741"/>
      <c r="AXB452" s="741"/>
      <c r="AXC452" s="741"/>
      <c r="AXD452" s="741"/>
      <c r="AXE452" s="741"/>
      <c r="AXF452" s="741"/>
      <c r="AXG452" s="741"/>
      <c r="AXH452" s="741"/>
      <c r="AXI452" s="741"/>
      <c r="AXJ452" s="741"/>
      <c r="AXK452" s="741"/>
      <c r="AXL452" s="741"/>
      <c r="AXM452" s="741"/>
      <c r="AXN452" s="741"/>
      <c r="AXO452" s="741"/>
      <c r="AXP452" s="741"/>
      <c r="AXQ452" s="741"/>
      <c r="AXR452" s="741"/>
      <c r="AXS452" s="741"/>
      <c r="AXT452" s="741"/>
      <c r="AXU452" s="741"/>
      <c r="AXV452" s="741"/>
      <c r="AXW452" s="741"/>
      <c r="AXX452" s="741"/>
      <c r="AXY452" s="741"/>
      <c r="AXZ452" s="741"/>
      <c r="AYA452" s="741"/>
      <c r="AYB452" s="741"/>
      <c r="AYC452" s="741"/>
      <c r="AYD452" s="741"/>
      <c r="AYE452" s="741"/>
      <c r="AYF452" s="741"/>
      <c r="AYG452" s="741"/>
      <c r="AYH452" s="741"/>
      <c r="AYI452" s="741"/>
      <c r="AYJ452" s="741"/>
      <c r="AYK452" s="741"/>
      <c r="AYL452" s="741"/>
      <c r="AYM452" s="741"/>
      <c r="AYN452" s="741"/>
      <c r="AYO452" s="741"/>
      <c r="AYP452" s="741"/>
      <c r="AYQ452" s="741"/>
      <c r="AYR452" s="741"/>
      <c r="AYS452" s="741"/>
      <c r="AYT452" s="741"/>
      <c r="AYU452" s="741"/>
      <c r="AYV452" s="741"/>
      <c r="AYW452" s="741"/>
      <c r="AYX452" s="741"/>
      <c r="AYY452" s="741"/>
      <c r="AYZ452" s="741"/>
      <c r="AZA452" s="741"/>
      <c r="AZB452" s="741"/>
      <c r="AZC452" s="741"/>
      <c r="AZD452" s="741"/>
      <c r="AZE452" s="741"/>
      <c r="AZF452" s="741"/>
      <c r="AZG452" s="741"/>
      <c r="AZH452" s="741"/>
      <c r="AZI452" s="741"/>
      <c r="AZJ452" s="741"/>
      <c r="AZK452" s="741"/>
      <c r="AZL452" s="741"/>
      <c r="AZM452" s="741"/>
      <c r="AZN452" s="741"/>
      <c r="AZO452" s="741"/>
      <c r="AZP452" s="741"/>
      <c r="AZQ452" s="741"/>
      <c r="AZR452" s="741"/>
      <c r="AZS452" s="741"/>
      <c r="AZT452" s="741"/>
      <c r="AZU452" s="741"/>
      <c r="AZV452" s="741"/>
      <c r="AZW452" s="741"/>
      <c r="AZX452" s="741"/>
      <c r="AZY452" s="741"/>
      <c r="AZZ452" s="741"/>
      <c r="BAA452" s="741"/>
      <c r="BAB452" s="741"/>
      <c r="BAC452" s="741"/>
      <c r="BAD452" s="741"/>
      <c r="BAE452" s="741"/>
      <c r="BAF452" s="741"/>
      <c r="BAG452" s="741"/>
      <c r="BAH452" s="741"/>
      <c r="BAI452" s="741"/>
      <c r="BAJ452" s="741"/>
      <c r="BAK452" s="741"/>
      <c r="BAL452" s="741"/>
      <c r="BAM452" s="741"/>
      <c r="BAN452" s="741"/>
      <c r="BAO452" s="741"/>
      <c r="BAP452" s="741"/>
      <c r="BAQ452" s="741"/>
      <c r="BAR452" s="741"/>
      <c r="BAS452" s="741"/>
      <c r="BAT452" s="741"/>
      <c r="BAU452" s="741"/>
      <c r="BAV452" s="741"/>
      <c r="BAW452" s="741"/>
      <c r="BAX452" s="741"/>
      <c r="BAY452" s="741"/>
      <c r="BAZ452" s="741"/>
      <c r="BBA452" s="741"/>
      <c r="BBB452" s="741"/>
      <c r="BBC452" s="741"/>
      <c r="BBD452" s="741"/>
      <c r="BBE452" s="741"/>
      <c r="BBF452" s="741"/>
      <c r="BBG452" s="741"/>
      <c r="BBH452" s="741"/>
      <c r="BBI452" s="741"/>
      <c r="BBJ452" s="741"/>
      <c r="BBK452" s="741"/>
      <c r="BBL452" s="741"/>
      <c r="BBM452" s="741"/>
      <c r="BBN452" s="741"/>
      <c r="BBO452" s="741"/>
      <c r="BBP452" s="741"/>
      <c r="BBQ452" s="741"/>
      <c r="BBR452" s="741"/>
      <c r="BBS452" s="741"/>
      <c r="BBT452" s="741"/>
      <c r="BBU452" s="741"/>
      <c r="BBV452" s="741"/>
      <c r="BBW452" s="741"/>
      <c r="BBX452" s="741"/>
      <c r="BBY452" s="741"/>
      <c r="BBZ452" s="741"/>
      <c r="BCA452" s="741"/>
      <c r="BCB452" s="741"/>
      <c r="BCC452" s="741"/>
      <c r="BCD452" s="741"/>
      <c r="BCE452" s="741"/>
      <c r="BCF452" s="741"/>
      <c r="BCG452" s="741"/>
      <c r="BCH452" s="741"/>
      <c r="BCI452" s="741"/>
      <c r="BCJ452" s="741"/>
      <c r="BCK452" s="741"/>
      <c r="BCL452" s="741"/>
      <c r="BCM452" s="741"/>
      <c r="BCN452" s="741"/>
      <c r="BCO452" s="741"/>
      <c r="BCP452" s="741"/>
      <c r="BCQ452" s="741"/>
      <c r="BCR452" s="741"/>
      <c r="BCS452" s="741"/>
      <c r="BCT452" s="741"/>
      <c r="BCU452" s="741"/>
      <c r="BCV452" s="741"/>
      <c r="BCW452" s="741"/>
      <c r="BCX452" s="741"/>
      <c r="BCY452" s="741"/>
      <c r="BCZ452" s="741"/>
      <c r="BDA452" s="741"/>
      <c r="BDB452" s="741"/>
      <c r="BDC452" s="741"/>
      <c r="BDD452" s="741"/>
      <c r="BDE452" s="741"/>
      <c r="BDF452" s="741"/>
      <c r="BDG452" s="741"/>
      <c r="BDH452" s="741"/>
      <c r="BDI452" s="741"/>
      <c r="BDJ452" s="741"/>
      <c r="BDK452" s="741"/>
      <c r="BDL452" s="741"/>
      <c r="BDM452" s="741"/>
      <c r="BDN452" s="741"/>
      <c r="BDO452" s="741"/>
      <c r="BDP452" s="741"/>
      <c r="BDQ452" s="741"/>
      <c r="BDR452" s="741"/>
      <c r="BDS452" s="741"/>
      <c r="BDT452" s="741"/>
      <c r="BDU452" s="741"/>
      <c r="BDV452" s="741"/>
      <c r="BDW452" s="741"/>
      <c r="BDX452" s="741"/>
      <c r="BDY452" s="741"/>
      <c r="BDZ452" s="741"/>
      <c r="BEA452" s="741"/>
      <c r="BEB452" s="741"/>
      <c r="BEC452" s="741"/>
      <c r="BED452" s="741"/>
      <c r="BEE452" s="741"/>
      <c r="BEF452" s="741"/>
      <c r="BEG452" s="741"/>
      <c r="BEH452" s="741"/>
      <c r="BEI452" s="741"/>
      <c r="BEJ452" s="741"/>
      <c r="BEK452" s="741"/>
      <c r="BEL452" s="741"/>
      <c r="BEM452" s="741"/>
      <c r="BEN452" s="741"/>
      <c r="BEO452" s="741"/>
      <c r="BEP452" s="741"/>
      <c r="BEQ452" s="741"/>
      <c r="BER452" s="741"/>
      <c r="BES452" s="741"/>
      <c r="BET452" s="741"/>
      <c r="BEU452" s="741"/>
      <c r="BEV452" s="741"/>
      <c r="BEW452" s="741"/>
      <c r="BEX452" s="741"/>
      <c r="BEY452" s="741"/>
      <c r="BEZ452" s="741"/>
      <c r="BFA452" s="741"/>
      <c r="BFB452" s="741"/>
      <c r="BFC452" s="741"/>
      <c r="BFD452" s="741"/>
      <c r="BFE452" s="741"/>
      <c r="BFF452" s="741"/>
      <c r="BFG452" s="741"/>
      <c r="BFH452" s="741"/>
      <c r="BFI452" s="741"/>
      <c r="BFJ452" s="741"/>
      <c r="BFK452" s="741"/>
      <c r="BFL452" s="741"/>
      <c r="BFM452" s="741"/>
      <c r="BFN452" s="741"/>
      <c r="BFO452" s="741"/>
      <c r="BFP452" s="741"/>
      <c r="BFQ452" s="741"/>
      <c r="BFR452" s="741"/>
      <c r="BFS452" s="741"/>
      <c r="BFT452" s="741"/>
      <c r="BFU452" s="741"/>
      <c r="BFV452" s="741"/>
      <c r="BFW452" s="741"/>
      <c r="BFX452" s="741"/>
      <c r="BFY452" s="741"/>
      <c r="BFZ452" s="741"/>
      <c r="BGA452" s="741"/>
      <c r="BGB452" s="741"/>
      <c r="BGC452" s="741"/>
      <c r="BGD452" s="741"/>
      <c r="BGE452" s="741"/>
      <c r="BGF452" s="741"/>
      <c r="BGG452" s="741"/>
      <c r="BGH452" s="741"/>
      <c r="BGI452" s="741"/>
      <c r="BGJ452" s="741"/>
      <c r="BGK452" s="741"/>
      <c r="BGL452" s="741"/>
      <c r="BGM452" s="741"/>
      <c r="BGN452" s="741"/>
      <c r="BGO452" s="741"/>
      <c r="BGP452" s="741"/>
      <c r="BGQ452" s="741"/>
      <c r="BGR452" s="741"/>
      <c r="BGS452" s="741"/>
      <c r="BGT452" s="741"/>
      <c r="BGU452" s="741"/>
      <c r="BGV452" s="741"/>
      <c r="BGW452" s="741"/>
      <c r="BGX452" s="741"/>
      <c r="BGY452" s="741"/>
      <c r="BGZ452" s="741"/>
      <c r="BHA452" s="741"/>
      <c r="BHB452" s="741"/>
      <c r="BHC452" s="741"/>
      <c r="BHD452" s="741"/>
      <c r="BHE452" s="741"/>
      <c r="BHF452" s="741"/>
      <c r="BHG452" s="741"/>
      <c r="BHH452" s="741"/>
      <c r="BHI452" s="741"/>
      <c r="BHJ452" s="741"/>
      <c r="BHK452" s="741"/>
      <c r="BHL452" s="741"/>
      <c r="BHM452" s="741"/>
      <c r="BHN452" s="741"/>
      <c r="BHO452" s="741"/>
      <c r="BHP452" s="741"/>
      <c r="BHQ452" s="741"/>
      <c r="BHR452" s="741"/>
      <c r="BHS452" s="741"/>
      <c r="BHT452" s="741"/>
      <c r="BHU452" s="741"/>
      <c r="BHV452" s="741"/>
      <c r="BHW452" s="741"/>
      <c r="BHX452" s="741"/>
      <c r="BHY452" s="741"/>
      <c r="BHZ452" s="741"/>
      <c r="BIA452" s="741"/>
      <c r="BIB452" s="741"/>
      <c r="BIC452" s="741"/>
      <c r="BID452" s="741"/>
      <c r="BIE452" s="741"/>
      <c r="BIF452" s="741"/>
      <c r="BIG452" s="741"/>
      <c r="BIH452" s="741"/>
      <c r="BII452" s="741"/>
      <c r="BIJ452" s="741"/>
      <c r="BIK452" s="741"/>
      <c r="BIL452" s="741"/>
      <c r="BIM452" s="741"/>
      <c r="BIN452" s="741"/>
      <c r="BIO452" s="741"/>
      <c r="BIP452" s="741"/>
      <c r="BIQ452" s="741"/>
      <c r="BIR452" s="741"/>
      <c r="BIS452" s="741"/>
      <c r="BIT452" s="741"/>
      <c r="BIU452" s="741"/>
      <c r="BIV452" s="741"/>
      <c r="BIW452" s="741"/>
      <c r="BIX452" s="741"/>
      <c r="BIY452" s="741"/>
      <c r="BIZ452" s="741"/>
      <c r="BJA452" s="741"/>
      <c r="BJB452" s="741"/>
      <c r="BJC452" s="741"/>
      <c r="BJD452" s="741"/>
      <c r="BJE452" s="741"/>
      <c r="BJF452" s="741"/>
      <c r="BJG452" s="741"/>
      <c r="BJH452" s="741"/>
      <c r="BJI452" s="741"/>
      <c r="BJJ452" s="741"/>
      <c r="BJK452" s="741"/>
      <c r="BJL452" s="741"/>
      <c r="BJM452" s="741"/>
      <c r="BJN452" s="741"/>
      <c r="BJO452" s="741"/>
      <c r="BJP452" s="741"/>
      <c r="BJQ452" s="741"/>
      <c r="BJR452" s="741"/>
      <c r="BJS452" s="741"/>
      <c r="BJT452" s="741"/>
      <c r="BJU452" s="741"/>
      <c r="BJV452" s="741"/>
      <c r="BJW452" s="741"/>
      <c r="BJX452" s="741"/>
      <c r="BJY452" s="741"/>
      <c r="BJZ452" s="741"/>
      <c r="BKA452" s="741"/>
      <c r="BKB452" s="741"/>
      <c r="BKC452" s="741"/>
      <c r="BKD452" s="741"/>
      <c r="BKE452" s="741"/>
      <c r="BKF452" s="741"/>
      <c r="BKG452" s="741"/>
      <c r="BKH452" s="741"/>
      <c r="BKI452" s="741"/>
      <c r="BKJ452" s="741"/>
      <c r="BKK452" s="741"/>
      <c r="BKL452" s="741"/>
      <c r="BKM452" s="741"/>
      <c r="BKN452" s="741"/>
      <c r="BKO452" s="741"/>
      <c r="BKP452" s="741"/>
      <c r="BKQ452" s="741"/>
      <c r="BKR452" s="741"/>
      <c r="BKS452" s="741"/>
      <c r="BKT452" s="741"/>
      <c r="BKU452" s="741"/>
      <c r="BKV452" s="741"/>
      <c r="BKW452" s="741"/>
      <c r="BKX452" s="741"/>
      <c r="BKY452" s="741"/>
      <c r="BKZ452" s="741"/>
      <c r="BLA452" s="741"/>
      <c r="BLB452" s="741"/>
      <c r="BLC452" s="741"/>
      <c r="BLD452" s="741"/>
      <c r="BLE452" s="741"/>
      <c r="BLF452" s="741"/>
      <c r="BLG452" s="741"/>
      <c r="BLH452" s="741"/>
      <c r="BLI452" s="741"/>
      <c r="BLJ452" s="741"/>
      <c r="BLK452" s="741"/>
      <c r="BLL452" s="741"/>
      <c r="BLM452" s="741"/>
      <c r="BLN452" s="741"/>
      <c r="BLO452" s="741"/>
      <c r="BLP452" s="741"/>
      <c r="BLQ452" s="741"/>
      <c r="BLR452" s="741"/>
      <c r="BLS452" s="741"/>
      <c r="BLT452" s="741"/>
      <c r="BLU452" s="741"/>
      <c r="BLV452" s="741"/>
      <c r="BLW452" s="741"/>
      <c r="BLX452" s="741"/>
      <c r="BLY452" s="741"/>
      <c r="BLZ452" s="741"/>
      <c r="BMA452" s="741"/>
      <c r="BMB452" s="741"/>
      <c r="BMC452" s="741"/>
      <c r="BMD452" s="741"/>
      <c r="BME452" s="741"/>
      <c r="BMF452" s="741"/>
      <c r="BMG452" s="741"/>
      <c r="BMH452" s="741"/>
      <c r="BMI452" s="741"/>
      <c r="BMJ452" s="741"/>
      <c r="BMK452" s="741"/>
      <c r="BML452" s="741"/>
      <c r="BMM452" s="741"/>
      <c r="BMN452" s="741"/>
      <c r="BMO452" s="741"/>
      <c r="BMP452" s="741"/>
      <c r="BMQ452" s="741"/>
      <c r="BMR452" s="741"/>
      <c r="BMS452" s="741"/>
      <c r="BMT452" s="741"/>
      <c r="BMU452" s="741"/>
      <c r="BMV452" s="741"/>
      <c r="BMW452" s="741"/>
      <c r="BMX452" s="741"/>
      <c r="BMY452" s="741"/>
      <c r="BMZ452" s="741"/>
      <c r="BNA452" s="741"/>
      <c r="BNB452" s="741"/>
      <c r="BNC452" s="741"/>
      <c r="BND452" s="741"/>
      <c r="BNE452" s="741"/>
      <c r="BNF452" s="741"/>
      <c r="BNG452" s="741"/>
      <c r="BNH452" s="741"/>
      <c r="BNI452" s="741"/>
      <c r="BNJ452" s="741"/>
      <c r="BNK452" s="741"/>
      <c r="BNL452" s="741"/>
      <c r="BNM452" s="741"/>
      <c r="BNN452" s="741"/>
      <c r="BNO452" s="741"/>
      <c r="BNP452" s="741"/>
      <c r="BNQ452" s="741"/>
      <c r="BNR452" s="741"/>
      <c r="BNS452" s="741"/>
      <c r="BNT452" s="741"/>
      <c r="BNU452" s="741"/>
      <c r="BNV452" s="741"/>
      <c r="BNW452" s="741"/>
      <c r="BNX452" s="741"/>
      <c r="BNY452" s="741"/>
      <c r="BNZ452" s="741"/>
      <c r="BOA452" s="741"/>
      <c r="BOB452" s="741"/>
      <c r="BOC452" s="741"/>
      <c r="BOD452" s="741"/>
      <c r="BOE452" s="741"/>
      <c r="BOF452" s="741"/>
      <c r="BOG452" s="741"/>
      <c r="BOH452" s="741"/>
      <c r="BOI452" s="741"/>
      <c r="BOJ452" s="741"/>
      <c r="BOK452" s="741"/>
      <c r="BOL452" s="741"/>
      <c r="BOM452" s="741"/>
      <c r="BON452" s="741"/>
      <c r="BOO452" s="741"/>
      <c r="BOP452" s="741"/>
      <c r="BOQ452" s="741"/>
      <c r="BOR452" s="741"/>
      <c r="BOS452" s="741"/>
      <c r="BOT452" s="741"/>
      <c r="BOU452" s="741"/>
      <c r="BOV452" s="741"/>
      <c r="BOW452" s="741"/>
      <c r="BOX452" s="741"/>
      <c r="BOY452" s="741"/>
      <c r="BOZ452" s="741"/>
      <c r="BPA452" s="741"/>
      <c r="BPB452" s="741"/>
      <c r="BPC452" s="741"/>
      <c r="BPD452" s="741"/>
      <c r="BPE452" s="741"/>
      <c r="BPF452" s="741"/>
      <c r="BPG452" s="741"/>
      <c r="BPH452" s="741"/>
      <c r="BPI452" s="741"/>
      <c r="BPJ452" s="741"/>
      <c r="BPK452" s="741"/>
      <c r="BPL452" s="741"/>
      <c r="BPM452" s="741"/>
      <c r="BPN452" s="741"/>
      <c r="BPO452" s="741"/>
      <c r="BPP452" s="741"/>
      <c r="BPQ452" s="741"/>
      <c r="BPR452" s="741"/>
      <c r="BPS452" s="741"/>
      <c r="BPT452" s="741"/>
      <c r="BPU452" s="741"/>
      <c r="BPV452" s="741"/>
      <c r="BPW452" s="741"/>
      <c r="BPX452" s="741"/>
      <c r="BPY452" s="741"/>
      <c r="BPZ452" s="741"/>
      <c r="BQA452" s="741"/>
      <c r="BQB452" s="741"/>
      <c r="BQC452" s="741"/>
      <c r="BQD452" s="741"/>
      <c r="BQE452" s="741"/>
      <c r="BQF452" s="741"/>
      <c r="BQG452" s="741"/>
      <c r="BQH452" s="741"/>
      <c r="BQI452" s="741"/>
      <c r="BQJ452" s="741"/>
      <c r="BQK452" s="741"/>
      <c r="BQL452" s="741"/>
      <c r="BQM452" s="741"/>
      <c r="BQN452" s="741"/>
      <c r="BQO452" s="741"/>
      <c r="BQP452" s="741"/>
      <c r="BQQ452" s="741"/>
      <c r="BQR452" s="741"/>
      <c r="BQS452" s="741"/>
      <c r="BQT452" s="741"/>
      <c r="BQU452" s="741"/>
      <c r="BQV452" s="741"/>
      <c r="BQW452" s="741"/>
      <c r="BQX452" s="741"/>
      <c r="BQY452" s="741"/>
      <c r="BQZ452" s="741"/>
      <c r="BRA452" s="741"/>
      <c r="BRB452" s="741"/>
      <c r="BRC452" s="741"/>
      <c r="BRD452" s="741"/>
      <c r="BRE452" s="741"/>
      <c r="BRF452" s="741"/>
      <c r="BRG452" s="741"/>
      <c r="BRH452" s="741"/>
      <c r="BRI452" s="741"/>
      <c r="BRJ452" s="741"/>
      <c r="BRK452" s="741"/>
      <c r="BRL452" s="741"/>
      <c r="BRM452" s="741"/>
      <c r="BRN452" s="741"/>
      <c r="BRO452" s="741"/>
      <c r="BRP452" s="741"/>
      <c r="BRQ452" s="741"/>
      <c r="BRR452" s="741"/>
      <c r="BRS452" s="741"/>
      <c r="BRT452" s="741"/>
      <c r="BRU452" s="741"/>
      <c r="BRV452" s="741"/>
      <c r="BRW452" s="741"/>
      <c r="BRX452" s="741"/>
      <c r="BRY452" s="741"/>
      <c r="BRZ452" s="741"/>
      <c r="BSA452" s="741"/>
      <c r="BSB452" s="741"/>
      <c r="BSC452" s="741"/>
      <c r="BSD452" s="741"/>
      <c r="BSE452" s="741"/>
      <c r="BSF452" s="741"/>
      <c r="BSG452" s="741"/>
      <c r="BSH452" s="741"/>
      <c r="BSI452" s="741"/>
      <c r="BSJ452" s="741"/>
      <c r="BSK452" s="741"/>
      <c r="BSL452" s="741"/>
      <c r="BSM452" s="741"/>
      <c r="BSN452" s="741"/>
      <c r="BSO452" s="741"/>
      <c r="BSP452" s="741"/>
      <c r="BSQ452" s="741"/>
      <c r="BSR452" s="741"/>
      <c r="BSS452" s="741"/>
      <c r="BST452" s="741"/>
      <c r="BSU452" s="741"/>
      <c r="BSV452" s="741"/>
      <c r="BSW452" s="741"/>
      <c r="BSX452" s="741"/>
      <c r="BSY452" s="741"/>
      <c r="BSZ452" s="741"/>
      <c r="BTA452" s="741"/>
      <c r="BTB452" s="741"/>
      <c r="BTC452" s="741"/>
      <c r="BTD452" s="741"/>
      <c r="BTE452" s="741"/>
      <c r="BTF452" s="741"/>
      <c r="BTG452" s="741"/>
      <c r="BTH452" s="741"/>
      <c r="BTI452" s="741"/>
      <c r="BTJ452" s="741"/>
      <c r="BTK452" s="741"/>
      <c r="BTL452" s="741"/>
      <c r="BTM452" s="741"/>
      <c r="BTN452" s="741"/>
      <c r="BTO452" s="741"/>
      <c r="BTP452" s="741"/>
      <c r="BTQ452" s="741"/>
      <c r="BTR452" s="741"/>
      <c r="BTS452" s="741"/>
      <c r="BTT452" s="741"/>
      <c r="BTU452" s="741"/>
      <c r="BTV452" s="741"/>
      <c r="BTW452" s="741"/>
      <c r="BTX452" s="741"/>
      <c r="BTY452" s="741"/>
      <c r="BTZ452" s="741"/>
      <c r="BUA452" s="741"/>
      <c r="BUB452" s="741"/>
      <c r="BUC452" s="741"/>
      <c r="BUD452" s="741"/>
      <c r="BUE452" s="741"/>
      <c r="BUF452" s="741"/>
      <c r="BUG452" s="741"/>
      <c r="BUH452" s="741"/>
      <c r="BUI452" s="741"/>
      <c r="BUJ452" s="741"/>
      <c r="BUK452" s="741"/>
      <c r="BUL452" s="741"/>
      <c r="BUM452" s="741"/>
      <c r="BUN452" s="741"/>
      <c r="BUO452" s="741"/>
      <c r="BUP452" s="741"/>
      <c r="BUQ452" s="741"/>
      <c r="BUR452" s="741"/>
      <c r="BUS452" s="741"/>
      <c r="BUT452" s="741"/>
      <c r="BUU452" s="741"/>
      <c r="BUV452" s="741"/>
      <c r="BUW452" s="741"/>
      <c r="BUX452" s="741"/>
      <c r="BUY452" s="741"/>
      <c r="BUZ452" s="741"/>
      <c r="BVA452" s="741"/>
      <c r="BVB452" s="741"/>
      <c r="BVC452" s="741"/>
      <c r="BVD452" s="741"/>
      <c r="BVE452" s="741"/>
      <c r="BVF452" s="741"/>
      <c r="BVG452" s="741"/>
      <c r="BVH452" s="741"/>
      <c r="BVI452" s="741"/>
      <c r="BVJ452" s="741"/>
      <c r="BVK452" s="741"/>
      <c r="BVL452" s="741"/>
      <c r="BVM452" s="741"/>
      <c r="BVN452" s="741"/>
      <c r="BVO452" s="741"/>
      <c r="BVP452" s="741"/>
      <c r="BVQ452" s="741"/>
      <c r="BVR452" s="741"/>
      <c r="BVS452" s="741"/>
      <c r="BVT452" s="741"/>
      <c r="BVU452" s="741"/>
      <c r="BVV452" s="741"/>
      <c r="BVW452" s="741"/>
      <c r="BVX452" s="741"/>
      <c r="BVY452" s="741"/>
      <c r="BVZ452" s="741"/>
      <c r="BWA452" s="741"/>
      <c r="BWB452" s="741"/>
      <c r="BWC452" s="741"/>
      <c r="BWD452" s="741"/>
      <c r="BWE452" s="741"/>
      <c r="BWF452" s="741"/>
      <c r="BWG452" s="741"/>
      <c r="BWH452" s="741"/>
      <c r="BWI452" s="741"/>
      <c r="BWJ452" s="741"/>
      <c r="BWK452" s="741"/>
      <c r="BWL452" s="741"/>
      <c r="BWM452" s="741"/>
      <c r="BWN452" s="741"/>
      <c r="BWO452" s="741"/>
      <c r="BWP452" s="741"/>
      <c r="BWQ452" s="741"/>
      <c r="BWR452" s="741"/>
      <c r="BWS452" s="741"/>
      <c r="BWT452" s="741"/>
      <c r="BWU452" s="741"/>
      <c r="BWV452" s="741"/>
      <c r="BWW452" s="741"/>
      <c r="BWX452" s="741"/>
      <c r="BWY452" s="741"/>
      <c r="BWZ452" s="741"/>
      <c r="BXA452" s="741"/>
      <c r="BXB452" s="741"/>
      <c r="BXC452" s="741"/>
      <c r="BXD452" s="741"/>
      <c r="BXE452" s="741"/>
      <c r="BXF452" s="741"/>
      <c r="BXG452" s="741"/>
      <c r="BXH452" s="741"/>
      <c r="BXI452" s="741"/>
      <c r="BXJ452" s="741"/>
      <c r="BXK452" s="741"/>
      <c r="BXL452" s="741"/>
      <c r="BXM452" s="741"/>
      <c r="BXN452" s="741"/>
      <c r="BXO452" s="741"/>
      <c r="BXP452" s="741"/>
      <c r="BXQ452" s="741"/>
      <c r="BXR452" s="741"/>
      <c r="BXS452" s="741"/>
      <c r="BXT452" s="741"/>
      <c r="BXU452" s="741"/>
      <c r="BXV452" s="741"/>
      <c r="BXW452" s="741"/>
      <c r="BXX452" s="741"/>
      <c r="BXY452" s="741"/>
      <c r="BXZ452" s="741"/>
      <c r="BYA452" s="741"/>
      <c r="BYB452" s="741"/>
      <c r="BYC452" s="741"/>
      <c r="BYD452" s="741"/>
      <c r="BYE452" s="741"/>
      <c r="BYF452" s="741"/>
      <c r="BYG452" s="741"/>
      <c r="BYH452" s="741"/>
      <c r="BYI452" s="741"/>
      <c r="BYJ452" s="741"/>
      <c r="BYK452" s="741"/>
      <c r="BYL452" s="741"/>
      <c r="BYM452" s="741"/>
      <c r="BYN452" s="741"/>
      <c r="BYO452" s="741"/>
      <c r="BYP452" s="741"/>
      <c r="BYQ452" s="741"/>
      <c r="BYR452" s="741"/>
      <c r="BYS452" s="741"/>
      <c r="BYT452" s="741"/>
      <c r="BYU452" s="741"/>
      <c r="BYV452" s="741"/>
      <c r="BYW452" s="741"/>
      <c r="BYX452" s="741"/>
      <c r="BYY452" s="741"/>
      <c r="BYZ452" s="741"/>
      <c r="BZA452" s="741"/>
      <c r="BZB452" s="741"/>
      <c r="BZC452" s="741"/>
      <c r="BZD452" s="741"/>
      <c r="BZE452" s="741"/>
      <c r="BZF452" s="741"/>
      <c r="BZG452" s="741"/>
      <c r="BZH452" s="741"/>
      <c r="BZI452" s="741"/>
      <c r="BZJ452" s="741"/>
      <c r="BZK452" s="741"/>
      <c r="BZL452" s="741"/>
      <c r="BZM452" s="741"/>
      <c r="BZN452" s="741"/>
      <c r="BZO452" s="741"/>
      <c r="BZP452" s="741"/>
      <c r="BZQ452" s="741"/>
      <c r="BZR452" s="741"/>
      <c r="BZS452" s="741"/>
      <c r="BZT452" s="741"/>
      <c r="BZU452" s="741"/>
      <c r="BZV452" s="741"/>
      <c r="BZW452" s="741"/>
      <c r="BZX452" s="741"/>
      <c r="BZY452" s="741"/>
      <c r="BZZ452" s="741"/>
      <c r="CAA452" s="741"/>
      <c r="CAB452" s="741"/>
      <c r="CAC452" s="741"/>
      <c r="CAD452" s="741"/>
      <c r="CAE452" s="741"/>
      <c r="CAF452" s="741"/>
      <c r="CAG452" s="741"/>
      <c r="CAH452" s="741"/>
      <c r="CAI452" s="741"/>
      <c r="CAJ452" s="741"/>
      <c r="CAK452" s="741"/>
      <c r="CAL452" s="741"/>
      <c r="CAM452" s="741"/>
      <c r="CAN452" s="741"/>
      <c r="CAO452" s="741"/>
      <c r="CAP452" s="741"/>
      <c r="CAQ452" s="741"/>
      <c r="CAR452" s="741"/>
      <c r="CAS452" s="741"/>
      <c r="CAT452" s="741"/>
      <c r="CAU452" s="741"/>
      <c r="CAV452" s="741"/>
      <c r="CAW452" s="741"/>
      <c r="CAX452" s="741"/>
      <c r="CAY452" s="741"/>
      <c r="CAZ452" s="741"/>
      <c r="CBA452" s="741"/>
      <c r="CBB452" s="741"/>
      <c r="CBC452" s="741"/>
      <c r="CBD452" s="741"/>
      <c r="CBE452" s="741"/>
      <c r="CBF452" s="741"/>
      <c r="CBG452" s="741"/>
      <c r="CBH452" s="741"/>
      <c r="CBI452" s="741"/>
      <c r="CBJ452" s="741"/>
      <c r="CBK452" s="741"/>
      <c r="CBL452" s="741"/>
      <c r="CBM452" s="741"/>
      <c r="CBN452" s="741"/>
      <c r="CBO452" s="741"/>
      <c r="CBP452" s="741"/>
      <c r="CBQ452" s="741"/>
      <c r="CBR452" s="741"/>
      <c r="CBS452" s="741"/>
      <c r="CBT452" s="741"/>
      <c r="CBU452" s="741"/>
      <c r="CBV452" s="741"/>
      <c r="CBW452" s="741"/>
      <c r="CBX452" s="741"/>
      <c r="CBY452" s="741"/>
      <c r="CBZ452" s="741"/>
      <c r="CCA452" s="741"/>
      <c r="CCB452" s="741"/>
      <c r="CCC452" s="741"/>
      <c r="CCD452" s="741"/>
      <c r="CCE452" s="741"/>
      <c r="CCF452" s="741"/>
      <c r="CCG452" s="741"/>
      <c r="CCH452" s="741"/>
      <c r="CCI452" s="741"/>
      <c r="CCJ452" s="741"/>
      <c r="CCK452" s="741"/>
      <c r="CCL452" s="741"/>
      <c r="CCM452" s="741"/>
      <c r="CCN452" s="741"/>
      <c r="CCO452" s="741"/>
      <c r="CCP452" s="741"/>
      <c r="CCQ452" s="741"/>
      <c r="CCR452" s="741"/>
      <c r="CCS452" s="741"/>
      <c r="CCT452" s="741"/>
      <c r="CCU452" s="741"/>
      <c r="CCV452" s="741"/>
      <c r="CCW452" s="741"/>
      <c r="CCX452" s="741"/>
      <c r="CCY452" s="741"/>
      <c r="CCZ452" s="741"/>
      <c r="CDA452" s="741"/>
      <c r="CDB452" s="741"/>
      <c r="CDC452" s="741"/>
      <c r="CDD452" s="741"/>
      <c r="CDE452" s="741"/>
      <c r="CDF452" s="741"/>
      <c r="CDG452" s="741"/>
      <c r="CDH452" s="741"/>
      <c r="CDI452" s="741"/>
      <c r="CDJ452" s="741"/>
      <c r="CDK452" s="741"/>
      <c r="CDL452" s="741"/>
      <c r="CDM452" s="741"/>
      <c r="CDN452" s="741"/>
      <c r="CDO452" s="741"/>
      <c r="CDP452" s="741"/>
      <c r="CDQ452" s="741"/>
      <c r="CDR452" s="741"/>
      <c r="CDS452" s="741"/>
      <c r="CDT452" s="741"/>
      <c r="CDU452" s="741"/>
      <c r="CDV452" s="741"/>
      <c r="CDW452" s="741"/>
      <c r="CDX452" s="741"/>
      <c r="CDY452" s="741"/>
      <c r="CDZ452" s="741"/>
      <c r="CEA452" s="741"/>
      <c r="CEB452" s="741"/>
      <c r="CEC452" s="741"/>
      <c r="CED452" s="741"/>
      <c r="CEE452" s="741"/>
      <c r="CEF452" s="741"/>
      <c r="CEG452" s="741"/>
      <c r="CEH452" s="741"/>
      <c r="CEI452" s="741"/>
      <c r="CEJ452" s="741"/>
      <c r="CEK452" s="741"/>
      <c r="CEL452" s="741"/>
      <c r="CEM452" s="741"/>
      <c r="CEN452" s="741"/>
      <c r="CEO452" s="741"/>
      <c r="CEP452" s="741"/>
      <c r="CEQ452" s="741"/>
      <c r="CER452" s="741"/>
      <c r="CES452" s="741"/>
      <c r="CET452" s="741"/>
      <c r="CEU452" s="741"/>
      <c r="CEV452" s="741"/>
      <c r="CEW452" s="741"/>
      <c r="CEX452" s="741"/>
      <c r="CEY452" s="741"/>
      <c r="CEZ452" s="741"/>
      <c r="CFA452" s="741"/>
      <c r="CFB452" s="741"/>
      <c r="CFC452" s="741"/>
      <c r="CFD452" s="741"/>
      <c r="CFE452" s="741"/>
      <c r="CFF452" s="741"/>
      <c r="CFG452" s="741"/>
      <c r="CFH452" s="741"/>
      <c r="CFI452" s="741"/>
      <c r="CFJ452" s="741"/>
      <c r="CFK452" s="741"/>
      <c r="CFL452" s="741"/>
      <c r="CFM452" s="741"/>
      <c r="CFN452" s="741"/>
      <c r="CFO452" s="741"/>
      <c r="CFP452" s="741"/>
      <c r="CFQ452" s="741"/>
      <c r="CFR452" s="741"/>
      <c r="CFS452" s="741"/>
      <c r="CFT452" s="741"/>
      <c r="CFU452" s="741"/>
      <c r="CFV452" s="741"/>
      <c r="CFW452" s="741"/>
      <c r="CFX452" s="741"/>
      <c r="CFY452" s="741"/>
      <c r="CFZ452" s="741"/>
      <c r="CGA452" s="741"/>
      <c r="CGB452" s="741"/>
      <c r="CGC452" s="741"/>
      <c r="CGD452" s="741"/>
      <c r="CGE452" s="741"/>
      <c r="CGF452" s="741"/>
      <c r="CGG452" s="741"/>
      <c r="CGH452" s="741"/>
      <c r="CGI452" s="741"/>
      <c r="CGJ452" s="741"/>
      <c r="CGK452" s="741"/>
      <c r="CGL452" s="741"/>
      <c r="CGM452" s="741"/>
      <c r="CGN452" s="741"/>
      <c r="CGO452" s="741"/>
      <c r="CGP452" s="741"/>
      <c r="CGQ452" s="741"/>
      <c r="CGR452" s="741"/>
      <c r="CGS452" s="741"/>
      <c r="CGT452" s="741"/>
      <c r="CGU452" s="741"/>
      <c r="CGV452" s="741"/>
      <c r="CGW452" s="741"/>
      <c r="CGX452" s="741"/>
      <c r="CGY452" s="741"/>
      <c r="CGZ452" s="741"/>
      <c r="CHA452" s="741"/>
      <c r="CHB452" s="741"/>
      <c r="CHC452" s="741"/>
      <c r="CHD452" s="741"/>
      <c r="CHE452" s="741"/>
      <c r="CHF452" s="741"/>
      <c r="CHG452" s="741"/>
      <c r="CHH452" s="741"/>
      <c r="CHI452" s="741"/>
      <c r="CHJ452" s="741"/>
      <c r="CHK452" s="741"/>
      <c r="CHL452" s="741"/>
      <c r="CHM452" s="741"/>
      <c r="CHN452" s="741"/>
      <c r="CHO452" s="741"/>
      <c r="CHP452" s="741"/>
      <c r="CHQ452" s="741"/>
      <c r="CHR452" s="741"/>
      <c r="CHS452" s="741"/>
      <c r="CHT452" s="741"/>
      <c r="CHU452" s="741"/>
      <c r="CHV452" s="741"/>
      <c r="CHW452" s="741"/>
      <c r="CHX452" s="741"/>
      <c r="CHY452" s="741"/>
      <c r="CHZ452" s="741"/>
      <c r="CIA452" s="741"/>
      <c r="CIB452" s="741"/>
      <c r="CIC452" s="741"/>
      <c r="CID452" s="741"/>
      <c r="CIE452" s="741"/>
      <c r="CIF452" s="741"/>
      <c r="CIG452" s="741"/>
      <c r="CIH452" s="741"/>
      <c r="CII452" s="741"/>
      <c r="CIJ452" s="741"/>
      <c r="CIK452" s="741"/>
      <c r="CIL452" s="741"/>
      <c r="CIM452" s="741"/>
      <c r="CIN452" s="741"/>
      <c r="CIO452" s="741"/>
      <c r="CIP452" s="741"/>
      <c r="CIQ452" s="741"/>
      <c r="CIR452" s="741"/>
      <c r="CIS452" s="741"/>
      <c r="CIT452" s="741"/>
      <c r="CIU452" s="741"/>
      <c r="CIV452" s="741"/>
      <c r="CIW452" s="741"/>
      <c r="CIX452" s="741"/>
      <c r="CIY452" s="741"/>
      <c r="CIZ452" s="741"/>
      <c r="CJA452" s="741"/>
      <c r="CJB452" s="741"/>
      <c r="CJC452" s="741"/>
      <c r="CJD452" s="741"/>
      <c r="CJE452" s="741"/>
      <c r="CJF452" s="741"/>
      <c r="CJG452" s="741"/>
      <c r="CJH452" s="741"/>
      <c r="CJI452" s="741"/>
      <c r="CJJ452" s="741"/>
      <c r="CJK452" s="741"/>
      <c r="CJL452" s="741"/>
      <c r="CJM452" s="741"/>
      <c r="CJN452" s="741"/>
      <c r="CJO452" s="741"/>
      <c r="CJP452" s="741"/>
      <c r="CJQ452" s="741"/>
      <c r="CJR452" s="741"/>
      <c r="CJS452" s="741"/>
      <c r="CJT452" s="741"/>
      <c r="CJU452" s="741"/>
      <c r="CJV452" s="741"/>
      <c r="CJW452" s="741"/>
      <c r="CJX452" s="741"/>
      <c r="CJY452" s="741"/>
      <c r="CJZ452" s="741"/>
      <c r="CKA452" s="741"/>
      <c r="CKB452" s="741"/>
      <c r="CKC452" s="741"/>
      <c r="CKD452" s="741"/>
      <c r="CKE452" s="741"/>
      <c r="CKF452" s="741"/>
      <c r="CKG452" s="741"/>
      <c r="CKH452" s="741"/>
      <c r="CKI452" s="741"/>
      <c r="CKJ452" s="741"/>
      <c r="CKK452" s="741"/>
      <c r="CKL452" s="741"/>
      <c r="CKM452" s="741"/>
      <c r="CKN452" s="741"/>
      <c r="CKO452" s="741"/>
      <c r="CKP452" s="741"/>
      <c r="CKQ452" s="741"/>
      <c r="CKR452" s="741"/>
      <c r="CKS452" s="741"/>
      <c r="CKT452" s="741"/>
      <c r="CKU452" s="741"/>
      <c r="CKV452" s="741"/>
      <c r="CKW452" s="741"/>
      <c r="CKX452" s="741"/>
      <c r="CKY452" s="741"/>
      <c r="CKZ452" s="741"/>
      <c r="CLA452" s="741"/>
      <c r="CLB452" s="741"/>
      <c r="CLC452" s="741"/>
      <c r="CLD452" s="741"/>
      <c r="CLE452" s="741"/>
      <c r="CLF452" s="741"/>
      <c r="CLG452" s="741"/>
      <c r="CLH452" s="741"/>
      <c r="CLI452" s="741"/>
      <c r="CLJ452" s="741"/>
      <c r="CLK452" s="741"/>
      <c r="CLL452" s="741"/>
      <c r="CLM452" s="741"/>
      <c r="CLN452" s="741"/>
      <c r="CLO452" s="741"/>
      <c r="CLP452" s="741"/>
      <c r="CLQ452" s="741"/>
      <c r="CLR452" s="741"/>
      <c r="CLS452" s="741"/>
      <c r="CLT452" s="741"/>
      <c r="CLU452" s="741"/>
      <c r="CLV452" s="741"/>
      <c r="CLW452" s="741"/>
      <c r="CLX452" s="741"/>
      <c r="CLY452" s="741"/>
      <c r="CLZ452" s="741"/>
      <c r="CMA452" s="741"/>
      <c r="CMB452" s="741"/>
      <c r="CMC452" s="741"/>
      <c r="CMD452" s="741"/>
      <c r="CME452" s="741"/>
      <c r="CMF452" s="741"/>
      <c r="CMG452" s="741"/>
      <c r="CMH452" s="741"/>
      <c r="CMI452" s="741"/>
      <c r="CMJ452" s="741"/>
      <c r="CMK452" s="741"/>
      <c r="CML452" s="741"/>
      <c r="CMM452" s="741"/>
      <c r="CMN452" s="741"/>
      <c r="CMO452" s="741"/>
      <c r="CMP452" s="741"/>
      <c r="CMQ452" s="741"/>
      <c r="CMR452" s="741"/>
      <c r="CMS452" s="741"/>
      <c r="CMT452" s="741"/>
      <c r="CMU452" s="741"/>
      <c r="CMV452" s="741"/>
      <c r="CMW452" s="741"/>
      <c r="CMX452" s="741"/>
      <c r="CMY452" s="741"/>
      <c r="CMZ452" s="741"/>
      <c r="CNA452" s="741"/>
      <c r="CNB452" s="741"/>
      <c r="CNC452" s="741"/>
      <c r="CND452" s="741"/>
      <c r="CNE452" s="741"/>
      <c r="CNF452" s="741"/>
      <c r="CNG452" s="741"/>
      <c r="CNH452" s="741"/>
      <c r="CNI452" s="741"/>
      <c r="CNJ452" s="741"/>
      <c r="CNK452" s="741"/>
      <c r="CNL452" s="741"/>
      <c r="CNM452" s="741"/>
      <c r="CNN452" s="741"/>
      <c r="CNO452" s="741"/>
      <c r="CNP452" s="741"/>
      <c r="CNQ452" s="741"/>
      <c r="CNR452" s="741"/>
      <c r="CNS452" s="741"/>
      <c r="CNT452" s="741"/>
      <c r="CNU452" s="741"/>
      <c r="CNV452" s="741"/>
      <c r="CNW452" s="741"/>
      <c r="CNX452" s="741"/>
      <c r="CNY452" s="741"/>
      <c r="CNZ452" s="741"/>
      <c r="COA452" s="741"/>
      <c r="COB452" s="741"/>
      <c r="COC452" s="741"/>
      <c r="COD452" s="741"/>
      <c r="COE452" s="741"/>
      <c r="COF452" s="741"/>
      <c r="COG452" s="741"/>
      <c r="COH452" s="741"/>
      <c r="COI452" s="741"/>
      <c r="COJ452" s="741"/>
      <c r="COK452" s="741"/>
      <c r="COL452" s="741"/>
      <c r="COM452" s="741"/>
      <c r="CON452" s="741"/>
      <c r="COO452" s="741"/>
      <c r="COP452" s="741"/>
      <c r="COQ452" s="741"/>
      <c r="COR452" s="741"/>
      <c r="COS452" s="741"/>
      <c r="COT452" s="741"/>
      <c r="COU452" s="741"/>
      <c r="COV452" s="741"/>
      <c r="COW452" s="741"/>
      <c r="COX452" s="741"/>
      <c r="COY452" s="741"/>
      <c r="COZ452" s="741"/>
      <c r="CPA452" s="741"/>
      <c r="CPB452" s="741"/>
      <c r="CPC452" s="741"/>
      <c r="CPD452" s="741"/>
      <c r="CPE452" s="741"/>
      <c r="CPF452" s="741"/>
      <c r="CPG452" s="741"/>
      <c r="CPH452" s="741"/>
      <c r="CPI452" s="741"/>
      <c r="CPJ452" s="741"/>
      <c r="CPK452" s="741"/>
      <c r="CPL452" s="741"/>
      <c r="CPM452" s="741"/>
      <c r="CPN452" s="741"/>
      <c r="CPO452" s="741"/>
      <c r="CPP452" s="741"/>
      <c r="CPQ452" s="741"/>
      <c r="CPR452" s="741"/>
      <c r="CPS452" s="741"/>
      <c r="CPT452" s="741"/>
      <c r="CPU452" s="741"/>
      <c r="CPV452" s="741"/>
      <c r="CPW452" s="741"/>
      <c r="CPX452" s="741"/>
      <c r="CPY452" s="741"/>
      <c r="CPZ452" s="741"/>
      <c r="CQA452" s="741"/>
      <c r="CQB452" s="741"/>
      <c r="CQC452" s="741"/>
      <c r="CQD452" s="741"/>
      <c r="CQE452" s="741"/>
      <c r="CQF452" s="741"/>
      <c r="CQG452" s="741"/>
      <c r="CQH452" s="741"/>
      <c r="CQI452" s="741"/>
      <c r="CQJ452" s="741"/>
      <c r="CQK452" s="741"/>
      <c r="CQL452" s="741"/>
      <c r="CQM452" s="741"/>
      <c r="CQN452" s="741"/>
      <c r="CQO452" s="741"/>
      <c r="CQP452" s="741"/>
      <c r="CQQ452" s="741"/>
      <c r="CQR452" s="741"/>
      <c r="CQS452" s="741"/>
      <c r="CQT452" s="741"/>
      <c r="CQU452" s="741"/>
      <c r="CQV452" s="741"/>
      <c r="CQW452" s="741"/>
      <c r="CQX452" s="741"/>
      <c r="CQY452" s="741"/>
      <c r="CQZ452" s="741"/>
      <c r="CRA452" s="741"/>
      <c r="CRB452" s="741"/>
      <c r="CRC452" s="741"/>
      <c r="CRD452" s="741"/>
      <c r="CRE452" s="741"/>
      <c r="CRF452" s="741"/>
      <c r="CRG452" s="741"/>
      <c r="CRH452" s="741"/>
      <c r="CRI452" s="741"/>
      <c r="CRJ452" s="741"/>
      <c r="CRK452" s="741"/>
      <c r="CRL452" s="741"/>
      <c r="CRM452" s="741"/>
      <c r="CRN452" s="741"/>
      <c r="CRO452" s="741"/>
      <c r="CRP452" s="741"/>
      <c r="CRQ452" s="741"/>
      <c r="CRR452" s="741"/>
      <c r="CRS452" s="741"/>
      <c r="CRT452" s="741"/>
      <c r="CRU452" s="741"/>
      <c r="CRV452" s="741"/>
      <c r="CRW452" s="741"/>
      <c r="CRX452" s="741"/>
      <c r="CRY452" s="741"/>
      <c r="CRZ452" s="741"/>
      <c r="CSA452" s="741"/>
      <c r="CSB452" s="741"/>
      <c r="CSC452" s="741"/>
      <c r="CSD452" s="741"/>
      <c r="CSE452" s="741"/>
      <c r="CSF452" s="741"/>
      <c r="CSG452" s="741"/>
      <c r="CSH452" s="741"/>
      <c r="CSI452" s="741"/>
      <c r="CSJ452" s="741"/>
      <c r="CSK452" s="741"/>
      <c r="CSL452" s="741"/>
      <c r="CSM452" s="741"/>
      <c r="CSN452" s="741"/>
      <c r="CSO452" s="741"/>
      <c r="CSP452" s="741"/>
      <c r="CSQ452" s="741"/>
      <c r="CSR452" s="741"/>
      <c r="CSS452" s="741"/>
      <c r="CST452" s="741"/>
      <c r="CSU452" s="741"/>
      <c r="CSV452" s="741"/>
      <c r="CSW452" s="741"/>
      <c r="CSX452" s="741"/>
      <c r="CSY452" s="741"/>
      <c r="CSZ452" s="741"/>
      <c r="CTA452" s="741"/>
      <c r="CTB452" s="741"/>
      <c r="CTC452" s="741"/>
      <c r="CTD452" s="741"/>
      <c r="CTE452" s="741"/>
      <c r="CTF452" s="741"/>
      <c r="CTG452" s="741"/>
      <c r="CTH452" s="741"/>
      <c r="CTI452" s="741"/>
      <c r="CTJ452" s="741"/>
      <c r="CTK452" s="741"/>
      <c r="CTL452" s="741"/>
      <c r="CTM452" s="741"/>
      <c r="CTN452" s="741"/>
      <c r="CTO452" s="741"/>
      <c r="CTP452" s="741"/>
      <c r="CTQ452" s="741"/>
      <c r="CTR452" s="741"/>
      <c r="CTS452" s="741"/>
      <c r="CTT452" s="741"/>
      <c r="CTU452" s="741"/>
      <c r="CTV452" s="741"/>
      <c r="CTW452" s="741"/>
      <c r="CTX452" s="741"/>
      <c r="CTY452" s="741"/>
      <c r="CTZ452" s="741"/>
      <c r="CUA452" s="741"/>
      <c r="CUB452" s="741"/>
      <c r="CUC452" s="741"/>
      <c r="CUD452" s="741"/>
      <c r="CUE452" s="741"/>
      <c r="CUF452" s="741"/>
      <c r="CUG452" s="741"/>
      <c r="CUH452" s="741"/>
      <c r="CUI452" s="741"/>
      <c r="CUJ452" s="741"/>
      <c r="CUK452" s="741"/>
      <c r="CUL452" s="741"/>
      <c r="CUM452" s="741"/>
      <c r="CUN452" s="741"/>
      <c r="CUO452" s="741"/>
      <c r="CUP452" s="741"/>
      <c r="CUQ452" s="741"/>
      <c r="CUR452" s="741"/>
      <c r="CUS452" s="741"/>
      <c r="CUT452" s="741"/>
      <c r="CUU452" s="741"/>
      <c r="CUV452" s="741"/>
      <c r="CUW452" s="741"/>
      <c r="CUX452" s="741"/>
      <c r="CUY452" s="741"/>
      <c r="CUZ452" s="741"/>
      <c r="CVA452" s="741"/>
      <c r="CVB452" s="741"/>
      <c r="CVC452" s="741"/>
      <c r="CVD452" s="741"/>
      <c r="CVE452" s="741"/>
      <c r="CVF452" s="741"/>
      <c r="CVG452" s="741"/>
      <c r="CVH452" s="741"/>
      <c r="CVI452" s="741"/>
      <c r="CVJ452" s="741"/>
      <c r="CVK452" s="741"/>
      <c r="CVL452" s="741"/>
      <c r="CVM452" s="741"/>
      <c r="CVN452" s="741"/>
      <c r="CVO452" s="741"/>
      <c r="CVP452" s="741"/>
      <c r="CVQ452" s="741"/>
      <c r="CVR452" s="741"/>
      <c r="CVS452" s="741"/>
      <c r="CVT452" s="741"/>
      <c r="CVU452" s="741"/>
      <c r="CVV452" s="741"/>
      <c r="CVW452" s="741"/>
      <c r="CVX452" s="741"/>
      <c r="CVY452" s="741"/>
      <c r="CVZ452" s="741"/>
      <c r="CWA452" s="741"/>
      <c r="CWB452" s="741"/>
      <c r="CWC452" s="741"/>
      <c r="CWD452" s="741"/>
      <c r="CWE452" s="741"/>
      <c r="CWF452" s="741"/>
      <c r="CWG452" s="741"/>
      <c r="CWH452" s="741"/>
      <c r="CWI452" s="741"/>
      <c r="CWJ452" s="741"/>
      <c r="CWK452" s="741"/>
      <c r="CWL452" s="741"/>
      <c r="CWM452" s="741"/>
      <c r="CWN452" s="741"/>
      <c r="CWO452" s="741"/>
      <c r="CWP452" s="741"/>
      <c r="CWQ452" s="741"/>
      <c r="CWR452" s="741"/>
      <c r="CWS452" s="741"/>
      <c r="CWT452" s="741"/>
      <c r="CWU452" s="741"/>
      <c r="CWV452" s="741"/>
      <c r="CWW452" s="741"/>
      <c r="CWX452" s="741"/>
      <c r="CWY452" s="741"/>
      <c r="CWZ452" s="741"/>
      <c r="CXA452" s="741"/>
      <c r="CXB452" s="741"/>
      <c r="CXC452" s="741"/>
      <c r="CXD452" s="741"/>
      <c r="CXE452" s="741"/>
      <c r="CXF452" s="741"/>
      <c r="CXG452" s="741"/>
      <c r="CXH452" s="741"/>
      <c r="CXI452" s="741"/>
      <c r="CXJ452" s="741"/>
      <c r="CXK452" s="741"/>
      <c r="CXL452" s="741"/>
      <c r="CXM452" s="741"/>
      <c r="CXN452" s="741"/>
      <c r="CXO452" s="741"/>
      <c r="CXP452" s="741"/>
      <c r="CXQ452" s="741"/>
      <c r="CXR452" s="741"/>
      <c r="CXS452" s="741"/>
      <c r="CXT452" s="741"/>
      <c r="CXU452" s="741"/>
      <c r="CXV452" s="741"/>
      <c r="CXW452" s="741"/>
      <c r="CXX452" s="741"/>
      <c r="CXY452" s="741"/>
      <c r="CXZ452" s="741"/>
      <c r="CYA452" s="741"/>
      <c r="CYB452" s="741"/>
      <c r="CYC452" s="741"/>
      <c r="CYD452" s="741"/>
      <c r="CYE452" s="741"/>
      <c r="CYF452" s="741"/>
      <c r="CYG452" s="741"/>
      <c r="CYH452" s="741"/>
      <c r="CYI452" s="741"/>
      <c r="CYJ452" s="741"/>
      <c r="CYK452" s="741"/>
      <c r="CYL452" s="741"/>
      <c r="CYM452" s="741"/>
      <c r="CYN452" s="741"/>
      <c r="CYO452" s="741"/>
      <c r="CYP452" s="741"/>
      <c r="CYQ452" s="741"/>
      <c r="CYR452" s="741"/>
      <c r="CYS452" s="741"/>
      <c r="CYT452" s="741"/>
      <c r="CYU452" s="741"/>
      <c r="CYV452" s="741"/>
      <c r="CYW452" s="741"/>
      <c r="CYX452" s="741"/>
      <c r="CYY452" s="741"/>
      <c r="CYZ452" s="741"/>
      <c r="CZA452" s="741"/>
      <c r="CZB452" s="741"/>
      <c r="CZC452" s="741"/>
      <c r="CZD452" s="741"/>
      <c r="CZE452" s="741"/>
      <c r="CZF452" s="741"/>
      <c r="CZG452" s="741"/>
      <c r="CZH452" s="741"/>
      <c r="CZI452" s="741"/>
      <c r="CZJ452" s="741"/>
      <c r="CZK452" s="741"/>
      <c r="CZL452" s="741"/>
      <c r="CZM452" s="741"/>
      <c r="CZN452" s="741"/>
      <c r="CZO452" s="741"/>
      <c r="CZP452" s="741"/>
      <c r="CZQ452" s="741"/>
      <c r="CZR452" s="741"/>
      <c r="CZS452" s="741"/>
      <c r="CZT452" s="741"/>
      <c r="CZU452" s="741"/>
      <c r="CZV452" s="741"/>
      <c r="CZW452" s="741"/>
      <c r="CZX452" s="741"/>
      <c r="CZY452" s="741"/>
      <c r="CZZ452" s="741"/>
      <c r="DAA452" s="741"/>
      <c r="DAB452" s="741"/>
      <c r="DAC452" s="741"/>
      <c r="DAD452" s="741"/>
      <c r="DAE452" s="741"/>
      <c r="DAF452" s="741"/>
      <c r="DAG452" s="741"/>
      <c r="DAH452" s="741"/>
      <c r="DAI452" s="741"/>
      <c r="DAJ452" s="741"/>
      <c r="DAK452" s="741"/>
      <c r="DAL452" s="741"/>
      <c r="DAM452" s="741"/>
      <c r="DAN452" s="741"/>
      <c r="DAO452" s="741"/>
      <c r="DAP452" s="741"/>
      <c r="DAQ452" s="741"/>
      <c r="DAR452" s="741"/>
      <c r="DAS452" s="741"/>
      <c r="DAT452" s="741"/>
      <c r="DAU452" s="741"/>
      <c r="DAV452" s="741"/>
      <c r="DAW452" s="741"/>
      <c r="DAX452" s="741"/>
      <c r="DAY452" s="741"/>
      <c r="DAZ452" s="741"/>
      <c r="DBA452" s="741"/>
      <c r="DBB452" s="741"/>
      <c r="DBC452" s="741"/>
      <c r="DBD452" s="741"/>
      <c r="DBE452" s="741"/>
      <c r="DBF452" s="741"/>
      <c r="DBG452" s="741"/>
      <c r="DBH452" s="741"/>
      <c r="DBI452" s="741"/>
      <c r="DBJ452" s="741"/>
      <c r="DBK452" s="741"/>
      <c r="DBL452" s="741"/>
      <c r="DBM452" s="741"/>
      <c r="DBN452" s="741"/>
      <c r="DBO452" s="741"/>
      <c r="DBP452" s="741"/>
      <c r="DBQ452" s="741"/>
      <c r="DBR452" s="741"/>
      <c r="DBS452" s="741"/>
      <c r="DBT452" s="741"/>
      <c r="DBU452" s="741"/>
      <c r="DBV452" s="741"/>
      <c r="DBW452" s="741"/>
      <c r="DBX452" s="741"/>
      <c r="DBY452" s="741"/>
      <c r="DBZ452" s="741"/>
      <c r="DCA452" s="741"/>
      <c r="DCB452" s="741"/>
      <c r="DCC452" s="741"/>
      <c r="DCD452" s="741"/>
      <c r="DCE452" s="741"/>
      <c r="DCF452" s="741"/>
      <c r="DCG452" s="741"/>
      <c r="DCH452" s="741"/>
      <c r="DCI452" s="741"/>
      <c r="DCJ452" s="741"/>
      <c r="DCK452" s="741"/>
      <c r="DCL452" s="741"/>
      <c r="DCM452" s="741"/>
      <c r="DCN452" s="741"/>
      <c r="DCO452" s="741"/>
      <c r="DCP452" s="741"/>
      <c r="DCQ452" s="741"/>
      <c r="DCR452" s="741"/>
      <c r="DCS452" s="741"/>
      <c r="DCT452" s="741"/>
      <c r="DCU452" s="741"/>
      <c r="DCV452" s="741"/>
      <c r="DCW452" s="741"/>
      <c r="DCX452" s="741"/>
      <c r="DCY452" s="741"/>
      <c r="DCZ452" s="741"/>
      <c r="DDA452" s="741"/>
      <c r="DDB452" s="741"/>
      <c r="DDC452" s="741"/>
      <c r="DDD452" s="741"/>
      <c r="DDE452" s="741"/>
      <c r="DDF452" s="741"/>
      <c r="DDG452" s="741"/>
      <c r="DDH452" s="741"/>
      <c r="DDI452" s="741"/>
      <c r="DDJ452" s="741"/>
      <c r="DDK452" s="741"/>
      <c r="DDL452" s="741"/>
      <c r="DDM452" s="741"/>
      <c r="DDN452" s="741"/>
      <c r="DDO452" s="741"/>
      <c r="DDP452" s="741"/>
      <c r="DDQ452" s="741"/>
      <c r="DDR452" s="741"/>
      <c r="DDS452" s="741"/>
      <c r="DDT452" s="741"/>
      <c r="DDU452" s="741"/>
      <c r="DDV452" s="741"/>
      <c r="DDW452" s="741"/>
      <c r="DDX452" s="741"/>
      <c r="DDY452" s="741"/>
      <c r="DDZ452" s="741"/>
      <c r="DEA452" s="741"/>
      <c r="DEB452" s="741"/>
      <c r="DEC452" s="741"/>
      <c r="DED452" s="741"/>
      <c r="DEE452" s="741"/>
      <c r="DEF452" s="741"/>
      <c r="DEG452" s="741"/>
      <c r="DEH452" s="741"/>
      <c r="DEI452" s="741"/>
      <c r="DEJ452" s="741"/>
      <c r="DEK452" s="741"/>
      <c r="DEL452" s="741"/>
      <c r="DEM452" s="741"/>
      <c r="DEN452" s="741"/>
      <c r="DEO452" s="741"/>
      <c r="DEP452" s="741"/>
      <c r="DEQ452" s="741"/>
      <c r="DER452" s="741"/>
      <c r="DES452" s="741"/>
      <c r="DET452" s="741"/>
      <c r="DEU452" s="741"/>
      <c r="DEV452" s="741"/>
      <c r="DEW452" s="741"/>
      <c r="DEX452" s="741"/>
      <c r="DEY452" s="741"/>
      <c r="DEZ452" s="741"/>
      <c r="DFA452" s="741"/>
      <c r="DFB452" s="741"/>
      <c r="DFC452" s="741"/>
      <c r="DFD452" s="741"/>
      <c r="DFE452" s="741"/>
      <c r="DFF452" s="741"/>
      <c r="DFG452" s="741"/>
      <c r="DFH452" s="741"/>
      <c r="DFI452" s="741"/>
      <c r="DFJ452" s="741"/>
      <c r="DFK452" s="741"/>
      <c r="DFL452" s="741"/>
      <c r="DFM452" s="741"/>
      <c r="DFN452" s="741"/>
      <c r="DFO452" s="741"/>
      <c r="DFP452" s="741"/>
      <c r="DFQ452" s="741"/>
      <c r="DFR452" s="741"/>
      <c r="DFS452" s="741"/>
      <c r="DFT452" s="741"/>
      <c r="DFU452" s="741"/>
      <c r="DFV452" s="741"/>
      <c r="DFW452" s="741"/>
      <c r="DFX452" s="741"/>
      <c r="DFY452" s="741"/>
      <c r="DFZ452" s="741"/>
      <c r="DGA452" s="741"/>
      <c r="DGB452" s="741"/>
      <c r="DGC452" s="741"/>
      <c r="DGD452" s="741"/>
      <c r="DGE452" s="741"/>
      <c r="DGF452" s="741"/>
      <c r="DGG452" s="741"/>
      <c r="DGH452" s="741"/>
      <c r="DGI452" s="741"/>
      <c r="DGJ452" s="741"/>
      <c r="DGK452" s="741"/>
      <c r="DGL452" s="741"/>
      <c r="DGM452" s="741"/>
      <c r="DGN452" s="741"/>
      <c r="DGO452" s="741"/>
      <c r="DGP452" s="741"/>
      <c r="DGQ452" s="741"/>
      <c r="DGR452" s="741"/>
      <c r="DGS452" s="741"/>
      <c r="DGT452" s="741"/>
      <c r="DGU452" s="741"/>
      <c r="DGV452" s="741"/>
      <c r="DGW452" s="741"/>
      <c r="DGX452" s="741"/>
      <c r="DGY452" s="741"/>
      <c r="DGZ452" s="741"/>
      <c r="DHA452" s="741"/>
      <c r="DHB452" s="741"/>
      <c r="DHC452" s="741"/>
      <c r="DHD452" s="741"/>
      <c r="DHE452" s="741"/>
      <c r="DHF452" s="741"/>
      <c r="DHG452" s="741"/>
      <c r="DHH452" s="741"/>
      <c r="DHI452" s="741"/>
      <c r="DHJ452" s="741"/>
      <c r="DHK452" s="741"/>
      <c r="DHL452" s="741"/>
      <c r="DHM452" s="741"/>
      <c r="DHN452" s="741"/>
      <c r="DHO452" s="741"/>
      <c r="DHP452" s="741"/>
      <c r="DHQ452" s="741"/>
      <c r="DHR452" s="741"/>
      <c r="DHS452" s="741"/>
      <c r="DHT452" s="741"/>
      <c r="DHU452" s="741"/>
      <c r="DHV452" s="741"/>
      <c r="DHW452" s="741"/>
      <c r="DHX452" s="741"/>
      <c r="DHY452" s="741"/>
      <c r="DHZ452" s="741"/>
      <c r="DIA452" s="741"/>
      <c r="DIB452" s="741"/>
      <c r="DIC452" s="741"/>
      <c r="DID452" s="741"/>
      <c r="DIE452" s="741"/>
      <c r="DIF452" s="741"/>
      <c r="DIG452" s="741"/>
      <c r="DIH452" s="741"/>
      <c r="DII452" s="741"/>
      <c r="DIJ452" s="741"/>
      <c r="DIK452" s="741"/>
      <c r="DIL452" s="741"/>
      <c r="DIM452" s="741"/>
      <c r="DIN452" s="741"/>
      <c r="DIO452" s="741"/>
      <c r="DIP452" s="741"/>
      <c r="DIQ452" s="741"/>
      <c r="DIR452" s="741"/>
      <c r="DIS452" s="741"/>
      <c r="DIT452" s="741"/>
      <c r="DIU452" s="741"/>
      <c r="DIV452" s="741"/>
      <c r="DIW452" s="741"/>
      <c r="DIX452" s="741"/>
      <c r="DIY452" s="741"/>
      <c r="DIZ452" s="741"/>
      <c r="DJA452" s="741"/>
      <c r="DJB452" s="741"/>
      <c r="DJC452" s="741"/>
      <c r="DJD452" s="741"/>
      <c r="DJE452" s="741"/>
      <c r="DJF452" s="741"/>
      <c r="DJG452" s="741"/>
      <c r="DJH452" s="741"/>
      <c r="DJI452" s="741"/>
      <c r="DJJ452" s="741"/>
      <c r="DJK452" s="741"/>
      <c r="DJL452" s="741"/>
      <c r="DJM452" s="741"/>
      <c r="DJN452" s="741"/>
      <c r="DJO452" s="741"/>
      <c r="DJP452" s="741"/>
      <c r="DJQ452" s="741"/>
      <c r="DJR452" s="741"/>
      <c r="DJS452" s="741"/>
      <c r="DJT452" s="741"/>
      <c r="DJU452" s="741"/>
      <c r="DJV452" s="741"/>
      <c r="DJW452" s="741"/>
      <c r="DJX452" s="741"/>
      <c r="DJY452" s="741"/>
      <c r="DJZ452" s="741"/>
      <c r="DKA452" s="741"/>
      <c r="DKB452" s="741"/>
      <c r="DKC452" s="741"/>
      <c r="DKD452" s="741"/>
      <c r="DKE452" s="741"/>
      <c r="DKF452" s="741"/>
      <c r="DKG452" s="741"/>
      <c r="DKH452" s="741"/>
      <c r="DKI452" s="741"/>
      <c r="DKJ452" s="741"/>
      <c r="DKK452" s="741"/>
      <c r="DKL452" s="741"/>
      <c r="DKM452" s="741"/>
      <c r="DKN452" s="741"/>
      <c r="DKO452" s="741"/>
      <c r="DKP452" s="741"/>
      <c r="DKQ452" s="741"/>
      <c r="DKR452" s="741"/>
      <c r="DKS452" s="741"/>
      <c r="DKT452" s="741"/>
      <c r="DKU452" s="741"/>
      <c r="DKV452" s="741"/>
      <c r="DKW452" s="741"/>
      <c r="DKX452" s="741"/>
      <c r="DKY452" s="741"/>
      <c r="DKZ452" s="741"/>
      <c r="DLA452" s="741"/>
      <c r="DLB452" s="741"/>
      <c r="DLC452" s="741"/>
      <c r="DLD452" s="741"/>
      <c r="DLE452" s="741"/>
      <c r="DLF452" s="741"/>
      <c r="DLG452" s="741"/>
      <c r="DLH452" s="741"/>
      <c r="DLI452" s="741"/>
      <c r="DLJ452" s="741"/>
      <c r="DLK452" s="741"/>
      <c r="DLL452" s="741"/>
      <c r="DLM452" s="741"/>
      <c r="DLN452" s="741"/>
      <c r="DLO452" s="741"/>
      <c r="DLP452" s="741"/>
      <c r="DLQ452" s="741"/>
      <c r="DLR452" s="741"/>
      <c r="DLS452" s="741"/>
      <c r="DLT452" s="741"/>
      <c r="DLU452" s="741"/>
      <c r="DLV452" s="741"/>
      <c r="DLW452" s="741"/>
      <c r="DLX452" s="741"/>
      <c r="DLY452" s="741"/>
      <c r="DLZ452" s="741"/>
      <c r="DMA452" s="741"/>
      <c r="DMB452" s="741"/>
      <c r="DMC452" s="741"/>
      <c r="DMD452" s="741"/>
      <c r="DME452" s="741"/>
      <c r="DMF452" s="741"/>
      <c r="DMG452" s="741"/>
      <c r="DMH452" s="741"/>
      <c r="DMI452" s="741"/>
      <c r="DMJ452" s="741"/>
      <c r="DMK452" s="741"/>
      <c r="DML452" s="741"/>
      <c r="DMM452" s="741"/>
      <c r="DMN452" s="741"/>
      <c r="DMO452" s="741"/>
      <c r="DMP452" s="741"/>
      <c r="DMQ452" s="741"/>
      <c r="DMR452" s="741"/>
      <c r="DMS452" s="741"/>
      <c r="DMT452" s="741"/>
      <c r="DMU452" s="741"/>
      <c r="DMV452" s="741"/>
      <c r="DMW452" s="741"/>
      <c r="DMX452" s="741"/>
      <c r="DMY452" s="741"/>
      <c r="DMZ452" s="741"/>
      <c r="DNA452" s="741"/>
      <c r="DNB452" s="741"/>
      <c r="DNC452" s="741"/>
      <c r="DND452" s="741"/>
      <c r="DNE452" s="741"/>
      <c r="DNF452" s="741"/>
      <c r="DNG452" s="741"/>
      <c r="DNH452" s="741"/>
      <c r="DNI452" s="741"/>
      <c r="DNJ452" s="741"/>
      <c r="DNK452" s="741"/>
      <c r="DNL452" s="741"/>
      <c r="DNM452" s="741"/>
      <c r="DNN452" s="741"/>
      <c r="DNO452" s="741"/>
      <c r="DNP452" s="741"/>
      <c r="DNQ452" s="741"/>
      <c r="DNR452" s="741"/>
      <c r="DNS452" s="741"/>
      <c r="DNT452" s="741"/>
      <c r="DNU452" s="741"/>
      <c r="DNV452" s="741"/>
      <c r="DNW452" s="741"/>
      <c r="DNX452" s="741"/>
      <c r="DNY452" s="741"/>
      <c r="DNZ452" s="741"/>
      <c r="DOA452" s="741"/>
      <c r="DOB452" s="741"/>
      <c r="DOC452" s="741"/>
      <c r="DOD452" s="741"/>
      <c r="DOE452" s="741"/>
      <c r="DOF452" s="741"/>
      <c r="DOG452" s="741"/>
      <c r="DOH452" s="741"/>
      <c r="DOI452" s="741"/>
      <c r="DOJ452" s="741"/>
      <c r="DOK452" s="741"/>
      <c r="DOL452" s="741"/>
      <c r="DOM452" s="741"/>
      <c r="DON452" s="741"/>
      <c r="DOO452" s="741"/>
      <c r="DOP452" s="741"/>
      <c r="DOQ452" s="741"/>
      <c r="DOR452" s="741"/>
      <c r="DOS452" s="741"/>
      <c r="DOT452" s="741"/>
      <c r="DOU452" s="741"/>
      <c r="DOV452" s="741"/>
      <c r="DOW452" s="741"/>
      <c r="DOX452" s="741"/>
      <c r="DOY452" s="741"/>
      <c r="DOZ452" s="741"/>
      <c r="DPA452" s="741"/>
      <c r="DPB452" s="741"/>
      <c r="DPC452" s="741"/>
      <c r="DPD452" s="741"/>
      <c r="DPE452" s="741"/>
      <c r="DPF452" s="741"/>
      <c r="DPG452" s="741"/>
      <c r="DPH452" s="741"/>
      <c r="DPI452" s="741"/>
      <c r="DPJ452" s="741"/>
      <c r="DPK452" s="741"/>
      <c r="DPL452" s="741"/>
      <c r="DPM452" s="741"/>
      <c r="DPN452" s="741"/>
      <c r="DPO452" s="741"/>
      <c r="DPP452" s="741"/>
      <c r="DPQ452" s="741"/>
      <c r="DPR452" s="741"/>
      <c r="DPS452" s="741"/>
      <c r="DPT452" s="741"/>
      <c r="DPU452" s="741"/>
      <c r="DPV452" s="741"/>
      <c r="DPW452" s="741"/>
      <c r="DPX452" s="741"/>
      <c r="DPY452" s="741"/>
      <c r="DPZ452" s="741"/>
      <c r="DQA452" s="741"/>
      <c r="DQB452" s="741"/>
      <c r="DQC452" s="741"/>
      <c r="DQD452" s="741"/>
      <c r="DQE452" s="741"/>
      <c r="DQF452" s="741"/>
      <c r="DQG452" s="741"/>
      <c r="DQH452" s="741"/>
      <c r="DQI452" s="741"/>
      <c r="DQJ452" s="741"/>
      <c r="DQK452" s="741"/>
      <c r="DQL452" s="741"/>
      <c r="DQM452" s="741"/>
      <c r="DQN452" s="741"/>
      <c r="DQO452" s="741"/>
      <c r="DQP452" s="741"/>
      <c r="DQQ452" s="741"/>
      <c r="DQR452" s="741"/>
      <c r="DQS452" s="741"/>
      <c r="DQT452" s="741"/>
      <c r="DQU452" s="741"/>
      <c r="DQV452" s="741"/>
      <c r="DQW452" s="741"/>
      <c r="DQX452" s="741"/>
      <c r="DQY452" s="741"/>
      <c r="DQZ452" s="741"/>
      <c r="DRA452" s="741"/>
      <c r="DRB452" s="741"/>
      <c r="DRC452" s="741"/>
      <c r="DRD452" s="741"/>
      <c r="DRE452" s="741"/>
      <c r="DRF452" s="741"/>
      <c r="DRG452" s="741"/>
      <c r="DRH452" s="741"/>
      <c r="DRI452" s="741"/>
      <c r="DRJ452" s="741"/>
      <c r="DRK452" s="741"/>
      <c r="DRL452" s="741"/>
      <c r="DRM452" s="741"/>
      <c r="DRN452" s="741"/>
      <c r="DRO452" s="741"/>
      <c r="DRP452" s="741"/>
      <c r="DRQ452" s="741"/>
      <c r="DRR452" s="741"/>
      <c r="DRS452" s="741"/>
      <c r="DRT452" s="741"/>
      <c r="DRU452" s="741"/>
      <c r="DRV452" s="741"/>
      <c r="DRW452" s="741"/>
      <c r="DRX452" s="741"/>
      <c r="DRY452" s="741"/>
      <c r="DRZ452" s="741"/>
      <c r="DSA452" s="741"/>
      <c r="DSB452" s="741"/>
      <c r="DSC452" s="741"/>
      <c r="DSD452" s="741"/>
      <c r="DSE452" s="741"/>
      <c r="DSF452" s="741"/>
      <c r="DSG452" s="741"/>
      <c r="DSH452" s="741"/>
      <c r="DSI452" s="741"/>
      <c r="DSJ452" s="741"/>
      <c r="DSK452" s="741"/>
      <c r="DSL452" s="741"/>
      <c r="DSM452" s="741"/>
      <c r="DSN452" s="741"/>
      <c r="DSO452" s="741"/>
      <c r="DSP452" s="741"/>
      <c r="DSQ452" s="741"/>
      <c r="DSR452" s="741"/>
      <c r="DSS452" s="741"/>
      <c r="DST452" s="741"/>
      <c r="DSU452" s="741"/>
      <c r="DSV452" s="741"/>
      <c r="DSW452" s="741"/>
      <c r="DSX452" s="741"/>
      <c r="DSY452" s="741"/>
      <c r="DSZ452" s="741"/>
      <c r="DTA452" s="741"/>
      <c r="DTB452" s="741"/>
      <c r="DTC452" s="741"/>
      <c r="DTD452" s="741"/>
      <c r="DTE452" s="741"/>
      <c r="DTF452" s="741"/>
      <c r="DTG452" s="741"/>
      <c r="DTH452" s="741"/>
      <c r="DTI452" s="741"/>
      <c r="DTJ452" s="741"/>
      <c r="DTK452" s="741"/>
      <c r="DTL452" s="741"/>
      <c r="DTM452" s="741"/>
      <c r="DTN452" s="741"/>
      <c r="DTO452" s="741"/>
      <c r="DTP452" s="741"/>
      <c r="DTQ452" s="741"/>
      <c r="DTR452" s="741"/>
      <c r="DTS452" s="741"/>
      <c r="DTT452" s="741"/>
      <c r="DTU452" s="741"/>
      <c r="DTV452" s="741"/>
      <c r="DTW452" s="741"/>
      <c r="DTX452" s="741"/>
      <c r="DTY452" s="741"/>
      <c r="DTZ452" s="741"/>
      <c r="DUA452" s="741"/>
      <c r="DUB452" s="741"/>
      <c r="DUC452" s="741"/>
      <c r="DUD452" s="741"/>
      <c r="DUE452" s="741"/>
      <c r="DUF452" s="741"/>
      <c r="DUG452" s="741"/>
      <c r="DUH452" s="741"/>
      <c r="DUI452" s="741"/>
      <c r="DUJ452" s="741"/>
      <c r="DUK452" s="741"/>
      <c r="DUL452" s="741"/>
      <c r="DUM452" s="741"/>
      <c r="DUN452" s="741"/>
      <c r="DUO452" s="741"/>
      <c r="DUP452" s="741"/>
      <c r="DUQ452" s="741"/>
      <c r="DUR452" s="741"/>
      <c r="DUS452" s="741"/>
      <c r="DUT452" s="741"/>
      <c r="DUU452" s="741"/>
      <c r="DUV452" s="741"/>
      <c r="DUW452" s="741"/>
      <c r="DUX452" s="741"/>
      <c r="DUY452" s="741"/>
      <c r="DUZ452" s="741"/>
      <c r="DVA452" s="741"/>
      <c r="DVB452" s="741"/>
      <c r="DVC452" s="741"/>
      <c r="DVD452" s="741"/>
      <c r="DVE452" s="741"/>
      <c r="DVF452" s="741"/>
      <c r="DVG452" s="741"/>
      <c r="DVH452" s="741"/>
      <c r="DVI452" s="741"/>
      <c r="DVJ452" s="741"/>
      <c r="DVK452" s="741"/>
      <c r="DVL452" s="741"/>
      <c r="DVM452" s="741"/>
      <c r="DVN452" s="741"/>
      <c r="DVO452" s="741"/>
      <c r="DVP452" s="741"/>
      <c r="DVQ452" s="741"/>
      <c r="DVR452" s="741"/>
      <c r="DVS452" s="741"/>
      <c r="DVT452" s="741"/>
      <c r="DVU452" s="741"/>
      <c r="DVV452" s="741"/>
      <c r="DVW452" s="741"/>
      <c r="DVX452" s="741"/>
      <c r="DVY452" s="741"/>
      <c r="DVZ452" s="741"/>
      <c r="DWA452" s="741"/>
      <c r="DWB452" s="741"/>
      <c r="DWC452" s="741"/>
      <c r="DWD452" s="741"/>
      <c r="DWE452" s="741"/>
      <c r="DWF452" s="741"/>
      <c r="DWG452" s="741"/>
      <c r="DWH452" s="741"/>
      <c r="DWI452" s="741"/>
      <c r="DWJ452" s="741"/>
      <c r="DWK452" s="741"/>
      <c r="DWL452" s="741"/>
      <c r="DWM452" s="741"/>
      <c r="DWN452" s="741"/>
      <c r="DWO452" s="741"/>
      <c r="DWP452" s="741"/>
      <c r="DWQ452" s="741"/>
      <c r="DWR452" s="741"/>
      <c r="DWS452" s="741"/>
      <c r="DWT452" s="741"/>
      <c r="DWU452" s="741"/>
      <c r="DWV452" s="741"/>
      <c r="DWW452" s="741"/>
      <c r="DWX452" s="741"/>
      <c r="DWY452" s="741"/>
      <c r="DWZ452" s="741"/>
      <c r="DXA452" s="741"/>
      <c r="DXB452" s="741"/>
      <c r="DXC452" s="741"/>
      <c r="DXD452" s="741"/>
      <c r="DXE452" s="741"/>
      <c r="DXF452" s="741"/>
      <c r="DXG452" s="741"/>
      <c r="DXH452" s="741"/>
      <c r="DXI452" s="741"/>
      <c r="DXJ452" s="741"/>
      <c r="DXK452" s="741"/>
      <c r="DXL452" s="741"/>
      <c r="DXM452" s="741"/>
      <c r="DXN452" s="741"/>
      <c r="DXO452" s="741"/>
      <c r="DXP452" s="741"/>
      <c r="DXQ452" s="741"/>
      <c r="DXR452" s="741"/>
      <c r="DXS452" s="741"/>
      <c r="DXT452" s="741"/>
      <c r="DXU452" s="741"/>
      <c r="DXV452" s="741"/>
      <c r="DXW452" s="741"/>
      <c r="DXX452" s="741"/>
      <c r="DXY452" s="741"/>
      <c r="DXZ452" s="741"/>
      <c r="DYA452" s="741"/>
      <c r="DYB452" s="741"/>
      <c r="DYC452" s="741"/>
      <c r="DYD452" s="741"/>
      <c r="DYE452" s="741"/>
      <c r="DYF452" s="741"/>
      <c r="DYG452" s="741"/>
      <c r="DYH452" s="741"/>
      <c r="DYI452" s="741"/>
      <c r="DYJ452" s="741"/>
      <c r="DYK452" s="741"/>
      <c r="DYL452" s="741"/>
      <c r="DYM452" s="741"/>
      <c r="DYN452" s="741"/>
      <c r="DYO452" s="741"/>
      <c r="DYP452" s="741"/>
      <c r="DYQ452" s="741"/>
      <c r="DYR452" s="741"/>
      <c r="DYS452" s="741"/>
      <c r="DYT452" s="741"/>
      <c r="DYU452" s="741"/>
      <c r="DYV452" s="741"/>
      <c r="DYW452" s="741"/>
      <c r="DYX452" s="741"/>
      <c r="DYY452" s="741"/>
      <c r="DYZ452" s="741"/>
      <c r="DZA452" s="741"/>
      <c r="DZB452" s="741"/>
      <c r="DZC452" s="741"/>
      <c r="DZD452" s="741"/>
      <c r="DZE452" s="741"/>
      <c r="DZF452" s="741"/>
      <c r="DZG452" s="741"/>
      <c r="DZH452" s="741"/>
      <c r="DZI452" s="741"/>
      <c r="DZJ452" s="741"/>
      <c r="DZK452" s="741"/>
      <c r="DZL452" s="741"/>
      <c r="DZM452" s="741"/>
      <c r="DZN452" s="741"/>
      <c r="DZO452" s="741"/>
      <c r="DZP452" s="741"/>
      <c r="DZQ452" s="741"/>
      <c r="DZR452" s="741"/>
      <c r="DZS452" s="741"/>
      <c r="DZT452" s="741"/>
      <c r="DZU452" s="741"/>
      <c r="DZV452" s="741"/>
      <c r="DZW452" s="741"/>
      <c r="DZX452" s="741"/>
      <c r="DZY452" s="741"/>
      <c r="DZZ452" s="741"/>
      <c r="EAA452" s="741"/>
      <c r="EAB452" s="741"/>
      <c r="EAC452" s="741"/>
      <c r="EAD452" s="741"/>
      <c r="EAE452" s="741"/>
      <c r="EAF452" s="741"/>
      <c r="EAG452" s="741"/>
      <c r="EAH452" s="741"/>
      <c r="EAI452" s="741"/>
      <c r="EAJ452" s="741"/>
      <c r="EAK452" s="741"/>
      <c r="EAL452" s="741"/>
      <c r="EAM452" s="741"/>
      <c r="EAN452" s="741"/>
      <c r="EAO452" s="741"/>
      <c r="EAP452" s="741"/>
      <c r="EAQ452" s="741"/>
      <c r="EAR452" s="741"/>
      <c r="EAS452" s="741"/>
      <c r="EAT452" s="741"/>
      <c r="EAU452" s="741"/>
      <c r="EAV452" s="741"/>
      <c r="EAW452" s="741"/>
      <c r="EAX452" s="741"/>
      <c r="EAY452" s="741"/>
      <c r="EAZ452" s="741"/>
      <c r="EBA452" s="741"/>
      <c r="EBB452" s="741"/>
      <c r="EBC452" s="741"/>
      <c r="EBD452" s="741"/>
      <c r="EBE452" s="741"/>
      <c r="EBF452" s="741"/>
      <c r="EBG452" s="741"/>
      <c r="EBH452" s="741"/>
      <c r="EBI452" s="741"/>
      <c r="EBJ452" s="741"/>
      <c r="EBK452" s="741"/>
      <c r="EBL452" s="741"/>
      <c r="EBM452" s="741"/>
      <c r="EBN452" s="741"/>
      <c r="EBO452" s="741"/>
      <c r="EBP452" s="741"/>
      <c r="EBQ452" s="741"/>
      <c r="EBR452" s="741"/>
      <c r="EBS452" s="741"/>
      <c r="EBT452" s="741"/>
      <c r="EBU452" s="741"/>
      <c r="EBV452" s="741"/>
      <c r="EBW452" s="741"/>
      <c r="EBX452" s="741"/>
      <c r="EBY452" s="741"/>
      <c r="EBZ452" s="741"/>
      <c r="ECA452" s="741"/>
      <c r="ECB452" s="741"/>
      <c r="ECC452" s="741"/>
      <c r="ECD452" s="741"/>
      <c r="ECE452" s="741"/>
      <c r="ECF452" s="741"/>
      <c r="ECG452" s="741"/>
      <c r="ECH452" s="741"/>
      <c r="ECI452" s="741"/>
      <c r="ECJ452" s="741"/>
      <c r="ECK452" s="741"/>
      <c r="ECL452" s="741"/>
      <c r="ECM452" s="741"/>
      <c r="ECN452" s="741"/>
      <c r="ECO452" s="741"/>
      <c r="ECP452" s="741"/>
      <c r="ECQ452" s="741"/>
      <c r="ECR452" s="741"/>
      <c r="ECS452" s="741"/>
      <c r="ECT452" s="741"/>
      <c r="ECU452" s="741"/>
      <c r="ECV452" s="741"/>
      <c r="ECW452" s="741"/>
      <c r="ECX452" s="741"/>
      <c r="ECY452" s="741"/>
      <c r="ECZ452" s="741"/>
      <c r="EDA452" s="741"/>
      <c r="EDB452" s="741"/>
      <c r="EDC452" s="741"/>
      <c r="EDD452" s="741"/>
      <c r="EDE452" s="741"/>
      <c r="EDF452" s="741"/>
      <c r="EDG452" s="741"/>
      <c r="EDH452" s="741"/>
      <c r="EDI452" s="741"/>
      <c r="EDJ452" s="741"/>
      <c r="EDK452" s="741"/>
      <c r="EDL452" s="741"/>
      <c r="EDM452" s="741"/>
      <c r="EDN452" s="741"/>
      <c r="EDO452" s="741"/>
      <c r="EDP452" s="741"/>
      <c r="EDQ452" s="741"/>
      <c r="EDR452" s="741"/>
      <c r="EDS452" s="741"/>
      <c r="EDT452" s="741"/>
      <c r="EDU452" s="741"/>
      <c r="EDV452" s="741"/>
      <c r="EDW452" s="741"/>
      <c r="EDX452" s="741"/>
      <c r="EDY452" s="741"/>
      <c r="EDZ452" s="741"/>
      <c r="EEA452" s="741"/>
      <c r="EEB452" s="741"/>
      <c r="EEC452" s="741"/>
      <c r="EED452" s="741"/>
      <c r="EEE452" s="741"/>
      <c r="EEF452" s="741"/>
      <c r="EEG452" s="741"/>
      <c r="EEH452" s="741"/>
      <c r="EEI452" s="741"/>
      <c r="EEJ452" s="741"/>
      <c r="EEK452" s="741"/>
      <c r="EEL452" s="741"/>
      <c r="EEM452" s="741"/>
      <c r="EEN452" s="741"/>
      <c r="EEO452" s="741"/>
      <c r="EEP452" s="741"/>
      <c r="EEQ452" s="741"/>
      <c r="EER452" s="741"/>
      <c r="EES452" s="741"/>
      <c r="EET452" s="741"/>
      <c r="EEU452" s="741"/>
      <c r="EEV452" s="741"/>
      <c r="EEW452" s="741"/>
      <c r="EEX452" s="741"/>
      <c r="EEY452" s="741"/>
      <c r="EEZ452" s="741"/>
      <c r="EFA452" s="741"/>
      <c r="EFB452" s="741"/>
      <c r="EFC452" s="741"/>
      <c r="EFD452" s="741"/>
      <c r="EFE452" s="741"/>
      <c r="EFF452" s="741"/>
      <c r="EFG452" s="741"/>
      <c r="EFH452" s="741"/>
      <c r="EFI452" s="741"/>
      <c r="EFJ452" s="741"/>
      <c r="EFK452" s="741"/>
      <c r="EFL452" s="741"/>
      <c r="EFM452" s="741"/>
      <c r="EFN452" s="741"/>
      <c r="EFO452" s="741"/>
      <c r="EFP452" s="741"/>
      <c r="EFQ452" s="741"/>
      <c r="EFR452" s="741"/>
      <c r="EFS452" s="741"/>
      <c r="EFT452" s="741"/>
      <c r="EFU452" s="741"/>
      <c r="EFV452" s="741"/>
      <c r="EFW452" s="741"/>
      <c r="EFX452" s="741"/>
      <c r="EFY452" s="741"/>
      <c r="EFZ452" s="741"/>
      <c r="EGA452" s="741"/>
      <c r="EGB452" s="741"/>
      <c r="EGC452" s="741"/>
      <c r="EGD452" s="741"/>
      <c r="EGE452" s="741"/>
      <c r="EGF452" s="741"/>
      <c r="EGG452" s="741"/>
      <c r="EGH452" s="741"/>
      <c r="EGI452" s="741"/>
      <c r="EGJ452" s="741"/>
      <c r="EGK452" s="741"/>
      <c r="EGL452" s="741"/>
      <c r="EGM452" s="741"/>
      <c r="EGN452" s="741"/>
      <c r="EGO452" s="741"/>
      <c r="EGP452" s="741"/>
      <c r="EGQ452" s="741"/>
      <c r="EGR452" s="741"/>
      <c r="EGS452" s="741"/>
      <c r="EGT452" s="741"/>
      <c r="EGU452" s="741"/>
      <c r="EGV452" s="741"/>
      <c r="EGW452" s="741"/>
      <c r="EGX452" s="741"/>
      <c r="EGY452" s="741"/>
      <c r="EGZ452" s="741"/>
      <c r="EHA452" s="741"/>
      <c r="EHB452" s="741"/>
      <c r="EHC452" s="741"/>
      <c r="EHD452" s="741"/>
      <c r="EHE452" s="741"/>
      <c r="EHF452" s="741"/>
      <c r="EHG452" s="741"/>
      <c r="EHH452" s="741"/>
      <c r="EHI452" s="741"/>
      <c r="EHJ452" s="741"/>
      <c r="EHK452" s="741"/>
      <c r="EHL452" s="741"/>
      <c r="EHM452" s="741"/>
      <c r="EHN452" s="741"/>
      <c r="EHO452" s="741"/>
      <c r="EHP452" s="741"/>
      <c r="EHQ452" s="741"/>
      <c r="EHR452" s="741"/>
      <c r="EHS452" s="741"/>
      <c r="EHT452" s="741"/>
      <c r="EHU452" s="741"/>
      <c r="EHV452" s="741"/>
      <c r="EHW452" s="741"/>
      <c r="EHX452" s="741"/>
      <c r="EHY452" s="741"/>
      <c r="EHZ452" s="741"/>
      <c r="EIA452" s="741"/>
      <c r="EIB452" s="741"/>
      <c r="EIC452" s="741"/>
      <c r="EID452" s="741"/>
      <c r="EIE452" s="741"/>
      <c r="EIF452" s="741"/>
      <c r="EIG452" s="741"/>
      <c r="EIH452" s="741"/>
      <c r="EII452" s="741"/>
      <c r="EIJ452" s="741"/>
      <c r="EIK452" s="741"/>
      <c r="EIL452" s="741"/>
      <c r="EIM452" s="741"/>
      <c r="EIN452" s="741"/>
      <c r="EIO452" s="741"/>
      <c r="EIP452" s="741"/>
      <c r="EIQ452" s="741"/>
      <c r="EIR452" s="741"/>
      <c r="EIS452" s="741"/>
      <c r="EIT452" s="741"/>
      <c r="EIU452" s="741"/>
      <c r="EIV452" s="741"/>
      <c r="EIW452" s="741"/>
      <c r="EIX452" s="741"/>
      <c r="EIY452" s="741"/>
      <c r="EIZ452" s="741"/>
      <c r="EJA452" s="741"/>
      <c r="EJB452" s="741"/>
      <c r="EJC452" s="741"/>
      <c r="EJD452" s="741"/>
      <c r="EJE452" s="741"/>
      <c r="EJF452" s="741"/>
      <c r="EJG452" s="741"/>
      <c r="EJH452" s="741"/>
      <c r="EJI452" s="741"/>
      <c r="EJJ452" s="741"/>
      <c r="EJK452" s="741"/>
      <c r="EJL452" s="741"/>
      <c r="EJM452" s="741"/>
      <c r="EJN452" s="741"/>
      <c r="EJO452" s="741"/>
      <c r="EJP452" s="741"/>
      <c r="EJQ452" s="741"/>
      <c r="EJR452" s="741"/>
      <c r="EJS452" s="741"/>
      <c r="EJT452" s="741"/>
      <c r="EJU452" s="741"/>
      <c r="EJV452" s="741"/>
      <c r="EJW452" s="741"/>
      <c r="EJX452" s="741"/>
      <c r="EJY452" s="741"/>
      <c r="EJZ452" s="741"/>
      <c r="EKA452" s="741"/>
      <c r="EKB452" s="741"/>
      <c r="EKC452" s="741"/>
      <c r="EKD452" s="741"/>
      <c r="EKE452" s="741"/>
      <c r="EKF452" s="741"/>
      <c r="EKG452" s="741"/>
      <c r="EKH452" s="741"/>
      <c r="EKI452" s="741"/>
      <c r="EKJ452" s="741"/>
      <c r="EKK452" s="741"/>
      <c r="EKL452" s="741"/>
      <c r="EKM452" s="741"/>
      <c r="EKN452" s="741"/>
      <c r="EKO452" s="741"/>
      <c r="EKP452" s="741"/>
      <c r="EKQ452" s="741"/>
      <c r="EKR452" s="741"/>
      <c r="EKS452" s="741"/>
      <c r="EKT452" s="741"/>
      <c r="EKU452" s="741"/>
      <c r="EKV452" s="741"/>
      <c r="EKW452" s="741"/>
      <c r="EKX452" s="741"/>
      <c r="EKY452" s="741"/>
      <c r="EKZ452" s="741"/>
      <c r="ELA452" s="741"/>
      <c r="ELB452" s="741"/>
      <c r="ELC452" s="741"/>
      <c r="ELD452" s="741"/>
      <c r="ELE452" s="741"/>
      <c r="ELF452" s="741"/>
      <c r="ELG452" s="741"/>
      <c r="ELH452" s="741"/>
      <c r="ELI452" s="741"/>
      <c r="ELJ452" s="741"/>
      <c r="ELK452" s="741"/>
      <c r="ELL452" s="741"/>
      <c r="ELM452" s="741"/>
      <c r="ELN452" s="741"/>
      <c r="ELO452" s="741"/>
      <c r="ELP452" s="741"/>
      <c r="ELQ452" s="741"/>
      <c r="ELR452" s="741"/>
      <c r="ELS452" s="741"/>
      <c r="ELT452" s="741"/>
      <c r="ELU452" s="741"/>
      <c r="ELV452" s="741"/>
      <c r="ELW452" s="741"/>
      <c r="ELX452" s="741"/>
      <c r="ELY452" s="741"/>
      <c r="ELZ452" s="741"/>
      <c r="EMA452" s="741"/>
      <c r="EMB452" s="741"/>
      <c r="EMC452" s="741"/>
      <c r="EMD452" s="741"/>
      <c r="EME452" s="741"/>
      <c r="EMF452" s="741"/>
      <c r="EMG452" s="741"/>
      <c r="EMH452" s="741"/>
      <c r="EMI452" s="741"/>
      <c r="EMJ452" s="741"/>
      <c r="EMK452" s="741"/>
      <c r="EML452" s="741"/>
      <c r="EMM452" s="741"/>
      <c r="EMN452" s="741"/>
      <c r="EMO452" s="741"/>
      <c r="EMP452" s="741"/>
      <c r="EMQ452" s="741"/>
      <c r="EMR452" s="741"/>
      <c r="EMS452" s="741"/>
      <c r="EMT452" s="741"/>
      <c r="EMU452" s="741"/>
      <c r="EMV452" s="741"/>
      <c r="EMW452" s="741"/>
      <c r="EMX452" s="741"/>
      <c r="EMY452" s="741"/>
      <c r="EMZ452" s="741"/>
      <c r="ENA452" s="741"/>
      <c r="ENB452" s="741"/>
      <c r="ENC452" s="741"/>
      <c r="END452" s="741"/>
      <c r="ENE452" s="741"/>
      <c r="ENF452" s="741"/>
      <c r="ENG452" s="741"/>
      <c r="ENH452" s="741"/>
      <c r="ENI452" s="741"/>
      <c r="ENJ452" s="741"/>
      <c r="ENK452" s="741"/>
      <c r="ENL452" s="741"/>
      <c r="ENM452" s="741"/>
      <c r="ENN452" s="741"/>
      <c r="ENO452" s="741"/>
      <c r="ENP452" s="741"/>
      <c r="ENQ452" s="741"/>
      <c r="ENR452" s="741"/>
      <c r="ENS452" s="741"/>
      <c r="ENT452" s="741"/>
      <c r="ENU452" s="741"/>
      <c r="ENV452" s="741"/>
      <c r="ENW452" s="741"/>
      <c r="ENX452" s="741"/>
      <c r="ENY452" s="741"/>
      <c r="ENZ452" s="741"/>
      <c r="EOA452" s="741"/>
      <c r="EOB452" s="741"/>
      <c r="EOC452" s="741"/>
      <c r="EOD452" s="741"/>
      <c r="EOE452" s="741"/>
      <c r="EOF452" s="741"/>
      <c r="EOG452" s="741"/>
      <c r="EOH452" s="741"/>
      <c r="EOI452" s="741"/>
      <c r="EOJ452" s="741"/>
      <c r="EOK452" s="741"/>
      <c r="EOL452" s="741"/>
      <c r="EOM452" s="741"/>
      <c r="EON452" s="741"/>
      <c r="EOO452" s="741"/>
      <c r="EOP452" s="741"/>
      <c r="EOQ452" s="741"/>
      <c r="EOR452" s="741"/>
      <c r="EOS452" s="741"/>
      <c r="EOT452" s="741"/>
      <c r="EOU452" s="741"/>
      <c r="EOV452" s="741"/>
      <c r="EOW452" s="741"/>
      <c r="EOX452" s="741"/>
      <c r="EOY452" s="741"/>
      <c r="EOZ452" s="741"/>
      <c r="EPA452" s="741"/>
      <c r="EPB452" s="741"/>
      <c r="EPC452" s="741"/>
      <c r="EPD452" s="741"/>
      <c r="EPE452" s="741"/>
      <c r="EPF452" s="741"/>
      <c r="EPG452" s="741"/>
      <c r="EPH452" s="741"/>
      <c r="EPI452" s="741"/>
      <c r="EPJ452" s="741"/>
      <c r="EPK452" s="741"/>
      <c r="EPL452" s="741"/>
      <c r="EPM452" s="741"/>
      <c r="EPN452" s="741"/>
      <c r="EPO452" s="741"/>
      <c r="EPP452" s="741"/>
      <c r="EPQ452" s="741"/>
      <c r="EPR452" s="741"/>
      <c r="EPS452" s="741"/>
      <c r="EPT452" s="741"/>
      <c r="EPU452" s="741"/>
      <c r="EPV452" s="741"/>
      <c r="EPW452" s="741"/>
      <c r="EPX452" s="741"/>
      <c r="EPY452" s="741"/>
      <c r="EPZ452" s="741"/>
      <c r="EQA452" s="741"/>
      <c r="EQB452" s="741"/>
      <c r="EQC452" s="741"/>
      <c r="EQD452" s="741"/>
      <c r="EQE452" s="741"/>
      <c r="EQF452" s="741"/>
      <c r="EQG452" s="741"/>
      <c r="EQH452" s="741"/>
      <c r="EQI452" s="741"/>
      <c r="EQJ452" s="741"/>
      <c r="EQK452" s="741"/>
      <c r="EQL452" s="741"/>
      <c r="EQM452" s="741"/>
      <c r="EQN452" s="741"/>
      <c r="EQO452" s="741"/>
      <c r="EQP452" s="741"/>
      <c r="EQQ452" s="741"/>
      <c r="EQR452" s="741"/>
      <c r="EQS452" s="741"/>
      <c r="EQT452" s="741"/>
      <c r="EQU452" s="741"/>
      <c r="EQV452" s="741"/>
      <c r="EQW452" s="741"/>
      <c r="EQX452" s="741"/>
      <c r="EQY452" s="741"/>
      <c r="EQZ452" s="741"/>
      <c r="ERA452" s="741"/>
      <c r="ERB452" s="741"/>
      <c r="ERC452" s="741"/>
      <c r="ERD452" s="741"/>
      <c r="ERE452" s="741"/>
      <c r="ERF452" s="741"/>
      <c r="ERG452" s="741"/>
      <c r="ERH452" s="741"/>
      <c r="ERI452" s="741"/>
      <c r="ERJ452" s="741"/>
      <c r="ERK452" s="741"/>
      <c r="ERL452" s="741"/>
      <c r="ERM452" s="741"/>
      <c r="ERN452" s="741"/>
      <c r="ERO452" s="741"/>
      <c r="ERP452" s="741"/>
      <c r="ERQ452" s="741"/>
      <c r="ERR452" s="741"/>
      <c r="ERS452" s="741"/>
      <c r="ERT452" s="741"/>
      <c r="ERU452" s="741"/>
      <c r="ERV452" s="741"/>
      <c r="ERW452" s="741"/>
      <c r="ERX452" s="741"/>
      <c r="ERY452" s="741"/>
      <c r="ERZ452" s="741"/>
      <c r="ESA452" s="741"/>
      <c r="ESB452" s="741"/>
      <c r="ESC452" s="741"/>
      <c r="ESD452" s="741"/>
      <c r="ESE452" s="741"/>
      <c r="ESF452" s="741"/>
      <c r="ESG452" s="741"/>
      <c r="ESH452" s="741"/>
      <c r="ESI452" s="741"/>
      <c r="ESJ452" s="741"/>
      <c r="ESK452" s="741"/>
      <c r="ESL452" s="741"/>
      <c r="ESM452" s="741"/>
      <c r="ESN452" s="741"/>
      <c r="ESO452" s="741"/>
      <c r="ESP452" s="741"/>
      <c r="ESQ452" s="741"/>
      <c r="ESR452" s="741"/>
      <c r="ESS452" s="741"/>
      <c r="EST452" s="741"/>
      <c r="ESU452" s="741"/>
      <c r="ESV452" s="741"/>
      <c r="ESW452" s="741"/>
      <c r="ESX452" s="741"/>
      <c r="ESY452" s="741"/>
      <c r="ESZ452" s="741"/>
      <c r="ETA452" s="741"/>
      <c r="ETB452" s="741"/>
      <c r="ETC452" s="741"/>
      <c r="ETD452" s="741"/>
      <c r="ETE452" s="741"/>
      <c r="ETF452" s="741"/>
      <c r="ETG452" s="741"/>
      <c r="ETH452" s="741"/>
      <c r="ETI452" s="741"/>
      <c r="ETJ452" s="741"/>
      <c r="ETK452" s="741"/>
      <c r="ETL452" s="741"/>
      <c r="ETM452" s="741"/>
      <c r="ETN452" s="741"/>
      <c r="ETO452" s="741"/>
      <c r="ETP452" s="741"/>
      <c r="ETQ452" s="741"/>
      <c r="ETR452" s="741"/>
      <c r="ETS452" s="741"/>
      <c r="ETT452" s="741"/>
      <c r="ETU452" s="741"/>
      <c r="ETV452" s="741"/>
      <c r="ETW452" s="741"/>
      <c r="ETX452" s="741"/>
      <c r="ETY452" s="741"/>
      <c r="ETZ452" s="741"/>
      <c r="EUA452" s="741"/>
      <c r="EUB452" s="741"/>
      <c r="EUC452" s="741"/>
      <c r="EUD452" s="741"/>
      <c r="EUE452" s="741"/>
      <c r="EUF452" s="741"/>
      <c r="EUG452" s="741"/>
      <c r="EUH452" s="741"/>
      <c r="EUI452" s="741"/>
      <c r="EUJ452" s="741"/>
      <c r="EUK452" s="741"/>
      <c r="EUL452" s="741"/>
      <c r="EUM452" s="741"/>
      <c r="EUN452" s="741"/>
      <c r="EUO452" s="741"/>
      <c r="EUP452" s="741"/>
      <c r="EUQ452" s="741"/>
      <c r="EUR452" s="741"/>
      <c r="EUS452" s="741"/>
      <c r="EUT452" s="741"/>
      <c r="EUU452" s="741"/>
      <c r="EUV452" s="741"/>
      <c r="EUW452" s="741"/>
      <c r="EUX452" s="741"/>
      <c r="EUY452" s="741"/>
      <c r="EUZ452" s="741"/>
      <c r="EVA452" s="741"/>
      <c r="EVB452" s="741"/>
      <c r="EVC452" s="741"/>
      <c r="EVD452" s="741"/>
      <c r="EVE452" s="741"/>
      <c r="EVF452" s="741"/>
      <c r="EVG452" s="741"/>
      <c r="EVH452" s="741"/>
      <c r="EVI452" s="741"/>
      <c r="EVJ452" s="741"/>
      <c r="EVK452" s="741"/>
      <c r="EVL452" s="741"/>
      <c r="EVM452" s="741"/>
      <c r="EVN452" s="741"/>
      <c r="EVO452" s="741"/>
      <c r="EVP452" s="741"/>
      <c r="EVQ452" s="741"/>
      <c r="EVR452" s="741"/>
      <c r="EVS452" s="741"/>
      <c r="EVT452" s="741"/>
      <c r="EVU452" s="741"/>
      <c r="EVV452" s="741"/>
      <c r="EVW452" s="741"/>
      <c r="EVX452" s="741"/>
      <c r="EVY452" s="741"/>
      <c r="EVZ452" s="741"/>
      <c r="EWA452" s="741"/>
      <c r="EWB452" s="741"/>
      <c r="EWC452" s="741"/>
      <c r="EWD452" s="741"/>
      <c r="EWE452" s="741"/>
      <c r="EWF452" s="741"/>
      <c r="EWG452" s="741"/>
      <c r="EWH452" s="741"/>
      <c r="EWI452" s="741"/>
      <c r="EWJ452" s="741"/>
      <c r="EWK452" s="741"/>
      <c r="EWL452" s="741"/>
      <c r="EWM452" s="741"/>
      <c r="EWN452" s="741"/>
      <c r="EWO452" s="741"/>
      <c r="EWP452" s="741"/>
      <c r="EWQ452" s="741"/>
      <c r="EWR452" s="741"/>
      <c r="EWS452" s="741"/>
      <c r="EWT452" s="741"/>
      <c r="EWU452" s="741"/>
      <c r="EWV452" s="741"/>
      <c r="EWW452" s="741"/>
      <c r="EWX452" s="741"/>
      <c r="EWY452" s="741"/>
      <c r="EWZ452" s="741"/>
      <c r="EXA452" s="741"/>
      <c r="EXB452" s="741"/>
      <c r="EXC452" s="741"/>
      <c r="EXD452" s="741"/>
      <c r="EXE452" s="741"/>
      <c r="EXF452" s="741"/>
      <c r="EXG452" s="741"/>
      <c r="EXH452" s="741"/>
      <c r="EXI452" s="741"/>
      <c r="EXJ452" s="741"/>
      <c r="EXK452" s="741"/>
      <c r="EXL452" s="741"/>
      <c r="EXM452" s="741"/>
      <c r="EXN452" s="741"/>
      <c r="EXO452" s="741"/>
      <c r="EXP452" s="741"/>
      <c r="EXQ452" s="741"/>
      <c r="EXR452" s="741"/>
      <c r="EXS452" s="741"/>
      <c r="EXT452" s="741"/>
      <c r="EXU452" s="741"/>
      <c r="EXV452" s="741"/>
      <c r="EXW452" s="741"/>
      <c r="EXX452" s="741"/>
      <c r="EXY452" s="741"/>
      <c r="EXZ452" s="741"/>
      <c r="EYA452" s="741"/>
      <c r="EYB452" s="741"/>
      <c r="EYC452" s="741"/>
      <c r="EYD452" s="741"/>
      <c r="EYE452" s="741"/>
      <c r="EYF452" s="741"/>
      <c r="EYG452" s="741"/>
      <c r="EYH452" s="741"/>
      <c r="EYI452" s="741"/>
      <c r="EYJ452" s="741"/>
      <c r="EYK452" s="741"/>
      <c r="EYL452" s="741"/>
      <c r="EYM452" s="741"/>
      <c r="EYN452" s="741"/>
      <c r="EYO452" s="741"/>
      <c r="EYP452" s="741"/>
      <c r="EYQ452" s="741"/>
      <c r="EYR452" s="741"/>
      <c r="EYS452" s="741"/>
      <c r="EYT452" s="741"/>
      <c r="EYU452" s="741"/>
      <c r="EYV452" s="741"/>
      <c r="EYW452" s="741"/>
      <c r="EYX452" s="741"/>
      <c r="EYY452" s="741"/>
      <c r="EYZ452" s="741"/>
      <c r="EZA452" s="741"/>
      <c r="EZB452" s="741"/>
      <c r="EZC452" s="741"/>
      <c r="EZD452" s="741"/>
      <c r="EZE452" s="741"/>
      <c r="EZF452" s="741"/>
      <c r="EZG452" s="741"/>
      <c r="EZH452" s="741"/>
      <c r="EZI452" s="741"/>
      <c r="EZJ452" s="741"/>
      <c r="EZK452" s="741"/>
      <c r="EZL452" s="741"/>
      <c r="EZM452" s="741"/>
      <c r="EZN452" s="741"/>
      <c r="EZO452" s="741"/>
      <c r="EZP452" s="741"/>
      <c r="EZQ452" s="741"/>
      <c r="EZR452" s="741"/>
      <c r="EZS452" s="741"/>
      <c r="EZT452" s="741"/>
      <c r="EZU452" s="741"/>
      <c r="EZV452" s="741"/>
      <c r="EZW452" s="741"/>
      <c r="EZX452" s="741"/>
      <c r="EZY452" s="741"/>
      <c r="EZZ452" s="741"/>
      <c r="FAA452" s="741"/>
      <c r="FAB452" s="741"/>
      <c r="FAC452" s="741"/>
      <c r="FAD452" s="741"/>
      <c r="FAE452" s="741"/>
      <c r="FAF452" s="741"/>
      <c r="FAG452" s="741"/>
      <c r="FAH452" s="741"/>
      <c r="FAI452" s="741"/>
      <c r="FAJ452" s="741"/>
      <c r="FAK452" s="741"/>
      <c r="FAL452" s="741"/>
      <c r="FAM452" s="741"/>
      <c r="FAN452" s="741"/>
      <c r="FAO452" s="741"/>
      <c r="FAP452" s="741"/>
      <c r="FAQ452" s="741"/>
      <c r="FAR452" s="741"/>
      <c r="FAS452" s="741"/>
      <c r="FAT452" s="741"/>
      <c r="FAU452" s="741"/>
      <c r="FAV452" s="741"/>
      <c r="FAW452" s="741"/>
      <c r="FAX452" s="741"/>
      <c r="FAY452" s="741"/>
      <c r="FAZ452" s="741"/>
      <c r="FBA452" s="741"/>
      <c r="FBB452" s="741"/>
      <c r="FBC452" s="741"/>
      <c r="FBD452" s="741"/>
      <c r="FBE452" s="741"/>
      <c r="FBF452" s="741"/>
      <c r="FBG452" s="741"/>
      <c r="FBH452" s="741"/>
      <c r="FBI452" s="741"/>
      <c r="FBJ452" s="741"/>
      <c r="FBK452" s="741"/>
      <c r="FBL452" s="741"/>
      <c r="FBM452" s="741"/>
      <c r="FBN452" s="741"/>
      <c r="FBO452" s="741"/>
      <c r="FBP452" s="741"/>
      <c r="FBQ452" s="741"/>
      <c r="FBR452" s="741"/>
      <c r="FBS452" s="741"/>
      <c r="FBT452" s="741"/>
      <c r="FBU452" s="741"/>
      <c r="FBV452" s="741"/>
      <c r="FBW452" s="741"/>
      <c r="FBX452" s="741"/>
      <c r="FBY452" s="741"/>
      <c r="FBZ452" s="741"/>
      <c r="FCA452" s="741"/>
      <c r="FCB452" s="741"/>
      <c r="FCC452" s="741"/>
      <c r="FCD452" s="741"/>
      <c r="FCE452" s="741"/>
      <c r="FCF452" s="741"/>
      <c r="FCG452" s="741"/>
      <c r="FCH452" s="741"/>
      <c r="FCI452" s="741"/>
      <c r="FCJ452" s="741"/>
      <c r="FCK452" s="741"/>
      <c r="FCL452" s="741"/>
      <c r="FCM452" s="741"/>
      <c r="FCN452" s="741"/>
      <c r="FCO452" s="741"/>
      <c r="FCP452" s="741"/>
      <c r="FCQ452" s="741"/>
      <c r="FCR452" s="741"/>
      <c r="FCS452" s="741"/>
      <c r="FCT452" s="741"/>
      <c r="FCU452" s="741"/>
      <c r="FCV452" s="741"/>
      <c r="FCW452" s="741"/>
      <c r="FCX452" s="741"/>
      <c r="FCY452" s="741"/>
      <c r="FCZ452" s="741"/>
      <c r="FDA452" s="741"/>
      <c r="FDB452" s="741"/>
      <c r="FDC452" s="741"/>
      <c r="FDD452" s="741"/>
      <c r="FDE452" s="741"/>
      <c r="FDF452" s="741"/>
      <c r="FDG452" s="741"/>
      <c r="FDH452" s="741"/>
      <c r="FDI452" s="741"/>
      <c r="FDJ452" s="741"/>
      <c r="FDK452" s="741"/>
      <c r="FDL452" s="741"/>
      <c r="FDM452" s="741"/>
      <c r="FDN452" s="741"/>
      <c r="FDO452" s="741"/>
      <c r="FDP452" s="741"/>
      <c r="FDQ452" s="741"/>
      <c r="FDR452" s="741"/>
      <c r="FDS452" s="741"/>
      <c r="FDT452" s="741"/>
      <c r="FDU452" s="741"/>
      <c r="FDV452" s="741"/>
      <c r="FDW452" s="741"/>
      <c r="FDX452" s="741"/>
      <c r="FDY452" s="741"/>
      <c r="FDZ452" s="741"/>
      <c r="FEA452" s="741"/>
      <c r="FEB452" s="741"/>
      <c r="FEC452" s="741"/>
      <c r="FED452" s="741"/>
      <c r="FEE452" s="741"/>
      <c r="FEF452" s="741"/>
      <c r="FEG452" s="741"/>
      <c r="FEH452" s="741"/>
      <c r="FEI452" s="741"/>
      <c r="FEJ452" s="741"/>
      <c r="FEK452" s="741"/>
      <c r="FEL452" s="741"/>
      <c r="FEM452" s="741"/>
      <c r="FEN452" s="741"/>
      <c r="FEO452" s="741"/>
      <c r="FEP452" s="741"/>
      <c r="FEQ452" s="741"/>
      <c r="FER452" s="741"/>
      <c r="FES452" s="741"/>
      <c r="FET452" s="741"/>
      <c r="FEU452" s="741"/>
      <c r="FEV452" s="741"/>
      <c r="FEW452" s="741"/>
      <c r="FEX452" s="741"/>
      <c r="FEY452" s="741"/>
      <c r="FEZ452" s="741"/>
      <c r="FFA452" s="741"/>
      <c r="FFB452" s="741"/>
      <c r="FFC452" s="741"/>
      <c r="FFD452" s="741"/>
      <c r="FFE452" s="741"/>
      <c r="FFF452" s="741"/>
      <c r="FFG452" s="741"/>
      <c r="FFH452" s="741"/>
      <c r="FFI452" s="741"/>
      <c r="FFJ452" s="741"/>
      <c r="FFK452" s="741"/>
      <c r="FFL452" s="741"/>
      <c r="FFM452" s="741"/>
      <c r="FFN452" s="741"/>
      <c r="FFO452" s="741"/>
      <c r="FFP452" s="741"/>
      <c r="FFQ452" s="741"/>
      <c r="FFR452" s="741"/>
      <c r="FFS452" s="741"/>
      <c r="FFT452" s="741"/>
      <c r="FFU452" s="741"/>
      <c r="FFV452" s="741"/>
      <c r="FFW452" s="741"/>
      <c r="FFX452" s="741"/>
      <c r="FFY452" s="741"/>
      <c r="FFZ452" s="741"/>
      <c r="FGA452" s="741"/>
      <c r="FGB452" s="741"/>
      <c r="FGC452" s="741"/>
      <c r="FGD452" s="741"/>
      <c r="FGE452" s="741"/>
      <c r="FGF452" s="741"/>
      <c r="FGG452" s="741"/>
      <c r="FGH452" s="741"/>
      <c r="FGI452" s="741"/>
      <c r="FGJ452" s="741"/>
      <c r="FGK452" s="741"/>
      <c r="FGL452" s="741"/>
      <c r="FGM452" s="741"/>
      <c r="FGN452" s="741"/>
      <c r="FGO452" s="741"/>
      <c r="FGP452" s="741"/>
      <c r="FGQ452" s="741"/>
      <c r="FGR452" s="741"/>
      <c r="FGS452" s="741"/>
      <c r="FGT452" s="741"/>
      <c r="FGU452" s="741"/>
      <c r="FGV452" s="741"/>
      <c r="FGW452" s="741"/>
      <c r="FGX452" s="741"/>
      <c r="FGY452" s="741"/>
      <c r="FGZ452" s="741"/>
      <c r="FHA452" s="741"/>
      <c r="FHB452" s="741"/>
      <c r="FHC452" s="741"/>
      <c r="FHD452" s="741"/>
      <c r="FHE452" s="741"/>
      <c r="FHF452" s="741"/>
      <c r="FHG452" s="741"/>
      <c r="FHH452" s="741"/>
      <c r="FHI452" s="741"/>
      <c r="FHJ452" s="741"/>
      <c r="FHK452" s="741"/>
      <c r="FHL452" s="741"/>
      <c r="FHM452" s="741"/>
      <c r="FHN452" s="741"/>
      <c r="FHO452" s="741"/>
      <c r="FHP452" s="741"/>
      <c r="FHQ452" s="741"/>
      <c r="FHR452" s="741"/>
      <c r="FHS452" s="741"/>
      <c r="FHT452" s="741"/>
      <c r="FHU452" s="741"/>
      <c r="FHV452" s="741"/>
      <c r="FHW452" s="741"/>
      <c r="FHX452" s="741"/>
      <c r="FHY452" s="741"/>
      <c r="FHZ452" s="741"/>
      <c r="FIA452" s="741"/>
      <c r="FIB452" s="741"/>
      <c r="FIC452" s="741"/>
      <c r="FID452" s="741"/>
      <c r="FIE452" s="741"/>
      <c r="FIF452" s="741"/>
      <c r="FIG452" s="741"/>
      <c r="FIH452" s="741"/>
      <c r="FII452" s="741"/>
      <c r="FIJ452" s="741"/>
      <c r="FIK452" s="741"/>
      <c r="FIL452" s="741"/>
      <c r="FIM452" s="741"/>
      <c r="FIN452" s="741"/>
      <c r="FIO452" s="741"/>
      <c r="FIP452" s="741"/>
      <c r="FIQ452" s="741"/>
      <c r="FIR452" s="741"/>
      <c r="FIS452" s="741"/>
      <c r="FIT452" s="741"/>
      <c r="FIU452" s="741"/>
      <c r="FIV452" s="741"/>
      <c r="FIW452" s="741"/>
      <c r="FIX452" s="741"/>
      <c r="FIY452" s="741"/>
      <c r="FIZ452" s="741"/>
      <c r="FJA452" s="741"/>
      <c r="FJB452" s="741"/>
      <c r="FJC452" s="741"/>
      <c r="FJD452" s="741"/>
      <c r="FJE452" s="741"/>
      <c r="FJF452" s="741"/>
      <c r="FJG452" s="741"/>
      <c r="FJH452" s="741"/>
      <c r="FJI452" s="741"/>
      <c r="FJJ452" s="741"/>
      <c r="FJK452" s="741"/>
      <c r="FJL452" s="741"/>
      <c r="FJM452" s="741"/>
      <c r="FJN452" s="741"/>
      <c r="FJO452" s="741"/>
      <c r="FJP452" s="741"/>
      <c r="FJQ452" s="741"/>
      <c r="FJR452" s="741"/>
      <c r="FJS452" s="741"/>
      <c r="FJT452" s="741"/>
      <c r="FJU452" s="741"/>
      <c r="FJV452" s="741"/>
      <c r="FJW452" s="741"/>
      <c r="FJX452" s="741"/>
      <c r="FJY452" s="741"/>
      <c r="FJZ452" s="741"/>
      <c r="FKA452" s="741"/>
      <c r="FKB452" s="741"/>
      <c r="FKC452" s="741"/>
      <c r="FKD452" s="741"/>
      <c r="FKE452" s="741"/>
      <c r="FKF452" s="741"/>
      <c r="FKG452" s="741"/>
      <c r="FKH452" s="741"/>
      <c r="FKI452" s="741"/>
      <c r="FKJ452" s="741"/>
      <c r="FKK452" s="741"/>
      <c r="FKL452" s="741"/>
      <c r="FKM452" s="741"/>
      <c r="FKN452" s="741"/>
      <c r="FKO452" s="741"/>
      <c r="FKP452" s="741"/>
      <c r="FKQ452" s="741"/>
      <c r="FKR452" s="741"/>
      <c r="FKS452" s="741"/>
      <c r="FKT452" s="741"/>
      <c r="FKU452" s="741"/>
      <c r="FKV452" s="741"/>
      <c r="FKW452" s="741"/>
      <c r="FKX452" s="741"/>
      <c r="FKY452" s="741"/>
      <c r="FKZ452" s="741"/>
      <c r="FLA452" s="741"/>
      <c r="FLB452" s="741"/>
      <c r="FLC452" s="741"/>
      <c r="FLD452" s="741"/>
      <c r="FLE452" s="741"/>
      <c r="FLF452" s="741"/>
      <c r="FLG452" s="741"/>
      <c r="FLH452" s="741"/>
      <c r="FLI452" s="741"/>
      <c r="FLJ452" s="741"/>
      <c r="FLK452" s="741"/>
      <c r="FLL452" s="741"/>
      <c r="FLM452" s="741"/>
      <c r="FLN452" s="741"/>
      <c r="FLO452" s="741"/>
      <c r="FLP452" s="741"/>
      <c r="FLQ452" s="741"/>
      <c r="FLR452" s="741"/>
      <c r="FLS452" s="741"/>
      <c r="FLT452" s="741"/>
      <c r="FLU452" s="741"/>
      <c r="FLV452" s="741"/>
      <c r="FLW452" s="741"/>
      <c r="FLX452" s="741"/>
      <c r="FLY452" s="741"/>
      <c r="FLZ452" s="741"/>
      <c r="FMA452" s="741"/>
      <c r="FMB452" s="741"/>
      <c r="FMC452" s="741"/>
      <c r="FMD452" s="741"/>
      <c r="FME452" s="741"/>
      <c r="FMF452" s="741"/>
      <c r="FMG452" s="741"/>
      <c r="FMH452" s="741"/>
      <c r="FMI452" s="741"/>
      <c r="FMJ452" s="741"/>
      <c r="FMK452" s="741"/>
      <c r="FML452" s="741"/>
      <c r="FMM452" s="741"/>
      <c r="FMN452" s="741"/>
      <c r="FMO452" s="741"/>
      <c r="FMP452" s="741"/>
      <c r="FMQ452" s="741"/>
      <c r="FMR452" s="741"/>
      <c r="FMS452" s="741"/>
      <c r="FMT452" s="741"/>
      <c r="FMU452" s="741"/>
      <c r="FMV452" s="741"/>
      <c r="FMW452" s="741"/>
      <c r="FMX452" s="741"/>
      <c r="FMY452" s="741"/>
      <c r="FMZ452" s="741"/>
      <c r="FNA452" s="741"/>
      <c r="FNB452" s="741"/>
      <c r="FNC452" s="741"/>
      <c r="FND452" s="741"/>
      <c r="FNE452" s="741"/>
      <c r="FNF452" s="741"/>
      <c r="FNG452" s="741"/>
      <c r="FNH452" s="741"/>
      <c r="FNI452" s="741"/>
      <c r="FNJ452" s="741"/>
      <c r="FNK452" s="741"/>
      <c r="FNL452" s="741"/>
      <c r="FNM452" s="741"/>
      <c r="FNN452" s="741"/>
      <c r="FNO452" s="741"/>
      <c r="FNP452" s="741"/>
      <c r="FNQ452" s="741"/>
      <c r="FNR452" s="741"/>
      <c r="FNS452" s="741"/>
      <c r="FNT452" s="741"/>
      <c r="FNU452" s="741"/>
      <c r="FNV452" s="741"/>
      <c r="FNW452" s="741"/>
      <c r="FNX452" s="741"/>
      <c r="FNY452" s="741"/>
      <c r="FNZ452" s="741"/>
      <c r="FOA452" s="741"/>
      <c r="FOB452" s="741"/>
      <c r="FOC452" s="741"/>
      <c r="FOD452" s="741"/>
      <c r="FOE452" s="741"/>
      <c r="FOF452" s="741"/>
      <c r="FOG452" s="741"/>
      <c r="FOH452" s="741"/>
      <c r="FOI452" s="741"/>
      <c r="FOJ452" s="741"/>
      <c r="FOK452" s="741"/>
      <c r="FOL452" s="741"/>
      <c r="FOM452" s="741"/>
      <c r="FON452" s="741"/>
      <c r="FOO452" s="741"/>
      <c r="FOP452" s="741"/>
      <c r="FOQ452" s="741"/>
      <c r="FOR452" s="741"/>
      <c r="FOS452" s="741"/>
      <c r="FOT452" s="741"/>
      <c r="FOU452" s="741"/>
      <c r="FOV452" s="741"/>
      <c r="FOW452" s="741"/>
      <c r="FOX452" s="741"/>
      <c r="FOY452" s="741"/>
      <c r="FOZ452" s="741"/>
      <c r="FPA452" s="741"/>
      <c r="FPB452" s="741"/>
      <c r="FPC452" s="741"/>
      <c r="FPD452" s="741"/>
      <c r="FPE452" s="741"/>
      <c r="FPF452" s="741"/>
      <c r="FPG452" s="741"/>
      <c r="FPH452" s="741"/>
      <c r="FPI452" s="741"/>
      <c r="FPJ452" s="741"/>
      <c r="FPK452" s="741"/>
      <c r="FPL452" s="741"/>
      <c r="FPM452" s="741"/>
      <c r="FPN452" s="741"/>
      <c r="FPO452" s="741"/>
      <c r="FPP452" s="741"/>
      <c r="FPQ452" s="741"/>
      <c r="FPR452" s="741"/>
      <c r="FPS452" s="741"/>
      <c r="FPT452" s="741"/>
      <c r="FPU452" s="741"/>
      <c r="FPV452" s="741"/>
      <c r="FPW452" s="741"/>
      <c r="FPX452" s="741"/>
      <c r="FPY452" s="741"/>
      <c r="FPZ452" s="741"/>
      <c r="FQA452" s="741"/>
      <c r="FQB452" s="741"/>
      <c r="FQC452" s="741"/>
      <c r="FQD452" s="741"/>
      <c r="FQE452" s="741"/>
      <c r="FQF452" s="741"/>
      <c r="FQG452" s="741"/>
      <c r="FQH452" s="741"/>
      <c r="FQI452" s="741"/>
      <c r="FQJ452" s="741"/>
      <c r="FQK452" s="741"/>
      <c r="FQL452" s="741"/>
      <c r="FQM452" s="741"/>
      <c r="FQN452" s="741"/>
      <c r="FQO452" s="741"/>
      <c r="FQP452" s="741"/>
      <c r="FQQ452" s="741"/>
      <c r="FQR452" s="741"/>
      <c r="FQS452" s="741"/>
      <c r="FQT452" s="741"/>
      <c r="FQU452" s="741"/>
      <c r="FQV452" s="741"/>
      <c r="FQW452" s="741"/>
      <c r="FQX452" s="741"/>
      <c r="FQY452" s="741"/>
      <c r="FQZ452" s="741"/>
      <c r="FRA452" s="741"/>
      <c r="FRB452" s="741"/>
      <c r="FRC452" s="741"/>
      <c r="FRD452" s="741"/>
      <c r="FRE452" s="741"/>
      <c r="FRF452" s="741"/>
      <c r="FRG452" s="741"/>
      <c r="FRH452" s="741"/>
      <c r="FRI452" s="741"/>
      <c r="FRJ452" s="741"/>
      <c r="FRK452" s="741"/>
      <c r="FRL452" s="741"/>
      <c r="FRM452" s="741"/>
      <c r="FRN452" s="741"/>
      <c r="FRO452" s="741"/>
      <c r="FRP452" s="741"/>
      <c r="FRQ452" s="741"/>
      <c r="FRR452" s="741"/>
      <c r="FRS452" s="741"/>
      <c r="FRT452" s="741"/>
      <c r="FRU452" s="741"/>
      <c r="FRV452" s="741"/>
      <c r="FRW452" s="741"/>
      <c r="FRX452" s="741"/>
      <c r="FRY452" s="741"/>
      <c r="FRZ452" s="741"/>
      <c r="FSA452" s="741"/>
      <c r="FSB452" s="741"/>
      <c r="FSC452" s="741"/>
      <c r="FSD452" s="741"/>
      <c r="FSE452" s="741"/>
      <c r="FSF452" s="741"/>
      <c r="FSG452" s="741"/>
      <c r="FSH452" s="741"/>
      <c r="FSI452" s="741"/>
      <c r="FSJ452" s="741"/>
      <c r="FSK452" s="741"/>
      <c r="FSL452" s="741"/>
      <c r="FSM452" s="741"/>
      <c r="FSN452" s="741"/>
      <c r="FSO452" s="741"/>
      <c r="FSP452" s="741"/>
      <c r="FSQ452" s="741"/>
      <c r="FSR452" s="741"/>
      <c r="FSS452" s="741"/>
      <c r="FST452" s="741"/>
      <c r="FSU452" s="741"/>
      <c r="FSV452" s="741"/>
      <c r="FSW452" s="741"/>
      <c r="FSX452" s="741"/>
      <c r="FSY452" s="741"/>
      <c r="FSZ452" s="741"/>
      <c r="FTA452" s="741"/>
      <c r="FTB452" s="741"/>
      <c r="FTC452" s="741"/>
      <c r="FTD452" s="741"/>
      <c r="FTE452" s="741"/>
      <c r="FTF452" s="741"/>
      <c r="FTG452" s="741"/>
      <c r="FTH452" s="741"/>
      <c r="FTI452" s="741"/>
      <c r="FTJ452" s="741"/>
      <c r="FTK452" s="741"/>
      <c r="FTL452" s="741"/>
      <c r="FTM452" s="741"/>
      <c r="FTN452" s="741"/>
      <c r="FTO452" s="741"/>
      <c r="FTP452" s="741"/>
      <c r="FTQ452" s="741"/>
      <c r="FTR452" s="741"/>
      <c r="FTS452" s="741"/>
      <c r="FTT452" s="741"/>
      <c r="FTU452" s="741"/>
      <c r="FTV452" s="741"/>
      <c r="FTW452" s="741"/>
      <c r="FTX452" s="741"/>
      <c r="FTY452" s="741"/>
      <c r="FTZ452" s="741"/>
      <c r="FUA452" s="741"/>
      <c r="FUB452" s="741"/>
      <c r="FUC452" s="741"/>
      <c r="FUD452" s="741"/>
      <c r="FUE452" s="741"/>
      <c r="FUF452" s="741"/>
      <c r="FUG452" s="741"/>
      <c r="FUH452" s="741"/>
      <c r="FUI452" s="741"/>
      <c r="FUJ452" s="741"/>
      <c r="FUK452" s="741"/>
      <c r="FUL452" s="741"/>
      <c r="FUM452" s="741"/>
      <c r="FUN452" s="741"/>
      <c r="FUO452" s="741"/>
      <c r="FUP452" s="741"/>
      <c r="FUQ452" s="741"/>
      <c r="FUR452" s="741"/>
      <c r="FUS452" s="741"/>
      <c r="FUT452" s="741"/>
      <c r="FUU452" s="741"/>
      <c r="FUV452" s="741"/>
      <c r="FUW452" s="741"/>
      <c r="FUX452" s="741"/>
      <c r="FUY452" s="741"/>
      <c r="FUZ452" s="741"/>
      <c r="FVA452" s="741"/>
      <c r="FVB452" s="741"/>
      <c r="FVC452" s="741"/>
      <c r="FVD452" s="741"/>
      <c r="FVE452" s="741"/>
      <c r="FVF452" s="741"/>
      <c r="FVG452" s="741"/>
      <c r="FVH452" s="741"/>
      <c r="FVI452" s="741"/>
      <c r="FVJ452" s="741"/>
      <c r="FVK452" s="741"/>
      <c r="FVL452" s="741"/>
      <c r="FVM452" s="741"/>
      <c r="FVN452" s="741"/>
      <c r="FVO452" s="741"/>
      <c r="FVP452" s="741"/>
      <c r="FVQ452" s="741"/>
      <c r="FVR452" s="741"/>
      <c r="FVS452" s="741"/>
      <c r="FVT452" s="741"/>
      <c r="FVU452" s="741"/>
      <c r="FVV452" s="741"/>
      <c r="FVW452" s="741"/>
      <c r="FVX452" s="741"/>
      <c r="FVY452" s="741"/>
      <c r="FVZ452" s="741"/>
      <c r="FWA452" s="741"/>
      <c r="FWB452" s="741"/>
      <c r="FWC452" s="741"/>
      <c r="FWD452" s="741"/>
      <c r="FWE452" s="741"/>
      <c r="FWF452" s="741"/>
      <c r="FWG452" s="741"/>
      <c r="FWH452" s="741"/>
      <c r="FWI452" s="741"/>
      <c r="FWJ452" s="741"/>
      <c r="FWK452" s="741"/>
      <c r="FWL452" s="741"/>
      <c r="FWM452" s="741"/>
      <c r="FWN452" s="741"/>
      <c r="FWO452" s="741"/>
      <c r="FWP452" s="741"/>
      <c r="FWQ452" s="741"/>
      <c r="FWR452" s="741"/>
      <c r="FWS452" s="741"/>
      <c r="FWT452" s="741"/>
      <c r="FWU452" s="741"/>
      <c r="FWV452" s="741"/>
      <c r="FWW452" s="741"/>
      <c r="FWX452" s="741"/>
      <c r="FWY452" s="741"/>
      <c r="FWZ452" s="741"/>
      <c r="FXA452" s="741"/>
      <c r="FXB452" s="741"/>
      <c r="FXC452" s="741"/>
      <c r="FXD452" s="741"/>
      <c r="FXE452" s="741"/>
      <c r="FXF452" s="741"/>
      <c r="FXG452" s="741"/>
      <c r="FXH452" s="741"/>
      <c r="FXI452" s="741"/>
      <c r="FXJ452" s="741"/>
      <c r="FXK452" s="741"/>
      <c r="FXL452" s="741"/>
      <c r="FXM452" s="741"/>
      <c r="FXN452" s="741"/>
      <c r="FXO452" s="741"/>
      <c r="FXP452" s="741"/>
      <c r="FXQ452" s="741"/>
      <c r="FXR452" s="741"/>
      <c r="FXS452" s="741"/>
      <c r="FXT452" s="741"/>
      <c r="FXU452" s="741"/>
      <c r="FXV452" s="741"/>
      <c r="FXW452" s="741"/>
      <c r="FXX452" s="741"/>
      <c r="FXY452" s="741"/>
      <c r="FXZ452" s="741"/>
      <c r="FYA452" s="741"/>
      <c r="FYB452" s="741"/>
      <c r="FYC452" s="741"/>
      <c r="FYD452" s="741"/>
      <c r="FYE452" s="741"/>
      <c r="FYF452" s="741"/>
      <c r="FYG452" s="741"/>
      <c r="FYH452" s="741"/>
      <c r="FYI452" s="741"/>
      <c r="FYJ452" s="741"/>
      <c r="FYK452" s="741"/>
      <c r="FYL452" s="741"/>
      <c r="FYM452" s="741"/>
      <c r="FYN452" s="741"/>
      <c r="FYO452" s="741"/>
      <c r="FYP452" s="741"/>
      <c r="FYQ452" s="741"/>
      <c r="FYR452" s="741"/>
      <c r="FYS452" s="741"/>
      <c r="FYT452" s="741"/>
      <c r="FYU452" s="741"/>
      <c r="FYV452" s="741"/>
      <c r="FYW452" s="741"/>
      <c r="FYX452" s="741"/>
      <c r="FYY452" s="741"/>
      <c r="FYZ452" s="741"/>
      <c r="FZA452" s="741"/>
      <c r="FZB452" s="741"/>
      <c r="FZC452" s="741"/>
      <c r="FZD452" s="741"/>
      <c r="FZE452" s="741"/>
      <c r="FZF452" s="741"/>
      <c r="FZG452" s="741"/>
      <c r="FZH452" s="741"/>
      <c r="FZI452" s="741"/>
      <c r="FZJ452" s="741"/>
      <c r="FZK452" s="741"/>
      <c r="FZL452" s="741"/>
      <c r="FZM452" s="741"/>
      <c r="FZN452" s="741"/>
      <c r="FZO452" s="741"/>
      <c r="FZP452" s="741"/>
      <c r="FZQ452" s="741"/>
      <c r="FZR452" s="741"/>
      <c r="FZS452" s="741"/>
      <c r="FZT452" s="741"/>
      <c r="FZU452" s="741"/>
      <c r="FZV452" s="741"/>
      <c r="FZW452" s="741"/>
      <c r="FZX452" s="741"/>
      <c r="FZY452" s="741"/>
      <c r="FZZ452" s="741"/>
      <c r="GAA452" s="741"/>
      <c r="GAB452" s="741"/>
      <c r="GAC452" s="741"/>
      <c r="GAD452" s="741"/>
      <c r="GAE452" s="741"/>
      <c r="GAF452" s="741"/>
      <c r="GAG452" s="741"/>
      <c r="GAH452" s="741"/>
      <c r="GAI452" s="741"/>
      <c r="GAJ452" s="741"/>
      <c r="GAK452" s="741"/>
      <c r="GAL452" s="741"/>
      <c r="GAM452" s="741"/>
      <c r="GAN452" s="741"/>
      <c r="GAO452" s="741"/>
      <c r="GAP452" s="741"/>
      <c r="GAQ452" s="741"/>
      <c r="GAR452" s="741"/>
      <c r="GAS452" s="741"/>
      <c r="GAT452" s="741"/>
      <c r="GAU452" s="741"/>
      <c r="GAV452" s="741"/>
      <c r="GAW452" s="741"/>
      <c r="GAX452" s="741"/>
      <c r="GAY452" s="741"/>
      <c r="GAZ452" s="741"/>
      <c r="GBA452" s="741"/>
      <c r="GBB452" s="741"/>
      <c r="GBC452" s="741"/>
      <c r="GBD452" s="741"/>
      <c r="GBE452" s="741"/>
      <c r="GBF452" s="741"/>
      <c r="GBG452" s="741"/>
      <c r="GBH452" s="741"/>
      <c r="GBI452" s="741"/>
      <c r="GBJ452" s="741"/>
      <c r="GBK452" s="741"/>
      <c r="GBL452" s="741"/>
      <c r="GBM452" s="741"/>
      <c r="GBN452" s="741"/>
      <c r="GBO452" s="741"/>
      <c r="GBP452" s="741"/>
      <c r="GBQ452" s="741"/>
      <c r="GBR452" s="741"/>
      <c r="GBS452" s="741"/>
      <c r="GBT452" s="741"/>
      <c r="GBU452" s="741"/>
      <c r="GBV452" s="741"/>
      <c r="GBW452" s="741"/>
      <c r="GBX452" s="741"/>
      <c r="GBY452" s="741"/>
      <c r="GBZ452" s="741"/>
      <c r="GCA452" s="741"/>
      <c r="GCB452" s="741"/>
      <c r="GCC452" s="741"/>
      <c r="GCD452" s="741"/>
      <c r="GCE452" s="741"/>
      <c r="GCF452" s="741"/>
      <c r="GCG452" s="741"/>
      <c r="GCH452" s="741"/>
      <c r="GCI452" s="741"/>
      <c r="GCJ452" s="741"/>
      <c r="GCK452" s="741"/>
      <c r="GCL452" s="741"/>
      <c r="GCM452" s="741"/>
      <c r="GCN452" s="741"/>
      <c r="GCO452" s="741"/>
      <c r="GCP452" s="741"/>
      <c r="GCQ452" s="741"/>
      <c r="GCR452" s="741"/>
      <c r="GCS452" s="741"/>
      <c r="GCT452" s="741"/>
      <c r="GCU452" s="741"/>
      <c r="GCV452" s="741"/>
      <c r="GCW452" s="741"/>
      <c r="GCX452" s="741"/>
      <c r="GCY452" s="741"/>
      <c r="GCZ452" s="741"/>
      <c r="GDA452" s="741"/>
      <c r="GDB452" s="741"/>
      <c r="GDC452" s="741"/>
      <c r="GDD452" s="741"/>
      <c r="GDE452" s="741"/>
      <c r="GDF452" s="741"/>
      <c r="GDG452" s="741"/>
      <c r="GDH452" s="741"/>
      <c r="GDI452" s="741"/>
      <c r="GDJ452" s="741"/>
      <c r="GDK452" s="741"/>
      <c r="GDL452" s="741"/>
      <c r="GDM452" s="741"/>
      <c r="GDN452" s="741"/>
      <c r="GDO452" s="741"/>
      <c r="GDP452" s="741"/>
      <c r="GDQ452" s="741"/>
      <c r="GDR452" s="741"/>
      <c r="GDS452" s="741"/>
      <c r="GDT452" s="741"/>
      <c r="GDU452" s="741"/>
      <c r="GDV452" s="741"/>
      <c r="GDW452" s="741"/>
      <c r="GDX452" s="741"/>
      <c r="GDY452" s="741"/>
      <c r="GDZ452" s="741"/>
      <c r="GEA452" s="741"/>
      <c r="GEB452" s="741"/>
      <c r="GEC452" s="741"/>
      <c r="GED452" s="741"/>
      <c r="GEE452" s="741"/>
      <c r="GEF452" s="741"/>
      <c r="GEG452" s="741"/>
      <c r="GEH452" s="741"/>
      <c r="GEI452" s="741"/>
      <c r="GEJ452" s="741"/>
      <c r="GEK452" s="741"/>
      <c r="GEL452" s="741"/>
      <c r="GEM452" s="741"/>
      <c r="GEN452" s="741"/>
      <c r="GEO452" s="741"/>
      <c r="GEP452" s="741"/>
      <c r="GEQ452" s="741"/>
      <c r="GER452" s="741"/>
      <c r="GES452" s="741"/>
      <c r="GET452" s="741"/>
      <c r="GEU452" s="741"/>
      <c r="GEV452" s="741"/>
      <c r="GEW452" s="741"/>
      <c r="GEX452" s="741"/>
      <c r="GEY452" s="741"/>
      <c r="GEZ452" s="741"/>
      <c r="GFA452" s="741"/>
      <c r="GFB452" s="741"/>
      <c r="GFC452" s="741"/>
      <c r="GFD452" s="741"/>
      <c r="GFE452" s="741"/>
      <c r="GFF452" s="741"/>
      <c r="GFG452" s="741"/>
      <c r="GFH452" s="741"/>
      <c r="GFI452" s="741"/>
      <c r="GFJ452" s="741"/>
      <c r="GFK452" s="741"/>
      <c r="GFL452" s="741"/>
      <c r="GFM452" s="741"/>
      <c r="GFN452" s="741"/>
      <c r="GFO452" s="741"/>
      <c r="GFP452" s="741"/>
      <c r="GFQ452" s="741"/>
      <c r="GFR452" s="741"/>
      <c r="GFS452" s="741"/>
      <c r="GFT452" s="741"/>
      <c r="GFU452" s="741"/>
      <c r="GFV452" s="741"/>
      <c r="GFW452" s="741"/>
      <c r="GFX452" s="741"/>
      <c r="GFY452" s="741"/>
      <c r="GFZ452" s="741"/>
      <c r="GGA452" s="741"/>
      <c r="GGB452" s="741"/>
      <c r="GGC452" s="741"/>
      <c r="GGD452" s="741"/>
      <c r="GGE452" s="741"/>
      <c r="GGF452" s="741"/>
      <c r="GGG452" s="741"/>
      <c r="GGH452" s="741"/>
      <c r="GGI452" s="741"/>
      <c r="GGJ452" s="741"/>
      <c r="GGK452" s="741"/>
      <c r="GGL452" s="741"/>
      <c r="GGM452" s="741"/>
      <c r="GGN452" s="741"/>
      <c r="GGO452" s="741"/>
      <c r="GGP452" s="741"/>
      <c r="GGQ452" s="741"/>
      <c r="GGR452" s="741"/>
      <c r="GGS452" s="741"/>
      <c r="GGT452" s="741"/>
      <c r="GGU452" s="741"/>
      <c r="GGV452" s="741"/>
      <c r="GGW452" s="741"/>
      <c r="GGX452" s="741"/>
      <c r="GGY452" s="741"/>
      <c r="GGZ452" s="741"/>
      <c r="GHA452" s="741"/>
      <c r="GHB452" s="741"/>
      <c r="GHC452" s="741"/>
      <c r="GHD452" s="741"/>
      <c r="GHE452" s="741"/>
      <c r="GHF452" s="741"/>
      <c r="GHG452" s="741"/>
      <c r="GHH452" s="741"/>
      <c r="GHI452" s="741"/>
      <c r="GHJ452" s="741"/>
      <c r="GHK452" s="741"/>
      <c r="GHL452" s="741"/>
      <c r="GHM452" s="741"/>
      <c r="GHN452" s="741"/>
      <c r="GHO452" s="741"/>
      <c r="GHP452" s="741"/>
      <c r="GHQ452" s="741"/>
      <c r="GHR452" s="741"/>
      <c r="GHS452" s="741"/>
      <c r="GHT452" s="741"/>
      <c r="GHU452" s="741"/>
      <c r="GHV452" s="741"/>
      <c r="GHW452" s="741"/>
      <c r="GHX452" s="741"/>
      <c r="GHY452" s="741"/>
      <c r="GHZ452" s="741"/>
      <c r="GIA452" s="741"/>
      <c r="GIB452" s="741"/>
      <c r="GIC452" s="741"/>
      <c r="GID452" s="741"/>
      <c r="GIE452" s="741"/>
      <c r="GIF452" s="741"/>
      <c r="GIG452" s="741"/>
      <c r="GIH452" s="741"/>
      <c r="GII452" s="741"/>
      <c r="GIJ452" s="741"/>
      <c r="GIK452" s="741"/>
      <c r="GIL452" s="741"/>
      <c r="GIM452" s="741"/>
      <c r="GIN452" s="741"/>
      <c r="GIO452" s="741"/>
      <c r="GIP452" s="741"/>
      <c r="GIQ452" s="741"/>
      <c r="GIR452" s="741"/>
      <c r="GIS452" s="741"/>
      <c r="GIT452" s="741"/>
      <c r="GIU452" s="741"/>
      <c r="GIV452" s="741"/>
      <c r="GIW452" s="741"/>
      <c r="GIX452" s="741"/>
      <c r="GIY452" s="741"/>
      <c r="GIZ452" s="741"/>
      <c r="GJA452" s="741"/>
      <c r="GJB452" s="741"/>
      <c r="GJC452" s="741"/>
      <c r="GJD452" s="741"/>
      <c r="GJE452" s="741"/>
      <c r="GJF452" s="741"/>
      <c r="GJG452" s="741"/>
      <c r="GJH452" s="741"/>
      <c r="GJI452" s="741"/>
      <c r="GJJ452" s="741"/>
      <c r="GJK452" s="741"/>
      <c r="GJL452" s="741"/>
      <c r="GJM452" s="741"/>
      <c r="GJN452" s="741"/>
      <c r="GJO452" s="741"/>
      <c r="GJP452" s="741"/>
      <c r="GJQ452" s="741"/>
      <c r="GJR452" s="741"/>
      <c r="GJS452" s="741"/>
      <c r="GJT452" s="741"/>
      <c r="GJU452" s="741"/>
      <c r="GJV452" s="741"/>
      <c r="GJW452" s="741"/>
      <c r="GJX452" s="741"/>
      <c r="GJY452" s="741"/>
      <c r="GJZ452" s="741"/>
      <c r="GKA452" s="741"/>
      <c r="GKB452" s="741"/>
      <c r="GKC452" s="741"/>
      <c r="GKD452" s="741"/>
      <c r="GKE452" s="741"/>
      <c r="GKF452" s="741"/>
      <c r="GKG452" s="741"/>
      <c r="GKH452" s="741"/>
      <c r="GKI452" s="741"/>
      <c r="GKJ452" s="741"/>
      <c r="GKK452" s="741"/>
      <c r="GKL452" s="741"/>
      <c r="GKM452" s="741"/>
      <c r="GKN452" s="741"/>
      <c r="GKO452" s="741"/>
      <c r="GKP452" s="741"/>
      <c r="GKQ452" s="741"/>
      <c r="GKR452" s="741"/>
      <c r="GKS452" s="741"/>
      <c r="GKT452" s="741"/>
      <c r="GKU452" s="741"/>
      <c r="GKV452" s="741"/>
      <c r="GKW452" s="741"/>
      <c r="GKX452" s="741"/>
      <c r="GKY452" s="741"/>
      <c r="GKZ452" s="741"/>
      <c r="GLA452" s="741"/>
      <c r="GLB452" s="741"/>
      <c r="GLC452" s="741"/>
      <c r="GLD452" s="741"/>
      <c r="GLE452" s="741"/>
      <c r="GLF452" s="741"/>
      <c r="GLG452" s="741"/>
      <c r="GLH452" s="741"/>
      <c r="GLI452" s="741"/>
      <c r="GLJ452" s="741"/>
      <c r="GLK452" s="741"/>
      <c r="GLL452" s="741"/>
      <c r="GLM452" s="741"/>
      <c r="GLN452" s="741"/>
      <c r="GLO452" s="741"/>
      <c r="GLP452" s="741"/>
      <c r="GLQ452" s="741"/>
      <c r="GLR452" s="741"/>
      <c r="GLS452" s="741"/>
      <c r="GLT452" s="741"/>
      <c r="GLU452" s="741"/>
      <c r="GLV452" s="741"/>
      <c r="GLW452" s="741"/>
      <c r="GLX452" s="741"/>
      <c r="GLY452" s="741"/>
      <c r="GLZ452" s="741"/>
      <c r="GMA452" s="741"/>
      <c r="GMB452" s="741"/>
      <c r="GMC452" s="741"/>
      <c r="GMD452" s="741"/>
      <c r="GME452" s="741"/>
      <c r="GMF452" s="741"/>
      <c r="GMG452" s="741"/>
      <c r="GMH452" s="741"/>
      <c r="GMI452" s="741"/>
      <c r="GMJ452" s="741"/>
      <c r="GMK452" s="741"/>
      <c r="GML452" s="741"/>
      <c r="GMM452" s="741"/>
      <c r="GMN452" s="741"/>
      <c r="GMO452" s="741"/>
      <c r="GMP452" s="741"/>
      <c r="GMQ452" s="741"/>
      <c r="GMR452" s="741"/>
      <c r="GMS452" s="741"/>
      <c r="GMT452" s="741"/>
      <c r="GMU452" s="741"/>
      <c r="GMV452" s="741"/>
      <c r="GMW452" s="741"/>
      <c r="GMX452" s="741"/>
      <c r="GMY452" s="741"/>
      <c r="GMZ452" s="741"/>
      <c r="GNA452" s="741"/>
      <c r="GNB452" s="741"/>
      <c r="GNC452" s="741"/>
      <c r="GND452" s="741"/>
      <c r="GNE452" s="741"/>
      <c r="GNF452" s="741"/>
      <c r="GNG452" s="741"/>
      <c r="GNH452" s="741"/>
      <c r="GNI452" s="741"/>
      <c r="GNJ452" s="741"/>
      <c r="GNK452" s="741"/>
      <c r="GNL452" s="741"/>
      <c r="GNM452" s="741"/>
      <c r="GNN452" s="741"/>
      <c r="GNO452" s="741"/>
      <c r="GNP452" s="741"/>
      <c r="GNQ452" s="741"/>
      <c r="GNR452" s="741"/>
      <c r="GNS452" s="741"/>
      <c r="GNT452" s="741"/>
      <c r="GNU452" s="741"/>
      <c r="GNV452" s="741"/>
      <c r="GNW452" s="741"/>
      <c r="GNX452" s="741"/>
      <c r="GNY452" s="741"/>
      <c r="GNZ452" s="741"/>
      <c r="GOA452" s="741"/>
      <c r="GOB452" s="741"/>
      <c r="GOC452" s="741"/>
      <c r="GOD452" s="741"/>
      <c r="GOE452" s="741"/>
      <c r="GOF452" s="741"/>
      <c r="GOG452" s="741"/>
      <c r="GOH452" s="741"/>
      <c r="GOI452" s="741"/>
      <c r="GOJ452" s="741"/>
      <c r="GOK452" s="741"/>
      <c r="GOL452" s="741"/>
      <c r="GOM452" s="741"/>
      <c r="GON452" s="741"/>
      <c r="GOO452" s="741"/>
      <c r="GOP452" s="741"/>
      <c r="GOQ452" s="741"/>
      <c r="GOR452" s="741"/>
      <c r="GOS452" s="741"/>
      <c r="GOT452" s="741"/>
      <c r="GOU452" s="741"/>
      <c r="GOV452" s="741"/>
      <c r="GOW452" s="741"/>
      <c r="GOX452" s="741"/>
      <c r="GOY452" s="741"/>
      <c r="GOZ452" s="741"/>
      <c r="GPA452" s="741"/>
      <c r="GPB452" s="741"/>
      <c r="GPC452" s="741"/>
      <c r="GPD452" s="741"/>
      <c r="GPE452" s="741"/>
      <c r="GPF452" s="741"/>
      <c r="GPG452" s="741"/>
      <c r="GPH452" s="741"/>
      <c r="GPI452" s="741"/>
      <c r="GPJ452" s="741"/>
      <c r="GPK452" s="741"/>
      <c r="GPL452" s="741"/>
      <c r="GPM452" s="741"/>
      <c r="GPN452" s="741"/>
      <c r="GPO452" s="741"/>
      <c r="GPP452" s="741"/>
      <c r="GPQ452" s="741"/>
      <c r="GPR452" s="741"/>
      <c r="GPS452" s="741"/>
      <c r="GPT452" s="741"/>
      <c r="GPU452" s="741"/>
      <c r="GPV452" s="741"/>
      <c r="GPW452" s="741"/>
      <c r="GPX452" s="741"/>
      <c r="GPY452" s="741"/>
      <c r="GPZ452" s="741"/>
      <c r="GQA452" s="741"/>
      <c r="GQB452" s="741"/>
      <c r="GQC452" s="741"/>
      <c r="GQD452" s="741"/>
      <c r="GQE452" s="741"/>
      <c r="GQF452" s="741"/>
      <c r="GQG452" s="741"/>
      <c r="GQH452" s="741"/>
      <c r="GQI452" s="741"/>
      <c r="GQJ452" s="741"/>
      <c r="GQK452" s="741"/>
      <c r="GQL452" s="741"/>
      <c r="GQM452" s="741"/>
      <c r="GQN452" s="741"/>
      <c r="GQO452" s="741"/>
      <c r="GQP452" s="741"/>
      <c r="GQQ452" s="741"/>
      <c r="GQR452" s="741"/>
      <c r="GQS452" s="741"/>
      <c r="GQT452" s="741"/>
      <c r="GQU452" s="741"/>
      <c r="GQV452" s="741"/>
      <c r="GQW452" s="741"/>
      <c r="GQX452" s="741"/>
      <c r="GQY452" s="741"/>
      <c r="GQZ452" s="741"/>
      <c r="GRA452" s="741"/>
      <c r="GRB452" s="741"/>
      <c r="GRC452" s="741"/>
      <c r="GRD452" s="741"/>
      <c r="GRE452" s="741"/>
      <c r="GRF452" s="741"/>
      <c r="GRG452" s="741"/>
      <c r="GRH452" s="741"/>
      <c r="GRI452" s="741"/>
      <c r="GRJ452" s="741"/>
      <c r="GRK452" s="741"/>
      <c r="GRL452" s="741"/>
      <c r="GRM452" s="741"/>
      <c r="GRN452" s="741"/>
      <c r="GRO452" s="741"/>
      <c r="GRP452" s="741"/>
      <c r="GRQ452" s="741"/>
      <c r="GRR452" s="741"/>
      <c r="GRS452" s="741"/>
      <c r="GRT452" s="741"/>
      <c r="GRU452" s="741"/>
      <c r="GRV452" s="741"/>
      <c r="GRW452" s="741"/>
      <c r="GRX452" s="741"/>
      <c r="GRY452" s="741"/>
      <c r="GRZ452" s="741"/>
      <c r="GSA452" s="741"/>
      <c r="GSB452" s="741"/>
      <c r="GSC452" s="741"/>
      <c r="GSD452" s="741"/>
      <c r="GSE452" s="741"/>
      <c r="GSF452" s="741"/>
      <c r="GSG452" s="741"/>
      <c r="GSH452" s="741"/>
      <c r="GSI452" s="741"/>
      <c r="GSJ452" s="741"/>
      <c r="GSK452" s="741"/>
      <c r="GSL452" s="741"/>
      <c r="GSM452" s="741"/>
      <c r="GSN452" s="741"/>
      <c r="GSO452" s="741"/>
      <c r="GSP452" s="741"/>
      <c r="GSQ452" s="741"/>
      <c r="GSR452" s="741"/>
      <c r="GSS452" s="741"/>
      <c r="GST452" s="741"/>
      <c r="GSU452" s="741"/>
      <c r="GSV452" s="741"/>
      <c r="GSW452" s="741"/>
      <c r="GSX452" s="741"/>
      <c r="GSY452" s="741"/>
      <c r="GSZ452" s="741"/>
      <c r="GTA452" s="741"/>
      <c r="GTB452" s="741"/>
      <c r="GTC452" s="741"/>
      <c r="GTD452" s="741"/>
      <c r="GTE452" s="741"/>
      <c r="GTF452" s="741"/>
      <c r="GTG452" s="741"/>
      <c r="GTH452" s="741"/>
      <c r="GTI452" s="741"/>
      <c r="GTJ452" s="741"/>
      <c r="GTK452" s="741"/>
      <c r="GTL452" s="741"/>
      <c r="GTM452" s="741"/>
      <c r="GTN452" s="741"/>
      <c r="GTO452" s="741"/>
      <c r="GTP452" s="741"/>
      <c r="GTQ452" s="741"/>
      <c r="GTR452" s="741"/>
      <c r="GTS452" s="741"/>
      <c r="GTT452" s="741"/>
      <c r="GTU452" s="741"/>
      <c r="GTV452" s="741"/>
      <c r="GTW452" s="741"/>
      <c r="GTX452" s="741"/>
      <c r="GTY452" s="741"/>
      <c r="GTZ452" s="741"/>
      <c r="GUA452" s="741"/>
      <c r="GUB452" s="741"/>
      <c r="GUC452" s="741"/>
      <c r="GUD452" s="741"/>
      <c r="GUE452" s="741"/>
      <c r="GUF452" s="741"/>
      <c r="GUG452" s="741"/>
      <c r="GUH452" s="741"/>
      <c r="GUI452" s="741"/>
      <c r="GUJ452" s="741"/>
      <c r="GUK452" s="741"/>
      <c r="GUL452" s="741"/>
      <c r="GUM452" s="741"/>
      <c r="GUN452" s="741"/>
      <c r="GUO452" s="741"/>
      <c r="GUP452" s="741"/>
      <c r="GUQ452" s="741"/>
      <c r="GUR452" s="741"/>
      <c r="GUS452" s="741"/>
      <c r="GUT452" s="741"/>
      <c r="GUU452" s="741"/>
      <c r="GUV452" s="741"/>
      <c r="GUW452" s="741"/>
      <c r="GUX452" s="741"/>
      <c r="GUY452" s="741"/>
      <c r="GUZ452" s="741"/>
      <c r="GVA452" s="741"/>
      <c r="GVB452" s="741"/>
      <c r="GVC452" s="741"/>
      <c r="GVD452" s="741"/>
      <c r="GVE452" s="741"/>
      <c r="GVF452" s="741"/>
      <c r="GVG452" s="741"/>
      <c r="GVH452" s="741"/>
      <c r="GVI452" s="741"/>
      <c r="GVJ452" s="741"/>
      <c r="GVK452" s="741"/>
      <c r="GVL452" s="741"/>
      <c r="GVM452" s="741"/>
      <c r="GVN452" s="741"/>
      <c r="GVO452" s="741"/>
      <c r="GVP452" s="741"/>
      <c r="GVQ452" s="741"/>
      <c r="GVR452" s="741"/>
      <c r="GVS452" s="741"/>
      <c r="GVT452" s="741"/>
      <c r="GVU452" s="741"/>
      <c r="GVV452" s="741"/>
      <c r="GVW452" s="741"/>
      <c r="GVX452" s="741"/>
      <c r="GVY452" s="741"/>
      <c r="GVZ452" s="741"/>
      <c r="GWA452" s="741"/>
      <c r="GWB452" s="741"/>
      <c r="GWC452" s="741"/>
      <c r="GWD452" s="741"/>
      <c r="GWE452" s="741"/>
      <c r="GWF452" s="741"/>
      <c r="GWG452" s="741"/>
      <c r="GWH452" s="741"/>
      <c r="GWI452" s="741"/>
      <c r="GWJ452" s="741"/>
      <c r="GWK452" s="741"/>
      <c r="GWL452" s="741"/>
      <c r="GWM452" s="741"/>
      <c r="GWN452" s="741"/>
      <c r="GWO452" s="741"/>
      <c r="GWP452" s="741"/>
      <c r="GWQ452" s="741"/>
      <c r="GWR452" s="741"/>
      <c r="GWS452" s="741"/>
      <c r="GWT452" s="741"/>
      <c r="GWU452" s="741"/>
      <c r="GWV452" s="741"/>
      <c r="GWW452" s="741"/>
      <c r="GWX452" s="741"/>
      <c r="GWY452" s="741"/>
      <c r="GWZ452" s="741"/>
      <c r="GXA452" s="741"/>
      <c r="GXB452" s="741"/>
      <c r="GXC452" s="741"/>
      <c r="GXD452" s="741"/>
      <c r="GXE452" s="741"/>
      <c r="GXF452" s="741"/>
      <c r="GXG452" s="741"/>
      <c r="GXH452" s="741"/>
      <c r="GXI452" s="741"/>
      <c r="GXJ452" s="741"/>
      <c r="GXK452" s="741"/>
      <c r="GXL452" s="741"/>
      <c r="GXM452" s="741"/>
      <c r="GXN452" s="741"/>
      <c r="GXO452" s="741"/>
      <c r="GXP452" s="741"/>
      <c r="GXQ452" s="741"/>
      <c r="GXR452" s="741"/>
      <c r="GXS452" s="741"/>
      <c r="GXT452" s="741"/>
      <c r="GXU452" s="741"/>
      <c r="GXV452" s="741"/>
      <c r="GXW452" s="741"/>
      <c r="GXX452" s="741"/>
      <c r="GXY452" s="741"/>
      <c r="GXZ452" s="741"/>
      <c r="GYA452" s="741"/>
      <c r="GYB452" s="741"/>
      <c r="GYC452" s="741"/>
      <c r="GYD452" s="741"/>
      <c r="GYE452" s="741"/>
      <c r="GYF452" s="741"/>
      <c r="GYG452" s="741"/>
      <c r="GYH452" s="741"/>
      <c r="GYI452" s="741"/>
      <c r="GYJ452" s="741"/>
      <c r="GYK452" s="741"/>
      <c r="GYL452" s="741"/>
      <c r="GYM452" s="741"/>
      <c r="GYN452" s="741"/>
      <c r="GYO452" s="741"/>
      <c r="GYP452" s="741"/>
      <c r="GYQ452" s="741"/>
      <c r="GYR452" s="741"/>
      <c r="GYS452" s="741"/>
      <c r="GYT452" s="741"/>
      <c r="GYU452" s="741"/>
      <c r="GYV452" s="741"/>
      <c r="GYW452" s="741"/>
      <c r="GYX452" s="741"/>
      <c r="GYY452" s="741"/>
      <c r="GYZ452" s="741"/>
      <c r="GZA452" s="741"/>
      <c r="GZB452" s="741"/>
      <c r="GZC452" s="741"/>
      <c r="GZD452" s="741"/>
      <c r="GZE452" s="741"/>
      <c r="GZF452" s="741"/>
      <c r="GZG452" s="741"/>
      <c r="GZH452" s="741"/>
      <c r="GZI452" s="741"/>
      <c r="GZJ452" s="741"/>
      <c r="GZK452" s="741"/>
      <c r="GZL452" s="741"/>
      <c r="GZM452" s="741"/>
      <c r="GZN452" s="741"/>
      <c r="GZO452" s="741"/>
      <c r="GZP452" s="741"/>
      <c r="GZQ452" s="741"/>
      <c r="GZR452" s="741"/>
      <c r="GZS452" s="741"/>
      <c r="GZT452" s="741"/>
      <c r="GZU452" s="741"/>
      <c r="GZV452" s="741"/>
      <c r="GZW452" s="741"/>
      <c r="GZX452" s="741"/>
      <c r="GZY452" s="741"/>
      <c r="GZZ452" s="741"/>
      <c r="HAA452" s="741"/>
      <c r="HAB452" s="741"/>
      <c r="HAC452" s="741"/>
      <c r="HAD452" s="741"/>
      <c r="HAE452" s="741"/>
      <c r="HAF452" s="741"/>
      <c r="HAG452" s="741"/>
      <c r="HAH452" s="741"/>
      <c r="HAI452" s="741"/>
      <c r="HAJ452" s="741"/>
      <c r="HAK452" s="741"/>
      <c r="HAL452" s="741"/>
      <c r="HAM452" s="741"/>
      <c r="HAN452" s="741"/>
      <c r="HAO452" s="741"/>
      <c r="HAP452" s="741"/>
      <c r="HAQ452" s="741"/>
      <c r="HAR452" s="741"/>
      <c r="HAS452" s="741"/>
      <c r="HAT452" s="741"/>
      <c r="HAU452" s="741"/>
      <c r="HAV452" s="741"/>
      <c r="HAW452" s="741"/>
      <c r="HAX452" s="741"/>
      <c r="HAY452" s="741"/>
      <c r="HAZ452" s="741"/>
      <c r="HBA452" s="741"/>
      <c r="HBB452" s="741"/>
      <c r="HBC452" s="741"/>
      <c r="HBD452" s="741"/>
      <c r="HBE452" s="741"/>
      <c r="HBF452" s="741"/>
      <c r="HBG452" s="741"/>
      <c r="HBH452" s="741"/>
      <c r="HBI452" s="741"/>
      <c r="HBJ452" s="741"/>
      <c r="HBK452" s="741"/>
      <c r="HBL452" s="741"/>
      <c r="HBM452" s="741"/>
      <c r="HBN452" s="741"/>
      <c r="HBO452" s="741"/>
      <c r="HBP452" s="741"/>
      <c r="HBQ452" s="741"/>
      <c r="HBR452" s="741"/>
      <c r="HBS452" s="741"/>
      <c r="HBT452" s="741"/>
      <c r="HBU452" s="741"/>
      <c r="HBV452" s="741"/>
      <c r="HBW452" s="741"/>
      <c r="HBX452" s="741"/>
      <c r="HBY452" s="741"/>
      <c r="HBZ452" s="741"/>
      <c r="HCA452" s="741"/>
      <c r="HCB452" s="741"/>
      <c r="HCC452" s="741"/>
      <c r="HCD452" s="741"/>
      <c r="HCE452" s="741"/>
      <c r="HCF452" s="741"/>
      <c r="HCG452" s="741"/>
      <c r="HCH452" s="741"/>
      <c r="HCI452" s="741"/>
      <c r="HCJ452" s="741"/>
      <c r="HCK452" s="741"/>
      <c r="HCL452" s="741"/>
      <c r="HCM452" s="741"/>
      <c r="HCN452" s="741"/>
      <c r="HCO452" s="741"/>
      <c r="HCP452" s="741"/>
      <c r="HCQ452" s="741"/>
      <c r="HCR452" s="741"/>
      <c r="HCS452" s="741"/>
      <c r="HCT452" s="741"/>
      <c r="HCU452" s="741"/>
      <c r="HCV452" s="741"/>
      <c r="HCW452" s="741"/>
      <c r="HCX452" s="741"/>
      <c r="HCY452" s="741"/>
      <c r="HCZ452" s="741"/>
      <c r="HDA452" s="741"/>
      <c r="HDB452" s="741"/>
      <c r="HDC452" s="741"/>
      <c r="HDD452" s="741"/>
      <c r="HDE452" s="741"/>
      <c r="HDF452" s="741"/>
      <c r="HDG452" s="741"/>
      <c r="HDH452" s="741"/>
      <c r="HDI452" s="741"/>
      <c r="HDJ452" s="741"/>
      <c r="HDK452" s="741"/>
      <c r="HDL452" s="741"/>
      <c r="HDM452" s="741"/>
      <c r="HDN452" s="741"/>
      <c r="HDO452" s="741"/>
      <c r="HDP452" s="741"/>
      <c r="HDQ452" s="741"/>
      <c r="HDR452" s="741"/>
      <c r="HDS452" s="741"/>
      <c r="HDT452" s="741"/>
      <c r="HDU452" s="741"/>
      <c r="HDV452" s="741"/>
      <c r="HDW452" s="741"/>
      <c r="HDX452" s="741"/>
      <c r="HDY452" s="741"/>
      <c r="HDZ452" s="741"/>
      <c r="HEA452" s="741"/>
      <c r="HEB452" s="741"/>
      <c r="HEC452" s="741"/>
      <c r="HED452" s="741"/>
      <c r="HEE452" s="741"/>
      <c r="HEF452" s="741"/>
      <c r="HEG452" s="741"/>
      <c r="HEH452" s="741"/>
      <c r="HEI452" s="741"/>
      <c r="HEJ452" s="741"/>
      <c r="HEK452" s="741"/>
      <c r="HEL452" s="741"/>
      <c r="HEM452" s="741"/>
      <c r="HEN452" s="741"/>
      <c r="HEO452" s="741"/>
      <c r="HEP452" s="741"/>
      <c r="HEQ452" s="741"/>
      <c r="HER452" s="741"/>
      <c r="HES452" s="741"/>
      <c r="HET452" s="741"/>
      <c r="HEU452" s="741"/>
      <c r="HEV452" s="741"/>
      <c r="HEW452" s="741"/>
      <c r="HEX452" s="741"/>
      <c r="HEY452" s="741"/>
      <c r="HEZ452" s="741"/>
      <c r="HFA452" s="741"/>
      <c r="HFB452" s="741"/>
      <c r="HFC452" s="741"/>
      <c r="HFD452" s="741"/>
      <c r="HFE452" s="741"/>
      <c r="HFF452" s="741"/>
      <c r="HFG452" s="741"/>
      <c r="HFH452" s="741"/>
      <c r="HFI452" s="741"/>
      <c r="HFJ452" s="741"/>
      <c r="HFK452" s="741"/>
      <c r="HFL452" s="741"/>
      <c r="HFM452" s="741"/>
      <c r="HFN452" s="741"/>
      <c r="HFO452" s="741"/>
      <c r="HFP452" s="741"/>
      <c r="HFQ452" s="741"/>
      <c r="HFR452" s="741"/>
      <c r="HFS452" s="741"/>
      <c r="HFT452" s="741"/>
      <c r="HFU452" s="741"/>
      <c r="HFV452" s="741"/>
      <c r="HFW452" s="741"/>
      <c r="HFX452" s="741"/>
      <c r="HFY452" s="741"/>
      <c r="HFZ452" s="741"/>
      <c r="HGA452" s="741"/>
      <c r="HGB452" s="741"/>
      <c r="HGC452" s="741"/>
      <c r="HGD452" s="741"/>
      <c r="HGE452" s="741"/>
      <c r="HGF452" s="741"/>
      <c r="HGG452" s="741"/>
      <c r="HGH452" s="741"/>
      <c r="HGI452" s="741"/>
      <c r="HGJ452" s="741"/>
      <c r="HGK452" s="741"/>
      <c r="HGL452" s="741"/>
      <c r="HGM452" s="741"/>
      <c r="HGN452" s="741"/>
      <c r="HGO452" s="741"/>
      <c r="HGP452" s="741"/>
      <c r="HGQ452" s="741"/>
      <c r="HGR452" s="741"/>
      <c r="HGS452" s="741"/>
      <c r="HGT452" s="741"/>
      <c r="HGU452" s="741"/>
      <c r="HGV452" s="741"/>
      <c r="HGW452" s="741"/>
      <c r="HGX452" s="741"/>
      <c r="HGY452" s="741"/>
      <c r="HGZ452" s="741"/>
      <c r="HHA452" s="741"/>
      <c r="HHB452" s="741"/>
      <c r="HHC452" s="741"/>
      <c r="HHD452" s="741"/>
      <c r="HHE452" s="741"/>
      <c r="HHF452" s="741"/>
      <c r="HHG452" s="741"/>
      <c r="HHH452" s="741"/>
      <c r="HHI452" s="741"/>
      <c r="HHJ452" s="741"/>
      <c r="HHK452" s="741"/>
      <c r="HHL452" s="741"/>
      <c r="HHM452" s="741"/>
      <c r="HHN452" s="741"/>
      <c r="HHO452" s="741"/>
      <c r="HHP452" s="741"/>
      <c r="HHQ452" s="741"/>
      <c r="HHR452" s="741"/>
      <c r="HHS452" s="741"/>
      <c r="HHT452" s="741"/>
      <c r="HHU452" s="741"/>
      <c r="HHV452" s="741"/>
      <c r="HHW452" s="741"/>
      <c r="HHX452" s="741"/>
      <c r="HHY452" s="741"/>
      <c r="HHZ452" s="741"/>
      <c r="HIA452" s="741"/>
      <c r="HIB452" s="741"/>
      <c r="HIC452" s="741"/>
      <c r="HID452" s="741"/>
      <c r="HIE452" s="741"/>
      <c r="HIF452" s="741"/>
      <c r="HIG452" s="741"/>
      <c r="HIH452" s="741"/>
      <c r="HII452" s="741"/>
      <c r="HIJ452" s="741"/>
      <c r="HIK452" s="741"/>
      <c r="HIL452" s="741"/>
      <c r="HIM452" s="741"/>
      <c r="HIN452" s="741"/>
      <c r="HIO452" s="741"/>
      <c r="HIP452" s="741"/>
      <c r="HIQ452" s="741"/>
      <c r="HIR452" s="741"/>
      <c r="HIS452" s="741"/>
      <c r="HIT452" s="741"/>
      <c r="HIU452" s="741"/>
      <c r="HIV452" s="741"/>
      <c r="HIW452" s="741"/>
      <c r="HIX452" s="741"/>
      <c r="HIY452" s="741"/>
      <c r="HIZ452" s="741"/>
      <c r="HJA452" s="741"/>
      <c r="HJB452" s="741"/>
      <c r="HJC452" s="741"/>
      <c r="HJD452" s="741"/>
      <c r="HJE452" s="741"/>
      <c r="HJF452" s="741"/>
      <c r="HJG452" s="741"/>
      <c r="HJH452" s="741"/>
      <c r="HJI452" s="741"/>
      <c r="HJJ452" s="741"/>
      <c r="HJK452" s="741"/>
      <c r="HJL452" s="741"/>
      <c r="HJM452" s="741"/>
      <c r="HJN452" s="741"/>
      <c r="HJO452" s="741"/>
      <c r="HJP452" s="741"/>
      <c r="HJQ452" s="741"/>
      <c r="HJR452" s="741"/>
      <c r="HJS452" s="741"/>
      <c r="HJT452" s="741"/>
      <c r="HJU452" s="741"/>
      <c r="HJV452" s="741"/>
      <c r="HJW452" s="741"/>
      <c r="HJX452" s="741"/>
      <c r="HJY452" s="741"/>
      <c r="HJZ452" s="741"/>
      <c r="HKA452" s="741"/>
      <c r="HKB452" s="741"/>
      <c r="HKC452" s="741"/>
      <c r="HKD452" s="741"/>
      <c r="HKE452" s="741"/>
      <c r="HKF452" s="741"/>
      <c r="HKG452" s="741"/>
      <c r="HKH452" s="741"/>
      <c r="HKI452" s="741"/>
      <c r="HKJ452" s="741"/>
      <c r="HKK452" s="741"/>
      <c r="HKL452" s="741"/>
      <c r="HKM452" s="741"/>
      <c r="HKN452" s="741"/>
      <c r="HKO452" s="741"/>
      <c r="HKP452" s="741"/>
      <c r="HKQ452" s="741"/>
      <c r="HKR452" s="741"/>
      <c r="HKS452" s="741"/>
      <c r="HKT452" s="741"/>
      <c r="HKU452" s="741"/>
      <c r="HKV452" s="741"/>
      <c r="HKW452" s="741"/>
      <c r="HKX452" s="741"/>
      <c r="HKY452" s="741"/>
      <c r="HKZ452" s="741"/>
      <c r="HLA452" s="741"/>
      <c r="HLB452" s="741"/>
      <c r="HLC452" s="741"/>
      <c r="HLD452" s="741"/>
      <c r="HLE452" s="741"/>
      <c r="HLF452" s="741"/>
      <c r="HLG452" s="741"/>
      <c r="HLH452" s="741"/>
      <c r="HLI452" s="741"/>
      <c r="HLJ452" s="741"/>
      <c r="HLK452" s="741"/>
      <c r="HLL452" s="741"/>
      <c r="HLM452" s="741"/>
      <c r="HLN452" s="741"/>
      <c r="HLO452" s="741"/>
      <c r="HLP452" s="741"/>
      <c r="HLQ452" s="741"/>
      <c r="HLR452" s="741"/>
      <c r="HLS452" s="741"/>
      <c r="HLT452" s="741"/>
      <c r="HLU452" s="741"/>
      <c r="HLV452" s="741"/>
      <c r="HLW452" s="741"/>
      <c r="HLX452" s="741"/>
      <c r="HLY452" s="741"/>
      <c r="HLZ452" s="741"/>
      <c r="HMA452" s="741"/>
      <c r="HMB452" s="741"/>
      <c r="HMC452" s="741"/>
      <c r="HMD452" s="741"/>
      <c r="HME452" s="741"/>
      <c r="HMF452" s="741"/>
      <c r="HMG452" s="741"/>
      <c r="HMH452" s="741"/>
      <c r="HMI452" s="741"/>
      <c r="HMJ452" s="741"/>
      <c r="HMK452" s="741"/>
      <c r="HML452" s="741"/>
      <c r="HMM452" s="741"/>
      <c r="HMN452" s="741"/>
      <c r="HMO452" s="741"/>
      <c r="HMP452" s="741"/>
      <c r="HMQ452" s="741"/>
      <c r="HMR452" s="741"/>
      <c r="HMS452" s="741"/>
      <c r="HMT452" s="741"/>
      <c r="HMU452" s="741"/>
      <c r="HMV452" s="741"/>
      <c r="HMW452" s="741"/>
      <c r="HMX452" s="741"/>
      <c r="HMY452" s="741"/>
      <c r="HMZ452" s="741"/>
      <c r="HNA452" s="741"/>
      <c r="HNB452" s="741"/>
      <c r="HNC452" s="741"/>
      <c r="HND452" s="741"/>
      <c r="HNE452" s="741"/>
      <c r="HNF452" s="741"/>
      <c r="HNG452" s="741"/>
      <c r="HNH452" s="741"/>
      <c r="HNI452" s="741"/>
      <c r="HNJ452" s="741"/>
      <c r="HNK452" s="741"/>
      <c r="HNL452" s="741"/>
      <c r="HNM452" s="741"/>
      <c r="HNN452" s="741"/>
      <c r="HNO452" s="741"/>
      <c r="HNP452" s="741"/>
      <c r="HNQ452" s="741"/>
      <c r="HNR452" s="741"/>
      <c r="HNS452" s="741"/>
      <c r="HNT452" s="741"/>
      <c r="HNU452" s="741"/>
      <c r="HNV452" s="741"/>
      <c r="HNW452" s="741"/>
      <c r="HNX452" s="741"/>
      <c r="HNY452" s="741"/>
      <c r="HNZ452" s="741"/>
      <c r="HOA452" s="741"/>
      <c r="HOB452" s="741"/>
      <c r="HOC452" s="741"/>
      <c r="HOD452" s="741"/>
      <c r="HOE452" s="741"/>
      <c r="HOF452" s="741"/>
      <c r="HOG452" s="741"/>
      <c r="HOH452" s="741"/>
      <c r="HOI452" s="741"/>
      <c r="HOJ452" s="741"/>
      <c r="HOK452" s="741"/>
      <c r="HOL452" s="741"/>
      <c r="HOM452" s="741"/>
      <c r="HON452" s="741"/>
      <c r="HOO452" s="741"/>
      <c r="HOP452" s="741"/>
      <c r="HOQ452" s="741"/>
      <c r="HOR452" s="741"/>
      <c r="HOS452" s="741"/>
      <c r="HOT452" s="741"/>
      <c r="HOU452" s="741"/>
      <c r="HOV452" s="741"/>
      <c r="HOW452" s="741"/>
      <c r="HOX452" s="741"/>
      <c r="HOY452" s="741"/>
      <c r="HOZ452" s="741"/>
      <c r="HPA452" s="741"/>
      <c r="HPB452" s="741"/>
      <c r="HPC452" s="741"/>
      <c r="HPD452" s="741"/>
      <c r="HPE452" s="741"/>
      <c r="HPF452" s="741"/>
      <c r="HPG452" s="741"/>
      <c r="HPH452" s="741"/>
      <c r="HPI452" s="741"/>
      <c r="HPJ452" s="741"/>
      <c r="HPK452" s="741"/>
      <c r="HPL452" s="741"/>
      <c r="HPM452" s="741"/>
      <c r="HPN452" s="741"/>
      <c r="HPO452" s="741"/>
      <c r="HPP452" s="741"/>
      <c r="HPQ452" s="741"/>
      <c r="HPR452" s="741"/>
      <c r="HPS452" s="741"/>
      <c r="HPT452" s="741"/>
      <c r="HPU452" s="741"/>
      <c r="HPV452" s="741"/>
      <c r="HPW452" s="741"/>
      <c r="HPX452" s="741"/>
      <c r="HPY452" s="741"/>
      <c r="HPZ452" s="741"/>
      <c r="HQA452" s="741"/>
      <c r="HQB452" s="741"/>
      <c r="HQC452" s="741"/>
      <c r="HQD452" s="741"/>
      <c r="HQE452" s="741"/>
      <c r="HQF452" s="741"/>
      <c r="HQG452" s="741"/>
      <c r="HQH452" s="741"/>
      <c r="HQI452" s="741"/>
      <c r="HQJ452" s="741"/>
      <c r="HQK452" s="741"/>
      <c r="HQL452" s="741"/>
      <c r="HQM452" s="741"/>
      <c r="HQN452" s="741"/>
      <c r="HQO452" s="741"/>
      <c r="HQP452" s="741"/>
      <c r="HQQ452" s="741"/>
      <c r="HQR452" s="741"/>
      <c r="HQS452" s="741"/>
      <c r="HQT452" s="741"/>
      <c r="HQU452" s="741"/>
      <c r="HQV452" s="741"/>
      <c r="HQW452" s="741"/>
      <c r="HQX452" s="741"/>
      <c r="HQY452" s="741"/>
      <c r="HQZ452" s="741"/>
      <c r="HRA452" s="741"/>
      <c r="HRB452" s="741"/>
      <c r="HRC452" s="741"/>
      <c r="HRD452" s="741"/>
      <c r="HRE452" s="741"/>
      <c r="HRF452" s="741"/>
      <c r="HRG452" s="741"/>
      <c r="HRH452" s="741"/>
      <c r="HRI452" s="741"/>
      <c r="HRJ452" s="741"/>
      <c r="HRK452" s="741"/>
      <c r="HRL452" s="741"/>
      <c r="HRM452" s="741"/>
      <c r="HRN452" s="741"/>
      <c r="HRO452" s="741"/>
      <c r="HRP452" s="741"/>
      <c r="HRQ452" s="741"/>
      <c r="HRR452" s="741"/>
      <c r="HRS452" s="741"/>
      <c r="HRT452" s="741"/>
      <c r="HRU452" s="741"/>
      <c r="HRV452" s="741"/>
      <c r="HRW452" s="741"/>
      <c r="HRX452" s="741"/>
      <c r="HRY452" s="741"/>
      <c r="HRZ452" s="741"/>
      <c r="HSA452" s="741"/>
      <c r="HSB452" s="741"/>
      <c r="HSC452" s="741"/>
      <c r="HSD452" s="741"/>
      <c r="HSE452" s="741"/>
      <c r="HSF452" s="741"/>
      <c r="HSG452" s="741"/>
      <c r="HSH452" s="741"/>
      <c r="HSI452" s="741"/>
      <c r="HSJ452" s="741"/>
      <c r="HSK452" s="741"/>
      <c r="HSL452" s="741"/>
      <c r="HSM452" s="741"/>
      <c r="HSN452" s="741"/>
      <c r="HSO452" s="741"/>
      <c r="HSP452" s="741"/>
      <c r="HSQ452" s="741"/>
      <c r="HSR452" s="741"/>
      <c r="HSS452" s="741"/>
      <c r="HST452" s="741"/>
      <c r="HSU452" s="741"/>
      <c r="HSV452" s="741"/>
      <c r="HSW452" s="741"/>
      <c r="HSX452" s="741"/>
      <c r="HSY452" s="741"/>
      <c r="HSZ452" s="741"/>
      <c r="HTA452" s="741"/>
      <c r="HTB452" s="741"/>
      <c r="HTC452" s="741"/>
      <c r="HTD452" s="741"/>
      <c r="HTE452" s="741"/>
      <c r="HTF452" s="741"/>
      <c r="HTG452" s="741"/>
      <c r="HTH452" s="741"/>
      <c r="HTI452" s="741"/>
      <c r="HTJ452" s="741"/>
      <c r="HTK452" s="741"/>
      <c r="HTL452" s="741"/>
      <c r="HTM452" s="741"/>
      <c r="HTN452" s="741"/>
      <c r="HTO452" s="741"/>
      <c r="HTP452" s="741"/>
      <c r="HTQ452" s="741"/>
      <c r="HTR452" s="741"/>
      <c r="HTS452" s="741"/>
      <c r="HTT452" s="741"/>
      <c r="HTU452" s="741"/>
      <c r="HTV452" s="741"/>
      <c r="HTW452" s="741"/>
      <c r="HTX452" s="741"/>
      <c r="HTY452" s="741"/>
      <c r="HTZ452" s="741"/>
      <c r="HUA452" s="741"/>
      <c r="HUB452" s="741"/>
      <c r="HUC452" s="741"/>
      <c r="HUD452" s="741"/>
      <c r="HUE452" s="741"/>
      <c r="HUF452" s="741"/>
      <c r="HUG452" s="741"/>
      <c r="HUH452" s="741"/>
      <c r="HUI452" s="741"/>
      <c r="HUJ452" s="741"/>
      <c r="HUK452" s="741"/>
      <c r="HUL452" s="741"/>
      <c r="HUM452" s="741"/>
      <c r="HUN452" s="741"/>
      <c r="HUO452" s="741"/>
      <c r="HUP452" s="741"/>
      <c r="HUQ452" s="741"/>
      <c r="HUR452" s="741"/>
      <c r="HUS452" s="741"/>
      <c r="HUT452" s="741"/>
      <c r="HUU452" s="741"/>
      <c r="HUV452" s="741"/>
      <c r="HUW452" s="741"/>
      <c r="HUX452" s="741"/>
      <c r="HUY452" s="741"/>
      <c r="HUZ452" s="741"/>
      <c r="HVA452" s="741"/>
      <c r="HVB452" s="741"/>
      <c r="HVC452" s="741"/>
      <c r="HVD452" s="741"/>
      <c r="HVE452" s="741"/>
      <c r="HVF452" s="741"/>
      <c r="HVG452" s="741"/>
      <c r="HVH452" s="741"/>
      <c r="HVI452" s="741"/>
      <c r="HVJ452" s="741"/>
      <c r="HVK452" s="741"/>
      <c r="HVL452" s="741"/>
      <c r="HVM452" s="741"/>
      <c r="HVN452" s="741"/>
      <c r="HVO452" s="741"/>
      <c r="HVP452" s="741"/>
      <c r="HVQ452" s="741"/>
      <c r="HVR452" s="741"/>
      <c r="HVS452" s="741"/>
      <c r="HVT452" s="741"/>
      <c r="HVU452" s="741"/>
      <c r="HVV452" s="741"/>
      <c r="HVW452" s="741"/>
      <c r="HVX452" s="741"/>
      <c r="HVY452" s="741"/>
      <c r="HVZ452" s="741"/>
      <c r="HWA452" s="741"/>
      <c r="HWB452" s="741"/>
      <c r="HWC452" s="741"/>
      <c r="HWD452" s="741"/>
      <c r="HWE452" s="741"/>
      <c r="HWF452" s="741"/>
      <c r="HWG452" s="741"/>
      <c r="HWH452" s="741"/>
      <c r="HWI452" s="741"/>
      <c r="HWJ452" s="741"/>
      <c r="HWK452" s="741"/>
      <c r="HWL452" s="741"/>
      <c r="HWM452" s="741"/>
      <c r="HWN452" s="741"/>
      <c r="HWO452" s="741"/>
      <c r="HWP452" s="741"/>
      <c r="HWQ452" s="741"/>
      <c r="HWR452" s="741"/>
      <c r="HWS452" s="741"/>
      <c r="HWT452" s="741"/>
      <c r="HWU452" s="741"/>
      <c r="HWV452" s="741"/>
      <c r="HWW452" s="741"/>
      <c r="HWX452" s="741"/>
      <c r="HWY452" s="741"/>
      <c r="HWZ452" s="741"/>
      <c r="HXA452" s="741"/>
      <c r="HXB452" s="741"/>
      <c r="HXC452" s="741"/>
      <c r="HXD452" s="741"/>
      <c r="HXE452" s="741"/>
      <c r="HXF452" s="741"/>
      <c r="HXG452" s="741"/>
      <c r="HXH452" s="741"/>
      <c r="HXI452" s="741"/>
      <c r="HXJ452" s="741"/>
      <c r="HXK452" s="741"/>
      <c r="HXL452" s="741"/>
      <c r="HXM452" s="741"/>
      <c r="HXN452" s="741"/>
      <c r="HXO452" s="741"/>
      <c r="HXP452" s="741"/>
      <c r="HXQ452" s="741"/>
      <c r="HXR452" s="741"/>
      <c r="HXS452" s="741"/>
      <c r="HXT452" s="741"/>
      <c r="HXU452" s="741"/>
      <c r="HXV452" s="741"/>
      <c r="HXW452" s="741"/>
      <c r="HXX452" s="741"/>
      <c r="HXY452" s="741"/>
      <c r="HXZ452" s="741"/>
      <c r="HYA452" s="741"/>
      <c r="HYB452" s="741"/>
      <c r="HYC452" s="741"/>
      <c r="HYD452" s="741"/>
      <c r="HYE452" s="741"/>
      <c r="HYF452" s="741"/>
      <c r="HYG452" s="741"/>
      <c r="HYH452" s="741"/>
      <c r="HYI452" s="741"/>
      <c r="HYJ452" s="741"/>
      <c r="HYK452" s="741"/>
      <c r="HYL452" s="741"/>
      <c r="HYM452" s="741"/>
      <c r="HYN452" s="741"/>
      <c r="HYO452" s="741"/>
      <c r="HYP452" s="741"/>
      <c r="HYQ452" s="741"/>
      <c r="HYR452" s="741"/>
      <c r="HYS452" s="741"/>
      <c r="HYT452" s="741"/>
      <c r="HYU452" s="741"/>
      <c r="HYV452" s="741"/>
      <c r="HYW452" s="741"/>
      <c r="HYX452" s="741"/>
      <c r="HYY452" s="741"/>
      <c r="HYZ452" s="741"/>
      <c r="HZA452" s="741"/>
      <c r="HZB452" s="741"/>
      <c r="HZC452" s="741"/>
      <c r="HZD452" s="741"/>
      <c r="HZE452" s="741"/>
      <c r="HZF452" s="741"/>
      <c r="HZG452" s="741"/>
      <c r="HZH452" s="741"/>
      <c r="HZI452" s="741"/>
      <c r="HZJ452" s="741"/>
      <c r="HZK452" s="741"/>
      <c r="HZL452" s="741"/>
      <c r="HZM452" s="741"/>
      <c r="HZN452" s="741"/>
      <c r="HZO452" s="741"/>
      <c r="HZP452" s="741"/>
      <c r="HZQ452" s="741"/>
      <c r="HZR452" s="741"/>
      <c r="HZS452" s="741"/>
      <c r="HZT452" s="741"/>
      <c r="HZU452" s="741"/>
      <c r="HZV452" s="741"/>
      <c r="HZW452" s="741"/>
      <c r="HZX452" s="741"/>
      <c r="HZY452" s="741"/>
      <c r="HZZ452" s="741"/>
      <c r="IAA452" s="741"/>
      <c r="IAB452" s="741"/>
      <c r="IAC452" s="741"/>
      <c r="IAD452" s="741"/>
      <c r="IAE452" s="741"/>
      <c r="IAF452" s="741"/>
      <c r="IAG452" s="741"/>
      <c r="IAH452" s="741"/>
      <c r="IAI452" s="741"/>
      <c r="IAJ452" s="741"/>
      <c r="IAK452" s="741"/>
      <c r="IAL452" s="741"/>
      <c r="IAM452" s="741"/>
      <c r="IAN452" s="741"/>
      <c r="IAO452" s="741"/>
      <c r="IAP452" s="741"/>
      <c r="IAQ452" s="741"/>
      <c r="IAR452" s="741"/>
      <c r="IAS452" s="741"/>
      <c r="IAT452" s="741"/>
      <c r="IAU452" s="741"/>
      <c r="IAV452" s="741"/>
      <c r="IAW452" s="741"/>
      <c r="IAX452" s="741"/>
      <c r="IAY452" s="741"/>
      <c r="IAZ452" s="741"/>
      <c r="IBA452" s="741"/>
      <c r="IBB452" s="741"/>
      <c r="IBC452" s="741"/>
      <c r="IBD452" s="741"/>
      <c r="IBE452" s="741"/>
      <c r="IBF452" s="741"/>
      <c r="IBG452" s="741"/>
      <c r="IBH452" s="741"/>
      <c r="IBI452" s="741"/>
      <c r="IBJ452" s="741"/>
      <c r="IBK452" s="741"/>
      <c r="IBL452" s="741"/>
      <c r="IBM452" s="741"/>
      <c r="IBN452" s="741"/>
      <c r="IBO452" s="741"/>
      <c r="IBP452" s="741"/>
      <c r="IBQ452" s="741"/>
      <c r="IBR452" s="741"/>
      <c r="IBS452" s="741"/>
      <c r="IBT452" s="741"/>
      <c r="IBU452" s="741"/>
      <c r="IBV452" s="741"/>
      <c r="IBW452" s="741"/>
      <c r="IBX452" s="741"/>
      <c r="IBY452" s="741"/>
      <c r="IBZ452" s="741"/>
      <c r="ICA452" s="741"/>
      <c r="ICB452" s="741"/>
      <c r="ICC452" s="741"/>
      <c r="ICD452" s="741"/>
      <c r="ICE452" s="741"/>
      <c r="ICF452" s="741"/>
      <c r="ICG452" s="741"/>
      <c r="ICH452" s="741"/>
      <c r="ICI452" s="741"/>
      <c r="ICJ452" s="741"/>
      <c r="ICK452" s="741"/>
      <c r="ICL452" s="741"/>
      <c r="ICM452" s="741"/>
      <c r="ICN452" s="741"/>
      <c r="ICO452" s="741"/>
      <c r="ICP452" s="741"/>
      <c r="ICQ452" s="741"/>
      <c r="ICR452" s="741"/>
      <c r="ICS452" s="741"/>
      <c r="ICT452" s="741"/>
      <c r="ICU452" s="741"/>
      <c r="ICV452" s="741"/>
      <c r="ICW452" s="741"/>
      <c r="ICX452" s="741"/>
      <c r="ICY452" s="741"/>
      <c r="ICZ452" s="741"/>
      <c r="IDA452" s="741"/>
      <c r="IDB452" s="741"/>
      <c r="IDC452" s="741"/>
      <c r="IDD452" s="741"/>
      <c r="IDE452" s="741"/>
      <c r="IDF452" s="741"/>
      <c r="IDG452" s="741"/>
      <c r="IDH452" s="741"/>
      <c r="IDI452" s="741"/>
      <c r="IDJ452" s="741"/>
      <c r="IDK452" s="741"/>
      <c r="IDL452" s="741"/>
      <c r="IDM452" s="741"/>
      <c r="IDN452" s="741"/>
      <c r="IDO452" s="741"/>
      <c r="IDP452" s="741"/>
      <c r="IDQ452" s="741"/>
      <c r="IDR452" s="741"/>
      <c r="IDS452" s="741"/>
      <c r="IDT452" s="741"/>
      <c r="IDU452" s="741"/>
      <c r="IDV452" s="741"/>
      <c r="IDW452" s="741"/>
      <c r="IDX452" s="741"/>
      <c r="IDY452" s="741"/>
      <c r="IDZ452" s="741"/>
      <c r="IEA452" s="741"/>
      <c r="IEB452" s="741"/>
      <c r="IEC452" s="741"/>
      <c r="IED452" s="741"/>
      <c r="IEE452" s="741"/>
      <c r="IEF452" s="741"/>
      <c r="IEG452" s="741"/>
      <c r="IEH452" s="741"/>
      <c r="IEI452" s="741"/>
      <c r="IEJ452" s="741"/>
      <c r="IEK452" s="741"/>
      <c r="IEL452" s="741"/>
      <c r="IEM452" s="741"/>
      <c r="IEN452" s="741"/>
      <c r="IEO452" s="741"/>
      <c r="IEP452" s="741"/>
      <c r="IEQ452" s="741"/>
      <c r="IER452" s="741"/>
      <c r="IES452" s="741"/>
      <c r="IET452" s="741"/>
      <c r="IEU452" s="741"/>
      <c r="IEV452" s="741"/>
      <c r="IEW452" s="741"/>
      <c r="IEX452" s="741"/>
      <c r="IEY452" s="741"/>
      <c r="IEZ452" s="741"/>
      <c r="IFA452" s="741"/>
      <c r="IFB452" s="741"/>
      <c r="IFC452" s="741"/>
      <c r="IFD452" s="741"/>
      <c r="IFE452" s="741"/>
      <c r="IFF452" s="741"/>
      <c r="IFG452" s="741"/>
      <c r="IFH452" s="741"/>
      <c r="IFI452" s="741"/>
      <c r="IFJ452" s="741"/>
      <c r="IFK452" s="741"/>
      <c r="IFL452" s="741"/>
      <c r="IFM452" s="741"/>
      <c r="IFN452" s="741"/>
      <c r="IFO452" s="741"/>
      <c r="IFP452" s="741"/>
      <c r="IFQ452" s="741"/>
      <c r="IFR452" s="741"/>
      <c r="IFS452" s="741"/>
      <c r="IFT452" s="741"/>
      <c r="IFU452" s="741"/>
      <c r="IFV452" s="741"/>
      <c r="IFW452" s="741"/>
      <c r="IFX452" s="741"/>
      <c r="IFY452" s="741"/>
      <c r="IFZ452" s="741"/>
      <c r="IGA452" s="741"/>
      <c r="IGB452" s="741"/>
      <c r="IGC452" s="741"/>
      <c r="IGD452" s="741"/>
      <c r="IGE452" s="741"/>
      <c r="IGF452" s="741"/>
      <c r="IGG452" s="741"/>
      <c r="IGH452" s="741"/>
      <c r="IGI452" s="741"/>
      <c r="IGJ452" s="741"/>
      <c r="IGK452" s="741"/>
      <c r="IGL452" s="741"/>
      <c r="IGM452" s="741"/>
      <c r="IGN452" s="741"/>
      <c r="IGO452" s="741"/>
      <c r="IGP452" s="741"/>
      <c r="IGQ452" s="741"/>
      <c r="IGR452" s="741"/>
      <c r="IGS452" s="741"/>
      <c r="IGT452" s="741"/>
      <c r="IGU452" s="741"/>
      <c r="IGV452" s="741"/>
      <c r="IGW452" s="741"/>
      <c r="IGX452" s="741"/>
      <c r="IGY452" s="741"/>
      <c r="IGZ452" s="741"/>
      <c r="IHA452" s="741"/>
      <c r="IHB452" s="741"/>
      <c r="IHC452" s="741"/>
      <c r="IHD452" s="741"/>
      <c r="IHE452" s="741"/>
      <c r="IHF452" s="741"/>
      <c r="IHG452" s="741"/>
      <c r="IHH452" s="741"/>
      <c r="IHI452" s="741"/>
      <c r="IHJ452" s="741"/>
      <c r="IHK452" s="741"/>
      <c r="IHL452" s="741"/>
      <c r="IHM452" s="741"/>
      <c r="IHN452" s="741"/>
      <c r="IHO452" s="741"/>
      <c r="IHP452" s="741"/>
      <c r="IHQ452" s="741"/>
      <c r="IHR452" s="741"/>
      <c r="IHS452" s="741"/>
      <c r="IHT452" s="741"/>
      <c r="IHU452" s="741"/>
      <c r="IHV452" s="741"/>
      <c r="IHW452" s="741"/>
      <c r="IHX452" s="741"/>
      <c r="IHY452" s="741"/>
      <c r="IHZ452" s="741"/>
      <c r="IIA452" s="741"/>
      <c r="IIB452" s="741"/>
      <c r="IIC452" s="741"/>
      <c r="IID452" s="741"/>
      <c r="IIE452" s="741"/>
      <c r="IIF452" s="741"/>
      <c r="IIG452" s="741"/>
      <c r="IIH452" s="741"/>
      <c r="III452" s="741"/>
      <c r="IIJ452" s="741"/>
      <c r="IIK452" s="741"/>
      <c r="IIL452" s="741"/>
      <c r="IIM452" s="741"/>
      <c r="IIN452" s="741"/>
      <c r="IIO452" s="741"/>
      <c r="IIP452" s="741"/>
      <c r="IIQ452" s="741"/>
      <c r="IIR452" s="741"/>
      <c r="IIS452" s="741"/>
      <c r="IIT452" s="741"/>
      <c r="IIU452" s="741"/>
      <c r="IIV452" s="741"/>
      <c r="IIW452" s="741"/>
      <c r="IIX452" s="741"/>
      <c r="IIY452" s="741"/>
      <c r="IIZ452" s="741"/>
      <c r="IJA452" s="741"/>
      <c r="IJB452" s="741"/>
      <c r="IJC452" s="741"/>
      <c r="IJD452" s="741"/>
      <c r="IJE452" s="741"/>
      <c r="IJF452" s="741"/>
      <c r="IJG452" s="741"/>
      <c r="IJH452" s="741"/>
      <c r="IJI452" s="741"/>
      <c r="IJJ452" s="741"/>
      <c r="IJK452" s="741"/>
      <c r="IJL452" s="741"/>
      <c r="IJM452" s="741"/>
      <c r="IJN452" s="741"/>
      <c r="IJO452" s="741"/>
      <c r="IJP452" s="741"/>
      <c r="IJQ452" s="741"/>
      <c r="IJR452" s="741"/>
      <c r="IJS452" s="741"/>
      <c r="IJT452" s="741"/>
      <c r="IJU452" s="741"/>
      <c r="IJV452" s="741"/>
      <c r="IJW452" s="741"/>
      <c r="IJX452" s="741"/>
      <c r="IJY452" s="741"/>
      <c r="IJZ452" s="741"/>
      <c r="IKA452" s="741"/>
      <c r="IKB452" s="741"/>
      <c r="IKC452" s="741"/>
      <c r="IKD452" s="741"/>
      <c r="IKE452" s="741"/>
      <c r="IKF452" s="741"/>
      <c r="IKG452" s="741"/>
      <c r="IKH452" s="741"/>
      <c r="IKI452" s="741"/>
      <c r="IKJ452" s="741"/>
      <c r="IKK452" s="741"/>
      <c r="IKL452" s="741"/>
      <c r="IKM452" s="741"/>
      <c r="IKN452" s="741"/>
      <c r="IKO452" s="741"/>
      <c r="IKP452" s="741"/>
      <c r="IKQ452" s="741"/>
      <c r="IKR452" s="741"/>
      <c r="IKS452" s="741"/>
      <c r="IKT452" s="741"/>
      <c r="IKU452" s="741"/>
      <c r="IKV452" s="741"/>
      <c r="IKW452" s="741"/>
      <c r="IKX452" s="741"/>
      <c r="IKY452" s="741"/>
      <c r="IKZ452" s="741"/>
      <c r="ILA452" s="741"/>
      <c r="ILB452" s="741"/>
      <c r="ILC452" s="741"/>
      <c r="ILD452" s="741"/>
      <c r="ILE452" s="741"/>
      <c r="ILF452" s="741"/>
      <c r="ILG452" s="741"/>
      <c r="ILH452" s="741"/>
      <c r="ILI452" s="741"/>
      <c r="ILJ452" s="741"/>
      <c r="ILK452" s="741"/>
      <c r="ILL452" s="741"/>
      <c r="ILM452" s="741"/>
      <c r="ILN452" s="741"/>
      <c r="ILO452" s="741"/>
      <c r="ILP452" s="741"/>
      <c r="ILQ452" s="741"/>
      <c r="ILR452" s="741"/>
      <c r="ILS452" s="741"/>
      <c r="ILT452" s="741"/>
      <c r="ILU452" s="741"/>
      <c r="ILV452" s="741"/>
      <c r="ILW452" s="741"/>
      <c r="ILX452" s="741"/>
      <c r="ILY452" s="741"/>
      <c r="ILZ452" s="741"/>
      <c r="IMA452" s="741"/>
      <c r="IMB452" s="741"/>
      <c r="IMC452" s="741"/>
      <c r="IMD452" s="741"/>
      <c r="IME452" s="741"/>
      <c r="IMF452" s="741"/>
      <c r="IMG452" s="741"/>
      <c r="IMH452" s="741"/>
      <c r="IMI452" s="741"/>
      <c r="IMJ452" s="741"/>
      <c r="IMK452" s="741"/>
      <c r="IML452" s="741"/>
      <c r="IMM452" s="741"/>
      <c r="IMN452" s="741"/>
      <c r="IMO452" s="741"/>
      <c r="IMP452" s="741"/>
      <c r="IMQ452" s="741"/>
      <c r="IMR452" s="741"/>
      <c r="IMS452" s="741"/>
      <c r="IMT452" s="741"/>
      <c r="IMU452" s="741"/>
      <c r="IMV452" s="741"/>
      <c r="IMW452" s="741"/>
      <c r="IMX452" s="741"/>
      <c r="IMY452" s="741"/>
      <c r="IMZ452" s="741"/>
      <c r="INA452" s="741"/>
      <c r="INB452" s="741"/>
      <c r="INC452" s="741"/>
      <c r="IND452" s="741"/>
      <c r="INE452" s="741"/>
      <c r="INF452" s="741"/>
      <c r="ING452" s="741"/>
      <c r="INH452" s="741"/>
      <c r="INI452" s="741"/>
      <c r="INJ452" s="741"/>
      <c r="INK452" s="741"/>
      <c r="INL452" s="741"/>
      <c r="INM452" s="741"/>
      <c r="INN452" s="741"/>
      <c r="INO452" s="741"/>
      <c r="INP452" s="741"/>
      <c r="INQ452" s="741"/>
      <c r="INR452" s="741"/>
      <c r="INS452" s="741"/>
      <c r="INT452" s="741"/>
      <c r="INU452" s="741"/>
      <c r="INV452" s="741"/>
      <c r="INW452" s="741"/>
      <c r="INX452" s="741"/>
      <c r="INY452" s="741"/>
      <c r="INZ452" s="741"/>
      <c r="IOA452" s="741"/>
      <c r="IOB452" s="741"/>
      <c r="IOC452" s="741"/>
      <c r="IOD452" s="741"/>
      <c r="IOE452" s="741"/>
      <c r="IOF452" s="741"/>
      <c r="IOG452" s="741"/>
      <c r="IOH452" s="741"/>
      <c r="IOI452" s="741"/>
      <c r="IOJ452" s="741"/>
      <c r="IOK452" s="741"/>
      <c r="IOL452" s="741"/>
      <c r="IOM452" s="741"/>
      <c r="ION452" s="741"/>
      <c r="IOO452" s="741"/>
      <c r="IOP452" s="741"/>
      <c r="IOQ452" s="741"/>
      <c r="IOR452" s="741"/>
      <c r="IOS452" s="741"/>
      <c r="IOT452" s="741"/>
      <c r="IOU452" s="741"/>
      <c r="IOV452" s="741"/>
      <c r="IOW452" s="741"/>
      <c r="IOX452" s="741"/>
      <c r="IOY452" s="741"/>
      <c r="IOZ452" s="741"/>
      <c r="IPA452" s="741"/>
      <c r="IPB452" s="741"/>
      <c r="IPC452" s="741"/>
      <c r="IPD452" s="741"/>
      <c r="IPE452" s="741"/>
      <c r="IPF452" s="741"/>
      <c r="IPG452" s="741"/>
      <c r="IPH452" s="741"/>
      <c r="IPI452" s="741"/>
      <c r="IPJ452" s="741"/>
      <c r="IPK452" s="741"/>
      <c r="IPL452" s="741"/>
      <c r="IPM452" s="741"/>
      <c r="IPN452" s="741"/>
      <c r="IPO452" s="741"/>
      <c r="IPP452" s="741"/>
      <c r="IPQ452" s="741"/>
      <c r="IPR452" s="741"/>
      <c r="IPS452" s="741"/>
      <c r="IPT452" s="741"/>
      <c r="IPU452" s="741"/>
      <c r="IPV452" s="741"/>
      <c r="IPW452" s="741"/>
      <c r="IPX452" s="741"/>
      <c r="IPY452" s="741"/>
      <c r="IPZ452" s="741"/>
      <c r="IQA452" s="741"/>
      <c r="IQB452" s="741"/>
      <c r="IQC452" s="741"/>
      <c r="IQD452" s="741"/>
      <c r="IQE452" s="741"/>
      <c r="IQF452" s="741"/>
      <c r="IQG452" s="741"/>
      <c r="IQH452" s="741"/>
      <c r="IQI452" s="741"/>
      <c r="IQJ452" s="741"/>
      <c r="IQK452" s="741"/>
      <c r="IQL452" s="741"/>
      <c r="IQM452" s="741"/>
      <c r="IQN452" s="741"/>
      <c r="IQO452" s="741"/>
      <c r="IQP452" s="741"/>
      <c r="IQQ452" s="741"/>
      <c r="IQR452" s="741"/>
      <c r="IQS452" s="741"/>
      <c r="IQT452" s="741"/>
      <c r="IQU452" s="741"/>
      <c r="IQV452" s="741"/>
      <c r="IQW452" s="741"/>
      <c r="IQX452" s="741"/>
      <c r="IQY452" s="741"/>
      <c r="IQZ452" s="741"/>
      <c r="IRA452" s="741"/>
      <c r="IRB452" s="741"/>
      <c r="IRC452" s="741"/>
      <c r="IRD452" s="741"/>
      <c r="IRE452" s="741"/>
      <c r="IRF452" s="741"/>
      <c r="IRG452" s="741"/>
      <c r="IRH452" s="741"/>
      <c r="IRI452" s="741"/>
      <c r="IRJ452" s="741"/>
      <c r="IRK452" s="741"/>
      <c r="IRL452" s="741"/>
      <c r="IRM452" s="741"/>
      <c r="IRN452" s="741"/>
      <c r="IRO452" s="741"/>
      <c r="IRP452" s="741"/>
      <c r="IRQ452" s="741"/>
      <c r="IRR452" s="741"/>
      <c r="IRS452" s="741"/>
      <c r="IRT452" s="741"/>
      <c r="IRU452" s="741"/>
      <c r="IRV452" s="741"/>
      <c r="IRW452" s="741"/>
      <c r="IRX452" s="741"/>
      <c r="IRY452" s="741"/>
      <c r="IRZ452" s="741"/>
      <c r="ISA452" s="741"/>
      <c r="ISB452" s="741"/>
      <c r="ISC452" s="741"/>
      <c r="ISD452" s="741"/>
      <c r="ISE452" s="741"/>
      <c r="ISF452" s="741"/>
      <c r="ISG452" s="741"/>
      <c r="ISH452" s="741"/>
      <c r="ISI452" s="741"/>
      <c r="ISJ452" s="741"/>
      <c r="ISK452" s="741"/>
      <c r="ISL452" s="741"/>
      <c r="ISM452" s="741"/>
      <c r="ISN452" s="741"/>
      <c r="ISO452" s="741"/>
      <c r="ISP452" s="741"/>
      <c r="ISQ452" s="741"/>
      <c r="ISR452" s="741"/>
      <c r="ISS452" s="741"/>
      <c r="IST452" s="741"/>
      <c r="ISU452" s="741"/>
      <c r="ISV452" s="741"/>
      <c r="ISW452" s="741"/>
      <c r="ISX452" s="741"/>
      <c r="ISY452" s="741"/>
      <c r="ISZ452" s="741"/>
      <c r="ITA452" s="741"/>
      <c r="ITB452" s="741"/>
      <c r="ITC452" s="741"/>
      <c r="ITD452" s="741"/>
      <c r="ITE452" s="741"/>
      <c r="ITF452" s="741"/>
      <c r="ITG452" s="741"/>
      <c r="ITH452" s="741"/>
      <c r="ITI452" s="741"/>
      <c r="ITJ452" s="741"/>
      <c r="ITK452" s="741"/>
      <c r="ITL452" s="741"/>
      <c r="ITM452" s="741"/>
      <c r="ITN452" s="741"/>
      <c r="ITO452" s="741"/>
      <c r="ITP452" s="741"/>
      <c r="ITQ452" s="741"/>
      <c r="ITR452" s="741"/>
      <c r="ITS452" s="741"/>
      <c r="ITT452" s="741"/>
      <c r="ITU452" s="741"/>
      <c r="ITV452" s="741"/>
      <c r="ITW452" s="741"/>
      <c r="ITX452" s="741"/>
      <c r="ITY452" s="741"/>
      <c r="ITZ452" s="741"/>
      <c r="IUA452" s="741"/>
      <c r="IUB452" s="741"/>
      <c r="IUC452" s="741"/>
      <c r="IUD452" s="741"/>
      <c r="IUE452" s="741"/>
      <c r="IUF452" s="741"/>
      <c r="IUG452" s="741"/>
      <c r="IUH452" s="741"/>
      <c r="IUI452" s="741"/>
      <c r="IUJ452" s="741"/>
      <c r="IUK452" s="741"/>
      <c r="IUL452" s="741"/>
      <c r="IUM452" s="741"/>
      <c r="IUN452" s="741"/>
      <c r="IUO452" s="741"/>
      <c r="IUP452" s="741"/>
      <c r="IUQ452" s="741"/>
      <c r="IUR452" s="741"/>
      <c r="IUS452" s="741"/>
      <c r="IUT452" s="741"/>
      <c r="IUU452" s="741"/>
      <c r="IUV452" s="741"/>
      <c r="IUW452" s="741"/>
      <c r="IUX452" s="741"/>
      <c r="IUY452" s="741"/>
      <c r="IUZ452" s="741"/>
      <c r="IVA452" s="741"/>
      <c r="IVB452" s="741"/>
      <c r="IVC452" s="741"/>
      <c r="IVD452" s="741"/>
      <c r="IVE452" s="741"/>
      <c r="IVF452" s="741"/>
      <c r="IVG452" s="741"/>
      <c r="IVH452" s="741"/>
      <c r="IVI452" s="741"/>
      <c r="IVJ452" s="741"/>
      <c r="IVK452" s="741"/>
      <c r="IVL452" s="741"/>
      <c r="IVM452" s="741"/>
      <c r="IVN452" s="741"/>
      <c r="IVO452" s="741"/>
      <c r="IVP452" s="741"/>
      <c r="IVQ452" s="741"/>
      <c r="IVR452" s="741"/>
      <c r="IVS452" s="741"/>
      <c r="IVT452" s="741"/>
      <c r="IVU452" s="741"/>
      <c r="IVV452" s="741"/>
      <c r="IVW452" s="741"/>
      <c r="IVX452" s="741"/>
      <c r="IVY452" s="741"/>
      <c r="IVZ452" s="741"/>
      <c r="IWA452" s="741"/>
      <c r="IWB452" s="741"/>
      <c r="IWC452" s="741"/>
      <c r="IWD452" s="741"/>
      <c r="IWE452" s="741"/>
      <c r="IWF452" s="741"/>
      <c r="IWG452" s="741"/>
      <c r="IWH452" s="741"/>
      <c r="IWI452" s="741"/>
      <c r="IWJ452" s="741"/>
      <c r="IWK452" s="741"/>
      <c r="IWL452" s="741"/>
      <c r="IWM452" s="741"/>
      <c r="IWN452" s="741"/>
      <c r="IWO452" s="741"/>
      <c r="IWP452" s="741"/>
      <c r="IWQ452" s="741"/>
      <c r="IWR452" s="741"/>
      <c r="IWS452" s="741"/>
      <c r="IWT452" s="741"/>
      <c r="IWU452" s="741"/>
      <c r="IWV452" s="741"/>
      <c r="IWW452" s="741"/>
      <c r="IWX452" s="741"/>
      <c r="IWY452" s="741"/>
      <c r="IWZ452" s="741"/>
      <c r="IXA452" s="741"/>
      <c r="IXB452" s="741"/>
      <c r="IXC452" s="741"/>
      <c r="IXD452" s="741"/>
      <c r="IXE452" s="741"/>
      <c r="IXF452" s="741"/>
      <c r="IXG452" s="741"/>
      <c r="IXH452" s="741"/>
      <c r="IXI452" s="741"/>
      <c r="IXJ452" s="741"/>
      <c r="IXK452" s="741"/>
      <c r="IXL452" s="741"/>
      <c r="IXM452" s="741"/>
      <c r="IXN452" s="741"/>
      <c r="IXO452" s="741"/>
      <c r="IXP452" s="741"/>
      <c r="IXQ452" s="741"/>
      <c r="IXR452" s="741"/>
      <c r="IXS452" s="741"/>
      <c r="IXT452" s="741"/>
      <c r="IXU452" s="741"/>
      <c r="IXV452" s="741"/>
      <c r="IXW452" s="741"/>
      <c r="IXX452" s="741"/>
      <c r="IXY452" s="741"/>
      <c r="IXZ452" s="741"/>
      <c r="IYA452" s="741"/>
      <c r="IYB452" s="741"/>
      <c r="IYC452" s="741"/>
      <c r="IYD452" s="741"/>
      <c r="IYE452" s="741"/>
      <c r="IYF452" s="741"/>
      <c r="IYG452" s="741"/>
      <c r="IYH452" s="741"/>
      <c r="IYI452" s="741"/>
      <c r="IYJ452" s="741"/>
      <c r="IYK452" s="741"/>
      <c r="IYL452" s="741"/>
      <c r="IYM452" s="741"/>
      <c r="IYN452" s="741"/>
      <c r="IYO452" s="741"/>
      <c r="IYP452" s="741"/>
      <c r="IYQ452" s="741"/>
      <c r="IYR452" s="741"/>
      <c r="IYS452" s="741"/>
      <c r="IYT452" s="741"/>
      <c r="IYU452" s="741"/>
      <c r="IYV452" s="741"/>
      <c r="IYW452" s="741"/>
      <c r="IYX452" s="741"/>
      <c r="IYY452" s="741"/>
      <c r="IYZ452" s="741"/>
      <c r="IZA452" s="741"/>
      <c r="IZB452" s="741"/>
      <c r="IZC452" s="741"/>
      <c r="IZD452" s="741"/>
      <c r="IZE452" s="741"/>
      <c r="IZF452" s="741"/>
      <c r="IZG452" s="741"/>
      <c r="IZH452" s="741"/>
      <c r="IZI452" s="741"/>
      <c r="IZJ452" s="741"/>
      <c r="IZK452" s="741"/>
      <c r="IZL452" s="741"/>
      <c r="IZM452" s="741"/>
      <c r="IZN452" s="741"/>
      <c r="IZO452" s="741"/>
      <c r="IZP452" s="741"/>
      <c r="IZQ452" s="741"/>
      <c r="IZR452" s="741"/>
      <c r="IZS452" s="741"/>
      <c r="IZT452" s="741"/>
      <c r="IZU452" s="741"/>
      <c r="IZV452" s="741"/>
      <c r="IZW452" s="741"/>
      <c r="IZX452" s="741"/>
      <c r="IZY452" s="741"/>
      <c r="IZZ452" s="741"/>
      <c r="JAA452" s="741"/>
      <c r="JAB452" s="741"/>
      <c r="JAC452" s="741"/>
      <c r="JAD452" s="741"/>
      <c r="JAE452" s="741"/>
      <c r="JAF452" s="741"/>
      <c r="JAG452" s="741"/>
      <c r="JAH452" s="741"/>
      <c r="JAI452" s="741"/>
      <c r="JAJ452" s="741"/>
      <c r="JAK452" s="741"/>
      <c r="JAL452" s="741"/>
      <c r="JAM452" s="741"/>
      <c r="JAN452" s="741"/>
      <c r="JAO452" s="741"/>
      <c r="JAP452" s="741"/>
      <c r="JAQ452" s="741"/>
      <c r="JAR452" s="741"/>
      <c r="JAS452" s="741"/>
      <c r="JAT452" s="741"/>
      <c r="JAU452" s="741"/>
      <c r="JAV452" s="741"/>
      <c r="JAW452" s="741"/>
      <c r="JAX452" s="741"/>
      <c r="JAY452" s="741"/>
      <c r="JAZ452" s="741"/>
      <c r="JBA452" s="741"/>
      <c r="JBB452" s="741"/>
      <c r="JBC452" s="741"/>
      <c r="JBD452" s="741"/>
      <c r="JBE452" s="741"/>
      <c r="JBF452" s="741"/>
      <c r="JBG452" s="741"/>
      <c r="JBH452" s="741"/>
      <c r="JBI452" s="741"/>
      <c r="JBJ452" s="741"/>
      <c r="JBK452" s="741"/>
      <c r="JBL452" s="741"/>
      <c r="JBM452" s="741"/>
      <c r="JBN452" s="741"/>
      <c r="JBO452" s="741"/>
      <c r="JBP452" s="741"/>
      <c r="JBQ452" s="741"/>
      <c r="JBR452" s="741"/>
      <c r="JBS452" s="741"/>
      <c r="JBT452" s="741"/>
      <c r="JBU452" s="741"/>
      <c r="JBV452" s="741"/>
      <c r="JBW452" s="741"/>
      <c r="JBX452" s="741"/>
      <c r="JBY452" s="741"/>
      <c r="JBZ452" s="741"/>
      <c r="JCA452" s="741"/>
      <c r="JCB452" s="741"/>
      <c r="JCC452" s="741"/>
      <c r="JCD452" s="741"/>
      <c r="JCE452" s="741"/>
      <c r="JCF452" s="741"/>
      <c r="JCG452" s="741"/>
      <c r="JCH452" s="741"/>
      <c r="JCI452" s="741"/>
      <c r="JCJ452" s="741"/>
      <c r="JCK452" s="741"/>
      <c r="JCL452" s="741"/>
      <c r="JCM452" s="741"/>
      <c r="JCN452" s="741"/>
      <c r="JCO452" s="741"/>
      <c r="JCP452" s="741"/>
      <c r="JCQ452" s="741"/>
      <c r="JCR452" s="741"/>
      <c r="JCS452" s="741"/>
      <c r="JCT452" s="741"/>
      <c r="JCU452" s="741"/>
      <c r="JCV452" s="741"/>
      <c r="JCW452" s="741"/>
      <c r="JCX452" s="741"/>
      <c r="JCY452" s="741"/>
      <c r="JCZ452" s="741"/>
      <c r="JDA452" s="741"/>
      <c r="JDB452" s="741"/>
      <c r="JDC452" s="741"/>
      <c r="JDD452" s="741"/>
      <c r="JDE452" s="741"/>
      <c r="JDF452" s="741"/>
      <c r="JDG452" s="741"/>
      <c r="JDH452" s="741"/>
      <c r="JDI452" s="741"/>
      <c r="JDJ452" s="741"/>
      <c r="JDK452" s="741"/>
      <c r="JDL452" s="741"/>
      <c r="JDM452" s="741"/>
      <c r="JDN452" s="741"/>
      <c r="JDO452" s="741"/>
      <c r="JDP452" s="741"/>
      <c r="JDQ452" s="741"/>
      <c r="JDR452" s="741"/>
      <c r="JDS452" s="741"/>
      <c r="JDT452" s="741"/>
      <c r="JDU452" s="741"/>
      <c r="JDV452" s="741"/>
      <c r="JDW452" s="741"/>
      <c r="JDX452" s="741"/>
      <c r="JDY452" s="741"/>
      <c r="JDZ452" s="741"/>
      <c r="JEA452" s="741"/>
      <c r="JEB452" s="741"/>
      <c r="JEC452" s="741"/>
      <c r="JED452" s="741"/>
      <c r="JEE452" s="741"/>
      <c r="JEF452" s="741"/>
      <c r="JEG452" s="741"/>
      <c r="JEH452" s="741"/>
      <c r="JEI452" s="741"/>
      <c r="JEJ452" s="741"/>
      <c r="JEK452" s="741"/>
      <c r="JEL452" s="741"/>
      <c r="JEM452" s="741"/>
      <c r="JEN452" s="741"/>
      <c r="JEO452" s="741"/>
      <c r="JEP452" s="741"/>
      <c r="JEQ452" s="741"/>
      <c r="JER452" s="741"/>
      <c r="JES452" s="741"/>
      <c r="JET452" s="741"/>
      <c r="JEU452" s="741"/>
      <c r="JEV452" s="741"/>
      <c r="JEW452" s="741"/>
      <c r="JEX452" s="741"/>
      <c r="JEY452" s="741"/>
      <c r="JEZ452" s="741"/>
      <c r="JFA452" s="741"/>
      <c r="JFB452" s="741"/>
      <c r="JFC452" s="741"/>
      <c r="JFD452" s="741"/>
      <c r="JFE452" s="741"/>
      <c r="JFF452" s="741"/>
      <c r="JFG452" s="741"/>
      <c r="JFH452" s="741"/>
      <c r="JFI452" s="741"/>
      <c r="JFJ452" s="741"/>
      <c r="JFK452" s="741"/>
      <c r="JFL452" s="741"/>
      <c r="JFM452" s="741"/>
      <c r="JFN452" s="741"/>
      <c r="JFO452" s="741"/>
      <c r="JFP452" s="741"/>
      <c r="JFQ452" s="741"/>
      <c r="JFR452" s="741"/>
      <c r="JFS452" s="741"/>
      <c r="JFT452" s="741"/>
      <c r="JFU452" s="741"/>
      <c r="JFV452" s="741"/>
      <c r="JFW452" s="741"/>
      <c r="JFX452" s="741"/>
      <c r="JFY452" s="741"/>
      <c r="JFZ452" s="741"/>
      <c r="JGA452" s="741"/>
      <c r="JGB452" s="741"/>
      <c r="JGC452" s="741"/>
      <c r="JGD452" s="741"/>
      <c r="JGE452" s="741"/>
      <c r="JGF452" s="741"/>
      <c r="JGG452" s="741"/>
      <c r="JGH452" s="741"/>
      <c r="JGI452" s="741"/>
      <c r="JGJ452" s="741"/>
      <c r="JGK452" s="741"/>
      <c r="JGL452" s="741"/>
      <c r="JGM452" s="741"/>
      <c r="JGN452" s="741"/>
      <c r="JGO452" s="741"/>
      <c r="JGP452" s="741"/>
      <c r="JGQ452" s="741"/>
      <c r="JGR452" s="741"/>
      <c r="JGS452" s="741"/>
      <c r="JGT452" s="741"/>
      <c r="JGU452" s="741"/>
      <c r="JGV452" s="741"/>
      <c r="JGW452" s="741"/>
      <c r="JGX452" s="741"/>
      <c r="JGY452" s="741"/>
      <c r="JGZ452" s="741"/>
      <c r="JHA452" s="741"/>
      <c r="JHB452" s="741"/>
      <c r="JHC452" s="741"/>
      <c r="JHD452" s="741"/>
      <c r="JHE452" s="741"/>
      <c r="JHF452" s="741"/>
      <c r="JHG452" s="741"/>
      <c r="JHH452" s="741"/>
      <c r="JHI452" s="741"/>
      <c r="JHJ452" s="741"/>
      <c r="JHK452" s="741"/>
      <c r="JHL452" s="741"/>
      <c r="JHM452" s="741"/>
      <c r="JHN452" s="741"/>
      <c r="JHO452" s="741"/>
      <c r="JHP452" s="741"/>
      <c r="JHQ452" s="741"/>
      <c r="JHR452" s="741"/>
      <c r="JHS452" s="741"/>
      <c r="JHT452" s="741"/>
      <c r="JHU452" s="741"/>
      <c r="JHV452" s="741"/>
      <c r="JHW452" s="741"/>
      <c r="JHX452" s="741"/>
      <c r="JHY452" s="741"/>
      <c r="JHZ452" s="741"/>
      <c r="JIA452" s="741"/>
      <c r="JIB452" s="741"/>
      <c r="JIC452" s="741"/>
      <c r="JID452" s="741"/>
      <c r="JIE452" s="741"/>
      <c r="JIF452" s="741"/>
      <c r="JIG452" s="741"/>
      <c r="JIH452" s="741"/>
      <c r="JII452" s="741"/>
      <c r="JIJ452" s="741"/>
      <c r="JIK452" s="741"/>
      <c r="JIL452" s="741"/>
      <c r="JIM452" s="741"/>
      <c r="JIN452" s="741"/>
      <c r="JIO452" s="741"/>
      <c r="JIP452" s="741"/>
      <c r="JIQ452" s="741"/>
      <c r="JIR452" s="741"/>
      <c r="JIS452" s="741"/>
      <c r="JIT452" s="741"/>
      <c r="JIU452" s="741"/>
      <c r="JIV452" s="741"/>
      <c r="JIW452" s="741"/>
      <c r="JIX452" s="741"/>
      <c r="JIY452" s="741"/>
      <c r="JIZ452" s="741"/>
      <c r="JJA452" s="741"/>
      <c r="JJB452" s="741"/>
      <c r="JJC452" s="741"/>
      <c r="JJD452" s="741"/>
      <c r="JJE452" s="741"/>
      <c r="JJF452" s="741"/>
      <c r="JJG452" s="741"/>
      <c r="JJH452" s="741"/>
      <c r="JJI452" s="741"/>
      <c r="JJJ452" s="741"/>
      <c r="JJK452" s="741"/>
      <c r="JJL452" s="741"/>
      <c r="JJM452" s="741"/>
      <c r="JJN452" s="741"/>
      <c r="JJO452" s="741"/>
      <c r="JJP452" s="741"/>
      <c r="JJQ452" s="741"/>
      <c r="JJR452" s="741"/>
      <c r="JJS452" s="741"/>
      <c r="JJT452" s="741"/>
      <c r="JJU452" s="741"/>
      <c r="JJV452" s="741"/>
      <c r="JJW452" s="741"/>
      <c r="JJX452" s="741"/>
      <c r="JJY452" s="741"/>
      <c r="JJZ452" s="741"/>
      <c r="JKA452" s="741"/>
      <c r="JKB452" s="741"/>
      <c r="JKC452" s="741"/>
      <c r="JKD452" s="741"/>
      <c r="JKE452" s="741"/>
      <c r="JKF452" s="741"/>
      <c r="JKG452" s="741"/>
      <c r="JKH452" s="741"/>
      <c r="JKI452" s="741"/>
      <c r="JKJ452" s="741"/>
      <c r="JKK452" s="741"/>
      <c r="JKL452" s="741"/>
      <c r="JKM452" s="741"/>
      <c r="JKN452" s="741"/>
      <c r="JKO452" s="741"/>
      <c r="JKP452" s="741"/>
      <c r="JKQ452" s="741"/>
      <c r="JKR452" s="741"/>
      <c r="JKS452" s="741"/>
      <c r="JKT452" s="741"/>
      <c r="JKU452" s="741"/>
      <c r="JKV452" s="741"/>
      <c r="JKW452" s="741"/>
      <c r="JKX452" s="741"/>
      <c r="JKY452" s="741"/>
      <c r="JKZ452" s="741"/>
      <c r="JLA452" s="741"/>
      <c r="JLB452" s="741"/>
      <c r="JLC452" s="741"/>
      <c r="JLD452" s="741"/>
      <c r="JLE452" s="741"/>
      <c r="JLF452" s="741"/>
      <c r="JLG452" s="741"/>
      <c r="JLH452" s="741"/>
      <c r="JLI452" s="741"/>
      <c r="JLJ452" s="741"/>
      <c r="JLK452" s="741"/>
      <c r="JLL452" s="741"/>
      <c r="JLM452" s="741"/>
      <c r="JLN452" s="741"/>
      <c r="JLO452" s="741"/>
      <c r="JLP452" s="741"/>
      <c r="JLQ452" s="741"/>
      <c r="JLR452" s="741"/>
      <c r="JLS452" s="741"/>
      <c r="JLT452" s="741"/>
      <c r="JLU452" s="741"/>
      <c r="JLV452" s="741"/>
      <c r="JLW452" s="741"/>
      <c r="JLX452" s="741"/>
      <c r="JLY452" s="741"/>
      <c r="JLZ452" s="741"/>
      <c r="JMA452" s="741"/>
      <c r="JMB452" s="741"/>
      <c r="JMC452" s="741"/>
      <c r="JMD452" s="741"/>
      <c r="JME452" s="741"/>
      <c r="JMF452" s="741"/>
      <c r="JMG452" s="741"/>
      <c r="JMH452" s="741"/>
      <c r="JMI452" s="741"/>
      <c r="JMJ452" s="741"/>
      <c r="JMK452" s="741"/>
      <c r="JML452" s="741"/>
      <c r="JMM452" s="741"/>
      <c r="JMN452" s="741"/>
      <c r="JMO452" s="741"/>
      <c r="JMP452" s="741"/>
      <c r="JMQ452" s="741"/>
      <c r="JMR452" s="741"/>
      <c r="JMS452" s="741"/>
      <c r="JMT452" s="741"/>
      <c r="JMU452" s="741"/>
      <c r="JMV452" s="741"/>
      <c r="JMW452" s="741"/>
      <c r="JMX452" s="741"/>
      <c r="JMY452" s="741"/>
      <c r="JMZ452" s="741"/>
      <c r="JNA452" s="741"/>
      <c r="JNB452" s="741"/>
      <c r="JNC452" s="741"/>
      <c r="JND452" s="741"/>
      <c r="JNE452" s="741"/>
      <c r="JNF452" s="741"/>
      <c r="JNG452" s="741"/>
      <c r="JNH452" s="741"/>
      <c r="JNI452" s="741"/>
      <c r="JNJ452" s="741"/>
      <c r="JNK452" s="741"/>
      <c r="JNL452" s="741"/>
      <c r="JNM452" s="741"/>
      <c r="JNN452" s="741"/>
      <c r="JNO452" s="741"/>
      <c r="JNP452" s="741"/>
      <c r="JNQ452" s="741"/>
      <c r="JNR452" s="741"/>
      <c r="JNS452" s="741"/>
      <c r="JNT452" s="741"/>
      <c r="JNU452" s="741"/>
      <c r="JNV452" s="741"/>
      <c r="JNW452" s="741"/>
      <c r="JNX452" s="741"/>
      <c r="JNY452" s="741"/>
      <c r="JNZ452" s="741"/>
      <c r="JOA452" s="741"/>
      <c r="JOB452" s="741"/>
      <c r="JOC452" s="741"/>
      <c r="JOD452" s="741"/>
      <c r="JOE452" s="741"/>
      <c r="JOF452" s="741"/>
      <c r="JOG452" s="741"/>
      <c r="JOH452" s="741"/>
      <c r="JOI452" s="741"/>
      <c r="JOJ452" s="741"/>
      <c r="JOK452" s="741"/>
      <c r="JOL452" s="741"/>
      <c r="JOM452" s="741"/>
      <c r="JON452" s="741"/>
      <c r="JOO452" s="741"/>
      <c r="JOP452" s="741"/>
      <c r="JOQ452" s="741"/>
      <c r="JOR452" s="741"/>
      <c r="JOS452" s="741"/>
      <c r="JOT452" s="741"/>
      <c r="JOU452" s="741"/>
      <c r="JOV452" s="741"/>
      <c r="JOW452" s="741"/>
      <c r="JOX452" s="741"/>
      <c r="JOY452" s="741"/>
      <c r="JOZ452" s="741"/>
      <c r="JPA452" s="741"/>
      <c r="JPB452" s="741"/>
      <c r="JPC452" s="741"/>
      <c r="JPD452" s="741"/>
      <c r="JPE452" s="741"/>
      <c r="JPF452" s="741"/>
      <c r="JPG452" s="741"/>
      <c r="JPH452" s="741"/>
      <c r="JPI452" s="741"/>
      <c r="JPJ452" s="741"/>
      <c r="JPK452" s="741"/>
      <c r="JPL452" s="741"/>
      <c r="JPM452" s="741"/>
      <c r="JPN452" s="741"/>
      <c r="JPO452" s="741"/>
      <c r="JPP452" s="741"/>
      <c r="JPQ452" s="741"/>
      <c r="JPR452" s="741"/>
      <c r="JPS452" s="741"/>
      <c r="JPT452" s="741"/>
      <c r="JPU452" s="741"/>
      <c r="JPV452" s="741"/>
      <c r="JPW452" s="741"/>
      <c r="JPX452" s="741"/>
      <c r="JPY452" s="741"/>
      <c r="JPZ452" s="741"/>
      <c r="JQA452" s="741"/>
      <c r="JQB452" s="741"/>
      <c r="JQC452" s="741"/>
      <c r="JQD452" s="741"/>
      <c r="JQE452" s="741"/>
      <c r="JQF452" s="741"/>
      <c r="JQG452" s="741"/>
      <c r="JQH452" s="741"/>
      <c r="JQI452" s="741"/>
      <c r="JQJ452" s="741"/>
      <c r="JQK452" s="741"/>
      <c r="JQL452" s="741"/>
      <c r="JQM452" s="741"/>
      <c r="JQN452" s="741"/>
      <c r="JQO452" s="741"/>
      <c r="JQP452" s="741"/>
      <c r="JQQ452" s="741"/>
      <c r="JQR452" s="741"/>
      <c r="JQS452" s="741"/>
      <c r="JQT452" s="741"/>
      <c r="JQU452" s="741"/>
      <c r="JQV452" s="741"/>
      <c r="JQW452" s="741"/>
      <c r="JQX452" s="741"/>
      <c r="JQY452" s="741"/>
      <c r="JQZ452" s="741"/>
      <c r="JRA452" s="741"/>
      <c r="JRB452" s="741"/>
      <c r="JRC452" s="741"/>
      <c r="JRD452" s="741"/>
      <c r="JRE452" s="741"/>
      <c r="JRF452" s="741"/>
      <c r="JRG452" s="741"/>
      <c r="JRH452" s="741"/>
      <c r="JRI452" s="741"/>
      <c r="JRJ452" s="741"/>
      <c r="JRK452" s="741"/>
      <c r="JRL452" s="741"/>
      <c r="JRM452" s="741"/>
      <c r="JRN452" s="741"/>
      <c r="JRO452" s="741"/>
      <c r="JRP452" s="741"/>
      <c r="JRQ452" s="741"/>
      <c r="JRR452" s="741"/>
      <c r="JRS452" s="741"/>
      <c r="JRT452" s="741"/>
      <c r="JRU452" s="741"/>
      <c r="JRV452" s="741"/>
      <c r="JRW452" s="741"/>
      <c r="JRX452" s="741"/>
      <c r="JRY452" s="741"/>
      <c r="JRZ452" s="741"/>
      <c r="JSA452" s="741"/>
      <c r="JSB452" s="741"/>
      <c r="JSC452" s="741"/>
      <c r="JSD452" s="741"/>
      <c r="JSE452" s="741"/>
      <c r="JSF452" s="741"/>
      <c r="JSG452" s="741"/>
      <c r="JSH452" s="741"/>
      <c r="JSI452" s="741"/>
      <c r="JSJ452" s="741"/>
      <c r="JSK452" s="741"/>
      <c r="JSL452" s="741"/>
      <c r="JSM452" s="741"/>
      <c r="JSN452" s="741"/>
      <c r="JSO452" s="741"/>
      <c r="JSP452" s="741"/>
      <c r="JSQ452" s="741"/>
      <c r="JSR452" s="741"/>
      <c r="JSS452" s="741"/>
      <c r="JST452" s="741"/>
      <c r="JSU452" s="741"/>
      <c r="JSV452" s="741"/>
      <c r="JSW452" s="741"/>
      <c r="JSX452" s="741"/>
      <c r="JSY452" s="741"/>
      <c r="JSZ452" s="741"/>
      <c r="JTA452" s="741"/>
      <c r="JTB452" s="741"/>
      <c r="JTC452" s="741"/>
      <c r="JTD452" s="741"/>
      <c r="JTE452" s="741"/>
      <c r="JTF452" s="741"/>
      <c r="JTG452" s="741"/>
      <c r="JTH452" s="741"/>
      <c r="JTI452" s="741"/>
      <c r="JTJ452" s="741"/>
      <c r="JTK452" s="741"/>
      <c r="JTL452" s="741"/>
      <c r="JTM452" s="741"/>
      <c r="JTN452" s="741"/>
      <c r="JTO452" s="741"/>
      <c r="JTP452" s="741"/>
      <c r="JTQ452" s="741"/>
      <c r="JTR452" s="741"/>
      <c r="JTS452" s="741"/>
      <c r="JTT452" s="741"/>
      <c r="JTU452" s="741"/>
      <c r="JTV452" s="741"/>
      <c r="JTW452" s="741"/>
      <c r="JTX452" s="741"/>
      <c r="JTY452" s="741"/>
      <c r="JTZ452" s="741"/>
      <c r="JUA452" s="741"/>
      <c r="JUB452" s="741"/>
      <c r="JUC452" s="741"/>
      <c r="JUD452" s="741"/>
      <c r="JUE452" s="741"/>
      <c r="JUF452" s="741"/>
      <c r="JUG452" s="741"/>
      <c r="JUH452" s="741"/>
      <c r="JUI452" s="741"/>
      <c r="JUJ452" s="741"/>
      <c r="JUK452" s="741"/>
      <c r="JUL452" s="741"/>
      <c r="JUM452" s="741"/>
      <c r="JUN452" s="741"/>
      <c r="JUO452" s="741"/>
      <c r="JUP452" s="741"/>
      <c r="JUQ452" s="741"/>
      <c r="JUR452" s="741"/>
      <c r="JUS452" s="741"/>
      <c r="JUT452" s="741"/>
      <c r="JUU452" s="741"/>
      <c r="JUV452" s="741"/>
      <c r="JUW452" s="741"/>
      <c r="JUX452" s="741"/>
      <c r="JUY452" s="741"/>
      <c r="JUZ452" s="741"/>
      <c r="JVA452" s="741"/>
      <c r="JVB452" s="741"/>
      <c r="JVC452" s="741"/>
      <c r="JVD452" s="741"/>
      <c r="JVE452" s="741"/>
      <c r="JVF452" s="741"/>
      <c r="JVG452" s="741"/>
      <c r="JVH452" s="741"/>
      <c r="JVI452" s="741"/>
      <c r="JVJ452" s="741"/>
      <c r="JVK452" s="741"/>
      <c r="JVL452" s="741"/>
      <c r="JVM452" s="741"/>
      <c r="JVN452" s="741"/>
      <c r="JVO452" s="741"/>
      <c r="JVP452" s="741"/>
      <c r="JVQ452" s="741"/>
      <c r="JVR452" s="741"/>
      <c r="JVS452" s="741"/>
      <c r="JVT452" s="741"/>
      <c r="JVU452" s="741"/>
      <c r="JVV452" s="741"/>
      <c r="JVW452" s="741"/>
      <c r="JVX452" s="741"/>
      <c r="JVY452" s="741"/>
      <c r="JVZ452" s="741"/>
      <c r="JWA452" s="741"/>
      <c r="JWB452" s="741"/>
      <c r="JWC452" s="741"/>
      <c r="JWD452" s="741"/>
      <c r="JWE452" s="741"/>
      <c r="JWF452" s="741"/>
      <c r="JWG452" s="741"/>
      <c r="JWH452" s="741"/>
      <c r="JWI452" s="741"/>
      <c r="JWJ452" s="741"/>
      <c r="JWK452" s="741"/>
      <c r="JWL452" s="741"/>
      <c r="JWM452" s="741"/>
      <c r="JWN452" s="741"/>
      <c r="JWO452" s="741"/>
      <c r="JWP452" s="741"/>
      <c r="JWQ452" s="741"/>
      <c r="JWR452" s="741"/>
      <c r="JWS452" s="741"/>
      <c r="JWT452" s="741"/>
      <c r="JWU452" s="741"/>
      <c r="JWV452" s="741"/>
      <c r="JWW452" s="741"/>
      <c r="JWX452" s="741"/>
      <c r="JWY452" s="741"/>
      <c r="JWZ452" s="741"/>
      <c r="JXA452" s="741"/>
      <c r="JXB452" s="741"/>
      <c r="JXC452" s="741"/>
      <c r="JXD452" s="741"/>
      <c r="JXE452" s="741"/>
      <c r="JXF452" s="741"/>
      <c r="JXG452" s="741"/>
      <c r="JXH452" s="741"/>
      <c r="JXI452" s="741"/>
      <c r="JXJ452" s="741"/>
      <c r="JXK452" s="741"/>
      <c r="JXL452" s="741"/>
      <c r="JXM452" s="741"/>
      <c r="JXN452" s="741"/>
      <c r="JXO452" s="741"/>
      <c r="JXP452" s="741"/>
      <c r="JXQ452" s="741"/>
      <c r="JXR452" s="741"/>
      <c r="JXS452" s="741"/>
      <c r="JXT452" s="741"/>
      <c r="JXU452" s="741"/>
      <c r="JXV452" s="741"/>
      <c r="JXW452" s="741"/>
      <c r="JXX452" s="741"/>
      <c r="JXY452" s="741"/>
      <c r="JXZ452" s="741"/>
      <c r="JYA452" s="741"/>
      <c r="JYB452" s="741"/>
      <c r="JYC452" s="741"/>
      <c r="JYD452" s="741"/>
      <c r="JYE452" s="741"/>
      <c r="JYF452" s="741"/>
      <c r="JYG452" s="741"/>
      <c r="JYH452" s="741"/>
      <c r="JYI452" s="741"/>
      <c r="JYJ452" s="741"/>
      <c r="JYK452" s="741"/>
      <c r="JYL452" s="741"/>
      <c r="JYM452" s="741"/>
      <c r="JYN452" s="741"/>
      <c r="JYO452" s="741"/>
      <c r="JYP452" s="741"/>
      <c r="JYQ452" s="741"/>
      <c r="JYR452" s="741"/>
      <c r="JYS452" s="741"/>
      <c r="JYT452" s="741"/>
      <c r="JYU452" s="741"/>
      <c r="JYV452" s="741"/>
      <c r="JYW452" s="741"/>
      <c r="JYX452" s="741"/>
      <c r="JYY452" s="741"/>
      <c r="JYZ452" s="741"/>
      <c r="JZA452" s="741"/>
      <c r="JZB452" s="741"/>
      <c r="JZC452" s="741"/>
      <c r="JZD452" s="741"/>
      <c r="JZE452" s="741"/>
      <c r="JZF452" s="741"/>
      <c r="JZG452" s="741"/>
      <c r="JZH452" s="741"/>
      <c r="JZI452" s="741"/>
      <c r="JZJ452" s="741"/>
      <c r="JZK452" s="741"/>
      <c r="JZL452" s="741"/>
      <c r="JZM452" s="741"/>
      <c r="JZN452" s="741"/>
      <c r="JZO452" s="741"/>
      <c r="JZP452" s="741"/>
      <c r="JZQ452" s="741"/>
      <c r="JZR452" s="741"/>
      <c r="JZS452" s="741"/>
      <c r="JZT452" s="741"/>
      <c r="JZU452" s="741"/>
      <c r="JZV452" s="741"/>
      <c r="JZW452" s="741"/>
      <c r="JZX452" s="741"/>
      <c r="JZY452" s="741"/>
      <c r="JZZ452" s="741"/>
      <c r="KAA452" s="741"/>
      <c r="KAB452" s="741"/>
      <c r="KAC452" s="741"/>
      <c r="KAD452" s="741"/>
      <c r="KAE452" s="741"/>
      <c r="KAF452" s="741"/>
      <c r="KAG452" s="741"/>
      <c r="KAH452" s="741"/>
      <c r="KAI452" s="741"/>
      <c r="KAJ452" s="741"/>
      <c r="KAK452" s="741"/>
      <c r="KAL452" s="741"/>
      <c r="KAM452" s="741"/>
      <c r="KAN452" s="741"/>
      <c r="KAO452" s="741"/>
      <c r="KAP452" s="741"/>
      <c r="KAQ452" s="741"/>
      <c r="KAR452" s="741"/>
      <c r="KAS452" s="741"/>
      <c r="KAT452" s="741"/>
      <c r="KAU452" s="741"/>
      <c r="KAV452" s="741"/>
      <c r="KAW452" s="741"/>
      <c r="KAX452" s="741"/>
      <c r="KAY452" s="741"/>
      <c r="KAZ452" s="741"/>
      <c r="KBA452" s="741"/>
      <c r="KBB452" s="741"/>
      <c r="KBC452" s="741"/>
      <c r="KBD452" s="741"/>
      <c r="KBE452" s="741"/>
      <c r="KBF452" s="741"/>
      <c r="KBG452" s="741"/>
      <c r="KBH452" s="741"/>
      <c r="KBI452" s="741"/>
      <c r="KBJ452" s="741"/>
      <c r="KBK452" s="741"/>
      <c r="KBL452" s="741"/>
      <c r="KBM452" s="741"/>
      <c r="KBN452" s="741"/>
      <c r="KBO452" s="741"/>
      <c r="KBP452" s="741"/>
      <c r="KBQ452" s="741"/>
      <c r="KBR452" s="741"/>
      <c r="KBS452" s="741"/>
      <c r="KBT452" s="741"/>
      <c r="KBU452" s="741"/>
      <c r="KBV452" s="741"/>
      <c r="KBW452" s="741"/>
      <c r="KBX452" s="741"/>
      <c r="KBY452" s="741"/>
      <c r="KBZ452" s="741"/>
      <c r="KCA452" s="741"/>
      <c r="KCB452" s="741"/>
      <c r="KCC452" s="741"/>
      <c r="KCD452" s="741"/>
      <c r="KCE452" s="741"/>
      <c r="KCF452" s="741"/>
      <c r="KCG452" s="741"/>
      <c r="KCH452" s="741"/>
      <c r="KCI452" s="741"/>
      <c r="KCJ452" s="741"/>
      <c r="KCK452" s="741"/>
      <c r="KCL452" s="741"/>
      <c r="KCM452" s="741"/>
      <c r="KCN452" s="741"/>
      <c r="KCO452" s="741"/>
      <c r="KCP452" s="741"/>
      <c r="KCQ452" s="741"/>
      <c r="KCR452" s="741"/>
      <c r="KCS452" s="741"/>
      <c r="KCT452" s="741"/>
      <c r="KCU452" s="741"/>
      <c r="KCV452" s="741"/>
      <c r="KCW452" s="741"/>
      <c r="KCX452" s="741"/>
      <c r="KCY452" s="741"/>
      <c r="KCZ452" s="741"/>
      <c r="KDA452" s="741"/>
      <c r="KDB452" s="741"/>
      <c r="KDC452" s="741"/>
      <c r="KDD452" s="741"/>
      <c r="KDE452" s="741"/>
      <c r="KDF452" s="741"/>
      <c r="KDG452" s="741"/>
      <c r="KDH452" s="741"/>
      <c r="KDI452" s="741"/>
      <c r="KDJ452" s="741"/>
      <c r="KDK452" s="741"/>
      <c r="KDL452" s="741"/>
      <c r="KDM452" s="741"/>
      <c r="KDN452" s="741"/>
      <c r="KDO452" s="741"/>
      <c r="KDP452" s="741"/>
      <c r="KDQ452" s="741"/>
      <c r="KDR452" s="741"/>
      <c r="KDS452" s="741"/>
      <c r="KDT452" s="741"/>
      <c r="KDU452" s="741"/>
      <c r="KDV452" s="741"/>
      <c r="KDW452" s="741"/>
      <c r="KDX452" s="741"/>
      <c r="KDY452" s="741"/>
      <c r="KDZ452" s="741"/>
      <c r="KEA452" s="741"/>
      <c r="KEB452" s="741"/>
      <c r="KEC452" s="741"/>
      <c r="KED452" s="741"/>
      <c r="KEE452" s="741"/>
      <c r="KEF452" s="741"/>
      <c r="KEG452" s="741"/>
      <c r="KEH452" s="741"/>
      <c r="KEI452" s="741"/>
      <c r="KEJ452" s="741"/>
      <c r="KEK452" s="741"/>
      <c r="KEL452" s="741"/>
      <c r="KEM452" s="741"/>
      <c r="KEN452" s="741"/>
      <c r="KEO452" s="741"/>
      <c r="KEP452" s="741"/>
      <c r="KEQ452" s="741"/>
      <c r="KER452" s="741"/>
      <c r="KES452" s="741"/>
      <c r="KET452" s="741"/>
      <c r="KEU452" s="741"/>
      <c r="KEV452" s="741"/>
      <c r="KEW452" s="741"/>
      <c r="KEX452" s="741"/>
      <c r="KEY452" s="741"/>
      <c r="KEZ452" s="741"/>
      <c r="KFA452" s="741"/>
      <c r="KFB452" s="741"/>
      <c r="KFC452" s="741"/>
      <c r="KFD452" s="741"/>
      <c r="KFE452" s="741"/>
      <c r="KFF452" s="741"/>
      <c r="KFG452" s="741"/>
      <c r="KFH452" s="741"/>
      <c r="KFI452" s="741"/>
      <c r="KFJ452" s="741"/>
      <c r="KFK452" s="741"/>
      <c r="KFL452" s="741"/>
      <c r="KFM452" s="741"/>
      <c r="KFN452" s="741"/>
      <c r="KFO452" s="741"/>
      <c r="KFP452" s="741"/>
      <c r="KFQ452" s="741"/>
      <c r="KFR452" s="741"/>
      <c r="KFS452" s="741"/>
      <c r="KFT452" s="741"/>
      <c r="KFU452" s="741"/>
      <c r="KFV452" s="741"/>
      <c r="KFW452" s="741"/>
      <c r="KFX452" s="741"/>
      <c r="KFY452" s="741"/>
      <c r="KFZ452" s="741"/>
      <c r="KGA452" s="741"/>
      <c r="KGB452" s="741"/>
      <c r="KGC452" s="741"/>
      <c r="KGD452" s="741"/>
      <c r="KGE452" s="741"/>
      <c r="KGF452" s="741"/>
      <c r="KGG452" s="741"/>
      <c r="KGH452" s="741"/>
      <c r="KGI452" s="741"/>
      <c r="KGJ452" s="741"/>
      <c r="KGK452" s="741"/>
      <c r="KGL452" s="741"/>
      <c r="KGM452" s="741"/>
      <c r="KGN452" s="741"/>
      <c r="KGO452" s="741"/>
      <c r="KGP452" s="741"/>
      <c r="KGQ452" s="741"/>
      <c r="KGR452" s="741"/>
      <c r="KGS452" s="741"/>
      <c r="KGT452" s="741"/>
      <c r="KGU452" s="741"/>
      <c r="KGV452" s="741"/>
      <c r="KGW452" s="741"/>
      <c r="KGX452" s="741"/>
      <c r="KGY452" s="741"/>
      <c r="KGZ452" s="741"/>
      <c r="KHA452" s="741"/>
      <c r="KHB452" s="741"/>
      <c r="KHC452" s="741"/>
      <c r="KHD452" s="741"/>
      <c r="KHE452" s="741"/>
      <c r="KHF452" s="741"/>
      <c r="KHG452" s="741"/>
      <c r="KHH452" s="741"/>
      <c r="KHI452" s="741"/>
      <c r="KHJ452" s="741"/>
      <c r="KHK452" s="741"/>
      <c r="KHL452" s="741"/>
      <c r="KHM452" s="741"/>
      <c r="KHN452" s="741"/>
      <c r="KHO452" s="741"/>
      <c r="KHP452" s="741"/>
      <c r="KHQ452" s="741"/>
      <c r="KHR452" s="741"/>
      <c r="KHS452" s="741"/>
      <c r="KHT452" s="741"/>
      <c r="KHU452" s="741"/>
      <c r="KHV452" s="741"/>
      <c r="KHW452" s="741"/>
      <c r="KHX452" s="741"/>
      <c r="KHY452" s="741"/>
      <c r="KHZ452" s="741"/>
      <c r="KIA452" s="741"/>
      <c r="KIB452" s="741"/>
      <c r="KIC452" s="741"/>
      <c r="KID452" s="741"/>
      <c r="KIE452" s="741"/>
      <c r="KIF452" s="741"/>
      <c r="KIG452" s="741"/>
      <c r="KIH452" s="741"/>
      <c r="KII452" s="741"/>
      <c r="KIJ452" s="741"/>
      <c r="KIK452" s="741"/>
      <c r="KIL452" s="741"/>
      <c r="KIM452" s="741"/>
      <c r="KIN452" s="741"/>
      <c r="KIO452" s="741"/>
      <c r="KIP452" s="741"/>
      <c r="KIQ452" s="741"/>
      <c r="KIR452" s="741"/>
      <c r="KIS452" s="741"/>
      <c r="KIT452" s="741"/>
      <c r="KIU452" s="741"/>
      <c r="KIV452" s="741"/>
      <c r="KIW452" s="741"/>
      <c r="KIX452" s="741"/>
      <c r="KIY452" s="741"/>
      <c r="KIZ452" s="741"/>
      <c r="KJA452" s="741"/>
      <c r="KJB452" s="741"/>
      <c r="KJC452" s="741"/>
      <c r="KJD452" s="741"/>
      <c r="KJE452" s="741"/>
      <c r="KJF452" s="741"/>
      <c r="KJG452" s="741"/>
      <c r="KJH452" s="741"/>
      <c r="KJI452" s="741"/>
      <c r="KJJ452" s="741"/>
      <c r="KJK452" s="741"/>
      <c r="KJL452" s="741"/>
      <c r="KJM452" s="741"/>
      <c r="KJN452" s="741"/>
      <c r="KJO452" s="741"/>
      <c r="KJP452" s="741"/>
      <c r="KJQ452" s="741"/>
      <c r="KJR452" s="741"/>
      <c r="KJS452" s="741"/>
      <c r="KJT452" s="741"/>
      <c r="KJU452" s="741"/>
      <c r="KJV452" s="741"/>
      <c r="KJW452" s="741"/>
      <c r="KJX452" s="741"/>
      <c r="KJY452" s="741"/>
      <c r="KJZ452" s="741"/>
      <c r="KKA452" s="741"/>
      <c r="KKB452" s="741"/>
      <c r="KKC452" s="741"/>
      <c r="KKD452" s="741"/>
      <c r="KKE452" s="741"/>
      <c r="KKF452" s="741"/>
      <c r="KKG452" s="741"/>
      <c r="KKH452" s="741"/>
      <c r="KKI452" s="741"/>
      <c r="KKJ452" s="741"/>
      <c r="KKK452" s="741"/>
      <c r="KKL452" s="741"/>
      <c r="KKM452" s="741"/>
      <c r="KKN452" s="741"/>
      <c r="KKO452" s="741"/>
      <c r="KKP452" s="741"/>
      <c r="KKQ452" s="741"/>
      <c r="KKR452" s="741"/>
      <c r="KKS452" s="741"/>
      <c r="KKT452" s="741"/>
      <c r="KKU452" s="741"/>
      <c r="KKV452" s="741"/>
      <c r="KKW452" s="741"/>
      <c r="KKX452" s="741"/>
      <c r="KKY452" s="741"/>
      <c r="KKZ452" s="741"/>
      <c r="KLA452" s="741"/>
      <c r="KLB452" s="741"/>
      <c r="KLC452" s="741"/>
      <c r="KLD452" s="741"/>
      <c r="KLE452" s="741"/>
      <c r="KLF452" s="741"/>
      <c r="KLG452" s="741"/>
      <c r="KLH452" s="741"/>
      <c r="KLI452" s="741"/>
      <c r="KLJ452" s="741"/>
      <c r="KLK452" s="741"/>
      <c r="KLL452" s="741"/>
      <c r="KLM452" s="741"/>
      <c r="KLN452" s="741"/>
      <c r="KLO452" s="741"/>
      <c r="KLP452" s="741"/>
      <c r="KLQ452" s="741"/>
      <c r="KLR452" s="741"/>
      <c r="KLS452" s="741"/>
      <c r="KLT452" s="741"/>
      <c r="KLU452" s="741"/>
      <c r="KLV452" s="741"/>
      <c r="KLW452" s="741"/>
      <c r="KLX452" s="741"/>
      <c r="KLY452" s="741"/>
      <c r="KLZ452" s="741"/>
      <c r="KMA452" s="741"/>
      <c r="KMB452" s="741"/>
      <c r="KMC452" s="741"/>
      <c r="KMD452" s="741"/>
      <c r="KME452" s="741"/>
      <c r="KMF452" s="741"/>
      <c r="KMG452" s="741"/>
      <c r="KMH452" s="741"/>
      <c r="KMI452" s="741"/>
      <c r="KMJ452" s="741"/>
      <c r="KMK452" s="741"/>
      <c r="KML452" s="741"/>
      <c r="KMM452" s="741"/>
      <c r="KMN452" s="741"/>
      <c r="KMO452" s="741"/>
      <c r="KMP452" s="741"/>
      <c r="KMQ452" s="741"/>
      <c r="KMR452" s="741"/>
      <c r="KMS452" s="741"/>
      <c r="KMT452" s="741"/>
      <c r="KMU452" s="741"/>
      <c r="KMV452" s="741"/>
      <c r="KMW452" s="741"/>
      <c r="KMX452" s="741"/>
      <c r="KMY452" s="741"/>
      <c r="KMZ452" s="741"/>
      <c r="KNA452" s="741"/>
      <c r="KNB452" s="741"/>
      <c r="KNC452" s="741"/>
      <c r="KND452" s="741"/>
      <c r="KNE452" s="741"/>
      <c r="KNF452" s="741"/>
      <c r="KNG452" s="741"/>
      <c r="KNH452" s="741"/>
      <c r="KNI452" s="741"/>
      <c r="KNJ452" s="741"/>
      <c r="KNK452" s="741"/>
      <c r="KNL452" s="741"/>
      <c r="KNM452" s="741"/>
      <c r="KNN452" s="741"/>
      <c r="KNO452" s="741"/>
      <c r="KNP452" s="741"/>
      <c r="KNQ452" s="741"/>
      <c r="KNR452" s="741"/>
      <c r="KNS452" s="741"/>
      <c r="KNT452" s="741"/>
      <c r="KNU452" s="741"/>
      <c r="KNV452" s="741"/>
      <c r="KNW452" s="741"/>
      <c r="KNX452" s="741"/>
      <c r="KNY452" s="741"/>
      <c r="KNZ452" s="741"/>
      <c r="KOA452" s="741"/>
      <c r="KOB452" s="741"/>
      <c r="KOC452" s="741"/>
      <c r="KOD452" s="741"/>
      <c r="KOE452" s="741"/>
      <c r="KOF452" s="741"/>
      <c r="KOG452" s="741"/>
      <c r="KOH452" s="741"/>
      <c r="KOI452" s="741"/>
      <c r="KOJ452" s="741"/>
      <c r="KOK452" s="741"/>
      <c r="KOL452" s="741"/>
      <c r="KOM452" s="741"/>
      <c r="KON452" s="741"/>
      <c r="KOO452" s="741"/>
      <c r="KOP452" s="741"/>
      <c r="KOQ452" s="741"/>
      <c r="KOR452" s="741"/>
      <c r="KOS452" s="741"/>
      <c r="KOT452" s="741"/>
      <c r="KOU452" s="741"/>
      <c r="KOV452" s="741"/>
      <c r="KOW452" s="741"/>
      <c r="KOX452" s="741"/>
      <c r="KOY452" s="741"/>
      <c r="KOZ452" s="741"/>
      <c r="KPA452" s="741"/>
      <c r="KPB452" s="741"/>
      <c r="KPC452" s="741"/>
      <c r="KPD452" s="741"/>
      <c r="KPE452" s="741"/>
      <c r="KPF452" s="741"/>
      <c r="KPG452" s="741"/>
      <c r="KPH452" s="741"/>
      <c r="KPI452" s="741"/>
      <c r="KPJ452" s="741"/>
      <c r="KPK452" s="741"/>
      <c r="KPL452" s="741"/>
      <c r="KPM452" s="741"/>
      <c r="KPN452" s="741"/>
      <c r="KPO452" s="741"/>
      <c r="KPP452" s="741"/>
      <c r="KPQ452" s="741"/>
      <c r="KPR452" s="741"/>
      <c r="KPS452" s="741"/>
      <c r="KPT452" s="741"/>
      <c r="KPU452" s="741"/>
      <c r="KPV452" s="741"/>
      <c r="KPW452" s="741"/>
      <c r="KPX452" s="741"/>
      <c r="KPY452" s="741"/>
      <c r="KPZ452" s="741"/>
      <c r="KQA452" s="741"/>
      <c r="KQB452" s="741"/>
      <c r="KQC452" s="741"/>
      <c r="KQD452" s="741"/>
      <c r="KQE452" s="741"/>
      <c r="KQF452" s="741"/>
      <c r="KQG452" s="741"/>
      <c r="KQH452" s="741"/>
      <c r="KQI452" s="741"/>
      <c r="KQJ452" s="741"/>
      <c r="KQK452" s="741"/>
      <c r="KQL452" s="741"/>
      <c r="KQM452" s="741"/>
      <c r="KQN452" s="741"/>
      <c r="KQO452" s="741"/>
      <c r="KQP452" s="741"/>
      <c r="KQQ452" s="741"/>
      <c r="KQR452" s="741"/>
      <c r="KQS452" s="741"/>
      <c r="KQT452" s="741"/>
      <c r="KQU452" s="741"/>
      <c r="KQV452" s="741"/>
      <c r="KQW452" s="741"/>
      <c r="KQX452" s="741"/>
      <c r="KQY452" s="741"/>
      <c r="KQZ452" s="741"/>
      <c r="KRA452" s="741"/>
      <c r="KRB452" s="741"/>
      <c r="KRC452" s="741"/>
      <c r="KRD452" s="741"/>
      <c r="KRE452" s="741"/>
      <c r="KRF452" s="741"/>
      <c r="KRG452" s="741"/>
      <c r="KRH452" s="741"/>
      <c r="KRI452" s="741"/>
      <c r="KRJ452" s="741"/>
      <c r="KRK452" s="741"/>
      <c r="KRL452" s="741"/>
      <c r="KRM452" s="741"/>
      <c r="KRN452" s="741"/>
      <c r="KRO452" s="741"/>
      <c r="KRP452" s="741"/>
      <c r="KRQ452" s="741"/>
      <c r="KRR452" s="741"/>
      <c r="KRS452" s="741"/>
      <c r="KRT452" s="741"/>
      <c r="KRU452" s="741"/>
      <c r="KRV452" s="741"/>
      <c r="KRW452" s="741"/>
      <c r="KRX452" s="741"/>
      <c r="KRY452" s="741"/>
      <c r="KRZ452" s="741"/>
      <c r="KSA452" s="741"/>
      <c r="KSB452" s="741"/>
      <c r="KSC452" s="741"/>
      <c r="KSD452" s="741"/>
      <c r="KSE452" s="741"/>
      <c r="KSF452" s="741"/>
      <c r="KSG452" s="741"/>
      <c r="KSH452" s="741"/>
      <c r="KSI452" s="741"/>
      <c r="KSJ452" s="741"/>
      <c r="KSK452" s="741"/>
      <c r="KSL452" s="741"/>
      <c r="KSM452" s="741"/>
      <c r="KSN452" s="741"/>
      <c r="KSO452" s="741"/>
      <c r="KSP452" s="741"/>
      <c r="KSQ452" s="741"/>
      <c r="KSR452" s="741"/>
      <c r="KSS452" s="741"/>
      <c r="KST452" s="741"/>
      <c r="KSU452" s="741"/>
      <c r="KSV452" s="741"/>
      <c r="KSW452" s="741"/>
      <c r="KSX452" s="741"/>
      <c r="KSY452" s="741"/>
      <c r="KSZ452" s="741"/>
      <c r="KTA452" s="741"/>
      <c r="KTB452" s="741"/>
      <c r="KTC452" s="741"/>
      <c r="KTD452" s="741"/>
      <c r="KTE452" s="741"/>
      <c r="KTF452" s="741"/>
      <c r="KTG452" s="741"/>
      <c r="KTH452" s="741"/>
      <c r="KTI452" s="741"/>
      <c r="KTJ452" s="741"/>
      <c r="KTK452" s="741"/>
      <c r="KTL452" s="741"/>
      <c r="KTM452" s="741"/>
      <c r="KTN452" s="741"/>
      <c r="KTO452" s="741"/>
      <c r="KTP452" s="741"/>
      <c r="KTQ452" s="741"/>
      <c r="KTR452" s="741"/>
      <c r="KTS452" s="741"/>
      <c r="KTT452" s="741"/>
      <c r="KTU452" s="741"/>
      <c r="KTV452" s="741"/>
      <c r="KTW452" s="741"/>
      <c r="KTX452" s="741"/>
      <c r="KTY452" s="741"/>
      <c r="KTZ452" s="741"/>
      <c r="KUA452" s="741"/>
      <c r="KUB452" s="741"/>
      <c r="KUC452" s="741"/>
      <c r="KUD452" s="741"/>
      <c r="KUE452" s="741"/>
      <c r="KUF452" s="741"/>
      <c r="KUG452" s="741"/>
      <c r="KUH452" s="741"/>
      <c r="KUI452" s="741"/>
      <c r="KUJ452" s="741"/>
      <c r="KUK452" s="741"/>
      <c r="KUL452" s="741"/>
      <c r="KUM452" s="741"/>
      <c r="KUN452" s="741"/>
      <c r="KUO452" s="741"/>
      <c r="KUP452" s="741"/>
      <c r="KUQ452" s="741"/>
      <c r="KUR452" s="741"/>
      <c r="KUS452" s="741"/>
      <c r="KUT452" s="741"/>
      <c r="KUU452" s="741"/>
      <c r="KUV452" s="741"/>
      <c r="KUW452" s="741"/>
      <c r="KUX452" s="741"/>
      <c r="KUY452" s="741"/>
      <c r="KUZ452" s="741"/>
      <c r="KVA452" s="741"/>
      <c r="KVB452" s="741"/>
      <c r="KVC452" s="741"/>
      <c r="KVD452" s="741"/>
      <c r="KVE452" s="741"/>
      <c r="KVF452" s="741"/>
      <c r="KVG452" s="741"/>
      <c r="KVH452" s="741"/>
      <c r="KVI452" s="741"/>
      <c r="KVJ452" s="741"/>
      <c r="KVK452" s="741"/>
      <c r="KVL452" s="741"/>
      <c r="KVM452" s="741"/>
      <c r="KVN452" s="741"/>
      <c r="KVO452" s="741"/>
      <c r="KVP452" s="741"/>
      <c r="KVQ452" s="741"/>
      <c r="KVR452" s="741"/>
      <c r="KVS452" s="741"/>
      <c r="KVT452" s="741"/>
      <c r="KVU452" s="741"/>
      <c r="KVV452" s="741"/>
      <c r="KVW452" s="741"/>
      <c r="KVX452" s="741"/>
      <c r="KVY452" s="741"/>
      <c r="KVZ452" s="741"/>
      <c r="KWA452" s="741"/>
      <c r="KWB452" s="741"/>
      <c r="KWC452" s="741"/>
      <c r="KWD452" s="741"/>
      <c r="KWE452" s="741"/>
      <c r="KWF452" s="741"/>
      <c r="KWG452" s="741"/>
      <c r="KWH452" s="741"/>
      <c r="KWI452" s="741"/>
      <c r="KWJ452" s="741"/>
      <c r="KWK452" s="741"/>
      <c r="KWL452" s="741"/>
      <c r="KWM452" s="741"/>
      <c r="KWN452" s="741"/>
      <c r="KWO452" s="741"/>
      <c r="KWP452" s="741"/>
      <c r="KWQ452" s="741"/>
      <c r="KWR452" s="741"/>
      <c r="KWS452" s="741"/>
      <c r="KWT452" s="741"/>
      <c r="KWU452" s="741"/>
      <c r="KWV452" s="741"/>
      <c r="KWW452" s="741"/>
      <c r="KWX452" s="741"/>
      <c r="KWY452" s="741"/>
      <c r="KWZ452" s="741"/>
      <c r="KXA452" s="741"/>
      <c r="KXB452" s="741"/>
      <c r="KXC452" s="741"/>
      <c r="KXD452" s="741"/>
      <c r="KXE452" s="741"/>
      <c r="KXF452" s="741"/>
      <c r="KXG452" s="741"/>
      <c r="KXH452" s="741"/>
      <c r="KXI452" s="741"/>
      <c r="KXJ452" s="741"/>
      <c r="KXK452" s="741"/>
      <c r="KXL452" s="741"/>
      <c r="KXM452" s="741"/>
      <c r="KXN452" s="741"/>
      <c r="KXO452" s="741"/>
      <c r="KXP452" s="741"/>
      <c r="KXQ452" s="741"/>
      <c r="KXR452" s="741"/>
      <c r="KXS452" s="741"/>
      <c r="KXT452" s="741"/>
      <c r="KXU452" s="741"/>
      <c r="KXV452" s="741"/>
      <c r="KXW452" s="741"/>
      <c r="KXX452" s="741"/>
      <c r="KXY452" s="741"/>
      <c r="KXZ452" s="741"/>
      <c r="KYA452" s="741"/>
      <c r="KYB452" s="741"/>
      <c r="KYC452" s="741"/>
      <c r="KYD452" s="741"/>
      <c r="KYE452" s="741"/>
      <c r="KYF452" s="741"/>
      <c r="KYG452" s="741"/>
      <c r="KYH452" s="741"/>
      <c r="KYI452" s="741"/>
      <c r="KYJ452" s="741"/>
      <c r="KYK452" s="741"/>
      <c r="KYL452" s="741"/>
      <c r="KYM452" s="741"/>
      <c r="KYN452" s="741"/>
      <c r="KYO452" s="741"/>
      <c r="KYP452" s="741"/>
      <c r="KYQ452" s="741"/>
      <c r="KYR452" s="741"/>
      <c r="KYS452" s="741"/>
      <c r="KYT452" s="741"/>
      <c r="KYU452" s="741"/>
      <c r="KYV452" s="741"/>
      <c r="KYW452" s="741"/>
      <c r="KYX452" s="741"/>
      <c r="KYY452" s="741"/>
      <c r="KYZ452" s="741"/>
      <c r="KZA452" s="741"/>
      <c r="KZB452" s="741"/>
      <c r="KZC452" s="741"/>
      <c r="KZD452" s="741"/>
      <c r="KZE452" s="741"/>
      <c r="KZF452" s="741"/>
      <c r="KZG452" s="741"/>
      <c r="KZH452" s="741"/>
      <c r="KZI452" s="741"/>
      <c r="KZJ452" s="741"/>
      <c r="KZK452" s="741"/>
      <c r="KZL452" s="741"/>
      <c r="KZM452" s="741"/>
      <c r="KZN452" s="741"/>
      <c r="KZO452" s="741"/>
      <c r="KZP452" s="741"/>
      <c r="KZQ452" s="741"/>
      <c r="KZR452" s="741"/>
      <c r="KZS452" s="741"/>
      <c r="KZT452" s="741"/>
      <c r="KZU452" s="741"/>
      <c r="KZV452" s="741"/>
      <c r="KZW452" s="741"/>
      <c r="KZX452" s="741"/>
      <c r="KZY452" s="741"/>
      <c r="KZZ452" s="741"/>
      <c r="LAA452" s="741"/>
      <c r="LAB452" s="741"/>
      <c r="LAC452" s="741"/>
      <c r="LAD452" s="741"/>
      <c r="LAE452" s="741"/>
      <c r="LAF452" s="741"/>
      <c r="LAG452" s="741"/>
      <c r="LAH452" s="741"/>
      <c r="LAI452" s="741"/>
      <c r="LAJ452" s="741"/>
      <c r="LAK452" s="741"/>
      <c r="LAL452" s="741"/>
      <c r="LAM452" s="741"/>
      <c r="LAN452" s="741"/>
      <c r="LAO452" s="741"/>
      <c r="LAP452" s="741"/>
      <c r="LAQ452" s="741"/>
      <c r="LAR452" s="741"/>
      <c r="LAS452" s="741"/>
      <c r="LAT452" s="741"/>
      <c r="LAU452" s="741"/>
      <c r="LAV452" s="741"/>
      <c r="LAW452" s="741"/>
      <c r="LAX452" s="741"/>
      <c r="LAY452" s="741"/>
      <c r="LAZ452" s="741"/>
      <c r="LBA452" s="741"/>
      <c r="LBB452" s="741"/>
      <c r="LBC452" s="741"/>
      <c r="LBD452" s="741"/>
      <c r="LBE452" s="741"/>
      <c r="LBF452" s="741"/>
      <c r="LBG452" s="741"/>
      <c r="LBH452" s="741"/>
      <c r="LBI452" s="741"/>
      <c r="LBJ452" s="741"/>
      <c r="LBK452" s="741"/>
      <c r="LBL452" s="741"/>
      <c r="LBM452" s="741"/>
      <c r="LBN452" s="741"/>
      <c r="LBO452" s="741"/>
      <c r="LBP452" s="741"/>
      <c r="LBQ452" s="741"/>
      <c r="LBR452" s="741"/>
      <c r="LBS452" s="741"/>
      <c r="LBT452" s="741"/>
      <c r="LBU452" s="741"/>
      <c r="LBV452" s="741"/>
      <c r="LBW452" s="741"/>
      <c r="LBX452" s="741"/>
      <c r="LBY452" s="741"/>
      <c r="LBZ452" s="741"/>
      <c r="LCA452" s="741"/>
      <c r="LCB452" s="741"/>
      <c r="LCC452" s="741"/>
      <c r="LCD452" s="741"/>
      <c r="LCE452" s="741"/>
      <c r="LCF452" s="741"/>
      <c r="LCG452" s="741"/>
      <c r="LCH452" s="741"/>
      <c r="LCI452" s="741"/>
      <c r="LCJ452" s="741"/>
      <c r="LCK452" s="741"/>
      <c r="LCL452" s="741"/>
      <c r="LCM452" s="741"/>
      <c r="LCN452" s="741"/>
      <c r="LCO452" s="741"/>
      <c r="LCP452" s="741"/>
      <c r="LCQ452" s="741"/>
      <c r="LCR452" s="741"/>
      <c r="LCS452" s="741"/>
      <c r="LCT452" s="741"/>
      <c r="LCU452" s="741"/>
      <c r="LCV452" s="741"/>
      <c r="LCW452" s="741"/>
      <c r="LCX452" s="741"/>
      <c r="LCY452" s="741"/>
      <c r="LCZ452" s="741"/>
      <c r="LDA452" s="741"/>
      <c r="LDB452" s="741"/>
      <c r="LDC452" s="741"/>
      <c r="LDD452" s="741"/>
      <c r="LDE452" s="741"/>
      <c r="LDF452" s="741"/>
      <c r="LDG452" s="741"/>
      <c r="LDH452" s="741"/>
      <c r="LDI452" s="741"/>
      <c r="LDJ452" s="741"/>
      <c r="LDK452" s="741"/>
      <c r="LDL452" s="741"/>
      <c r="LDM452" s="741"/>
      <c r="LDN452" s="741"/>
      <c r="LDO452" s="741"/>
      <c r="LDP452" s="741"/>
      <c r="LDQ452" s="741"/>
      <c r="LDR452" s="741"/>
      <c r="LDS452" s="741"/>
      <c r="LDT452" s="741"/>
      <c r="LDU452" s="741"/>
      <c r="LDV452" s="741"/>
      <c r="LDW452" s="741"/>
      <c r="LDX452" s="741"/>
      <c r="LDY452" s="741"/>
      <c r="LDZ452" s="741"/>
      <c r="LEA452" s="741"/>
      <c r="LEB452" s="741"/>
      <c r="LEC452" s="741"/>
      <c r="LED452" s="741"/>
      <c r="LEE452" s="741"/>
      <c r="LEF452" s="741"/>
      <c r="LEG452" s="741"/>
      <c r="LEH452" s="741"/>
      <c r="LEI452" s="741"/>
      <c r="LEJ452" s="741"/>
      <c r="LEK452" s="741"/>
      <c r="LEL452" s="741"/>
      <c r="LEM452" s="741"/>
      <c r="LEN452" s="741"/>
      <c r="LEO452" s="741"/>
      <c r="LEP452" s="741"/>
      <c r="LEQ452" s="741"/>
      <c r="LER452" s="741"/>
      <c r="LES452" s="741"/>
      <c r="LET452" s="741"/>
      <c r="LEU452" s="741"/>
      <c r="LEV452" s="741"/>
      <c r="LEW452" s="741"/>
      <c r="LEX452" s="741"/>
      <c r="LEY452" s="741"/>
      <c r="LEZ452" s="741"/>
      <c r="LFA452" s="741"/>
      <c r="LFB452" s="741"/>
      <c r="LFC452" s="741"/>
      <c r="LFD452" s="741"/>
      <c r="LFE452" s="741"/>
      <c r="LFF452" s="741"/>
      <c r="LFG452" s="741"/>
      <c r="LFH452" s="741"/>
      <c r="LFI452" s="741"/>
      <c r="LFJ452" s="741"/>
      <c r="LFK452" s="741"/>
      <c r="LFL452" s="741"/>
      <c r="LFM452" s="741"/>
      <c r="LFN452" s="741"/>
      <c r="LFO452" s="741"/>
      <c r="LFP452" s="741"/>
      <c r="LFQ452" s="741"/>
      <c r="LFR452" s="741"/>
      <c r="LFS452" s="741"/>
      <c r="LFT452" s="741"/>
      <c r="LFU452" s="741"/>
      <c r="LFV452" s="741"/>
      <c r="LFW452" s="741"/>
      <c r="LFX452" s="741"/>
      <c r="LFY452" s="741"/>
      <c r="LFZ452" s="741"/>
      <c r="LGA452" s="741"/>
      <c r="LGB452" s="741"/>
      <c r="LGC452" s="741"/>
      <c r="LGD452" s="741"/>
      <c r="LGE452" s="741"/>
      <c r="LGF452" s="741"/>
      <c r="LGG452" s="741"/>
      <c r="LGH452" s="741"/>
      <c r="LGI452" s="741"/>
      <c r="LGJ452" s="741"/>
      <c r="LGK452" s="741"/>
      <c r="LGL452" s="741"/>
      <c r="LGM452" s="741"/>
      <c r="LGN452" s="741"/>
      <c r="LGO452" s="741"/>
      <c r="LGP452" s="741"/>
      <c r="LGQ452" s="741"/>
      <c r="LGR452" s="741"/>
      <c r="LGS452" s="741"/>
      <c r="LGT452" s="741"/>
      <c r="LGU452" s="741"/>
      <c r="LGV452" s="741"/>
      <c r="LGW452" s="741"/>
      <c r="LGX452" s="741"/>
      <c r="LGY452" s="741"/>
      <c r="LGZ452" s="741"/>
      <c r="LHA452" s="741"/>
      <c r="LHB452" s="741"/>
      <c r="LHC452" s="741"/>
      <c r="LHD452" s="741"/>
      <c r="LHE452" s="741"/>
      <c r="LHF452" s="741"/>
      <c r="LHG452" s="741"/>
      <c r="LHH452" s="741"/>
      <c r="LHI452" s="741"/>
      <c r="LHJ452" s="741"/>
      <c r="LHK452" s="741"/>
      <c r="LHL452" s="741"/>
      <c r="LHM452" s="741"/>
      <c r="LHN452" s="741"/>
      <c r="LHO452" s="741"/>
      <c r="LHP452" s="741"/>
      <c r="LHQ452" s="741"/>
      <c r="LHR452" s="741"/>
      <c r="LHS452" s="741"/>
      <c r="LHT452" s="741"/>
      <c r="LHU452" s="741"/>
      <c r="LHV452" s="741"/>
      <c r="LHW452" s="741"/>
      <c r="LHX452" s="741"/>
      <c r="LHY452" s="741"/>
      <c r="LHZ452" s="741"/>
      <c r="LIA452" s="741"/>
      <c r="LIB452" s="741"/>
      <c r="LIC452" s="741"/>
      <c r="LID452" s="741"/>
      <c r="LIE452" s="741"/>
      <c r="LIF452" s="741"/>
      <c r="LIG452" s="741"/>
      <c r="LIH452" s="741"/>
      <c r="LII452" s="741"/>
      <c r="LIJ452" s="741"/>
      <c r="LIK452" s="741"/>
      <c r="LIL452" s="741"/>
      <c r="LIM452" s="741"/>
      <c r="LIN452" s="741"/>
      <c r="LIO452" s="741"/>
      <c r="LIP452" s="741"/>
      <c r="LIQ452" s="741"/>
      <c r="LIR452" s="741"/>
      <c r="LIS452" s="741"/>
      <c r="LIT452" s="741"/>
      <c r="LIU452" s="741"/>
      <c r="LIV452" s="741"/>
      <c r="LIW452" s="741"/>
      <c r="LIX452" s="741"/>
      <c r="LIY452" s="741"/>
      <c r="LIZ452" s="741"/>
      <c r="LJA452" s="741"/>
      <c r="LJB452" s="741"/>
      <c r="LJC452" s="741"/>
      <c r="LJD452" s="741"/>
      <c r="LJE452" s="741"/>
      <c r="LJF452" s="741"/>
      <c r="LJG452" s="741"/>
      <c r="LJH452" s="741"/>
      <c r="LJI452" s="741"/>
      <c r="LJJ452" s="741"/>
      <c r="LJK452" s="741"/>
      <c r="LJL452" s="741"/>
      <c r="LJM452" s="741"/>
      <c r="LJN452" s="741"/>
      <c r="LJO452" s="741"/>
      <c r="LJP452" s="741"/>
      <c r="LJQ452" s="741"/>
      <c r="LJR452" s="741"/>
      <c r="LJS452" s="741"/>
      <c r="LJT452" s="741"/>
      <c r="LJU452" s="741"/>
      <c r="LJV452" s="741"/>
      <c r="LJW452" s="741"/>
      <c r="LJX452" s="741"/>
      <c r="LJY452" s="741"/>
      <c r="LJZ452" s="741"/>
      <c r="LKA452" s="741"/>
      <c r="LKB452" s="741"/>
      <c r="LKC452" s="741"/>
      <c r="LKD452" s="741"/>
      <c r="LKE452" s="741"/>
      <c r="LKF452" s="741"/>
      <c r="LKG452" s="741"/>
      <c r="LKH452" s="741"/>
      <c r="LKI452" s="741"/>
      <c r="LKJ452" s="741"/>
      <c r="LKK452" s="741"/>
      <c r="LKL452" s="741"/>
      <c r="LKM452" s="741"/>
      <c r="LKN452" s="741"/>
      <c r="LKO452" s="741"/>
      <c r="LKP452" s="741"/>
      <c r="LKQ452" s="741"/>
      <c r="LKR452" s="741"/>
      <c r="LKS452" s="741"/>
      <c r="LKT452" s="741"/>
      <c r="LKU452" s="741"/>
      <c r="LKV452" s="741"/>
      <c r="LKW452" s="741"/>
      <c r="LKX452" s="741"/>
      <c r="LKY452" s="741"/>
      <c r="LKZ452" s="741"/>
      <c r="LLA452" s="741"/>
      <c r="LLB452" s="741"/>
      <c r="LLC452" s="741"/>
      <c r="LLD452" s="741"/>
      <c r="LLE452" s="741"/>
      <c r="LLF452" s="741"/>
      <c r="LLG452" s="741"/>
      <c r="LLH452" s="741"/>
      <c r="LLI452" s="741"/>
      <c r="LLJ452" s="741"/>
      <c r="LLK452" s="741"/>
      <c r="LLL452" s="741"/>
      <c r="LLM452" s="741"/>
      <c r="LLN452" s="741"/>
      <c r="LLO452" s="741"/>
      <c r="LLP452" s="741"/>
      <c r="LLQ452" s="741"/>
      <c r="LLR452" s="741"/>
      <c r="LLS452" s="741"/>
      <c r="LLT452" s="741"/>
      <c r="LLU452" s="741"/>
      <c r="LLV452" s="741"/>
      <c r="LLW452" s="741"/>
      <c r="LLX452" s="741"/>
      <c r="LLY452" s="741"/>
      <c r="LLZ452" s="741"/>
      <c r="LMA452" s="741"/>
      <c r="LMB452" s="741"/>
      <c r="LMC452" s="741"/>
      <c r="LMD452" s="741"/>
      <c r="LME452" s="741"/>
      <c r="LMF452" s="741"/>
      <c r="LMG452" s="741"/>
      <c r="LMH452" s="741"/>
      <c r="LMI452" s="741"/>
      <c r="LMJ452" s="741"/>
      <c r="LMK452" s="741"/>
      <c r="LML452" s="741"/>
      <c r="LMM452" s="741"/>
      <c r="LMN452" s="741"/>
      <c r="LMO452" s="741"/>
      <c r="LMP452" s="741"/>
      <c r="LMQ452" s="741"/>
      <c r="LMR452" s="741"/>
      <c r="LMS452" s="741"/>
      <c r="LMT452" s="741"/>
      <c r="LMU452" s="741"/>
      <c r="LMV452" s="741"/>
      <c r="LMW452" s="741"/>
      <c r="LMX452" s="741"/>
      <c r="LMY452" s="741"/>
      <c r="LMZ452" s="741"/>
      <c r="LNA452" s="741"/>
      <c r="LNB452" s="741"/>
      <c r="LNC452" s="741"/>
      <c r="LND452" s="741"/>
      <c r="LNE452" s="741"/>
      <c r="LNF452" s="741"/>
      <c r="LNG452" s="741"/>
      <c r="LNH452" s="741"/>
      <c r="LNI452" s="741"/>
      <c r="LNJ452" s="741"/>
      <c r="LNK452" s="741"/>
      <c r="LNL452" s="741"/>
      <c r="LNM452" s="741"/>
      <c r="LNN452" s="741"/>
      <c r="LNO452" s="741"/>
      <c r="LNP452" s="741"/>
      <c r="LNQ452" s="741"/>
      <c r="LNR452" s="741"/>
      <c r="LNS452" s="741"/>
      <c r="LNT452" s="741"/>
      <c r="LNU452" s="741"/>
      <c r="LNV452" s="741"/>
      <c r="LNW452" s="741"/>
      <c r="LNX452" s="741"/>
      <c r="LNY452" s="741"/>
      <c r="LNZ452" s="741"/>
      <c r="LOA452" s="741"/>
      <c r="LOB452" s="741"/>
      <c r="LOC452" s="741"/>
      <c r="LOD452" s="741"/>
      <c r="LOE452" s="741"/>
      <c r="LOF452" s="741"/>
      <c r="LOG452" s="741"/>
      <c r="LOH452" s="741"/>
      <c r="LOI452" s="741"/>
      <c r="LOJ452" s="741"/>
      <c r="LOK452" s="741"/>
      <c r="LOL452" s="741"/>
      <c r="LOM452" s="741"/>
      <c r="LON452" s="741"/>
      <c r="LOO452" s="741"/>
      <c r="LOP452" s="741"/>
      <c r="LOQ452" s="741"/>
      <c r="LOR452" s="741"/>
      <c r="LOS452" s="741"/>
      <c r="LOT452" s="741"/>
      <c r="LOU452" s="741"/>
      <c r="LOV452" s="741"/>
      <c r="LOW452" s="741"/>
      <c r="LOX452" s="741"/>
      <c r="LOY452" s="741"/>
      <c r="LOZ452" s="741"/>
      <c r="LPA452" s="741"/>
      <c r="LPB452" s="741"/>
      <c r="LPC452" s="741"/>
      <c r="LPD452" s="741"/>
      <c r="LPE452" s="741"/>
      <c r="LPF452" s="741"/>
      <c r="LPG452" s="741"/>
      <c r="LPH452" s="741"/>
      <c r="LPI452" s="741"/>
      <c r="LPJ452" s="741"/>
      <c r="LPK452" s="741"/>
      <c r="LPL452" s="741"/>
      <c r="LPM452" s="741"/>
      <c r="LPN452" s="741"/>
      <c r="LPO452" s="741"/>
      <c r="LPP452" s="741"/>
      <c r="LPQ452" s="741"/>
      <c r="LPR452" s="741"/>
      <c r="LPS452" s="741"/>
      <c r="LPT452" s="741"/>
      <c r="LPU452" s="741"/>
      <c r="LPV452" s="741"/>
      <c r="LPW452" s="741"/>
      <c r="LPX452" s="741"/>
      <c r="LPY452" s="741"/>
      <c r="LPZ452" s="741"/>
      <c r="LQA452" s="741"/>
      <c r="LQB452" s="741"/>
      <c r="LQC452" s="741"/>
      <c r="LQD452" s="741"/>
      <c r="LQE452" s="741"/>
      <c r="LQF452" s="741"/>
      <c r="LQG452" s="741"/>
      <c r="LQH452" s="741"/>
      <c r="LQI452" s="741"/>
      <c r="LQJ452" s="741"/>
      <c r="LQK452" s="741"/>
      <c r="LQL452" s="741"/>
      <c r="LQM452" s="741"/>
      <c r="LQN452" s="741"/>
      <c r="LQO452" s="741"/>
      <c r="LQP452" s="741"/>
      <c r="LQQ452" s="741"/>
      <c r="LQR452" s="741"/>
      <c r="LQS452" s="741"/>
      <c r="LQT452" s="741"/>
      <c r="LQU452" s="741"/>
      <c r="LQV452" s="741"/>
      <c r="LQW452" s="741"/>
      <c r="LQX452" s="741"/>
      <c r="LQY452" s="741"/>
      <c r="LQZ452" s="741"/>
      <c r="LRA452" s="741"/>
      <c r="LRB452" s="741"/>
      <c r="LRC452" s="741"/>
      <c r="LRD452" s="741"/>
      <c r="LRE452" s="741"/>
      <c r="LRF452" s="741"/>
      <c r="LRG452" s="741"/>
      <c r="LRH452" s="741"/>
      <c r="LRI452" s="741"/>
      <c r="LRJ452" s="741"/>
      <c r="LRK452" s="741"/>
      <c r="LRL452" s="741"/>
      <c r="LRM452" s="741"/>
      <c r="LRN452" s="741"/>
      <c r="LRO452" s="741"/>
      <c r="LRP452" s="741"/>
      <c r="LRQ452" s="741"/>
      <c r="LRR452" s="741"/>
      <c r="LRS452" s="741"/>
      <c r="LRT452" s="741"/>
      <c r="LRU452" s="741"/>
      <c r="LRV452" s="741"/>
      <c r="LRW452" s="741"/>
      <c r="LRX452" s="741"/>
      <c r="LRY452" s="741"/>
      <c r="LRZ452" s="741"/>
      <c r="LSA452" s="741"/>
      <c r="LSB452" s="741"/>
      <c r="LSC452" s="741"/>
      <c r="LSD452" s="741"/>
      <c r="LSE452" s="741"/>
      <c r="LSF452" s="741"/>
      <c r="LSG452" s="741"/>
      <c r="LSH452" s="741"/>
      <c r="LSI452" s="741"/>
      <c r="LSJ452" s="741"/>
      <c r="LSK452" s="741"/>
      <c r="LSL452" s="741"/>
      <c r="LSM452" s="741"/>
      <c r="LSN452" s="741"/>
      <c r="LSO452" s="741"/>
      <c r="LSP452" s="741"/>
      <c r="LSQ452" s="741"/>
      <c r="LSR452" s="741"/>
      <c r="LSS452" s="741"/>
      <c r="LST452" s="741"/>
      <c r="LSU452" s="741"/>
      <c r="LSV452" s="741"/>
      <c r="LSW452" s="741"/>
      <c r="LSX452" s="741"/>
      <c r="LSY452" s="741"/>
      <c r="LSZ452" s="741"/>
      <c r="LTA452" s="741"/>
      <c r="LTB452" s="741"/>
      <c r="LTC452" s="741"/>
      <c r="LTD452" s="741"/>
      <c r="LTE452" s="741"/>
      <c r="LTF452" s="741"/>
      <c r="LTG452" s="741"/>
      <c r="LTH452" s="741"/>
      <c r="LTI452" s="741"/>
      <c r="LTJ452" s="741"/>
      <c r="LTK452" s="741"/>
      <c r="LTL452" s="741"/>
      <c r="LTM452" s="741"/>
      <c r="LTN452" s="741"/>
      <c r="LTO452" s="741"/>
      <c r="LTP452" s="741"/>
      <c r="LTQ452" s="741"/>
      <c r="LTR452" s="741"/>
      <c r="LTS452" s="741"/>
      <c r="LTT452" s="741"/>
      <c r="LTU452" s="741"/>
      <c r="LTV452" s="741"/>
      <c r="LTW452" s="741"/>
      <c r="LTX452" s="741"/>
      <c r="LTY452" s="741"/>
      <c r="LTZ452" s="741"/>
      <c r="LUA452" s="741"/>
      <c r="LUB452" s="741"/>
      <c r="LUC452" s="741"/>
      <c r="LUD452" s="741"/>
      <c r="LUE452" s="741"/>
      <c r="LUF452" s="741"/>
      <c r="LUG452" s="741"/>
      <c r="LUH452" s="741"/>
      <c r="LUI452" s="741"/>
      <c r="LUJ452" s="741"/>
      <c r="LUK452" s="741"/>
      <c r="LUL452" s="741"/>
      <c r="LUM452" s="741"/>
      <c r="LUN452" s="741"/>
      <c r="LUO452" s="741"/>
      <c r="LUP452" s="741"/>
      <c r="LUQ452" s="741"/>
      <c r="LUR452" s="741"/>
      <c r="LUS452" s="741"/>
      <c r="LUT452" s="741"/>
      <c r="LUU452" s="741"/>
      <c r="LUV452" s="741"/>
      <c r="LUW452" s="741"/>
      <c r="LUX452" s="741"/>
      <c r="LUY452" s="741"/>
      <c r="LUZ452" s="741"/>
      <c r="LVA452" s="741"/>
      <c r="LVB452" s="741"/>
      <c r="LVC452" s="741"/>
      <c r="LVD452" s="741"/>
      <c r="LVE452" s="741"/>
      <c r="LVF452" s="741"/>
      <c r="LVG452" s="741"/>
      <c r="LVH452" s="741"/>
      <c r="LVI452" s="741"/>
      <c r="LVJ452" s="741"/>
      <c r="LVK452" s="741"/>
      <c r="LVL452" s="741"/>
      <c r="LVM452" s="741"/>
      <c r="LVN452" s="741"/>
      <c r="LVO452" s="741"/>
      <c r="LVP452" s="741"/>
      <c r="LVQ452" s="741"/>
      <c r="LVR452" s="741"/>
      <c r="LVS452" s="741"/>
      <c r="LVT452" s="741"/>
      <c r="LVU452" s="741"/>
      <c r="LVV452" s="741"/>
      <c r="LVW452" s="741"/>
      <c r="LVX452" s="741"/>
      <c r="LVY452" s="741"/>
      <c r="LVZ452" s="741"/>
      <c r="LWA452" s="741"/>
      <c r="LWB452" s="741"/>
      <c r="LWC452" s="741"/>
      <c r="LWD452" s="741"/>
      <c r="LWE452" s="741"/>
      <c r="LWF452" s="741"/>
      <c r="LWG452" s="741"/>
      <c r="LWH452" s="741"/>
      <c r="LWI452" s="741"/>
      <c r="LWJ452" s="741"/>
      <c r="LWK452" s="741"/>
      <c r="LWL452" s="741"/>
      <c r="LWM452" s="741"/>
      <c r="LWN452" s="741"/>
      <c r="LWO452" s="741"/>
      <c r="LWP452" s="741"/>
      <c r="LWQ452" s="741"/>
      <c r="LWR452" s="741"/>
      <c r="LWS452" s="741"/>
      <c r="LWT452" s="741"/>
      <c r="LWU452" s="741"/>
      <c r="LWV452" s="741"/>
      <c r="LWW452" s="741"/>
      <c r="LWX452" s="741"/>
      <c r="LWY452" s="741"/>
      <c r="LWZ452" s="741"/>
      <c r="LXA452" s="741"/>
      <c r="LXB452" s="741"/>
      <c r="LXC452" s="741"/>
      <c r="LXD452" s="741"/>
      <c r="LXE452" s="741"/>
      <c r="LXF452" s="741"/>
      <c r="LXG452" s="741"/>
      <c r="LXH452" s="741"/>
      <c r="LXI452" s="741"/>
      <c r="LXJ452" s="741"/>
      <c r="LXK452" s="741"/>
      <c r="LXL452" s="741"/>
      <c r="LXM452" s="741"/>
      <c r="LXN452" s="741"/>
      <c r="LXO452" s="741"/>
      <c r="LXP452" s="741"/>
      <c r="LXQ452" s="741"/>
      <c r="LXR452" s="741"/>
      <c r="LXS452" s="741"/>
      <c r="LXT452" s="741"/>
      <c r="LXU452" s="741"/>
      <c r="LXV452" s="741"/>
      <c r="LXW452" s="741"/>
      <c r="LXX452" s="741"/>
      <c r="LXY452" s="741"/>
      <c r="LXZ452" s="741"/>
      <c r="LYA452" s="741"/>
      <c r="LYB452" s="741"/>
      <c r="LYC452" s="741"/>
      <c r="LYD452" s="741"/>
      <c r="LYE452" s="741"/>
      <c r="LYF452" s="741"/>
      <c r="LYG452" s="741"/>
      <c r="LYH452" s="741"/>
      <c r="LYI452" s="741"/>
      <c r="LYJ452" s="741"/>
      <c r="LYK452" s="741"/>
      <c r="LYL452" s="741"/>
      <c r="LYM452" s="741"/>
      <c r="LYN452" s="741"/>
      <c r="LYO452" s="741"/>
      <c r="LYP452" s="741"/>
      <c r="LYQ452" s="741"/>
      <c r="LYR452" s="741"/>
      <c r="LYS452" s="741"/>
      <c r="LYT452" s="741"/>
      <c r="LYU452" s="741"/>
      <c r="LYV452" s="741"/>
      <c r="LYW452" s="741"/>
      <c r="LYX452" s="741"/>
      <c r="LYY452" s="741"/>
      <c r="LYZ452" s="741"/>
      <c r="LZA452" s="741"/>
      <c r="LZB452" s="741"/>
      <c r="LZC452" s="741"/>
      <c r="LZD452" s="741"/>
      <c r="LZE452" s="741"/>
      <c r="LZF452" s="741"/>
      <c r="LZG452" s="741"/>
      <c r="LZH452" s="741"/>
      <c r="LZI452" s="741"/>
      <c r="LZJ452" s="741"/>
      <c r="LZK452" s="741"/>
      <c r="LZL452" s="741"/>
      <c r="LZM452" s="741"/>
      <c r="LZN452" s="741"/>
      <c r="LZO452" s="741"/>
      <c r="LZP452" s="741"/>
      <c r="LZQ452" s="741"/>
      <c r="LZR452" s="741"/>
      <c r="LZS452" s="741"/>
      <c r="LZT452" s="741"/>
      <c r="LZU452" s="741"/>
      <c r="LZV452" s="741"/>
      <c r="LZW452" s="741"/>
      <c r="LZX452" s="741"/>
      <c r="LZY452" s="741"/>
      <c r="LZZ452" s="741"/>
      <c r="MAA452" s="741"/>
      <c r="MAB452" s="741"/>
      <c r="MAC452" s="741"/>
      <c r="MAD452" s="741"/>
      <c r="MAE452" s="741"/>
      <c r="MAF452" s="741"/>
      <c r="MAG452" s="741"/>
      <c r="MAH452" s="741"/>
      <c r="MAI452" s="741"/>
      <c r="MAJ452" s="741"/>
      <c r="MAK452" s="741"/>
      <c r="MAL452" s="741"/>
      <c r="MAM452" s="741"/>
      <c r="MAN452" s="741"/>
      <c r="MAO452" s="741"/>
      <c r="MAP452" s="741"/>
      <c r="MAQ452" s="741"/>
      <c r="MAR452" s="741"/>
      <c r="MAS452" s="741"/>
      <c r="MAT452" s="741"/>
      <c r="MAU452" s="741"/>
      <c r="MAV452" s="741"/>
      <c r="MAW452" s="741"/>
      <c r="MAX452" s="741"/>
      <c r="MAY452" s="741"/>
      <c r="MAZ452" s="741"/>
      <c r="MBA452" s="741"/>
      <c r="MBB452" s="741"/>
      <c r="MBC452" s="741"/>
      <c r="MBD452" s="741"/>
      <c r="MBE452" s="741"/>
      <c r="MBF452" s="741"/>
      <c r="MBG452" s="741"/>
      <c r="MBH452" s="741"/>
      <c r="MBI452" s="741"/>
      <c r="MBJ452" s="741"/>
      <c r="MBK452" s="741"/>
      <c r="MBL452" s="741"/>
      <c r="MBM452" s="741"/>
      <c r="MBN452" s="741"/>
      <c r="MBO452" s="741"/>
      <c r="MBP452" s="741"/>
      <c r="MBQ452" s="741"/>
      <c r="MBR452" s="741"/>
      <c r="MBS452" s="741"/>
      <c r="MBT452" s="741"/>
      <c r="MBU452" s="741"/>
      <c r="MBV452" s="741"/>
      <c r="MBW452" s="741"/>
      <c r="MBX452" s="741"/>
      <c r="MBY452" s="741"/>
      <c r="MBZ452" s="741"/>
      <c r="MCA452" s="741"/>
      <c r="MCB452" s="741"/>
      <c r="MCC452" s="741"/>
      <c r="MCD452" s="741"/>
      <c r="MCE452" s="741"/>
      <c r="MCF452" s="741"/>
      <c r="MCG452" s="741"/>
      <c r="MCH452" s="741"/>
      <c r="MCI452" s="741"/>
      <c r="MCJ452" s="741"/>
      <c r="MCK452" s="741"/>
      <c r="MCL452" s="741"/>
      <c r="MCM452" s="741"/>
      <c r="MCN452" s="741"/>
      <c r="MCO452" s="741"/>
      <c r="MCP452" s="741"/>
      <c r="MCQ452" s="741"/>
      <c r="MCR452" s="741"/>
      <c r="MCS452" s="741"/>
      <c r="MCT452" s="741"/>
      <c r="MCU452" s="741"/>
      <c r="MCV452" s="741"/>
      <c r="MCW452" s="741"/>
      <c r="MCX452" s="741"/>
      <c r="MCY452" s="741"/>
      <c r="MCZ452" s="741"/>
      <c r="MDA452" s="741"/>
      <c r="MDB452" s="741"/>
      <c r="MDC452" s="741"/>
      <c r="MDD452" s="741"/>
      <c r="MDE452" s="741"/>
      <c r="MDF452" s="741"/>
      <c r="MDG452" s="741"/>
      <c r="MDH452" s="741"/>
      <c r="MDI452" s="741"/>
      <c r="MDJ452" s="741"/>
      <c r="MDK452" s="741"/>
      <c r="MDL452" s="741"/>
      <c r="MDM452" s="741"/>
      <c r="MDN452" s="741"/>
      <c r="MDO452" s="741"/>
      <c r="MDP452" s="741"/>
      <c r="MDQ452" s="741"/>
      <c r="MDR452" s="741"/>
      <c r="MDS452" s="741"/>
      <c r="MDT452" s="741"/>
      <c r="MDU452" s="741"/>
      <c r="MDV452" s="741"/>
      <c r="MDW452" s="741"/>
      <c r="MDX452" s="741"/>
      <c r="MDY452" s="741"/>
      <c r="MDZ452" s="741"/>
      <c r="MEA452" s="741"/>
      <c r="MEB452" s="741"/>
      <c r="MEC452" s="741"/>
      <c r="MED452" s="741"/>
      <c r="MEE452" s="741"/>
      <c r="MEF452" s="741"/>
      <c r="MEG452" s="741"/>
      <c r="MEH452" s="741"/>
      <c r="MEI452" s="741"/>
      <c r="MEJ452" s="741"/>
      <c r="MEK452" s="741"/>
      <c r="MEL452" s="741"/>
      <c r="MEM452" s="741"/>
      <c r="MEN452" s="741"/>
      <c r="MEO452" s="741"/>
      <c r="MEP452" s="741"/>
      <c r="MEQ452" s="741"/>
      <c r="MER452" s="741"/>
      <c r="MES452" s="741"/>
      <c r="MET452" s="741"/>
      <c r="MEU452" s="741"/>
      <c r="MEV452" s="741"/>
      <c r="MEW452" s="741"/>
      <c r="MEX452" s="741"/>
      <c r="MEY452" s="741"/>
      <c r="MEZ452" s="741"/>
      <c r="MFA452" s="741"/>
      <c r="MFB452" s="741"/>
      <c r="MFC452" s="741"/>
      <c r="MFD452" s="741"/>
      <c r="MFE452" s="741"/>
      <c r="MFF452" s="741"/>
      <c r="MFG452" s="741"/>
      <c r="MFH452" s="741"/>
      <c r="MFI452" s="741"/>
      <c r="MFJ452" s="741"/>
      <c r="MFK452" s="741"/>
      <c r="MFL452" s="741"/>
      <c r="MFM452" s="741"/>
      <c r="MFN452" s="741"/>
      <c r="MFO452" s="741"/>
      <c r="MFP452" s="741"/>
      <c r="MFQ452" s="741"/>
      <c r="MFR452" s="741"/>
      <c r="MFS452" s="741"/>
      <c r="MFT452" s="741"/>
      <c r="MFU452" s="741"/>
      <c r="MFV452" s="741"/>
      <c r="MFW452" s="741"/>
      <c r="MFX452" s="741"/>
      <c r="MFY452" s="741"/>
      <c r="MFZ452" s="741"/>
      <c r="MGA452" s="741"/>
      <c r="MGB452" s="741"/>
      <c r="MGC452" s="741"/>
      <c r="MGD452" s="741"/>
      <c r="MGE452" s="741"/>
      <c r="MGF452" s="741"/>
      <c r="MGG452" s="741"/>
      <c r="MGH452" s="741"/>
      <c r="MGI452" s="741"/>
      <c r="MGJ452" s="741"/>
      <c r="MGK452" s="741"/>
      <c r="MGL452" s="741"/>
      <c r="MGM452" s="741"/>
      <c r="MGN452" s="741"/>
      <c r="MGO452" s="741"/>
      <c r="MGP452" s="741"/>
      <c r="MGQ452" s="741"/>
      <c r="MGR452" s="741"/>
      <c r="MGS452" s="741"/>
      <c r="MGT452" s="741"/>
      <c r="MGU452" s="741"/>
      <c r="MGV452" s="741"/>
      <c r="MGW452" s="741"/>
      <c r="MGX452" s="741"/>
      <c r="MGY452" s="741"/>
      <c r="MGZ452" s="741"/>
      <c r="MHA452" s="741"/>
      <c r="MHB452" s="741"/>
      <c r="MHC452" s="741"/>
      <c r="MHD452" s="741"/>
      <c r="MHE452" s="741"/>
      <c r="MHF452" s="741"/>
      <c r="MHG452" s="741"/>
      <c r="MHH452" s="741"/>
      <c r="MHI452" s="741"/>
      <c r="MHJ452" s="741"/>
      <c r="MHK452" s="741"/>
      <c r="MHL452" s="741"/>
      <c r="MHM452" s="741"/>
      <c r="MHN452" s="741"/>
      <c r="MHO452" s="741"/>
      <c r="MHP452" s="741"/>
      <c r="MHQ452" s="741"/>
      <c r="MHR452" s="741"/>
      <c r="MHS452" s="741"/>
      <c r="MHT452" s="741"/>
      <c r="MHU452" s="741"/>
      <c r="MHV452" s="741"/>
      <c r="MHW452" s="741"/>
      <c r="MHX452" s="741"/>
      <c r="MHY452" s="741"/>
      <c r="MHZ452" s="741"/>
      <c r="MIA452" s="741"/>
      <c r="MIB452" s="741"/>
      <c r="MIC452" s="741"/>
      <c r="MID452" s="741"/>
      <c r="MIE452" s="741"/>
      <c r="MIF452" s="741"/>
      <c r="MIG452" s="741"/>
      <c r="MIH452" s="741"/>
      <c r="MII452" s="741"/>
      <c r="MIJ452" s="741"/>
      <c r="MIK452" s="741"/>
      <c r="MIL452" s="741"/>
      <c r="MIM452" s="741"/>
      <c r="MIN452" s="741"/>
      <c r="MIO452" s="741"/>
      <c r="MIP452" s="741"/>
      <c r="MIQ452" s="741"/>
      <c r="MIR452" s="741"/>
      <c r="MIS452" s="741"/>
      <c r="MIT452" s="741"/>
      <c r="MIU452" s="741"/>
      <c r="MIV452" s="741"/>
      <c r="MIW452" s="741"/>
      <c r="MIX452" s="741"/>
      <c r="MIY452" s="741"/>
      <c r="MIZ452" s="741"/>
      <c r="MJA452" s="741"/>
      <c r="MJB452" s="741"/>
      <c r="MJC452" s="741"/>
      <c r="MJD452" s="741"/>
      <c r="MJE452" s="741"/>
      <c r="MJF452" s="741"/>
      <c r="MJG452" s="741"/>
      <c r="MJH452" s="741"/>
      <c r="MJI452" s="741"/>
      <c r="MJJ452" s="741"/>
      <c r="MJK452" s="741"/>
      <c r="MJL452" s="741"/>
      <c r="MJM452" s="741"/>
      <c r="MJN452" s="741"/>
      <c r="MJO452" s="741"/>
      <c r="MJP452" s="741"/>
      <c r="MJQ452" s="741"/>
      <c r="MJR452" s="741"/>
      <c r="MJS452" s="741"/>
      <c r="MJT452" s="741"/>
      <c r="MJU452" s="741"/>
      <c r="MJV452" s="741"/>
      <c r="MJW452" s="741"/>
      <c r="MJX452" s="741"/>
      <c r="MJY452" s="741"/>
      <c r="MJZ452" s="741"/>
      <c r="MKA452" s="741"/>
      <c r="MKB452" s="741"/>
      <c r="MKC452" s="741"/>
      <c r="MKD452" s="741"/>
      <c r="MKE452" s="741"/>
      <c r="MKF452" s="741"/>
      <c r="MKG452" s="741"/>
      <c r="MKH452" s="741"/>
      <c r="MKI452" s="741"/>
      <c r="MKJ452" s="741"/>
      <c r="MKK452" s="741"/>
      <c r="MKL452" s="741"/>
      <c r="MKM452" s="741"/>
      <c r="MKN452" s="741"/>
      <c r="MKO452" s="741"/>
      <c r="MKP452" s="741"/>
      <c r="MKQ452" s="741"/>
      <c r="MKR452" s="741"/>
      <c r="MKS452" s="741"/>
      <c r="MKT452" s="741"/>
      <c r="MKU452" s="741"/>
      <c r="MKV452" s="741"/>
      <c r="MKW452" s="741"/>
      <c r="MKX452" s="741"/>
      <c r="MKY452" s="741"/>
      <c r="MKZ452" s="741"/>
      <c r="MLA452" s="741"/>
      <c r="MLB452" s="741"/>
      <c r="MLC452" s="741"/>
      <c r="MLD452" s="741"/>
      <c r="MLE452" s="741"/>
      <c r="MLF452" s="741"/>
      <c r="MLG452" s="741"/>
      <c r="MLH452" s="741"/>
      <c r="MLI452" s="741"/>
      <c r="MLJ452" s="741"/>
      <c r="MLK452" s="741"/>
      <c r="MLL452" s="741"/>
      <c r="MLM452" s="741"/>
      <c r="MLN452" s="741"/>
      <c r="MLO452" s="741"/>
      <c r="MLP452" s="741"/>
      <c r="MLQ452" s="741"/>
      <c r="MLR452" s="741"/>
      <c r="MLS452" s="741"/>
      <c r="MLT452" s="741"/>
      <c r="MLU452" s="741"/>
      <c r="MLV452" s="741"/>
      <c r="MLW452" s="741"/>
      <c r="MLX452" s="741"/>
      <c r="MLY452" s="741"/>
      <c r="MLZ452" s="741"/>
      <c r="MMA452" s="741"/>
      <c r="MMB452" s="741"/>
      <c r="MMC452" s="741"/>
      <c r="MMD452" s="741"/>
      <c r="MME452" s="741"/>
      <c r="MMF452" s="741"/>
      <c r="MMG452" s="741"/>
      <c r="MMH452" s="741"/>
      <c r="MMI452" s="741"/>
      <c r="MMJ452" s="741"/>
      <c r="MMK452" s="741"/>
      <c r="MML452" s="741"/>
      <c r="MMM452" s="741"/>
      <c r="MMN452" s="741"/>
      <c r="MMO452" s="741"/>
      <c r="MMP452" s="741"/>
      <c r="MMQ452" s="741"/>
      <c r="MMR452" s="741"/>
      <c r="MMS452" s="741"/>
      <c r="MMT452" s="741"/>
      <c r="MMU452" s="741"/>
      <c r="MMV452" s="741"/>
      <c r="MMW452" s="741"/>
      <c r="MMX452" s="741"/>
      <c r="MMY452" s="741"/>
      <c r="MMZ452" s="741"/>
      <c r="MNA452" s="741"/>
      <c r="MNB452" s="741"/>
      <c r="MNC452" s="741"/>
      <c r="MND452" s="741"/>
      <c r="MNE452" s="741"/>
      <c r="MNF452" s="741"/>
      <c r="MNG452" s="741"/>
      <c r="MNH452" s="741"/>
      <c r="MNI452" s="741"/>
      <c r="MNJ452" s="741"/>
      <c r="MNK452" s="741"/>
      <c r="MNL452" s="741"/>
      <c r="MNM452" s="741"/>
      <c r="MNN452" s="741"/>
      <c r="MNO452" s="741"/>
      <c r="MNP452" s="741"/>
      <c r="MNQ452" s="741"/>
      <c r="MNR452" s="741"/>
      <c r="MNS452" s="741"/>
      <c r="MNT452" s="741"/>
      <c r="MNU452" s="741"/>
      <c r="MNV452" s="741"/>
      <c r="MNW452" s="741"/>
      <c r="MNX452" s="741"/>
      <c r="MNY452" s="741"/>
      <c r="MNZ452" s="741"/>
      <c r="MOA452" s="741"/>
      <c r="MOB452" s="741"/>
      <c r="MOC452" s="741"/>
      <c r="MOD452" s="741"/>
      <c r="MOE452" s="741"/>
      <c r="MOF452" s="741"/>
      <c r="MOG452" s="741"/>
      <c r="MOH452" s="741"/>
      <c r="MOI452" s="741"/>
      <c r="MOJ452" s="741"/>
      <c r="MOK452" s="741"/>
      <c r="MOL452" s="741"/>
      <c r="MOM452" s="741"/>
      <c r="MON452" s="741"/>
      <c r="MOO452" s="741"/>
      <c r="MOP452" s="741"/>
      <c r="MOQ452" s="741"/>
      <c r="MOR452" s="741"/>
      <c r="MOS452" s="741"/>
      <c r="MOT452" s="741"/>
      <c r="MOU452" s="741"/>
      <c r="MOV452" s="741"/>
      <c r="MOW452" s="741"/>
      <c r="MOX452" s="741"/>
      <c r="MOY452" s="741"/>
      <c r="MOZ452" s="741"/>
      <c r="MPA452" s="741"/>
      <c r="MPB452" s="741"/>
      <c r="MPC452" s="741"/>
      <c r="MPD452" s="741"/>
      <c r="MPE452" s="741"/>
      <c r="MPF452" s="741"/>
      <c r="MPG452" s="741"/>
      <c r="MPH452" s="741"/>
      <c r="MPI452" s="741"/>
      <c r="MPJ452" s="741"/>
      <c r="MPK452" s="741"/>
      <c r="MPL452" s="741"/>
      <c r="MPM452" s="741"/>
      <c r="MPN452" s="741"/>
      <c r="MPO452" s="741"/>
      <c r="MPP452" s="741"/>
      <c r="MPQ452" s="741"/>
      <c r="MPR452" s="741"/>
      <c r="MPS452" s="741"/>
      <c r="MPT452" s="741"/>
      <c r="MPU452" s="741"/>
      <c r="MPV452" s="741"/>
      <c r="MPW452" s="741"/>
      <c r="MPX452" s="741"/>
      <c r="MPY452" s="741"/>
      <c r="MPZ452" s="741"/>
      <c r="MQA452" s="741"/>
      <c r="MQB452" s="741"/>
      <c r="MQC452" s="741"/>
      <c r="MQD452" s="741"/>
      <c r="MQE452" s="741"/>
      <c r="MQF452" s="741"/>
      <c r="MQG452" s="741"/>
      <c r="MQH452" s="741"/>
      <c r="MQI452" s="741"/>
      <c r="MQJ452" s="741"/>
      <c r="MQK452" s="741"/>
      <c r="MQL452" s="741"/>
      <c r="MQM452" s="741"/>
      <c r="MQN452" s="741"/>
      <c r="MQO452" s="741"/>
      <c r="MQP452" s="741"/>
      <c r="MQQ452" s="741"/>
      <c r="MQR452" s="741"/>
      <c r="MQS452" s="741"/>
      <c r="MQT452" s="741"/>
      <c r="MQU452" s="741"/>
      <c r="MQV452" s="741"/>
      <c r="MQW452" s="741"/>
      <c r="MQX452" s="741"/>
      <c r="MQY452" s="741"/>
      <c r="MQZ452" s="741"/>
      <c r="MRA452" s="741"/>
      <c r="MRB452" s="741"/>
      <c r="MRC452" s="741"/>
      <c r="MRD452" s="741"/>
      <c r="MRE452" s="741"/>
      <c r="MRF452" s="741"/>
      <c r="MRG452" s="741"/>
      <c r="MRH452" s="741"/>
      <c r="MRI452" s="741"/>
      <c r="MRJ452" s="741"/>
      <c r="MRK452" s="741"/>
      <c r="MRL452" s="741"/>
      <c r="MRM452" s="741"/>
      <c r="MRN452" s="741"/>
      <c r="MRO452" s="741"/>
      <c r="MRP452" s="741"/>
      <c r="MRQ452" s="741"/>
      <c r="MRR452" s="741"/>
      <c r="MRS452" s="741"/>
      <c r="MRT452" s="741"/>
      <c r="MRU452" s="741"/>
      <c r="MRV452" s="741"/>
      <c r="MRW452" s="741"/>
      <c r="MRX452" s="741"/>
      <c r="MRY452" s="741"/>
      <c r="MRZ452" s="741"/>
      <c r="MSA452" s="741"/>
      <c r="MSB452" s="741"/>
      <c r="MSC452" s="741"/>
      <c r="MSD452" s="741"/>
      <c r="MSE452" s="741"/>
      <c r="MSF452" s="741"/>
      <c r="MSG452" s="741"/>
      <c r="MSH452" s="741"/>
      <c r="MSI452" s="741"/>
      <c r="MSJ452" s="741"/>
      <c r="MSK452" s="741"/>
      <c r="MSL452" s="741"/>
      <c r="MSM452" s="741"/>
      <c r="MSN452" s="741"/>
      <c r="MSO452" s="741"/>
      <c r="MSP452" s="741"/>
      <c r="MSQ452" s="741"/>
      <c r="MSR452" s="741"/>
      <c r="MSS452" s="741"/>
      <c r="MST452" s="741"/>
      <c r="MSU452" s="741"/>
      <c r="MSV452" s="741"/>
      <c r="MSW452" s="741"/>
      <c r="MSX452" s="741"/>
      <c r="MSY452" s="741"/>
      <c r="MSZ452" s="741"/>
      <c r="MTA452" s="741"/>
      <c r="MTB452" s="741"/>
      <c r="MTC452" s="741"/>
      <c r="MTD452" s="741"/>
      <c r="MTE452" s="741"/>
      <c r="MTF452" s="741"/>
      <c r="MTG452" s="741"/>
      <c r="MTH452" s="741"/>
      <c r="MTI452" s="741"/>
      <c r="MTJ452" s="741"/>
      <c r="MTK452" s="741"/>
      <c r="MTL452" s="741"/>
      <c r="MTM452" s="741"/>
      <c r="MTN452" s="741"/>
      <c r="MTO452" s="741"/>
      <c r="MTP452" s="741"/>
      <c r="MTQ452" s="741"/>
      <c r="MTR452" s="741"/>
      <c r="MTS452" s="741"/>
      <c r="MTT452" s="741"/>
      <c r="MTU452" s="741"/>
      <c r="MTV452" s="741"/>
      <c r="MTW452" s="741"/>
      <c r="MTX452" s="741"/>
      <c r="MTY452" s="741"/>
      <c r="MTZ452" s="741"/>
      <c r="MUA452" s="741"/>
      <c r="MUB452" s="741"/>
      <c r="MUC452" s="741"/>
      <c r="MUD452" s="741"/>
      <c r="MUE452" s="741"/>
      <c r="MUF452" s="741"/>
      <c r="MUG452" s="741"/>
      <c r="MUH452" s="741"/>
      <c r="MUI452" s="741"/>
      <c r="MUJ452" s="741"/>
      <c r="MUK452" s="741"/>
      <c r="MUL452" s="741"/>
      <c r="MUM452" s="741"/>
      <c r="MUN452" s="741"/>
      <c r="MUO452" s="741"/>
      <c r="MUP452" s="741"/>
      <c r="MUQ452" s="741"/>
      <c r="MUR452" s="741"/>
      <c r="MUS452" s="741"/>
      <c r="MUT452" s="741"/>
      <c r="MUU452" s="741"/>
      <c r="MUV452" s="741"/>
      <c r="MUW452" s="741"/>
      <c r="MUX452" s="741"/>
      <c r="MUY452" s="741"/>
      <c r="MUZ452" s="741"/>
      <c r="MVA452" s="741"/>
      <c r="MVB452" s="741"/>
      <c r="MVC452" s="741"/>
      <c r="MVD452" s="741"/>
      <c r="MVE452" s="741"/>
      <c r="MVF452" s="741"/>
      <c r="MVG452" s="741"/>
      <c r="MVH452" s="741"/>
      <c r="MVI452" s="741"/>
      <c r="MVJ452" s="741"/>
      <c r="MVK452" s="741"/>
      <c r="MVL452" s="741"/>
      <c r="MVM452" s="741"/>
      <c r="MVN452" s="741"/>
      <c r="MVO452" s="741"/>
      <c r="MVP452" s="741"/>
      <c r="MVQ452" s="741"/>
      <c r="MVR452" s="741"/>
      <c r="MVS452" s="741"/>
      <c r="MVT452" s="741"/>
      <c r="MVU452" s="741"/>
      <c r="MVV452" s="741"/>
      <c r="MVW452" s="741"/>
      <c r="MVX452" s="741"/>
      <c r="MVY452" s="741"/>
      <c r="MVZ452" s="741"/>
      <c r="MWA452" s="741"/>
      <c r="MWB452" s="741"/>
      <c r="MWC452" s="741"/>
      <c r="MWD452" s="741"/>
      <c r="MWE452" s="741"/>
      <c r="MWF452" s="741"/>
      <c r="MWG452" s="741"/>
      <c r="MWH452" s="741"/>
      <c r="MWI452" s="741"/>
      <c r="MWJ452" s="741"/>
      <c r="MWK452" s="741"/>
      <c r="MWL452" s="741"/>
      <c r="MWM452" s="741"/>
      <c r="MWN452" s="741"/>
      <c r="MWO452" s="741"/>
      <c r="MWP452" s="741"/>
      <c r="MWQ452" s="741"/>
      <c r="MWR452" s="741"/>
      <c r="MWS452" s="741"/>
      <c r="MWT452" s="741"/>
      <c r="MWU452" s="741"/>
      <c r="MWV452" s="741"/>
      <c r="MWW452" s="741"/>
      <c r="MWX452" s="741"/>
      <c r="MWY452" s="741"/>
      <c r="MWZ452" s="741"/>
      <c r="MXA452" s="741"/>
      <c r="MXB452" s="741"/>
      <c r="MXC452" s="741"/>
      <c r="MXD452" s="741"/>
      <c r="MXE452" s="741"/>
      <c r="MXF452" s="741"/>
      <c r="MXG452" s="741"/>
      <c r="MXH452" s="741"/>
      <c r="MXI452" s="741"/>
      <c r="MXJ452" s="741"/>
      <c r="MXK452" s="741"/>
      <c r="MXL452" s="741"/>
      <c r="MXM452" s="741"/>
      <c r="MXN452" s="741"/>
      <c r="MXO452" s="741"/>
      <c r="MXP452" s="741"/>
      <c r="MXQ452" s="741"/>
      <c r="MXR452" s="741"/>
      <c r="MXS452" s="741"/>
      <c r="MXT452" s="741"/>
      <c r="MXU452" s="741"/>
      <c r="MXV452" s="741"/>
      <c r="MXW452" s="741"/>
      <c r="MXX452" s="741"/>
      <c r="MXY452" s="741"/>
      <c r="MXZ452" s="741"/>
      <c r="MYA452" s="741"/>
      <c r="MYB452" s="741"/>
      <c r="MYC452" s="741"/>
      <c r="MYD452" s="741"/>
      <c r="MYE452" s="741"/>
      <c r="MYF452" s="741"/>
      <c r="MYG452" s="741"/>
      <c r="MYH452" s="741"/>
      <c r="MYI452" s="741"/>
      <c r="MYJ452" s="741"/>
      <c r="MYK452" s="741"/>
      <c r="MYL452" s="741"/>
      <c r="MYM452" s="741"/>
      <c r="MYN452" s="741"/>
      <c r="MYO452" s="741"/>
      <c r="MYP452" s="741"/>
      <c r="MYQ452" s="741"/>
      <c r="MYR452" s="741"/>
      <c r="MYS452" s="741"/>
      <c r="MYT452" s="741"/>
      <c r="MYU452" s="741"/>
      <c r="MYV452" s="741"/>
      <c r="MYW452" s="741"/>
      <c r="MYX452" s="741"/>
      <c r="MYY452" s="741"/>
      <c r="MYZ452" s="741"/>
      <c r="MZA452" s="741"/>
      <c r="MZB452" s="741"/>
      <c r="MZC452" s="741"/>
      <c r="MZD452" s="741"/>
      <c r="MZE452" s="741"/>
      <c r="MZF452" s="741"/>
      <c r="MZG452" s="741"/>
      <c r="MZH452" s="741"/>
      <c r="MZI452" s="741"/>
      <c r="MZJ452" s="741"/>
      <c r="MZK452" s="741"/>
      <c r="MZL452" s="741"/>
      <c r="MZM452" s="741"/>
      <c r="MZN452" s="741"/>
      <c r="MZO452" s="741"/>
      <c r="MZP452" s="741"/>
      <c r="MZQ452" s="741"/>
      <c r="MZR452" s="741"/>
      <c r="MZS452" s="741"/>
      <c r="MZT452" s="741"/>
      <c r="MZU452" s="741"/>
      <c r="MZV452" s="741"/>
      <c r="MZW452" s="741"/>
      <c r="MZX452" s="741"/>
      <c r="MZY452" s="741"/>
      <c r="MZZ452" s="741"/>
      <c r="NAA452" s="741"/>
      <c r="NAB452" s="741"/>
      <c r="NAC452" s="741"/>
      <c r="NAD452" s="741"/>
      <c r="NAE452" s="741"/>
      <c r="NAF452" s="741"/>
      <c r="NAG452" s="741"/>
      <c r="NAH452" s="741"/>
      <c r="NAI452" s="741"/>
      <c r="NAJ452" s="741"/>
      <c r="NAK452" s="741"/>
      <c r="NAL452" s="741"/>
      <c r="NAM452" s="741"/>
      <c r="NAN452" s="741"/>
      <c r="NAO452" s="741"/>
      <c r="NAP452" s="741"/>
      <c r="NAQ452" s="741"/>
      <c r="NAR452" s="741"/>
      <c r="NAS452" s="741"/>
      <c r="NAT452" s="741"/>
      <c r="NAU452" s="741"/>
      <c r="NAV452" s="741"/>
      <c r="NAW452" s="741"/>
      <c r="NAX452" s="741"/>
      <c r="NAY452" s="741"/>
      <c r="NAZ452" s="741"/>
      <c r="NBA452" s="741"/>
      <c r="NBB452" s="741"/>
      <c r="NBC452" s="741"/>
      <c r="NBD452" s="741"/>
      <c r="NBE452" s="741"/>
      <c r="NBF452" s="741"/>
      <c r="NBG452" s="741"/>
      <c r="NBH452" s="741"/>
      <c r="NBI452" s="741"/>
      <c r="NBJ452" s="741"/>
      <c r="NBK452" s="741"/>
      <c r="NBL452" s="741"/>
      <c r="NBM452" s="741"/>
      <c r="NBN452" s="741"/>
      <c r="NBO452" s="741"/>
      <c r="NBP452" s="741"/>
      <c r="NBQ452" s="741"/>
      <c r="NBR452" s="741"/>
      <c r="NBS452" s="741"/>
      <c r="NBT452" s="741"/>
      <c r="NBU452" s="741"/>
      <c r="NBV452" s="741"/>
      <c r="NBW452" s="741"/>
      <c r="NBX452" s="741"/>
      <c r="NBY452" s="741"/>
      <c r="NBZ452" s="741"/>
      <c r="NCA452" s="741"/>
      <c r="NCB452" s="741"/>
      <c r="NCC452" s="741"/>
      <c r="NCD452" s="741"/>
      <c r="NCE452" s="741"/>
      <c r="NCF452" s="741"/>
      <c r="NCG452" s="741"/>
      <c r="NCH452" s="741"/>
      <c r="NCI452" s="741"/>
      <c r="NCJ452" s="741"/>
      <c r="NCK452" s="741"/>
      <c r="NCL452" s="741"/>
      <c r="NCM452" s="741"/>
      <c r="NCN452" s="741"/>
      <c r="NCO452" s="741"/>
      <c r="NCP452" s="741"/>
      <c r="NCQ452" s="741"/>
      <c r="NCR452" s="741"/>
      <c r="NCS452" s="741"/>
      <c r="NCT452" s="741"/>
      <c r="NCU452" s="741"/>
      <c r="NCV452" s="741"/>
      <c r="NCW452" s="741"/>
      <c r="NCX452" s="741"/>
      <c r="NCY452" s="741"/>
      <c r="NCZ452" s="741"/>
      <c r="NDA452" s="741"/>
      <c r="NDB452" s="741"/>
      <c r="NDC452" s="741"/>
      <c r="NDD452" s="741"/>
      <c r="NDE452" s="741"/>
      <c r="NDF452" s="741"/>
      <c r="NDG452" s="741"/>
      <c r="NDH452" s="741"/>
      <c r="NDI452" s="741"/>
      <c r="NDJ452" s="741"/>
      <c r="NDK452" s="741"/>
      <c r="NDL452" s="741"/>
      <c r="NDM452" s="741"/>
      <c r="NDN452" s="741"/>
      <c r="NDO452" s="741"/>
      <c r="NDP452" s="741"/>
      <c r="NDQ452" s="741"/>
      <c r="NDR452" s="741"/>
      <c r="NDS452" s="741"/>
      <c r="NDT452" s="741"/>
      <c r="NDU452" s="741"/>
      <c r="NDV452" s="741"/>
      <c r="NDW452" s="741"/>
      <c r="NDX452" s="741"/>
      <c r="NDY452" s="741"/>
      <c r="NDZ452" s="741"/>
      <c r="NEA452" s="741"/>
      <c r="NEB452" s="741"/>
      <c r="NEC452" s="741"/>
      <c r="NED452" s="741"/>
      <c r="NEE452" s="741"/>
      <c r="NEF452" s="741"/>
      <c r="NEG452" s="741"/>
      <c r="NEH452" s="741"/>
      <c r="NEI452" s="741"/>
      <c r="NEJ452" s="741"/>
      <c r="NEK452" s="741"/>
      <c r="NEL452" s="741"/>
      <c r="NEM452" s="741"/>
      <c r="NEN452" s="741"/>
      <c r="NEO452" s="741"/>
      <c r="NEP452" s="741"/>
      <c r="NEQ452" s="741"/>
      <c r="NER452" s="741"/>
      <c r="NES452" s="741"/>
      <c r="NET452" s="741"/>
      <c r="NEU452" s="741"/>
      <c r="NEV452" s="741"/>
      <c r="NEW452" s="741"/>
      <c r="NEX452" s="741"/>
      <c r="NEY452" s="741"/>
      <c r="NEZ452" s="741"/>
      <c r="NFA452" s="741"/>
      <c r="NFB452" s="741"/>
      <c r="NFC452" s="741"/>
      <c r="NFD452" s="741"/>
      <c r="NFE452" s="741"/>
      <c r="NFF452" s="741"/>
      <c r="NFG452" s="741"/>
      <c r="NFH452" s="741"/>
      <c r="NFI452" s="741"/>
      <c r="NFJ452" s="741"/>
      <c r="NFK452" s="741"/>
      <c r="NFL452" s="741"/>
      <c r="NFM452" s="741"/>
      <c r="NFN452" s="741"/>
      <c r="NFO452" s="741"/>
      <c r="NFP452" s="741"/>
      <c r="NFQ452" s="741"/>
      <c r="NFR452" s="741"/>
      <c r="NFS452" s="741"/>
      <c r="NFT452" s="741"/>
      <c r="NFU452" s="741"/>
      <c r="NFV452" s="741"/>
      <c r="NFW452" s="741"/>
      <c r="NFX452" s="741"/>
      <c r="NFY452" s="741"/>
      <c r="NFZ452" s="741"/>
      <c r="NGA452" s="741"/>
      <c r="NGB452" s="741"/>
      <c r="NGC452" s="741"/>
      <c r="NGD452" s="741"/>
      <c r="NGE452" s="741"/>
      <c r="NGF452" s="741"/>
      <c r="NGG452" s="741"/>
      <c r="NGH452" s="741"/>
      <c r="NGI452" s="741"/>
      <c r="NGJ452" s="741"/>
      <c r="NGK452" s="741"/>
      <c r="NGL452" s="741"/>
      <c r="NGM452" s="741"/>
      <c r="NGN452" s="741"/>
      <c r="NGO452" s="741"/>
      <c r="NGP452" s="741"/>
      <c r="NGQ452" s="741"/>
      <c r="NGR452" s="741"/>
      <c r="NGS452" s="741"/>
      <c r="NGT452" s="741"/>
      <c r="NGU452" s="741"/>
      <c r="NGV452" s="741"/>
      <c r="NGW452" s="741"/>
      <c r="NGX452" s="741"/>
      <c r="NGY452" s="741"/>
      <c r="NGZ452" s="741"/>
      <c r="NHA452" s="741"/>
      <c r="NHB452" s="741"/>
      <c r="NHC452" s="741"/>
      <c r="NHD452" s="741"/>
      <c r="NHE452" s="741"/>
      <c r="NHF452" s="741"/>
      <c r="NHG452" s="741"/>
      <c r="NHH452" s="741"/>
      <c r="NHI452" s="741"/>
      <c r="NHJ452" s="741"/>
      <c r="NHK452" s="741"/>
      <c r="NHL452" s="741"/>
      <c r="NHM452" s="741"/>
      <c r="NHN452" s="741"/>
      <c r="NHO452" s="741"/>
      <c r="NHP452" s="741"/>
      <c r="NHQ452" s="741"/>
      <c r="NHR452" s="741"/>
      <c r="NHS452" s="741"/>
      <c r="NHT452" s="741"/>
      <c r="NHU452" s="741"/>
      <c r="NHV452" s="741"/>
      <c r="NHW452" s="741"/>
      <c r="NHX452" s="741"/>
      <c r="NHY452" s="741"/>
      <c r="NHZ452" s="741"/>
      <c r="NIA452" s="741"/>
      <c r="NIB452" s="741"/>
      <c r="NIC452" s="741"/>
      <c r="NID452" s="741"/>
      <c r="NIE452" s="741"/>
      <c r="NIF452" s="741"/>
      <c r="NIG452" s="741"/>
      <c r="NIH452" s="741"/>
      <c r="NII452" s="741"/>
      <c r="NIJ452" s="741"/>
      <c r="NIK452" s="741"/>
      <c r="NIL452" s="741"/>
      <c r="NIM452" s="741"/>
      <c r="NIN452" s="741"/>
      <c r="NIO452" s="741"/>
      <c r="NIP452" s="741"/>
      <c r="NIQ452" s="741"/>
      <c r="NIR452" s="741"/>
      <c r="NIS452" s="741"/>
      <c r="NIT452" s="741"/>
      <c r="NIU452" s="741"/>
      <c r="NIV452" s="741"/>
      <c r="NIW452" s="741"/>
      <c r="NIX452" s="741"/>
      <c r="NIY452" s="741"/>
      <c r="NIZ452" s="741"/>
      <c r="NJA452" s="741"/>
      <c r="NJB452" s="741"/>
      <c r="NJC452" s="741"/>
      <c r="NJD452" s="741"/>
      <c r="NJE452" s="741"/>
      <c r="NJF452" s="741"/>
      <c r="NJG452" s="741"/>
      <c r="NJH452" s="741"/>
      <c r="NJI452" s="741"/>
      <c r="NJJ452" s="741"/>
      <c r="NJK452" s="741"/>
      <c r="NJL452" s="741"/>
      <c r="NJM452" s="741"/>
      <c r="NJN452" s="741"/>
      <c r="NJO452" s="741"/>
      <c r="NJP452" s="741"/>
      <c r="NJQ452" s="741"/>
      <c r="NJR452" s="741"/>
      <c r="NJS452" s="741"/>
      <c r="NJT452" s="741"/>
      <c r="NJU452" s="741"/>
      <c r="NJV452" s="741"/>
      <c r="NJW452" s="741"/>
      <c r="NJX452" s="741"/>
      <c r="NJY452" s="741"/>
      <c r="NJZ452" s="741"/>
      <c r="NKA452" s="741"/>
      <c r="NKB452" s="741"/>
      <c r="NKC452" s="741"/>
      <c r="NKD452" s="741"/>
      <c r="NKE452" s="741"/>
      <c r="NKF452" s="741"/>
      <c r="NKG452" s="741"/>
      <c r="NKH452" s="741"/>
      <c r="NKI452" s="741"/>
      <c r="NKJ452" s="741"/>
      <c r="NKK452" s="741"/>
      <c r="NKL452" s="741"/>
      <c r="NKM452" s="741"/>
      <c r="NKN452" s="741"/>
      <c r="NKO452" s="741"/>
      <c r="NKP452" s="741"/>
      <c r="NKQ452" s="741"/>
      <c r="NKR452" s="741"/>
      <c r="NKS452" s="741"/>
      <c r="NKT452" s="741"/>
      <c r="NKU452" s="741"/>
      <c r="NKV452" s="741"/>
      <c r="NKW452" s="741"/>
      <c r="NKX452" s="741"/>
      <c r="NKY452" s="741"/>
      <c r="NKZ452" s="741"/>
      <c r="NLA452" s="741"/>
      <c r="NLB452" s="741"/>
      <c r="NLC452" s="741"/>
      <c r="NLD452" s="741"/>
      <c r="NLE452" s="741"/>
      <c r="NLF452" s="741"/>
      <c r="NLG452" s="741"/>
      <c r="NLH452" s="741"/>
      <c r="NLI452" s="741"/>
      <c r="NLJ452" s="741"/>
      <c r="NLK452" s="741"/>
      <c r="NLL452" s="741"/>
      <c r="NLM452" s="741"/>
      <c r="NLN452" s="741"/>
      <c r="NLO452" s="741"/>
      <c r="NLP452" s="741"/>
      <c r="NLQ452" s="741"/>
      <c r="NLR452" s="741"/>
      <c r="NLS452" s="741"/>
      <c r="NLT452" s="741"/>
      <c r="NLU452" s="741"/>
      <c r="NLV452" s="741"/>
      <c r="NLW452" s="741"/>
      <c r="NLX452" s="741"/>
      <c r="NLY452" s="741"/>
      <c r="NLZ452" s="741"/>
      <c r="NMA452" s="741"/>
      <c r="NMB452" s="741"/>
      <c r="NMC452" s="741"/>
      <c r="NMD452" s="741"/>
      <c r="NME452" s="741"/>
      <c r="NMF452" s="741"/>
      <c r="NMG452" s="741"/>
      <c r="NMH452" s="741"/>
      <c r="NMI452" s="741"/>
      <c r="NMJ452" s="741"/>
      <c r="NMK452" s="741"/>
      <c r="NML452" s="741"/>
      <c r="NMM452" s="741"/>
      <c r="NMN452" s="741"/>
      <c r="NMO452" s="741"/>
      <c r="NMP452" s="741"/>
      <c r="NMQ452" s="741"/>
      <c r="NMR452" s="741"/>
      <c r="NMS452" s="741"/>
      <c r="NMT452" s="741"/>
      <c r="NMU452" s="741"/>
      <c r="NMV452" s="741"/>
      <c r="NMW452" s="741"/>
      <c r="NMX452" s="741"/>
      <c r="NMY452" s="741"/>
      <c r="NMZ452" s="741"/>
      <c r="NNA452" s="741"/>
      <c r="NNB452" s="741"/>
      <c r="NNC452" s="741"/>
      <c r="NND452" s="741"/>
      <c r="NNE452" s="741"/>
      <c r="NNF452" s="741"/>
      <c r="NNG452" s="741"/>
      <c r="NNH452" s="741"/>
      <c r="NNI452" s="741"/>
      <c r="NNJ452" s="741"/>
      <c r="NNK452" s="741"/>
      <c r="NNL452" s="741"/>
      <c r="NNM452" s="741"/>
      <c r="NNN452" s="741"/>
      <c r="NNO452" s="741"/>
      <c r="NNP452" s="741"/>
      <c r="NNQ452" s="741"/>
      <c r="NNR452" s="741"/>
      <c r="NNS452" s="741"/>
      <c r="NNT452" s="741"/>
      <c r="NNU452" s="741"/>
      <c r="NNV452" s="741"/>
      <c r="NNW452" s="741"/>
      <c r="NNX452" s="741"/>
      <c r="NNY452" s="741"/>
      <c r="NNZ452" s="741"/>
      <c r="NOA452" s="741"/>
      <c r="NOB452" s="741"/>
      <c r="NOC452" s="741"/>
      <c r="NOD452" s="741"/>
      <c r="NOE452" s="741"/>
      <c r="NOF452" s="741"/>
      <c r="NOG452" s="741"/>
      <c r="NOH452" s="741"/>
      <c r="NOI452" s="741"/>
      <c r="NOJ452" s="741"/>
      <c r="NOK452" s="741"/>
      <c r="NOL452" s="741"/>
      <c r="NOM452" s="741"/>
      <c r="NON452" s="741"/>
      <c r="NOO452" s="741"/>
      <c r="NOP452" s="741"/>
      <c r="NOQ452" s="741"/>
      <c r="NOR452" s="741"/>
      <c r="NOS452" s="741"/>
      <c r="NOT452" s="741"/>
      <c r="NOU452" s="741"/>
      <c r="NOV452" s="741"/>
      <c r="NOW452" s="741"/>
      <c r="NOX452" s="741"/>
      <c r="NOY452" s="741"/>
      <c r="NOZ452" s="741"/>
      <c r="NPA452" s="741"/>
      <c r="NPB452" s="741"/>
      <c r="NPC452" s="741"/>
      <c r="NPD452" s="741"/>
      <c r="NPE452" s="741"/>
      <c r="NPF452" s="741"/>
      <c r="NPG452" s="741"/>
      <c r="NPH452" s="741"/>
      <c r="NPI452" s="741"/>
      <c r="NPJ452" s="741"/>
      <c r="NPK452" s="741"/>
      <c r="NPL452" s="741"/>
      <c r="NPM452" s="741"/>
      <c r="NPN452" s="741"/>
      <c r="NPO452" s="741"/>
      <c r="NPP452" s="741"/>
      <c r="NPQ452" s="741"/>
      <c r="NPR452" s="741"/>
      <c r="NPS452" s="741"/>
      <c r="NPT452" s="741"/>
      <c r="NPU452" s="741"/>
      <c r="NPV452" s="741"/>
      <c r="NPW452" s="741"/>
      <c r="NPX452" s="741"/>
      <c r="NPY452" s="741"/>
      <c r="NPZ452" s="741"/>
      <c r="NQA452" s="741"/>
      <c r="NQB452" s="741"/>
      <c r="NQC452" s="741"/>
      <c r="NQD452" s="741"/>
      <c r="NQE452" s="741"/>
      <c r="NQF452" s="741"/>
      <c r="NQG452" s="741"/>
      <c r="NQH452" s="741"/>
      <c r="NQI452" s="741"/>
      <c r="NQJ452" s="741"/>
      <c r="NQK452" s="741"/>
      <c r="NQL452" s="741"/>
      <c r="NQM452" s="741"/>
      <c r="NQN452" s="741"/>
      <c r="NQO452" s="741"/>
      <c r="NQP452" s="741"/>
      <c r="NQQ452" s="741"/>
      <c r="NQR452" s="741"/>
      <c r="NQS452" s="741"/>
      <c r="NQT452" s="741"/>
      <c r="NQU452" s="741"/>
      <c r="NQV452" s="741"/>
      <c r="NQW452" s="741"/>
      <c r="NQX452" s="741"/>
      <c r="NQY452" s="741"/>
      <c r="NQZ452" s="741"/>
      <c r="NRA452" s="741"/>
      <c r="NRB452" s="741"/>
      <c r="NRC452" s="741"/>
      <c r="NRD452" s="741"/>
      <c r="NRE452" s="741"/>
      <c r="NRF452" s="741"/>
      <c r="NRG452" s="741"/>
      <c r="NRH452" s="741"/>
      <c r="NRI452" s="741"/>
      <c r="NRJ452" s="741"/>
      <c r="NRK452" s="741"/>
      <c r="NRL452" s="741"/>
      <c r="NRM452" s="741"/>
      <c r="NRN452" s="741"/>
      <c r="NRO452" s="741"/>
      <c r="NRP452" s="741"/>
      <c r="NRQ452" s="741"/>
      <c r="NRR452" s="741"/>
      <c r="NRS452" s="741"/>
      <c r="NRT452" s="741"/>
      <c r="NRU452" s="741"/>
      <c r="NRV452" s="741"/>
      <c r="NRW452" s="741"/>
      <c r="NRX452" s="741"/>
      <c r="NRY452" s="741"/>
      <c r="NRZ452" s="741"/>
      <c r="NSA452" s="741"/>
      <c r="NSB452" s="741"/>
      <c r="NSC452" s="741"/>
      <c r="NSD452" s="741"/>
      <c r="NSE452" s="741"/>
      <c r="NSF452" s="741"/>
      <c r="NSG452" s="741"/>
      <c r="NSH452" s="741"/>
      <c r="NSI452" s="741"/>
      <c r="NSJ452" s="741"/>
      <c r="NSK452" s="741"/>
      <c r="NSL452" s="741"/>
      <c r="NSM452" s="741"/>
      <c r="NSN452" s="741"/>
      <c r="NSO452" s="741"/>
      <c r="NSP452" s="741"/>
      <c r="NSQ452" s="741"/>
      <c r="NSR452" s="741"/>
      <c r="NSS452" s="741"/>
      <c r="NST452" s="741"/>
      <c r="NSU452" s="741"/>
      <c r="NSV452" s="741"/>
      <c r="NSW452" s="741"/>
      <c r="NSX452" s="741"/>
      <c r="NSY452" s="741"/>
      <c r="NSZ452" s="741"/>
      <c r="NTA452" s="741"/>
      <c r="NTB452" s="741"/>
      <c r="NTC452" s="741"/>
      <c r="NTD452" s="741"/>
      <c r="NTE452" s="741"/>
      <c r="NTF452" s="741"/>
      <c r="NTG452" s="741"/>
      <c r="NTH452" s="741"/>
      <c r="NTI452" s="741"/>
      <c r="NTJ452" s="741"/>
      <c r="NTK452" s="741"/>
      <c r="NTL452" s="741"/>
      <c r="NTM452" s="741"/>
      <c r="NTN452" s="741"/>
      <c r="NTO452" s="741"/>
      <c r="NTP452" s="741"/>
      <c r="NTQ452" s="741"/>
      <c r="NTR452" s="741"/>
      <c r="NTS452" s="741"/>
      <c r="NTT452" s="741"/>
      <c r="NTU452" s="741"/>
      <c r="NTV452" s="741"/>
      <c r="NTW452" s="741"/>
      <c r="NTX452" s="741"/>
      <c r="NTY452" s="741"/>
      <c r="NTZ452" s="741"/>
      <c r="NUA452" s="741"/>
      <c r="NUB452" s="741"/>
      <c r="NUC452" s="741"/>
      <c r="NUD452" s="741"/>
      <c r="NUE452" s="741"/>
      <c r="NUF452" s="741"/>
      <c r="NUG452" s="741"/>
      <c r="NUH452" s="741"/>
      <c r="NUI452" s="741"/>
      <c r="NUJ452" s="741"/>
      <c r="NUK452" s="741"/>
      <c r="NUL452" s="741"/>
      <c r="NUM452" s="741"/>
      <c r="NUN452" s="741"/>
      <c r="NUO452" s="741"/>
      <c r="NUP452" s="741"/>
      <c r="NUQ452" s="741"/>
      <c r="NUR452" s="741"/>
      <c r="NUS452" s="741"/>
      <c r="NUT452" s="741"/>
      <c r="NUU452" s="741"/>
      <c r="NUV452" s="741"/>
      <c r="NUW452" s="741"/>
      <c r="NUX452" s="741"/>
      <c r="NUY452" s="741"/>
      <c r="NUZ452" s="741"/>
      <c r="NVA452" s="741"/>
      <c r="NVB452" s="741"/>
      <c r="NVC452" s="741"/>
      <c r="NVD452" s="741"/>
      <c r="NVE452" s="741"/>
      <c r="NVF452" s="741"/>
      <c r="NVG452" s="741"/>
      <c r="NVH452" s="741"/>
      <c r="NVI452" s="741"/>
      <c r="NVJ452" s="741"/>
      <c r="NVK452" s="741"/>
      <c r="NVL452" s="741"/>
      <c r="NVM452" s="741"/>
      <c r="NVN452" s="741"/>
      <c r="NVO452" s="741"/>
      <c r="NVP452" s="741"/>
      <c r="NVQ452" s="741"/>
      <c r="NVR452" s="741"/>
      <c r="NVS452" s="741"/>
      <c r="NVT452" s="741"/>
      <c r="NVU452" s="741"/>
      <c r="NVV452" s="741"/>
      <c r="NVW452" s="741"/>
      <c r="NVX452" s="741"/>
      <c r="NVY452" s="741"/>
      <c r="NVZ452" s="741"/>
      <c r="NWA452" s="741"/>
      <c r="NWB452" s="741"/>
      <c r="NWC452" s="741"/>
      <c r="NWD452" s="741"/>
      <c r="NWE452" s="741"/>
      <c r="NWF452" s="741"/>
      <c r="NWG452" s="741"/>
      <c r="NWH452" s="741"/>
      <c r="NWI452" s="741"/>
      <c r="NWJ452" s="741"/>
      <c r="NWK452" s="741"/>
      <c r="NWL452" s="741"/>
      <c r="NWM452" s="741"/>
      <c r="NWN452" s="741"/>
      <c r="NWO452" s="741"/>
      <c r="NWP452" s="741"/>
      <c r="NWQ452" s="741"/>
      <c r="NWR452" s="741"/>
      <c r="NWS452" s="741"/>
      <c r="NWT452" s="741"/>
      <c r="NWU452" s="741"/>
      <c r="NWV452" s="741"/>
      <c r="NWW452" s="741"/>
      <c r="NWX452" s="741"/>
      <c r="NWY452" s="741"/>
      <c r="NWZ452" s="741"/>
      <c r="NXA452" s="741"/>
      <c r="NXB452" s="741"/>
      <c r="NXC452" s="741"/>
      <c r="NXD452" s="741"/>
      <c r="NXE452" s="741"/>
      <c r="NXF452" s="741"/>
      <c r="NXG452" s="741"/>
      <c r="NXH452" s="741"/>
      <c r="NXI452" s="741"/>
      <c r="NXJ452" s="741"/>
      <c r="NXK452" s="741"/>
      <c r="NXL452" s="741"/>
      <c r="NXM452" s="741"/>
      <c r="NXN452" s="741"/>
      <c r="NXO452" s="741"/>
      <c r="NXP452" s="741"/>
      <c r="NXQ452" s="741"/>
      <c r="NXR452" s="741"/>
      <c r="NXS452" s="741"/>
      <c r="NXT452" s="741"/>
      <c r="NXU452" s="741"/>
      <c r="NXV452" s="741"/>
      <c r="NXW452" s="741"/>
      <c r="NXX452" s="741"/>
      <c r="NXY452" s="741"/>
      <c r="NXZ452" s="741"/>
      <c r="NYA452" s="741"/>
      <c r="NYB452" s="741"/>
      <c r="NYC452" s="741"/>
      <c r="NYD452" s="741"/>
      <c r="NYE452" s="741"/>
      <c r="NYF452" s="741"/>
      <c r="NYG452" s="741"/>
      <c r="NYH452" s="741"/>
      <c r="NYI452" s="741"/>
      <c r="NYJ452" s="741"/>
      <c r="NYK452" s="741"/>
      <c r="NYL452" s="741"/>
      <c r="NYM452" s="741"/>
      <c r="NYN452" s="741"/>
      <c r="NYO452" s="741"/>
      <c r="NYP452" s="741"/>
      <c r="NYQ452" s="741"/>
      <c r="NYR452" s="741"/>
      <c r="NYS452" s="741"/>
      <c r="NYT452" s="741"/>
      <c r="NYU452" s="741"/>
      <c r="NYV452" s="741"/>
      <c r="NYW452" s="741"/>
      <c r="NYX452" s="741"/>
      <c r="NYY452" s="741"/>
      <c r="NYZ452" s="741"/>
      <c r="NZA452" s="741"/>
      <c r="NZB452" s="741"/>
      <c r="NZC452" s="741"/>
      <c r="NZD452" s="741"/>
      <c r="NZE452" s="741"/>
      <c r="NZF452" s="741"/>
      <c r="NZG452" s="741"/>
      <c r="NZH452" s="741"/>
      <c r="NZI452" s="741"/>
      <c r="NZJ452" s="741"/>
      <c r="NZK452" s="741"/>
      <c r="NZL452" s="741"/>
      <c r="NZM452" s="741"/>
      <c r="NZN452" s="741"/>
      <c r="NZO452" s="741"/>
      <c r="NZP452" s="741"/>
      <c r="NZQ452" s="741"/>
      <c r="NZR452" s="741"/>
      <c r="NZS452" s="741"/>
      <c r="NZT452" s="741"/>
      <c r="NZU452" s="741"/>
      <c r="NZV452" s="741"/>
      <c r="NZW452" s="741"/>
      <c r="NZX452" s="741"/>
      <c r="NZY452" s="741"/>
      <c r="NZZ452" s="741"/>
      <c r="OAA452" s="741"/>
      <c r="OAB452" s="741"/>
      <c r="OAC452" s="741"/>
      <c r="OAD452" s="741"/>
      <c r="OAE452" s="741"/>
      <c r="OAF452" s="741"/>
      <c r="OAG452" s="741"/>
      <c r="OAH452" s="741"/>
      <c r="OAI452" s="741"/>
      <c r="OAJ452" s="741"/>
      <c r="OAK452" s="741"/>
      <c r="OAL452" s="741"/>
      <c r="OAM452" s="741"/>
      <c r="OAN452" s="741"/>
      <c r="OAO452" s="741"/>
      <c r="OAP452" s="741"/>
      <c r="OAQ452" s="741"/>
      <c r="OAR452" s="741"/>
      <c r="OAS452" s="741"/>
      <c r="OAT452" s="741"/>
      <c r="OAU452" s="741"/>
      <c r="OAV452" s="741"/>
      <c r="OAW452" s="741"/>
      <c r="OAX452" s="741"/>
      <c r="OAY452" s="741"/>
      <c r="OAZ452" s="741"/>
      <c r="OBA452" s="741"/>
      <c r="OBB452" s="741"/>
      <c r="OBC452" s="741"/>
      <c r="OBD452" s="741"/>
      <c r="OBE452" s="741"/>
      <c r="OBF452" s="741"/>
      <c r="OBG452" s="741"/>
      <c r="OBH452" s="741"/>
      <c r="OBI452" s="741"/>
      <c r="OBJ452" s="741"/>
      <c r="OBK452" s="741"/>
      <c r="OBL452" s="741"/>
      <c r="OBM452" s="741"/>
      <c r="OBN452" s="741"/>
      <c r="OBO452" s="741"/>
      <c r="OBP452" s="741"/>
      <c r="OBQ452" s="741"/>
      <c r="OBR452" s="741"/>
      <c r="OBS452" s="741"/>
      <c r="OBT452" s="741"/>
      <c r="OBU452" s="741"/>
      <c r="OBV452" s="741"/>
      <c r="OBW452" s="741"/>
      <c r="OBX452" s="741"/>
      <c r="OBY452" s="741"/>
      <c r="OBZ452" s="741"/>
      <c r="OCA452" s="741"/>
      <c r="OCB452" s="741"/>
      <c r="OCC452" s="741"/>
      <c r="OCD452" s="741"/>
      <c r="OCE452" s="741"/>
      <c r="OCF452" s="741"/>
      <c r="OCG452" s="741"/>
      <c r="OCH452" s="741"/>
      <c r="OCI452" s="741"/>
      <c r="OCJ452" s="741"/>
      <c r="OCK452" s="741"/>
      <c r="OCL452" s="741"/>
      <c r="OCM452" s="741"/>
      <c r="OCN452" s="741"/>
      <c r="OCO452" s="741"/>
      <c r="OCP452" s="741"/>
      <c r="OCQ452" s="741"/>
      <c r="OCR452" s="741"/>
      <c r="OCS452" s="741"/>
      <c r="OCT452" s="741"/>
      <c r="OCU452" s="741"/>
      <c r="OCV452" s="741"/>
      <c r="OCW452" s="741"/>
      <c r="OCX452" s="741"/>
      <c r="OCY452" s="741"/>
      <c r="OCZ452" s="741"/>
      <c r="ODA452" s="741"/>
      <c r="ODB452" s="741"/>
      <c r="ODC452" s="741"/>
      <c r="ODD452" s="741"/>
      <c r="ODE452" s="741"/>
      <c r="ODF452" s="741"/>
      <c r="ODG452" s="741"/>
      <c r="ODH452" s="741"/>
      <c r="ODI452" s="741"/>
      <c r="ODJ452" s="741"/>
      <c r="ODK452" s="741"/>
      <c r="ODL452" s="741"/>
      <c r="ODM452" s="741"/>
      <c r="ODN452" s="741"/>
      <c r="ODO452" s="741"/>
      <c r="ODP452" s="741"/>
      <c r="ODQ452" s="741"/>
      <c r="ODR452" s="741"/>
      <c r="ODS452" s="741"/>
      <c r="ODT452" s="741"/>
      <c r="ODU452" s="741"/>
      <c r="ODV452" s="741"/>
      <c r="ODW452" s="741"/>
      <c r="ODX452" s="741"/>
      <c r="ODY452" s="741"/>
      <c r="ODZ452" s="741"/>
      <c r="OEA452" s="741"/>
      <c r="OEB452" s="741"/>
      <c r="OEC452" s="741"/>
      <c r="OED452" s="741"/>
      <c r="OEE452" s="741"/>
      <c r="OEF452" s="741"/>
      <c r="OEG452" s="741"/>
      <c r="OEH452" s="741"/>
      <c r="OEI452" s="741"/>
      <c r="OEJ452" s="741"/>
      <c r="OEK452" s="741"/>
      <c r="OEL452" s="741"/>
      <c r="OEM452" s="741"/>
      <c r="OEN452" s="741"/>
      <c r="OEO452" s="741"/>
      <c r="OEP452" s="741"/>
      <c r="OEQ452" s="741"/>
      <c r="OER452" s="741"/>
      <c r="OES452" s="741"/>
      <c r="OET452" s="741"/>
      <c r="OEU452" s="741"/>
      <c r="OEV452" s="741"/>
      <c r="OEW452" s="741"/>
      <c r="OEX452" s="741"/>
      <c r="OEY452" s="741"/>
      <c r="OEZ452" s="741"/>
      <c r="OFA452" s="741"/>
      <c r="OFB452" s="741"/>
      <c r="OFC452" s="741"/>
      <c r="OFD452" s="741"/>
      <c r="OFE452" s="741"/>
      <c r="OFF452" s="741"/>
      <c r="OFG452" s="741"/>
      <c r="OFH452" s="741"/>
      <c r="OFI452" s="741"/>
      <c r="OFJ452" s="741"/>
      <c r="OFK452" s="741"/>
      <c r="OFL452" s="741"/>
      <c r="OFM452" s="741"/>
      <c r="OFN452" s="741"/>
      <c r="OFO452" s="741"/>
      <c r="OFP452" s="741"/>
      <c r="OFQ452" s="741"/>
      <c r="OFR452" s="741"/>
      <c r="OFS452" s="741"/>
      <c r="OFT452" s="741"/>
      <c r="OFU452" s="741"/>
      <c r="OFV452" s="741"/>
      <c r="OFW452" s="741"/>
      <c r="OFX452" s="741"/>
      <c r="OFY452" s="741"/>
      <c r="OFZ452" s="741"/>
      <c r="OGA452" s="741"/>
      <c r="OGB452" s="741"/>
      <c r="OGC452" s="741"/>
      <c r="OGD452" s="741"/>
      <c r="OGE452" s="741"/>
      <c r="OGF452" s="741"/>
      <c r="OGG452" s="741"/>
      <c r="OGH452" s="741"/>
      <c r="OGI452" s="741"/>
      <c r="OGJ452" s="741"/>
      <c r="OGK452" s="741"/>
      <c r="OGL452" s="741"/>
      <c r="OGM452" s="741"/>
      <c r="OGN452" s="741"/>
      <c r="OGO452" s="741"/>
      <c r="OGP452" s="741"/>
      <c r="OGQ452" s="741"/>
      <c r="OGR452" s="741"/>
      <c r="OGS452" s="741"/>
      <c r="OGT452" s="741"/>
      <c r="OGU452" s="741"/>
      <c r="OGV452" s="741"/>
      <c r="OGW452" s="741"/>
      <c r="OGX452" s="741"/>
      <c r="OGY452" s="741"/>
      <c r="OGZ452" s="741"/>
      <c r="OHA452" s="741"/>
      <c r="OHB452" s="741"/>
      <c r="OHC452" s="741"/>
      <c r="OHD452" s="741"/>
      <c r="OHE452" s="741"/>
      <c r="OHF452" s="741"/>
      <c r="OHG452" s="741"/>
      <c r="OHH452" s="741"/>
      <c r="OHI452" s="741"/>
      <c r="OHJ452" s="741"/>
      <c r="OHK452" s="741"/>
      <c r="OHL452" s="741"/>
      <c r="OHM452" s="741"/>
      <c r="OHN452" s="741"/>
      <c r="OHO452" s="741"/>
      <c r="OHP452" s="741"/>
      <c r="OHQ452" s="741"/>
      <c r="OHR452" s="741"/>
      <c r="OHS452" s="741"/>
      <c r="OHT452" s="741"/>
      <c r="OHU452" s="741"/>
      <c r="OHV452" s="741"/>
      <c r="OHW452" s="741"/>
      <c r="OHX452" s="741"/>
      <c r="OHY452" s="741"/>
      <c r="OHZ452" s="741"/>
      <c r="OIA452" s="741"/>
      <c r="OIB452" s="741"/>
      <c r="OIC452" s="741"/>
      <c r="OID452" s="741"/>
      <c r="OIE452" s="741"/>
      <c r="OIF452" s="741"/>
      <c r="OIG452" s="741"/>
      <c r="OIH452" s="741"/>
      <c r="OII452" s="741"/>
      <c r="OIJ452" s="741"/>
      <c r="OIK452" s="741"/>
      <c r="OIL452" s="741"/>
      <c r="OIM452" s="741"/>
      <c r="OIN452" s="741"/>
      <c r="OIO452" s="741"/>
      <c r="OIP452" s="741"/>
      <c r="OIQ452" s="741"/>
      <c r="OIR452" s="741"/>
      <c r="OIS452" s="741"/>
      <c r="OIT452" s="741"/>
      <c r="OIU452" s="741"/>
      <c r="OIV452" s="741"/>
      <c r="OIW452" s="741"/>
      <c r="OIX452" s="741"/>
      <c r="OIY452" s="741"/>
      <c r="OIZ452" s="741"/>
      <c r="OJA452" s="741"/>
      <c r="OJB452" s="741"/>
      <c r="OJC452" s="741"/>
      <c r="OJD452" s="741"/>
      <c r="OJE452" s="741"/>
      <c r="OJF452" s="741"/>
      <c r="OJG452" s="741"/>
      <c r="OJH452" s="741"/>
      <c r="OJI452" s="741"/>
      <c r="OJJ452" s="741"/>
      <c r="OJK452" s="741"/>
      <c r="OJL452" s="741"/>
      <c r="OJM452" s="741"/>
      <c r="OJN452" s="741"/>
      <c r="OJO452" s="741"/>
      <c r="OJP452" s="741"/>
      <c r="OJQ452" s="741"/>
      <c r="OJR452" s="741"/>
      <c r="OJS452" s="741"/>
      <c r="OJT452" s="741"/>
      <c r="OJU452" s="741"/>
      <c r="OJV452" s="741"/>
      <c r="OJW452" s="741"/>
      <c r="OJX452" s="741"/>
      <c r="OJY452" s="741"/>
      <c r="OJZ452" s="741"/>
      <c r="OKA452" s="741"/>
      <c r="OKB452" s="741"/>
      <c r="OKC452" s="741"/>
      <c r="OKD452" s="741"/>
      <c r="OKE452" s="741"/>
      <c r="OKF452" s="741"/>
      <c r="OKG452" s="741"/>
      <c r="OKH452" s="741"/>
      <c r="OKI452" s="741"/>
      <c r="OKJ452" s="741"/>
      <c r="OKK452" s="741"/>
      <c r="OKL452" s="741"/>
      <c r="OKM452" s="741"/>
      <c r="OKN452" s="741"/>
      <c r="OKO452" s="741"/>
      <c r="OKP452" s="741"/>
      <c r="OKQ452" s="741"/>
      <c r="OKR452" s="741"/>
      <c r="OKS452" s="741"/>
      <c r="OKT452" s="741"/>
      <c r="OKU452" s="741"/>
      <c r="OKV452" s="741"/>
      <c r="OKW452" s="741"/>
      <c r="OKX452" s="741"/>
      <c r="OKY452" s="741"/>
      <c r="OKZ452" s="741"/>
      <c r="OLA452" s="741"/>
      <c r="OLB452" s="741"/>
      <c r="OLC452" s="741"/>
      <c r="OLD452" s="741"/>
      <c r="OLE452" s="741"/>
      <c r="OLF452" s="741"/>
      <c r="OLG452" s="741"/>
      <c r="OLH452" s="741"/>
      <c r="OLI452" s="741"/>
      <c r="OLJ452" s="741"/>
      <c r="OLK452" s="741"/>
      <c r="OLL452" s="741"/>
      <c r="OLM452" s="741"/>
      <c r="OLN452" s="741"/>
      <c r="OLO452" s="741"/>
      <c r="OLP452" s="741"/>
      <c r="OLQ452" s="741"/>
      <c r="OLR452" s="741"/>
      <c r="OLS452" s="741"/>
      <c r="OLT452" s="741"/>
      <c r="OLU452" s="741"/>
      <c r="OLV452" s="741"/>
      <c r="OLW452" s="741"/>
      <c r="OLX452" s="741"/>
      <c r="OLY452" s="741"/>
      <c r="OLZ452" s="741"/>
      <c r="OMA452" s="741"/>
      <c r="OMB452" s="741"/>
      <c r="OMC452" s="741"/>
      <c r="OMD452" s="741"/>
      <c r="OME452" s="741"/>
      <c r="OMF452" s="741"/>
      <c r="OMG452" s="741"/>
      <c r="OMH452" s="741"/>
      <c r="OMI452" s="741"/>
      <c r="OMJ452" s="741"/>
      <c r="OMK452" s="741"/>
      <c r="OML452" s="741"/>
      <c r="OMM452" s="741"/>
      <c r="OMN452" s="741"/>
      <c r="OMO452" s="741"/>
      <c r="OMP452" s="741"/>
      <c r="OMQ452" s="741"/>
      <c r="OMR452" s="741"/>
      <c r="OMS452" s="741"/>
      <c r="OMT452" s="741"/>
      <c r="OMU452" s="741"/>
      <c r="OMV452" s="741"/>
      <c r="OMW452" s="741"/>
      <c r="OMX452" s="741"/>
      <c r="OMY452" s="741"/>
      <c r="OMZ452" s="741"/>
      <c r="ONA452" s="741"/>
      <c r="ONB452" s="741"/>
      <c r="ONC452" s="741"/>
      <c r="OND452" s="741"/>
      <c r="ONE452" s="741"/>
      <c r="ONF452" s="741"/>
      <c r="ONG452" s="741"/>
      <c r="ONH452" s="741"/>
      <c r="ONI452" s="741"/>
      <c r="ONJ452" s="741"/>
      <c r="ONK452" s="741"/>
      <c r="ONL452" s="741"/>
      <c r="ONM452" s="741"/>
      <c r="ONN452" s="741"/>
      <c r="ONO452" s="741"/>
      <c r="ONP452" s="741"/>
      <c r="ONQ452" s="741"/>
      <c r="ONR452" s="741"/>
      <c r="ONS452" s="741"/>
      <c r="ONT452" s="741"/>
      <c r="ONU452" s="741"/>
      <c r="ONV452" s="741"/>
      <c r="ONW452" s="741"/>
      <c r="ONX452" s="741"/>
      <c r="ONY452" s="741"/>
      <c r="ONZ452" s="741"/>
      <c r="OOA452" s="741"/>
      <c r="OOB452" s="741"/>
      <c r="OOC452" s="741"/>
      <c r="OOD452" s="741"/>
      <c r="OOE452" s="741"/>
      <c r="OOF452" s="741"/>
      <c r="OOG452" s="741"/>
      <c r="OOH452" s="741"/>
      <c r="OOI452" s="741"/>
      <c r="OOJ452" s="741"/>
      <c r="OOK452" s="741"/>
      <c r="OOL452" s="741"/>
      <c r="OOM452" s="741"/>
      <c r="OON452" s="741"/>
      <c r="OOO452" s="741"/>
      <c r="OOP452" s="741"/>
      <c r="OOQ452" s="741"/>
      <c r="OOR452" s="741"/>
      <c r="OOS452" s="741"/>
      <c r="OOT452" s="741"/>
      <c r="OOU452" s="741"/>
      <c r="OOV452" s="741"/>
      <c r="OOW452" s="741"/>
      <c r="OOX452" s="741"/>
      <c r="OOY452" s="741"/>
      <c r="OOZ452" s="741"/>
      <c r="OPA452" s="741"/>
      <c r="OPB452" s="741"/>
      <c r="OPC452" s="741"/>
      <c r="OPD452" s="741"/>
      <c r="OPE452" s="741"/>
      <c r="OPF452" s="741"/>
      <c r="OPG452" s="741"/>
      <c r="OPH452" s="741"/>
      <c r="OPI452" s="741"/>
      <c r="OPJ452" s="741"/>
      <c r="OPK452" s="741"/>
      <c r="OPL452" s="741"/>
      <c r="OPM452" s="741"/>
      <c r="OPN452" s="741"/>
      <c r="OPO452" s="741"/>
      <c r="OPP452" s="741"/>
      <c r="OPQ452" s="741"/>
      <c r="OPR452" s="741"/>
      <c r="OPS452" s="741"/>
      <c r="OPT452" s="741"/>
      <c r="OPU452" s="741"/>
      <c r="OPV452" s="741"/>
      <c r="OPW452" s="741"/>
      <c r="OPX452" s="741"/>
      <c r="OPY452" s="741"/>
      <c r="OPZ452" s="741"/>
      <c r="OQA452" s="741"/>
      <c r="OQB452" s="741"/>
      <c r="OQC452" s="741"/>
      <c r="OQD452" s="741"/>
      <c r="OQE452" s="741"/>
      <c r="OQF452" s="741"/>
      <c r="OQG452" s="741"/>
      <c r="OQH452" s="741"/>
      <c r="OQI452" s="741"/>
      <c r="OQJ452" s="741"/>
      <c r="OQK452" s="741"/>
      <c r="OQL452" s="741"/>
      <c r="OQM452" s="741"/>
      <c r="OQN452" s="741"/>
      <c r="OQO452" s="741"/>
      <c r="OQP452" s="741"/>
      <c r="OQQ452" s="741"/>
      <c r="OQR452" s="741"/>
      <c r="OQS452" s="741"/>
      <c r="OQT452" s="741"/>
      <c r="OQU452" s="741"/>
      <c r="OQV452" s="741"/>
      <c r="OQW452" s="741"/>
      <c r="OQX452" s="741"/>
      <c r="OQY452" s="741"/>
      <c r="OQZ452" s="741"/>
      <c r="ORA452" s="741"/>
      <c r="ORB452" s="741"/>
      <c r="ORC452" s="741"/>
      <c r="ORD452" s="741"/>
      <c r="ORE452" s="741"/>
      <c r="ORF452" s="741"/>
      <c r="ORG452" s="741"/>
      <c r="ORH452" s="741"/>
      <c r="ORI452" s="741"/>
      <c r="ORJ452" s="741"/>
      <c r="ORK452" s="741"/>
      <c r="ORL452" s="741"/>
      <c r="ORM452" s="741"/>
      <c r="ORN452" s="741"/>
      <c r="ORO452" s="741"/>
      <c r="ORP452" s="741"/>
      <c r="ORQ452" s="741"/>
      <c r="ORR452" s="741"/>
      <c r="ORS452" s="741"/>
      <c r="ORT452" s="741"/>
      <c r="ORU452" s="741"/>
      <c r="ORV452" s="741"/>
      <c r="ORW452" s="741"/>
      <c r="ORX452" s="741"/>
      <c r="ORY452" s="741"/>
      <c r="ORZ452" s="741"/>
      <c r="OSA452" s="741"/>
      <c r="OSB452" s="741"/>
      <c r="OSC452" s="741"/>
      <c r="OSD452" s="741"/>
      <c r="OSE452" s="741"/>
      <c r="OSF452" s="741"/>
      <c r="OSG452" s="741"/>
      <c r="OSH452" s="741"/>
      <c r="OSI452" s="741"/>
      <c r="OSJ452" s="741"/>
      <c r="OSK452" s="741"/>
      <c r="OSL452" s="741"/>
      <c r="OSM452" s="741"/>
      <c r="OSN452" s="741"/>
      <c r="OSO452" s="741"/>
      <c r="OSP452" s="741"/>
      <c r="OSQ452" s="741"/>
      <c r="OSR452" s="741"/>
      <c r="OSS452" s="741"/>
      <c r="OST452" s="741"/>
      <c r="OSU452" s="741"/>
      <c r="OSV452" s="741"/>
      <c r="OSW452" s="741"/>
      <c r="OSX452" s="741"/>
      <c r="OSY452" s="741"/>
      <c r="OSZ452" s="741"/>
      <c r="OTA452" s="741"/>
      <c r="OTB452" s="741"/>
      <c r="OTC452" s="741"/>
      <c r="OTD452" s="741"/>
      <c r="OTE452" s="741"/>
      <c r="OTF452" s="741"/>
      <c r="OTG452" s="741"/>
      <c r="OTH452" s="741"/>
      <c r="OTI452" s="741"/>
      <c r="OTJ452" s="741"/>
      <c r="OTK452" s="741"/>
      <c r="OTL452" s="741"/>
      <c r="OTM452" s="741"/>
      <c r="OTN452" s="741"/>
      <c r="OTO452" s="741"/>
      <c r="OTP452" s="741"/>
      <c r="OTQ452" s="741"/>
      <c r="OTR452" s="741"/>
      <c r="OTS452" s="741"/>
      <c r="OTT452" s="741"/>
      <c r="OTU452" s="741"/>
      <c r="OTV452" s="741"/>
      <c r="OTW452" s="741"/>
      <c r="OTX452" s="741"/>
      <c r="OTY452" s="741"/>
      <c r="OTZ452" s="741"/>
      <c r="OUA452" s="741"/>
      <c r="OUB452" s="741"/>
      <c r="OUC452" s="741"/>
      <c r="OUD452" s="741"/>
      <c r="OUE452" s="741"/>
      <c r="OUF452" s="741"/>
      <c r="OUG452" s="741"/>
      <c r="OUH452" s="741"/>
      <c r="OUI452" s="741"/>
      <c r="OUJ452" s="741"/>
      <c r="OUK452" s="741"/>
      <c r="OUL452" s="741"/>
      <c r="OUM452" s="741"/>
      <c r="OUN452" s="741"/>
      <c r="OUO452" s="741"/>
      <c r="OUP452" s="741"/>
      <c r="OUQ452" s="741"/>
      <c r="OUR452" s="741"/>
      <c r="OUS452" s="741"/>
      <c r="OUT452" s="741"/>
      <c r="OUU452" s="741"/>
      <c r="OUV452" s="741"/>
      <c r="OUW452" s="741"/>
      <c r="OUX452" s="741"/>
      <c r="OUY452" s="741"/>
      <c r="OUZ452" s="741"/>
      <c r="OVA452" s="741"/>
      <c r="OVB452" s="741"/>
      <c r="OVC452" s="741"/>
      <c r="OVD452" s="741"/>
      <c r="OVE452" s="741"/>
      <c r="OVF452" s="741"/>
      <c r="OVG452" s="741"/>
      <c r="OVH452" s="741"/>
      <c r="OVI452" s="741"/>
      <c r="OVJ452" s="741"/>
      <c r="OVK452" s="741"/>
      <c r="OVL452" s="741"/>
      <c r="OVM452" s="741"/>
      <c r="OVN452" s="741"/>
      <c r="OVO452" s="741"/>
      <c r="OVP452" s="741"/>
      <c r="OVQ452" s="741"/>
      <c r="OVR452" s="741"/>
      <c r="OVS452" s="741"/>
      <c r="OVT452" s="741"/>
      <c r="OVU452" s="741"/>
      <c r="OVV452" s="741"/>
      <c r="OVW452" s="741"/>
      <c r="OVX452" s="741"/>
      <c r="OVY452" s="741"/>
      <c r="OVZ452" s="741"/>
      <c r="OWA452" s="741"/>
      <c r="OWB452" s="741"/>
      <c r="OWC452" s="741"/>
      <c r="OWD452" s="741"/>
      <c r="OWE452" s="741"/>
      <c r="OWF452" s="741"/>
      <c r="OWG452" s="741"/>
      <c r="OWH452" s="741"/>
      <c r="OWI452" s="741"/>
      <c r="OWJ452" s="741"/>
      <c r="OWK452" s="741"/>
      <c r="OWL452" s="741"/>
      <c r="OWM452" s="741"/>
      <c r="OWN452" s="741"/>
      <c r="OWO452" s="741"/>
      <c r="OWP452" s="741"/>
      <c r="OWQ452" s="741"/>
      <c r="OWR452" s="741"/>
      <c r="OWS452" s="741"/>
      <c r="OWT452" s="741"/>
      <c r="OWU452" s="741"/>
      <c r="OWV452" s="741"/>
      <c r="OWW452" s="741"/>
      <c r="OWX452" s="741"/>
      <c r="OWY452" s="741"/>
      <c r="OWZ452" s="741"/>
      <c r="OXA452" s="741"/>
      <c r="OXB452" s="741"/>
      <c r="OXC452" s="741"/>
      <c r="OXD452" s="741"/>
      <c r="OXE452" s="741"/>
      <c r="OXF452" s="741"/>
      <c r="OXG452" s="741"/>
      <c r="OXH452" s="741"/>
      <c r="OXI452" s="741"/>
      <c r="OXJ452" s="741"/>
      <c r="OXK452" s="741"/>
      <c r="OXL452" s="741"/>
      <c r="OXM452" s="741"/>
      <c r="OXN452" s="741"/>
      <c r="OXO452" s="741"/>
      <c r="OXP452" s="741"/>
      <c r="OXQ452" s="741"/>
      <c r="OXR452" s="741"/>
      <c r="OXS452" s="741"/>
      <c r="OXT452" s="741"/>
      <c r="OXU452" s="741"/>
      <c r="OXV452" s="741"/>
      <c r="OXW452" s="741"/>
      <c r="OXX452" s="741"/>
      <c r="OXY452" s="741"/>
      <c r="OXZ452" s="741"/>
      <c r="OYA452" s="741"/>
      <c r="OYB452" s="741"/>
      <c r="OYC452" s="741"/>
      <c r="OYD452" s="741"/>
      <c r="OYE452" s="741"/>
      <c r="OYF452" s="741"/>
      <c r="OYG452" s="741"/>
      <c r="OYH452" s="741"/>
      <c r="OYI452" s="741"/>
      <c r="OYJ452" s="741"/>
      <c r="OYK452" s="741"/>
      <c r="OYL452" s="741"/>
      <c r="OYM452" s="741"/>
      <c r="OYN452" s="741"/>
      <c r="OYO452" s="741"/>
      <c r="OYP452" s="741"/>
      <c r="OYQ452" s="741"/>
      <c r="OYR452" s="741"/>
      <c r="OYS452" s="741"/>
      <c r="OYT452" s="741"/>
      <c r="OYU452" s="741"/>
      <c r="OYV452" s="741"/>
      <c r="OYW452" s="741"/>
      <c r="OYX452" s="741"/>
      <c r="OYY452" s="741"/>
      <c r="OYZ452" s="741"/>
      <c r="OZA452" s="741"/>
      <c r="OZB452" s="741"/>
      <c r="OZC452" s="741"/>
      <c r="OZD452" s="741"/>
      <c r="OZE452" s="741"/>
      <c r="OZF452" s="741"/>
      <c r="OZG452" s="741"/>
      <c r="OZH452" s="741"/>
      <c r="OZI452" s="741"/>
      <c r="OZJ452" s="741"/>
      <c r="OZK452" s="741"/>
      <c r="OZL452" s="741"/>
      <c r="OZM452" s="741"/>
      <c r="OZN452" s="741"/>
      <c r="OZO452" s="741"/>
      <c r="OZP452" s="741"/>
      <c r="OZQ452" s="741"/>
      <c r="OZR452" s="741"/>
      <c r="OZS452" s="741"/>
      <c r="OZT452" s="741"/>
      <c r="OZU452" s="741"/>
      <c r="OZV452" s="741"/>
      <c r="OZW452" s="741"/>
      <c r="OZX452" s="741"/>
      <c r="OZY452" s="741"/>
      <c r="OZZ452" s="741"/>
      <c r="PAA452" s="741"/>
      <c r="PAB452" s="741"/>
      <c r="PAC452" s="741"/>
      <c r="PAD452" s="741"/>
      <c r="PAE452" s="741"/>
      <c r="PAF452" s="741"/>
      <c r="PAG452" s="741"/>
      <c r="PAH452" s="741"/>
      <c r="PAI452" s="741"/>
      <c r="PAJ452" s="741"/>
      <c r="PAK452" s="741"/>
      <c r="PAL452" s="741"/>
      <c r="PAM452" s="741"/>
      <c r="PAN452" s="741"/>
      <c r="PAO452" s="741"/>
      <c r="PAP452" s="741"/>
      <c r="PAQ452" s="741"/>
      <c r="PAR452" s="741"/>
      <c r="PAS452" s="741"/>
      <c r="PAT452" s="741"/>
      <c r="PAU452" s="741"/>
      <c r="PAV452" s="741"/>
      <c r="PAW452" s="741"/>
      <c r="PAX452" s="741"/>
      <c r="PAY452" s="741"/>
      <c r="PAZ452" s="741"/>
      <c r="PBA452" s="741"/>
      <c r="PBB452" s="741"/>
      <c r="PBC452" s="741"/>
      <c r="PBD452" s="741"/>
      <c r="PBE452" s="741"/>
      <c r="PBF452" s="741"/>
      <c r="PBG452" s="741"/>
      <c r="PBH452" s="741"/>
      <c r="PBI452" s="741"/>
      <c r="PBJ452" s="741"/>
      <c r="PBK452" s="741"/>
      <c r="PBL452" s="741"/>
      <c r="PBM452" s="741"/>
      <c r="PBN452" s="741"/>
      <c r="PBO452" s="741"/>
      <c r="PBP452" s="741"/>
      <c r="PBQ452" s="741"/>
      <c r="PBR452" s="741"/>
      <c r="PBS452" s="741"/>
      <c r="PBT452" s="741"/>
      <c r="PBU452" s="741"/>
      <c r="PBV452" s="741"/>
      <c r="PBW452" s="741"/>
      <c r="PBX452" s="741"/>
      <c r="PBY452" s="741"/>
      <c r="PBZ452" s="741"/>
      <c r="PCA452" s="741"/>
      <c r="PCB452" s="741"/>
      <c r="PCC452" s="741"/>
      <c r="PCD452" s="741"/>
      <c r="PCE452" s="741"/>
      <c r="PCF452" s="741"/>
      <c r="PCG452" s="741"/>
      <c r="PCH452" s="741"/>
      <c r="PCI452" s="741"/>
      <c r="PCJ452" s="741"/>
      <c r="PCK452" s="741"/>
      <c r="PCL452" s="741"/>
      <c r="PCM452" s="741"/>
      <c r="PCN452" s="741"/>
      <c r="PCO452" s="741"/>
      <c r="PCP452" s="741"/>
      <c r="PCQ452" s="741"/>
      <c r="PCR452" s="741"/>
      <c r="PCS452" s="741"/>
      <c r="PCT452" s="741"/>
      <c r="PCU452" s="741"/>
      <c r="PCV452" s="741"/>
      <c r="PCW452" s="741"/>
      <c r="PCX452" s="741"/>
      <c r="PCY452" s="741"/>
      <c r="PCZ452" s="741"/>
      <c r="PDA452" s="741"/>
      <c r="PDB452" s="741"/>
      <c r="PDC452" s="741"/>
      <c r="PDD452" s="741"/>
      <c r="PDE452" s="741"/>
      <c r="PDF452" s="741"/>
      <c r="PDG452" s="741"/>
      <c r="PDH452" s="741"/>
      <c r="PDI452" s="741"/>
      <c r="PDJ452" s="741"/>
      <c r="PDK452" s="741"/>
      <c r="PDL452" s="741"/>
      <c r="PDM452" s="741"/>
      <c r="PDN452" s="741"/>
      <c r="PDO452" s="741"/>
      <c r="PDP452" s="741"/>
      <c r="PDQ452" s="741"/>
      <c r="PDR452" s="741"/>
      <c r="PDS452" s="741"/>
      <c r="PDT452" s="741"/>
      <c r="PDU452" s="741"/>
      <c r="PDV452" s="741"/>
      <c r="PDW452" s="741"/>
      <c r="PDX452" s="741"/>
      <c r="PDY452" s="741"/>
      <c r="PDZ452" s="741"/>
      <c r="PEA452" s="741"/>
      <c r="PEB452" s="741"/>
      <c r="PEC452" s="741"/>
      <c r="PED452" s="741"/>
      <c r="PEE452" s="741"/>
      <c r="PEF452" s="741"/>
      <c r="PEG452" s="741"/>
      <c r="PEH452" s="741"/>
      <c r="PEI452" s="741"/>
      <c r="PEJ452" s="741"/>
      <c r="PEK452" s="741"/>
      <c r="PEL452" s="741"/>
      <c r="PEM452" s="741"/>
      <c r="PEN452" s="741"/>
      <c r="PEO452" s="741"/>
      <c r="PEP452" s="741"/>
      <c r="PEQ452" s="741"/>
      <c r="PER452" s="741"/>
      <c r="PES452" s="741"/>
      <c r="PET452" s="741"/>
      <c r="PEU452" s="741"/>
      <c r="PEV452" s="741"/>
      <c r="PEW452" s="741"/>
      <c r="PEX452" s="741"/>
      <c r="PEY452" s="741"/>
      <c r="PEZ452" s="741"/>
      <c r="PFA452" s="741"/>
      <c r="PFB452" s="741"/>
      <c r="PFC452" s="741"/>
      <c r="PFD452" s="741"/>
      <c r="PFE452" s="741"/>
      <c r="PFF452" s="741"/>
      <c r="PFG452" s="741"/>
      <c r="PFH452" s="741"/>
      <c r="PFI452" s="741"/>
      <c r="PFJ452" s="741"/>
      <c r="PFK452" s="741"/>
      <c r="PFL452" s="741"/>
      <c r="PFM452" s="741"/>
      <c r="PFN452" s="741"/>
      <c r="PFO452" s="741"/>
      <c r="PFP452" s="741"/>
      <c r="PFQ452" s="741"/>
      <c r="PFR452" s="741"/>
      <c r="PFS452" s="741"/>
      <c r="PFT452" s="741"/>
      <c r="PFU452" s="741"/>
      <c r="PFV452" s="741"/>
      <c r="PFW452" s="741"/>
      <c r="PFX452" s="741"/>
      <c r="PFY452" s="741"/>
      <c r="PFZ452" s="741"/>
      <c r="PGA452" s="741"/>
      <c r="PGB452" s="741"/>
      <c r="PGC452" s="741"/>
      <c r="PGD452" s="741"/>
      <c r="PGE452" s="741"/>
      <c r="PGF452" s="741"/>
      <c r="PGG452" s="741"/>
      <c r="PGH452" s="741"/>
      <c r="PGI452" s="741"/>
      <c r="PGJ452" s="741"/>
      <c r="PGK452" s="741"/>
      <c r="PGL452" s="741"/>
      <c r="PGM452" s="741"/>
      <c r="PGN452" s="741"/>
      <c r="PGO452" s="741"/>
      <c r="PGP452" s="741"/>
      <c r="PGQ452" s="741"/>
      <c r="PGR452" s="741"/>
      <c r="PGS452" s="741"/>
      <c r="PGT452" s="741"/>
      <c r="PGU452" s="741"/>
      <c r="PGV452" s="741"/>
      <c r="PGW452" s="741"/>
      <c r="PGX452" s="741"/>
      <c r="PGY452" s="741"/>
      <c r="PGZ452" s="741"/>
      <c r="PHA452" s="741"/>
      <c r="PHB452" s="741"/>
      <c r="PHC452" s="741"/>
      <c r="PHD452" s="741"/>
      <c r="PHE452" s="741"/>
      <c r="PHF452" s="741"/>
      <c r="PHG452" s="741"/>
      <c r="PHH452" s="741"/>
      <c r="PHI452" s="741"/>
      <c r="PHJ452" s="741"/>
      <c r="PHK452" s="741"/>
      <c r="PHL452" s="741"/>
      <c r="PHM452" s="741"/>
      <c r="PHN452" s="741"/>
      <c r="PHO452" s="741"/>
      <c r="PHP452" s="741"/>
      <c r="PHQ452" s="741"/>
      <c r="PHR452" s="741"/>
      <c r="PHS452" s="741"/>
      <c r="PHT452" s="741"/>
      <c r="PHU452" s="741"/>
      <c r="PHV452" s="741"/>
      <c r="PHW452" s="741"/>
      <c r="PHX452" s="741"/>
      <c r="PHY452" s="741"/>
      <c r="PHZ452" s="741"/>
      <c r="PIA452" s="741"/>
      <c r="PIB452" s="741"/>
      <c r="PIC452" s="741"/>
      <c r="PID452" s="741"/>
      <c r="PIE452" s="741"/>
      <c r="PIF452" s="741"/>
      <c r="PIG452" s="741"/>
      <c r="PIH452" s="741"/>
      <c r="PII452" s="741"/>
      <c r="PIJ452" s="741"/>
      <c r="PIK452" s="741"/>
      <c r="PIL452" s="741"/>
      <c r="PIM452" s="741"/>
      <c r="PIN452" s="741"/>
      <c r="PIO452" s="741"/>
      <c r="PIP452" s="741"/>
      <c r="PIQ452" s="741"/>
      <c r="PIR452" s="741"/>
      <c r="PIS452" s="741"/>
      <c r="PIT452" s="741"/>
      <c r="PIU452" s="741"/>
      <c r="PIV452" s="741"/>
      <c r="PIW452" s="741"/>
      <c r="PIX452" s="741"/>
      <c r="PIY452" s="741"/>
      <c r="PIZ452" s="741"/>
      <c r="PJA452" s="741"/>
      <c r="PJB452" s="741"/>
      <c r="PJC452" s="741"/>
      <c r="PJD452" s="741"/>
      <c r="PJE452" s="741"/>
      <c r="PJF452" s="741"/>
      <c r="PJG452" s="741"/>
      <c r="PJH452" s="741"/>
      <c r="PJI452" s="741"/>
      <c r="PJJ452" s="741"/>
      <c r="PJK452" s="741"/>
      <c r="PJL452" s="741"/>
      <c r="PJM452" s="741"/>
      <c r="PJN452" s="741"/>
      <c r="PJO452" s="741"/>
      <c r="PJP452" s="741"/>
      <c r="PJQ452" s="741"/>
      <c r="PJR452" s="741"/>
      <c r="PJS452" s="741"/>
      <c r="PJT452" s="741"/>
      <c r="PJU452" s="741"/>
      <c r="PJV452" s="741"/>
      <c r="PJW452" s="741"/>
      <c r="PJX452" s="741"/>
      <c r="PJY452" s="741"/>
      <c r="PJZ452" s="741"/>
      <c r="PKA452" s="741"/>
      <c r="PKB452" s="741"/>
      <c r="PKC452" s="741"/>
      <c r="PKD452" s="741"/>
      <c r="PKE452" s="741"/>
      <c r="PKF452" s="741"/>
      <c r="PKG452" s="741"/>
      <c r="PKH452" s="741"/>
      <c r="PKI452" s="741"/>
      <c r="PKJ452" s="741"/>
      <c r="PKK452" s="741"/>
      <c r="PKL452" s="741"/>
      <c r="PKM452" s="741"/>
      <c r="PKN452" s="741"/>
      <c r="PKO452" s="741"/>
      <c r="PKP452" s="741"/>
      <c r="PKQ452" s="741"/>
      <c r="PKR452" s="741"/>
      <c r="PKS452" s="741"/>
      <c r="PKT452" s="741"/>
      <c r="PKU452" s="741"/>
      <c r="PKV452" s="741"/>
      <c r="PKW452" s="741"/>
      <c r="PKX452" s="741"/>
      <c r="PKY452" s="741"/>
      <c r="PKZ452" s="741"/>
      <c r="PLA452" s="741"/>
      <c r="PLB452" s="741"/>
      <c r="PLC452" s="741"/>
      <c r="PLD452" s="741"/>
      <c r="PLE452" s="741"/>
      <c r="PLF452" s="741"/>
      <c r="PLG452" s="741"/>
      <c r="PLH452" s="741"/>
      <c r="PLI452" s="741"/>
      <c r="PLJ452" s="741"/>
      <c r="PLK452" s="741"/>
      <c r="PLL452" s="741"/>
      <c r="PLM452" s="741"/>
      <c r="PLN452" s="741"/>
      <c r="PLO452" s="741"/>
      <c r="PLP452" s="741"/>
      <c r="PLQ452" s="741"/>
      <c r="PLR452" s="741"/>
      <c r="PLS452" s="741"/>
      <c r="PLT452" s="741"/>
      <c r="PLU452" s="741"/>
      <c r="PLV452" s="741"/>
      <c r="PLW452" s="741"/>
      <c r="PLX452" s="741"/>
      <c r="PLY452" s="741"/>
      <c r="PLZ452" s="741"/>
      <c r="PMA452" s="741"/>
      <c r="PMB452" s="741"/>
      <c r="PMC452" s="741"/>
      <c r="PMD452" s="741"/>
      <c r="PME452" s="741"/>
      <c r="PMF452" s="741"/>
      <c r="PMG452" s="741"/>
      <c r="PMH452" s="741"/>
      <c r="PMI452" s="741"/>
      <c r="PMJ452" s="741"/>
      <c r="PMK452" s="741"/>
      <c r="PML452" s="741"/>
      <c r="PMM452" s="741"/>
      <c r="PMN452" s="741"/>
      <c r="PMO452" s="741"/>
      <c r="PMP452" s="741"/>
      <c r="PMQ452" s="741"/>
      <c r="PMR452" s="741"/>
      <c r="PMS452" s="741"/>
      <c r="PMT452" s="741"/>
      <c r="PMU452" s="741"/>
      <c r="PMV452" s="741"/>
      <c r="PMW452" s="741"/>
      <c r="PMX452" s="741"/>
      <c r="PMY452" s="741"/>
      <c r="PMZ452" s="741"/>
      <c r="PNA452" s="741"/>
      <c r="PNB452" s="741"/>
      <c r="PNC452" s="741"/>
      <c r="PND452" s="741"/>
      <c r="PNE452" s="741"/>
      <c r="PNF452" s="741"/>
      <c r="PNG452" s="741"/>
      <c r="PNH452" s="741"/>
      <c r="PNI452" s="741"/>
      <c r="PNJ452" s="741"/>
      <c r="PNK452" s="741"/>
      <c r="PNL452" s="741"/>
      <c r="PNM452" s="741"/>
      <c r="PNN452" s="741"/>
      <c r="PNO452" s="741"/>
      <c r="PNP452" s="741"/>
      <c r="PNQ452" s="741"/>
      <c r="PNR452" s="741"/>
      <c r="PNS452" s="741"/>
      <c r="PNT452" s="741"/>
      <c r="PNU452" s="741"/>
      <c r="PNV452" s="741"/>
      <c r="PNW452" s="741"/>
      <c r="PNX452" s="741"/>
      <c r="PNY452" s="741"/>
      <c r="PNZ452" s="741"/>
      <c r="POA452" s="741"/>
      <c r="POB452" s="741"/>
      <c r="POC452" s="741"/>
      <c r="POD452" s="741"/>
      <c r="POE452" s="741"/>
      <c r="POF452" s="741"/>
      <c r="POG452" s="741"/>
      <c r="POH452" s="741"/>
      <c r="POI452" s="741"/>
      <c r="POJ452" s="741"/>
      <c r="POK452" s="741"/>
      <c r="POL452" s="741"/>
      <c r="POM452" s="741"/>
      <c r="PON452" s="741"/>
      <c r="POO452" s="741"/>
      <c r="POP452" s="741"/>
      <c r="POQ452" s="741"/>
      <c r="POR452" s="741"/>
      <c r="POS452" s="741"/>
      <c r="POT452" s="741"/>
      <c r="POU452" s="741"/>
      <c r="POV452" s="741"/>
      <c r="POW452" s="741"/>
      <c r="POX452" s="741"/>
      <c r="POY452" s="741"/>
      <c r="POZ452" s="741"/>
      <c r="PPA452" s="741"/>
      <c r="PPB452" s="741"/>
      <c r="PPC452" s="741"/>
      <c r="PPD452" s="741"/>
      <c r="PPE452" s="741"/>
      <c r="PPF452" s="741"/>
      <c r="PPG452" s="741"/>
      <c r="PPH452" s="741"/>
      <c r="PPI452" s="741"/>
      <c r="PPJ452" s="741"/>
      <c r="PPK452" s="741"/>
      <c r="PPL452" s="741"/>
      <c r="PPM452" s="741"/>
      <c r="PPN452" s="741"/>
      <c r="PPO452" s="741"/>
      <c r="PPP452" s="741"/>
      <c r="PPQ452" s="741"/>
      <c r="PPR452" s="741"/>
      <c r="PPS452" s="741"/>
      <c r="PPT452" s="741"/>
      <c r="PPU452" s="741"/>
      <c r="PPV452" s="741"/>
      <c r="PPW452" s="741"/>
      <c r="PPX452" s="741"/>
      <c r="PPY452" s="741"/>
      <c r="PPZ452" s="741"/>
      <c r="PQA452" s="741"/>
      <c r="PQB452" s="741"/>
      <c r="PQC452" s="741"/>
      <c r="PQD452" s="741"/>
      <c r="PQE452" s="741"/>
      <c r="PQF452" s="741"/>
      <c r="PQG452" s="741"/>
      <c r="PQH452" s="741"/>
      <c r="PQI452" s="741"/>
      <c r="PQJ452" s="741"/>
      <c r="PQK452" s="741"/>
      <c r="PQL452" s="741"/>
      <c r="PQM452" s="741"/>
      <c r="PQN452" s="741"/>
      <c r="PQO452" s="741"/>
      <c r="PQP452" s="741"/>
      <c r="PQQ452" s="741"/>
      <c r="PQR452" s="741"/>
      <c r="PQS452" s="741"/>
      <c r="PQT452" s="741"/>
      <c r="PQU452" s="741"/>
      <c r="PQV452" s="741"/>
      <c r="PQW452" s="741"/>
      <c r="PQX452" s="741"/>
      <c r="PQY452" s="741"/>
      <c r="PQZ452" s="741"/>
      <c r="PRA452" s="741"/>
      <c r="PRB452" s="741"/>
      <c r="PRC452" s="741"/>
      <c r="PRD452" s="741"/>
      <c r="PRE452" s="741"/>
      <c r="PRF452" s="741"/>
      <c r="PRG452" s="741"/>
      <c r="PRH452" s="741"/>
      <c r="PRI452" s="741"/>
      <c r="PRJ452" s="741"/>
      <c r="PRK452" s="741"/>
      <c r="PRL452" s="741"/>
      <c r="PRM452" s="741"/>
      <c r="PRN452" s="741"/>
      <c r="PRO452" s="741"/>
      <c r="PRP452" s="741"/>
      <c r="PRQ452" s="741"/>
      <c r="PRR452" s="741"/>
      <c r="PRS452" s="741"/>
      <c r="PRT452" s="741"/>
      <c r="PRU452" s="741"/>
      <c r="PRV452" s="741"/>
      <c r="PRW452" s="741"/>
      <c r="PRX452" s="741"/>
      <c r="PRY452" s="741"/>
      <c r="PRZ452" s="741"/>
      <c r="PSA452" s="741"/>
      <c r="PSB452" s="741"/>
      <c r="PSC452" s="741"/>
      <c r="PSD452" s="741"/>
      <c r="PSE452" s="741"/>
      <c r="PSF452" s="741"/>
      <c r="PSG452" s="741"/>
      <c r="PSH452" s="741"/>
      <c r="PSI452" s="741"/>
      <c r="PSJ452" s="741"/>
      <c r="PSK452" s="741"/>
      <c r="PSL452" s="741"/>
      <c r="PSM452" s="741"/>
      <c r="PSN452" s="741"/>
      <c r="PSO452" s="741"/>
      <c r="PSP452" s="741"/>
      <c r="PSQ452" s="741"/>
      <c r="PSR452" s="741"/>
      <c r="PSS452" s="741"/>
      <c r="PST452" s="741"/>
      <c r="PSU452" s="741"/>
      <c r="PSV452" s="741"/>
      <c r="PSW452" s="741"/>
      <c r="PSX452" s="741"/>
      <c r="PSY452" s="741"/>
      <c r="PSZ452" s="741"/>
      <c r="PTA452" s="741"/>
      <c r="PTB452" s="741"/>
      <c r="PTC452" s="741"/>
      <c r="PTD452" s="741"/>
      <c r="PTE452" s="741"/>
      <c r="PTF452" s="741"/>
      <c r="PTG452" s="741"/>
      <c r="PTH452" s="741"/>
      <c r="PTI452" s="741"/>
      <c r="PTJ452" s="741"/>
      <c r="PTK452" s="741"/>
      <c r="PTL452" s="741"/>
      <c r="PTM452" s="741"/>
      <c r="PTN452" s="741"/>
      <c r="PTO452" s="741"/>
      <c r="PTP452" s="741"/>
      <c r="PTQ452" s="741"/>
      <c r="PTR452" s="741"/>
      <c r="PTS452" s="741"/>
      <c r="PTT452" s="741"/>
      <c r="PTU452" s="741"/>
      <c r="PTV452" s="741"/>
      <c r="PTW452" s="741"/>
      <c r="PTX452" s="741"/>
      <c r="PTY452" s="741"/>
      <c r="PTZ452" s="741"/>
      <c r="PUA452" s="741"/>
      <c r="PUB452" s="741"/>
      <c r="PUC452" s="741"/>
      <c r="PUD452" s="741"/>
      <c r="PUE452" s="741"/>
      <c r="PUF452" s="741"/>
      <c r="PUG452" s="741"/>
      <c r="PUH452" s="741"/>
      <c r="PUI452" s="741"/>
      <c r="PUJ452" s="741"/>
      <c r="PUK452" s="741"/>
      <c r="PUL452" s="741"/>
      <c r="PUM452" s="741"/>
      <c r="PUN452" s="741"/>
      <c r="PUO452" s="741"/>
      <c r="PUP452" s="741"/>
      <c r="PUQ452" s="741"/>
      <c r="PUR452" s="741"/>
      <c r="PUS452" s="741"/>
      <c r="PUT452" s="741"/>
      <c r="PUU452" s="741"/>
      <c r="PUV452" s="741"/>
      <c r="PUW452" s="741"/>
      <c r="PUX452" s="741"/>
      <c r="PUY452" s="741"/>
      <c r="PUZ452" s="741"/>
      <c r="PVA452" s="741"/>
      <c r="PVB452" s="741"/>
      <c r="PVC452" s="741"/>
      <c r="PVD452" s="741"/>
      <c r="PVE452" s="741"/>
      <c r="PVF452" s="741"/>
      <c r="PVG452" s="741"/>
      <c r="PVH452" s="741"/>
      <c r="PVI452" s="741"/>
      <c r="PVJ452" s="741"/>
      <c r="PVK452" s="741"/>
      <c r="PVL452" s="741"/>
      <c r="PVM452" s="741"/>
      <c r="PVN452" s="741"/>
      <c r="PVO452" s="741"/>
      <c r="PVP452" s="741"/>
      <c r="PVQ452" s="741"/>
      <c r="PVR452" s="741"/>
      <c r="PVS452" s="741"/>
      <c r="PVT452" s="741"/>
      <c r="PVU452" s="741"/>
      <c r="PVV452" s="741"/>
      <c r="PVW452" s="741"/>
      <c r="PVX452" s="741"/>
      <c r="PVY452" s="741"/>
      <c r="PVZ452" s="741"/>
      <c r="PWA452" s="741"/>
      <c r="PWB452" s="741"/>
      <c r="PWC452" s="741"/>
      <c r="PWD452" s="741"/>
      <c r="PWE452" s="741"/>
      <c r="PWF452" s="741"/>
      <c r="PWG452" s="741"/>
      <c r="PWH452" s="741"/>
      <c r="PWI452" s="741"/>
      <c r="PWJ452" s="741"/>
      <c r="PWK452" s="741"/>
      <c r="PWL452" s="741"/>
      <c r="PWM452" s="741"/>
      <c r="PWN452" s="741"/>
      <c r="PWO452" s="741"/>
      <c r="PWP452" s="741"/>
      <c r="PWQ452" s="741"/>
      <c r="PWR452" s="741"/>
      <c r="PWS452" s="741"/>
      <c r="PWT452" s="741"/>
      <c r="PWU452" s="741"/>
      <c r="PWV452" s="741"/>
      <c r="PWW452" s="741"/>
      <c r="PWX452" s="741"/>
      <c r="PWY452" s="741"/>
      <c r="PWZ452" s="741"/>
      <c r="PXA452" s="741"/>
      <c r="PXB452" s="741"/>
      <c r="PXC452" s="741"/>
      <c r="PXD452" s="741"/>
      <c r="PXE452" s="741"/>
      <c r="PXF452" s="741"/>
      <c r="PXG452" s="741"/>
      <c r="PXH452" s="741"/>
      <c r="PXI452" s="741"/>
      <c r="PXJ452" s="741"/>
      <c r="PXK452" s="741"/>
      <c r="PXL452" s="741"/>
      <c r="PXM452" s="741"/>
      <c r="PXN452" s="741"/>
      <c r="PXO452" s="741"/>
      <c r="PXP452" s="741"/>
      <c r="PXQ452" s="741"/>
      <c r="PXR452" s="741"/>
      <c r="PXS452" s="741"/>
      <c r="PXT452" s="741"/>
      <c r="PXU452" s="741"/>
      <c r="PXV452" s="741"/>
      <c r="PXW452" s="741"/>
      <c r="PXX452" s="741"/>
      <c r="PXY452" s="741"/>
      <c r="PXZ452" s="741"/>
      <c r="PYA452" s="741"/>
      <c r="PYB452" s="741"/>
      <c r="PYC452" s="741"/>
      <c r="PYD452" s="741"/>
      <c r="PYE452" s="741"/>
      <c r="PYF452" s="741"/>
      <c r="PYG452" s="741"/>
      <c r="PYH452" s="741"/>
      <c r="PYI452" s="741"/>
      <c r="PYJ452" s="741"/>
      <c r="PYK452" s="741"/>
      <c r="PYL452" s="741"/>
      <c r="PYM452" s="741"/>
      <c r="PYN452" s="741"/>
      <c r="PYO452" s="741"/>
      <c r="PYP452" s="741"/>
      <c r="PYQ452" s="741"/>
      <c r="PYR452" s="741"/>
      <c r="PYS452" s="741"/>
      <c r="PYT452" s="741"/>
      <c r="PYU452" s="741"/>
      <c r="PYV452" s="741"/>
      <c r="PYW452" s="741"/>
      <c r="PYX452" s="741"/>
      <c r="PYY452" s="741"/>
      <c r="PYZ452" s="741"/>
      <c r="PZA452" s="741"/>
      <c r="PZB452" s="741"/>
      <c r="PZC452" s="741"/>
      <c r="PZD452" s="741"/>
      <c r="PZE452" s="741"/>
      <c r="PZF452" s="741"/>
      <c r="PZG452" s="741"/>
      <c r="PZH452" s="741"/>
      <c r="PZI452" s="741"/>
      <c r="PZJ452" s="741"/>
      <c r="PZK452" s="741"/>
      <c r="PZL452" s="741"/>
      <c r="PZM452" s="741"/>
      <c r="PZN452" s="741"/>
      <c r="PZO452" s="741"/>
      <c r="PZP452" s="741"/>
      <c r="PZQ452" s="741"/>
      <c r="PZR452" s="741"/>
      <c r="PZS452" s="741"/>
      <c r="PZT452" s="741"/>
      <c r="PZU452" s="741"/>
      <c r="PZV452" s="741"/>
      <c r="PZW452" s="741"/>
      <c r="PZX452" s="741"/>
      <c r="PZY452" s="741"/>
      <c r="PZZ452" s="741"/>
      <c r="QAA452" s="741"/>
      <c r="QAB452" s="741"/>
      <c r="QAC452" s="741"/>
      <c r="QAD452" s="741"/>
      <c r="QAE452" s="741"/>
      <c r="QAF452" s="741"/>
      <c r="QAG452" s="741"/>
      <c r="QAH452" s="741"/>
      <c r="QAI452" s="741"/>
      <c r="QAJ452" s="741"/>
      <c r="QAK452" s="741"/>
      <c r="QAL452" s="741"/>
      <c r="QAM452" s="741"/>
      <c r="QAN452" s="741"/>
      <c r="QAO452" s="741"/>
      <c r="QAP452" s="741"/>
      <c r="QAQ452" s="741"/>
      <c r="QAR452" s="741"/>
      <c r="QAS452" s="741"/>
      <c r="QAT452" s="741"/>
      <c r="QAU452" s="741"/>
      <c r="QAV452" s="741"/>
      <c r="QAW452" s="741"/>
      <c r="QAX452" s="741"/>
      <c r="QAY452" s="741"/>
      <c r="QAZ452" s="741"/>
      <c r="QBA452" s="741"/>
      <c r="QBB452" s="741"/>
      <c r="QBC452" s="741"/>
      <c r="QBD452" s="741"/>
      <c r="QBE452" s="741"/>
      <c r="QBF452" s="741"/>
      <c r="QBG452" s="741"/>
      <c r="QBH452" s="741"/>
      <c r="QBI452" s="741"/>
      <c r="QBJ452" s="741"/>
      <c r="QBK452" s="741"/>
      <c r="QBL452" s="741"/>
      <c r="QBM452" s="741"/>
      <c r="QBN452" s="741"/>
      <c r="QBO452" s="741"/>
      <c r="QBP452" s="741"/>
      <c r="QBQ452" s="741"/>
      <c r="QBR452" s="741"/>
      <c r="QBS452" s="741"/>
      <c r="QBT452" s="741"/>
      <c r="QBU452" s="741"/>
      <c r="QBV452" s="741"/>
      <c r="QBW452" s="741"/>
      <c r="QBX452" s="741"/>
      <c r="QBY452" s="741"/>
      <c r="QBZ452" s="741"/>
      <c r="QCA452" s="741"/>
      <c r="QCB452" s="741"/>
      <c r="QCC452" s="741"/>
      <c r="QCD452" s="741"/>
      <c r="QCE452" s="741"/>
      <c r="QCF452" s="741"/>
      <c r="QCG452" s="741"/>
      <c r="QCH452" s="741"/>
      <c r="QCI452" s="741"/>
      <c r="QCJ452" s="741"/>
      <c r="QCK452" s="741"/>
      <c r="QCL452" s="741"/>
      <c r="QCM452" s="741"/>
      <c r="QCN452" s="741"/>
      <c r="QCO452" s="741"/>
      <c r="QCP452" s="741"/>
      <c r="QCQ452" s="741"/>
      <c r="QCR452" s="741"/>
      <c r="QCS452" s="741"/>
      <c r="QCT452" s="741"/>
      <c r="QCU452" s="741"/>
      <c r="QCV452" s="741"/>
      <c r="QCW452" s="741"/>
      <c r="QCX452" s="741"/>
      <c r="QCY452" s="741"/>
      <c r="QCZ452" s="741"/>
      <c r="QDA452" s="741"/>
      <c r="QDB452" s="741"/>
      <c r="QDC452" s="741"/>
      <c r="QDD452" s="741"/>
      <c r="QDE452" s="741"/>
      <c r="QDF452" s="741"/>
      <c r="QDG452" s="741"/>
      <c r="QDH452" s="741"/>
      <c r="QDI452" s="741"/>
      <c r="QDJ452" s="741"/>
      <c r="QDK452" s="741"/>
      <c r="QDL452" s="741"/>
      <c r="QDM452" s="741"/>
      <c r="QDN452" s="741"/>
      <c r="QDO452" s="741"/>
      <c r="QDP452" s="741"/>
      <c r="QDQ452" s="741"/>
      <c r="QDR452" s="741"/>
      <c r="QDS452" s="741"/>
      <c r="QDT452" s="741"/>
      <c r="QDU452" s="741"/>
      <c r="QDV452" s="741"/>
      <c r="QDW452" s="741"/>
      <c r="QDX452" s="741"/>
      <c r="QDY452" s="741"/>
      <c r="QDZ452" s="741"/>
      <c r="QEA452" s="741"/>
      <c r="QEB452" s="741"/>
      <c r="QEC452" s="741"/>
      <c r="QED452" s="741"/>
      <c r="QEE452" s="741"/>
      <c r="QEF452" s="741"/>
      <c r="QEG452" s="741"/>
      <c r="QEH452" s="741"/>
      <c r="QEI452" s="741"/>
      <c r="QEJ452" s="741"/>
      <c r="QEK452" s="741"/>
      <c r="QEL452" s="741"/>
      <c r="QEM452" s="741"/>
      <c r="QEN452" s="741"/>
      <c r="QEO452" s="741"/>
      <c r="QEP452" s="741"/>
      <c r="QEQ452" s="741"/>
      <c r="QER452" s="741"/>
      <c r="QES452" s="741"/>
      <c r="QET452" s="741"/>
      <c r="QEU452" s="741"/>
      <c r="QEV452" s="741"/>
      <c r="QEW452" s="741"/>
      <c r="QEX452" s="741"/>
      <c r="QEY452" s="741"/>
      <c r="QEZ452" s="741"/>
      <c r="QFA452" s="741"/>
      <c r="QFB452" s="741"/>
      <c r="QFC452" s="741"/>
      <c r="QFD452" s="741"/>
      <c r="QFE452" s="741"/>
      <c r="QFF452" s="741"/>
      <c r="QFG452" s="741"/>
      <c r="QFH452" s="741"/>
      <c r="QFI452" s="741"/>
      <c r="QFJ452" s="741"/>
      <c r="QFK452" s="741"/>
      <c r="QFL452" s="741"/>
      <c r="QFM452" s="741"/>
      <c r="QFN452" s="741"/>
      <c r="QFO452" s="741"/>
      <c r="QFP452" s="741"/>
      <c r="QFQ452" s="741"/>
      <c r="QFR452" s="741"/>
      <c r="QFS452" s="741"/>
      <c r="QFT452" s="741"/>
      <c r="QFU452" s="741"/>
      <c r="QFV452" s="741"/>
      <c r="QFW452" s="741"/>
      <c r="QFX452" s="741"/>
      <c r="QFY452" s="741"/>
      <c r="QFZ452" s="741"/>
      <c r="QGA452" s="741"/>
      <c r="QGB452" s="741"/>
      <c r="QGC452" s="741"/>
      <c r="QGD452" s="741"/>
      <c r="QGE452" s="741"/>
      <c r="QGF452" s="741"/>
      <c r="QGG452" s="741"/>
      <c r="QGH452" s="741"/>
      <c r="QGI452" s="741"/>
      <c r="QGJ452" s="741"/>
      <c r="QGK452" s="741"/>
      <c r="QGL452" s="741"/>
      <c r="QGM452" s="741"/>
      <c r="QGN452" s="741"/>
      <c r="QGO452" s="741"/>
      <c r="QGP452" s="741"/>
      <c r="QGQ452" s="741"/>
      <c r="QGR452" s="741"/>
      <c r="QGS452" s="741"/>
      <c r="QGT452" s="741"/>
      <c r="QGU452" s="741"/>
      <c r="QGV452" s="741"/>
      <c r="QGW452" s="741"/>
      <c r="QGX452" s="741"/>
      <c r="QGY452" s="741"/>
      <c r="QGZ452" s="741"/>
      <c r="QHA452" s="741"/>
      <c r="QHB452" s="741"/>
      <c r="QHC452" s="741"/>
      <c r="QHD452" s="741"/>
      <c r="QHE452" s="741"/>
      <c r="QHF452" s="741"/>
      <c r="QHG452" s="741"/>
      <c r="QHH452" s="741"/>
      <c r="QHI452" s="741"/>
      <c r="QHJ452" s="741"/>
      <c r="QHK452" s="741"/>
      <c r="QHL452" s="741"/>
      <c r="QHM452" s="741"/>
      <c r="QHN452" s="741"/>
      <c r="QHO452" s="741"/>
      <c r="QHP452" s="741"/>
      <c r="QHQ452" s="741"/>
      <c r="QHR452" s="741"/>
      <c r="QHS452" s="741"/>
      <c r="QHT452" s="741"/>
      <c r="QHU452" s="741"/>
      <c r="QHV452" s="741"/>
      <c r="QHW452" s="741"/>
      <c r="QHX452" s="741"/>
      <c r="QHY452" s="741"/>
      <c r="QHZ452" s="741"/>
      <c r="QIA452" s="741"/>
      <c r="QIB452" s="741"/>
      <c r="QIC452" s="741"/>
      <c r="QID452" s="741"/>
      <c r="QIE452" s="741"/>
      <c r="QIF452" s="741"/>
      <c r="QIG452" s="741"/>
      <c r="QIH452" s="741"/>
      <c r="QII452" s="741"/>
      <c r="QIJ452" s="741"/>
      <c r="QIK452" s="741"/>
      <c r="QIL452" s="741"/>
      <c r="QIM452" s="741"/>
      <c r="QIN452" s="741"/>
      <c r="QIO452" s="741"/>
      <c r="QIP452" s="741"/>
      <c r="QIQ452" s="741"/>
      <c r="QIR452" s="741"/>
      <c r="QIS452" s="741"/>
      <c r="QIT452" s="741"/>
      <c r="QIU452" s="741"/>
      <c r="QIV452" s="741"/>
      <c r="QIW452" s="741"/>
      <c r="QIX452" s="741"/>
      <c r="QIY452" s="741"/>
      <c r="QIZ452" s="741"/>
      <c r="QJA452" s="741"/>
      <c r="QJB452" s="741"/>
      <c r="QJC452" s="741"/>
      <c r="QJD452" s="741"/>
      <c r="QJE452" s="741"/>
      <c r="QJF452" s="741"/>
      <c r="QJG452" s="741"/>
      <c r="QJH452" s="741"/>
      <c r="QJI452" s="741"/>
      <c r="QJJ452" s="741"/>
      <c r="QJK452" s="741"/>
      <c r="QJL452" s="741"/>
      <c r="QJM452" s="741"/>
      <c r="QJN452" s="741"/>
      <c r="QJO452" s="741"/>
      <c r="QJP452" s="741"/>
      <c r="QJQ452" s="741"/>
      <c r="QJR452" s="741"/>
      <c r="QJS452" s="741"/>
      <c r="QJT452" s="741"/>
      <c r="QJU452" s="741"/>
      <c r="QJV452" s="741"/>
      <c r="QJW452" s="741"/>
      <c r="QJX452" s="741"/>
      <c r="QJY452" s="741"/>
      <c r="QJZ452" s="741"/>
      <c r="QKA452" s="741"/>
      <c r="QKB452" s="741"/>
      <c r="QKC452" s="741"/>
      <c r="QKD452" s="741"/>
      <c r="QKE452" s="741"/>
      <c r="QKF452" s="741"/>
      <c r="QKG452" s="741"/>
      <c r="QKH452" s="741"/>
      <c r="QKI452" s="741"/>
      <c r="QKJ452" s="741"/>
      <c r="QKK452" s="741"/>
      <c r="QKL452" s="741"/>
      <c r="QKM452" s="741"/>
      <c r="QKN452" s="741"/>
      <c r="QKO452" s="741"/>
      <c r="QKP452" s="741"/>
      <c r="QKQ452" s="741"/>
      <c r="QKR452" s="741"/>
      <c r="QKS452" s="741"/>
      <c r="QKT452" s="741"/>
      <c r="QKU452" s="741"/>
      <c r="QKV452" s="741"/>
      <c r="QKW452" s="741"/>
      <c r="QKX452" s="741"/>
      <c r="QKY452" s="741"/>
      <c r="QKZ452" s="741"/>
      <c r="QLA452" s="741"/>
      <c r="QLB452" s="741"/>
      <c r="QLC452" s="741"/>
      <c r="QLD452" s="741"/>
      <c r="QLE452" s="741"/>
      <c r="QLF452" s="741"/>
      <c r="QLG452" s="741"/>
      <c r="QLH452" s="741"/>
      <c r="QLI452" s="741"/>
      <c r="QLJ452" s="741"/>
      <c r="QLK452" s="741"/>
      <c r="QLL452" s="741"/>
      <c r="QLM452" s="741"/>
      <c r="QLN452" s="741"/>
      <c r="QLO452" s="741"/>
      <c r="QLP452" s="741"/>
      <c r="QLQ452" s="741"/>
      <c r="QLR452" s="741"/>
      <c r="QLS452" s="741"/>
      <c r="QLT452" s="741"/>
      <c r="QLU452" s="741"/>
      <c r="QLV452" s="741"/>
      <c r="QLW452" s="741"/>
      <c r="QLX452" s="741"/>
      <c r="QLY452" s="741"/>
      <c r="QLZ452" s="741"/>
      <c r="QMA452" s="741"/>
      <c r="QMB452" s="741"/>
      <c r="QMC452" s="741"/>
      <c r="QMD452" s="741"/>
      <c r="QME452" s="741"/>
      <c r="QMF452" s="741"/>
      <c r="QMG452" s="741"/>
      <c r="QMH452" s="741"/>
      <c r="QMI452" s="741"/>
      <c r="QMJ452" s="741"/>
      <c r="QMK452" s="741"/>
      <c r="QML452" s="741"/>
      <c r="QMM452" s="741"/>
      <c r="QMN452" s="741"/>
      <c r="QMO452" s="741"/>
      <c r="QMP452" s="741"/>
      <c r="QMQ452" s="741"/>
      <c r="QMR452" s="741"/>
      <c r="QMS452" s="741"/>
      <c r="QMT452" s="741"/>
      <c r="QMU452" s="741"/>
      <c r="QMV452" s="741"/>
      <c r="QMW452" s="741"/>
      <c r="QMX452" s="741"/>
      <c r="QMY452" s="741"/>
      <c r="QMZ452" s="741"/>
      <c r="QNA452" s="741"/>
      <c r="QNB452" s="741"/>
      <c r="QNC452" s="741"/>
      <c r="QND452" s="741"/>
      <c r="QNE452" s="741"/>
      <c r="QNF452" s="741"/>
      <c r="QNG452" s="741"/>
      <c r="QNH452" s="741"/>
      <c r="QNI452" s="741"/>
      <c r="QNJ452" s="741"/>
      <c r="QNK452" s="741"/>
      <c r="QNL452" s="741"/>
      <c r="QNM452" s="741"/>
      <c r="QNN452" s="741"/>
      <c r="QNO452" s="741"/>
      <c r="QNP452" s="741"/>
      <c r="QNQ452" s="741"/>
      <c r="QNR452" s="741"/>
      <c r="QNS452" s="741"/>
      <c r="QNT452" s="741"/>
      <c r="QNU452" s="741"/>
      <c r="QNV452" s="741"/>
      <c r="QNW452" s="741"/>
      <c r="QNX452" s="741"/>
      <c r="QNY452" s="741"/>
      <c r="QNZ452" s="741"/>
      <c r="QOA452" s="741"/>
      <c r="QOB452" s="741"/>
      <c r="QOC452" s="741"/>
      <c r="QOD452" s="741"/>
      <c r="QOE452" s="741"/>
      <c r="QOF452" s="741"/>
      <c r="QOG452" s="741"/>
      <c r="QOH452" s="741"/>
      <c r="QOI452" s="741"/>
      <c r="QOJ452" s="741"/>
      <c r="QOK452" s="741"/>
      <c r="QOL452" s="741"/>
      <c r="QOM452" s="741"/>
      <c r="QON452" s="741"/>
      <c r="QOO452" s="741"/>
      <c r="QOP452" s="741"/>
      <c r="QOQ452" s="741"/>
      <c r="QOR452" s="741"/>
      <c r="QOS452" s="741"/>
      <c r="QOT452" s="741"/>
      <c r="QOU452" s="741"/>
      <c r="QOV452" s="741"/>
      <c r="QOW452" s="741"/>
      <c r="QOX452" s="741"/>
      <c r="QOY452" s="741"/>
      <c r="QOZ452" s="741"/>
      <c r="QPA452" s="741"/>
      <c r="QPB452" s="741"/>
      <c r="QPC452" s="741"/>
      <c r="QPD452" s="741"/>
      <c r="QPE452" s="741"/>
      <c r="QPF452" s="741"/>
      <c r="QPG452" s="741"/>
      <c r="QPH452" s="741"/>
      <c r="QPI452" s="741"/>
      <c r="QPJ452" s="741"/>
      <c r="QPK452" s="741"/>
      <c r="QPL452" s="741"/>
      <c r="QPM452" s="741"/>
      <c r="QPN452" s="741"/>
      <c r="QPO452" s="741"/>
      <c r="QPP452" s="741"/>
      <c r="QPQ452" s="741"/>
      <c r="QPR452" s="741"/>
      <c r="QPS452" s="741"/>
      <c r="QPT452" s="741"/>
      <c r="QPU452" s="741"/>
      <c r="QPV452" s="741"/>
      <c r="QPW452" s="741"/>
      <c r="QPX452" s="741"/>
      <c r="QPY452" s="741"/>
      <c r="QPZ452" s="741"/>
      <c r="QQA452" s="741"/>
      <c r="QQB452" s="741"/>
      <c r="QQC452" s="741"/>
      <c r="QQD452" s="741"/>
      <c r="QQE452" s="741"/>
      <c r="QQF452" s="741"/>
      <c r="QQG452" s="741"/>
      <c r="QQH452" s="741"/>
      <c r="QQI452" s="741"/>
      <c r="QQJ452" s="741"/>
      <c r="QQK452" s="741"/>
      <c r="QQL452" s="741"/>
      <c r="QQM452" s="741"/>
      <c r="QQN452" s="741"/>
      <c r="QQO452" s="741"/>
      <c r="QQP452" s="741"/>
      <c r="QQQ452" s="741"/>
      <c r="QQR452" s="741"/>
      <c r="QQS452" s="741"/>
      <c r="QQT452" s="741"/>
      <c r="QQU452" s="741"/>
      <c r="QQV452" s="741"/>
      <c r="QQW452" s="741"/>
      <c r="QQX452" s="741"/>
      <c r="QQY452" s="741"/>
      <c r="QQZ452" s="741"/>
      <c r="QRA452" s="741"/>
      <c r="QRB452" s="741"/>
      <c r="QRC452" s="741"/>
      <c r="QRD452" s="741"/>
      <c r="QRE452" s="741"/>
      <c r="QRF452" s="741"/>
      <c r="QRG452" s="741"/>
      <c r="QRH452" s="741"/>
      <c r="QRI452" s="741"/>
      <c r="QRJ452" s="741"/>
      <c r="QRK452" s="741"/>
      <c r="QRL452" s="741"/>
      <c r="QRM452" s="741"/>
      <c r="QRN452" s="741"/>
      <c r="QRO452" s="741"/>
      <c r="QRP452" s="741"/>
      <c r="QRQ452" s="741"/>
      <c r="QRR452" s="741"/>
      <c r="QRS452" s="741"/>
      <c r="QRT452" s="741"/>
      <c r="QRU452" s="741"/>
      <c r="QRV452" s="741"/>
      <c r="QRW452" s="741"/>
      <c r="QRX452" s="741"/>
      <c r="QRY452" s="741"/>
      <c r="QRZ452" s="741"/>
      <c r="QSA452" s="741"/>
      <c r="QSB452" s="741"/>
      <c r="QSC452" s="741"/>
      <c r="QSD452" s="741"/>
      <c r="QSE452" s="741"/>
      <c r="QSF452" s="741"/>
      <c r="QSG452" s="741"/>
      <c r="QSH452" s="741"/>
      <c r="QSI452" s="741"/>
      <c r="QSJ452" s="741"/>
      <c r="QSK452" s="741"/>
      <c r="QSL452" s="741"/>
      <c r="QSM452" s="741"/>
      <c r="QSN452" s="741"/>
      <c r="QSO452" s="741"/>
      <c r="QSP452" s="741"/>
      <c r="QSQ452" s="741"/>
      <c r="QSR452" s="741"/>
      <c r="QSS452" s="741"/>
      <c r="QST452" s="741"/>
      <c r="QSU452" s="741"/>
      <c r="QSV452" s="741"/>
      <c r="QSW452" s="741"/>
      <c r="QSX452" s="741"/>
      <c r="QSY452" s="741"/>
      <c r="QSZ452" s="741"/>
      <c r="QTA452" s="741"/>
      <c r="QTB452" s="741"/>
      <c r="QTC452" s="741"/>
      <c r="QTD452" s="741"/>
      <c r="QTE452" s="741"/>
      <c r="QTF452" s="741"/>
      <c r="QTG452" s="741"/>
      <c r="QTH452" s="741"/>
      <c r="QTI452" s="741"/>
      <c r="QTJ452" s="741"/>
      <c r="QTK452" s="741"/>
      <c r="QTL452" s="741"/>
      <c r="QTM452" s="741"/>
      <c r="QTN452" s="741"/>
      <c r="QTO452" s="741"/>
      <c r="QTP452" s="741"/>
      <c r="QTQ452" s="741"/>
      <c r="QTR452" s="741"/>
      <c r="QTS452" s="741"/>
      <c r="QTT452" s="741"/>
      <c r="QTU452" s="741"/>
      <c r="QTV452" s="741"/>
      <c r="QTW452" s="741"/>
      <c r="QTX452" s="741"/>
      <c r="QTY452" s="741"/>
      <c r="QTZ452" s="741"/>
      <c r="QUA452" s="741"/>
      <c r="QUB452" s="741"/>
      <c r="QUC452" s="741"/>
      <c r="QUD452" s="741"/>
      <c r="QUE452" s="741"/>
      <c r="QUF452" s="741"/>
      <c r="QUG452" s="741"/>
      <c r="QUH452" s="741"/>
      <c r="QUI452" s="741"/>
      <c r="QUJ452" s="741"/>
      <c r="QUK452" s="741"/>
      <c r="QUL452" s="741"/>
      <c r="QUM452" s="741"/>
      <c r="QUN452" s="741"/>
      <c r="QUO452" s="741"/>
      <c r="QUP452" s="741"/>
      <c r="QUQ452" s="741"/>
      <c r="QUR452" s="741"/>
      <c r="QUS452" s="741"/>
      <c r="QUT452" s="741"/>
      <c r="QUU452" s="741"/>
      <c r="QUV452" s="741"/>
      <c r="QUW452" s="741"/>
      <c r="QUX452" s="741"/>
      <c r="QUY452" s="741"/>
      <c r="QUZ452" s="741"/>
      <c r="QVA452" s="741"/>
      <c r="QVB452" s="741"/>
      <c r="QVC452" s="741"/>
      <c r="QVD452" s="741"/>
      <c r="QVE452" s="741"/>
      <c r="QVF452" s="741"/>
      <c r="QVG452" s="741"/>
      <c r="QVH452" s="741"/>
      <c r="QVI452" s="741"/>
      <c r="QVJ452" s="741"/>
      <c r="QVK452" s="741"/>
      <c r="QVL452" s="741"/>
      <c r="QVM452" s="741"/>
      <c r="QVN452" s="741"/>
      <c r="QVO452" s="741"/>
      <c r="QVP452" s="741"/>
      <c r="QVQ452" s="741"/>
      <c r="QVR452" s="741"/>
      <c r="QVS452" s="741"/>
      <c r="QVT452" s="741"/>
      <c r="QVU452" s="741"/>
      <c r="QVV452" s="741"/>
      <c r="QVW452" s="741"/>
      <c r="QVX452" s="741"/>
      <c r="QVY452" s="741"/>
      <c r="QVZ452" s="741"/>
      <c r="QWA452" s="741"/>
      <c r="QWB452" s="741"/>
      <c r="QWC452" s="741"/>
      <c r="QWD452" s="741"/>
      <c r="QWE452" s="741"/>
      <c r="QWF452" s="741"/>
      <c r="QWG452" s="741"/>
      <c r="QWH452" s="741"/>
      <c r="QWI452" s="741"/>
      <c r="QWJ452" s="741"/>
      <c r="QWK452" s="741"/>
      <c r="QWL452" s="741"/>
      <c r="QWM452" s="741"/>
      <c r="QWN452" s="741"/>
      <c r="QWO452" s="741"/>
      <c r="QWP452" s="741"/>
      <c r="QWQ452" s="741"/>
      <c r="QWR452" s="741"/>
      <c r="QWS452" s="741"/>
      <c r="QWT452" s="741"/>
      <c r="QWU452" s="741"/>
      <c r="QWV452" s="741"/>
      <c r="QWW452" s="741"/>
      <c r="QWX452" s="741"/>
      <c r="QWY452" s="741"/>
      <c r="QWZ452" s="741"/>
      <c r="QXA452" s="741"/>
      <c r="QXB452" s="741"/>
      <c r="QXC452" s="741"/>
      <c r="QXD452" s="741"/>
      <c r="QXE452" s="741"/>
      <c r="QXF452" s="741"/>
      <c r="QXG452" s="741"/>
      <c r="QXH452" s="741"/>
      <c r="QXI452" s="741"/>
      <c r="QXJ452" s="741"/>
      <c r="QXK452" s="741"/>
      <c r="QXL452" s="741"/>
      <c r="QXM452" s="741"/>
      <c r="QXN452" s="741"/>
      <c r="QXO452" s="741"/>
      <c r="QXP452" s="741"/>
      <c r="QXQ452" s="741"/>
      <c r="QXR452" s="741"/>
      <c r="QXS452" s="741"/>
      <c r="QXT452" s="741"/>
      <c r="QXU452" s="741"/>
      <c r="QXV452" s="741"/>
      <c r="QXW452" s="741"/>
      <c r="QXX452" s="741"/>
      <c r="QXY452" s="741"/>
      <c r="QXZ452" s="741"/>
      <c r="QYA452" s="741"/>
      <c r="QYB452" s="741"/>
      <c r="QYC452" s="741"/>
      <c r="QYD452" s="741"/>
      <c r="QYE452" s="741"/>
      <c r="QYF452" s="741"/>
      <c r="QYG452" s="741"/>
      <c r="QYH452" s="741"/>
      <c r="QYI452" s="741"/>
      <c r="QYJ452" s="741"/>
      <c r="QYK452" s="741"/>
      <c r="QYL452" s="741"/>
      <c r="QYM452" s="741"/>
      <c r="QYN452" s="741"/>
      <c r="QYO452" s="741"/>
      <c r="QYP452" s="741"/>
      <c r="QYQ452" s="741"/>
      <c r="QYR452" s="741"/>
      <c r="QYS452" s="741"/>
      <c r="QYT452" s="741"/>
      <c r="QYU452" s="741"/>
      <c r="QYV452" s="741"/>
      <c r="QYW452" s="741"/>
      <c r="QYX452" s="741"/>
      <c r="QYY452" s="741"/>
      <c r="QYZ452" s="741"/>
      <c r="QZA452" s="741"/>
      <c r="QZB452" s="741"/>
      <c r="QZC452" s="741"/>
      <c r="QZD452" s="741"/>
      <c r="QZE452" s="741"/>
      <c r="QZF452" s="741"/>
      <c r="QZG452" s="741"/>
      <c r="QZH452" s="741"/>
      <c r="QZI452" s="741"/>
      <c r="QZJ452" s="741"/>
      <c r="QZK452" s="741"/>
      <c r="QZL452" s="741"/>
      <c r="QZM452" s="741"/>
      <c r="QZN452" s="741"/>
      <c r="QZO452" s="741"/>
      <c r="QZP452" s="741"/>
      <c r="QZQ452" s="741"/>
      <c r="QZR452" s="741"/>
      <c r="QZS452" s="741"/>
      <c r="QZT452" s="741"/>
      <c r="QZU452" s="741"/>
      <c r="QZV452" s="741"/>
      <c r="QZW452" s="741"/>
      <c r="QZX452" s="741"/>
      <c r="QZY452" s="741"/>
      <c r="QZZ452" s="741"/>
      <c r="RAA452" s="741"/>
      <c r="RAB452" s="741"/>
      <c r="RAC452" s="741"/>
      <c r="RAD452" s="741"/>
      <c r="RAE452" s="741"/>
      <c r="RAF452" s="741"/>
      <c r="RAG452" s="741"/>
      <c r="RAH452" s="741"/>
      <c r="RAI452" s="741"/>
      <c r="RAJ452" s="741"/>
      <c r="RAK452" s="741"/>
      <c r="RAL452" s="741"/>
      <c r="RAM452" s="741"/>
      <c r="RAN452" s="741"/>
      <c r="RAO452" s="741"/>
      <c r="RAP452" s="741"/>
      <c r="RAQ452" s="741"/>
      <c r="RAR452" s="741"/>
      <c r="RAS452" s="741"/>
      <c r="RAT452" s="741"/>
      <c r="RAU452" s="741"/>
      <c r="RAV452" s="741"/>
      <c r="RAW452" s="741"/>
      <c r="RAX452" s="741"/>
      <c r="RAY452" s="741"/>
      <c r="RAZ452" s="741"/>
      <c r="RBA452" s="741"/>
      <c r="RBB452" s="741"/>
      <c r="RBC452" s="741"/>
      <c r="RBD452" s="741"/>
      <c r="RBE452" s="741"/>
      <c r="RBF452" s="741"/>
      <c r="RBG452" s="741"/>
      <c r="RBH452" s="741"/>
      <c r="RBI452" s="741"/>
      <c r="RBJ452" s="741"/>
      <c r="RBK452" s="741"/>
      <c r="RBL452" s="741"/>
      <c r="RBM452" s="741"/>
      <c r="RBN452" s="741"/>
      <c r="RBO452" s="741"/>
      <c r="RBP452" s="741"/>
      <c r="RBQ452" s="741"/>
      <c r="RBR452" s="741"/>
      <c r="RBS452" s="741"/>
      <c r="RBT452" s="741"/>
      <c r="RBU452" s="741"/>
      <c r="RBV452" s="741"/>
      <c r="RBW452" s="741"/>
      <c r="RBX452" s="741"/>
      <c r="RBY452" s="741"/>
      <c r="RBZ452" s="741"/>
      <c r="RCA452" s="741"/>
      <c r="RCB452" s="741"/>
      <c r="RCC452" s="741"/>
      <c r="RCD452" s="741"/>
      <c r="RCE452" s="741"/>
      <c r="RCF452" s="741"/>
      <c r="RCG452" s="741"/>
      <c r="RCH452" s="741"/>
      <c r="RCI452" s="741"/>
      <c r="RCJ452" s="741"/>
      <c r="RCK452" s="741"/>
      <c r="RCL452" s="741"/>
      <c r="RCM452" s="741"/>
      <c r="RCN452" s="741"/>
      <c r="RCO452" s="741"/>
      <c r="RCP452" s="741"/>
      <c r="RCQ452" s="741"/>
      <c r="RCR452" s="741"/>
      <c r="RCS452" s="741"/>
      <c r="RCT452" s="741"/>
      <c r="RCU452" s="741"/>
      <c r="RCV452" s="741"/>
      <c r="RCW452" s="741"/>
      <c r="RCX452" s="741"/>
      <c r="RCY452" s="741"/>
      <c r="RCZ452" s="741"/>
      <c r="RDA452" s="741"/>
      <c r="RDB452" s="741"/>
      <c r="RDC452" s="741"/>
      <c r="RDD452" s="741"/>
      <c r="RDE452" s="741"/>
      <c r="RDF452" s="741"/>
      <c r="RDG452" s="741"/>
      <c r="RDH452" s="741"/>
      <c r="RDI452" s="741"/>
      <c r="RDJ452" s="741"/>
      <c r="RDK452" s="741"/>
      <c r="RDL452" s="741"/>
      <c r="RDM452" s="741"/>
      <c r="RDN452" s="741"/>
      <c r="RDO452" s="741"/>
      <c r="RDP452" s="741"/>
      <c r="RDQ452" s="741"/>
      <c r="RDR452" s="741"/>
      <c r="RDS452" s="741"/>
      <c r="RDT452" s="741"/>
      <c r="RDU452" s="741"/>
      <c r="RDV452" s="741"/>
      <c r="RDW452" s="741"/>
      <c r="RDX452" s="741"/>
      <c r="RDY452" s="741"/>
      <c r="RDZ452" s="741"/>
      <c r="REA452" s="741"/>
      <c r="REB452" s="741"/>
      <c r="REC452" s="741"/>
      <c r="RED452" s="741"/>
      <c r="REE452" s="741"/>
      <c r="REF452" s="741"/>
      <c r="REG452" s="741"/>
      <c r="REH452" s="741"/>
      <c r="REI452" s="741"/>
      <c r="REJ452" s="741"/>
      <c r="REK452" s="741"/>
      <c r="REL452" s="741"/>
      <c r="REM452" s="741"/>
      <c r="REN452" s="741"/>
      <c r="REO452" s="741"/>
      <c r="REP452" s="741"/>
      <c r="REQ452" s="741"/>
      <c r="RER452" s="741"/>
      <c r="RES452" s="741"/>
      <c r="RET452" s="741"/>
      <c r="REU452" s="741"/>
      <c r="REV452" s="741"/>
      <c r="REW452" s="741"/>
      <c r="REX452" s="741"/>
      <c r="REY452" s="741"/>
      <c r="REZ452" s="741"/>
      <c r="RFA452" s="741"/>
      <c r="RFB452" s="741"/>
      <c r="RFC452" s="741"/>
      <c r="RFD452" s="741"/>
      <c r="RFE452" s="741"/>
      <c r="RFF452" s="741"/>
      <c r="RFG452" s="741"/>
      <c r="RFH452" s="741"/>
      <c r="RFI452" s="741"/>
      <c r="RFJ452" s="741"/>
      <c r="RFK452" s="741"/>
      <c r="RFL452" s="741"/>
      <c r="RFM452" s="741"/>
      <c r="RFN452" s="741"/>
      <c r="RFO452" s="741"/>
      <c r="RFP452" s="741"/>
      <c r="RFQ452" s="741"/>
      <c r="RFR452" s="741"/>
      <c r="RFS452" s="741"/>
      <c r="RFT452" s="741"/>
      <c r="RFU452" s="741"/>
      <c r="RFV452" s="741"/>
      <c r="RFW452" s="741"/>
      <c r="RFX452" s="741"/>
      <c r="RFY452" s="741"/>
      <c r="RFZ452" s="741"/>
      <c r="RGA452" s="741"/>
      <c r="RGB452" s="741"/>
      <c r="RGC452" s="741"/>
      <c r="RGD452" s="741"/>
      <c r="RGE452" s="741"/>
      <c r="RGF452" s="741"/>
      <c r="RGG452" s="741"/>
      <c r="RGH452" s="741"/>
      <c r="RGI452" s="741"/>
      <c r="RGJ452" s="741"/>
      <c r="RGK452" s="741"/>
      <c r="RGL452" s="741"/>
      <c r="RGM452" s="741"/>
      <c r="RGN452" s="741"/>
      <c r="RGO452" s="741"/>
      <c r="RGP452" s="741"/>
      <c r="RGQ452" s="741"/>
      <c r="RGR452" s="741"/>
      <c r="RGS452" s="741"/>
      <c r="RGT452" s="741"/>
      <c r="RGU452" s="741"/>
      <c r="RGV452" s="741"/>
      <c r="RGW452" s="741"/>
      <c r="RGX452" s="741"/>
      <c r="RGY452" s="741"/>
      <c r="RGZ452" s="741"/>
      <c r="RHA452" s="741"/>
      <c r="RHB452" s="741"/>
      <c r="RHC452" s="741"/>
      <c r="RHD452" s="741"/>
      <c r="RHE452" s="741"/>
      <c r="RHF452" s="741"/>
      <c r="RHG452" s="741"/>
      <c r="RHH452" s="741"/>
      <c r="RHI452" s="741"/>
      <c r="RHJ452" s="741"/>
      <c r="RHK452" s="741"/>
      <c r="RHL452" s="741"/>
      <c r="RHM452" s="741"/>
      <c r="RHN452" s="741"/>
      <c r="RHO452" s="741"/>
      <c r="RHP452" s="741"/>
      <c r="RHQ452" s="741"/>
      <c r="RHR452" s="741"/>
      <c r="RHS452" s="741"/>
      <c r="RHT452" s="741"/>
      <c r="RHU452" s="741"/>
      <c r="RHV452" s="741"/>
      <c r="RHW452" s="741"/>
      <c r="RHX452" s="741"/>
      <c r="RHY452" s="741"/>
      <c r="RHZ452" s="741"/>
      <c r="RIA452" s="741"/>
      <c r="RIB452" s="741"/>
      <c r="RIC452" s="741"/>
      <c r="RID452" s="741"/>
      <c r="RIE452" s="741"/>
      <c r="RIF452" s="741"/>
      <c r="RIG452" s="741"/>
      <c r="RIH452" s="741"/>
      <c r="RII452" s="741"/>
      <c r="RIJ452" s="741"/>
      <c r="RIK452" s="741"/>
      <c r="RIL452" s="741"/>
      <c r="RIM452" s="741"/>
      <c r="RIN452" s="741"/>
      <c r="RIO452" s="741"/>
      <c r="RIP452" s="741"/>
      <c r="RIQ452" s="741"/>
      <c r="RIR452" s="741"/>
      <c r="RIS452" s="741"/>
      <c r="RIT452" s="741"/>
      <c r="RIU452" s="741"/>
      <c r="RIV452" s="741"/>
      <c r="RIW452" s="741"/>
      <c r="RIX452" s="741"/>
      <c r="RIY452" s="741"/>
      <c r="RIZ452" s="741"/>
      <c r="RJA452" s="741"/>
      <c r="RJB452" s="741"/>
      <c r="RJC452" s="741"/>
      <c r="RJD452" s="741"/>
      <c r="RJE452" s="741"/>
      <c r="RJF452" s="741"/>
      <c r="RJG452" s="741"/>
      <c r="RJH452" s="741"/>
      <c r="RJI452" s="741"/>
      <c r="RJJ452" s="741"/>
      <c r="RJK452" s="741"/>
      <c r="RJL452" s="741"/>
      <c r="RJM452" s="741"/>
      <c r="RJN452" s="741"/>
      <c r="RJO452" s="741"/>
      <c r="RJP452" s="741"/>
      <c r="RJQ452" s="741"/>
      <c r="RJR452" s="741"/>
      <c r="RJS452" s="741"/>
      <c r="RJT452" s="741"/>
      <c r="RJU452" s="741"/>
      <c r="RJV452" s="741"/>
      <c r="RJW452" s="741"/>
      <c r="RJX452" s="741"/>
      <c r="RJY452" s="741"/>
      <c r="RJZ452" s="741"/>
      <c r="RKA452" s="741"/>
      <c r="RKB452" s="741"/>
      <c r="RKC452" s="741"/>
      <c r="RKD452" s="741"/>
      <c r="RKE452" s="741"/>
      <c r="RKF452" s="741"/>
      <c r="RKG452" s="741"/>
      <c r="RKH452" s="741"/>
      <c r="RKI452" s="741"/>
      <c r="RKJ452" s="741"/>
      <c r="RKK452" s="741"/>
      <c r="RKL452" s="741"/>
      <c r="RKM452" s="741"/>
      <c r="RKN452" s="741"/>
      <c r="RKO452" s="741"/>
      <c r="RKP452" s="741"/>
      <c r="RKQ452" s="741"/>
      <c r="RKR452" s="741"/>
      <c r="RKS452" s="741"/>
      <c r="RKT452" s="741"/>
      <c r="RKU452" s="741"/>
      <c r="RKV452" s="741"/>
      <c r="RKW452" s="741"/>
      <c r="RKX452" s="741"/>
      <c r="RKY452" s="741"/>
      <c r="RKZ452" s="741"/>
      <c r="RLA452" s="741"/>
      <c r="RLB452" s="741"/>
      <c r="RLC452" s="741"/>
      <c r="RLD452" s="741"/>
      <c r="RLE452" s="741"/>
      <c r="RLF452" s="741"/>
      <c r="RLG452" s="741"/>
      <c r="RLH452" s="741"/>
      <c r="RLI452" s="741"/>
      <c r="RLJ452" s="741"/>
      <c r="RLK452" s="741"/>
      <c r="RLL452" s="741"/>
      <c r="RLM452" s="741"/>
      <c r="RLN452" s="741"/>
      <c r="RLO452" s="741"/>
      <c r="RLP452" s="741"/>
      <c r="RLQ452" s="741"/>
      <c r="RLR452" s="741"/>
      <c r="RLS452" s="741"/>
      <c r="RLT452" s="741"/>
      <c r="RLU452" s="741"/>
      <c r="RLV452" s="741"/>
      <c r="RLW452" s="741"/>
      <c r="RLX452" s="741"/>
      <c r="RLY452" s="741"/>
      <c r="RLZ452" s="741"/>
      <c r="RMA452" s="741"/>
      <c r="RMB452" s="741"/>
      <c r="RMC452" s="741"/>
      <c r="RMD452" s="741"/>
      <c r="RME452" s="741"/>
      <c r="RMF452" s="741"/>
      <c r="RMG452" s="741"/>
      <c r="RMH452" s="741"/>
      <c r="RMI452" s="741"/>
      <c r="RMJ452" s="741"/>
      <c r="RMK452" s="741"/>
      <c r="RML452" s="741"/>
      <c r="RMM452" s="741"/>
      <c r="RMN452" s="741"/>
      <c r="RMO452" s="741"/>
      <c r="RMP452" s="741"/>
      <c r="RMQ452" s="741"/>
      <c r="RMR452" s="741"/>
      <c r="RMS452" s="741"/>
      <c r="RMT452" s="741"/>
      <c r="RMU452" s="741"/>
      <c r="RMV452" s="741"/>
      <c r="RMW452" s="741"/>
      <c r="RMX452" s="741"/>
      <c r="RMY452" s="741"/>
      <c r="RMZ452" s="741"/>
      <c r="RNA452" s="741"/>
      <c r="RNB452" s="741"/>
      <c r="RNC452" s="741"/>
      <c r="RND452" s="741"/>
      <c r="RNE452" s="741"/>
      <c r="RNF452" s="741"/>
      <c r="RNG452" s="741"/>
      <c r="RNH452" s="741"/>
      <c r="RNI452" s="741"/>
      <c r="RNJ452" s="741"/>
      <c r="RNK452" s="741"/>
      <c r="RNL452" s="741"/>
      <c r="RNM452" s="741"/>
      <c r="RNN452" s="741"/>
      <c r="RNO452" s="741"/>
      <c r="RNP452" s="741"/>
      <c r="RNQ452" s="741"/>
      <c r="RNR452" s="741"/>
      <c r="RNS452" s="741"/>
      <c r="RNT452" s="741"/>
      <c r="RNU452" s="741"/>
      <c r="RNV452" s="741"/>
      <c r="RNW452" s="741"/>
      <c r="RNX452" s="741"/>
      <c r="RNY452" s="741"/>
      <c r="RNZ452" s="741"/>
      <c r="ROA452" s="741"/>
      <c r="ROB452" s="741"/>
      <c r="ROC452" s="741"/>
      <c r="ROD452" s="741"/>
      <c r="ROE452" s="741"/>
      <c r="ROF452" s="741"/>
      <c r="ROG452" s="741"/>
      <c r="ROH452" s="741"/>
      <c r="ROI452" s="741"/>
      <c r="ROJ452" s="741"/>
      <c r="ROK452" s="741"/>
      <c r="ROL452" s="741"/>
      <c r="ROM452" s="741"/>
      <c r="RON452" s="741"/>
      <c r="ROO452" s="741"/>
      <c r="ROP452" s="741"/>
      <c r="ROQ452" s="741"/>
      <c r="ROR452" s="741"/>
      <c r="ROS452" s="741"/>
      <c r="ROT452" s="741"/>
      <c r="ROU452" s="741"/>
      <c r="ROV452" s="741"/>
      <c r="ROW452" s="741"/>
      <c r="ROX452" s="741"/>
      <c r="ROY452" s="741"/>
      <c r="ROZ452" s="741"/>
      <c r="RPA452" s="741"/>
      <c r="RPB452" s="741"/>
      <c r="RPC452" s="741"/>
      <c r="RPD452" s="741"/>
      <c r="RPE452" s="741"/>
      <c r="RPF452" s="741"/>
      <c r="RPG452" s="741"/>
      <c r="RPH452" s="741"/>
      <c r="RPI452" s="741"/>
      <c r="RPJ452" s="741"/>
      <c r="RPK452" s="741"/>
      <c r="RPL452" s="741"/>
      <c r="RPM452" s="741"/>
      <c r="RPN452" s="741"/>
      <c r="RPO452" s="741"/>
      <c r="RPP452" s="741"/>
      <c r="RPQ452" s="741"/>
      <c r="RPR452" s="741"/>
      <c r="RPS452" s="741"/>
      <c r="RPT452" s="741"/>
      <c r="RPU452" s="741"/>
      <c r="RPV452" s="741"/>
      <c r="RPW452" s="741"/>
      <c r="RPX452" s="741"/>
      <c r="RPY452" s="741"/>
      <c r="RPZ452" s="741"/>
      <c r="RQA452" s="741"/>
      <c r="RQB452" s="741"/>
      <c r="RQC452" s="741"/>
      <c r="RQD452" s="741"/>
      <c r="RQE452" s="741"/>
      <c r="RQF452" s="741"/>
      <c r="RQG452" s="741"/>
      <c r="RQH452" s="741"/>
      <c r="RQI452" s="741"/>
      <c r="RQJ452" s="741"/>
      <c r="RQK452" s="741"/>
      <c r="RQL452" s="741"/>
      <c r="RQM452" s="741"/>
      <c r="RQN452" s="741"/>
      <c r="RQO452" s="741"/>
      <c r="RQP452" s="741"/>
      <c r="RQQ452" s="741"/>
      <c r="RQR452" s="741"/>
      <c r="RQS452" s="741"/>
      <c r="RQT452" s="741"/>
      <c r="RQU452" s="741"/>
      <c r="RQV452" s="741"/>
      <c r="RQW452" s="741"/>
      <c r="RQX452" s="741"/>
      <c r="RQY452" s="741"/>
      <c r="RQZ452" s="741"/>
      <c r="RRA452" s="741"/>
      <c r="RRB452" s="741"/>
      <c r="RRC452" s="741"/>
      <c r="RRD452" s="741"/>
      <c r="RRE452" s="741"/>
      <c r="RRF452" s="741"/>
      <c r="RRG452" s="741"/>
      <c r="RRH452" s="741"/>
      <c r="RRI452" s="741"/>
      <c r="RRJ452" s="741"/>
      <c r="RRK452" s="741"/>
      <c r="RRL452" s="741"/>
      <c r="RRM452" s="741"/>
      <c r="RRN452" s="741"/>
      <c r="RRO452" s="741"/>
      <c r="RRP452" s="741"/>
      <c r="RRQ452" s="741"/>
      <c r="RRR452" s="741"/>
      <c r="RRS452" s="741"/>
      <c r="RRT452" s="741"/>
      <c r="RRU452" s="741"/>
      <c r="RRV452" s="741"/>
      <c r="RRW452" s="741"/>
      <c r="RRX452" s="741"/>
      <c r="RRY452" s="741"/>
      <c r="RRZ452" s="741"/>
      <c r="RSA452" s="741"/>
      <c r="RSB452" s="741"/>
      <c r="RSC452" s="741"/>
      <c r="RSD452" s="741"/>
      <c r="RSE452" s="741"/>
      <c r="RSF452" s="741"/>
      <c r="RSG452" s="741"/>
      <c r="RSH452" s="741"/>
      <c r="RSI452" s="741"/>
      <c r="RSJ452" s="741"/>
      <c r="RSK452" s="741"/>
      <c r="RSL452" s="741"/>
      <c r="RSM452" s="741"/>
      <c r="RSN452" s="741"/>
      <c r="RSO452" s="741"/>
      <c r="RSP452" s="741"/>
      <c r="RSQ452" s="741"/>
      <c r="RSR452" s="741"/>
      <c r="RSS452" s="741"/>
      <c r="RST452" s="741"/>
      <c r="RSU452" s="741"/>
      <c r="RSV452" s="741"/>
      <c r="RSW452" s="741"/>
      <c r="RSX452" s="741"/>
      <c r="RSY452" s="741"/>
      <c r="RSZ452" s="741"/>
      <c r="RTA452" s="741"/>
      <c r="RTB452" s="741"/>
      <c r="RTC452" s="741"/>
      <c r="RTD452" s="741"/>
      <c r="RTE452" s="741"/>
      <c r="RTF452" s="741"/>
      <c r="RTG452" s="741"/>
      <c r="RTH452" s="741"/>
      <c r="RTI452" s="741"/>
      <c r="RTJ452" s="741"/>
      <c r="RTK452" s="741"/>
      <c r="RTL452" s="741"/>
      <c r="RTM452" s="741"/>
      <c r="RTN452" s="741"/>
      <c r="RTO452" s="741"/>
      <c r="RTP452" s="741"/>
      <c r="RTQ452" s="741"/>
      <c r="RTR452" s="741"/>
      <c r="RTS452" s="741"/>
      <c r="RTT452" s="741"/>
      <c r="RTU452" s="741"/>
      <c r="RTV452" s="741"/>
      <c r="RTW452" s="741"/>
      <c r="RTX452" s="741"/>
      <c r="RTY452" s="741"/>
      <c r="RTZ452" s="741"/>
      <c r="RUA452" s="741"/>
      <c r="RUB452" s="741"/>
      <c r="RUC452" s="741"/>
      <c r="RUD452" s="741"/>
      <c r="RUE452" s="741"/>
      <c r="RUF452" s="741"/>
      <c r="RUG452" s="741"/>
      <c r="RUH452" s="741"/>
      <c r="RUI452" s="741"/>
      <c r="RUJ452" s="741"/>
      <c r="RUK452" s="741"/>
      <c r="RUL452" s="741"/>
      <c r="RUM452" s="741"/>
      <c r="RUN452" s="741"/>
      <c r="RUO452" s="741"/>
      <c r="RUP452" s="741"/>
      <c r="RUQ452" s="741"/>
      <c r="RUR452" s="741"/>
      <c r="RUS452" s="741"/>
      <c r="RUT452" s="741"/>
      <c r="RUU452" s="741"/>
      <c r="RUV452" s="741"/>
      <c r="RUW452" s="741"/>
      <c r="RUX452" s="741"/>
      <c r="RUY452" s="741"/>
      <c r="RUZ452" s="741"/>
      <c r="RVA452" s="741"/>
      <c r="RVB452" s="741"/>
      <c r="RVC452" s="741"/>
      <c r="RVD452" s="741"/>
      <c r="RVE452" s="741"/>
      <c r="RVF452" s="741"/>
      <c r="RVG452" s="741"/>
      <c r="RVH452" s="741"/>
      <c r="RVI452" s="741"/>
      <c r="RVJ452" s="741"/>
      <c r="RVK452" s="741"/>
      <c r="RVL452" s="741"/>
      <c r="RVM452" s="741"/>
      <c r="RVN452" s="741"/>
      <c r="RVO452" s="741"/>
      <c r="RVP452" s="741"/>
      <c r="RVQ452" s="741"/>
      <c r="RVR452" s="741"/>
      <c r="RVS452" s="741"/>
      <c r="RVT452" s="741"/>
      <c r="RVU452" s="741"/>
      <c r="RVV452" s="741"/>
      <c r="RVW452" s="741"/>
      <c r="RVX452" s="741"/>
      <c r="RVY452" s="741"/>
      <c r="RVZ452" s="741"/>
      <c r="RWA452" s="741"/>
      <c r="RWB452" s="741"/>
      <c r="RWC452" s="741"/>
      <c r="RWD452" s="741"/>
      <c r="RWE452" s="741"/>
      <c r="RWF452" s="741"/>
      <c r="RWG452" s="741"/>
      <c r="RWH452" s="741"/>
      <c r="RWI452" s="741"/>
      <c r="RWJ452" s="741"/>
      <c r="RWK452" s="741"/>
      <c r="RWL452" s="741"/>
      <c r="RWM452" s="741"/>
      <c r="RWN452" s="741"/>
      <c r="RWO452" s="741"/>
      <c r="RWP452" s="741"/>
      <c r="RWQ452" s="741"/>
      <c r="RWR452" s="741"/>
      <c r="RWS452" s="741"/>
      <c r="RWT452" s="741"/>
      <c r="RWU452" s="741"/>
      <c r="RWV452" s="741"/>
      <c r="RWW452" s="741"/>
      <c r="RWX452" s="741"/>
      <c r="RWY452" s="741"/>
      <c r="RWZ452" s="741"/>
      <c r="RXA452" s="741"/>
      <c r="RXB452" s="741"/>
      <c r="RXC452" s="741"/>
      <c r="RXD452" s="741"/>
      <c r="RXE452" s="741"/>
      <c r="RXF452" s="741"/>
      <c r="RXG452" s="741"/>
      <c r="RXH452" s="741"/>
      <c r="RXI452" s="741"/>
      <c r="RXJ452" s="741"/>
      <c r="RXK452" s="741"/>
      <c r="RXL452" s="741"/>
      <c r="RXM452" s="741"/>
      <c r="RXN452" s="741"/>
      <c r="RXO452" s="741"/>
      <c r="RXP452" s="741"/>
      <c r="RXQ452" s="741"/>
      <c r="RXR452" s="741"/>
      <c r="RXS452" s="741"/>
      <c r="RXT452" s="741"/>
      <c r="RXU452" s="741"/>
      <c r="RXV452" s="741"/>
      <c r="RXW452" s="741"/>
      <c r="RXX452" s="741"/>
      <c r="RXY452" s="741"/>
      <c r="RXZ452" s="741"/>
      <c r="RYA452" s="741"/>
      <c r="RYB452" s="741"/>
      <c r="RYC452" s="741"/>
      <c r="RYD452" s="741"/>
      <c r="RYE452" s="741"/>
      <c r="RYF452" s="741"/>
      <c r="RYG452" s="741"/>
      <c r="RYH452" s="741"/>
      <c r="RYI452" s="741"/>
      <c r="RYJ452" s="741"/>
      <c r="RYK452" s="741"/>
      <c r="RYL452" s="741"/>
      <c r="RYM452" s="741"/>
      <c r="RYN452" s="741"/>
      <c r="RYO452" s="741"/>
      <c r="RYP452" s="741"/>
      <c r="RYQ452" s="741"/>
      <c r="RYR452" s="741"/>
      <c r="RYS452" s="741"/>
      <c r="RYT452" s="741"/>
      <c r="RYU452" s="741"/>
      <c r="RYV452" s="741"/>
      <c r="RYW452" s="741"/>
      <c r="RYX452" s="741"/>
      <c r="RYY452" s="741"/>
      <c r="RYZ452" s="741"/>
      <c r="RZA452" s="741"/>
      <c r="RZB452" s="741"/>
      <c r="RZC452" s="741"/>
      <c r="RZD452" s="741"/>
      <c r="RZE452" s="741"/>
      <c r="RZF452" s="741"/>
      <c r="RZG452" s="741"/>
      <c r="RZH452" s="741"/>
      <c r="RZI452" s="741"/>
      <c r="RZJ452" s="741"/>
      <c r="RZK452" s="741"/>
      <c r="RZL452" s="741"/>
      <c r="RZM452" s="741"/>
      <c r="RZN452" s="741"/>
      <c r="RZO452" s="741"/>
      <c r="RZP452" s="741"/>
      <c r="RZQ452" s="741"/>
      <c r="RZR452" s="741"/>
      <c r="RZS452" s="741"/>
      <c r="RZT452" s="741"/>
      <c r="RZU452" s="741"/>
      <c r="RZV452" s="741"/>
      <c r="RZW452" s="741"/>
      <c r="RZX452" s="741"/>
      <c r="RZY452" s="741"/>
      <c r="RZZ452" s="741"/>
      <c r="SAA452" s="741"/>
      <c r="SAB452" s="741"/>
      <c r="SAC452" s="741"/>
      <c r="SAD452" s="741"/>
      <c r="SAE452" s="741"/>
      <c r="SAF452" s="741"/>
      <c r="SAG452" s="741"/>
      <c r="SAH452" s="741"/>
      <c r="SAI452" s="741"/>
      <c r="SAJ452" s="741"/>
      <c r="SAK452" s="741"/>
      <c r="SAL452" s="741"/>
      <c r="SAM452" s="741"/>
      <c r="SAN452" s="741"/>
      <c r="SAO452" s="741"/>
      <c r="SAP452" s="741"/>
      <c r="SAQ452" s="741"/>
      <c r="SAR452" s="741"/>
      <c r="SAS452" s="741"/>
      <c r="SAT452" s="741"/>
      <c r="SAU452" s="741"/>
      <c r="SAV452" s="741"/>
      <c r="SAW452" s="741"/>
      <c r="SAX452" s="741"/>
      <c r="SAY452" s="741"/>
      <c r="SAZ452" s="741"/>
      <c r="SBA452" s="741"/>
      <c r="SBB452" s="741"/>
      <c r="SBC452" s="741"/>
      <c r="SBD452" s="741"/>
      <c r="SBE452" s="741"/>
      <c r="SBF452" s="741"/>
      <c r="SBG452" s="741"/>
      <c r="SBH452" s="741"/>
      <c r="SBI452" s="741"/>
      <c r="SBJ452" s="741"/>
      <c r="SBK452" s="741"/>
      <c r="SBL452" s="741"/>
      <c r="SBM452" s="741"/>
      <c r="SBN452" s="741"/>
      <c r="SBO452" s="741"/>
      <c r="SBP452" s="741"/>
      <c r="SBQ452" s="741"/>
      <c r="SBR452" s="741"/>
      <c r="SBS452" s="741"/>
      <c r="SBT452" s="741"/>
      <c r="SBU452" s="741"/>
      <c r="SBV452" s="741"/>
      <c r="SBW452" s="741"/>
      <c r="SBX452" s="741"/>
      <c r="SBY452" s="741"/>
      <c r="SBZ452" s="741"/>
      <c r="SCA452" s="741"/>
      <c r="SCB452" s="741"/>
      <c r="SCC452" s="741"/>
      <c r="SCD452" s="741"/>
      <c r="SCE452" s="741"/>
      <c r="SCF452" s="741"/>
      <c r="SCG452" s="741"/>
      <c r="SCH452" s="741"/>
      <c r="SCI452" s="741"/>
      <c r="SCJ452" s="741"/>
      <c r="SCK452" s="741"/>
      <c r="SCL452" s="741"/>
      <c r="SCM452" s="741"/>
      <c r="SCN452" s="741"/>
      <c r="SCO452" s="741"/>
      <c r="SCP452" s="741"/>
      <c r="SCQ452" s="741"/>
      <c r="SCR452" s="741"/>
      <c r="SCS452" s="741"/>
      <c r="SCT452" s="741"/>
      <c r="SCU452" s="741"/>
      <c r="SCV452" s="741"/>
      <c r="SCW452" s="741"/>
      <c r="SCX452" s="741"/>
      <c r="SCY452" s="741"/>
      <c r="SCZ452" s="741"/>
      <c r="SDA452" s="741"/>
      <c r="SDB452" s="741"/>
      <c r="SDC452" s="741"/>
      <c r="SDD452" s="741"/>
      <c r="SDE452" s="741"/>
      <c r="SDF452" s="741"/>
      <c r="SDG452" s="741"/>
      <c r="SDH452" s="741"/>
      <c r="SDI452" s="741"/>
      <c r="SDJ452" s="741"/>
      <c r="SDK452" s="741"/>
      <c r="SDL452" s="741"/>
      <c r="SDM452" s="741"/>
      <c r="SDN452" s="741"/>
      <c r="SDO452" s="741"/>
      <c r="SDP452" s="741"/>
      <c r="SDQ452" s="741"/>
      <c r="SDR452" s="741"/>
      <c r="SDS452" s="741"/>
      <c r="SDT452" s="741"/>
      <c r="SDU452" s="741"/>
      <c r="SDV452" s="741"/>
      <c r="SDW452" s="741"/>
      <c r="SDX452" s="741"/>
      <c r="SDY452" s="741"/>
      <c r="SDZ452" s="741"/>
      <c r="SEA452" s="741"/>
      <c r="SEB452" s="741"/>
      <c r="SEC452" s="741"/>
      <c r="SED452" s="741"/>
      <c r="SEE452" s="741"/>
      <c r="SEF452" s="741"/>
      <c r="SEG452" s="741"/>
      <c r="SEH452" s="741"/>
      <c r="SEI452" s="741"/>
      <c r="SEJ452" s="741"/>
      <c r="SEK452" s="741"/>
      <c r="SEL452" s="741"/>
      <c r="SEM452" s="741"/>
      <c r="SEN452" s="741"/>
      <c r="SEO452" s="741"/>
      <c r="SEP452" s="741"/>
      <c r="SEQ452" s="741"/>
      <c r="SER452" s="741"/>
      <c r="SES452" s="741"/>
      <c r="SET452" s="741"/>
      <c r="SEU452" s="741"/>
      <c r="SEV452" s="741"/>
      <c r="SEW452" s="741"/>
      <c r="SEX452" s="741"/>
      <c r="SEY452" s="741"/>
      <c r="SEZ452" s="741"/>
      <c r="SFA452" s="741"/>
      <c r="SFB452" s="741"/>
      <c r="SFC452" s="741"/>
      <c r="SFD452" s="741"/>
      <c r="SFE452" s="741"/>
      <c r="SFF452" s="741"/>
      <c r="SFG452" s="741"/>
      <c r="SFH452" s="741"/>
      <c r="SFI452" s="741"/>
      <c r="SFJ452" s="741"/>
      <c r="SFK452" s="741"/>
      <c r="SFL452" s="741"/>
      <c r="SFM452" s="741"/>
      <c r="SFN452" s="741"/>
      <c r="SFO452" s="741"/>
      <c r="SFP452" s="741"/>
      <c r="SFQ452" s="741"/>
      <c r="SFR452" s="741"/>
      <c r="SFS452" s="741"/>
      <c r="SFT452" s="741"/>
      <c r="SFU452" s="741"/>
      <c r="SFV452" s="741"/>
      <c r="SFW452" s="741"/>
      <c r="SFX452" s="741"/>
      <c r="SFY452" s="741"/>
      <c r="SFZ452" s="741"/>
      <c r="SGA452" s="741"/>
      <c r="SGB452" s="741"/>
      <c r="SGC452" s="741"/>
      <c r="SGD452" s="741"/>
      <c r="SGE452" s="741"/>
      <c r="SGF452" s="741"/>
      <c r="SGG452" s="741"/>
      <c r="SGH452" s="741"/>
      <c r="SGI452" s="741"/>
      <c r="SGJ452" s="741"/>
      <c r="SGK452" s="741"/>
      <c r="SGL452" s="741"/>
      <c r="SGM452" s="741"/>
      <c r="SGN452" s="741"/>
      <c r="SGO452" s="741"/>
      <c r="SGP452" s="741"/>
      <c r="SGQ452" s="741"/>
      <c r="SGR452" s="741"/>
      <c r="SGS452" s="741"/>
      <c r="SGT452" s="741"/>
      <c r="SGU452" s="741"/>
      <c r="SGV452" s="741"/>
      <c r="SGW452" s="741"/>
      <c r="SGX452" s="741"/>
      <c r="SGY452" s="741"/>
      <c r="SGZ452" s="741"/>
      <c r="SHA452" s="741"/>
      <c r="SHB452" s="741"/>
      <c r="SHC452" s="741"/>
      <c r="SHD452" s="741"/>
      <c r="SHE452" s="741"/>
      <c r="SHF452" s="741"/>
      <c r="SHG452" s="741"/>
      <c r="SHH452" s="741"/>
      <c r="SHI452" s="741"/>
      <c r="SHJ452" s="741"/>
      <c r="SHK452" s="741"/>
      <c r="SHL452" s="741"/>
      <c r="SHM452" s="741"/>
      <c r="SHN452" s="741"/>
      <c r="SHO452" s="741"/>
      <c r="SHP452" s="741"/>
      <c r="SHQ452" s="741"/>
      <c r="SHR452" s="741"/>
      <c r="SHS452" s="741"/>
      <c r="SHT452" s="741"/>
      <c r="SHU452" s="741"/>
      <c r="SHV452" s="741"/>
      <c r="SHW452" s="741"/>
      <c r="SHX452" s="741"/>
      <c r="SHY452" s="741"/>
      <c r="SHZ452" s="741"/>
      <c r="SIA452" s="741"/>
      <c r="SIB452" s="741"/>
      <c r="SIC452" s="741"/>
      <c r="SID452" s="741"/>
      <c r="SIE452" s="741"/>
      <c r="SIF452" s="741"/>
      <c r="SIG452" s="741"/>
      <c r="SIH452" s="741"/>
      <c r="SII452" s="741"/>
      <c r="SIJ452" s="741"/>
      <c r="SIK452" s="741"/>
      <c r="SIL452" s="741"/>
      <c r="SIM452" s="741"/>
      <c r="SIN452" s="741"/>
      <c r="SIO452" s="741"/>
      <c r="SIP452" s="741"/>
      <c r="SIQ452" s="741"/>
      <c r="SIR452" s="741"/>
      <c r="SIS452" s="741"/>
      <c r="SIT452" s="741"/>
      <c r="SIU452" s="741"/>
      <c r="SIV452" s="741"/>
      <c r="SIW452" s="741"/>
      <c r="SIX452" s="741"/>
      <c r="SIY452" s="741"/>
      <c r="SIZ452" s="741"/>
      <c r="SJA452" s="741"/>
      <c r="SJB452" s="741"/>
      <c r="SJC452" s="741"/>
      <c r="SJD452" s="741"/>
      <c r="SJE452" s="741"/>
      <c r="SJF452" s="741"/>
      <c r="SJG452" s="741"/>
      <c r="SJH452" s="741"/>
      <c r="SJI452" s="741"/>
      <c r="SJJ452" s="741"/>
      <c r="SJK452" s="741"/>
      <c r="SJL452" s="741"/>
      <c r="SJM452" s="741"/>
      <c r="SJN452" s="741"/>
      <c r="SJO452" s="741"/>
      <c r="SJP452" s="741"/>
      <c r="SJQ452" s="741"/>
      <c r="SJR452" s="741"/>
      <c r="SJS452" s="741"/>
      <c r="SJT452" s="741"/>
      <c r="SJU452" s="741"/>
      <c r="SJV452" s="741"/>
      <c r="SJW452" s="741"/>
      <c r="SJX452" s="741"/>
      <c r="SJY452" s="741"/>
      <c r="SJZ452" s="741"/>
      <c r="SKA452" s="741"/>
      <c r="SKB452" s="741"/>
      <c r="SKC452" s="741"/>
      <c r="SKD452" s="741"/>
      <c r="SKE452" s="741"/>
      <c r="SKF452" s="741"/>
      <c r="SKG452" s="741"/>
      <c r="SKH452" s="741"/>
      <c r="SKI452" s="741"/>
      <c r="SKJ452" s="741"/>
      <c r="SKK452" s="741"/>
      <c r="SKL452" s="741"/>
      <c r="SKM452" s="741"/>
      <c r="SKN452" s="741"/>
      <c r="SKO452" s="741"/>
      <c r="SKP452" s="741"/>
      <c r="SKQ452" s="741"/>
      <c r="SKR452" s="741"/>
      <c r="SKS452" s="741"/>
      <c r="SKT452" s="741"/>
      <c r="SKU452" s="741"/>
      <c r="SKV452" s="741"/>
      <c r="SKW452" s="741"/>
      <c r="SKX452" s="741"/>
      <c r="SKY452" s="741"/>
      <c r="SKZ452" s="741"/>
      <c r="SLA452" s="741"/>
      <c r="SLB452" s="741"/>
      <c r="SLC452" s="741"/>
      <c r="SLD452" s="741"/>
      <c r="SLE452" s="741"/>
      <c r="SLF452" s="741"/>
      <c r="SLG452" s="741"/>
      <c r="SLH452" s="741"/>
      <c r="SLI452" s="741"/>
      <c r="SLJ452" s="741"/>
      <c r="SLK452" s="741"/>
      <c r="SLL452" s="741"/>
      <c r="SLM452" s="741"/>
      <c r="SLN452" s="741"/>
      <c r="SLO452" s="741"/>
      <c r="SLP452" s="741"/>
      <c r="SLQ452" s="741"/>
      <c r="SLR452" s="741"/>
      <c r="SLS452" s="741"/>
      <c r="SLT452" s="741"/>
      <c r="SLU452" s="741"/>
      <c r="SLV452" s="741"/>
      <c r="SLW452" s="741"/>
      <c r="SLX452" s="741"/>
      <c r="SLY452" s="741"/>
      <c r="SLZ452" s="741"/>
      <c r="SMA452" s="741"/>
      <c r="SMB452" s="741"/>
      <c r="SMC452" s="741"/>
      <c r="SMD452" s="741"/>
      <c r="SME452" s="741"/>
      <c r="SMF452" s="741"/>
      <c r="SMG452" s="741"/>
      <c r="SMH452" s="741"/>
      <c r="SMI452" s="741"/>
      <c r="SMJ452" s="741"/>
      <c r="SMK452" s="741"/>
      <c r="SML452" s="741"/>
      <c r="SMM452" s="741"/>
      <c r="SMN452" s="741"/>
      <c r="SMO452" s="741"/>
      <c r="SMP452" s="741"/>
      <c r="SMQ452" s="741"/>
      <c r="SMR452" s="741"/>
      <c r="SMS452" s="741"/>
      <c r="SMT452" s="741"/>
      <c r="SMU452" s="741"/>
      <c r="SMV452" s="741"/>
      <c r="SMW452" s="741"/>
      <c r="SMX452" s="741"/>
      <c r="SMY452" s="741"/>
      <c r="SMZ452" s="741"/>
      <c r="SNA452" s="741"/>
      <c r="SNB452" s="741"/>
      <c r="SNC452" s="741"/>
      <c r="SND452" s="741"/>
      <c r="SNE452" s="741"/>
      <c r="SNF452" s="741"/>
      <c r="SNG452" s="741"/>
      <c r="SNH452" s="741"/>
      <c r="SNI452" s="741"/>
      <c r="SNJ452" s="741"/>
      <c r="SNK452" s="741"/>
      <c r="SNL452" s="741"/>
      <c r="SNM452" s="741"/>
      <c r="SNN452" s="741"/>
      <c r="SNO452" s="741"/>
      <c r="SNP452" s="741"/>
      <c r="SNQ452" s="741"/>
      <c r="SNR452" s="741"/>
      <c r="SNS452" s="741"/>
      <c r="SNT452" s="741"/>
      <c r="SNU452" s="741"/>
      <c r="SNV452" s="741"/>
      <c r="SNW452" s="741"/>
      <c r="SNX452" s="741"/>
      <c r="SNY452" s="741"/>
      <c r="SNZ452" s="741"/>
      <c r="SOA452" s="741"/>
      <c r="SOB452" s="741"/>
      <c r="SOC452" s="741"/>
      <c r="SOD452" s="741"/>
      <c r="SOE452" s="741"/>
      <c r="SOF452" s="741"/>
      <c r="SOG452" s="741"/>
      <c r="SOH452" s="741"/>
      <c r="SOI452" s="741"/>
      <c r="SOJ452" s="741"/>
      <c r="SOK452" s="741"/>
      <c r="SOL452" s="741"/>
      <c r="SOM452" s="741"/>
      <c r="SON452" s="741"/>
      <c r="SOO452" s="741"/>
      <c r="SOP452" s="741"/>
      <c r="SOQ452" s="741"/>
      <c r="SOR452" s="741"/>
      <c r="SOS452" s="741"/>
      <c r="SOT452" s="741"/>
      <c r="SOU452" s="741"/>
      <c r="SOV452" s="741"/>
      <c r="SOW452" s="741"/>
      <c r="SOX452" s="741"/>
      <c r="SOY452" s="741"/>
      <c r="SOZ452" s="741"/>
      <c r="SPA452" s="741"/>
      <c r="SPB452" s="741"/>
      <c r="SPC452" s="741"/>
      <c r="SPD452" s="741"/>
      <c r="SPE452" s="741"/>
      <c r="SPF452" s="741"/>
      <c r="SPG452" s="741"/>
      <c r="SPH452" s="741"/>
      <c r="SPI452" s="741"/>
      <c r="SPJ452" s="741"/>
      <c r="SPK452" s="741"/>
      <c r="SPL452" s="741"/>
      <c r="SPM452" s="741"/>
      <c r="SPN452" s="741"/>
      <c r="SPO452" s="741"/>
      <c r="SPP452" s="741"/>
      <c r="SPQ452" s="741"/>
      <c r="SPR452" s="741"/>
      <c r="SPS452" s="741"/>
      <c r="SPT452" s="741"/>
      <c r="SPU452" s="741"/>
      <c r="SPV452" s="741"/>
      <c r="SPW452" s="741"/>
      <c r="SPX452" s="741"/>
      <c r="SPY452" s="741"/>
      <c r="SPZ452" s="741"/>
      <c r="SQA452" s="741"/>
      <c r="SQB452" s="741"/>
      <c r="SQC452" s="741"/>
      <c r="SQD452" s="741"/>
      <c r="SQE452" s="741"/>
      <c r="SQF452" s="741"/>
      <c r="SQG452" s="741"/>
      <c r="SQH452" s="741"/>
      <c r="SQI452" s="741"/>
      <c r="SQJ452" s="741"/>
      <c r="SQK452" s="741"/>
      <c r="SQL452" s="741"/>
      <c r="SQM452" s="741"/>
      <c r="SQN452" s="741"/>
      <c r="SQO452" s="741"/>
      <c r="SQP452" s="741"/>
      <c r="SQQ452" s="741"/>
      <c r="SQR452" s="741"/>
      <c r="SQS452" s="741"/>
      <c r="SQT452" s="741"/>
      <c r="SQU452" s="741"/>
      <c r="SQV452" s="741"/>
      <c r="SQW452" s="741"/>
      <c r="SQX452" s="741"/>
      <c r="SQY452" s="741"/>
      <c r="SQZ452" s="741"/>
      <c r="SRA452" s="741"/>
      <c r="SRB452" s="741"/>
      <c r="SRC452" s="741"/>
      <c r="SRD452" s="741"/>
      <c r="SRE452" s="741"/>
      <c r="SRF452" s="741"/>
      <c r="SRG452" s="741"/>
      <c r="SRH452" s="741"/>
      <c r="SRI452" s="741"/>
      <c r="SRJ452" s="741"/>
      <c r="SRK452" s="741"/>
      <c r="SRL452" s="741"/>
      <c r="SRM452" s="741"/>
      <c r="SRN452" s="741"/>
      <c r="SRO452" s="741"/>
      <c r="SRP452" s="741"/>
      <c r="SRQ452" s="741"/>
      <c r="SRR452" s="741"/>
      <c r="SRS452" s="741"/>
      <c r="SRT452" s="741"/>
      <c r="SRU452" s="741"/>
      <c r="SRV452" s="741"/>
      <c r="SRW452" s="741"/>
      <c r="SRX452" s="741"/>
      <c r="SRY452" s="741"/>
      <c r="SRZ452" s="741"/>
      <c r="SSA452" s="741"/>
      <c r="SSB452" s="741"/>
      <c r="SSC452" s="741"/>
      <c r="SSD452" s="741"/>
      <c r="SSE452" s="741"/>
      <c r="SSF452" s="741"/>
      <c r="SSG452" s="741"/>
      <c r="SSH452" s="741"/>
      <c r="SSI452" s="741"/>
      <c r="SSJ452" s="741"/>
      <c r="SSK452" s="741"/>
      <c r="SSL452" s="741"/>
      <c r="SSM452" s="741"/>
      <c r="SSN452" s="741"/>
      <c r="SSO452" s="741"/>
      <c r="SSP452" s="741"/>
      <c r="SSQ452" s="741"/>
      <c r="SSR452" s="741"/>
      <c r="SSS452" s="741"/>
      <c r="SST452" s="741"/>
      <c r="SSU452" s="741"/>
      <c r="SSV452" s="741"/>
      <c r="SSW452" s="741"/>
      <c r="SSX452" s="741"/>
      <c r="SSY452" s="741"/>
      <c r="SSZ452" s="741"/>
      <c r="STA452" s="741"/>
      <c r="STB452" s="741"/>
      <c r="STC452" s="741"/>
      <c r="STD452" s="741"/>
      <c r="STE452" s="741"/>
      <c r="STF452" s="741"/>
      <c r="STG452" s="741"/>
      <c r="STH452" s="741"/>
      <c r="STI452" s="741"/>
      <c r="STJ452" s="741"/>
      <c r="STK452" s="741"/>
      <c r="STL452" s="741"/>
      <c r="STM452" s="741"/>
      <c r="STN452" s="741"/>
      <c r="STO452" s="741"/>
      <c r="STP452" s="741"/>
      <c r="STQ452" s="741"/>
      <c r="STR452" s="741"/>
      <c r="STS452" s="741"/>
      <c r="STT452" s="741"/>
      <c r="STU452" s="741"/>
      <c r="STV452" s="741"/>
      <c r="STW452" s="741"/>
      <c r="STX452" s="741"/>
      <c r="STY452" s="741"/>
      <c r="STZ452" s="741"/>
      <c r="SUA452" s="741"/>
      <c r="SUB452" s="741"/>
      <c r="SUC452" s="741"/>
      <c r="SUD452" s="741"/>
      <c r="SUE452" s="741"/>
      <c r="SUF452" s="741"/>
      <c r="SUG452" s="741"/>
      <c r="SUH452" s="741"/>
      <c r="SUI452" s="741"/>
      <c r="SUJ452" s="741"/>
      <c r="SUK452" s="741"/>
      <c r="SUL452" s="741"/>
      <c r="SUM452" s="741"/>
      <c r="SUN452" s="741"/>
      <c r="SUO452" s="741"/>
      <c r="SUP452" s="741"/>
      <c r="SUQ452" s="741"/>
      <c r="SUR452" s="741"/>
      <c r="SUS452" s="741"/>
      <c r="SUT452" s="741"/>
      <c r="SUU452" s="741"/>
      <c r="SUV452" s="741"/>
      <c r="SUW452" s="741"/>
      <c r="SUX452" s="741"/>
      <c r="SUY452" s="741"/>
      <c r="SUZ452" s="741"/>
      <c r="SVA452" s="741"/>
      <c r="SVB452" s="741"/>
      <c r="SVC452" s="741"/>
      <c r="SVD452" s="741"/>
      <c r="SVE452" s="741"/>
      <c r="SVF452" s="741"/>
      <c r="SVG452" s="741"/>
      <c r="SVH452" s="741"/>
      <c r="SVI452" s="741"/>
      <c r="SVJ452" s="741"/>
      <c r="SVK452" s="741"/>
      <c r="SVL452" s="741"/>
      <c r="SVM452" s="741"/>
      <c r="SVN452" s="741"/>
      <c r="SVO452" s="741"/>
      <c r="SVP452" s="741"/>
      <c r="SVQ452" s="741"/>
      <c r="SVR452" s="741"/>
      <c r="SVS452" s="741"/>
      <c r="SVT452" s="741"/>
      <c r="SVU452" s="741"/>
      <c r="SVV452" s="741"/>
      <c r="SVW452" s="741"/>
      <c r="SVX452" s="741"/>
      <c r="SVY452" s="741"/>
      <c r="SVZ452" s="741"/>
      <c r="SWA452" s="741"/>
      <c r="SWB452" s="741"/>
      <c r="SWC452" s="741"/>
      <c r="SWD452" s="741"/>
      <c r="SWE452" s="741"/>
      <c r="SWF452" s="741"/>
      <c r="SWG452" s="741"/>
      <c r="SWH452" s="741"/>
      <c r="SWI452" s="741"/>
      <c r="SWJ452" s="741"/>
      <c r="SWK452" s="741"/>
      <c r="SWL452" s="741"/>
      <c r="SWM452" s="741"/>
      <c r="SWN452" s="741"/>
      <c r="SWO452" s="741"/>
      <c r="SWP452" s="741"/>
      <c r="SWQ452" s="741"/>
      <c r="SWR452" s="741"/>
      <c r="SWS452" s="741"/>
      <c r="SWT452" s="741"/>
      <c r="SWU452" s="741"/>
      <c r="SWV452" s="741"/>
      <c r="SWW452" s="741"/>
      <c r="SWX452" s="741"/>
      <c r="SWY452" s="741"/>
      <c r="SWZ452" s="741"/>
      <c r="SXA452" s="741"/>
      <c r="SXB452" s="741"/>
      <c r="SXC452" s="741"/>
      <c r="SXD452" s="741"/>
      <c r="SXE452" s="741"/>
      <c r="SXF452" s="741"/>
      <c r="SXG452" s="741"/>
      <c r="SXH452" s="741"/>
      <c r="SXI452" s="741"/>
      <c r="SXJ452" s="741"/>
      <c r="SXK452" s="741"/>
      <c r="SXL452" s="741"/>
      <c r="SXM452" s="741"/>
      <c r="SXN452" s="741"/>
      <c r="SXO452" s="741"/>
      <c r="SXP452" s="741"/>
      <c r="SXQ452" s="741"/>
      <c r="SXR452" s="741"/>
      <c r="SXS452" s="741"/>
      <c r="SXT452" s="741"/>
      <c r="SXU452" s="741"/>
      <c r="SXV452" s="741"/>
      <c r="SXW452" s="741"/>
      <c r="SXX452" s="741"/>
      <c r="SXY452" s="741"/>
      <c r="SXZ452" s="741"/>
      <c r="SYA452" s="741"/>
      <c r="SYB452" s="741"/>
      <c r="SYC452" s="741"/>
      <c r="SYD452" s="741"/>
      <c r="SYE452" s="741"/>
      <c r="SYF452" s="741"/>
      <c r="SYG452" s="741"/>
      <c r="SYH452" s="741"/>
      <c r="SYI452" s="741"/>
      <c r="SYJ452" s="741"/>
      <c r="SYK452" s="741"/>
      <c r="SYL452" s="741"/>
      <c r="SYM452" s="741"/>
      <c r="SYN452" s="741"/>
      <c r="SYO452" s="741"/>
      <c r="SYP452" s="741"/>
      <c r="SYQ452" s="741"/>
      <c r="SYR452" s="741"/>
      <c r="SYS452" s="741"/>
      <c r="SYT452" s="741"/>
      <c r="SYU452" s="741"/>
      <c r="SYV452" s="741"/>
      <c r="SYW452" s="741"/>
      <c r="SYX452" s="741"/>
      <c r="SYY452" s="741"/>
      <c r="SYZ452" s="741"/>
      <c r="SZA452" s="741"/>
      <c r="SZB452" s="741"/>
      <c r="SZC452" s="741"/>
      <c r="SZD452" s="741"/>
      <c r="SZE452" s="741"/>
      <c r="SZF452" s="741"/>
      <c r="SZG452" s="741"/>
      <c r="SZH452" s="741"/>
      <c r="SZI452" s="741"/>
      <c r="SZJ452" s="741"/>
      <c r="SZK452" s="741"/>
      <c r="SZL452" s="741"/>
      <c r="SZM452" s="741"/>
      <c r="SZN452" s="741"/>
      <c r="SZO452" s="741"/>
      <c r="SZP452" s="741"/>
      <c r="SZQ452" s="741"/>
      <c r="SZR452" s="741"/>
      <c r="SZS452" s="741"/>
      <c r="SZT452" s="741"/>
      <c r="SZU452" s="741"/>
      <c r="SZV452" s="741"/>
      <c r="SZW452" s="741"/>
      <c r="SZX452" s="741"/>
      <c r="SZY452" s="741"/>
      <c r="SZZ452" s="741"/>
      <c r="TAA452" s="741"/>
      <c r="TAB452" s="741"/>
      <c r="TAC452" s="741"/>
      <c r="TAD452" s="741"/>
      <c r="TAE452" s="741"/>
      <c r="TAF452" s="741"/>
      <c r="TAG452" s="741"/>
      <c r="TAH452" s="741"/>
      <c r="TAI452" s="741"/>
      <c r="TAJ452" s="741"/>
      <c r="TAK452" s="741"/>
      <c r="TAL452" s="741"/>
      <c r="TAM452" s="741"/>
      <c r="TAN452" s="741"/>
      <c r="TAO452" s="741"/>
      <c r="TAP452" s="741"/>
      <c r="TAQ452" s="741"/>
      <c r="TAR452" s="741"/>
      <c r="TAS452" s="741"/>
      <c r="TAT452" s="741"/>
      <c r="TAU452" s="741"/>
      <c r="TAV452" s="741"/>
      <c r="TAW452" s="741"/>
      <c r="TAX452" s="741"/>
      <c r="TAY452" s="741"/>
      <c r="TAZ452" s="741"/>
      <c r="TBA452" s="741"/>
      <c r="TBB452" s="741"/>
      <c r="TBC452" s="741"/>
      <c r="TBD452" s="741"/>
      <c r="TBE452" s="741"/>
      <c r="TBF452" s="741"/>
      <c r="TBG452" s="741"/>
      <c r="TBH452" s="741"/>
      <c r="TBI452" s="741"/>
      <c r="TBJ452" s="741"/>
      <c r="TBK452" s="741"/>
      <c r="TBL452" s="741"/>
      <c r="TBM452" s="741"/>
      <c r="TBN452" s="741"/>
      <c r="TBO452" s="741"/>
      <c r="TBP452" s="741"/>
      <c r="TBQ452" s="741"/>
      <c r="TBR452" s="741"/>
      <c r="TBS452" s="741"/>
      <c r="TBT452" s="741"/>
      <c r="TBU452" s="741"/>
      <c r="TBV452" s="741"/>
      <c r="TBW452" s="741"/>
      <c r="TBX452" s="741"/>
      <c r="TBY452" s="741"/>
      <c r="TBZ452" s="741"/>
      <c r="TCA452" s="741"/>
      <c r="TCB452" s="741"/>
      <c r="TCC452" s="741"/>
      <c r="TCD452" s="741"/>
      <c r="TCE452" s="741"/>
      <c r="TCF452" s="741"/>
      <c r="TCG452" s="741"/>
      <c r="TCH452" s="741"/>
      <c r="TCI452" s="741"/>
      <c r="TCJ452" s="741"/>
      <c r="TCK452" s="741"/>
      <c r="TCL452" s="741"/>
      <c r="TCM452" s="741"/>
      <c r="TCN452" s="741"/>
      <c r="TCO452" s="741"/>
      <c r="TCP452" s="741"/>
      <c r="TCQ452" s="741"/>
      <c r="TCR452" s="741"/>
      <c r="TCS452" s="741"/>
      <c r="TCT452" s="741"/>
      <c r="TCU452" s="741"/>
      <c r="TCV452" s="741"/>
      <c r="TCW452" s="741"/>
      <c r="TCX452" s="741"/>
      <c r="TCY452" s="741"/>
      <c r="TCZ452" s="741"/>
      <c r="TDA452" s="741"/>
      <c r="TDB452" s="741"/>
      <c r="TDC452" s="741"/>
      <c r="TDD452" s="741"/>
      <c r="TDE452" s="741"/>
      <c r="TDF452" s="741"/>
      <c r="TDG452" s="741"/>
      <c r="TDH452" s="741"/>
      <c r="TDI452" s="741"/>
      <c r="TDJ452" s="741"/>
      <c r="TDK452" s="741"/>
      <c r="TDL452" s="741"/>
      <c r="TDM452" s="741"/>
      <c r="TDN452" s="741"/>
      <c r="TDO452" s="741"/>
      <c r="TDP452" s="741"/>
      <c r="TDQ452" s="741"/>
      <c r="TDR452" s="741"/>
      <c r="TDS452" s="741"/>
      <c r="TDT452" s="741"/>
      <c r="TDU452" s="741"/>
      <c r="TDV452" s="741"/>
      <c r="TDW452" s="741"/>
      <c r="TDX452" s="741"/>
      <c r="TDY452" s="741"/>
      <c r="TDZ452" s="741"/>
      <c r="TEA452" s="741"/>
      <c r="TEB452" s="741"/>
      <c r="TEC452" s="741"/>
      <c r="TED452" s="741"/>
      <c r="TEE452" s="741"/>
      <c r="TEF452" s="741"/>
      <c r="TEG452" s="741"/>
      <c r="TEH452" s="741"/>
      <c r="TEI452" s="741"/>
      <c r="TEJ452" s="741"/>
      <c r="TEK452" s="741"/>
      <c r="TEL452" s="741"/>
      <c r="TEM452" s="741"/>
      <c r="TEN452" s="741"/>
      <c r="TEO452" s="741"/>
      <c r="TEP452" s="741"/>
      <c r="TEQ452" s="741"/>
      <c r="TER452" s="741"/>
      <c r="TES452" s="741"/>
      <c r="TET452" s="741"/>
      <c r="TEU452" s="741"/>
      <c r="TEV452" s="741"/>
      <c r="TEW452" s="741"/>
      <c r="TEX452" s="741"/>
      <c r="TEY452" s="741"/>
      <c r="TEZ452" s="741"/>
      <c r="TFA452" s="741"/>
      <c r="TFB452" s="741"/>
      <c r="TFC452" s="741"/>
      <c r="TFD452" s="741"/>
      <c r="TFE452" s="741"/>
      <c r="TFF452" s="741"/>
      <c r="TFG452" s="741"/>
      <c r="TFH452" s="741"/>
      <c r="TFI452" s="741"/>
      <c r="TFJ452" s="741"/>
      <c r="TFK452" s="741"/>
      <c r="TFL452" s="741"/>
      <c r="TFM452" s="741"/>
      <c r="TFN452" s="741"/>
      <c r="TFO452" s="741"/>
      <c r="TFP452" s="741"/>
      <c r="TFQ452" s="741"/>
      <c r="TFR452" s="741"/>
      <c r="TFS452" s="741"/>
      <c r="TFT452" s="741"/>
      <c r="TFU452" s="741"/>
      <c r="TFV452" s="741"/>
      <c r="TFW452" s="741"/>
      <c r="TFX452" s="741"/>
      <c r="TFY452" s="741"/>
      <c r="TFZ452" s="741"/>
      <c r="TGA452" s="741"/>
      <c r="TGB452" s="741"/>
      <c r="TGC452" s="741"/>
      <c r="TGD452" s="741"/>
      <c r="TGE452" s="741"/>
      <c r="TGF452" s="741"/>
      <c r="TGG452" s="741"/>
      <c r="TGH452" s="741"/>
      <c r="TGI452" s="741"/>
      <c r="TGJ452" s="741"/>
      <c r="TGK452" s="741"/>
      <c r="TGL452" s="741"/>
      <c r="TGM452" s="741"/>
      <c r="TGN452" s="741"/>
      <c r="TGO452" s="741"/>
      <c r="TGP452" s="741"/>
      <c r="TGQ452" s="741"/>
      <c r="TGR452" s="741"/>
      <c r="TGS452" s="741"/>
      <c r="TGT452" s="741"/>
      <c r="TGU452" s="741"/>
      <c r="TGV452" s="741"/>
      <c r="TGW452" s="741"/>
      <c r="TGX452" s="741"/>
      <c r="TGY452" s="741"/>
      <c r="TGZ452" s="741"/>
      <c r="THA452" s="741"/>
      <c r="THB452" s="741"/>
      <c r="THC452" s="741"/>
      <c r="THD452" s="741"/>
      <c r="THE452" s="741"/>
      <c r="THF452" s="741"/>
      <c r="THG452" s="741"/>
      <c r="THH452" s="741"/>
      <c r="THI452" s="741"/>
      <c r="THJ452" s="741"/>
      <c r="THK452" s="741"/>
      <c r="THL452" s="741"/>
      <c r="THM452" s="741"/>
      <c r="THN452" s="741"/>
      <c r="THO452" s="741"/>
      <c r="THP452" s="741"/>
      <c r="THQ452" s="741"/>
      <c r="THR452" s="741"/>
      <c r="THS452" s="741"/>
      <c r="THT452" s="741"/>
      <c r="THU452" s="741"/>
      <c r="THV452" s="741"/>
      <c r="THW452" s="741"/>
      <c r="THX452" s="741"/>
      <c r="THY452" s="741"/>
      <c r="THZ452" s="741"/>
      <c r="TIA452" s="741"/>
      <c r="TIB452" s="741"/>
      <c r="TIC452" s="741"/>
      <c r="TID452" s="741"/>
      <c r="TIE452" s="741"/>
      <c r="TIF452" s="741"/>
      <c r="TIG452" s="741"/>
      <c r="TIH452" s="741"/>
      <c r="TII452" s="741"/>
      <c r="TIJ452" s="741"/>
      <c r="TIK452" s="741"/>
      <c r="TIL452" s="741"/>
      <c r="TIM452" s="741"/>
      <c r="TIN452" s="741"/>
      <c r="TIO452" s="741"/>
      <c r="TIP452" s="741"/>
      <c r="TIQ452" s="741"/>
      <c r="TIR452" s="741"/>
      <c r="TIS452" s="741"/>
      <c r="TIT452" s="741"/>
      <c r="TIU452" s="741"/>
      <c r="TIV452" s="741"/>
      <c r="TIW452" s="741"/>
      <c r="TIX452" s="741"/>
      <c r="TIY452" s="741"/>
      <c r="TIZ452" s="741"/>
      <c r="TJA452" s="741"/>
      <c r="TJB452" s="741"/>
      <c r="TJC452" s="741"/>
      <c r="TJD452" s="741"/>
      <c r="TJE452" s="741"/>
      <c r="TJF452" s="741"/>
      <c r="TJG452" s="741"/>
      <c r="TJH452" s="741"/>
      <c r="TJI452" s="741"/>
      <c r="TJJ452" s="741"/>
      <c r="TJK452" s="741"/>
      <c r="TJL452" s="741"/>
      <c r="TJM452" s="741"/>
      <c r="TJN452" s="741"/>
      <c r="TJO452" s="741"/>
      <c r="TJP452" s="741"/>
      <c r="TJQ452" s="741"/>
      <c r="TJR452" s="741"/>
      <c r="TJS452" s="741"/>
      <c r="TJT452" s="741"/>
      <c r="TJU452" s="741"/>
      <c r="TJV452" s="741"/>
      <c r="TJW452" s="741"/>
      <c r="TJX452" s="741"/>
      <c r="TJY452" s="741"/>
      <c r="TJZ452" s="741"/>
      <c r="TKA452" s="741"/>
      <c r="TKB452" s="741"/>
      <c r="TKC452" s="741"/>
      <c r="TKD452" s="741"/>
      <c r="TKE452" s="741"/>
      <c r="TKF452" s="741"/>
      <c r="TKG452" s="741"/>
      <c r="TKH452" s="741"/>
      <c r="TKI452" s="741"/>
      <c r="TKJ452" s="741"/>
      <c r="TKK452" s="741"/>
      <c r="TKL452" s="741"/>
      <c r="TKM452" s="741"/>
      <c r="TKN452" s="741"/>
      <c r="TKO452" s="741"/>
      <c r="TKP452" s="741"/>
      <c r="TKQ452" s="741"/>
      <c r="TKR452" s="741"/>
      <c r="TKS452" s="741"/>
      <c r="TKT452" s="741"/>
      <c r="TKU452" s="741"/>
      <c r="TKV452" s="741"/>
      <c r="TKW452" s="741"/>
      <c r="TKX452" s="741"/>
      <c r="TKY452" s="741"/>
      <c r="TKZ452" s="741"/>
      <c r="TLA452" s="741"/>
      <c r="TLB452" s="741"/>
      <c r="TLC452" s="741"/>
      <c r="TLD452" s="741"/>
      <c r="TLE452" s="741"/>
      <c r="TLF452" s="741"/>
      <c r="TLG452" s="741"/>
      <c r="TLH452" s="741"/>
      <c r="TLI452" s="741"/>
      <c r="TLJ452" s="741"/>
      <c r="TLK452" s="741"/>
      <c r="TLL452" s="741"/>
      <c r="TLM452" s="741"/>
      <c r="TLN452" s="741"/>
      <c r="TLO452" s="741"/>
      <c r="TLP452" s="741"/>
      <c r="TLQ452" s="741"/>
      <c r="TLR452" s="741"/>
      <c r="TLS452" s="741"/>
      <c r="TLT452" s="741"/>
      <c r="TLU452" s="741"/>
      <c r="TLV452" s="741"/>
      <c r="TLW452" s="741"/>
      <c r="TLX452" s="741"/>
      <c r="TLY452" s="741"/>
      <c r="TLZ452" s="741"/>
      <c r="TMA452" s="741"/>
      <c r="TMB452" s="741"/>
      <c r="TMC452" s="741"/>
      <c r="TMD452" s="741"/>
      <c r="TME452" s="741"/>
      <c r="TMF452" s="741"/>
      <c r="TMG452" s="741"/>
      <c r="TMH452" s="741"/>
      <c r="TMI452" s="741"/>
      <c r="TMJ452" s="741"/>
      <c r="TMK452" s="741"/>
      <c r="TML452" s="741"/>
      <c r="TMM452" s="741"/>
      <c r="TMN452" s="741"/>
      <c r="TMO452" s="741"/>
      <c r="TMP452" s="741"/>
      <c r="TMQ452" s="741"/>
      <c r="TMR452" s="741"/>
      <c r="TMS452" s="741"/>
      <c r="TMT452" s="741"/>
      <c r="TMU452" s="741"/>
      <c r="TMV452" s="741"/>
      <c r="TMW452" s="741"/>
      <c r="TMX452" s="741"/>
      <c r="TMY452" s="741"/>
      <c r="TMZ452" s="741"/>
      <c r="TNA452" s="741"/>
      <c r="TNB452" s="741"/>
      <c r="TNC452" s="741"/>
      <c r="TND452" s="741"/>
      <c r="TNE452" s="741"/>
      <c r="TNF452" s="741"/>
      <c r="TNG452" s="741"/>
      <c r="TNH452" s="741"/>
      <c r="TNI452" s="741"/>
      <c r="TNJ452" s="741"/>
      <c r="TNK452" s="741"/>
      <c r="TNL452" s="741"/>
      <c r="TNM452" s="741"/>
      <c r="TNN452" s="741"/>
      <c r="TNO452" s="741"/>
      <c r="TNP452" s="741"/>
      <c r="TNQ452" s="741"/>
      <c r="TNR452" s="741"/>
      <c r="TNS452" s="741"/>
      <c r="TNT452" s="741"/>
      <c r="TNU452" s="741"/>
      <c r="TNV452" s="741"/>
      <c r="TNW452" s="741"/>
      <c r="TNX452" s="741"/>
      <c r="TNY452" s="741"/>
      <c r="TNZ452" s="741"/>
      <c r="TOA452" s="741"/>
      <c r="TOB452" s="741"/>
      <c r="TOC452" s="741"/>
      <c r="TOD452" s="741"/>
      <c r="TOE452" s="741"/>
      <c r="TOF452" s="741"/>
      <c r="TOG452" s="741"/>
      <c r="TOH452" s="741"/>
      <c r="TOI452" s="741"/>
      <c r="TOJ452" s="741"/>
      <c r="TOK452" s="741"/>
      <c r="TOL452" s="741"/>
      <c r="TOM452" s="741"/>
      <c r="TON452" s="741"/>
      <c r="TOO452" s="741"/>
      <c r="TOP452" s="741"/>
      <c r="TOQ452" s="741"/>
      <c r="TOR452" s="741"/>
      <c r="TOS452" s="741"/>
      <c r="TOT452" s="741"/>
      <c r="TOU452" s="741"/>
      <c r="TOV452" s="741"/>
      <c r="TOW452" s="741"/>
      <c r="TOX452" s="741"/>
      <c r="TOY452" s="741"/>
      <c r="TOZ452" s="741"/>
      <c r="TPA452" s="741"/>
      <c r="TPB452" s="741"/>
      <c r="TPC452" s="741"/>
      <c r="TPD452" s="741"/>
      <c r="TPE452" s="741"/>
      <c r="TPF452" s="741"/>
      <c r="TPG452" s="741"/>
      <c r="TPH452" s="741"/>
      <c r="TPI452" s="741"/>
      <c r="TPJ452" s="741"/>
      <c r="TPK452" s="741"/>
      <c r="TPL452" s="741"/>
      <c r="TPM452" s="741"/>
      <c r="TPN452" s="741"/>
      <c r="TPO452" s="741"/>
      <c r="TPP452" s="741"/>
      <c r="TPQ452" s="741"/>
      <c r="TPR452" s="741"/>
      <c r="TPS452" s="741"/>
      <c r="TPT452" s="741"/>
      <c r="TPU452" s="741"/>
      <c r="TPV452" s="741"/>
      <c r="TPW452" s="741"/>
      <c r="TPX452" s="741"/>
      <c r="TPY452" s="741"/>
      <c r="TPZ452" s="741"/>
      <c r="TQA452" s="741"/>
      <c r="TQB452" s="741"/>
      <c r="TQC452" s="741"/>
      <c r="TQD452" s="741"/>
      <c r="TQE452" s="741"/>
      <c r="TQF452" s="741"/>
      <c r="TQG452" s="741"/>
      <c r="TQH452" s="741"/>
      <c r="TQI452" s="741"/>
      <c r="TQJ452" s="741"/>
      <c r="TQK452" s="741"/>
      <c r="TQL452" s="741"/>
      <c r="TQM452" s="741"/>
      <c r="TQN452" s="741"/>
      <c r="TQO452" s="741"/>
      <c r="TQP452" s="741"/>
      <c r="TQQ452" s="741"/>
      <c r="TQR452" s="741"/>
      <c r="TQS452" s="741"/>
      <c r="TQT452" s="741"/>
      <c r="TQU452" s="741"/>
      <c r="TQV452" s="741"/>
      <c r="TQW452" s="741"/>
      <c r="TQX452" s="741"/>
      <c r="TQY452" s="741"/>
      <c r="TQZ452" s="741"/>
      <c r="TRA452" s="741"/>
      <c r="TRB452" s="741"/>
      <c r="TRC452" s="741"/>
      <c r="TRD452" s="741"/>
      <c r="TRE452" s="741"/>
      <c r="TRF452" s="741"/>
      <c r="TRG452" s="741"/>
      <c r="TRH452" s="741"/>
      <c r="TRI452" s="741"/>
      <c r="TRJ452" s="741"/>
      <c r="TRK452" s="741"/>
      <c r="TRL452" s="741"/>
      <c r="TRM452" s="741"/>
      <c r="TRN452" s="741"/>
      <c r="TRO452" s="741"/>
      <c r="TRP452" s="741"/>
      <c r="TRQ452" s="741"/>
      <c r="TRR452" s="741"/>
      <c r="TRS452" s="741"/>
      <c r="TRT452" s="741"/>
      <c r="TRU452" s="741"/>
      <c r="TRV452" s="741"/>
      <c r="TRW452" s="741"/>
      <c r="TRX452" s="741"/>
      <c r="TRY452" s="741"/>
      <c r="TRZ452" s="741"/>
      <c r="TSA452" s="741"/>
      <c r="TSB452" s="741"/>
      <c r="TSC452" s="741"/>
      <c r="TSD452" s="741"/>
      <c r="TSE452" s="741"/>
      <c r="TSF452" s="741"/>
      <c r="TSG452" s="741"/>
      <c r="TSH452" s="741"/>
      <c r="TSI452" s="741"/>
      <c r="TSJ452" s="741"/>
      <c r="TSK452" s="741"/>
      <c r="TSL452" s="741"/>
      <c r="TSM452" s="741"/>
      <c r="TSN452" s="741"/>
      <c r="TSO452" s="741"/>
      <c r="TSP452" s="741"/>
      <c r="TSQ452" s="741"/>
      <c r="TSR452" s="741"/>
      <c r="TSS452" s="741"/>
      <c r="TST452" s="741"/>
      <c r="TSU452" s="741"/>
      <c r="TSV452" s="741"/>
      <c r="TSW452" s="741"/>
      <c r="TSX452" s="741"/>
      <c r="TSY452" s="741"/>
      <c r="TSZ452" s="741"/>
      <c r="TTA452" s="741"/>
      <c r="TTB452" s="741"/>
      <c r="TTC452" s="741"/>
      <c r="TTD452" s="741"/>
      <c r="TTE452" s="741"/>
      <c r="TTF452" s="741"/>
      <c r="TTG452" s="741"/>
      <c r="TTH452" s="741"/>
      <c r="TTI452" s="741"/>
      <c r="TTJ452" s="741"/>
      <c r="TTK452" s="741"/>
      <c r="TTL452" s="741"/>
      <c r="TTM452" s="741"/>
      <c r="TTN452" s="741"/>
      <c r="TTO452" s="741"/>
      <c r="TTP452" s="741"/>
      <c r="TTQ452" s="741"/>
      <c r="TTR452" s="741"/>
      <c r="TTS452" s="741"/>
      <c r="TTT452" s="741"/>
      <c r="TTU452" s="741"/>
      <c r="TTV452" s="741"/>
      <c r="TTW452" s="741"/>
      <c r="TTX452" s="741"/>
      <c r="TTY452" s="741"/>
      <c r="TTZ452" s="741"/>
      <c r="TUA452" s="741"/>
      <c r="TUB452" s="741"/>
      <c r="TUC452" s="741"/>
      <c r="TUD452" s="741"/>
      <c r="TUE452" s="741"/>
      <c r="TUF452" s="741"/>
      <c r="TUG452" s="741"/>
      <c r="TUH452" s="741"/>
      <c r="TUI452" s="741"/>
      <c r="TUJ452" s="741"/>
      <c r="TUK452" s="741"/>
      <c r="TUL452" s="741"/>
      <c r="TUM452" s="741"/>
      <c r="TUN452" s="741"/>
      <c r="TUO452" s="741"/>
      <c r="TUP452" s="741"/>
      <c r="TUQ452" s="741"/>
      <c r="TUR452" s="741"/>
      <c r="TUS452" s="741"/>
      <c r="TUT452" s="741"/>
      <c r="TUU452" s="741"/>
      <c r="TUV452" s="741"/>
      <c r="TUW452" s="741"/>
      <c r="TUX452" s="741"/>
      <c r="TUY452" s="741"/>
      <c r="TUZ452" s="741"/>
      <c r="TVA452" s="741"/>
      <c r="TVB452" s="741"/>
      <c r="TVC452" s="741"/>
      <c r="TVD452" s="741"/>
      <c r="TVE452" s="741"/>
      <c r="TVF452" s="741"/>
      <c r="TVG452" s="741"/>
      <c r="TVH452" s="741"/>
      <c r="TVI452" s="741"/>
      <c r="TVJ452" s="741"/>
      <c r="TVK452" s="741"/>
      <c r="TVL452" s="741"/>
      <c r="TVM452" s="741"/>
      <c r="TVN452" s="741"/>
      <c r="TVO452" s="741"/>
      <c r="TVP452" s="741"/>
      <c r="TVQ452" s="741"/>
      <c r="TVR452" s="741"/>
      <c r="TVS452" s="741"/>
      <c r="TVT452" s="741"/>
      <c r="TVU452" s="741"/>
      <c r="TVV452" s="741"/>
      <c r="TVW452" s="741"/>
      <c r="TVX452" s="741"/>
      <c r="TVY452" s="741"/>
      <c r="TVZ452" s="741"/>
      <c r="TWA452" s="741"/>
      <c r="TWB452" s="741"/>
      <c r="TWC452" s="741"/>
      <c r="TWD452" s="741"/>
      <c r="TWE452" s="741"/>
      <c r="TWF452" s="741"/>
      <c r="TWG452" s="741"/>
      <c r="TWH452" s="741"/>
      <c r="TWI452" s="741"/>
      <c r="TWJ452" s="741"/>
      <c r="TWK452" s="741"/>
      <c r="TWL452" s="741"/>
      <c r="TWM452" s="741"/>
      <c r="TWN452" s="741"/>
      <c r="TWO452" s="741"/>
      <c r="TWP452" s="741"/>
      <c r="TWQ452" s="741"/>
      <c r="TWR452" s="741"/>
      <c r="TWS452" s="741"/>
      <c r="TWT452" s="741"/>
      <c r="TWU452" s="741"/>
      <c r="TWV452" s="741"/>
      <c r="TWW452" s="741"/>
      <c r="TWX452" s="741"/>
      <c r="TWY452" s="741"/>
      <c r="TWZ452" s="741"/>
      <c r="TXA452" s="741"/>
      <c r="TXB452" s="741"/>
      <c r="TXC452" s="741"/>
      <c r="TXD452" s="741"/>
      <c r="TXE452" s="741"/>
      <c r="TXF452" s="741"/>
      <c r="TXG452" s="741"/>
      <c r="TXH452" s="741"/>
      <c r="TXI452" s="741"/>
      <c r="TXJ452" s="741"/>
      <c r="TXK452" s="741"/>
      <c r="TXL452" s="741"/>
      <c r="TXM452" s="741"/>
      <c r="TXN452" s="741"/>
      <c r="TXO452" s="741"/>
      <c r="TXP452" s="741"/>
      <c r="TXQ452" s="741"/>
      <c r="TXR452" s="741"/>
      <c r="TXS452" s="741"/>
      <c r="TXT452" s="741"/>
      <c r="TXU452" s="741"/>
      <c r="TXV452" s="741"/>
      <c r="TXW452" s="741"/>
      <c r="TXX452" s="741"/>
      <c r="TXY452" s="741"/>
      <c r="TXZ452" s="741"/>
      <c r="TYA452" s="741"/>
      <c r="TYB452" s="741"/>
      <c r="TYC452" s="741"/>
      <c r="TYD452" s="741"/>
      <c r="TYE452" s="741"/>
      <c r="TYF452" s="741"/>
      <c r="TYG452" s="741"/>
      <c r="TYH452" s="741"/>
      <c r="TYI452" s="741"/>
      <c r="TYJ452" s="741"/>
      <c r="TYK452" s="741"/>
      <c r="TYL452" s="741"/>
      <c r="TYM452" s="741"/>
      <c r="TYN452" s="741"/>
      <c r="TYO452" s="741"/>
      <c r="TYP452" s="741"/>
      <c r="TYQ452" s="741"/>
      <c r="TYR452" s="741"/>
      <c r="TYS452" s="741"/>
      <c r="TYT452" s="741"/>
      <c r="TYU452" s="741"/>
      <c r="TYV452" s="741"/>
      <c r="TYW452" s="741"/>
      <c r="TYX452" s="741"/>
      <c r="TYY452" s="741"/>
      <c r="TYZ452" s="741"/>
      <c r="TZA452" s="741"/>
      <c r="TZB452" s="741"/>
      <c r="TZC452" s="741"/>
      <c r="TZD452" s="741"/>
      <c r="TZE452" s="741"/>
      <c r="TZF452" s="741"/>
      <c r="TZG452" s="741"/>
      <c r="TZH452" s="741"/>
      <c r="TZI452" s="741"/>
      <c r="TZJ452" s="741"/>
      <c r="TZK452" s="741"/>
      <c r="TZL452" s="741"/>
      <c r="TZM452" s="741"/>
      <c r="TZN452" s="741"/>
      <c r="TZO452" s="741"/>
      <c r="TZP452" s="741"/>
      <c r="TZQ452" s="741"/>
      <c r="TZR452" s="741"/>
      <c r="TZS452" s="741"/>
      <c r="TZT452" s="741"/>
      <c r="TZU452" s="741"/>
      <c r="TZV452" s="741"/>
      <c r="TZW452" s="741"/>
      <c r="TZX452" s="741"/>
      <c r="TZY452" s="741"/>
      <c r="TZZ452" s="741"/>
      <c r="UAA452" s="741"/>
      <c r="UAB452" s="741"/>
      <c r="UAC452" s="741"/>
      <c r="UAD452" s="741"/>
      <c r="UAE452" s="741"/>
      <c r="UAF452" s="741"/>
      <c r="UAG452" s="741"/>
      <c r="UAH452" s="741"/>
      <c r="UAI452" s="741"/>
      <c r="UAJ452" s="741"/>
      <c r="UAK452" s="741"/>
      <c r="UAL452" s="741"/>
      <c r="UAM452" s="741"/>
      <c r="UAN452" s="741"/>
      <c r="UAO452" s="741"/>
      <c r="UAP452" s="741"/>
      <c r="UAQ452" s="741"/>
      <c r="UAR452" s="741"/>
      <c r="UAS452" s="741"/>
      <c r="UAT452" s="741"/>
      <c r="UAU452" s="741"/>
      <c r="UAV452" s="741"/>
      <c r="UAW452" s="741"/>
      <c r="UAX452" s="741"/>
      <c r="UAY452" s="741"/>
      <c r="UAZ452" s="741"/>
      <c r="UBA452" s="741"/>
      <c r="UBB452" s="741"/>
      <c r="UBC452" s="741"/>
      <c r="UBD452" s="741"/>
      <c r="UBE452" s="741"/>
      <c r="UBF452" s="741"/>
      <c r="UBG452" s="741"/>
      <c r="UBH452" s="741"/>
      <c r="UBI452" s="741"/>
      <c r="UBJ452" s="741"/>
      <c r="UBK452" s="741"/>
      <c r="UBL452" s="741"/>
      <c r="UBM452" s="741"/>
      <c r="UBN452" s="741"/>
      <c r="UBO452" s="741"/>
      <c r="UBP452" s="741"/>
      <c r="UBQ452" s="741"/>
      <c r="UBR452" s="741"/>
      <c r="UBS452" s="741"/>
      <c r="UBT452" s="741"/>
      <c r="UBU452" s="741"/>
      <c r="UBV452" s="741"/>
      <c r="UBW452" s="741"/>
      <c r="UBX452" s="741"/>
      <c r="UBY452" s="741"/>
      <c r="UBZ452" s="741"/>
      <c r="UCA452" s="741"/>
      <c r="UCB452" s="741"/>
      <c r="UCC452" s="741"/>
      <c r="UCD452" s="741"/>
      <c r="UCE452" s="741"/>
      <c r="UCF452" s="741"/>
      <c r="UCG452" s="741"/>
      <c r="UCH452" s="741"/>
      <c r="UCI452" s="741"/>
      <c r="UCJ452" s="741"/>
      <c r="UCK452" s="741"/>
      <c r="UCL452" s="741"/>
      <c r="UCM452" s="741"/>
      <c r="UCN452" s="741"/>
      <c r="UCO452" s="741"/>
      <c r="UCP452" s="741"/>
      <c r="UCQ452" s="741"/>
      <c r="UCR452" s="741"/>
      <c r="UCS452" s="741"/>
      <c r="UCT452" s="741"/>
      <c r="UCU452" s="741"/>
      <c r="UCV452" s="741"/>
      <c r="UCW452" s="741"/>
      <c r="UCX452" s="741"/>
      <c r="UCY452" s="741"/>
      <c r="UCZ452" s="741"/>
      <c r="UDA452" s="741"/>
      <c r="UDB452" s="741"/>
      <c r="UDC452" s="741"/>
      <c r="UDD452" s="741"/>
      <c r="UDE452" s="741"/>
      <c r="UDF452" s="741"/>
      <c r="UDG452" s="741"/>
      <c r="UDH452" s="741"/>
      <c r="UDI452" s="741"/>
      <c r="UDJ452" s="741"/>
      <c r="UDK452" s="741"/>
      <c r="UDL452" s="741"/>
      <c r="UDM452" s="741"/>
      <c r="UDN452" s="741"/>
      <c r="UDO452" s="741"/>
      <c r="UDP452" s="741"/>
      <c r="UDQ452" s="741"/>
      <c r="UDR452" s="741"/>
      <c r="UDS452" s="741"/>
      <c r="UDT452" s="741"/>
      <c r="UDU452" s="741"/>
      <c r="UDV452" s="741"/>
      <c r="UDW452" s="741"/>
      <c r="UDX452" s="741"/>
      <c r="UDY452" s="741"/>
      <c r="UDZ452" s="741"/>
      <c r="UEA452" s="741"/>
      <c r="UEB452" s="741"/>
      <c r="UEC452" s="741"/>
      <c r="UED452" s="741"/>
      <c r="UEE452" s="741"/>
      <c r="UEF452" s="741"/>
      <c r="UEG452" s="741"/>
      <c r="UEH452" s="741"/>
      <c r="UEI452" s="741"/>
      <c r="UEJ452" s="741"/>
      <c r="UEK452" s="741"/>
      <c r="UEL452" s="741"/>
      <c r="UEM452" s="741"/>
      <c r="UEN452" s="741"/>
      <c r="UEO452" s="741"/>
      <c r="UEP452" s="741"/>
      <c r="UEQ452" s="741"/>
      <c r="UER452" s="741"/>
      <c r="UES452" s="741"/>
      <c r="UET452" s="741"/>
      <c r="UEU452" s="741"/>
      <c r="UEV452" s="741"/>
      <c r="UEW452" s="741"/>
      <c r="UEX452" s="741"/>
      <c r="UEY452" s="741"/>
      <c r="UEZ452" s="741"/>
      <c r="UFA452" s="741"/>
      <c r="UFB452" s="741"/>
      <c r="UFC452" s="741"/>
      <c r="UFD452" s="741"/>
      <c r="UFE452" s="741"/>
      <c r="UFF452" s="741"/>
      <c r="UFG452" s="741"/>
      <c r="UFH452" s="741"/>
      <c r="UFI452" s="741"/>
      <c r="UFJ452" s="741"/>
      <c r="UFK452" s="741"/>
      <c r="UFL452" s="741"/>
      <c r="UFM452" s="741"/>
      <c r="UFN452" s="741"/>
      <c r="UFO452" s="741"/>
      <c r="UFP452" s="741"/>
      <c r="UFQ452" s="741"/>
      <c r="UFR452" s="741"/>
      <c r="UFS452" s="741"/>
      <c r="UFT452" s="741"/>
      <c r="UFU452" s="741"/>
      <c r="UFV452" s="741"/>
      <c r="UFW452" s="741"/>
      <c r="UFX452" s="741"/>
      <c r="UFY452" s="741"/>
      <c r="UFZ452" s="741"/>
      <c r="UGA452" s="741"/>
      <c r="UGB452" s="741"/>
      <c r="UGC452" s="741"/>
      <c r="UGD452" s="741"/>
      <c r="UGE452" s="741"/>
      <c r="UGF452" s="741"/>
      <c r="UGG452" s="741"/>
      <c r="UGH452" s="741"/>
      <c r="UGI452" s="741"/>
      <c r="UGJ452" s="741"/>
      <c r="UGK452" s="741"/>
      <c r="UGL452" s="741"/>
      <c r="UGM452" s="741"/>
      <c r="UGN452" s="741"/>
      <c r="UGO452" s="741"/>
      <c r="UGP452" s="741"/>
      <c r="UGQ452" s="741"/>
      <c r="UGR452" s="741"/>
      <c r="UGS452" s="741"/>
      <c r="UGT452" s="741"/>
      <c r="UGU452" s="741"/>
      <c r="UGV452" s="741"/>
      <c r="UGW452" s="741"/>
      <c r="UGX452" s="741"/>
      <c r="UGY452" s="741"/>
      <c r="UGZ452" s="741"/>
      <c r="UHA452" s="741"/>
      <c r="UHB452" s="741"/>
      <c r="UHC452" s="741"/>
      <c r="UHD452" s="741"/>
      <c r="UHE452" s="741"/>
      <c r="UHF452" s="741"/>
      <c r="UHG452" s="741"/>
      <c r="UHH452" s="741"/>
      <c r="UHI452" s="741"/>
      <c r="UHJ452" s="741"/>
      <c r="UHK452" s="741"/>
      <c r="UHL452" s="741"/>
      <c r="UHM452" s="741"/>
      <c r="UHN452" s="741"/>
      <c r="UHO452" s="741"/>
      <c r="UHP452" s="741"/>
      <c r="UHQ452" s="741"/>
      <c r="UHR452" s="741"/>
      <c r="UHS452" s="741"/>
      <c r="UHT452" s="741"/>
      <c r="UHU452" s="741"/>
      <c r="UHV452" s="741"/>
      <c r="UHW452" s="741"/>
      <c r="UHX452" s="741"/>
      <c r="UHY452" s="741"/>
      <c r="UHZ452" s="741"/>
      <c r="UIA452" s="741"/>
      <c r="UIB452" s="741"/>
      <c r="UIC452" s="741"/>
      <c r="UID452" s="741"/>
      <c r="UIE452" s="741"/>
      <c r="UIF452" s="741"/>
      <c r="UIG452" s="741"/>
      <c r="UIH452" s="741"/>
      <c r="UII452" s="741"/>
      <c r="UIJ452" s="741"/>
      <c r="UIK452" s="741"/>
      <c r="UIL452" s="741"/>
      <c r="UIM452" s="741"/>
      <c r="UIN452" s="741"/>
      <c r="UIO452" s="741"/>
      <c r="UIP452" s="741"/>
      <c r="UIQ452" s="741"/>
      <c r="UIR452" s="741"/>
      <c r="UIS452" s="741"/>
      <c r="UIT452" s="741"/>
      <c r="UIU452" s="741"/>
      <c r="UIV452" s="741"/>
      <c r="UIW452" s="741"/>
      <c r="UIX452" s="741"/>
      <c r="UIY452" s="741"/>
      <c r="UIZ452" s="741"/>
      <c r="UJA452" s="741"/>
      <c r="UJB452" s="741"/>
      <c r="UJC452" s="741"/>
      <c r="UJD452" s="741"/>
      <c r="UJE452" s="741"/>
      <c r="UJF452" s="741"/>
      <c r="UJG452" s="741"/>
      <c r="UJH452" s="741"/>
      <c r="UJI452" s="741"/>
      <c r="UJJ452" s="741"/>
      <c r="UJK452" s="741"/>
      <c r="UJL452" s="741"/>
      <c r="UJM452" s="741"/>
      <c r="UJN452" s="741"/>
      <c r="UJO452" s="741"/>
      <c r="UJP452" s="741"/>
      <c r="UJQ452" s="741"/>
      <c r="UJR452" s="741"/>
      <c r="UJS452" s="741"/>
      <c r="UJT452" s="741"/>
      <c r="UJU452" s="741"/>
      <c r="UJV452" s="741"/>
      <c r="UJW452" s="741"/>
      <c r="UJX452" s="741"/>
      <c r="UJY452" s="741"/>
      <c r="UJZ452" s="741"/>
      <c r="UKA452" s="741"/>
      <c r="UKB452" s="741"/>
      <c r="UKC452" s="741"/>
      <c r="UKD452" s="741"/>
      <c r="UKE452" s="741"/>
      <c r="UKF452" s="741"/>
      <c r="UKG452" s="741"/>
      <c r="UKH452" s="741"/>
      <c r="UKI452" s="741"/>
      <c r="UKJ452" s="741"/>
      <c r="UKK452" s="741"/>
      <c r="UKL452" s="741"/>
      <c r="UKM452" s="741"/>
      <c r="UKN452" s="741"/>
      <c r="UKO452" s="741"/>
      <c r="UKP452" s="741"/>
      <c r="UKQ452" s="741"/>
      <c r="UKR452" s="741"/>
      <c r="UKS452" s="741"/>
      <c r="UKT452" s="741"/>
      <c r="UKU452" s="741"/>
      <c r="UKV452" s="741"/>
      <c r="UKW452" s="741"/>
      <c r="UKX452" s="741"/>
      <c r="UKY452" s="741"/>
      <c r="UKZ452" s="741"/>
      <c r="ULA452" s="741"/>
      <c r="ULB452" s="741"/>
      <c r="ULC452" s="741"/>
      <c r="ULD452" s="741"/>
      <c r="ULE452" s="741"/>
      <c r="ULF452" s="741"/>
      <c r="ULG452" s="741"/>
      <c r="ULH452" s="741"/>
      <c r="ULI452" s="741"/>
      <c r="ULJ452" s="741"/>
      <c r="ULK452" s="741"/>
      <c r="ULL452" s="741"/>
      <c r="ULM452" s="741"/>
      <c r="ULN452" s="741"/>
      <c r="ULO452" s="741"/>
      <c r="ULP452" s="741"/>
      <c r="ULQ452" s="741"/>
      <c r="ULR452" s="741"/>
      <c r="ULS452" s="741"/>
      <c r="ULT452" s="741"/>
      <c r="ULU452" s="741"/>
      <c r="ULV452" s="741"/>
      <c r="ULW452" s="741"/>
      <c r="ULX452" s="741"/>
      <c r="ULY452" s="741"/>
      <c r="ULZ452" s="741"/>
      <c r="UMA452" s="741"/>
      <c r="UMB452" s="741"/>
      <c r="UMC452" s="741"/>
      <c r="UMD452" s="741"/>
      <c r="UME452" s="741"/>
      <c r="UMF452" s="741"/>
      <c r="UMG452" s="741"/>
      <c r="UMH452" s="741"/>
      <c r="UMI452" s="741"/>
      <c r="UMJ452" s="741"/>
      <c r="UMK452" s="741"/>
      <c r="UML452" s="741"/>
      <c r="UMM452" s="741"/>
      <c r="UMN452" s="741"/>
      <c r="UMO452" s="741"/>
      <c r="UMP452" s="741"/>
      <c r="UMQ452" s="741"/>
      <c r="UMR452" s="741"/>
      <c r="UMS452" s="741"/>
      <c r="UMT452" s="741"/>
      <c r="UMU452" s="741"/>
      <c r="UMV452" s="741"/>
      <c r="UMW452" s="741"/>
      <c r="UMX452" s="741"/>
      <c r="UMY452" s="741"/>
      <c r="UMZ452" s="741"/>
      <c r="UNA452" s="741"/>
      <c r="UNB452" s="741"/>
      <c r="UNC452" s="741"/>
      <c r="UND452" s="741"/>
      <c r="UNE452" s="741"/>
      <c r="UNF452" s="741"/>
      <c r="UNG452" s="741"/>
      <c r="UNH452" s="741"/>
      <c r="UNI452" s="741"/>
      <c r="UNJ452" s="741"/>
      <c r="UNK452" s="741"/>
      <c r="UNL452" s="741"/>
      <c r="UNM452" s="741"/>
      <c r="UNN452" s="741"/>
      <c r="UNO452" s="741"/>
      <c r="UNP452" s="741"/>
      <c r="UNQ452" s="741"/>
      <c r="UNR452" s="741"/>
      <c r="UNS452" s="741"/>
      <c r="UNT452" s="741"/>
      <c r="UNU452" s="741"/>
      <c r="UNV452" s="741"/>
      <c r="UNW452" s="741"/>
      <c r="UNX452" s="741"/>
      <c r="UNY452" s="741"/>
      <c r="UNZ452" s="741"/>
      <c r="UOA452" s="741"/>
      <c r="UOB452" s="741"/>
      <c r="UOC452" s="741"/>
      <c r="UOD452" s="741"/>
      <c r="UOE452" s="741"/>
      <c r="UOF452" s="741"/>
      <c r="UOG452" s="741"/>
      <c r="UOH452" s="741"/>
      <c r="UOI452" s="741"/>
      <c r="UOJ452" s="741"/>
      <c r="UOK452" s="741"/>
      <c r="UOL452" s="741"/>
      <c r="UOM452" s="741"/>
      <c r="UON452" s="741"/>
      <c r="UOO452" s="741"/>
      <c r="UOP452" s="741"/>
      <c r="UOQ452" s="741"/>
      <c r="UOR452" s="741"/>
      <c r="UOS452" s="741"/>
      <c r="UOT452" s="741"/>
      <c r="UOU452" s="741"/>
      <c r="UOV452" s="741"/>
      <c r="UOW452" s="741"/>
      <c r="UOX452" s="741"/>
      <c r="UOY452" s="741"/>
      <c r="UOZ452" s="741"/>
      <c r="UPA452" s="741"/>
      <c r="UPB452" s="741"/>
      <c r="UPC452" s="741"/>
      <c r="UPD452" s="741"/>
      <c r="UPE452" s="741"/>
      <c r="UPF452" s="741"/>
      <c r="UPG452" s="741"/>
      <c r="UPH452" s="741"/>
      <c r="UPI452" s="741"/>
      <c r="UPJ452" s="741"/>
      <c r="UPK452" s="741"/>
      <c r="UPL452" s="741"/>
      <c r="UPM452" s="741"/>
      <c r="UPN452" s="741"/>
      <c r="UPO452" s="741"/>
      <c r="UPP452" s="741"/>
      <c r="UPQ452" s="741"/>
      <c r="UPR452" s="741"/>
      <c r="UPS452" s="741"/>
      <c r="UPT452" s="741"/>
      <c r="UPU452" s="741"/>
      <c r="UPV452" s="741"/>
      <c r="UPW452" s="741"/>
      <c r="UPX452" s="741"/>
      <c r="UPY452" s="741"/>
      <c r="UPZ452" s="741"/>
      <c r="UQA452" s="741"/>
      <c r="UQB452" s="741"/>
      <c r="UQC452" s="741"/>
      <c r="UQD452" s="741"/>
      <c r="UQE452" s="741"/>
      <c r="UQF452" s="741"/>
      <c r="UQG452" s="741"/>
      <c r="UQH452" s="741"/>
      <c r="UQI452" s="741"/>
      <c r="UQJ452" s="741"/>
      <c r="UQK452" s="741"/>
      <c r="UQL452" s="741"/>
      <c r="UQM452" s="741"/>
      <c r="UQN452" s="741"/>
      <c r="UQO452" s="741"/>
      <c r="UQP452" s="741"/>
      <c r="UQQ452" s="741"/>
      <c r="UQR452" s="741"/>
      <c r="UQS452" s="741"/>
      <c r="UQT452" s="741"/>
      <c r="UQU452" s="741"/>
      <c r="UQV452" s="741"/>
      <c r="UQW452" s="741"/>
      <c r="UQX452" s="741"/>
      <c r="UQY452" s="741"/>
      <c r="UQZ452" s="741"/>
      <c r="URA452" s="741"/>
      <c r="URB452" s="741"/>
      <c r="URC452" s="741"/>
      <c r="URD452" s="741"/>
      <c r="URE452" s="741"/>
      <c r="URF452" s="741"/>
      <c r="URG452" s="741"/>
      <c r="URH452" s="741"/>
      <c r="URI452" s="741"/>
      <c r="URJ452" s="741"/>
      <c r="URK452" s="741"/>
      <c r="URL452" s="741"/>
      <c r="URM452" s="741"/>
      <c r="URN452" s="741"/>
      <c r="URO452" s="741"/>
      <c r="URP452" s="741"/>
      <c r="URQ452" s="741"/>
      <c r="URR452" s="741"/>
      <c r="URS452" s="741"/>
      <c r="URT452" s="741"/>
      <c r="URU452" s="741"/>
      <c r="URV452" s="741"/>
      <c r="URW452" s="741"/>
      <c r="URX452" s="741"/>
      <c r="URY452" s="741"/>
      <c r="URZ452" s="741"/>
      <c r="USA452" s="741"/>
      <c r="USB452" s="741"/>
      <c r="USC452" s="741"/>
      <c r="USD452" s="741"/>
      <c r="USE452" s="741"/>
      <c r="USF452" s="741"/>
      <c r="USG452" s="741"/>
      <c r="USH452" s="741"/>
      <c r="USI452" s="741"/>
      <c r="USJ452" s="741"/>
      <c r="USK452" s="741"/>
      <c r="USL452" s="741"/>
      <c r="USM452" s="741"/>
      <c r="USN452" s="741"/>
      <c r="USO452" s="741"/>
      <c r="USP452" s="741"/>
      <c r="USQ452" s="741"/>
      <c r="USR452" s="741"/>
      <c r="USS452" s="741"/>
      <c r="UST452" s="741"/>
      <c r="USU452" s="741"/>
      <c r="USV452" s="741"/>
      <c r="USW452" s="741"/>
      <c r="USX452" s="741"/>
      <c r="USY452" s="741"/>
      <c r="USZ452" s="741"/>
      <c r="UTA452" s="741"/>
      <c r="UTB452" s="741"/>
      <c r="UTC452" s="741"/>
      <c r="UTD452" s="741"/>
      <c r="UTE452" s="741"/>
      <c r="UTF452" s="741"/>
      <c r="UTG452" s="741"/>
      <c r="UTH452" s="741"/>
      <c r="UTI452" s="741"/>
      <c r="UTJ452" s="741"/>
      <c r="UTK452" s="741"/>
      <c r="UTL452" s="741"/>
      <c r="UTM452" s="741"/>
      <c r="UTN452" s="741"/>
      <c r="UTO452" s="741"/>
      <c r="UTP452" s="741"/>
      <c r="UTQ452" s="741"/>
      <c r="UTR452" s="741"/>
      <c r="UTS452" s="741"/>
      <c r="UTT452" s="741"/>
      <c r="UTU452" s="741"/>
      <c r="UTV452" s="741"/>
      <c r="UTW452" s="741"/>
      <c r="UTX452" s="741"/>
      <c r="UTY452" s="741"/>
      <c r="UTZ452" s="741"/>
      <c r="UUA452" s="741"/>
      <c r="UUB452" s="741"/>
      <c r="UUC452" s="741"/>
      <c r="UUD452" s="741"/>
      <c r="UUE452" s="741"/>
      <c r="UUF452" s="741"/>
      <c r="UUG452" s="741"/>
      <c r="UUH452" s="741"/>
      <c r="UUI452" s="741"/>
      <c r="UUJ452" s="741"/>
      <c r="UUK452" s="741"/>
      <c r="UUL452" s="741"/>
      <c r="UUM452" s="741"/>
      <c r="UUN452" s="741"/>
      <c r="UUO452" s="741"/>
      <c r="UUP452" s="741"/>
      <c r="UUQ452" s="741"/>
      <c r="UUR452" s="741"/>
      <c r="UUS452" s="741"/>
      <c r="UUT452" s="741"/>
      <c r="UUU452" s="741"/>
      <c r="UUV452" s="741"/>
      <c r="UUW452" s="741"/>
      <c r="UUX452" s="741"/>
      <c r="UUY452" s="741"/>
      <c r="UUZ452" s="741"/>
      <c r="UVA452" s="741"/>
      <c r="UVB452" s="741"/>
      <c r="UVC452" s="741"/>
      <c r="UVD452" s="741"/>
      <c r="UVE452" s="741"/>
      <c r="UVF452" s="741"/>
      <c r="UVG452" s="741"/>
      <c r="UVH452" s="741"/>
      <c r="UVI452" s="741"/>
      <c r="UVJ452" s="741"/>
      <c r="UVK452" s="741"/>
      <c r="UVL452" s="741"/>
      <c r="UVM452" s="741"/>
      <c r="UVN452" s="741"/>
      <c r="UVO452" s="741"/>
      <c r="UVP452" s="741"/>
      <c r="UVQ452" s="741"/>
      <c r="UVR452" s="741"/>
      <c r="UVS452" s="741"/>
      <c r="UVT452" s="741"/>
      <c r="UVU452" s="741"/>
      <c r="UVV452" s="741"/>
      <c r="UVW452" s="741"/>
      <c r="UVX452" s="741"/>
      <c r="UVY452" s="741"/>
      <c r="UVZ452" s="741"/>
      <c r="UWA452" s="741"/>
      <c r="UWB452" s="741"/>
      <c r="UWC452" s="741"/>
      <c r="UWD452" s="741"/>
      <c r="UWE452" s="741"/>
      <c r="UWF452" s="741"/>
      <c r="UWG452" s="741"/>
      <c r="UWH452" s="741"/>
      <c r="UWI452" s="741"/>
      <c r="UWJ452" s="741"/>
      <c r="UWK452" s="741"/>
      <c r="UWL452" s="741"/>
      <c r="UWM452" s="741"/>
      <c r="UWN452" s="741"/>
      <c r="UWO452" s="741"/>
      <c r="UWP452" s="741"/>
      <c r="UWQ452" s="741"/>
      <c r="UWR452" s="741"/>
      <c r="UWS452" s="741"/>
      <c r="UWT452" s="741"/>
      <c r="UWU452" s="741"/>
      <c r="UWV452" s="741"/>
      <c r="UWW452" s="741"/>
      <c r="UWX452" s="741"/>
      <c r="UWY452" s="741"/>
      <c r="UWZ452" s="741"/>
      <c r="UXA452" s="741"/>
      <c r="UXB452" s="741"/>
      <c r="UXC452" s="741"/>
      <c r="UXD452" s="741"/>
      <c r="UXE452" s="741"/>
      <c r="UXF452" s="741"/>
      <c r="UXG452" s="741"/>
      <c r="UXH452" s="741"/>
      <c r="UXI452" s="741"/>
      <c r="UXJ452" s="741"/>
      <c r="UXK452" s="741"/>
      <c r="UXL452" s="741"/>
      <c r="UXM452" s="741"/>
      <c r="UXN452" s="741"/>
      <c r="UXO452" s="741"/>
      <c r="UXP452" s="741"/>
      <c r="UXQ452" s="741"/>
      <c r="UXR452" s="741"/>
      <c r="UXS452" s="741"/>
      <c r="UXT452" s="741"/>
      <c r="UXU452" s="741"/>
      <c r="UXV452" s="741"/>
      <c r="UXW452" s="741"/>
      <c r="UXX452" s="741"/>
      <c r="UXY452" s="741"/>
      <c r="UXZ452" s="741"/>
      <c r="UYA452" s="741"/>
      <c r="UYB452" s="741"/>
      <c r="UYC452" s="741"/>
      <c r="UYD452" s="741"/>
      <c r="UYE452" s="741"/>
      <c r="UYF452" s="741"/>
      <c r="UYG452" s="741"/>
      <c r="UYH452" s="741"/>
      <c r="UYI452" s="741"/>
      <c r="UYJ452" s="741"/>
      <c r="UYK452" s="741"/>
      <c r="UYL452" s="741"/>
      <c r="UYM452" s="741"/>
      <c r="UYN452" s="741"/>
      <c r="UYO452" s="741"/>
      <c r="UYP452" s="741"/>
      <c r="UYQ452" s="741"/>
      <c r="UYR452" s="741"/>
      <c r="UYS452" s="741"/>
      <c r="UYT452" s="741"/>
      <c r="UYU452" s="741"/>
      <c r="UYV452" s="741"/>
      <c r="UYW452" s="741"/>
      <c r="UYX452" s="741"/>
      <c r="UYY452" s="741"/>
      <c r="UYZ452" s="741"/>
      <c r="UZA452" s="741"/>
      <c r="UZB452" s="741"/>
      <c r="UZC452" s="741"/>
      <c r="UZD452" s="741"/>
      <c r="UZE452" s="741"/>
      <c r="UZF452" s="741"/>
      <c r="UZG452" s="741"/>
      <c r="UZH452" s="741"/>
      <c r="UZI452" s="741"/>
      <c r="UZJ452" s="741"/>
      <c r="UZK452" s="741"/>
      <c r="UZL452" s="741"/>
      <c r="UZM452" s="741"/>
      <c r="UZN452" s="741"/>
      <c r="UZO452" s="741"/>
      <c r="UZP452" s="741"/>
      <c r="UZQ452" s="741"/>
      <c r="UZR452" s="741"/>
      <c r="UZS452" s="741"/>
      <c r="UZT452" s="741"/>
      <c r="UZU452" s="741"/>
      <c r="UZV452" s="741"/>
      <c r="UZW452" s="741"/>
      <c r="UZX452" s="741"/>
      <c r="UZY452" s="741"/>
      <c r="UZZ452" s="741"/>
      <c r="VAA452" s="741"/>
      <c r="VAB452" s="741"/>
      <c r="VAC452" s="741"/>
      <c r="VAD452" s="741"/>
      <c r="VAE452" s="741"/>
      <c r="VAF452" s="741"/>
      <c r="VAG452" s="741"/>
      <c r="VAH452" s="741"/>
      <c r="VAI452" s="741"/>
      <c r="VAJ452" s="741"/>
      <c r="VAK452" s="741"/>
      <c r="VAL452" s="741"/>
      <c r="VAM452" s="741"/>
      <c r="VAN452" s="741"/>
      <c r="VAO452" s="741"/>
      <c r="VAP452" s="741"/>
      <c r="VAQ452" s="741"/>
      <c r="VAR452" s="741"/>
      <c r="VAS452" s="741"/>
      <c r="VAT452" s="741"/>
      <c r="VAU452" s="741"/>
      <c r="VAV452" s="741"/>
      <c r="VAW452" s="741"/>
      <c r="VAX452" s="741"/>
      <c r="VAY452" s="741"/>
      <c r="VAZ452" s="741"/>
      <c r="VBA452" s="741"/>
      <c r="VBB452" s="741"/>
      <c r="VBC452" s="741"/>
      <c r="VBD452" s="741"/>
      <c r="VBE452" s="741"/>
      <c r="VBF452" s="741"/>
      <c r="VBG452" s="741"/>
      <c r="VBH452" s="741"/>
      <c r="VBI452" s="741"/>
      <c r="VBJ452" s="741"/>
      <c r="VBK452" s="741"/>
      <c r="VBL452" s="741"/>
      <c r="VBM452" s="741"/>
      <c r="VBN452" s="741"/>
      <c r="VBO452" s="741"/>
      <c r="VBP452" s="741"/>
      <c r="VBQ452" s="741"/>
      <c r="VBR452" s="741"/>
      <c r="VBS452" s="741"/>
      <c r="VBT452" s="741"/>
      <c r="VBU452" s="741"/>
      <c r="VBV452" s="741"/>
      <c r="VBW452" s="741"/>
      <c r="VBX452" s="741"/>
      <c r="VBY452" s="741"/>
      <c r="VBZ452" s="741"/>
      <c r="VCA452" s="741"/>
      <c r="VCB452" s="741"/>
      <c r="VCC452" s="741"/>
      <c r="VCD452" s="741"/>
      <c r="VCE452" s="741"/>
      <c r="VCF452" s="741"/>
      <c r="VCG452" s="741"/>
      <c r="VCH452" s="741"/>
      <c r="VCI452" s="741"/>
      <c r="VCJ452" s="741"/>
      <c r="VCK452" s="741"/>
      <c r="VCL452" s="741"/>
      <c r="VCM452" s="741"/>
      <c r="VCN452" s="741"/>
      <c r="VCO452" s="741"/>
      <c r="VCP452" s="741"/>
      <c r="VCQ452" s="741"/>
      <c r="VCR452" s="741"/>
      <c r="VCS452" s="741"/>
      <c r="VCT452" s="741"/>
      <c r="VCU452" s="741"/>
      <c r="VCV452" s="741"/>
      <c r="VCW452" s="741"/>
      <c r="VCX452" s="741"/>
      <c r="VCY452" s="741"/>
      <c r="VCZ452" s="741"/>
      <c r="VDA452" s="741"/>
      <c r="VDB452" s="741"/>
      <c r="VDC452" s="741"/>
      <c r="VDD452" s="741"/>
      <c r="VDE452" s="741"/>
      <c r="VDF452" s="741"/>
      <c r="VDG452" s="741"/>
      <c r="VDH452" s="741"/>
      <c r="VDI452" s="741"/>
      <c r="VDJ452" s="741"/>
      <c r="VDK452" s="741"/>
      <c r="VDL452" s="741"/>
      <c r="VDM452" s="741"/>
      <c r="VDN452" s="741"/>
      <c r="VDO452" s="741"/>
      <c r="VDP452" s="741"/>
      <c r="VDQ452" s="741"/>
      <c r="VDR452" s="741"/>
      <c r="VDS452" s="741"/>
      <c r="VDT452" s="741"/>
      <c r="VDU452" s="741"/>
      <c r="VDV452" s="741"/>
      <c r="VDW452" s="741"/>
      <c r="VDX452" s="741"/>
      <c r="VDY452" s="741"/>
      <c r="VDZ452" s="741"/>
      <c r="VEA452" s="741"/>
      <c r="VEB452" s="741"/>
      <c r="VEC452" s="741"/>
      <c r="VED452" s="741"/>
      <c r="VEE452" s="741"/>
      <c r="VEF452" s="741"/>
      <c r="VEG452" s="741"/>
      <c r="VEH452" s="741"/>
      <c r="VEI452" s="741"/>
      <c r="VEJ452" s="741"/>
      <c r="VEK452" s="741"/>
      <c r="VEL452" s="741"/>
      <c r="VEM452" s="741"/>
      <c r="VEN452" s="741"/>
      <c r="VEO452" s="741"/>
      <c r="VEP452" s="741"/>
      <c r="VEQ452" s="741"/>
      <c r="VER452" s="741"/>
      <c r="VES452" s="741"/>
      <c r="VET452" s="741"/>
      <c r="VEU452" s="741"/>
      <c r="VEV452" s="741"/>
      <c r="VEW452" s="741"/>
      <c r="VEX452" s="741"/>
      <c r="VEY452" s="741"/>
      <c r="VEZ452" s="741"/>
      <c r="VFA452" s="741"/>
      <c r="VFB452" s="741"/>
      <c r="VFC452" s="741"/>
      <c r="VFD452" s="741"/>
      <c r="VFE452" s="741"/>
      <c r="VFF452" s="741"/>
      <c r="VFG452" s="741"/>
      <c r="VFH452" s="741"/>
      <c r="VFI452" s="741"/>
      <c r="VFJ452" s="741"/>
      <c r="VFK452" s="741"/>
      <c r="VFL452" s="741"/>
      <c r="VFM452" s="741"/>
      <c r="VFN452" s="741"/>
      <c r="VFO452" s="741"/>
      <c r="VFP452" s="741"/>
      <c r="VFQ452" s="741"/>
      <c r="VFR452" s="741"/>
      <c r="VFS452" s="741"/>
      <c r="VFT452" s="741"/>
      <c r="VFU452" s="741"/>
      <c r="VFV452" s="741"/>
      <c r="VFW452" s="741"/>
      <c r="VFX452" s="741"/>
      <c r="VFY452" s="741"/>
      <c r="VFZ452" s="741"/>
      <c r="VGA452" s="741"/>
      <c r="VGB452" s="741"/>
      <c r="VGC452" s="741"/>
      <c r="VGD452" s="741"/>
      <c r="VGE452" s="741"/>
      <c r="VGF452" s="741"/>
      <c r="VGG452" s="741"/>
      <c r="VGH452" s="741"/>
      <c r="VGI452" s="741"/>
      <c r="VGJ452" s="741"/>
      <c r="VGK452" s="741"/>
      <c r="VGL452" s="741"/>
      <c r="VGM452" s="741"/>
      <c r="VGN452" s="741"/>
      <c r="VGO452" s="741"/>
      <c r="VGP452" s="741"/>
      <c r="VGQ452" s="741"/>
      <c r="VGR452" s="741"/>
      <c r="VGS452" s="741"/>
      <c r="VGT452" s="741"/>
      <c r="VGU452" s="741"/>
      <c r="VGV452" s="741"/>
      <c r="VGW452" s="741"/>
      <c r="VGX452" s="741"/>
      <c r="VGY452" s="741"/>
      <c r="VGZ452" s="741"/>
      <c r="VHA452" s="741"/>
      <c r="VHB452" s="741"/>
      <c r="VHC452" s="741"/>
      <c r="VHD452" s="741"/>
      <c r="VHE452" s="741"/>
      <c r="VHF452" s="741"/>
      <c r="VHG452" s="741"/>
      <c r="VHH452" s="741"/>
      <c r="VHI452" s="741"/>
      <c r="VHJ452" s="741"/>
      <c r="VHK452" s="741"/>
      <c r="VHL452" s="741"/>
      <c r="VHM452" s="741"/>
      <c r="VHN452" s="741"/>
      <c r="VHO452" s="741"/>
      <c r="VHP452" s="741"/>
      <c r="VHQ452" s="741"/>
      <c r="VHR452" s="741"/>
      <c r="VHS452" s="741"/>
      <c r="VHT452" s="741"/>
      <c r="VHU452" s="741"/>
      <c r="VHV452" s="741"/>
      <c r="VHW452" s="741"/>
      <c r="VHX452" s="741"/>
      <c r="VHY452" s="741"/>
      <c r="VHZ452" s="741"/>
      <c r="VIA452" s="741"/>
      <c r="VIB452" s="741"/>
      <c r="VIC452" s="741"/>
      <c r="VID452" s="741"/>
      <c r="VIE452" s="741"/>
      <c r="VIF452" s="741"/>
      <c r="VIG452" s="741"/>
      <c r="VIH452" s="741"/>
      <c r="VII452" s="741"/>
      <c r="VIJ452" s="741"/>
      <c r="VIK452" s="741"/>
      <c r="VIL452" s="741"/>
      <c r="VIM452" s="741"/>
      <c r="VIN452" s="741"/>
      <c r="VIO452" s="741"/>
      <c r="VIP452" s="741"/>
      <c r="VIQ452" s="741"/>
      <c r="VIR452" s="741"/>
      <c r="VIS452" s="741"/>
      <c r="VIT452" s="741"/>
      <c r="VIU452" s="741"/>
      <c r="VIV452" s="741"/>
      <c r="VIW452" s="741"/>
      <c r="VIX452" s="741"/>
      <c r="VIY452" s="741"/>
      <c r="VIZ452" s="741"/>
      <c r="VJA452" s="741"/>
      <c r="VJB452" s="741"/>
      <c r="VJC452" s="741"/>
      <c r="VJD452" s="741"/>
      <c r="VJE452" s="741"/>
      <c r="VJF452" s="741"/>
      <c r="VJG452" s="741"/>
      <c r="VJH452" s="741"/>
      <c r="VJI452" s="741"/>
      <c r="VJJ452" s="741"/>
      <c r="VJK452" s="741"/>
      <c r="VJL452" s="741"/>
      <c r="VJM452" s="741"/>
      <c r="VJN452" s="741"/>
      <c r="VJO452" s="741"/>
      <c r="VJP452" s="741"/>
      <c r="VJQ452" s="741"/>
      <c r="VJR452" s="741"/>
      <c r="VJS452" s="741"/>
      <c r="VJT452" s="741"/>
      <c r="VJU452" s="741"/>
      <c r="VJV452" s="741"/>
      <c r="VJW452" s="741"/>
      <c r="VJX452" s="741"/>
      <c r="VJY452" s="741"/>
      <c r="VJZ452" s="741"/>
      <c r="VKA452" s="741"/>
      <c r="VKB452" s="741"/>
      <c r="VKC452" s="741"/>
      <c r="VKD452" s="741"/>
      <c r="VKE452" s="741"/>
      <c r="VKF452" s="741"/>
      <c r="VKG452" s="741"/>
      <c r="VKH452" s="741"/>
      <c r="VKI452" s="741"/>
      <c r="VKJ452" s="741"/>
      <c r="VKK452" s="741"/>
      <c r="VKL452" s="741"/>
      <c r="VKM452" s="741"/>
      <c r="VKN452" s="741"/>
      <c r="VKO452" s="741"/>
      <c r="VKP452" s="741"/>
      <c r="VKQ452" s="741"/>
      <c r="VKR452" s="741"/>
      <c r="VKS452" s="741"/>
      <c r="VKT452" s="741"/>
      <c r="VKU452" s="741"/>
      <c r="VKV452" s="741"/>
      <c r="VKW452" s="741"/>
      <c r="VKX452" s="741"/>
      <c r="VKY452" s="741"/>
      <c r="VKZ452" s="741"/>
      <c r="VLA452" s="741"/>
      <c r="VLB452" s="741"/>
      <c r="VLC452" s="741"/>
      <c r="VLD452" s="741"/>
      <c r="VLE452" s="741"/>
      <c r="VLF452" s="741"/>
      <c r="VLG452" s="741"/>
      <c r="VLH452" s="741"/>
      <c r="VLI452" s="741"/>
      <c r="VLJ452" s="741"/>
      <c r="VLK452" s="741"/>
      <c r="VLL452" s="741"/>
      <c r="VLM452" s="741"/>
      <c r="VLN452" s="741"/>
      <c r="VLO452" s="741"/>
      <c r="VLP452" s="741"/>
      <c r="VLQ452" s="741"/>
      <c r="VLR452" s="741"/>
      <c r="VLS452" s="741"/>
      <c r="VLT452" s="741"/>
      <c r="VLU452" s="741"/>
      <c r="VLV452" s="741"/>
      <c r="VLW452" s="741"/>
      <c r="VLX452" s="741"/>
      <c r="VLY452" s="741"/>
      <c r="VLZ452" s="741"/>
      <c r="VMA452" s="741"/>
      <c r="VMB452" s="741"/>
      <c r="VMC452" s="741"/>
      <c r="VMD452" s="741"/>
      <c r="VME452" s="741"/>
      <c r="VMF452" s="741"/>
      <c r="VMG452" s="741"/>
      <c r="VMH452" s="741"/>
      <c r="VMI452" s="741"/>
      <c r="VMJ452" s="741"/>
      <c r="VMK452" s="741"/>
      <c r="VML452" s="741"/>
      <c r="VMM452" s="741"/>
      <c r="VMN452" s="741"/>
      <c r="VMO452" s="741"/>
      <c r="VMP452" s="741"/>
      <c r="VMQ452" s="741"/>
      <c r="VMR452" s="741"/>
      <c r="VMS452" s="741"/>
      <c r="VMT452" s="741"/>
      <c r="VMU452" s="741"/>
      <c r="VMV452" s="741"/>
      <c r="VMW452" s="741"/>
      <c r="VMX452" s="741"/>
      <c r="VMY452" s="741"/>
      <c r="VMZ452" s="741"/>
      <c r="VNA452" s="741"/>
      <c r="VNB452" s="741"/>
      <c r="VNC452" s="741"/>
      <c r="VND452" s="741"/>
      <c r="VNE452" s="741"/>
      <c r="VNF452" s="741"/>
      <c r="VNG452" s="741"/>
      <c r="VNH452" s="741"/>
      <c r="VNI452" s="741"/>
      <c r="VNJ452" s="741"/>
      <c r="VNK452" s="741"/>
      <c r="VNL452" s="741"/>
      <c r="VNM452" s="741"/>
      <c r="VNN452" s="741"/>
      <c r="VNO452" s="741"/>
      <c r="VNP452" s="741"/>
      <c r="VNQ452" s="741"/>
      <c r="VNR452" s="741"/>
      <c r="VNS452" s="741"/>
      <c r="VNT452" s="741"/>
      <c r="VNU452" s="741"/>
      <c r="VNV452" s="741"/>
      <c r="VNW452" s="741"/>
      <c r="VNX452" s="741"/>
      <c r="VNY452" s="741"/>
      <c r="VNZ452" s="741"/>
      <c r="VOA452" s="741"/>
      <c r="VOB452" s="741"/>
      <c r="VOC452" s="741"/>
      <c r="VOD452" s="741"/>
      <c r="VOE452" s="741"/>
      <c r="VOF452" s="741"/>
      <c r="VOG452" s="741"/>
      <c r="VOH452" s="741"/>
      <c r="VOI452" s="741"/>
      <c r="VOJ452" s="741"/>
      <c r="VOK452" s="741"/>
      <c r="VOL452" s="741"/>
      <c r="VOM452" s="741"/>
      <c r="VON452" s="741"/>
      <c r="VOO452" s="741"/>
      <c r="VOP452" s="741"/>
      <c r="VOQ452" s="741"/>
      <c r="VOR452" s="741"/>
      <c r="VOS452" s="741"/>
      <c r="VOT452" s="741"/>
      <c r="VOU452" s="741"/>
      <c r="VOV452" s="741"/>
      <c r="VOW452" s="741"/>
      <c r="VOX452" s="741"/>
      <c r="VOY452" s="741"/>
      <c r="VOZ452" s="741"/>
      <c r="VPA452" s="741"/>
      <c r="VPB452" s="741"/>
      <c r="VPC452" s="741"/>
      <c r="VPD452" s="741"/>
      <c r="VPE452" s="741"/>
      <c r="VPF452" s="741"/>
      <c r="VPG452" s="741"/>
      <c r="VPH452" s="741"/>
      <c r="VPI452" s="741"/>
      <c r="VPJ452" s="741"/>
      <c r="VPK452" s="741"/>
      <c r="VPL452" s="741"/>
      <c r="VPM452" s="741"/>
      <c r="VPN452" s="741"/>
      <c r="VPO452" s="741"/>
      <c r="VPP452" s="741"/>
      <c r="VPQ452" s="741"/>
      <c r="VPR452" s="741"/>
      <c r="VPS452" s="741"/>
      <c r="VPT452" s="741"/>
      <c r="VPU452" s="741"/>
      <c r="VPV452" s="741"/>
      <c r="VPW452" s="741"/>
      <c r="VPX452" s="741"/>
      <c r="VPY452" s="741"/>
      <c r="VPZ452" s="741"/>
      <c r="VQA452" s="741"/>
      <c r="VQB452" s="741"/>
      <c r="VQC452" s="741"/>
      <c r="VQD452" s="741"/>
      <c r="VQE452" s="741"/>
      <c r="VQF452" s="741"/>
      <c r="VQG452" s="741"/>
      <c r="VQH452" s="741"/>
      <c r="VQI452" s="741"/>
      <c r="VQJ452" s="741"/>
      <c r="VQK452" s="741"/>
      <c r="VQL452" s="741"/>
      <c r="VQM452" s="741"/>
      <c r="VQN452" s="741"/>
      <c r="VQO452" s="741"/>
      <c r="VQP452" s="741"/>
      <c r="VQQ452" s="741"/>
      <c r="VQR452" s="741"/>
      <c r="VQS452" s="741"/>
      <c r="VQT452" s="741"/>
      <c r="VQU452" s="741"/>
      <c r="VQV452" s="741"/>
      <c r="VQW452" s="741"/>
      <c r="VQX452" s="741"/>
      <c r="VQY452" s="741"/>
      <c r="VQZ452" s="741"/>
      <c r="VRA452" s="741"/>
      <c r="VRB452" s="741"/>
      <c r="VRC452" s="741"/>
      <c r="VRD452" s="741"/>
      <c r="VRE452" s="741"/>
      <c r="VRF452" s="741"/>
      <c r="VRG452" s="741"/>
      <c r="VRH452" s="741"/>
      <c r="VRI452" s="741"/>
      <c r="VRJ452" s="741"/>
      <c r="VRK452" s="741"/>
      <c r="VRL452" s="741"/>
      <c r="VRM452" s="741"/>
      <c r="VRN452" s="741"/>
      <c r="VRO452" s="741"/>
      <c r="VRP452" s="741"/>
      <c r="VRQ452" s="741"/>
      <c r="VRR452" s="741"/>
      <c r="VRS452" s="741"/>
      <c r="VRT452" s="741"/>
      <c r="VRU452" s="741"/>
      <c r="VRV452" s="741"/>
      <c r="VRW452" s="741"/>
      <c r="VRX452" s="741"/>
      <c r="VRY452" s="741"/>
      <c r="VRZ452" s="741"/>
      <c r="VSA452" s="741"/>
      <c r="VSB452" s="741"/>
      <c r="VSC452" s="741"/>
      <c r="VSD452" s="741"/>
      <c r="VSE452" s="741"/>
      <c r="VSF452" s="741"/>
      <c r="VSG452" s="741"/>
      <c r="VSH452" s="741"/>
      <c r="VSI452" s="741"/>
      <c r="VSJ452" s="741"/>
      <c r="VSK452" s="741"/>
      <c r="VSL452" s="741"/>
      <c r="VSM452" s="741"/>
      <c r="VSN452" s="741"/>
      <c r="VSO452" s="741"/>
      <c r="VSP452" s="741"/>
      <c r="VSQ452" s="741"/>
      <c r="VSR452" s="741"/>
      <c r="VSS452" s="741"/>
      <c r="VST452" s="741"/>
      <c r="VSU452" s="741"/>
      <c r="VSV452" s="741"/>
      <c r="VSW452" s="741"/>
      <c r="VSX452" s="741"/>
      <c r="VSY452" s="741"/>
      <c r="VSZ452" s="741"/>
      <c r="VTA452" s="741"/>
      <c r="VTB452" s="741"/>
      <c r="VTC452" s="741"/>
      <c r="VTD452" s="741"/>
      <c r="VTE452" s="741"/>
      <c r="VTF452" s="741"/>
      <c r="VTG452" s="741"/>
      <c r="VTH452" s="741"/>
      <c r="VTI452" s="741"/>
      <c r="VTJ452" s="741"/>
      <c r="VTK452" s="741"/>
      <c r="VTL452" s="741"/>
      <c r="VTM452" s="741"/>
      <c r="VTN452" s="741"/>
      <c r="VTO452" s="741"/>
      <c r="VTP452" s="741"/>
      <c r="VTQ452" s="741"/>
      <c r="VTR452" s="741"/>
      <c r="VTS452" s="741"/>
      <c r="VTT452" s="741"/>
      <c r="VTU452" s="741"/>
      <c r="VTV452" s="741"/>
      <c r="VTW452" s="741"/>
      <c r="VTX452" s="741"/>
      <c r="VTY452" s="741"/>
      <c r="VTZ452" s="741"/>
      <c r="VUA452" s="741"/>
      <c r="VUB452" s="741"/>
      <c r="VUC452" s="741"/>
      <c r="VUD452" s="741"/>
      <c r="VUE452" s="741"/>
      <c r="VUF452" s="741"/>
      <c r="VUG452" s="741"/>
      <c r="VUH452" s="741"/>
      <c r="VUI452" s="741"/>
      <c r="VUJ452" s="741"/>
      <c r="VUK452" s="741"/>
      <c r="VUL452" s="741"/>
      <c r="VUM452" s="741"/>
      <c r="VUN452" s="741"/>
      <c r="VUO452" s="741"/>
      <c r="VUP452" s="741"/>
      <c r="VUQ452" s="741"/>
      <c r="VUR452" s="741"/>
      <c r="VUS452" s="741"/>
      <c r="VUT452" s="741"/>
      <c r="VUU452" s="741"/>
      <c r="VUV452" s="741"/>
      <c r="VUW452" s="741"/>
      <c r="VUX452" s="741"/>
      <c r="VUY452" s="741"/>
      <c r="VUZ452" s="741"/>
      <c r="VVA452" s="741"/>
      <c r="VVB452" s="741"/>
      <c r="VVC452" s="741"/>
      <c r="VVD452" s="741"/>
      <c r="VVE452" s="741"/>
      <c r="VVF452" s="741"/>
      <c r="VVG452" s="741"/>
      <c r="VVH452" s="741"/>
      <c r="VVI452" s="741"/>
      <c r="VVJ452" s="741"/>
      <c r="VVK452" s="741"/>
      <c r="VVL452" s="741"/>
      <c r="VVM452" s="741"/>
      <c r="VVN452" s="741"/>
      <c r="VVO452" s="741"/>
      <c r="VVP452" s="741"/>
      <c r="VVQ452" s="741"/>
      <c r="VVR452" s="741"/>
      <c r="VVS452" s="741"/>
      <c r="VVT452" s="741"/>
      <c r="VVU452" s="741"/>
      <c r="VVV452" s="741"/>
      <c r="VVW452" s="741"/>
      <c r="VVX452" s="741"/>
      <c r="VVY452" s="741"/>
      <c r="VVZ452" s="741"/>
      <c r="VWA452" s="741"/>
      <c r="VWB452" s="741"/>
      <c r="VWC452" s="741"/>
      <c r="VWD452" s="741"/>
      <c r="VWE452" s="741"/>
      <c r="VWF452" s="741"/>
      <c r="VWG452" s="741"/>
      <c r="VWH452" s="741"/>
      <c r="VWI452" s="741"/>
      <c r="VWJ452" s="741"/>
      <c r="VWK452" s="741"/>
      <c r="VWL452" s="741"/>
      <c r="VWM452" s="741"/>
      <c r="VWN452" s="741"/>
      <c r="VWO452" s="741"/>
      <c r="VWP452" s="741"/>
      <c r="VWQ452" s="741"/>
      <c r="VWR452" s="741"/>
      <c r="VWS452" s="741"/>
      <c r="VWT452" s="741"/>
      <c r="VWU452" s="741"/>
      <c r="VWV452" s="741"/>
      <c r="VWW452" s="741"/>
      <c r="VWX452" s="741"/>
      <c r="VWY452" s="741"/>
      <c r="VWZ452" s="741"/>
      <c r="VXA452" s="741"/>
      <c r="VXB452" s="741"/>
      <c r="VXC452" s="741"/>
      <c r="VXD452" s="741"/>
      <c r="VXE452" s="741"/>
      <c r="VXF452" s="741"/>
      <c r="VXG452" s="741"/>
      <c r="VXH452" s="741"/>
      <c r="VXI452" s="741"/>
      <c r="VXJ452" s="741"/>
      <c r="VXK452" s="741"/>
      <c r="VXL452" s="741"/>
      <c r="VXM452" s="741"/>
      <c r="VXN452" s="741"/>
      <c r="VXO452" s="741"/>
      <c r="VXP452" s="741"/>
      <c r="VXQ452" s="741"/>
      <c r="VXR452" s="741"/>
      <c r="VXS452" s="741"/>
      <c r="VXT452" s="741"/>
      <c r="VXU452" s="741"/>
      <c r="VXV452" s="741"/>
      <c r="VXW452" s="741"/>
      <c r="VXX452" s="741"/>
      <c r="VXY452" s="741"/>
      <c r="VXZ452" s="741"/>
      <c r="VYA452" s="741"/>
      <c r="VYB452" s="741"/>
      <c r="VYC452" s="741"/>
      <c r="VYD452" s="741"/>
      <c r="VYE452" s="741"/>
      <c r="VYF452" s="741"/>
      <c r="VYG452" s="741"/>
      <c r="VYH452" s="741"/>
      <c r="VYI452" s="741"/>
      <c r="VYJ452" s="741"/>
      <c r="VYK452" s="741"/>
      <c r="VYL452" s="741"/>
      <c r="VYM452" s="741"/>
      <c r="VYN452" s="741"/>
      <c r="VYO452" s="741"/>
      <c r="VYP452" s="741"/>
      <c r="VYQ452" s="741"/>
      <c r="VYR452" s="741"/>
      <c r="VYS452" s="741"/>
      <c r="VYT452" s="741"/>
      <c r="VYU452" s="741"/>
      <c r="VYV452" s="741"/>
      <c r="VYW452" s="741"/>
      <c r="VYX452" s="741"/>
      <c r="VYY452" s="741"/>
      <c r="VYZ452" s="741"/>
      <c r="VZA452" s="741"/>
      <c r="VZB452" s="741"/>
      <c r="VZC452" s="741"/>
      <c r="VZD452" s="741"/>
      <c r="VZE452" s="741"/>
      <c r="VZF452" s="741"/>
      <c r="VZG452" s="741"/>
      <c r="VZH452" s="741"/>
      <c r="VZI452" s="741"/>
      <c r="VZJ452" s="741"/>
      <c r="VZK452" s="741"/>
      <c r="VZL452" s="741"/>
      <c r="VZM452" s="741"/>
      <c r="VZN452" s="741"/>
      <c r="VZO452" s="741"/>
      <c r="VZP452" s="741"/>
      <c r="VZQ452" s="741"/>
      <c r="VZR452" s="741"/>
      <c r="VZS452" s="741"/>
      <c r="VZT452" s="741"/>
      <c r="VZU452" s="741"/>
      <c r="VZV452" s="741"/>
      <c r="VZW452" s="741"/>
      <c r="VZX452" s="741"/>
      <c r="VZY452" s="741"/>
      <c r="VZZ452" s="741"/>
      <c r="WAA452" s="741"/>
      <c r="WAB452" s="741"/>
      <c r="WAC452" s="741"/>
      <c r="WAD452" s="741"/>
      <c r="WAE452" s="741"/>
      <c r="WAF452" s="741"/>
      <c r="WAG452" s="741"/>
      <c r="WAH452" s="741"/>
      <c r="WAI452" s="741"/>
      <c r="WAJ452" s="741"/>
      <c r="WAK452" s="741"/>
      <c r="WAL452" s="741"/>
      <c r="WAM452" s="741"/>
      <c r="WAN452" s="741"/>
      <c r="WAO452" s="741"/>
      <c r="WAP452" s="741"/>
      <c r="WAQ452" s="741"/>
      <c r="WAR452" s="741"/>
      <c r="WAS452" s="741"/>
      <c r="WAT452" s="741"/>
      <c r="WAU452" s="741"/>
      <c r="WAV452" s="741"/>
      <c r="WAW452" s="741"/>
      <c r="WAX452" s="741"/>
      <c r="WAY452" s="741"/>
      <c r="WAZ452" s="741"/>
      <c r="WBA452" s="741"/>
      <c r="WBB452" s="741"/>
      <c r="WBC452" s="741"/>
      <c r="WBD452" s="741"/>
      <c r="WBE452" s="741"/>
      <c r="WBF452" s="741"/>
      <c r="WBG452" s="741"/>
      <c r="WBH452" s="741"/>
      <c r="WBI452" s="741"/>
      <c r="WBJ452" s="741"/>
      <c r="WBK452" s="741"/>
      <c r="WBL452" s="741"/>
      <c r="WBM452" s="741"/>
      <c r="WBN452" s="741"/>
      <c r="WBO452" s="741"/>
      <c r="WBP452" s="741"/>
      <c r="WBQ452" s="741"/>
      <c r="WBR452" s="741"/>
      <c r="WBS452" s="741"/>
      <c r="WBT452" s="741"/>
      <c r="WBU452" s="741"/>
      <c r="WBV452" s="741"/>
      <c r="WBW452" s="741"/>
      <c r="WBX452" s="741"/>
      <c r="WBY452" s="741"/>
      <c r="WBZ452" s="741"/>
      <c r="WCA452" s="741"/>
      <c r="WCB452" s="741"/>
      <c r="WCC452" s="741"/>
      <c r="WCD452" s="741"/>
      <c r="WCE452" s="741"/>
      <c r="WCF452" s="741"/>
      <c r="WCG452" s="741"/>
      <c r="WCH452" s="741"/>
      <c r="WCI452" s="741"/>
      <c r="WCJ452" s="741"/>
      <c r="WCK452" s="741"/>
      <c r="WCL452" s="741"/>
      <c r="WCM452" s="741"/>
      <c r="WCN452" s="741"/>
      <c r="WCO452" s="741"/>
      <c r="WCP452" s="741"/>
      <c r="WCQ452" s="741"/>
      <c r="WCR452" s="741"/>
      <c r="WCS452" s="741"/>
      <c r="WCT452" s="741"/>
      <c r="WCU452" s="741"/>
      <c r="WCV452" s="741"/>
      <c r="WCW452" s="741"/>
      <c r="WCX452" s="741"/>
      <c r="WCY452" s="741"/>
      <c r="WCZ452" s="741"/>
      <c r="WDA452" s="741"/>
      <c r="WDB452" s="741"/>
      <c r="WDC452" s="741"/>
      <c r="WDD452" s="741"/>
      <c r="WDE452" s="741"/>
      <c r="WDF452" s="741"/>
      <c r="WDG452" s="741"/>
      <c r="WDH452" s="741"/>
      <c r="WDI452" s="741"/>
      <c r="WDJ452" s="741"/>
      <c r="WDK452" s="741"/>
      <c r="WDL452" s="741"/>
      <c r="WDM452" s="741"/>
      <c r="WDN452" s="741"/>
      <c r="WDO452" s="741"/>
      <c r="WDP452" s="741"/>
      <c r="WDQ452" s="741"/>
      <c r="WDR452" s="741"/>
      <c r="WDS452" s="741"/>
      <c r="WDT452" s="741"/>
      <c r="WDU452" s="741"/>
      <c r="WDV452" s="741"/>
      <c r="WDW452" s="741"/>
      <c r="WDX452" s="741"/>
      <c r="WDY452" s="741"/>
      <c r="WDZ452" s="741"/>
      <c r="WEA452" s="741"/>
      <c r="WEB452" s="741"/>
      <c r="WEC452" s="741"/>
      <c r="WED452" s="741"/>
      <c r="WEE452" s="741"/>
      <c r="WEF452" s="741"/>
      <c r="WEG452" s="741"/>
      <c r="WEH452" s="741"/>
      <c r="WEI452" s="741"/>
      <c r="WEJ452" s="741"/>
      <c r="WEK452" s="741"/>
      <c r="WEL452" s="741"/>
      <c r="WEM452" s="741"/>
      <c r="WEN452" s="741"/>
      <c r="WEO452" s="741"/>
      <c r="WEP452" s="741"/>
      <c r="WEQ452" s="741"/>
      <c r="WER452" s="741"/>
      <c r="WES452" s="741"/>
      <c r="WET452" s="741"/>
      <c r="WEU452" s="741"/>
      <c r="WEV452" s="741"/>
      <c r="WEW452" s="741"/>
      <c r="WEX452" s="741"/>
      <c r="WEY452" s="741"/>
      <c r="WEZ452" s="741"/>
      <c r="WFA452" s="741"/>
      <c r="WFB452" s="741"/>
      <c r="WFC452" s="741"/>
      <c r="WFD452" s="741"/>
      <c r="WFE452" s="741"/>
      <c r="WFF452" s="741"/>
      <c r="WFG452" s="741"/>
      <c r="WFH452" s="741"/>
      <c r="WFI452" s="741"/>
      <c r="WFJ452" s="741"/>
      <c r="WFK452" s="741"/>
      <c r="WFL452" s="741"/>
      <c r="WFM452" s="741"/>
      <c r="WFN452" s="741"/>
      <c r="WFO452" s="741"/>
      <c r="WFP452" s="741"/>
      <c r="WFQ452" s="741"/>
      <c r="WFR452" s="741"/>
      <c r="WFS452" s="741"/>
      <c r="WFT452" s="741"/>
      <c r="WFU452" s="741"/>
      <c r="WFV452" s="741"/>
      <c r="WFW452" s="741"/>
      <c r="WFX452" s="741"/>
      <c r="WFY452" s="741"/>
      <c r="WFZ452" s="741"/>
      <c r="WGA452" s="741"/>
      <c r="WGB452" s="741"/>
      <c r="WGC452" s="741"/>
      <c r="WGD452" s="741"/>
      <c r="WGE452" s="741"/>
      <c r="WGF452" s="741"/>
      <c r="WGG452" s="741"/>
      <c r="WGH452" s="741"/>
      <c r="WGI452" s="741"/>
      <c r="WGJ452" s="741"/>
      <c r="WGK452" s="741"/>
      <c r="WGL452" s="741"/>
      <c r="WGM452" s="741"/>
      <c r="WGN452" s="741"/>
      <c r="WGO452" s="741"/>
      <c r="WGP452" s="741"/>
      <c r="WGQ452" s="741"/>
      <c r="WGR452" s="741"/>
      <c r="WGS452" s="741"/>
      <c r="WGT452" s="741"/>
      <c r="WGU452" s="741"/>
      <c r="WGV452" s="741"/>
      <c r="WGW452" s="741"/>
      <c r="WGX452" s="741"/>
      <c r="WGY452" s="741"/>
      <c r="WGZ452" s="741"/>
      <c r="WHA452" s="741"/>
      <c r="WHB452" s="741"/>
      <c r="WHC452" s="741"/>
      <c r="WHD452" s="741"/>
      <c r="WHE452" s="741"/>
      <c r="WHF452" s="741"/>
      <c r="WHG452" s="741"/>
      <c r="WHH452" s="741"/>
      <c r="WHI452" s="741"/>
      <c r="WHJ452" s="741"/>
      <c r="WHK452" s="741"/>
      <c r="WHL452" s="741"/>
      <c r="WHM452" s="741"/>
      <c r="WHN452" s="741"/>
      <c r="WHO452" s="741"/>
      <c r="WHP452" s="741"/>
      <c r="WHQ452" s="741"/>
      <c r="WHR452" s="741"/>
      <c r="WHS452" s="741"/>
      <c r="WHT452" s="741"/>
      <c r="WHU452" s="741"/>
      <c r="WHV452" s="741"/>
      <c r="WHW452" s="741"/>
      <c r="WHX452" s="741"/>
      <c r="WHY452" s="741"/>
      <c r="WHZ452" s="741"/>
      <c r="WIA452" s="741"/>
      <c r="WIB452" s="741"/>
      <c r="WIC452" s="741"/>
      <c r="WID452" s="741"/>
      <c r="WIE452" s="741"/>
      <c r="WIF452" s="741"/>
      <c r="WIG452" s="741"/>
      <c r="WIH452" s="741"/>
      <c r="WII452" s="741"/>
      <c r="WIJ452" s="741"/>
      <c r="WIK452" s="741"/>
      <c r="WIL452" s="741"/>
      <c r="WIM452" s="741"/>
      <c r="WIN452" s="741"/>
      <c r="WIO452" s="741"/>
      <c r="WIP452" s="741"/>
      <c r="WIQ452" s="741"/>
      <c r="WIR452" s="741"/>
      <c r="WIS452" s="741"/>
      <c r="WIT452" s="741"/>
      <c r="WIU452" s="741"/>
      <c r="WIV452" s="741"/>
      <c r="WIW452" s="741"/>
      <c r="WIX452" s="741"/>
      <c r="WIY452" s="741"/>
      <c r="WIZ452" s="741"/>
      <c r="WJA452" s="741"/>
      <c r="WJB452" s="741"/>
      <c r="WJC452" s="741"/>
      <c r="WJD452" s="741"/>
      <c r="WJE452" s="741"/>
      <c r="WJF452" s="741"/>
      <c r="WJG452" s="741"/>
      <c r="WJH452" s="741"/>
      <c r="WJI452" s="741"/>
      <c r="WJJ452" s="741"/>
      <c r="WJK452" s="741"/>
      <c r="WJL452" s="741"/>
      <c r="WJM452" s="741"/>
      <c r="WJN452" s="741"/>
      <c r="WJO452" s="741"/>
      <c r="WJP452" s="741"/>
      <c r="WJQ452" s="741"/>
      <c r="WJR452" s="741"/>
      <c r="WJS452" s="741"/>
      <c r="WJT452" s="741"/>
      <c r="WJU452" s="741"/>
      <c r="WJV452" s="741"/>
      <c r="WJW452" s="741"/>
      <c r="WJX452" s="741"/>
      <c r="WJY452" s="741"/>
      <c r="WJZ452" s="741"/>
      <c r="WKA452" s="741"/>
      <c r="WKB452" s="741"/>
      <c r="WKC452" s="741"/>
      <c r="WKD452" s="741"/>
      <c r="WKE452" s="741"/>
      <c r="WKF452" s="741"/>
      <c r="WKG452" s="741"/>
      <c r="WKH452" s="741"/>
      <c r="WKI452" s="741"/>
      <c r="WKJ452" s="741"/>
      <c r="WKK452" s="741"/>
      <c r="WKL452" s="741"/>
      <c r="WKM452" s="741"/>
      <c r="WKN452" s="741"/>
      <c r="WKO452" s="741"/>
      <c r="WKP452" s="741"/>
      <c r="WKQ452" s="741"/>
      <c r="WKR452" s="741"/>
      <c r="WKS452" s="741"/>
      <c r="WKT452" s="741"/>
      <c r="WKU452" s="741"/>
      <c r="WKV452" s="741"/>
      <c r="WKW452" s="741"/>
      <c r="WKX452" s="741"/>
      <c r="WKY452" s="741"/>
      <c r="WKZ452" s="741"/>
      <c r="WLA452" s="741"/>
      <c r="WLB452" s="741"/>
      <c r="WLC452" s="741"/>
      <c r="WLD452" s="741"/>
      <c r="WLE452" s="741"/>
      <c r="WLF452" s="741"/>
      <c r="WLG452" s="741"/>
      <c r="WLH452" s="741"/>
      <c r="WLI452" s="741"/>
      <c r="WLJ452" s="741"/>
      <c r="WLK452" s="741"/>
      <c r="WLL452" s="741"/>
      <c r="WLM452" s="741"/>
      <c r="WLN452" s="741"/>
      <c r="WLO452" s="741"/>
      <c r="WLP452" s="741"/>
      <c r="WLQ452" s="741"/>
      <c r="WLR452" s="741"/>
      <c r="WLS452" s="741"/>
      <c r="WLT452" s="741"/>
      <c r="WLU452" s="741"/>
      <c r="WLV452" s="741"/>
      <c r="WLW452" s="741"/>
      <c r="WLX452" s="741"/>
      <c r="WLY452" s="741"/>
      <c r="WLZ452" s="741"/>
      <c r="WMA452" s="741"/>
      <c r="WMB452" s="741"/>
      <c r="WMC452" s="741"/>
      <c r="WMD452" s="741"/>
      <c r="WME452" s="741"/>
      <c r="WMF452" s="741"/>
      <c r="WMG452" s="741"/>
      <c r="WMH452" s="741"/>
      <c r="WMI452" s="741"/>
      <c r="WMJ452" s="741"/>
      <c r="WMK452" s="741"/>
      <c r="WML452" s="741"/>
      <c r="WMM452" s="741"/>
      <c r="WMN452" s="741"/>
      <c r="WMO452" s="741"/>
      <c r="WMP452" s="741"/>
      <c r="WMQ452" s="741"/>
      <c r="WMR452" s="741"/>
      <c r="WMS452" s="741"/>
      <c r="WMT452" s="741"/>
      <c r="WMU452" s="741"/>
      <c r="WMV452" s="741"/>
      <c r="WMW452" s="741"/>
      <c r="WMX452" s="741"/>
      <c r="WMY452" s="741"/>
      <c r="WMZ452" s="741"/>
      <c r="WNA452" s="741"/>
      <c r="WNB452" s="741"/>
      <c r="WNC452" s="741"/>
      <c r="WND452" s="741"/>
      <c r="WNE452" s="741"/>
      <c r="WNF452" s="741"/>
      <c r="WNG452" s="741"/>
      <c r="WNH452" s="741"/>
      <c r="WNI452" s="741"/>
      <c r="WNJ452" s="741"/>
      <c r="WNK452" s="741"/>
      <c r="WNL452" s="741"/>
      <c r="WNM452" s="741"/>
      <c r="WNN452" s="741"/>
      <c r="WNO452" s="741"/>
      <c r="WNP452" s="741"/>
      <c r="WNQ452" s="741"/>
      <c r="WNR452" s="741"/>
      <c r="WNS452" s="741"/>
      <c r="WNT452" s="741"/>
      <c r="WNU452" s="741"/>
      <c r="WNV452" s="741"/>
      <c r="WNW452" s="741"/>
      <c r="WNX452" s="741"/>
      <c r="WNY452" s="741"/>
      <c r="WNZ452" s="741"/>
      <c r="WOA452" s="741"/>
      <c r="WOB452" s="741"/>
      <c r="WOC452" s="741"/>
      <c r="WOD452" s="741"/>
      <c r="WOE452" s="741"/>
      <c r="WOF452" s="741"/>
      <c r="WOG452" s="741"/>
      <c r="WOH452" s="741"/>
      <c r="WOI452" s="741"/>
      <c r="WOJ452" s="741"/>
      <c r="WOK452" s="741"/>
      <c r="WOL452" s="741"/>
      <c r="WOM452" s="741"/>
      <c r="WON452" s="741"/>
      <c r="WOO452" s="741"/>
      <c r="WOP452" s="741"/>
      <c r="WOQ452" s="741"/>
      <c r="WOR452" s="741"/>
      <c r="WOS452" s="741"/>
      <c r="WOT452" s="741"/>
      <c r="WOU452" s="741"/>
      <c r="WOV452" s="741"/>
      <c r="WOW452" s="741"/>
      <c r="WOX452" s="741"/>
      <c r="WOY452" s="741"/>
      <c r="WOZ452" s="741"/>
      <c r="WPA452" s="741"/>
      <c r="WPB452" s="741"/>
      <c r="WPC452" s="741"/>
      <c r="WPD452" s="741"/>
      <c r="WPE452" s="741"/>
      <c r="WPF452" s="741"/>
      <c r="WPG452" s="741"/>
      <c r="WPH452" s="741"/>
      <c r="WPI452" s="741"/>
      <c r="WPJ452" s="741"/>
      <c r="WPK452" s="741"/>
      <c r="WPL452" s="741"/>
      <c r="WPM452" s="741"/>
      <c r="WPN452" s="741"/>
      <c r="WPO452" s="741"/>
      <c r="WPP452" s="741"/>
      <c r="WPQ452" s="741"/>
      <c r="WPR452" s="741"/>
      <c r="WPS452" s="741"/>
      <c r="WPT452" s="741"/>
      <c r="WPU452" s="741"/>
      <c r="WPV452" s="741"/>
      <c r="WPW452" s="741"/>
      <c r="WPX452" s="741"/>
      <c r="WPY452" s="741"/>
      <c r="WPZ452" s="741"/>
      <c r="WQA452" s="741"/>
      <c r="WQB452" s="741"/>
      <c r="WQC452" s="741"/>
      <c r="WQD452" s="741"/>
      <c r="WQE452" s="741"/>
      <c r="WQF452" s="741"/>
      <c r="WQG452" s="741"/>
      <c r="WQH452" s="741"/>
      <c r="WQI452" s="741"/>
      <c r="WQJ452" s="741"/>
      <c r="WQK452" s="741"/>
      <c r="WQL452" s="741"/>
      <c r="WQM452" s="741"/>
      <c r="WQN452" s="741"/>
      <c r="WQO452" s="741"/>
      <c r="WQP452" s="741"/>
      <c r="WQQ452" s="741"/>
      <c r="WQR452" s="741"/>
      <c r="WQS452" s="741"/>
      <c r="WQT452" s="741"/>
      <c r="WQU452" s="741"/>
      <c r="WQV452" s="741"/>
      <c r="WQW452" s="741"/>
      <c r="WQX452" s="741"/>
      <c r="WQY452" s="741"/>
      <c r="WQZ452" s="741"/>
      <c r="WRA452" s="741"/>
      <c r="WRB452" s="741"/>
      <c r="WRC452" s="741"/>
      <c r="WRD452" s="741"/>
      <c r="WRE452" s="741"/>
      <c r="WRF452" s="741"/>
      <c r="WRG452" s="741"/>
      <c r="WRH452" s="741"/>
      <c r="WRI452" s="741"/>
      <c r="WRJ452" s="741"/>
      <c r="WRK452" s="741"/>
      <c r="WRL452" s="741"/>
      <c r="WRM452" s="741"/>
      <c r="WRN452" s="741"/>
      <c r="WRO452" s="741"/>
      <c r="WRP452" s="741"/>
      <c r="WRQ452" s="741"/>
      <c r="WRR452" s="741"/>
      <c r="WRS452" s="741"/>
      <c r="WRT452" s="741"/>
      <c r="WRU452" s="741"/>
      <c r="WRV452" s="741"/>
      <c r="WRW452" s="741"/>
      <c r="WRX452" s="741"/>
      <c r="WRY452" s="741"/>
      <c r="WRZ452" s="741"/>
      <c r="WSA452" s="741"/>
      <c r="WSB452" s="741"/>
      <c r="WSC452" s="741"/>
      <c r="WSD452" s="741"/>
      <c r="WSE452" s="741"/>
      <c r="WSF452" s="741"/>
      <c r="WSG452" s="741"/>
      <c r="WSH452" s="741"/>
      <c r="WSI452" s="741"/>
      <c r="WSJ452" s="741"/>
      <c r="WSK452" s="741"/>
      <c r="WSL452" s="741"/>
      <c r="WSM452" s="741"/>
      <c r="WSN452" s="741"/>
      <c r="WSO452" s="741"/>
      <c r="WSP452" s="741"/>
      <c r="WSQ452" s="741"/>
      <c r="WSR452" s="741"/>
      <c r="WSS452" s="741"/>
      <c r="WST452" s="741"/>
      <c r="WSU452" s="741"/>
      <c r="WSV452" s="741"/>
      <c r="WSW452" s="741"/>
      <c r="WSX452" s="741"/>
      <c r="WSY452" s="741"/>
      <c r="WSZ452" s="741"/>
      <c r="WTA452" s="741"/>
      <c r="WTB452" s="741"/>
      <c r="WTC452" s="741"/>
      <c r="WTD452" s="741"/>
      <c r="WTE452" s="741"/>
      <c r="WTF452" s="741"/>
      <c r="WTG452" s="741"/>
      <c r="WTH452" s="741"/>
      <c r="WTI452" s="741"/>
      <c r="WTJ452" s="741"/>
      <c r="WTK452" s="741"/>
      <c r="WTL452" s="741"/>
      <c r="WTM452" s="741"/>
      <c r="WTN452" s="741"/>
      <c r="WTO452" s="741"/>
      <c r="WTP452" s="741"/>
      <c r="WTQ452" s="741"/>
      <c r="WTR452" s="741"/>
      <c r="WTS452" s="741"/>
      <c r="WTT452" s="741"/>
      <c r="WTU452" s="741"/>
      <c r="WTV452" s="741"/>
      <c r="WTW452" s="741"/>
      <c r="WTX452" s="741"/>
      <c r="WTY452" s="741"/>
      <c r="WTZ452" s="741"/>
      <c r="WUA452" s="741"/>
      <c r="WUB452" s="741"/>
      <c r="WUC452" s="741"/>
      <c r="WUD452" s="741"/>
      <c r="WUE452" s="741"/>
      <c r="WUF452" s="741"/>
      <c r="WUG452" s="741"/>
      <c r="WUH452" s="741"/>
      <c r="WUI452" s="741"/>
      <c r="WUJ452" s="741"/>
      <c r="WUK452" s="741"/>
      <c r="WUL452" s="741"/>
      <c r="WUM452" s="741"/>
      <c r="WUN452" s="741"/>
      <c r="WUO452" s="741"/>
      <c r="WUP452" s="741"/>
      <c r="WUQ452" s="741"/>
      <c r="WUR452" s="741"/>
      <c r="WUS452" s="741"/>
      <c r="WUT452" s="741"/>
      <c r="WUU452" s="741"/>
      <c r="WUV452" s="741"/>
      <c r="WUW452" s="741"/>
      <c r="WUX452" s="741"/>
      <c r="WUY452" s="741"/>
      <c r="WUZ452" s="741"/>
      <c r="WVA452" s="741"/>
      <c r="WVB452" s="741"/>
      <c r="WVC452" s="741"/>
      <c r="WVD452" s="741"/>
      <c r="WVE452" s="741"/>
      <c r="WVF452" s="741"/>
      <c r="WVG452" s="741"/>
      <c r="WVH452" s="741"/>
      <c r="WVI452" s="741"/>
      <c r="WVJ452" s="741"/>
      <c r="WVK452" s="741"/>
      <c r="WVL452" s="741"/>
      <c r="WVM452" s="741"/>
      <c r="WVN452" s="741"/>
      <c r="WVO452" s="741"/>
      <c r="WVP452" s="741"/>
      <c r="WVQ452" s="741"/>
      <c r="WVR452" s="741"/>
      <c r="WVS452" s="741"/>
      <c r="WVT452" s="741"/>
      <c r="WVU452" s="741"/>
      <c r="WVV452" s="741"/>
      <c r="WVW452" s="741"/>
      <c r="WVX452" s="741"/>
      <c r="WVY452" s="741"/>
      <c r="WVZ452" s="741"/>
      <c r="WWA452" s="741"/>
      <c r="WWB452" s="741"/>
      <c r="WWC452" s="741"/>
      <c r="WWD452" s="741"/>
      <c r="WWE452" s="741"/>
      <c r="WWF452" s="741"/>
      <c r="WWG452" s="741"/>
      <c r="WWH452" s="741"/>
      <c r="WWI452" s="741"/>
      <c r="WWJ452" s="741"/>
      <c r="WWK452" s="741"/>
      <c r="WWL452" s="741"/>
      <c r="WWM452" s="741"/>
      <c r="WWN452" s="741"/>
      <c r="WWO452" s="741"/>
      <c r="WWP452" s="741"/>
      <c r="WWQ452" s="741"/>
      <c r="WWR452" s="741"/>
      <c r="WWS452" s="741"/>
      <c r="WWT452" s="741"/>
      <c r="WWU452" s="741"/>
      <c r="WWV452" s="741"/>
      <c r="WWW452" s="741"/>
      <c r="WWX452" s="741"/>
      <c r="WWY452" s="741"/>
      <c r="WWZ452" s="741"/>
      <c r="WXA452" s="741"/>
      <c r="WXB452" s="741"/>
      <c r="WXC452" s="741"/>
      <c r="WXD452" s="741"/>
      <c r="WXE452" s="741"/>
      <c r="WXF452" s="741"/>
      <c r="WXG452" s="741"/>
      <c r="WXH452" s="741"/>
      <c r="WXI452" s="741"/>
      <c r="WXJ452" s="741"/>
      <c r="WXK452" s="741"/>
      <c r="WXL452" s="741"/>
      <c r="WXM452" s="741"/>
      <c r="WXN452" s="741"/>
      <c r="WXO452" s="741"/>
      <c r="WXP452" s="741"/>
      <c r="WXQ452" s="741"/>
      <c r="WXR452" s="741"/>
      <c r="WXS452" s="741"/>
      <c r="WXT452" s="741"/>
      <c r="WXU452" s="741"/>
      <c r="WXV452" s="741"/>
      <c r="WXW452" s="741"/>
      <c r="WXX452" s="741"/>
      <c r="WXY452" s="741"/>
      <c r="WXZ452" s="741"/>
      <c r="WYA452" s="741"/>
      <c r="WYB452" s="741"/>
      <c r="WYC452" s="741"/>
      <c r="WYD452" s="741"/>
      <c r="WYE452" s="741"/>
      <c r="WYF452" s="741"/>
      <c r="WYG452" s="741"/>
      <c r="WYH452" s="741"/>
      <c r="WYI452" s="741"/>
      <c r="WYJ452" s="741"/>
      <c r="WYK452" s="741"/>
      <c r="WYL452" s="741"/>
      <c r="WYM452" s="741"/>
      <c r="WYN452" s="741"/>
      <c r="WYO452" s="741"/>
      <c r="WYP452" s="741"/>
      <c r="WYQ452" s="741"/>
      <c r="WYR452" s="741"/>
      <c r="WYS452" s="741"/>
      <c r="WYT452" s="741"/>
      <c r="WYU452" s="741"/>
      <c r="WYV452" s="741"/>
      <c r="WYW452" s="741"/>
      <c r="WYX452" s="741"/>
      <c r="WYY452" s="741"/>
      <c r="WYZ452" s="741"/>
      <c r="WZA452" s="741"/>
      <c r="WZB452" s="741"/>
      <c r="WZC452" s="741"/>
      <c r="WZD452" s="741"/>
      <c r="WZE452" s="741"/>
      <c r="WZF452" s="741"/>
      <c r="WZG452" s="741"/>
      <c r="WZH452" s="741"/>
      <c r="WZI452" s="741"/>
      <c r="WZJ452" s="741"/>
      <c r="WZK452" s="741"/>
      <c r="WZL452" s="741"/>
      <c r="WZM452" s="741"/>
      <c r="WZN452" s="741"/>
      <c r="WZO452" s="741"/>
      <c r="WZP452" s="741"/>
      <c r="WZQ452" s="741"/>
      <c r="WZR452" s="741"/>
      <c r="WZS452" s="741"/>
      <c r="WZT452" s="741"/>
      <c r="WZU452" s="741"/>
      <c r="WZV452" s="741"/>
      <c r="WZW452" s="741"/>
      <c r="WZX452" s="741"/>
      <c r="WZY452" s="741"/>
      <c r="WZZ452" s="741"/>
      <c r="XAA452" s="741"/>
      <c r="XAB452" s="741"/>
      <c r="XAC452" s="741"/>
      <c r="XAD452" s="741"/>
      <c r="XAE452" s="741"/>
      <c r="XAF452" s="741"/>
      <c r="XAG452" s="741"/>
      <c r="XAH452" s="741"/>
      <c r="XAI452" s="741"/>
      <c r="XAJ452" s="741"/>
      <c r="XAK452" s="741"/>
      <c r="XAL452" s="741"/>
      <c r="XAM452" s="741"/>
      <c r="XAN452" s="741"/>
      <c r="XAO452" s="741"/>
      <c r="XAP452" s="741"/>
      <c r="XAQ452" s="741"/>
      <c r="XAR452" s="741"/>
      <c r="XAS452" s="741"/>
      <c r="XAT452" s="741"/>
      <c r="XAU452" s="741"/>
      <c r="XAV452" s="741"/>
      <c r="XAW452" s="741"/>
      <c r="XAX452" s="741"/>
      <c r="XAY452" s="741"/>
      <c r="XAZ452" s="741"/>
      <c r="XBA452" s="741"/>
      <c r="XBB452" s="741"/>
      <c r="XBC452" s="741"/>
      <c r="XBD452" s="741"/>
      <c r="XBE452" s="741"/>
      <c r="XBF452" s="741"/>
      <c r="XBG452" s="741"/>
      <c r="XBH452" s="741"/>
      <c r="XBI452" s="741"/>
      <c r="XBJ452" s="741"/>
      <c r="XBK452" s="741"/>
      <c r="XBL452" s="741"/>
      <c r="XBM452" s="741"/>
      <c r="XBN452" s="741"/>
      <c r="XBO452" s="741"/>
      <c r="XBP452" s="741"/>
      <c r="XBQ452" s="741"/>
      <c r="XBR452" s="770"/>
      <c r="XBS452" s="781"/>
      <c r="XBT452" s="217"/>
      <c r="XBU452" s="751"/>
      <c r="XBV452" s="782"/>
      <c r="XBW452" s="751"/>
      <c r="XBX452" s="217"/>
      <c r="XBY452" s="217"/>
      <c r="XBZ452" s="217"/>
      <c r="XCN452" s="741"/>
      <c r="XCO452" s="770"/>
      <c r="XCP452" s="781"/>
      <c r="XCQ452" s="751"/>
      <c r="XCR452" s="217"/>
      <c r="XCS452" s="217"/>
      <c r="XCT452" s="217"/>
      <c r="XCU452" s="232"/>
      <c r="XCV452" s="786"/>
      <c r="XCW452" s="770"/>
      <c r="XDK452" s="741"/>
      <c r="XDL452" s="770"/>
      <c r="XDM452" s="781"/>
      <c r="XDN452" s="217"/>
      <c r="XDO452" s="230"/>
      <c r="XDP452" s="786"/>
      <c r="XDQ452" s="783"/>
      <c r="XDR452" s="741"/>
      <c r="XDS452" s="741"/>
      <c r="XDT452" s="741"/>
      <c r="XEH452" s="741"/>
      <c r="XEI452" s="770"/>
      <c r="XEJ452" s="781"/>
      <c r="XEK452" s="783"/>
      <c r="XEL452" s="790"/>
      <c r="XEM452" s="741"/>
      <c r="XEN452" s="790"/>
      <c r="XEO452" s="741"/>
      <c r="XEP452" s="741"/>
      <c r="XEQ452" s="741"/>
    </row>
    <row r="453" spans="1:16371" s="800" customFormat="1" ht="28.8" x14ac:dyDescent="0.3">
      <c r="A453" s="741" t="s">
        <v>264</v>
      </c>
      <c r="B453" s="770" t="s">
        <v>280</v>
      </c>
      <c r="C453" s="793" t="s">
        <v>753</v>
      </c>
      <c r="D453" s="770" t="s">
        <v>34</v>
      </c>
      <c r="E453" s="770" t="s">
        <v>282</v>
      </c>
      <c r="F453" s="1351" t="s">
        <v>285</v>
      </c>
      <c r="G453" s="794">
        <v>6.3468</v>
      </c>
      <c r="H453" s="789">
        <v>132097</v>
      </c>
      <c r="I453" s="782" t="s">
        <v>267</v>
      </c>
      <c r="J453" s="795">
        <v>132097</v>
      </c>
      <c r="K453" s="1611">
        <v>0</v>
      </c>
      <c r="L453" s="1611">
        <v>0</v>
      </c>
      <c r="M453" s="794" t="s">
        <v>79</v>
      </c>
      <c r="N453" s="217" t="s">
        <v>754</v>
      </c>
      <c r="O453" s="796" t="s">
        <v>755</v>
      </c>
      <c r="P453" s="193" t="s">
        <v>40</v>
      </c>
      <c r="Q453" s="194"/>
      <c r="R453" s="193" t="s">
        <v>64</v>
      </c>
      <c r="S453" s="194"/>
      <c r="T453" s="193"/>
      <c r="U453" s="194"/>
      <c r="V453" s="193" t="s">
        <v>40</v>
      </c>
      <c r="W453" s="194"/>
      <c r="X453" s="193" t="s">
        <v>40</v>
      </c>
      <c r="Y453" s="194"/>
      <c r="Z453" s="193" t="s">
        <v>64</v>
      </c>
      <c r="AA453" s="194"/>
      <c r="AB453" s="193" t="s">
        <v>40</v>
      </c>
      <c r="AC453" s="194"/>
      <c r="AD453" s="194"/>
      <c r="AE453" s="1529">
        <v>46203</v>
      </c>
      <c r="AF453" s="784" t="s">
        <v>247</v>
      </c>
      <c r="AG453" s="785">
        <v>2023</v>
      </c>
      <c r="AH453" s="797">
        <v>653629.18000000005</v>
      </c>
      <c r="AI453" s="798">
        <v>4367558</v>
      </c>
      <c r="AJ453" s="212"/>
      <c r="AK453" s="786" t="s">
        <v>43</v>
      </c>
      <c r="AL453" s="770" t="s">
        <v>41</v>
      </c>
      <c r="AM453" s="787">
        <v>0</v>
      </c>
      <c r="AN453" s="788" t="s">
        <v>40</v>
      </c>
      <c r="AO453" s="204"/>
      <c r="AP453" s="204"/>
      <c r="AQ453" s="204"/>
      <c r="AR453" s="204"/>
      <c r="AS453" s="204"/>
      <c r="AT453" s="799"/>
    </row>
    <row r="454" spans="1:16371" s="801" customFormat="1" ht="28.8" x14ac:dyDescent="0.3">
      <c r="A454" s="801" t="s">
        <v>264</v>
      </c>
      <c r="B454" s="802" t="s">
        <v>280</v>
      </c>
      <c r="C454" s="803" t="s">
        <v>756</v>
      </c>
      <c r="D454" s="770" t="s">
        <v>34</v>
      </c>
      <c r="E454" s="770" t="s">
        <v>282</v>
      </c>
      <c r="F454" s="1351" t="s">
        <v>285</v>
      </c>
      <c r="G454" s="794">
        <v>6.1075999999999997</v>
      </c>
      <c r="H454" s="789">
        <v>81547.47</v>
      </c>
      <c r="I454" s="804" t="s">
        <v>267</v>
      </c>
      <c r="J454" s="795">
        <v>81547.47</v>
      </c>
      <c r="K454" s="1403">
        <f>50044.46</f>
        <v>50044.46</v>
      </c>
      <c r="L454" s="1403">
        <f>50044.46</f>
        <v>50044.46</v>
      </c>
      <c r="M454" s="794" t="s">
        <v>757</v>
      </c>
      <c r="N454" s="217" t="s">
        <v>758</v>
      </c>
      <c r="O454" s="796" t="s">
        <v>759</v>
      </c>
      <c r="P454" s="193" t="s">
        <v>40</v>
      </c>
      <c r="Q454" s="194"/>
      <c r="R454" s="193" t="s">
        <v>64</v>
      </c>
      <c r="S454" s="194"/>
      <c r="T454" s="193"/>
      <c r="U454" s="194"/>
      <c r="V454" s="193" t="s">
        <v>40</v>
      </c>
      <c r="W454" s="194"/>
      <c r="X454" s="193" t="s">
        <v>40</v>
      </c>
      <c r="Y454" s="194"/>
      <c r="Z454" s="193" t="s">
        <v>64</v>
      </c>
      <c r="AA454" s="194"/>
      <c r="AB454" s="193" t="s">
        <v>40</v>
      </c>
      <c r="AC454" s="194"/>
      <c r="AD454" s="194"/>
      <c r="AE454" s="1529">
        <v>46203</v>
      </c>
      <c r="AF454" s="784" t="s">
        <v>247</v>
      </c>
      <c r="AG454" s="785">
        <v>2023</v>
      </c>
      <c r="AH454" s="797">
        <v>403505.02</v>
      </c>
      <c r="AI454" s="798" t="s">
        <v>760</v>
      </c>
      <c r="AJ454" s="232"/>
      <c r="AK454" s="805" t="s">
        <v>43</v>
      </c>
      <c r="AL454" s="802" t="s">
        <v>41</v>
      </c>
      <c r="AM454" s="806">
        <v>0</v>
      </c>
      <c r="AN454" s="807" t="s">
        <v>40</v>
      </c>
      <c r="AO454" s="808"/>
      <c r="AP454" s="808"/>
      <c r="AQ454" s="808"/>
      <c r="AR454" s="808"/>
      <c r="AS454" s="808"/>
      <c r="AT454" s="809"/>
    </row>
    <row r="455" spans="1:16371" s="243" customFormat="1" ht="28.8" x14ac:dyDescent="0.3">
      <c r="A455" s="243" t="s">
        <v>264</v>
      </c>
      <c r="B455" s="391" t="s">
        <v>280</v>
      </c>
      <c r="C455" s="781" t="s">
        <v>761</v>
      </c>
      <c r="D455" s="786" t="s">
        <v>34</v>
      </c>
      <c r="E455" s="770" t="s">
        <v>282</v>
      </c>
      <c r="F455" s="1355" t="s">
        <v>285</v>
      </c>
      <c r="G455" s="217">
        <v>22.68</v>
      </c>
      <c r="H455" s="751">
        <v>399477.48</v>
      </c>
      <c r="I455" s="404" t="s">
        <v>267</v>
      </c>
      <c r="J455" s="751">
        <v>399477.48</v>
      </c>
      <c r="K455" s="1511">
        <v>0</v>
      </c>
      <c r="L455" s="1512">
        <v>0</v>
      </c>
      <c r="M455" s="217" t="s">
        <v>49</v>
      </c>
      <c r="N455" s="217" t="s">
        <v>762</v>
      </c>
      <c r="O455" s="217" t="s">
        <v>763</v>
      </c>
      <c r="P455" s="810" t="s">
        <v>40</v>
      </c>
      <c r="Q455" s="194"/>
      <c r="R455" s="193" t="s">
        <v>64</v>
      </c>
      <c r="S455" s="194"/>
      <c r="T455" s="193"/>
      <c r="U455" s="194"/>
      <c r="V455" s="193" t="s">
        <v>40</v>
      </c>
      <c r="W455" s="194"/>
      <c r="X455" s="193" t="s">
        <v>40</v>
      </c>
      <c r="Y455" s="194"/>
      <c r="Z455" s="193" t="s">
        <v>64</v>
      </c>
      <c r="AA455" s="194"/>
      <c r="AB455" s="193" t="s">
        <v>40</v>
      </c>
      <c r="AC455" s="194"/>
      <c r="AD455" s="194"/>
      <c r="AE455" s="1529">
        <v>46203</v>
      </c>
      <c r="AF455" s="784" t="s">
        <v>247</v>
      </c>
      <c r="AG455" s="811">
        <v>2023</v>
      </c>
      <c r="AH455" s="323">
        <v>1976654.51</v>
      </c>
      <c r="AI455" s="798">
        <v>5148351</v>
      </c>
      <c r="AJ455" s="232"/>
      <c r="AK455" s="391" t="s">
        <v>43</v>
      </c>
      <c r="AL455" s="391" t="s">
        <v>41</v>
      </c>
      <c r="AM455" s="812">
        <v>0</v>
      </c>
      <c r="AN455" s="391" t="s">
        <v>40</v>
      </c>
    </row>
    <row r="456" spans="1:16371" s="243" customFormat="1" ht="28.8" x14ac:dyDescent="0.3">
      <c r="A456" s="243" t="s">
        <v>264</v>
      </c>
      <c r="B456" s="391" t="s">
        <v>280</v>
      </c>
      <c r="C456" s="781" t="s">
        <v>764</v>
      </c>
      <c r="D456" s="786" t="s">
        <v>34</v>
      </c>
      <c r="E456" s="770" t="s">
        <v>282</v>
      </c>
      <c r="F456" s="1355" t="s">
        <v>285</v>
      </c>
      <c r="G456" s="217">
        <v>1.4027000000000001</v>
      </c>
      <c r="H456" s="789">
        <v>26058.43</v>
      </c>
      <c r="I456" s="404" t="s">
        <v>267</v>
      </c>
      <c r="J456" s="789">
        <v>26058.43</v>
      </c>
      <c r="K456" s="1511">
        <v>0</v>
      </c>
      <c r="L456" s="1512">
        <v>0</v>
      </c>
      <c r="M456" s="217" t="s">
        <v>765</v>
      </c>
      <c r="N456" s="217" t="s">
        <v>766</v>
      </c>
      <c r="O456" s="217" t="s">
        <v>767</v>
      </c>
      <c r="P456" s="810" t="s">
        <v>40</v>
      </c>
      <c r="Q456" s="194"/>
      <c r="R456" s="193" t="s">
        <v>64</v>
      </c>
      <c r="S456" s="194"/>
      <c r="T456" s="193"/>
      <c r="U456" s="194"/>
      <c r="V456" s="193" t="s">
        <v>40</v>
      </c>
      <c r="W456" s="194"/>
      <c r="X456" s="193" t="s">
        <v>40</v>
      </c>
      <c r="Y456" s="194"/>
      <c r="Z456" s="193" t="s">
        <v>64</v>
      </c>
      <c r="AA456" s="194"/>
      <c r="AB456" s="193" t="s">
        <v>40</v>
      </c>
      <c r="AC456" s="194"/>
      <c r="AD456" s="194"/>
      <c r="AE456" s="1529">
        <v>46203</v>
      </c>
      <c r="AF456" s="784" t="s">
        <v>247</v>
      </c>
      <c r="AG456" s="811">
        <v>2023</v>
      </c>
      <c r="AH456" s="789">
        <v>128939.69</v>
      </c>
      <c r="AI456" s="798" t="s">
        <v>768</v>
      </c>
      <c r="AJ456" s="232"/>
      <c r="AK456" s="391" t="s">
        <v>43</v>
      </c>
      <c r="AL456" s="391" t="s">
        <v>41</v>
      </c>
      <c r="AM456" s="812">
        <v>0</v>
      </c>
      <c r="AN456" s="391" t="s">
        <v>40</v>
      </c>
    </row>
    <row r="457" spans="1:16371" s="243" customFormat="1" ht="28.8" x14ac:dyDescent="0.3">
      <c r="A457" s="243" t="s">
        <v>264</v>
      </c>
      <c r="B457" s="391" t="s">
        <v>280</v>
      </c>
      <c r="C457" s="781" t="s">
        <v>769</v>
      </c>
      <c r="D457" s="786" t="s">
        <v>34</v>
      </c>
      <c r="E457" s="770" t="s">
        <v>282</v>
      </c>
      <c r="F457" s="1355" t="s">
        <v>285</v>
      </c>
      <c r="G457" s="217">
        <v>1.2185999999999999</v>
      </c>
      <c r="H457" s="789">
        <v>20315.23</v>
      </c>
      <c r="I457" s="404" t="s">
        <v>267</v>
      </c>
      <c r="J457" s="789">
        <v>20315.23</v>
      </c>
      <c r="K457" s="1511">
        <v>0</v>
      </c>
      <c r="L457" s="1512">
        <v>0</v>
      </c>
      <c r="M457" s="217" t="s">
        <v>765</v>
      </c>
      <c r="N457" s="217" t="s">
        <v>770</v>
      </c>
      <c r="O457" s="217" t="s">
        <v>771</v>
      </c>
      <c r="P457" s="810" t="s">
        <v>40</v>
      </c>
      <c r="Q457" s="194"/>
      <c r="R457" s="193" t="s">
        <v>64</v>
      </c>
      <c r="S457" s="194"/>
      <c r="T457" s="193"/>
      <c r="U457" s="194"/>
      <c r="V457" s="193" t="s">
        <v>40</v>
      </c>
      <c r="W457" s="194"/>
      <c r="X457" s="193" t="s">
        <v>40</v>
      </c>
      <c r="Y457" s="194"/>
      <c r="Z457" s="193" t="s">
        <v>64</v>
      </c>
      <c r="AA457" s="194"/>
      <c r="AB457" s="193" t="s">
        <v>40</v>
      </c>
      <c r="AC457" s="194"/>
      <c r="AD457" s="194"/>
      <c r="AE457" s="1529">
        <v>46203</v>
      </c>
      <c r="AF457" s="784" t="s">
        <v>247</v>
      </c>
      <c r="AG457" s="811">
        <v>2023</v>
      </c>
      <c r="AH457" s="789">
        <v>100521.789563</v>
      </c>
      <c r="AI457" s="798" t="s">
        <v>772</v>
      </c>
      <c r="AJ457" s="232"/>
      <c r="AK457" s="391" t="s">
        <v>43</v>
      </c>
      <c r="AL457" s="391" t="s">
        <v>41</v>
      </c>
      <c r="AM457" s="812">
        <v>0</v>
      </c>
      <c r="AN457" s="391" t="s">
        <v>40</v>
      </c>
    </row>
    <row r="458" spans="1:16371" s="243" customFormat="1" ht="28.8" x14ac:dyDescent="0.3">
      <c r="A458" s="243" t="s">
        <v>264</v>
      </c>
      <c r="B458" s="391" t="s">
        <v>280</v>
      </c>
      <c r="C458" s="781" t="s">
        <v>773</v>
      </c>
      <c r="D458" s="786" t="s">
        <v>34</v>
      </c>
      <c r="E458" s="770" t="s">
        <v>282</v>
      </c>
      <c r="F458" s="1355" t="s">
        <v>285</v>
      </c>
      <c r="G458" s="217">
        <v>81.923299999999998</v>
      </c>
      <c r="H458" s="789">
        <v>996710.61</v>
      </c>
      <c r="I458" s="404" t="s">
        <v>267</v>
      </c>
      <c r="J458" s="789">
        <v>996710.61</v>
      </c>
      <c r="K458" s="1511">
        <v>0</v>
      </c>
      <c r="L458" s="1512">
        <v>0</v>
      </c>
      <c r="M458" s="217" t="s">
        <v>636</v>
      </c>
      <c r="N458" s="217" t="s">
        <v>774</v>
      </c>
      <c r="O458" s="217" t="s">
        <v>739</v>
      </c>
      <c r="P458" s="810" t="s">
        <v>40</v>
      </c>
      <c r="Q458" s="194"/>
      <c r="R458" s="193" t="s">
        <v>64</v>
      </c>
      <c r="S458" s="194"/>
      <c r="T458" s="193"/>
      <c r="U458" s="194"/>
      <c r="V458" s="193" t="s">
        <v>40</v>
      </c>
      <c r="W458" s="194"/>
      <c r="X458" s="193" t="s">
        <v>40</v>
      </c>
      <c r="Y458" s="194"/>
      <c r="Z458" s="193" t="s">
        <v>64</v>
      </c>
      <c r="AA458" s="194"/>
      <c r="AB458" s="193" t="s">
        <v>40</v>
      </c>
      <c r="AC458" s="194"/>
      <c r="AD458" s="194"/>
      <c r="AE458" s="1529">
        <v>46203</v>
      </c>
      <c r="AF458" s="784" t="s">
        <v>247</v>
      </c>
      <c r="AG458" s="811">
        <v>2023</v>
      </c>
      <c r="AH458" s="789">
        <v>4931823.7693410004</v>
      </c>
      <c r="AI458" s="798" t="s">
        <v>775</v>
      </c>
      <c r="AJ458" s="232"/>
      <c r="AK458" s="391" t="s">
        <v>43</v>
      </c>
      <c r="AL458" s="391" t="s">
        <v>41</v>
      </c>
      <c r="AM458" s="812">
        <v>0</v>
      </c>
      <c r="AN458" s="391" t="s">
        <v>40</v>
      </c>
    </row>
    <row r="459" spans="1:16371" s="243" customFormat="1" ht="28.8" x14ac:dyDescent="0.3">
      <c r="A459" s="243" t="s">
        <v>264</v>
      </c>
      <c r="B459" s="391" t="s">
        <v>280</v>
      </c>
      <c r="C459" s="781" t="s">
        <v>776</v>
      </c>
      <c r="D459" s="786" t="s">
        <v>34</v>
      </c>
      <c r="E459" s="770" t="s">
        <v>282</v>
      </c>
      <c r="F459" s="1355" t="s">
        <v>285</v>
      </c>
      <c r="G459" s="217">
        <v>1</v>
      </c>
      <c r="H459" s="789">
        <v>26572.959999999999</v>
      </c>
      <c r="I459" s="404" t="s">
        <v>267</v>
      </c>
      <c r="J459" s="789">
        <v>26572.959999999999</v>
      </c>
      <c r="K459" s="1511">
        <v>0</v>
      </c>
      <c r="L459" s="1512">
        <v>0</v>
      </c>
      <c r="M459" s="217" t="s">
        <v>351</v>
      </c>
      <c r="N459" s="217" t="s">
        <v>777</v>
      </c>
      <c r="O459" s="217" t="s">
        <v>778</v>
      </c>
      <c r="P459" s="810" t="s">
        <v>40</v>
      </c>
      <c r="Q459" s="194"/>
      <c r="R459" s="193" t="s">
        <v>64</v>
      </c>
      <c r="S459" s="194"/>
      <c r="T459" s="193"/>
      <c r="U459" s="194"/>
      <c r="V459" s="193" t="s">
        <v>40</v>
      </c>
      <c r="W459" s="194"/>
      <c r="X459" s="193" t="s">
        <v>40</v>
      </c>
      <c r="Y459" s="194"/>
      <c r="Z459" s="193" t="s">
        <v>64</v>
      </c>
      <c r="AA459" s="194"/>
      <c r="AB459" s="193" t="s">
        <v>40</v>
      </c>
      <c r="AC459" s="194"/>
      <c r="AD459" s="194"/>
      <c r="AE459" s="1529">
        <v>46203</v>
      </c>
      <c r="AF459" s="784" t="s">
        <v>247</v>
      </c>
      <c r="AG459" s="811">
        <v>2023</v>
      </c>
      <c r="AH459" s="789">
        <v>131485.66337600001</v>
      </c>
      <c r="AI459" s="798" t="s">
        <v>779</v>
      </c>
      <c r="AJ459" s="232"/>
      <c r="AK459" s="391" t="s">
        <v>43</v>
      </c>
      <c r="AL459" s="391" t="s">
        <v>41</v>
      </c>
      <c r="AM459" s="812">
        <v>0</v>
      </c>
      <c r="AN459" s="391" t="s">
        <v>40</v>
      </c>
    </row>
    <row r="460" spans="1:16371" s="243" customFormat="1" ht="28.8" x14ac:dyDescent="0.3">
      <c r="A460" s="243" t="s">
        <v>264</v>
      </c>
      <c r="B460" s="391" t="s">
        <v>280</v>
      </c>
      <c r="C460" s="781" t="s">
        <v>780</v>
      </c>
      <c r="D460" s="786" t="s">
        <v>34</v>
      </c>
      <c r="E460" s="770" t="s">
        <v>282</v>
      </c>
      <c r="F460" s="1355" t="s">
        <v>285</v>
      </c>
      <c r="G460" s="217">
        <v>4.79</v>
      </c>
      <c r="H460" s="789">
        <v>88660.4</v>
      </c>
      <c r="I460" s="404" t="s">
        <v>267</v>
      </c>
      <c r="J460" s="789">
        <v>88660.4</v>
      </c>
      <c r="K460" s="1366">
        <f>51988.15</f>
        <v>51988.15</v>
      </c>
      <c r="L460" s="1367">
        <f>51988.15</f>
        <v>51988.15</v>
      </c>
      <c r="M460" s="217" t="s">
        <v>351</v>
      </c>
      <c r="N460" s="217" t="s">
        <v>356</v>
      </c>
      <c r="O460" s="217" t="s">
        <v>781</v>
      </c>
      <c r="P460" s="810" t="s">
        <v>40</v>
      </c>
      <c r="Q460" s="194"/>
      <c r="R460" s="193" t="s">
        <v>64</v>
      </c>
      <c r="S460" s="194"/>
      <c r="T460" s="193"/>
      <c r="U460" s="194"/>
      <c r="V460" s="193" t="s">
        <v>40</v>
      </c>
      <c r="W460" s="194"/>
      <c r="X460" s="193" t="s">
        <v>40</v>
      </c>
      <c r="Y460" s="194"/>
      <c r="Z460" s="193" t="s">
        <v>64</v>
      </c>
      <c r="AA460" s="194"/>
      <c r="AB460" s="193" t="s">
        <v>40</v>
      </c>
      <c r="AC460" s="194"/>
      <c r="AD460" s="194"/>
      <c r="AE460" s="1529">
        <v>46203</v>
      </c>
      <c r="AF460" s="784" t="s">
        <v>247</v>
      </c>
      <c r="AG460" s="811">
        <v>2023</v>
      </c>
      <c r="AH460" s="789">
        <v>438700.52523999999</v>
      </c>
      <c r="AI460" s="798" t="s">
        <v>782</v>
      </c>
      <c r="AJ460" s="232"/>
      <c r="AK460" s="391" t="s">
        <v>43</v>
      </c>
      <c r="AL460" s="391" t="s">
        <v>41</v>
      </c>
      <c r="AM460" s="812">
        <v>0</v>
      </c>
      <c r="AN460" s="391" t="s">
        <v>40</v>
      </c>
    </row>
    <row r="461" spans="1:16371" s="243" customFormat="1" ht="28.8" x14ac:dyDescent="0.3">
      <c r="A461" s="243" t="s">
        <v>264</v>
      </c>
      <c r="B461" s="391" t="s">
        <v>280</v>
      </c>
      <c r="C461" s="781" t="s">
        <v>783</v>
      </c>
      <c r="D461" s="786" t="s">
        <v>34</v>
      </c>
      <c r="E461" s="770" t="s">
        <v>282</v>
      </c>
      <c r="F461" s="1355" t="s">
        <v>285</v>
      </c>
      <c r="G461" s="217">
        <v>0.57999999999999996</v>
      </c>
      <c r="H461" s="789">
        <v>20333.080000000002</v>
      </c>
      <c r="I461" s="404" t="s">
        <v>267</v>
      </c>
      <c r="J461" s="789">
        <v>20333.080000000002</v>
      </c>
      <c r="K461" s="1511">
        <v>0</v>
      </c>
      <c r="L461" s="1512">
        <v>0</v>
      </c>
      <c r="M461" s="217" t="s">
        <v>636</v>
      </c>
      <c r="N461" s="217" t="s">
        <v>784</v>
      </c>
      <c r="O461" s="217" t="s">
        <v>785</v>
      </c>
      <c r="P461" s="810" t="s">
        <v>40</v>
      </c>
      <c r="Q461" s="194"/>
      <c r="R461" s="193" t="s">
        <v>64</v>
      </c>
      <c r="S461" s="194"/>
      <c r="T461" s="193"/>
      <c r="U461" s="194"/>
      <c r="V461" s="193" t="s">
        <v>40</v>
      </c>
      <c r="W461" s="194"/>
      <c r="X461" s="193" t="s">
        <v>40</v>
      </c>
      <c r="Y461" s="194"/>
      <c r="Z461" s="193" t="s">
        <v>64</v>
      </c>
      <c r="AA461" s="194"/>
      <c r="AB461" s="193" t="s">
        <v>40</v>
      </c>
      <c r="AC461" s="194"/>
      <c r="AD461" s="194"/>
      <c r="AE461" s="1529">
        <v>46203</v>
      </c>
      <c r="AF461" s="784" t="s">
        <v>247</v>
      </c>
      <c r="AG461" s="811">
        <v>2023</v>
      </c>
      <c r="AH461" s="789">
        <v>100610.11314800002</v>
      </c>
      <c r="AI461" s="798" t="s">
        <v>786</v>
      </c>
      <c r="AJ461" s="232"/>
      <c r="AK461" s="391" t="s">
        <v>43</v>
      </c>
      <c r="AL461" s="391" t="s">
        <v>41</v>
      </c>
      <c r="AM461" s="812">
        <v>0</v>
      </c>
      <c r="AN461" s="391" t="s">
        <v>40</v>
      </c>
    </row>
    <row r="462" spans="1:16371" s="243" customFormat="1" ht="28.8" x14ac:dyDescent="0.3">
      <c r="A462" s="243" t="s">
        <v>264</v>
      </c>
      <c r="B462" s="391" t="s">
        <v>280</v>
      </c>
      <c r="C462" s="781" t="s">
        <v>787</v>
      </c>
      <c r="D462" s="786" t="s">
        <v>34</v>
      </c>
      <c r="E462" s="770" t="s">
        <v>282</v>
      </c>
      <c r="F462" s="1355" t="s">
        <v>285</v>
      </c>
      <c r="G462" s="217">
        <v>0.61</v>
      </c>
      <c r="H462" s="789">
        <v>17202.009999999998</v>
      </c>
      <c r="I462" s="404" t="s">
        <v>267</v>
      </c>
      <c r="J462" s="789">
        <v>17202.009999999998</v>
      </c>
      <c r="K462" s="1511">
        <v>0</v>
      </c>
      <c r="L462" s="1512">
        <v>0</v>
      </c>
      <c r="M462" s="217" t="s">
        <v>303</v>
      </c>
      <c r="N462" s="217" t="s">
        <v>788</v>
      </c>
      <c r="O462" s="813" t="s">
        <v>789</v>
      </c>
      <c r="P462" s="810" t="s">
        <v>40</v>
      </c>
      <c r="Q462" s="194"/>
      <c r="R462" s="193" t="s">
        <v>64</v>
      </c>
      <c r="S462" s="194"/>
      <c r="T462" s="193"/>
      <c r="U462" s="194"/>
      <c r="V462" s="193" t="s">
        <v>40</v>
      </c>
      <c r="W462" s="194"/>
      <c r="X462" s="193" t="s">
        <v>40</v>
      </c>
      <c r="Y462" s="194"/>
      <c r="Z462" s="193" t="s">
        <v>64</v>
      </c>
      <c r="AA462" s="194"/>
      <c r="AB462" s="193" t="s">
        <v>40</v>
      </c>
      <c r="AC462" s="194"/>
      <c r="AD462" s="194"/>
      <c r="AE462" s="1529">
        <v>46203</v>
      </c>
      <c r="AF462" s="784" t="s">
        <v>247</v>
      </c>
      <c r="AG462" s="811">
        <v>2023</v>
      </c>
      <c r="AH462" s="789">
        <v>85117.26568099999</v>
      </c>
      <c r="AI462" s="798" t="s">
        <v>790</v>
      </c>
      <c r="AJ462" s="232"/>
      <c r="AK462" s="391" t="s">
        <v>43</v>
      </c>
      <c r="AL462" s="391" t="s">
        <v>41</v>
      </c>
      <c r="AM462" s="812">
        <v>0</v>
      </c>
      <c r="AN462" s="391" t="s">
        <v>40</v>
      </c>
    </row>
    <row r="463" spans="1:16371" s="243" customFormat="1" ht="28.8" x14ac:dyDescent="0.3">
      <c r="A463" s="243" t="s">
        <v>264</v>
      </c>
      <c r="B463" s="391" t="s">
        <v>280</v>
      </c>
      <c r="C463" s="781" t="s">
        <v>791</v>
      </c>
      <c r="D463" s="786" t="s">
        <v>34</v>
      </c>
      <c r="E463" s="770" t="s">
        <v>282</v>
      </c>
      <c r="F463" s="1355" t="s">
        <v>285</v>
      </c>
      <c r="G463" s="217">
        <v>1.03</v>
      </c>
      <c r="H463" s="789">
        <v>25931.8</v>
      </c>
      <c r="I463" s="404" t="s">
        <v>267</v>
      </c>
      <c r="J463" s="789">
        <v>25931.8</v>
      </c>
      <c r="K463" s="1511">
        <v>0</v>
      </c>
      <c r="L463" s="1512">
        <v>0</v>
      </c>
      <c r="M463" s="217" t="s">
        <v>73</v>
      </c>
      <c r="N463" s="217" t="s">
        <v>792</v>
      </c>
      <c r="O463" s="813" t="s">
        <v>793</v>
      </c>
      <c r="P463" s="810" t="s">
        <v>40</v>
      </c>
      <c r="Q463" s="194"/>
      <c r="R463" s="193" t="s">
        <v>64</v>
      </c>
      <c r="S463" s="194"/>
      <c r="T463" s="193"/>
      <c r="U463" s="194"/>
      <c r="V463" s="193" t="s">
        <v>40</v>
      </c>
      <c r="W463" s="194"/>
      <c r="X463" s="193" t="s">
        <v>40</v>
      </c>
      <c r="Y463" s="194"/>
      <c r="Z463" s="193" t="s">
        <v>64</v>
      </c>
      <c r="AA463" s="194"/>
      <c r="AB463" s="193" t="s">
        <v>40</v>
      </c>
      <c r="AC463" s="194"/>
      <c r="AD463" s="194"/>
      <c r="AE463" s="1529">
        <v>46203</v>
      </c>
      <c r="AF463" s="784" t="s">
        <v>247</v>
      </c>
      <c r="AG463" s="811">
        <v>2023</v>
      </c>
      <c r="AH463" s="789">
        <v>128313.13958</v>
      </c>
      <c r="AI463" s="798" t="s">
        <v>794</v>
      </c>
      <c r="AJ463" s="232"/>
      <c r="AK463" s="391" t="s">
        <v>43</v>
      </c>
      <c r="AL463" s="391" t="s">
        <v>41</v>
      </c>
      <c r="AM463" s="812">
        <v>0</v>
      </c>
      <c r="AN463" s="391" t="s">
        <v>40</v>
      </c>
    </row>
    <row r="464" spans="1:16371" s="243" customFormat="1" ht="28.8" x14ac:dyDescent="0.3">
      <c r="A464" s="243" t="s">
        <v>264</v>
      </c>
      <c r="B464" s="391" t="s">
        <v>280</v>
      </c>
      <c r="C464" s="781" t="s">
        <v>795</v>
      </c>
      <c r="D464" s="786" t="s">
        <v>34</v>
      </c>
      <c r="E464" s="770" t="s">
        <v>282</v>
      </c>
      <c r="F464" s="1355" t="s">
        <v>285</v>
      </c>
      <c r="G464" s="217">
        <v>2.7414999999999998</v>
      </c>
      <c r="H464" s="789">
        <v>48830.96</v>
      </c>
      <c r="I464" s="404" t="s">
        <v>267</v>
      </c>
      <c r="J464" s="789">
        <v>48830.96</v>
      </c>
      <c r="K464" s="1511">
        <v>0</v>
      </c>
      <c r="L464" s="1512">
        <v>0</v>
      </c>
      <c r="M464" s="217" t="s">
        <v>290</v>
      </c>
      <c r="N464" s="217" t="s">
        <v>796</v>
      </c>
      <c r="O464" s="813" t="s">
        <v>797</v>
      </c>
      <c r="P464" s="810" t="s">
        <v>40</v>
      </c>
      <c r="Q464" s="194"/>
      <c r="R464" s="193" t="s">
        <v>64</v>
      </c>
      <c r="S464" s="194"/>
      <c r="T464" s="193"/>
      <c r="U464" s="194"/>
      <c r="V464" s="193" t="s">
        <v>40</v>
      </c>
      <c r="W464" s="194"/>
      <c r="X464" s="193" t="s">
        <v>40</v>
      </c>
      <c r="Y464" s="194"/>
      <c r="Z464" s="193" t="s">
        <v>64</v>
      </c>
      <c r="AA464" s="194"/>
      <c r="AB464" s="193" t="s">
        <v>40</v>
      </c>
      <c r="AC464" s="194"/>
      <c r="AD464" s="194"/>
      <c r="AE464" s="1529">
        <v>46203</v>
      </c>
      <c r="AF464" s="784" t="s">
        <v>247</v>
      </c>
      <c r="AG464" s="811">
        <v>2023</v>
      </c>
      <c r="AH464" s="789">
        <v>241620.49</v>
      </c>
      <c r="AI464" s="798" t="s">
        <v>798</v>
      </c>
      <c r="AJ464" s="232"/>
      <c r="AK464" s="391" t="s">
        <v>43</v>
      </c>
      <c r="AL464" s="391" t="s">
        <v>41</v>
      </c>
      <c r="AM464" s="812">
        <v>0</v>
      </c>
      <c r="AN464" s="391" t="s">
        <v>40</v>
      </c>
    </row>
    <row r="465" spans="1:40" s="243" customFormat="1" ht="28.8" x14ac:dyDescent="0.3">
      <c r="A465" s="243" t="s">
        <v>264</v>
      </c>
      <c r="B465" s="391" t="s">
        <v>280</v>
      </c>
      <c r="C465" s="781" t="s">
        <v>799</v>
      </c>
      <c r="D465" s="786" t="s">
        <v>34</v>
      </c>
      <c r="E465" s="770" t="s">
        <v>282</v>
      </c>
      <c r="F465" s="1355" t="s">
        <v>285</v>
      </c>
      <c r="G465" s="217">
        <v>2.2948</v>
      </c>
      <c r="H465" s="789">
        <v>40604.699999999997</v>
      </c>
      <c r="I465" s="404" t="s">
        <v>267</v>
      </c>
      <c r="J465" s="789">
        <v>40604.699999999997</v>
      </c>
      <c r="K465" s="1511">
        <v>0</v>
      </c>
      <c r="L465" s="1512">
        <v>0</v>
      </c>
      <c r="M465" s="217" t="s">
        <v>290</v>
      </c>
      <c r="N465" s="217" t="s">
        <v>800</v>
      </c>
      <c r="O465" s="813" t="s">
        <v>801</v>
      </c>
      <c r="P465" s="810" t="s">
        <v>40</v>
      </c>
      <c r="Q465" s="194"/>
      <c r="R465" s="193" t="s">
        <v>64</v>
      </c>
      <c r="S465" s="194"/>
      <c r="T465" s="193"/>
      <c r="U465" s="194"/>
      <c r="V465" s="193" t="s">
        <v>40</v>
      </c>
      <c r="W465" s="194"/>
      <c r="X465" s="193" t="s">
        <v>40</v>
      </c>
      <c r="Y465" s="194"/>
      <c r="Z465" s="193" t="s">
        <v>64</v>
      </c>
      <c r="AA465" s="194"/>
      <c r="AB465" s="193" t="s">
        <v>40</v>
      </c>
      <c r="AC465" s="194"/>
      <c r="AD465" s="194"/>
      <c r="AE465" s="1529">
        <v>46203</v>
      </c>
      <c r="AF465" s="784" t="s">
        <v>247</v>
      </c>
      <c r="AG465" s="811">
        <v>2023</v>
      </c>
      <c r="AH465" s="789">
        <v>200916.11</v>
      </c>
      <c r="AI465" s="798">
        <v>1740907064336</v>
      </c>
      <c r="AJ465" s="232"/>
      <c r="AK465" s="391" t="s">
        <v>43</v>
      </c>
      <c r="AL465" s="391" t="s">
        <v>41</v>
      </c>
      <c r="AM465" s="812">
        <v>0</v>
      </c>
      <c r="AN465" s="391" t="s">
        <v>40</v>
      </c>
    </row>
    <row r="466" spans="1:40" s="243" customFormat="1" ht="28.8" x14ac:dyDescent="0.3">
      <c r="A466" s="243" t="s">
        <v>264</v>
      </c>
      <c r="B466" s="391" t="s">
        <v>280</v>
      </c>
      <c r="C466" s="781" t="s">
        <v>802</v>
      </c>
      <c r="D466" s="786" t="s">
        <v>34</v>
      </c>
      <c r="E466" s="770" t="s">
        <v>282</v>
      </c>
      <c r="F466" s="1355" t="s">
        <v>285</v>
      </c>
      <c r="G466" s="217">
        <v>39.704500000000003</v>
      </c>
      <c r="H466" s="789">
        <v>539813.03</v>
      </c>
      <c r="I466" s="404" t="s">
        <v>267</v>
      </c>
      <c r="J466" s="789">
        <v>539813.03</v>
      </c>
      <c r="K466" s="1511">
        <f>367733.730118631</f>
        <v>367733.73011863098</v>
      </c>
      <c r="L466" s="1512">
        <f>367733.730118631</f>
        <v>367733.73011863098</v>
      </c>
      <c r="M466" s="217" t="s">
        <v>49</v>
      </c>
      <c r="N466" s="217" t="s">
        <v>297</v>
      </c>
      <c r="O466" s="813" t="s">
        <v>803</v>
      </c>
      <c r="P466" s="810" t="s">
        <v>40</v>
      </c>
      <c r="Q466" s="194"/>
      <c r="R466" s="193" t="s">
        <v>64</v>
      </c>
      <c r="S466" s="194"/>
      <c r="T466" s="193"/>
      <c r="U466" s="194"/>
      <c r="V466" s="193" t="s">
        <v>40</v>
      </c>
      <c r="W466" s="194"/>
      <c r="X466" s="193" t="s">
        <v>40</v>
      </c>
      <c r="Y466" s="194"/>
      <c r="Z466" s="193" t="s">
        <v>64</v>
      </c>
      <c r="AA466" s="194"/>
      <c r="AB466" s="193" t="s">
        <v>40</v>
      </c>
      <c r="AC466" s="194"/>
      <c r="AD466" s="194"/>
      <c r="AE466" s="1529">
        <v>46203</v>
      </c>
      <c r="AF466" s="784" t="s">
        <v>247</v>
      </c>
      <c r="AG466" s="811">
        <v>2023</v>
      </c>
      <c r="AH466" s="789">
        <v>2671048.87</v>
      </c>
      <c r="AI466" s="798">
        <v>15456928</v>
      </c>
      <c r="AJ466" s="232"/>
      <c r="AK466" s="391" t="s">
        <v>43</v>
      </c>
      <c r="AL466" s="391" t="s">
        <v>41</v>
      </c>
      <c r="AM466" s="812">
        <v>0</v>
      </c>
      <c r="AN466" s="391" t="s">
        <v>40</v>
      </c>
    </row>
    <row r="467" spans="1:40" s="243" customFormat="1" ht="28.8" x14ac:dyDescent="0.3">
      <c r="A467" s="243" t="s">
        <v>264</v>
      </c>
      <c r="B467" s="391" t="s">
        <v>280</v>
      </c>
      <c r="C467" s="781" t="s">
        <v>804</v>
      </c>
      <c r="D467" s="786" t="s">
        <v>34</v>
      </c>
      <c r="E467" s="770" t="s">
        <v>282</v>
      </c>
      <c r="F467" s="1355" t="s">
        <v>285</v>
      </c>
      <c r="G467" s="217">
        <v>6.66</v>
      </c>
      <c r="H467" s="789">
        <v>120038.7</v>
      </c>
      <c r="I467" s="404" t="s">
        <v>267</v>
      </c>
      <c r="J467" s="789">
        <v>120038.7</v>
      </c>
      <c r="K467" s="1511">
        <v>0</v>
      </c>
      <c r="L467" s="1512">
        <v>0</v>
      </c>
      <c r="M467" s="217" t="s">
        <v>133</v>
      </c>
      <c r="N467" s="217" t="s">
        <v>805</v>
      </c>
      <c r="O467" s="813" t="s">
        <v>806</v>
      </c>
      <c r="P467" s="810" t="s">
        <v>40</v>
      </c>
      <c r="Q467" s="194"/>
      <c r="R467" s="193" t="s">
        <v>64</v>
      </c>
      <c r="S467" s="194"/>
      <c r="T467" s="193"/>
      <c r="U467" s="194"/>
      <c r="V467" s="193" t="s">
        <v>40</v>
      </c>
      <c r="W467" s="194"/>
      <c r="X467" s="193" t="s">
        <v>40</v>
      </c>
      <c r="Y467" s="194"/>
      <c r="Z467" s="193" t="s">
        <v>64</v>
      </c>
      <c r="AA467" s="194"/>
      <c r="AB467" s="193" t="s">
        <v>40</v>
      </c>
      <c r="AC467" s="194"/>
      <c r="AD467" s="194"/>
      <c r="AE467" s="1529">
        <v>46203</v>
      </c>
      <c r="AF467" s="784" t="s">
        <v>247</v>
      </c>
      <c r="AG467" s="811">
        <v>2023</v>
      </c>
      <c r="AH467" s="789">
        <v>593963.48</v>
      </c>
      <c r="AI467" s="798" t="s">
        <v>807</v>
      </c>
      <c r="AJ467" s="232"/>
      <c r="AK467" s="391" t="s">
        <v>43</v>
      </c>
      <c r="AL467" s="391" t="s">
        <v>41</v>
      </c>
      <c r="AM467" s="812">
        <v>0</v>
      </c>
      <c r="AN467" s="391" t="s">
        <v>40</v>
      </c>
    </row>
    <row r="468" spans="1:40" s="243" customFormat="1" ht="28.8" x14ac:dyDescent="0.3">
      <c r="A468" s="243" t="s">
        <v>264</v>
      </c>
      <c r="B468" s="391" t="s">
        <v>280</v>
      </c>
      <c r="C468" s="781" t="s">
        <v>808</v>
      </c>
      <c r="D468" s="786" t="s">
        <v>34</v>
      </c>
      <c r="E468" s="770" t="s">
        <v>282</v>
      </c>
      <c r="F468" s="1355" t="s">
        <v>285</v>
      </c>
      <c r="G468" s="217">
        <v>0.6905</v>
      </c>
      <c r="H468" s="789">
        <v>19977.29</v>
      </c>
      <c r="I468" s="404" t="s">
        <v>267</v>
      </c>
      <c r="J468" s="789">
        <v>19977.29</v>
      </c>
      <c r="K468" s="1511">
        <v>0</v>
      </c>
      <c r="L468" s="1512">
        <v>0</v>
      </c>
      <c r="M468" s="217" t="s">
        <v>290</v>
      </c>
      <c r="N468" s="217" t="s">
        <v>809</v>
      </c>
      <c r="O468" s="813" t="s">
        <v>810</v>
      </c>
      <c r="P468" s="810" t="s">
        <v>40</v>
      </c>
      <c r="Q468" s="194"/>
      <c r="R468" s="193" t="s">
        <v>64</v>
      </c>
      <c r="S468" s="194"/>
      <c r="T468" s="193"/>
      <c r="U468" s="194"/>
      <c r="V468" s="193" t="s">
        <v>40</v>
      </c>
      <c r="W468" s="194"/>
      <c r="X468" s="193" t="s">
        <v>40</v>
      </c>
      <c r="Y468" s="194"/>
      <c r="Z468" s="193" t="s">
        <v>64</v>
      </c>
      <c r="AA468" s="194"/>
      <c r="AB468" s="193" t="s">
        <v>40</v>
      </c>
      <c r="AC468" s="194"/>
      <c r="AD468" s="194"/>
      <c r="AE468" s="1529">
        <v>46203</v>
      </c>
      <c r="AF468" s="784" t="s">
        <v>247</v>
      </c>
      <c r="AG468" s="811">
        <v>2023</v>
      </c>
      <c r="AH468" s="789">
        <v>98849.62</v>
      </c>
      <c r="AI468" s="798" t="s">
        <v>811</v>
      </c>
      <c r="AJ468" s="232"/>
      <c r="AK468" s="391" t="s">
        <v>43</v>
      </c>
      <c r="AL468" s="391" t="s">
        <v>41</v>
      </c>
      <c r="AM468" s="812">
        <v>0</v>
      </c>
      <c r="AN468" s="391" t="s">
        <v>40</v>
      </c>
    </row>
    <row r="469" spans="1:40" s="243" customFormat="1" ht="28.8" x14ac:dyDescent="0.3">
      <c r="A469" s="243" t="s">
        <v>264</v>
      </c>
      <c r="B469" s="391" t="s">
        <v>280</v>
      </c>
      <c r="C469" s="781" t="s">
        <v>812</v>
      </c>
      <c r="D469" s="786" t="s">
        <v>34</v>
      </c>
      <c r="E469" s="770" t="s">
        <v>282</v>
      </c>
      <c r="F469" s="1355" t="s">
        <v>285</v>
      </c>
      <c r="G469" s="217">
        <v>1.84</v>
      </c>
      <c r="H469" s="789">
        <v>39807.26</v>
      </c>
      <c r="I469" s="404" t="s">
        <v>267</v>
      </c>
      <c r="J469" s="789">
        <v>39807.26</v>
      </c>
      <c r="K469" s="1511">
        <v>0</v>
      </c>
      <c r="L469" s="1512">
        <v>0</v>
      </c>
      <c r="M469" s="217" t="s">
        <v>63</v>
      </c>
      <c r="N469" s="217" t="s">
        <v>813</v>
      </c>
      <c r="O469" s="813" t="s">
        <v>814</v>
      </c>
      <c r="P469" s="810" t="s">
        <v>40</v>
      </c>
      <c r="Q469" s="194"/>
      <c r="R469" s="193" t="s">
        <v>64</v>
      </c>
      <c r="S469" s="194"/>
      <c r="T469" s="193"/>
      <c r="U469" s="194"/>
      <c r="V469" s="193" t="s">
        <v>40</v>
      </c>
      <c r="W469" s="194"/>
      <c r="X469" s="193" t="s">
        <v>40</v>
      </c>
      <c r="Y469" s="194"/>
      <c r="Z469" s="193" t="s">
        <v>64</v>
      </c>
      <c r="AA469" s="194"/>
      <c r="AB469" s="193" t="s">
        <v>40</v>
      </c>
      <c r="AC469" s="194"/>
      <c r="AD469" s="194"/>
      <c r="AE469" s="1529">
        <v>46203</v>
      </c>
      <c r="AF469" s="784" t="s">
        <v>247</v>
      </c>
      <c r="AG469" s="811">
        <v>2023</v>
      </c>
      <c r="AH469" s="789">
        <v>196970.30320600001</v>
      </c>
      <c r="AI469" s="798" t="s">
        <v>815</v>
      </c>
      <c r="AJ469" s="232"/>
      <c r="AK469" s="391" t="s">
        <v>43</v>
      </c>
      <c r="AL469" s="391" t="s">
        <v>41</v>
      </c>
      <c r="AM469" s="812">
        <v>0</v>
      </c>
      <c r="AN469" s="391" t="s">
        <v>40</v>
      </c>
    </row>
    <row r="470" spans="1:40" s="243" customFormat="1" ht="28.8" x14ac:dyDescent="0.3">
      <c r="A470" s="243" t="s">
        <v>264</v>
      </c>
      <c r="B470" s="391" t="s">
        <v>280</v>
      </c>
      <c r="C470" s="781" t="s">
        <v>816</v>
      </c>
      <c r="D470" s="786" t="s">
        <v>34</v>
      </c>
      <c r="E470" s="770" t="s">
        <v>282</v>
      </c>
      <c r="F470" s="1355" t="s">
        <v>285</v>
      </c>
      <c r="G470" s="217">
        <v>1.31</v>
      </c>
      <c r="H470" s="789">
        <v>32366.639999999999</v>
      </c>
      <c r="I470" s="404" t="s">
        <v>267</v>
      </c>
      <c r="J470" s="789">
        <v>32366.639999999999</v>
      </c>
      <c r="K470" s="1366">
        <f>22462.68</f>
        <v>22462.68</v>
      </c>
      <c r="L470" s="1367">
        <f>22462.68</f>
        <v>22462.68</v>
      </c>
      <c r="M470" s="217" t="s">
        <v>73</v>
      </c>
      <c r="N470" s="217" t="s">
        <v>817</v>
      </c>
      <c r="O470" s="813" t="s">
        <v>818</v>
      </c>
      <c r="P470" s="810" t="s">
        <v>40</v>
      </c>
      <c r="Q470" s="194"/>
      <c r="R470" s="193" t="s">
        <v>64</v>
      </c>
      <c r="S470" s="194"/>
      <c r="T470" s="193"/>
      <c r="U470" s="194"/>
      <c r="V470" s="193" t="s">
        <v>40</v>
      </c>
      <c r="W470" s="194"/>
      <c r="X470" s="193" t="s">
        <v>40</v>
      </c>
      <c r="Y470" s="194"/>
      <c r="Z470" s="193" t="s">
        <v>64</v>
      </c>
      <c r="AA470" s="194"/>
      <c r="AB470" s="193" t="s">
        <v>40</v>
      </c>
      <c r="AC470" s="194"/>
      <c r="AD470" s="194"/>
      <c r="AE470" s="1529">
        <v>46203</v>
      </c>
      <c r="AF470" s="784" t="s">
        <v>247</v>
      </c>
      <c r="AG470" s="811">
        <v>2023</v>
      </c>
      <c r="AH470" s="789">
        <v>160153.371384</v>
      </c>
      <c r="AI470" s="798" t="s">
        <v>819</v>
      </c>
      <c r="AJ470" s="232"/>
      <c r="AK470" s="391" t="s">
        <v>43</v>
      </c>
      <c r="AL470" s="391" t="s">
        <v>41</v>
      </c>
      <c r="AM470" s="812">
        <v>0</v>
      </c>
      <c r="AN470" s="391" t="s">
        <v>40</v>
      </c>
    </row>
    <row r="471" spans="1:40" s="243" customFormat="1" ht="28.8" x14ac:dyDescent="0.3">
      <c r="A471" s="243" t="s">
        <v>264</v>
      </c>
      <c r="B471" s="391" t="s">
        <v>280</v>
      </c>
      <c r="C471" s="781" t="s">
        <v>820</v>
      </c>
      <c r="D471" s="786" t="s">
        <v>34</v>
      </c>
      <c r="E471" s="770" t="s">
        <v>282</v>
      </c>
      <c r="F471" s="1355" t="s">
        <v>285</v>
      </c>
      <c r="G471" s="217">
        <v>11.4918</v>
      </c>
      <c r="H471" s="789">
        <v>218416.04</v>
      </c>
      <c r="I471" s="404" t="s">
        <v>267</v>
      </c>
      <c r="J471" s="789">
        <v>218416.04</v>
      </c>
      <c r="K471" s="1511">
        <v>0</v>
      </c>
      <c r="L471" s="1512">
        <v>0</v>
      </c>
      <c r="M471" s="217" t="s">
        <v>55</v>
      </c>
      <c r="N471" s="217" t="s">
        <v>751</v>
      </c>
      <c r="O471" s="813" t="s">
        <v>821</v>
      </c>
      <c r="P471" s="810" t="s">
        <v>40</v>
      </c>
      <c r="Q471" s="194"/>
      <c r="R471" s="193" t="s">
        <v>64</v>
      </c>
      <c r="S471" s="194"/>
      <c r="T471" s="193"/>
      <c r="U471" s="194"/>
      <c r="V471" s="193" t="s">
        <v>40</v>
      </c>
      <c r="W471" s="194"/>
      <c r="X471" s="193" t="s">
        <v>40</v>
      </c>
      <c r="Y471" s="194"/>
      <c r="Z471" s="193" t="s">
        <v>64</v>
      </c>
      <c r="AA471" s="194"/>
      <c r="AB471" s="193" t="s">
        <v>40</v>
      </c>
      <c r="AC471" s="194"/>
      <c r="AD471" s="194"/>
      <c r="AE471" s="1529">
        <v>46203</v>
      </c>
      <c r="AF471" s="784" t="s">
        <v>247</v>
      </c>
      <c r="AG471" s="811">
        <v>2023</v>
      </c>
      <c r="AH471" s="789">
        <v>1080744.4075240002</v>
      </c>
      <c r="AI471" s="798" t="s">
        <v>822</v>
      </c>
      <c r="AJ471" s="232"/>
      <c r="AK471" s="391" t="s">
        <v>43</v>
      </c>
      <c r="AL471" s="391" t="s">
        <v>41</v>
      </c>
      <c r="AM471" s="812">
        <v>0</v>
      </c>
      <c r="AN471" s="391" t="s">
        <v>40</v>
      </c>
    </row>
    <row r="472" spans="1:40" s="243" customFormat="1" ht="57.6" x14ac:dyDescent="0.3">
      <c r="A472" s="243" t="s">
        <v>264</v>
      </c>
      <c r="B472" s="391" t="s">
        <v>280</v>
      </c>
      <c r="C472" s="781" t="s">
        <v>823</v>
      </c>
      <c r="D472" s="786" t="s">
        <v>34</v>
      </c>
      <c r="E472" s="770" t="s">
        <v>282</v>
      </c>
      <c r="F472" s="1355" t="s">
        <v>285</v>
      </c>
      <c r="G472" s="217">
        <v>1.91</v>
      </c>
      <c r="H472" s="789">
        <v>53559.9</v>
      </c>
      <c r="I472" s="404" t="s">
        <v>267</v>
      </c>
      <c r="J472" s="789">
        <v>53559.9</v>
      </c>
      <c r="K472" s="1511">
        <v>0</v>
      </c>
      <c r="L472" s="1512">
        <v>0</v>
      </c>
      <c r="M472" s="217" t="s">
        <v>71</v>
      </c>
      <c r="N472" s="217" t="s">
        <v>824</v>
      </c>
      <c r="O472" s="813" t="s">
        <v>825</v>
      </c>
      <c r="P472" s="810" t="s">
        <v>40</v>
      </c>
      <c r="Q472" s="194"/>
      <c r="R472" s="193" t="s">
        <v>64</v>
      </c>
      <c r="S472" s="194"/>
      <c r="T472" s="193"/>
      <c r="U472" s="194"/>
      <c r="V472" s="193" t="s">
        <v>40</v>
      </c>
      <c r="W472" s="194"/>
      <c r="X472" s="193" t="s">
        <v>40</v>
      </c>
      <c r="Y472" s="194"/>
      <c r="Z472" s="193" t="s">
        <v>64</v>
      </c>
      <c r="AA472" s="194"/>
      <c r="AB472" s="193" t="s">
        <v>40</v>
      </c>
      <c r="AC472" s="194"/>
      <c r="AD472" s="194"/>
      <c r="AE472" s="1529">
        <v>46203</v>
      </c>
      <c r="AF472" s="784" t="s">
        <v>247</v>
      </c>
      <c r="AG472" s="811">
        <v>2023</v>
      </c>
      <c r="AH472" s="789">
        <v>265019.74119000003</v>
      </c>
      <c r="AI472" s="798" t="s">
        <v>826</v>
      </c>
      <c r="AJ472" s="232"/>
      <c r="AK472" s="391" t="s">
        <v>43</v>
      </c>
      <c r="AL472" s="391" t="s">
        <v>41</v>
      </c>
      <c r="AM472" s="812">
        <v>0</v>
      </c>
      <c r="AN472" s="391" t="s">
        <v>40</v>
      </c>
    </row>
    <row r="473" spans="1:40" s="243" customFormat="1" ht="28.8" x14ac:dyDescent="0.3">
      <c r="A473" s="243" t="s">
        <v>264</v>
      </c>
      <c r="B473" s="391" t="s">
        <v>280</v>
      </c>
      <c r="C473" s="781" t="s">
        <v>827</v>
      </c>
      <c r="D473" s="786" t="s">
        <v>34</v>
      </c>
      <c r="E473" s="770" t="s">
        <v>282</v>
      </c>
      <c r="F473" s="1355" t="s">
        <v>285</v>
      </c>
      <c r="G473" s="217">
        <v>6.5</v>
      </c>
      <c r="H473" s="751">
        <v>98407.38</v>
      </c>
      <c r="I473" s="404" t="s">
        <v>267</v>
      </c>
      <c r="J473" s="751">
        <v>98407.38</v>
      </c>
      <c r="K473" s="1511">
        <v>0</v>
      </c>
      <c r="L473" s="1512">
        <v>0</v>
      </c>
      <c r="M473" s="217" t="s">
        <v>79</v>
      </c>
      <c r="N473" s="217" t="s">
        <v>828</v>
      </c>
      <c r="O473" s="813" t="s">
        <v>829</v>
      </c>
      <c r="P473" s="810" t="s">
        <v>40</v>
      </c>
      <c r="Q473" s="194"/>
      <c r="R473" s="193" t="s">
        <v>64</v>
      </c>
      <c r="S473" s="194"/>
      <c r="T473" s="193"/>
      <c r="U473" s="194"/>
      <c r="V473" s="193" t="s">
        <v>40</v>
      </c>
      <c r="W473" s="194"/>
      <c r="X473" s="193" t="s">
        <v>40</v>
      </c>
      <c r="Y473" s="194"/>
      <c r="Z473" s="193" t="s">
        <v>64</v>
      </c>
      <c r="AA473" s="194"/>
      <c r="AB473" s="193" t="s">
        <v>40</v>
      </c>
      <c r="AC473" s="194"/>
      <c r="AD473" s="194"/>
      <c r="AE473" s="1529">
        <v>46203</v>
      </c>
      <c r="AF473" s="784" t="s">
        <v>247</v>
      </c>
      <c r="AG473" s="811">
        <v>2023</v>
      </c>
      <c r="AH473" s="789">
        <v>486929.55697800004</v>
      </c>
      <c r="AI473" s="798" t="s">
        <v>830</v>
      </c>
      <c r="AJ473" s="232"/>
      <c r="AK473" s="391" t="s">
        <v>43</v>
      </c>
      <c r="AL473" s="391" t="s">
        <v>41</v>
      </c>
      <c r="AM473" s="812">
        <v>0</v>
      </c>
      <c r="AN473" s="391" t="s">
        <v>40</v>
      </c>
    </row>
    <row r="474" spans="1:40" s="243" customFormat="1" ht="28.8" x14ac:dyDescent="0.3">
      <c r="A474" s="243" t="s">
        <v>264</v>
      </c>
      <c r="B474" s="391" t="s">
        <v>280</v>
      </c>
      <c r="C474" s="781" t="s">
        <v>831</v>
      </c>
      <c r="D474" s="786" t="s">
        <v>34</v>
      </c>
      <c r="E474" s="770" t="s">
        <v>282</v>
      </c>
      <c r="F474" s="1355" t="s">
        <v>285</v>
      </c>
      <c r="G474" s="217">
        <v>0.50480000000000003</v>
      </c>
      <c r="H474" s="789">
        <v>11568.73</v>
      </c>
      <c r="I474" s="404" t="s">
        <v>267</v>
      </c>
      <c r="J474" s="789">
        <v>11568.73</v>
      </c>
      <c r="K474" s="1511">
        <v>0</v>
      </c>
      <c r="L474" s="1512">
        <v>0</v>
      </c>
      <c r="M474" s="217" t="s">
        <v>290</v>
      </c>
      <c r="N474" s="217" t="s">
        <v>832</v>
      </c>
      <c r="O474" s="813" t="s">
        <v>833</v>
      </c>
      <c r="P474" s="810" t="s">
        <v>40</v>
      </c>
      <c r="Q474" s="194"/>
      <c r="R474" s="193" t="s">
        <v>64</v>
      </c>
      <c r="S474" s="194"/>
      <c r="T474" s="193"/>
      <c r="U474" s="194"/>
      <c r="V474" s="193" t="s">
        <v>40</v>
      </c>
      <c r="W474" s="194"/>
      <c r="X474" s="193" t="s">
        <v>40</v>
      </c>
      <c r="Y474" s="194"/>
      <c r="Z474" s="193" t="s">
        <v>64</v>
      </c>
      <c r="AA474" s="194"/>
      <c r="AB474" s="193" t="s">
        <v>40</v>
      </c>
      <c r="AC474" s="194"/>
      <c r="AD474" s="194"/>
      <c r="AE474" s="1529">
        <v>46203</v>
      </c>
      <c r="AF474" s="784" t="s">
        <v>247</v>
      </c>
      <c r="AG474" s="811">
        <v>2023</v>
      </c>
      <c r="AH474" s="789">
        <v>57243.232913</v>
      </c>
      <c r="AI474" s="798" t="s">
        <v>834</v>
      </c>
      <c r="AJ474" s="232"/>
      <c r="AK474" s="391" t="s">
        <v>43</v>
      </c>
      <c r="AL474" s="391" t="s">
        <v>41</v>
      </c>
      <c r="AM474" s="812">
        <v>0</v>
      </c>
      <c r="AN474" s="391" t="s">
        <v>40</v>
      </c>
    </row>
    <row r="475" spans="1:40" s="243" customFormat="1" ht="43.2" x14ac:dyDescent="0.3">
      <c r="A475" s="243" t="s">
        <v>264</v>
      </c>
      <c r="B475" s="391" t="s">
        <v>280</v>
      </c>
      <c r="C475" s="781" t="s">
        <v>835</v>
      </c>
      <c r="D475" s="786" t="s">
        <v>34</v>
      </c>
      <c r="E475" s="770" t="s">
        <v>282</v>
      </c>
      <c r="F475" s="1355" t="s">
        <v>285</v>
      </c>
      <c r="G475" s="217">
        <v>33.760399999999997</v>
      </c>
      <c r="H475" s="789">
        <v>661285.4</v>
      </c>
      <c r="I475" s="404" t="s">
        <v>267</v>
      </c>
      <c r="J475" s="789">
        <v>661285.4</v>
      </c>
      <c r="K475" s="1511">
        <v>0</v>
      </c>
      <c r="L475" s="1512">
        <v>0</v>
      </c>
      <c r="M475" s="217" t="s">
        <v>84</v>
      </c>
      <c r="N475" s="217" t="s">
        <v>836</v>
      </c>
      <c r="O475" s="813" t="s">
        <v>703</v>
      </c>
      <c r="P475" s="810" t="s">
        <v>40</v>
      </c>
      <c r="Q475" s="194"/>
      <c r="R475" s="193" t="s">
        <v>64</v>
      </c>
      <c r="S475" s="194"/>
      <c r="T475" s="193"/>
      <c r="U475" s="194"/>
      <c r="V475" s="193" t="s">
        <v>40</v>
      </c>
      <c r="W475" s="194"/>
      <c r="X475" s="193" t="s">
        <v>40</v>
      </c>
      <c r="Y475" s="194"/>
      <c r="Z475" s="193" t="s">
        <v>64</v>
      </c>
      <c r="AA475" s="194"/>
      <c r="AB475" s="193" t="s">
        <v>40</v>
      </c>
      <c r="AC475" s="194"/>
      <c r="AD475" s="194"/>
      <c r="AE475" s="1529">
        <v>46203</v>
      </c>
      <c r="AF475" s="784" t="s">
        <v>247</v>
      </c>
      <c r="AG475" s="811">
        <v>2023</v>
      </c>
      <c r="AH475" s="789">
        <v>3272106.2877400001</v>
      </c>
      <c r="AI475" s="798">
        <v>46581696</v>
      </c>
      <c r="AJ475" s="232"/>
      <c r="AK475" s="391" t="s">
        <v>43</v>
      </c>
      <c r="AL475" s="391" t="s">
        <v>41</v>
      </c>
      <c r="AM475" s="812">
        <v>0</v>
      </c>
      <c r="AN475" s="391" t="s">
        <v>40</v>
      </c>
    </row>
    <row r="476" spans="1:40" s="243" customFormat="1" ht="28.8" x14ac:dyDescent="0.3">
      <c r="A476" s="243" t="s">
        <v>264</v>
      </c>
      <c r="B476" s="391" t="s">
        <v>280</v>
      </c>
      <c r="C476" s="781" t="s">
        <v>837</v>
      </c>
      <c r="D476" s="786" t="s">
        <v>34</v>
      </c>
      <c r="E476" s="770" t="s">
        <v>282</v>
      </c>
      <c r="F476" s="1355" t="s">
        <v>285</v>
      </c>
      <c r="G476" s="217">
        <v>0.63749999999999996</v>
      </c>
      <c r="H476" s="789">
        <v>16614.34</v>
      </c>
      <c r="I476" s="404" t="s">
        <v>267</v>
      </c>
      <c r="J476" s="789">
        <v>16614.34</v>
      </c>
      <c r="K476" s="1511">
        <v>0</v>
      </c>
      <c r="L476" s="1512">
        <v>0</v>
      </c>
      <c r="M476" s="217" t="s">
        <v>838</v>
      </c>
      <c r="N476" s="217" t="s">
        <v>839</v>
      </c>
      <c r="O476" s="813" t="s">
        <v>840</v>
      </c>
      <c r="P476" s="810" t="s">
        <v>40</v>
      </c>
      <c r="Q476" s="194"/>
      <c r="R476" s="193" t="s">
        <v>64</v>
      </c>
      <c r="S476" s="194"/>
      <c r="T476" s="193"/>
      <c r="U476" s="194"/>
      <c r="V476" s="193" t="s">
        <v>40</v>
      </c>
      <c r="W476" s="194"/>
      <c r="X476" s="193" t="s">
        <v>40</v>
      </c>
      <c r="Y476" s="194"/>
      <c r="Z476" s="193" t="s">
        <v>64</v>
      </c>
      <c r="AA476" s="194"/>
      <c r="AB476" s="193" t="s">
        <v>40</v>
      </c>
      <c r="AC476" s="194"/>
      <c r="AD476" s="194"/>
      <c r="AE476" s="1529">
        <v>46203</v>
      </c>
      <c r="AF476" s="784" t="s">
        <v>247</v>
      </c>
      <c r="AG476" s="811">
        <v>2023</v>
      </c>
      <c r="AH476" s="789">
        <v>82209.41</v>
      </c>
      <c r="AI476" s="798" t="s">
        <v>841</v>
      </c>
      <c r="AJ476" s="232"/>
      <c r="AK476" s="391" t="s">
        <v>43</v>
      </c>
      <c r="AL476" s="391" t="s">
        <v>41</v>
      </c>
      <c r="AM476" s="812">
        <v>0</v>
      </c>
      <c r="AN476" s="391" t="s">
        <v>40</v>
      </c>
    </row>
    <row r="477" spans="1:40" s="243" customFormat="1" ht="28.8" x14ac:dyDescent="0.3">
      <c r="A477" s="243" t="s">
        <v>264</v>
      </c>
      <c r="B477" s="391" t="s">
        <v>280</v>
      </c>
      <c r="C477" s="781" t="s">
        <v>842</v>
      </c>
      <c r="D477" s="786" t="s">
        <v>34</v>
      </c>
      <c r="E477" s="770" t="s">
        <v>282</v>
      </c>
      <c r="F477" s="1355" t="s">
        <v>285</v>
      </c>
      <c r="G477" s="217">
        <v>1.35</v>
      </c>
      <c r="H477" s="789">
        <v>45633.56</v>
      </c>
      <c r="I477" s="404" t="s">
        <v>267</v>
      </c>
      <c r="J477" s="789">
        <v>45633.56</v>
      </c>
      <c r="K477" s="1511">
        <v>0</v>
      </c>
      <c r="L477" s="1512">
        <v>0</v>
      </c>
      <c r="M477" s="217" t="s">
        <v>351</v>
      </c>
      <c r="N477" s="217" t="s">
        <v>843</v>
      </c>
      <c r="O477" s="813" t="s">
        <v>844</v>
      </c>
      <c r="P477" s="810" t="s">
        <v>40</v>
      </c>
      <c r="Q477" s="194"/>
      <c r="R477" s="193" t="s">
        <v>64</v>
      </c>
      <c r="S477" s="194"/>
      <c r="T477" s="193"/>
      <c r="U477" s="194"/>
      <c r="V477" s="193" t="s">
        <v>40</v>
      </c>
      <c r="W477" s="194"/>
      <c r="X477" s="193" t="s">
        <v>40</v>
      </c>
      <c r="Y477" s="194"/>
      <c r="Z477" s="193" t="s">
        <v>64</v>
      </c>
      <c r="AA477" s="194"/>
      <c r="AB477" s="193" t="s">
        <v>40</v>
      </c>
      <c r="AC477" s="194"/>
      <c r="AD477" s="194"/>
      <c r="AE477" s="1529">
        <v>46203</v>
      </c>
      <c r="AF477" s="784" t="s">
        <v>247</v>
      </c>
      <c r="AG477" s="811">
        <v>2023</v>
      </c>
      <c r="AH477" s="789">
        <v>225799.418236</v>
      </c>
      <c r="AI477" s="798" t="s">
        <v>845</v>
      </c>
      <c r="AJ477" s="232"/>
      <c r="AK477" s="391" t="s">
        <v>43</v>
      </c>
      <c r="AL477" s="391" t="s">
        <v>41</v>
      </c>
      <c r="AM477" s="812">
        <v>0</v>
      </c>
      <c r="AN477" s="391" t="s">
        <v>40</v>
      </c>
    </row>
    <row r="478" spans="1:40" s="243" customFormat="1" ht="43.2" x14ac:dyDescent="0.3">
      <c r="A478" s="243" t="s">
        <v>264</v>
      </c>
      <c r="B478" s="391" t="s">
        <v>280</v>
      </c>
      <c r="C478" s="781" t="s">
        <v>846</v>
      </c>
      <c r="D478" s="786" t="s">
        <v>34</v>
      </c>
      <c r="E478" s="770" t="s">
        <v>282</v>
      </c>
      <c r="F478" s="1355" t="s">
        <v>285</v>
      </c>
      <c r="G478" s="217">
        <v>4.1082999999999998</v>
      </c>
      <c r="H478" s="789">
        <v>65736.58</v>
      </c>
      <c r="I478" s="404" t="s">
        <v>267</v>
      </c>
      <c r="J478" s="789">
        <v>65736.58</v>
      </c>
      <c r="K478" s="1511">
        <v>0</v>
      </c>
      <c r="L478" s="1512">
        <v>0</v>
      </c>
      <c r="M478" s="217" t="s">
        <v>84</v>
      </c>
      <c r="N478" s="217" t="s">
        <v>847</v>
      </c>
      <c r="O478" s="813" t="s">
        <v>848</v>
      </c>
      <c r="P478" s="810" t="s">
        <v>40</v>
      </c>
      <c r="Q478" s="194"/>
      <c r="R478" s="193" t="s">
        <v>64</v>
      </c>
      <c r="S478" s="194"/>
      <c r="T478" s="193"/>
      <c r="U478" s="194"/>
      <c r="V478" s="193" t="s">
        <v>40</v>
      </c>
      <c r="W478" s="194"/>
      <c r="X478" s="193" t="s">
        <v>40</v>
      </c>
      <c r="Y478" s="194"/>
      <c r="Z478" s="193" t="s">
        <v>64</v>
      </c>
      <c r="AA478" s="194"/>
      <c r="AB478" s="193" t="s">
        <v>40</v>
      </c>
      <c r="AC478" s="194"/>
      <c r="AD478" s="194"/>
      <c r="AE478" s="1529">
        <v>46203</v>
      </c>
      <c r="AF478" s="784" t="s">
        <v>247</v>
      </c>
      <c r="AG478" s="811">
        <v>2023</v>
      </c>
      <c r="AH478" s="789">
        <v>325271.17149800004</v>
      </c>
      <c r="AI478" s="798" t="s">
        <v>849</v>
      </c>
      <c r="AJ478" s="232"/>
      <c r="AK478" s="391" t="s">
        <v>43</v>
      </c>
      <c r="AL478" s="391" t="s">
        <v>41</v>
      </c>
      <c r="AM478" s="812">
        <v>0</v>
      </c>
      <c r="AN478" s="391" t="s">
        <v>40</v>
      </c>
    </row>
    <row r="479" spans="1:40" s="243" customFormat="1" ht="28.8" x14ac:dyDescent="0.3">
      <c r="A479" s="243" t="s">
        <v>264</v>
      </c>
      <c r="B479" s="391" t="s">
        <v>280</v>
      </c>
      <c r="C479" s="781" t="s">
        <v>850</v>
      </c>
      <c r="D479" s="786" t="s">
        <v>34</v>
      </c>
      <c r="E479" s="770" t="s">
        <v>282</v>
      </c>
      <c r="F479" s="1355" t="s">
        <v>285</v>
      </c>
      <c r="G479" s="217">
        <v>1.0899000000000001</v>
      </c>
      <c r="H479" s="789">
        <v>18858.509999999998</v>
      </c>
      <c r="I479" s="404" t="s">
        <v>267</v>
      </c>
      <c r="J479" s="789">
        <v>18858.509999999998</v>
      </c>
      <c r="K479" s="1511">
        <v>0</v>
      </c>
      <c r="L479" s="1512">
        <v>0</v>
      </c>
      <c r="M479" s="217" t="s">
        <v>290</v>
      </c>
      <c r="N479" s="217" t="s">
        <v>770</v>
      </c>
      <c r="O479" s="813" t="s">
        <v>851</v>
      </c>
      <c r="P479" s="810" t="s">
        <v>40</v>
      </c>
      <c r="Q479" s="194"/>
      <c r="R479" s="193" t="s">
        <v>64</v>
      </c>
      <c r="S479" s="194"/>
      <c r="T479" s="193"/>
      <c r="U479" s="194"/>
      <c r="V479" s="193" t="s">
        <v>40</v>
      </c>
      <c r="W479" s="194"/>
      <c r="X479" s="193" t="s">
        <v>40</v>
      </c>
      <c r="Y479" s="194"/>
      <c r="Z479" s="193" t="s">
        <v>64</v>
      </c>
      <c r="AA479" s="194"/>
      <c r="AB479" s="193" t="s">
        <v>40</v>
      </c>
      <c r="AC479" s="194"/>
      <c r="AD479" s="194"/>
      <c r="AE479" s="1529">
        <v>46203</v>
      </c>
      <c r="AF479" s="784" t="s">
        <v>247</v>
      </c>
      <c r="AG479" s="811">
        <v>2023</v>
      </c>
      <c r="AH479" s="789">
        <v>93313.81</v>
      </c>
      <c r="AI479" s="798" t="s">
        <v>852</v>
      </c>
      <c r="AJ479" s="232"/>
      <c r="AK479" s="391" t="s">
        <v>43</v>
      </c>
      <c r="AL479" s="391" t="s">
        <v>41</v>
      </c>
      <c r="AM479" s="812">
        <v>0</v>
      </c>
      <c r="AN479" s="391" t="s">
        <v>40</v>
      </c>
    </row>
    <row r="480" spans="1:40" s="243" customFormat="1" ht="28.8" x14ac:dyDescent="0.3">
      <c r="A480" s="243" t="s">
        <v>264</v>
      </c>
      <c r="B480" s="391" t="s">
        <v>280</v>
      </c>
      <c r="C480" s="781" t="s">
        <v>853</v>
      </c>
      <c r="D480" s="786" t="s">
        <v>34</v>
      </c>
      <c r="E480" s="770" t="s">
        <v>282</v>
      </c>
      <c r="F480" s="1355" t="s">
        <v>285</v>
      </c>
      <c r="G480" s="217">
        <v>18.22</v>
      </c>
      <c r="H480" s="789">
        <v>354007.26</v>
      </c>
      <c r="I480" s="404" t="s">
        <v>267</v>
      </c>
      <c r="J480" s="789">
        <v>354007.26</v>
      </c>
      <c r="K480" s="1511">
        <v>0</v>
      </c>
      <c r="L480" s="1512">
        <v>0</v>
      </c>
      <c r="M480" s="217" t="s">
        <v>412</v>
      </c>
      <c r="N480" s="217" t="s">
        <v>854</v>
      </c>
      <c r="O480" s="813" t="s">
        <v>855</v>
      </c>
      <c r="P480" s="810" t="s">
        <v>40</v>
      </c>
      <c r="Q480" s="194"/>
      <c r="R480" s="193" t="s">
        <v>64</v>
      </c>
      <c r="S480" s="194"/>
      <c r="T480" s="193"/>
      <c r="U480" s="194"/>
      <c r="V480" s="193" t="s">
        <v>40</v>
      </c>
      <c r="W480" s="194"/>
      <c r="X480" s="193" t="s">
        <v>40</v>
      </c>
      <c r="Y480" s="194"/>
      <c r="Z480" s="193" t="s">
        <v>64</v>
      </c>
      <c r="AA480" s="194"/>
      <c r="AB480" s="193" t="s">
        <v>40</v>
      </c>
      <c r="AC480" s="194"/>
      <c r="AD480" s="194"/>
      <c r="AE480" s="1529">
        <v>46203</v>
      </c>
      <c r="AF480" s="784" t="s">
        <v>247</v>
      </c>
      <c r="AG480" s="811">
        <v>2023</v>
      </c>
      <c r="AH480" s="789">
        <v>1751663.323206</v>
      </c>
      <c r="AI480" s="798" t="s">
        <v>856</v>
      </c>
      <c r="AJ480" s="232"/>
      <c r="AK480" s="391" t="s">
        <v>43</v>
      </c>
      <c r="AL480" s="391" t="s">
        <v>41</v>
      </c>
      <c r="AM480" s="812">
        <v>0</v>
      </c>
      <c r="AN480" s="391" t="s">
        <v>40</v>
      </c>
    </row>
    <row r="481" spans="1:46 16368:16381" s="243" customFormat="1" ht="43.2" x14ac:dyDescent="0.3">
      <c r="A481" s="243" t="s">
        <v>264</v>
      </c>
      <c r="B481" s="391" t="s">
        <v>280</v>
      </c>
      <c r="C481" s="781" t="s">
        <v>857</v>
      </c>
      <c r="D481" s="786" t="s">
        <v>34</v>
      </c>
      <c r="E481" s="770" t="s">
        <v>282</v>
      </c>
      <c r="F481" s="1355" t="s">
        <v>285</v>
      </c>
      <c r="G481" s="217">
        <v>55.179600000000001</v>
      </c>
      <c r="H481" s="789">
        <v>944936.43</v>
      </c>
      <c r="I481" s="404" t="s">
        <v>267</v>
      </c>
      <c r="J481" s="789">
        <v>944936.43</v>
      </c>
      <c r="K481" s="1511">
        <v>0</v>
      </c>
      <c r="L481" s="1512">
        <v>0</v>
      </c>
      <c r="M481" s="217" t="s">
        <v>66</v>
      </c>
      <c r="N481" s="217" t="s">
        <v>858</v>
      </c>
      <c r="O481" s="813" t="s">
        <v>859</v>
      </c>
      <c r="P481" s="810" t="s">
        <v>40</v>
      </c>
      <c r="Q481" s="194"/>
      <c r="R481" s="193" t="s">
        <v>64</v>
      </c>
      <c r="S481" s="194"/>
      <c r="T481" s="193"/>
      <c r="U481" s="194"/>
      <c r="V481" s="193" t="s">
        <v>40</v>
      </c>
      <c r="W481" s="194"/>
      <c r="X481" s="193" t="s">
        <v>40</v>
      </c>
      <c r="Y481" s="194"/>
      <c r="Z481" s="193" t="s">
        <v>64</v>
      </c>
      <c r="AA481" s="194"/>
      <c r="AB481" s="193" t="s">
        <v>40</v>
      </c>
      <c r="AC481" s="194"/>
      <c r="AD481" s="194"/>
      <c r="AE481" s="1529">
        <v>46203</v>
      </c>
      <c r="AF481" s="784" t="s">
        <v>247</v>
      </c>
      <c r="AG481" s="811">
        <v>2023</v>
      </c>
      <c r="AH481" s="789">
        <v>4675639.97</v>
      </c>
      <c r="AI481" s="814" t="s">
        <v>860</v>
      </c>
      <c r="AJ481" s="232"/>
      <c r="AK481" s="391" t="s">
        <v>43</v>
      </c>
      <c r="AL481" s="391" t="s">
        <v>41</v>
      </c>
      <c r="AM481" s="812">
        <v>0</v>
      </c>
      <c r="AN481" s="391" t="s">
        <v>40</v>
      </c>
    </row>
    <row r="482" spans="1:46 16368:16381" s="243" customFormat="1" ht="28.8" x14ac:dyDescent="0.3">
      <c r="A482" s="243" t="s">
        <v>264</v>
      </c>
      <c r="B482" s="391" t="s">
        <v>280</v>
      </c>
      <c r="C482" s="781" t="s">
        <v>861</v>
      </c>
      <c r="D482" s="786" t="s">
        <v>34</v>
      </c>
      <c r="E482" s="770" t="s">
        <v>282</v>
      </c>
      <c r="F482" s="1355" t="s">
        <v>285</v>
      </c>
      <c r="G482" s="217">
        <v>1.0016</v>
      </c>
      <c r="H482" s="789">
        <v>18737.810000000001</v>
      </c>
      <c r="I482" s="404" t="s">
        <v>267</v>
      </c>
      <c r="J482" s="789">
        <v>18737.810000000001</v>
      </c>
      <c r="K482" s="1511">
        <v>0</v>
      </c>
      <c r="L482" s="1512">
        <v>0</v>
      </c>
      <c r="M482" s="217" t="s">
        <v>290</v>
      </c>
      <c r="N482" s="217" t="s">
        <v>832</v>
      </c>
      <c r="O482" s="813" t="s">
        <v>862</v>
      </c>
      <c r="P482" s="810" t="s">
        <v>40</v>
      </c>
      <c r="Q482" s="194"/>
      <c r="R482" s="193" t="s">
        <v>64</v>
      </c>
      <c r="S482" s="194"/>
      <c r="T482" s="193"/>
      <c r="U482" s="194"/>
      <c r="V482" s="193" t="s">
        <v>40</v>
      </c>
      <c r="W482" s="194"/>
      <c r="X482" s="193" t="s">
        <v>40</v>
      </c>
      <c r="Y482" s="194"/>
      <c r="Z482" s="193" t="s">
        <v>64</v>
      </c>
      <c r="AA482" s="194"/>
      <c r="AB482" s="193" t="s">
        <v>40</v>
      </c>
      <c r="AC482" s="194"/>
      <c r="AD482" s="194"/>
      <c r="AE482" s="1529">
        <v>46203</v>
      </c>
      <c r="AF482" s="784" t="s">
        <v>247</v>
      </c>
      <c r="AG482" s="811">
        <v>2023</v>
      </c>
      <c r="AH482" s="789">
        <v>92716.557661000013</v>
      </c>
      <c r="AI482" s="798" t="s">
        <v>863</v>
      </c>
      <c r="AJ482" s="232"/>
      <c r="AK482" s="391" t="s">
        <v>43</v>
      </c>
      <c r="AL482" s="391" t="s">
        <v>41</v>
      </c>
      <c r="AM482" s="812">
        <v>0</v>
      </c>
      <c r="AN482" s="391" t="s">
        <v>40</v>
      </c>
    </row>
    <row r="483" spans="1:46 16368:16381" s="243" customFormat="1" ht="28.8" x14ac:dyDescent="0.3">
      <c r="A483" s="243" t="s">
        <v>264</v>
      </c>
      <c r="B483" s="391" t="s">
        <v>280</v>
      </c>
      <c r="C483" s="781" t="s">
        <v>864</v>
      </c>
      <c r="D483" s="786" t="s">
        <v>34</v>
      </c>
      <c r="E483" s="770" t="s">
        <v>282</v>
      </c>
      <c r="F483" s="1355" t="s">
        <v>285</v>
      </c>
      <c r="G483" s="217">
        <v>1.25</v>
      </c>
      <c r="H483" s="789">
        <v>25695.85</v>
      </c>
      <c r="I483" s="404" t="s">
        <v>267</v>
      </c>
      <c r="J483" s="789">
        <v>25695.85</v>
      </c>
      <c r="K483" s="1511">
        <v>0</v>
      </c>
      <c r="L483" s="1512">
        <v>0</v>
      </c>
      <c r="M483" s="217" t="s">
        <v>68</v>
      </c>
      <c r="N483" s="217" t="s">
        <v>625</v>
      </c>
      <c r="O483" s="813" t="s">
        <v>865</v>
      </c>
      <c r="P483" s="810" t="s">
        <v>40</v>
      </c>
      <c r="Q483" s="194"/>
      <c r="R483" s="193" t="s">
        <v>64</v>
      </c>
      <c r="S483" s="194"/>
      <c r="T483" s="193"/>
      <c r="U483" s="194"/>
      <c r="V483" s="193" t="s">
        <v>40</v>
      </c>
      <c r="W483" s="194"/>
      <c r="X483" s="193" t="s">
        <v>40</v>
      </c>
      <c r="Y483" s="194"/>
      <c r="Z483" s="193" t="s">
        <v>64</v>
      </c>
      <c r="AA483" s="194"/>
      <c r="AB483" s="193" t="s">
        <v>40</v>
      </c>
      <c r="AC483" s="194"/>
      <c r="AD483" s="194"/>
      <c r="AE483" s="1529">
        <v>46203</v>
      </c>
      <c r="AF483" s="784" t="s">
        <v>247</v>
      </c>
      <c r="AG483" s="811">
        <v>2023</v>
      </c>
      <c r="AH483" s="789">
        <v>127145.635385</v>
      </c>
      <c r="AI483" s="798" t="s">
        <v>866</v>
      </c>
      <c r="AJ483" s="232"/>
      <c r="AK483" s="391" t="s">
        <v>43</v>
      </c>
      <c r="AL483" s="391" t="s">
        <v>41</v>
      </c>
      <c r="AM483" s="812">
        <v>0</v>
      </c>
      <c r="AN483" s="391" t="s">
        <v>40</v>
      </c>
    </row>
    <row r="484" spans="1:46 16368:16381" s="243" customFormat="1" ht="28.8" x14ac:dyDescent="0.3">
      <c r="A484" s="243" t="s">
        <v>264</v>
      </c>
      <c r="B484" s="391" t="s">
        <v>280</v>
      </c>
      <c r="C484" s="781" t="s">
        <v>867</v>
      </c>
      <c r="D484" s="786" t="s">
        <v>34</v>
      </c>
      <c r="E484" s="770" t="s">
        <v>282</v>
      </c>
      <c r="F484" s="1355" t="s">
        <v>285</v>
      </c>
      <c r="G484" s="217">
        <v>0.5</v>
      </c>
      <c r="H484" s="789">
        <v>15597.46</v>
      </c>
      <c r="I484" s="404" t="s">
        <v>267</v>
      </c>
      <c r="J484" s="789">
        <v>15597.46</v>
      </c>
      <c r="K484" s="1511">
        <v>0</v>
      </c>
      <c r="L484" s="1512">
        <v>0</v>
      </c>
      <c r="M484" s="217" t="s">
        <v>868</v>
      </c>
      <c r="N484" s="217" t="s">
        <v>869</v>
      </c>
      <c r="O484" s="813" t="s">
        <v>870</v>
      </c>
      <c r="P484" s="810" t="s">
        <v>40</v>
      </c>
      <c r="Q484" s="194"/>
      <c r="R484" s="193" t="s">
        <v>64</v>
      </c>
      <c r="S484" s="194"/>
      <c r="T484" s="193"/>
      <c r="U484" s="194"/>
      <c r="V484" s="193" t="s">
        <v>40</v>
      </c>
      <c r="W484" s="194"/>
      <c r="X484" s="193" t="s">
        <v>40</v>
      </c>
      <c r="Y484" s="194"/>
      <c r="Z484" s="193" t="s">
        <v>64</v>
      </c>
      <c r="AA484" s="194"/>
      <c r="AB484" s="193" t="s">
        <v>40</v>
      </c>
      <c r="AC484" s="194"/>
      <c r="AD484" s="194"/>
      <c r="AE484" s="1529">
        <v>46203</v>
      </c>
      <c r="AF484" s="784" t="s">
        <v>247</v>
      </c>
      <c r="AG484" s="811">
        <v>2023</v>
      </c>
      <c r="AH484" s="789">
        <v>77177.791826000001</v>
      </c>
      <c r="AI484" s="798" t="s">
        <v>871</v>
      </c>
      <c r="AJ484" s="232"/>
      <c r="AK484" s="391" t="s">
        <v>43</v>
      </c>
      <c r="AL484" s="391" t="s">
        <v>41</v>
      </c>
      <c r="AM484" s="812">
        <v>0</v>
      </c>
      <c r="AN484" s="391" t="s">
        <v>40</v>
      </c>
    </row>
    <row r="485" spans="1:46 16368:16381" s="243" customFormat="1" ht="28.8" x14ac:dyDescent="0.3">
      <c r="A485" s="243" t="s">
        <v>264</v>
      </c>
      <c r="B485" s="391" t="s">
        <v>280</v>
      </c>
      <c r="C485" s="781" t="s">
        <v>872</v>
      </c>
      <c r="D485" s="786" t="s">
        <v>34</v>
      </c>
      <c r="E485" s="770" t="s">
        <v>282</v>
      </c>
      <c r="F485" s="1355" t="s">
        <v>285</v>
      </c>
      <c r="G485" s="217">
        <v>2.6760000000000002</v>
      </c>
      <c r="H485" s="789">
        <v>70074.27</v>
      </c>
      <c r="I485" s="404" t="s">
        <v>267</v>
      </c>
      <c r="J485" s="789">
        <v>70074.27</v>
      </c>
      <c r="K485" s="1511">
        <v>0</v>
      </c>
      <c r="L485" s="1512">
        <v>0</v>
      </c>
      <c r="M485" s="217" t="s">
        <v>290</v>
      </c>
      <c r="N485" s="217" t="s">
        <v>873</v>
      </c>
      <c r="O485" s="813" t="s">
        <v>874</v>
      </c>
      <c r="P485" s="810" t="s">
        <v>40</v>
      </c>
      <c r="Q485" s="194"/>
      <c r="R485" s="193" t="s">
        <v>64</v>
      </c>
      <c r="S485" s="194"/>
      <c r="T485" s="193"/>
      <c r="U485" s="194"/>
      <c r="V485" s="193" t="s">
        <v>40</v>
      </c>
      <c r="W485" s="194"/>
      <c r="X485" s="193" t="s">
        <v>40</v>
      </c>
      <c r="Y485" s="194"/>
      <c r="Z485" s="193" t="s">
        <v>64</v>
      </c>
      <c r="AA485" s="194"/>
      <c r="AB485" s="193" t="s">
        <v>40</v>
      </c>
      <c r="AC485" s="194"/>
      <c r="AD485" s="194"/>
      <c r="AE485" s="1529">
        <v>46203</v>
      </c>
      <c r="AF485" s="784" t="s">
        <v>247</v>
      </c>
      <c r="AG485" s="811">
        <v>2023</v>
      </c>
      <c r="AH485" s="789">
        <v>346734.49</v>
      </c>
      <c r="AI485" s="798" t="s">
        <v>875</v>
      </c>
      <c r="AJ485" s="232"/>
      <c r="AK485" s="391" t="s">
        <v>43</v>
      </c>
      <c r="AL485" s="391" t="s">
        <v>41</v>
      </c>
      <c r="AM485" s="812">
        <v>0</v>
      </c>
      <c r="AN485" s="391" t="s">
        <v>40</v>
      </c>
    </row>
    <row r="486" spans="1:46 16368:16381" s="243" customFormat="1" ht="43.2" x14ac:dyDescent="0.3">
      <c r="A486" s="243" t="s">
        <v>264</v>
      </c>
      <c r="B486" s="391" t="s">
        <v>280</v>
      </c>
      <c r="C486" s="781" t="s">
        <v>876</v>
      </c>
      <c r="D486" s="786" t="s">
        <v>34</v>
      </c>
      <c r="E486" s="770" t="s">
        <v>282</v>
      </c>
      <c r="F486" s="1355" t="s">
        <v>285</v>
      </c>
      <c r="G486" s="217">
        <v>7.8964999999999996</v>
      </c>
      <c r="H486" s="789">
        <v>120369.39</v>
      </c>
      <c r="I486" s="404" t="s">
        <v>267</v>
      </c>
      <c r="J486" s="789">
        <v>120369.39</v>
      </c>
      <c r="K486" s="1366">
        <f>76683.75</f>
        <v>76683.75</v>
      </c>
      <c r="L486" s="1367">
        <f>76683.75</f>
        <v>76683.75</v>
      </c>
      <c r="M486" s="217" t="s">
        <v>84</v>
      </c>
      <c r="N486" s="217" t="s">
        <v>847</v>
      </c>
      <c r="O486" s="813" t="s">
        <v>877</v>
      </c>
      <c r="P486" s="810" t="s">
        <v>40</v>
      </c>
      <c r="Q486" s="194"/>
      <c r="R486" s="193" t="s">
        <v>64</v>
      </c>
      <c r="S486" s="194"/>
      <c r="T486" s="193"/>
      <c r="U486" s="194"/>
      <c r="V486" s="193" t="s">
        <v>40</v>
      </c>
      <c r="W486" s="194"/>
      <c r="X486" s="193" t="s">
        <v>40</v>
      </c>
      <c r="Y486" s="194"/>
      <c r="Z486" s="193" t="s">
        <v>64</v>
      </c>
      <c r="AA486" s="194"/>
      <c r="AB486" s="193" t="s">
        <v>40</v>
      </c>
      <c r="AC486" s="194"/>
      <c r="AD486" s="194"/>
      <c r="AE486" s="1529">
        <v>46203</v>
      </c>
      <c r="AF486" s="784" t="s">
        <v>247</v>
      </c>
      <c r="AG486" s="811">
        <v>2023</v>
      </c>
      <c r="AH486" s="789">
        <v>595599.77865900006</v>
      </c>
      <c r="AI486" s="798" t="s">
        <v>878</v>
      </c>
      <c r="AJ486" s="232"/>
      <c r="AK486" s="391" t="s">
        <v>43</v>
      </c>
      <c r="AL486" s="391" t="s">
        <v>41</v>
      </c>
      <c r="AM486" s="812">
        <v>0</v>
      </c>
      <c r="AN486" s="391" t="s">
        <v>40</v>
      </c>
    </row>
    <row r="487" spans="1:46 16368:16381" s="792" customFormat="1" ht="28.8" x14ac:dyDescent="0.3">
      <c r="A487" s="792" t="s">
        <v>264</v>
      </c>
      <c r="B487" s="815" t="s">
        <v>280</v>
      </c>
      <c r="C487" s="816" t="s">
        <v>879</v>
      </c>
      <c r="D487" s="770" t="s">
        <v>34</v>
      </c>
      <c r="E487" s="770" t="s">
        <v>282</v>
      </c>
      <c r="F487" s="1351" t="s">
        <v>285</v>
      </c>
      <c r="G487" s="817">
        <v>3.22</v>
      </c>
      <c r="H487" s="818">
        <v>60209.45</v>
      </c>
      <c r="I487" s="819" t="s">
        <v>267</v>
      </c>
      <c r="J487" s="818">
        <v>60209.45</v>
      </c>
      <c r="K487" s="1611">
        <v>0</v>
      </c>
      <c r="L487" s="1611">
        <v>0</v>
      </c>
      <c r="M487" s="820" t="s">
        <v>303</v>
      </c>
      <c r="N487" s="820" t="s">
        <v>880</v>
      </c>
      <c r="O487" s="821" t="s">
        <v>881</v>
      </c>
      <c r="P487" s="193" t="s">
        <v>40</v>
      </c>
      <c r="Q487" s="194"/>
      <c r="R487" s="193" t="s">
        <v>64</v>
      </c>
      <c r="S487" s="194"/>
      <c r="T487" s="193"/>
      <c r="U487" s="194"/>
      <c r="V487" s="193" t="s">
        <v>40</v>
      </c>
      <c r="W487" s="194"/>
      <c r="X487" s="193" t="s">
        <v>40</v>
      </c>
      <c r="Y487" s="194"/>
      <c r="Z487" s="193" t="s">
        <v>64</v>
      </c>
      <c r="AA487" s="194"/>
      <c r="AB487" s="193" t="s">
        <v>40</v>
      </c>
      <c r="AC487" s="194"/>
      <c r="AD487" s="194"/>
      <c r="AE487" s="1529">
        <v>46203</v>
      </c>
      <c r="AF487" s="784" t="s">
        <v>247</v>
      </c>
      <c r="AG487" s="785">
        <v>2023</v>
      </c>
      <c r="AH487" s="818">
        <v>297922.37</v>
      </c>
      <c r="AI487" s="822" t="s">
        <v>882</v>
      </c>
      <c r="AJ487" s="823"/>
      <c r="AK487" s="824" t="s">
        <v>43</v>
      </c>
      <c r="AL487" s="815" t="s">
        <v>41</v>
      </c>
      <c r="AM487" s="825">
        <v>0</v>
      </c>
      <c r="AN487" s="826" t="s">
        <v>40</v>
      </c>
      <c r="AO487" s="104"/>
      <c r="AP487" s="104"/>
      <c r="AQ487" s="104"/>
      <c r="AR487" s="104"/>
      <c r="AS487" s="104"/>
      <c r="AT487" s="827"/>
    </row>
    <row r="488" spans="1:46 16368:16381" s="243" customFormat="1" ht="28.8" x14ac:dyDescent="0.3">
      <c r="A488" s="243" t="s">
        <v>264</v>
      </c>
      <c r="B488" s="391" t="s">
        <v>280</v>
      </c>
      <c r="C488" s="781" t="s">
        <v>883</v>
      </c>
      <c r="D488" s="786" t="s">
        <v>34</v>
      </c>
      <c r="E488" s="770" t="s">
        <v>282</v>
      </c>
      <c r="F488" s="1355" t="s">
        <v>285</v>
      </c>
      <c r="G488" s="217">
        <v>1.887</v>
      </c>
      <c r="H488" s="789">
        <v>34795.360000000001</v>
      </c>
      <c r="I488" s="404" t="s">
        <v>267</v>
      </c>
      <c r="J488" s="789">
        <v>34795.360000000001</v>
      </c>
      <c r="K488" s="1511">
        <v>0</v>
      </c>
      <c r="L488" s="1512">
        <v>0</v>
      </c>
      <c r="M488" s="217" t="s">
        <v>290</v>
      </c>
      <c r="N488" s="217" t="s">
        <v>770</v>
      </c>
      <c r="O488" s="813" t="s">
        <v>884</v>
      </c>
      <c r="P488" s="810" t="s">
        <v>40</v>
      </c>
      <c r="Q488" s="194"/>
      <c r="R488" s="193" t="s">
        <v>64</v>
      </c>
      <c r="S488" s="194"/>
      <c r="T488" s="193"/>
      <c r="U488" s="194"/>
      <c r="V488" s="193" t="s">
        <v>40</v>
      </c>
      <c r="W488" s="194"/>
      <c r="X488" s="193" t="s">
        <v>40</v>
      </c>
      <c r="Y488" s="194"/>
      <c r="Z488" s="193" t="s">
        <v>64</v>
      </c>
      <c r="AA488" s="194"/>
      <c r="AB488" s="193" t="s">
        <v>40</v>
      </c>
      <c r="AC488" s="194"/>
      <c r="AD488" s="194"/>
      <c r="AE488" s="1529">
        <v>46203</v>
      </c>
      <c r="AF488" s="784" t="s">
        <v>247</v>
      </c>
      <c r="AG488" s="811">
        <v>2023</v>
      </c>
      <c r="AH488" s="789">
        <v>172170.920816</v>
      </c>
      <c r="AI488" s="798" t="s">
        <v>885</v>
      </c>
      <c r="AJ488" s="232"/>
      <c r="AK488" s="391" t="s">
        <v>43</v>
      </c>
      <c r="AL488" s="391" t="s">
        <v>41</v>
      </c>
      <c r="AM488" s="812">
        <v>0</v>
      </c>
      <c r="AN488" s="391" t="s">
        <v>40</v>
      </c>
    </row>
    <row r="489" spans="1:46 16368:16381" s="243" customFormat="1" ht="28.8" x14ac:dyDescent="0.3">
      <c r="A489" s="243" t="s">
        <v>264</v>
      </c>
      <c r="B489" s="391" t="s">
        <v>280</v>
      </c>
      <c r="C489" s="781" t="s">
        <v>886</v>
      </c>
      <c r="D489" s="786" t="s">
        <v>34</v>
      </c>
      <c r="E489" s="770" t="s">
        <v>282</v>
      </c>
      <c r="F489" s="1355" t="s">
        <v>285</v>
      </c>
      <c r="G489" s="217">
        <v>148.38570000000001</v>
      </c>
      <c r="H489" s="789">
        <v>2442106.65</v>
      </c>
      <c r="I489" s="404" t="s">
        <v>267</v>
      </c>
      <c r="J489" s="789">
        <v>2442106.65</v>
      </c>
      <c r="K489" s="1511">
        <v>0</v>
      </c>
      <c r="L489" s="1512">
        <v>0</v>
      </c>
      <c r="M489" s="217" t="s">
        <v>66</v>
      </c>
      <c r="N489" s="217" t="s">
        <v>887</v>
      </c>
      <c r="O489" s="813" t="s">
        <v>570</v>
      </c>
      <c r="P489" s="810" t="s">
        <v>40</v>
      </c>
      <c r="Q489" s="194"/>
      <c r="R489" s="193" t="s">
        <v>64</v>
      </c>
      <c r="S489" s="194"/>
      <c r="T489" s="193"/>
      <c r="U489" s="194"/>
      <c r="V489" s="193" t="s">
        <v>40</v>
      </c>
      <c r="W489" s="194"/>
      <c r="X489" s="193" t="s">
        <v>40</v>
      </c>
      <c r="Y489" s="194"/>
      <c r="Z489" s="193" t="s">
        <v>64</v>
      </c>
      <c r="AA489" s="194"/>
      <c r="AB489" s="193" t="s">
        <v>40</v>
      </c>
      <c r="AC489" s="194"/>
      <c r="AD489" s="194"/>
      <c r="AE489" s="1529">
        <v>46203</v>
      </c>
      <c r="AF489" s="784" t="s">
        <v>247</v>
      </c>
      <c r="AG489" s="811">
        <v>2023</v>
      </c>
      <c r="AH489" s="789">
        <v>12083787.914865</v>
      </c>
      <c r="AI489" s="798">
        <v>17954260</v>
      </c>
      <c r="AJ489" s="232"/>
      <c r="AK489" s="391" t="s">
        <v>43</v>
      </c>
      <c r="AL489" s="391" t="s">
        <v>41</v>
      </c>
      <c r="AM489" s="812">
        <v>0</v>
      </c>
      <c r="AN489" s="391" t="s">
        <v>40</v>
      </c>
    </row>
    <row r="490" spans="1:46 16368:16381" s="243" customFormat="1" ht="28.8" x14ac:dyDescent="0.3">
      <c r="A490" s="243" t="s">
        <v>264</v>
      </c>
      <c r="B490" s="391" t="s">
        <v>280</v>
      </c>
      <c r="C490" s="781" t="s">
        <v>888</v>
      </c>
      <c r="D490" s="786" t="s">
        <v>34</v>
      </c>
      <c r="E490" s="770" t="s">
        <v>282</v>
      </c>
      <c r="F490" s="1355" t="s">
        <v>285</v>
      </c>
      <c r="G490" s="217">
        <v>56.28</v>
      </c>
      <c r="H490" s="789">
        <v>670121.06000000006</v>
      </c>
      <c r="I490" s="404" t="s">
        <v>267</v>
      </c>
      <c r="J490" s="789">
        <v>670121.06000000006</v>
      </c>
      <c r="K490" s="1511">
        <v>0</v>
      </c>
      <c r="L490" s="1512">
        <v>0</v>
      </c>
      <c r="M490" s="217" t="s">
        <v>200</v>
      </c>
      <c r="N490" s="217" t="s">
        <v>889</v>
      </c>
      <c r="O490" s="813" t="s">
        <v>890</v>
      </c>
      <c r="P490" s="810" t="s">
        <v>40</v>
      </c>
      <c r="Q490" s="194"/>
      <c r="R490" s="193" t="s">
        <v>64</v>
      </c>
      <c r="S490" s="194"/>
      <c r="T490" s="193"/>
      <c r="U490" s="194"/>
      <c r="V490" s="193" t="s">
        <v>40</v>
      </c>
      <c r="W490" s="194"/>
      <c r="X490" s="193" t="s">
        <v>40</v>
      </c>
      <c r="Y490" s="194"/>
      <c r="Z490" s="193" t="s">
        <v>64</v>
      </c>
      <c r="AA490" s="194"/>
      <c r="AB490" s="193" t="s">
        <v>40</v>
      </c>
      <c r="AC490" s="194"/>
      <c r="AD490" s="194"/>
      <c r="AE490" s="1529">
        <v>46203</v>
      </c>
      <c r="AF490" s="784" t="s">
        <v>247</v>
      </c>
      <c r="AG490" s="811">
        <v>2023</v>
      </c>
      <c r="AH490" s="789">
        <v>3315826.0169860004</v>
      </c>
      <c r="AI490" s="798" t="s">
        <v>891</v>
      </c>
      <c r="AJ490" s="232"/>
      <c r="AK490" s="391" t="s">
        <v>43</v>
      </c>
      <c r="AL490" s="391" t="s">
        <v>41</v>
      </c>
      <c r="AM490" s="812">
        <v>0</v>
      </c>
      <c r="AN490" s="391" t="s">
        <v>40</v>
      </c>
    </row>
    <row r="491" spans="1:46 16368:16381" s="243" customFormat="1" ht="28.8" x14ac:dyDescent="0.3">
      <c r="A491" s="243" t="s">
        <v>264</v>
      </c>
      <c r="B491" s="391" t="s">
        <v>280</v>
      </c>
      <c r="C491" s="781" t="s">
        <v>892</v>
      </c>
      <c r="D491" s="786" t="s">
        <v>34</v>
      </c>
      <c r="E491" s="770" t="s">
        <v>282</v>
      </c>
      <c r="F491" s="1355" t="s">
        <v>285</v>
      </c>
      <c r="G491" s="217">
        <v>23.920100000000001</v>
      </c>
      <c r="H491" s="789">
        <v>538444.93000000005</v>
      </c>
      <c r="I491" s="404" t="s">
        <v>267</v>
      </c>
      <c r="J491" s="789">
        <v>538444.93000000005</v>
      </c>
      <c r="K491" s="1511">
        <v>0</v>
      </c>
      <c r="L491" s="1512">
        <v>0</v>
      </c>
      <c r="M491" s="217" t="s">
        <v>49</v>
      </c>
      <c r="N491" s="217" t="s">
        <v>893</v>
      </c>
      <c r="O491" s="813" t="s">
        <v>894</v>
      </c>
      <c r="P491" s="810" t="s">
        <v>40</v>
      </c>
      <c r="Q491" s="194"/>
      <c r="R491" s="193" t="s">
        <v>64</v>
      </c>
      <c r="S491" s="194"/>
      <c r="T491" s="193"/>
      <c r="U491" s="194"/>
      <c r="V491" s="193" t="s">
        <v>40</v>
      </c>
      <c r="W491" s="194"/>
      <c r="X491" s="193" t="s">
        <v>40</v>
      </c>
      <c r="Y491" s="194"/>
      <c r="Z491" s="193" t="s">
        <v>64</v>
      </c>
      <c r="AA491" s="194"/>
      <c r="AB491" s="193" t="s">
        <v>40</v>
      </c>
      <c r="AC491" s="194"/>
      <c r="AD491" s="194"/>
      <c r="AE491" s="1529">
        <v>46203</v>
      </c>
      <c r="AF491" s="784" t="s">
        <v>247</v>
      </c>
      <c r="AG491" s="811">
        <v>2023</v>
      </c>
      <c r="AH491" s="789">
        <v>2664279.34</v>
      </c>
      <c r="AI491" s="798" t="s">
        <v>895</v>
      </c>
      <c r="AJ491" s="232"/>
      <c r="AK491" s="391" t="s">
        <v>43</v>
      </c>
      <c r="AL491" s="391" t="s">
        <v>41</v>
      </c>
      <c r="AM491" s="812">
        <v>0</v>
      </c>
      <c r="AN491" s="391" t="s">
        <v>40</v>
      </c>
    </row>
    <row r="492" spans="1:46 16368:16381" s="243" customFormat="1" ht="28.8" x14ac:dyDescent="0.3">
      <c r="A492" s="243" t="s">
        <v>264</v>
      </c>
      <c r="B492" s="391" t="s">
        <v>280</v>
      </c>
      <c r="C492" s="781" t="s">
        <v>896</v>
      </c>
      <c r="D492" s="786" t="s">
        <v>34</v>
      </c>
      <c r="E492" s="770" t="s">
        <v>282</v>
      </c>
      <c r="F492" s="1355" t="s">
        <v>285</v>
      </c>
      <c r="G492" s="217">
        <v>0.97950000000000004</v>
      </c>
      <c r="H492" s="789">
        <v>18697.349999999999</v>
      </c>
      <c r="I492" s="404" t="s">
        <v>267</v>
      </c>
      <c r="J492" s="789">
        <v>18697.349999999999</v>
      </c>
      <c r="K492" s="1511">
        <v>0</v>
      </c>
      <c r="L492" s="1512">
        <v>0</v>
      </c>
      <c r="M492" s="217" t="s">
        <v>200</v>
      </c>
      <c r="N492" s="217" t="s">
        <v>897</v>
      </c>
      <c r="O492" s="813" t="s">
        <v>898</v>
      </c>
      <c r="P492" s="810" t="s">
        <v>40</v>
      </c>
      <c r="Q492" s="194"/>
      <c r="R492" s="193" t="s">
        <v>64</v>
      </c>
      <c r="S492" s="194"/>
      <c r="T492" s="193"/>
      <c r="U492" s="194"/>
      <c r="V492" s="193" t="s">
        <v>40</v>
      </c>
      <c r="W492" s="194"/>
      <c r="X492" s="193" t="s">
        <v>40</v>
      </c>
      <c r="Y492" s="194"/>
      <c r="Z492" s="193" t="s">
        <v>64</v>
      </c>
      <c r="AA492" s="194"/>
      <c r="AB492" s="193" t="s">
        <v>40</v>
      </c>
      <c r="AC492" s="194"/>
      <c r="AD492" s="194"/>
      <c r="AE492" s="1529">
        <v>46203</v>
      </c>
      <c r="AF492" s="784" t="s">
        <v>247</v>
      </c>
      <c r="AG492" s="811">
        <v>2023</v>
      </c>
      <c r="AH492" s="789">
        <v>92516.357535000003</v>
      </c>
      <c r="AI492" s="798" t="s">
        <v>899</v>
      </c>
      <c r="AJ492" s="232"/>
      <c r="AK492" s="391" t="s">
        <v>43</v>
      </c>
      <c r="AL492" s="391" t="s">
        <v>41</v>
      </c>
      <c r="AM492" s="812">
        <v>0</v>
      </c>
      <c r="AN492" s="391" t="s">
        <v>40</v>
      </c>
    </row>
    <row r="493" spans="1:46 16368:16381" s="243" customFormat="1" ht="28.8" x14ac:dyDescent="0.3">
      <c r="A493" s="243" t="s">
        <v>264</v>
      </c>
      <c r="B493" s="391" t="s">
        <v>280</v>
      </c>
      <c r="C493" s="781" t="s">
        <v>900</v>
      </c>
      <c r="D493" s="786" t="s">
        <v>34</v>
      </c>
      <c r="E493" s="770" t="s">
        <v>282</v>
      </c>
      <c r="F493" s="1355" t="s">
        <v>285</v>
      </c>
      <c r="G493" s="217">
        <v>1.73</v>
      </c>
      <c r="H493" s="789">
        <v>34531.49</v>
      </c>
      <c r="I493" s="404" t="s">
        <v>267</v>
      </c>
      <c r="J493" s="789">
        <v>34531.49</v>
      </c>
      <c r="K493" s="1511">
        <v>0</v>
      </c>
      <c r="L493" s="1512">
        <v>0</v>
      </c>
      <c r="M493" s="217" t="s">
        <v>63</v>
      </c>
      <c r="N493" s="217" t="s">
        <v>901</v>
      </c>
      <c r="O493" s="813" t="s">
        <v>902</v>
      </c>
      <c r="P493" s="810" t="s">
        <v>40</v>
      </c>
      <c r="Q493" s="194"/>
      <c r="R493" s="193" t="s">
        <v>64</v>
      </c>
      <c r="S493" s="194"/>
      <c r="T493" s="193"/>
      <c r="U493" s="194"/>
      <c r="V493" s="193" t="s">
        <v>40</v>
      </c>
      <c r="W493" s="194"/>
      <c r="X493" s="193" t="s">
        <v>40</v>
      </c>
      <c r="Y493" s="194"/>
      <c r="Z493" s="193" t="s">
        <v>64</v>
      </c>
      <c r="AA493" s="194"/>
      <c r="AB493" s="193" t="s">
        <v>40</v>
      </c>
      <c r="AC493" s="194"/>
      <c r="AD493" s="194"/>
      <c r="AE493" s="1529">
        <v>46203</v>
      </c>
      <c r="AF493" s="784" t="s">
        <v>247</v>
      </c>
      <c r="AG493" s="811">
        <v>2023</v>
      </c>
      <c r="AH493" s="789">
        <v>170865.26</v>
      </c>
      <c r="AI493" s="798" t="s">
        <v>903</v>
      </c>
      <c r="AJ493" s="232"/>
      <c r="AK493" s="391" t="s">
        <v>43</v>
      </c>
      <c r="AL493" s="391" t="s">
        <v>41</v>
      </c>
      <c r="AM493" s="812">
        <v>0</v>
      </c>
      <c r="AN493" s="391" t="s">
        <v>40</v>
      </c>
    </row>
    <row r="494" spans="1:46 16368:16381" s="243" customFormat="1" ht="28.8" x14ac:dyDescent="0.3">
      <c r="A494" s="243" t="s">
        <v>264</v>
      </c>
      <c r="B494" s="391" t="s">
        <v>280</v>
      </c>
      <c r="C494" s="781" t="s">
        <v>904</v>
      </c>
      <c r="D494" s="786" t="s">
        <v>34</v>
      </c>
      <c r="E494" s="770" t="s">
        <v>282</v>
      </c>
      <c r="F494" s="1355" t="s">
        <v>285</v>
      </c>
      <c r="G494" s="217">
        <v>0.55000000000000004</v>
      </c>
      <c r="H494" s="789">
        <v>13162.48</v>
      </c>
      <c r="I494" s="404" t="s">
        <v>267</v>
      </c>
      <c r="J494" s="789">
        <v>13162.48</v>
      </c>
      <c r="K494" s="1511">
        <v>0</v>
      </c>
      <c r="L494" s="1512">
        <v>0</v>
      </c>
      <c r="M494" s="217" t="s">
        <v>534</v>
      </c>
      <c r="N494" s="217" t="s">
        <v>905</v>
      </c>
      <c r="O494" s="217" t="s">
        <v>906</v>
      </c>
      <c r="P494" s="810" t="s">
        <v>40</v>
      </c>
      <c r="Q494" s="194"/>
      <c r="R494" s="193" t="s">
        <v>64</v>
      </c>
      <c r="S494" s="194"/>
      <c r="T494" s="193"/>
      <c r="U494" s="194"/>
      <c r="V494" s="193" t="s">
        <v>40</v>
      </c>
      <c r="W494" s="194"/>
      <c r="X494" s="193" t="s">
        <v>40</v>
      </c>
      <c r="Y494" s="194"/>
      <c r="Z494" s="193" t="s">
        <v>64</v>
      </c>
      <c r="AA494" s="194"/>
      <c r="AB494" s="193" t="s">
        <v>40</v>
      </c>
      <c r="AC494" s="194"/>
      <c r="AD494" s="194"/>
      <c r="AE494" s="1529">
        <v>46203</v>
      </c>
      <c r="AF494" s="784" t="s">
        <v>247</v>
      </c>
      <c r="AG494" s="811">
        <v>2023</v>
      </c>
      <c r="AH494" s="789">
        <v>65129.267288000003</v>
      </c>
      <c r="AI494" s="798" t="s">
        <v>907</v>
      </c>
      <c r="AJ494" s="232"/>
      <c r="AK494" s="391" t="s">
        <v>43</v>
      </c>
      <c r="AL494" s="391" t="s">
        <v>41</v>
      </c>
      <c r="AM494" s="812">
        <v>0</v>
      </c>
      <c r="AN494" s="391" t="s">
        <v>40</v>
      </c>
    </row>
    <row r="495" spans="1:46 16368:16381" s="243" customFormat="1" ht="28.8" x14ac:dyDescent="0.3">
      <c r="A495" s="243" t="s">
        <v>264</v>
      </c>
      <c r="B495" s="391" t="s">
        <v>280</v>
      </c>
      <c r="C495" s="781" t="s">
        <v>908</v>
      </c>
      <c r="D495" s="786" t="s">
        <v>34</v>
      </c>
      <c r="E495" s="770" t="s">
        <v>282</v>
      </c>
      <c r="F495" s="1355" t="s">
        <v>285</v>
      </c>
      <c r="G495" s="217">
        <v>23.508500000000002</v>
      </c>
      <c r="H495" s="789">
        <v>307213</v>
      </c>
      <c r="I495" s="404" t="s">
        <v>267</v>
      </c>
      <c r="J495" s="789">
        <v>307213</v>
      </c>
      <c r="K495" s="1511">
        <v>0</v>
      </c>
      <c r="L495" s="1512">
        <v>0</v>
      </c>
      <c r="M495" s="217" t="s">
        <v>67</v>
      </c>
      <c r="N495" s="217" t="s">
        <v>909</v>
      </c>
      <c r="O495" s="217" t="s">
        <v>910</v>
      </c>
      <c r="P495" s="810" t="s">
        <v>40</v>
      </c>
      <c r="Q495" s="194"/>
      <c r="R495" s="193" t="s">
        <v>64</v>
      </c>
      <c r="S495" s="194"/>
      <c r="T495" s="193"/>
      <c r="U495" s="194"/>
      <c r="V495" s="193" t="s">
        <v>40</v>
      </c>
      <c r="W495" s="194"/>
      <c r="X495" s="193" t="s">
        <v>40</v>
      </c>
      <c r="Y495" s="194"/>
      <c r="Z495" s="193" t="s">
        <v>64</v>
      </c>
      <c r="AA495" s="194"/>
      <c r="AB495" s="193" t="s">
        <v>40</v>
      </c>
      <c r="AC495" s="194"/>
      <c r="AD495" s="194"/>
      <c r="AE495" s="1529">
        <v>46203</v>
      </c>
      <c r="AF495" s="784" t="s">
        <v>247</v>
      </c>
      <c r="AG495" s="811">
        <v>2023</v>
      </c>
      <c r="AH495" s="789">
        <v>1520120.6453</v>
      </c>
      <c r="AI495" s="798" t="s">
        <v>911</v>
      </c>
      <c r="AJ495" s="232"/>
      <c r="AK495" s="391" t="s">
        <v>43</v>
      </c>
      <c r="AL495" s="391" t="s">
        <v>41</v>
      </c>
      <c r="AM495" s="812">
        <v>0</v>
      </c>
      <c r="AN495" s="391" t="s">
        <v>40</v>
      </c>
    </row>
    <row r="496" spans="1:46 16368:16381" s="1502" customFormat="1" ht="28.8" x14ac:dyDescent="0.3">
      <c r="A496" s="1502" t="s">
        <v>264</v>
      </c>
      <c r="B496" s="1503" t="s">
        <v>280</v>
      </c>
      <c r="C496" s="1504" t="s">
        <v>3740</v>
      </c>
      <c r="D496" s="1505" t="s">
        <v>34</v>
      </c>
      <c r="E496" s="1506" t="s">
        <v>282</v>
      </c>
      <c r="F496" s="1507" t="s">
        <v>285</v>
      </c>
      <c r="G496" s="1508">
        <v>50.83</v>
      </c>
      <c r="H496" s="1509">
        <v>725764.29</v>
      </c>
      <c r="I496" s="1510" t="s">
        <v>267</v>
      </c>
      <c r="J496" s="1509">
        <v>725764.29</v>
      </c>
      <c r="K496" s="1511">
        <v>0</v>
      </c>
      <c r="L496" s="1512">
        <v>0</v>
      </c>
      <c r="M496" s="1508" t="s">
        <v>133</v>
      </c>
      <c r="N496" s="1508" t="s">
        <v>3741</v>
      </c>
      <c r="O496" s="1508" t="s">
        <v>3742</v>
      </c>
      <c r="P496" s="1509" t="s">
        <v>40</v>
      </c>
      <c r="Q496" s="1513"/>
      <c r="R496" s="1514" t="s">
        <v>64</v>
      </c>
      <c r="S496" s="1503"/>
      <c r="T496" s="1503"/>
      <c r="U496" s="1515"/>
      <c r="V496" s="1503" t="s">
        <v>40</v>
      </c>
      <c r="X496" s="1502" t="s">
        <v>40</v>
      </c>
      <c r="Z496" s="1502" t="s">
        <v>64</v>
      </c>
      <c r="AB496" s="1502" t="s">
        <v>40</v>
      </c>
      <c r="AE496" s="1531">
        <v>46203</v>
      </c>
      <c r="AF496" s="1502" t="s">
        <v>247</v>
      </c>
      <c r="AG496" s="1502">
        <v>2023</v>
      </c>
      <c r="AH496" s="1509">
        <v>3591154.27</v>
      </c>
      <c r="AI496" s="1502" t="s">
        <v>3743</v>
      </c>
      <c r="AK496" s="1502" t="s">
        <v>43</v>
      </c>
      <c r="AL496" s="1502" t="s">
        <v>41</v>
      </c>
      <c r="AM496" s="1515">
        <v>0</v>
      </c>
      <c r="AN496" s="1502" t="s">
        <v>40</v>
      </c>
      <c r="XEN496" s="1503"/>
      <c r="XEO496" s="1504"/>
      <c r="XEP496" s="1505"/>
      <c r="XEQ496" s="1506"/>
      <c r="XER496" s="1507"/>
      <c r="XES496" s="1508"/>
      <c r="XET496" s="1509"/>
      <c r="XEU496" s="1510"/>
      <c r="XEV496" s="1509"/>
      <c r="XEW496" s="1511"/>
      <c r="XEX496" s="1512"/>
      <c r="XEY496" s="1508"/>
      <c r="XEZ496" s="1508"/>
      <c r="XFA496" s="1508"/>
    </row>
    <row r="497" spans="1:40 16098:16381" s="1502" customFormat="1" ht="28.8" x14ac:dyDescent="0.3">
      <c r="A497" s="1502" t="s">
        <v>264</v>
      </c>
      <c r="B497" s="1503" t="s">
        <v>280</v>
      </c>
      <c r="C497" s="1504" t="s">
        <v>3793</v>
      </c>
      <c r="D497" s="1505" t="s">
        <v>34</v>
      </c>
      <c r="E497" s="1506" t="s">
        <v>282</v>
      </c>
      <c r="F497" s="1507" t="s">
        <v>285</v>
      </c>
      <c r="G497" s="1508">
        <v>4.8920000000000003</v>
      </c>
      <c r="H497" s="1509">
        <v>99382.98</v>
      </c>
      <c r="I497" s="1510" t="s">
        <v>267</v>
      </c>
      <c r="J497" s="1509">
        <v>99382.98</v>
      </c>
      <c r="K497" s="1511">
        <v>0</v>
      </c>
      <c r="L497" s="1512">
        <v>0</v>
      </c>
      <c r="M497" s="1508" t="s">
        <v>303</v>
      </c>
      <c r="N497" s="1508" t="s">
        <v>653</v>
      </c>
      <c r="O497" s="1508" t="s">
        <v>3756</v>
      </c>
      <c r="P497" s="1509" t="s">
        <v>40</v>
      </c>
      <c r="R497" s="1502" t="s">
        <v>64</v>
      </c>
      <c r="U497" s="1515"/>
      <c r="V497" s="1502" t="s">
        <v>40</v>
      </c>
      <c r="X497" s="1502" t="s">
        <v>40</v>
      </c>
      <c r="Z497" s="1502" t="s">
        <v>64</v>
      </c>
      <c r="AB497" s="1502" t="s">
        <v>40</v>
      </c>
      <c r="AE497" s="1531">
        <v>46203</v>
      </c>
      <c r="AF497" s="1502" t="s">
        <v>247</v>
      </c>
      <c r="AG497" s="1502">
        <v>2023</v>
      </c>
      <c r="AH497" s="1509">
        <v>491756.9</v>
      </c>
      <c r="AI497" s="1502" t="s">
        <v>3775</v>
      </c>
      <c r="AK497" s="1502" t="s">
        <v>43</v>
      </c>
      <c r="AL497" s="1502" t="s">
        <v>41</v>
      </c>
      <c r="AM497" s="1502">
        <v>0</v>
      </c>
      <c r="AN497" s="1502" t="s">
        <v>40</v>
      </c>
      <c r="XDV497" s="1503"/>
      <c r="XDW497" s="1504"/>
      <c r="XDX497" s="1505"/>
      <c r="XDY497" s="1506"/>
      <c r="XDZ497" s="1507"/>
      <c r="XEA497" s="1508"/>
      <c r="XEB497" s="1509"/>
      <c r="XEC497" s="1510"/>
      <c r="XED497" s="1509"/>
      <c r="XEE497" s="1511"/>
      <c r="XEF497" s="1512"/>
      <c r="XEG497" s="1508"/>
      <c r="XEH497" s="1508"/>
      <c r="XEI497" s="1508"/>
      <c r="XEN497" s="1503"/>
      <c r="XEO497" s="1504"/>
      <c r="XEP497" s="1505"/>
      <c r="XEQ497" s="1506"/>
      <c r="XER497" s="1507"/>
      <c r="XES497" s="1508"/>
      <c r="XET497" s="1509"/>
      <c r="XEU497" s="1510"/>
      <c r="XEV497" s="1509"/>
      <c r="XEW497" s="1511"/>
      <c r="XEX497" s="1512"/>
      <c r="XEY497" s="1508"/>
      <c r="XEZ497" s="1508"/>
      <c r="XFA497" s="1508"/>
    </row>
    <row r="498" spans="1:40 16098:16381" s="1502" customFormat="1" ht="28.8" x14ac:dyDescent="0.3">
      <c r="A498" s="1502" t="s">
        <v>264</v>
      </c>
      <c r="B498" s="1503" t="s">
        <v>280</v>
      </c>
      <c r="C498" s="1504" t="s">
        <v>3794</v>
      </c>
      <c r="D498" s="1505" t="s">
        <v>34</v>
      </c>
      <c r="E498" s="1506" t="s">
        <v>282</v>
      </c>
      <c r="F498" s="1507" t="s">
        <v>285</v>
      </c>
      <c r="G498" s="1508">
        <v>5.0999999999999996</v>
      </c>
      <c r="H498" s="1509">
        <v>90167.86</v>
      </c>
      <c r="I498" s="1510" t="s">
        <v>267</v>
      </c>
      <c r="J498" s="1509">
        <v>90167.86</v>
      </c>
      <c r="K498" s="1511">
        <v>0</v>
      </c>
      <c r="L498" s="1512">
        <v>0</v>
      </c>
      <c r="M498" s="1508" t="s">
        <v>73</v>
      </c>
      <c r="N498" s="1508" t="s">
        <v>3744</v>
      </c>
      <c r="O498" s="1508" t="s">
        <v>3757</v>
      </c>
      <c r="P498" s="1509" t="s">
        <v>40</v>
      </c>
      <c r="R498" s="1502" t="s">
        <v>64</v>
      </c>
      <c r="U498" s="1515"/>
      <c r="V498" s="1502" t="s">
        <v>40</v>
      </c>
      <c r="X498" s="1502" t="s">
        <v>40</v>
      </c>
      <c r="Z498" s="1502" t="s">
        <v>64</v>
      </c>
      <c r="AB498" s="1502" t="s">
        <v>40</v>
      </c>
      <c r="AE498" s="1531">
        <v>46203</v>
      </c>
      <c r="AF498" s="1502" t="s">
        <v>247</v>
      </c>
      <c r="AG498" s="1502">
        <v>2023</v>
      </c>
      <c r="AH498" s="1509">
        <v>446159.57</v>
      </c>
      <c r="AI498" s="1502" t="s">
        <v>3776</v>
      </c>
      <c r="AK498" s="1502" t="s">
        <v>43</v>
      </c>
      <c r="AL498" s="1502" t="s">
        <v>41</v>
      </c>
      <c r="AM498" s="1502">
        <v>0</v>
      </c>
      <c r="AN498" s="1502" t="s">
        <v>40</v>
      </c>
      <c r="XDV498" s="1503"/>
      <c r="XDW498" s="1504"/>
      <c r="XDX498" s="1505"/>
      <c r="XDY498" s="1506"/>
      <c r="XDZ498" s="1507"/>
      <c r="XEA498" s="1508"/>
      <c r="XEB498" s="1509"/>
      <c r="XEC498" s="1510"/>
      <c r="XED498" s="1509"/>
      <c r="XEE498" s="1511"/>
      <c r="XEF498" s="1512"/>
      <c r="XEG498" s="1508"/>
      <c r="XEH498" s="1508"/>
      <c r="XEI498" s="1508"/>
      <c r="XEN498" s="1503"/>
      <c r="XEO498" s="1504"/>
      <c r="XEP498" s="1505"/>
      <c r="XEQ498" s="1506"/>
      <c r="XER498" s="1507"/>
      <c r="XES498" s="1508"/>
      <c r="XET498" s="1509"/>
      <c r="XEU498" s="1510"/>
      <c r="XEV498" s="1509"/>
      <c r="XEW498" s="1511"/>
      <c r="XEX498" s="1512"/>
      <c r="XEY498" s="1508"/>
      <c r="XEZ498" s="1508"/>
      <c r="XFA498" s="1508"/>
    </row>
    <row r="499" spans="1:40 16098:16381" s="1502" customFormat="1" ht="28.8" x14ac:dyDescent="0.3">
      <c r="A499" s="1502" t="s">
        <v>264</v>
      </c>
      <c r="B499" s="1503" t="s">
        <v>280</v>
      </c>
      <c r="C499" s="1504" t="s">
        <v>3795</v>
      </c>
      <c r="D499" s="1505" t="s">
        <v>34</v>
      </c>
      <c r="E499" s="1506" t="s">
        <v>282</v>
      </c>
      <c r="F499" s="1507" t="s">
        <v>285</v>
      </c>
      <c r="G499" s="1508">
        <v>0.95840000000000003</v>
      </c>
      <c r="H499" s="1509">
        <v>19823.86</v>
      </c>
      <c r="I499" s="1510" t="s">
        <v>267</v>
      </c>
      <c r="J499" s="1509">
        <v>19823.86</v>
      </c>
      <c r="K499" s="1511">
        <v>0</v>
      </c>
      <c r="L499" s="1512">
        <v>0</v>
      </c>
      <c r="M499" s="1508" t="s">
        <v>183</v>
      </c>
      <c r="N499" s="1508" t="s">
        <v>3745</v>
      </c>
      <c r="O499" s="1508" t="s">
        <v>3758</v>
      </c>
      <c r="P499" s="1502" t="s">
        <v>40</v>
      </c>
      <c r="R499" s="1502" t="s">
        <v>64</v>
      </c>
      <c r="V499" s="1502" t="s">
        <v>40</v>
      </c>
      <c r="X499" s="1502" t="s">
        <v>40</v>
      </c>
      <c r="Z499" s="1502" t="s">
        <v>64</v>
      </c>
      <c r="AB499" s="1502" t="s">
        <v>40</v>
      </c>
      <c r="AE499" s="1531">
        <v>46203</v>
      </c>
      <c r="AF499" s="1502" t="s">
        <v>247</v>
      </c>
      <c r="AG499" s="1502">
        <v>2023</v>
      </c>
      <c r="AH499" s="1509">
        <v>98090.42</v>
      </c>
      <c r="AI499" s="1502" t="s">
        <v>3777</v>
      </c>
      <c r="AK499" s="1502" t="s">
        <v>43</v>
      </c>
      <c r="AL499" s="1502" t="s">
        <v>41</v>
      </c>
      <c r="AM499" s="1502">
        <v>0</v>
      </c>
      <c r="AN499" s="1502" t="s">
        <v>40</v>
      </c>
      <c r="XDD499" s="1503"/>
      <c r="XDE499" s="1504"/>
      <c r="XDF499" s="1505"/>
      <c r="XDG499" s="1506"/>
      <c r="XDH499" s="1507"/>
      <c r="XDI499" s="1508"/>
      <c r="XDJ499" s="1509"/>
      <c r="XDK499" s="1510"/>
      <c r="XDL499" s="1509"/>
      <c r="XDM499" s="1511"/>
      <c r="XDN499" s="1512"/>
      <c r="XDO499" s="1508"/>
      <c r="XDP499" s="1508"/>
      <c r="XDQ499" s="1508"/>
      <c r="XDV499" s="1503"/>
      <c r="XDW499" s="1504"/>
      <c r="XDX499" s="1505"/>
      <c r="XDY499" s="1506"/>
      <c r="XDZ499" s="1507"/>
      <c r="XEA499" s="1508"/>
      <c r="XEB499" s="1509"/>
      <c r="XEC499" s="1510"/>
      <c r="XED499" s="1509"/>
      <c r="XEE499" s="1511"/>
      <c r="XEF499" s="1512"/>
      <c r="XEG499" s="1508"/>
      <c r="XEH499" s="1508"/>
      <c r="XEI499" s="1508"/>
      <c r="XEN499" s="1503"/>
      <c r="XEO499" s="1504"/>
      <c r="XEP499" s="1505"/>
      <c r="XEQ499" s="1506"/>
      <c r="XER499" s="1507"/>
      <c r="XES499" s="1508"/>
      <c r="XET499" s="1509"/>
      <c r="XEU499" s="1510"/>
      <c r="XEV499" s="1509"/>
      <c r="XEW499" s="1511"/>
      <c r="XEX499" s="1512"/>
      <c r="XEY499" s="1508"/>
      <c r="XEZ499" s="1508"/>
      <c r="XFA499" s="1508"/>
    </row>
    <row r="500" spans="1:40 16098:16381" s="1502" customFormat="1" ht="28.8" x14ac:dyDescent="0.3">
      <c r="A500" s="1502" t="s">
        <v>264</v>
      </c>
      <c r="B500" s="1503" t="s">
        <v>280</v>
      </c>
      <c r="C500" s="1504" t="s">
        <v>3796</v>
      </c>
      <c r="D500" s="1505" t="s">
        <v>34</v>
      </c>
      <c r="E500" s="1506" t="s">
        <v>282</v>
      </c>
      <c r="F500" s="1507" t="s">
        <v>285</v>
      </c>
      <c r="G500" s="1508">
        <v>3</v>
      </c>
      <c r="H500" s="1509">
        <v>66721.759999999995</v>
      </c>
      <c r="I500" s="1510" t="s">
        <v>267</v>
      </c>
      <c r="J500" s="1509">
        <v>66721.759999999995</v>
      </c>
      <c r="K500" s="1511">
        <v>0</v>
      </c>
      <c r="L500" s="1512">
        <v>0</v>
      </c>
      <c r="M500" s="1508" t="s">
        <v>412</v>
      </c>
      <c r="N500" s="1508" t="s">
        <v>561</v>
      </c>
      <c r="O500" s="1508" t="s">
        <v>3759</v>
      </c>
      <c r="P500" s="1502" t="s">
        <v>40</v>
      </c>
      <c r="R500" s="1502" t="s">
        <v>64</v>
      </c>
      <c r="V500" s="1502" t="s">
        <v>40</v>
      </c>
      <c r="X500" s="1502" t="s">
        <v>40</v>
      </c>
      <c r="Z500" s="1502" t="s">
        <v>64</v>
      </c>
      <c r="AB500" s="1502" t="s">
        <v>40</v>
      </c>
      <c r="AE500" s="1531">
        <v>46203</v>
      </c>
      <c r="AF500" s="1502" t="s">
        <v>247</v>
      </c>
      <c r="AG500" s="1502">
        <v>2023</v>
      </c>
      <c r="AH500" s="1509">
        <v>330145.94065599999</v>
      </c>
      <c r="AI500" s="1502" t="s">
        <v>563</v>
      </c>
      <c r="AK500" s="1502" t="s">
        <v>43</v>
      </c>
      <c r="AL500" s="1502" t="s">
        <v>41</v>
      </c>
      <c r="AM500" s="1502">
        <v>0</v>
      </c>
      <c r="AN500" s="1502" t="s">
        <v>40</v>
      </c>
      <c r="XCL500" s="1503"/>
      <c r="XCM500" s="1504"/>
      <c r="XCN500" s="1505"/>
      <c r="XCO500" s="1506"/>
      <c r="XCP500" s="1507"/>
      <c r="XCQ500" s="1508"/>
      <c r="XCR500" s="1509"/>
      <c r="XCS500" s="1510"/>
      <c r="XCT500" s="1509"/>
      <c r="XCU500" s="1511"/>
      <c r="XCV500" s="1512"/>
      <c r="XCW500" s="1508"/>
      <c r="XCX500" s="1508"/>
      <c r="XCY500" s="1508"/>
      <c r="XDD500" s="1503"/>
      <c r="XDE500" s="1504"/>
      <c r="XDF500" s="1505"/>
      <c r="XDG500" s="1506"/>
      <c r="XDH500" s="1507"/>
      <c r="XDI500" s="1508"/>
      <c r="XDJ500" s="1509"/>
      <c r="XDK500" s="1510"/>
      <c r="XDL500" s="1509"/>
      <c r="XDM500" s="1511"/>
      <c r="XDN500" s="1512"/>
      <c r="XDO500" s="1508"/>
      <c r="XDP500" s="1508"/>
      <c r="XDQ500" s="1508"/>
      <c r="XDV500" s="1503"/>
      <c r="XDW500" s="1504"/>
      <c r="XDX500" s="1505"/>
      <c r="XDY500" s="1506"/>
      <c r="XDZ500" s="1507"/>
      <c r="XEA500" s="1508"/>
      <c r="XEB500" s="1509"/>
      <c r="XEC500" s="1510"/>
      <c r="XED500" s="1509"/>
      <c r="XEE500" s="1511"/>
      <c r="XEF500" s="1512"/>
      <c r="XEG500" s="1508"/>
      <c r="XEH500" s="1508"/>
      <c r="XEI500" s="1508"/>
      <c r="XEN500" s="1503"/>
      <c r="XEO500" s="1504"/>
      <c r="XEP500" s="1505"/>
      <c r="XEQ500" s="1506"/>
      <c r="XER500" s="1507"/>
      <c r="XES500" s="1508"/>
      <c r="XET500" s="1509"/>
      <c r="XEU500" s="1510"/>
      <c r="XEV500" s="1509"/>
      <c r="XEW500" s="1511"/>
      <c r="XEX500" s="1512"/>
      <c r="XEY500" s="1508"/>
      <c r="XEZ500" s="1508"/>
      <c r="XFA500" s="1508"/>
    </row>
    <row r="501" spans="1:40 16098:16381" s="1502" customFormat="1" ht="28.8" x14ac:dyDescent="0.3">
      <c r="A501" s="1502" t="s">
        <v>264</v>
      </c>
      <c r="B501" s="1503" t="s">
        <v>280</v>
      </c>
      <c r="C501" s="1504" t="s">
        <v>3797</v>
      </c>
      <c r="D501" s="1505" t="s">
        <v>34</v>
      </c>
      <c r="E501" s="1506" t="s">
        <v>282</v>
      </c>
      <c r="F501" s="1507" t="s">
        <v>285</v>
      </c>
      <c r="G501" s="1508">
        <v>30.2028</v>
      </c>
      <c r="H501" s="1509">
        <v>491625.18</v>
      </c>
      <c r="I501" s="1510" t="s">
        <v>267</v>
      </c>
      <c r="J501" s="1509">
        <v>491625.18</v>
      </c>
      <c r="K501" s="1511">
        <v>0</v>
      </c>
      <c r="L501" s="1512">
        <v>0</v>
      </c>
      <c r="M501" s="1508" t="s">
        <v>49</v>
      </c>
      <c r="N501" s="1508" t="s">
        <v>3746</v>
      </c>
      <c r="O501" s="1508" t="s">
        <v>3760</v>
      </c>
      <c r="P501" s="1502" t="s">
        <v>40</v>
      </c>
      <c r="R501" s="1502" t="s">
        <v>64</v>
      </c>
      <c r="V501" s="1502" t="s">
        <v>40</v>
      </c>
      <c r="X501" s="1502" t="s">
        <v>40</v>
      </c>
      <c r="Z501" s="1502" t="s">
        <v>64</v>
      </c>
      <c r="AB501" s="1502" t="s">
        <v>40</v>
      </c>
      <c r="AE501" s="1531">
        <v>46203</v>
      </c>
      <c r="AF501" s="1502" t="s">
        <v>247</v>
      </c>
      <c r="AG501" s="1502">
        <v>2023</v>
      </c>
      <c r="AH501" s="1509">
        <v>2432610.5299999998</v>
      </c>
      <c r="AI501" s="1502" t="s">
        <v>3778</v>
      </c>
      <c r="AK501" s="1502" t="s">
        <v>43</v>
      </c>
      <c r="AL501" s="1502" t="s">
        <v>41</v>
      </c>
      <c r="AM501" s="1502">
        <v>0</v>
      </c>
      <c r="AN501" s="1502" t="s">
        <v>40</v>
      </c>
      <c r="XBT501" s="1503"/>
      <c r="XBU501" s="1504"/>
      <c r="XBV501" s="1505"/>
      <c r="XBW501" s="1506"/>
      <c r="XBX501" s="1507"/>
      <c r="XBY501" s="1508"/>
      <c r="XBZ501" s="1509"/>
      <c r="XCA501" s="1510"/>
      <c r="XCB501" s="1509"/>
      <c r="XCC501" s="1511"/>
      <c r="XCD501" s="1512"/>
      <c r="XCE501" s="1508"/>
      <c r="XCF501" s="1508"/>
      <c r="XCG501" s="1508"/>
      <c r="XCL501" s="1503"/>
      <c r="XCM501" s="1504"/>
      <c r="XCN501" s="1505"/>
      <c r="XCO501" s="1506"/>
      <c r="XCP501" s="1507"/>
      <c r="XCQ501" s="1508"/>
      <c r="XCR501" s="1509"/>
      <c r="XCS501" s="1510"/>
      <c r="XCT501" s="1509"/>
      <c r="XCU501" s="1511"/>
      <c r="XCV501" s="1512"/>
      <c r="XCW501" s="1508"/>
      <c r="XCX501" s="1508"/>
      <c r="XCY501" s="1508"/>
      <c r="XDD501" s="1503"/>
      <c r="XDE501" s="1504"/>
      <c r="XDF501" s="1505"/>
      <c r="XDG501" s="1506"/>
      <c r="XDH501" s="1507"/>
      <c r="XDI501" s="1508"/>
      <c r="XDJ501" s="1509"/>
      <c r="XDK501" s="1510"/>
      <c r="XDL501" s="1509"/>
      <c r="XDM501" s="1511"/>
      <c r="XDN501" s="1512"/>
      <c r="XDO501" s="1508"/>
      <c r="XDP501" s="1508"/>
      <c r="XDQ501" s="1508"/>
      <c r="XDV501" s="1503"/>
      <c r="XDW501" s="1504"/>
      <c r="XDX501" s="1505"/>
      <c r="XDY501" s="1506"/>
      <c r="XDZ501" s="1507"/>
      <c r="XEA501" s="1508"/>
      <c r="XEB501" s="1509"/>
      <c r="XEC501" s="1510"/>
      <c r="XED501" s="1509"/>
      <c r="XEE501" s="1511"/>
      <c r="XEF501" s="1512"/>
      <c r="XEG501" s="1508"/>
      <c r="XEH501" s="1508"/>
      <c r="XEI501" s="1508"/>
      <c r="XEN501" s="1503"/>
      <c r="XEO501" s="1504"/>
      <c r="XEP501" s="1505"/>
      <c r="XEQ501" s="1506"/>
      <c r="XER501" s="1507"/>
      <c r="XES501" s="1508"/>
      <c r="XET501" s="1509"/>
      <c r="XEU501" s="1510"/>
      <c r="XEV501" s="1509"/>
      <c r="XEW501" s="1511"/>
      <c r="XEX501" s="1512"/>
      <c r="XEY501" s="1508"/>
      <c r="XEZ501" s="1508"/>
      <c r="XFA501" s="1508"/>
    </row>
    <row r="502" spans="1:40 16098:16381" s="1502" customFormat="1" ht="28.8" x14ac:dyDescent="0.3">
      <c r="A502" s="1502" t="s">
        <v>264</v>
      </c>
      <c r="B502" s="1503" t="s">
        <v>280</v>
      </c>
      <c r="C502" s="1504" t="s">
        <v>3798</v>
      </c>
      <c r="D502" s="1505" t="s">
        <v>34</v>
      </c>
      <c r="E502" s="1506" t="s">
        <v>282</v>
      </c>
      <c r="F502" s="1507" t="s">
        <v>285</v>
      </c>
      <c r="G502" s="1508">
        <v>6.24</v>
      </c>
      <c r="H502" s="1509">
        <v>100855.6</v>
      </c>
      <c r="I502" s="1510" t="s">
        <v>267</v>
      </c>
      <c r="J502" s="1509">
        <v>100855.6</v>
      </c>
      <c r="K502" s="1511">
        <v>0</v>
      </c>
      <c r="L502" s="1512">
        <v>0</v>
      </c>
      <c r="M502" s="1508" t="s">
        <v>49</v>
      </c>
      <c r="N502" s="1508" t="s">
        <v>762</v>
      </c>
      <c r="O502" s="1508" t="s">
        <v>3761</v>
      </c>
      <c r="P502" s="1502" t="s">
        <v>40</v>
      </c>
      <c r="R502" s="1502" t="s">
        <v>64</v>
      </c>
      <c r="V502" s="1502" t="s">
        <v>40</v>
      </c>
      <c r="X502" s="1502" t="s">
        <v>40</v>
      </c>
      <c r="Z502" s="1502" t="s">
        <v>64</v>
      </c>
      <c r="AB502" s="1502" t="s">
        <v>40</v>
      </c>
      <c r="AE502" s="1531">
        <v>46203</v>
      </c>
      <c r="AF502" s="1502" t="s">
        <v>247</v>
      </c>
      <c r="AG502" s="1502">
        <v>2023</v>
      </c>
      <c r="AH502" s="1509">
        <v>499043.59436000005</v>
      </c>
      <c r="AI502" s="1502" t="s">
        <v>3779</v>
      </c>
      <c r="AK502" s="1502" t="s">
        <v>43</v>
      </c>
      <c r="AL502" s="1502" t="s">
        <v>41</v>
      </c>
      <c r="AM502" s="1502">
        <v>0</v>
      </c>
      <c r="AN502" s="1502" t="s">
        <v>40</v>
      </c>
      <c r="XBB502" s="1503"/>
      <c r="XBC502" s="1504"/>
      <c r="XBD502" s="1505"/>
      <c r="XBE502" s="1506"/>
      <c r="XBF502" s="1507"/>
      <c r="XBG502" s="1508"/>
      <c r="XBH502" s="1509"/>
      <c r="XBI502" s="1510"/>
      <c r="XBJ502" s="1509"/>
      <c r="XBK502" s="1511"/>
      <c r="XBL502" s="1512"/>
      <c r="XBM502" s="1508"/>
      <c r="XBN502" s="1508"/>
      <c r="XBO502" s="1508"/>
      <c r="XBT502" s="1503"/>
      <c r="XBU502" s="1504"/>
      <c r="XBV502" s="1505"/>
      <c r="XBW502" s="1506"/>
      <c r="XBX502" s="1507"/>
      <c r="XBY502" s="1508"/>
      <c r="XBZ502" s="1509"/>
      <c r="XCA502" s="1510"/>
      <c r="XCB502" s="1509"/>
      <c r="XCC502" s="1511"/>
      <c r="XCD502" s="1512"/>
      <c r="XCE502" s="1508"/>
      <c r="XCF502" s="1508"/>
      <c r="XCG502" s="1508"/>
      <c r="XCL502" s="1503"/>
      <c r="XCM502" s="1504"/>
      <c r="XCN502" s="1505"/>
      <c r="XCO502" s="1506"/>
      <c r="XCP502" s="1507"/>
      <c r="XCQ502" s="1508"/>
      <c r="XCR502" s="1509"/>
      <c r="XCS502" s="1510"/>
      <c r="XCT502" s="1509"/>
      <c r="XCU502" s="1511"/>
      <c r="XCV502" s="1512"/>
      <c r="XCW502" s="1508"/>
      <c r="XCX502" s="1508"/>
      <c r="XCY502" s="1508"/>
      <c r="XDD502" s="1503"/>
      <c r="XDE502" s="1504"/>
      <c r="XDF502" s="1505"/>
      <c r="XDG502" s="1506"/>
      <c r="XDH502" s="1507"/>
      <c r="XDI502" s="1508"/>
      <c r="XDJ502" s="1509"/>
      <c r="XDK502" s="1510"/>
      <c r="XDL502" s="1509"/>
      <c r="XDM502" s="1511"/>
      <c r="XDN502" s="1512"/>
      <c r="XDO502" s="1508"/>
      <c r="XDP502" s="1508"/>
      <c r="XDQ502" s="1508"/>
      <c r="XDV502" s="1503"/>
      <c r="XDW502" s="1504"/>
      <c r="XDX502" s="1505"/>
      <c r="XDY502" s="1506"/>
      <c r="XDZ502" s="1507"/>
      <c r="XEA502" s="1508"/>
      <c r="XEB502" s="1509"/>
      <c r="XEC502" s="1510"/>
      <c r="XED502" s="1509"/>
      <c r="XEE502" s="1511"/>
      <c r="XEF502" s="1512"/>
      <c r="XEG502" s="1508"/>
      <c r="XEH502" s="1508"/>
      <c r="XEI502" s="1508"/>
      <c r="XEN502" s="1503"/>
      <c r="XEO502" s="1504"/>
      <c r="XEP502" s="1505"/>
      <c r="XEQ502" s="1506"/>
      <c r="XER502" s="1507"/>
      <c r="XES502" s="1508"/>
      <c r="XET502" s="1509"/>
      <c r="XEU502" s="1510"/>
      <c r="XEV502" s="1509"/>
      <c r="XEW502" s="1511"/>
      <c r="XEX502" s="1512"/>
      <c r="XEY502" s="1508"/>
      <c r="XEZ502" s="1508"/>
      <c r="XFA502" s="1508"/>
    </row>
    <row r="503" spans="1:40 16098:16381" s="1502" customFormat="1" ht="28.8" x14ac:dyDescent="0.3">
      <c r="A503" s="1502" t="s">
        <v>264</v>
      </c>
      <c r="B503" s="1503" t="s">
        <v>280</v>
      </c>
      <c r="C503" s="1504" t="s">
        <v>3799</v>
      </c>
      <c r="D503" s="1505" t="s">
        <v>34</v>
      </c>
      <c r="E503" s="1506" t="s">
        <v>282</v>
      </c>
      <c r="F503" s="1507" t="s">
        <v>285</v>
      </c>
      <c r="G503" s="1508">
        <v>17</v>
      </c>
      <c r="H503" s="1509">
        <v>197767.92</v>
      </c>
      <c r="I503" s="1510" t="s">
        <v>267</v>
      </c>
      <c r="J503" s="1509">
        <v>197767.92</v>
      </c>
      <c r="K503" s="1511">
        <v>0</v>
      </c>
      <c r="L503" s="1512">
        <v>0</v>
      </c>
      <c r="M503" s="1508" t="s">
        <v>1806</v>
      </c>
      <c r="N503" s="1508" t="s">
        <v>3747</v>
      </c>
      <c r="O503" s="1508" t="s">
        <v>378</v>
      </c>
      <c r="P503" s="1502" t="s">
        <v>40</v>
      </c>
      <c r="R503" s="1502" t="s">
        <v>64</v>
      </c>
      <c r="V503" s="1502" t="s">
        <v>40</v>
      </c>
      <c r="X503" s="1502" t="s">
        <v>40</v>
      </c>
      <c r="Z503" s="1502" t="s">
        <v>64</v>
      </c>
      <c r="AB503" s="1502" t="s">
        <v>40</v>
      </c>
      <c r="AE503" s="1531">
        <v>46203</v>
      </c>
      <c r="AF503" s="1502" t="s">
        <v>247</v>
      </c>
      <c r="AG503" s="1502">
        <v>2023</v>
      </c>
      <c r="AH503" s="1509">
        <v>978575.44495200005</v>
      </c>
      <c r="AI503" s="1502" t="s">
        <v>3780</v>
      </c>
      <c r="AK503" s="1502" t="s">
        <v>43</v>
      </c>
      <c r="AL503" s="1502" t="s">
        <v>41</v>
      </c>
      <c r="AM503" s="1502">
        <v>0</v>
      </c>
      <c r="AN503" s="1502" t="s">
        <v>40</v>
      </c>
      <c r="XAJ503" s="1503"/>
      <c r="XAK503" s="1504"/>
      <c r="XAL503" s="1505"/>
      <c r="XAM503" s="1506"/>
      <c r="XAN503" s="1507"/>
      <c r="XAO503" s="1508"/>
      <c r="XAP503" s="1509"/>
      <c r="XAQ503" s="1510"/>
      <c r="XAR503" s="1509"/>
      <c r="XAS503" s="1511"/>
      <c r="XAT503" s="1512"/>
      <c r="XAU503" s="1508"/>
      <c r="XAV503" s="1508"/>
      <c r="XAW503" s="1508"/>
      <c r="XBB503" s="1503"/>
      <c r="XBC503" s="1504"/>
      <c r="XBD503" s="1505"/>
      <c r="XBE503" s="1506"/>
      <c r="XBF503" s="1507"/>
      <c r="XBG503" s="1508"/>
      <c r="XBH503" s="1509"/>
      <c r="XBI503" s="1510"/>
      <c r="XBJ503" s="1509"/>
      <c r="XBK503" s="1511"/>
      <c r="XBL503" s="1512"/>
      <c r="XBM503" s="1508"/>
      <c r="XBN503" s="1508"/>
      <c r="XBO503" s="1508"/>
      <c r="XBT503" s="1503"/>
      <c r="XBU503" s="1504"/>
      <c r="XBV503" s="1505"/>
      <c r="XBW503" s="1506"/>
      <c r="XBX503" s="1507"/>
      <c r="XBY503" s="1508"/>
      <c r="XBZ503" s="1509"/>
      <c r="XCA503" s="1510"/>
      <c r="XCB503" s="1509"/>
      <c r="XCC503" s="1511"/>
      <c r="XCD503" s="1512"/>
      <c r="XCE503" s="1508"/>
      <c r="XCF503" s="1508"/>
      <c r="XCG503" s="1508"/>
      <c r="XCL503" s="1503"/>
      <c r="XCM503" s="1504"/>
      <c r="XCN503" s="1505"/>
      <c r="XCO503" s="1506"/>
      <c r="XCP503" s="1507"/>
      <c r="XCQ503" s="1508"/>
      <c r="XCR503" s="1509"/>
      <c r="XCS503" s="1510"/>
      <c r="XCT503" s="1509"/>
      <c r="XCU503" s="1511"/>
      <c r="XCV503" s="1512"/>
      <c r="XCW503" s="1508"/>
      <c r="XCX503" s="1508"/>
      <c r="XCY503" s="1508"/>
      <c r="XDD503" s="1503"/>
      <c r="XDE503" s="1504"/>
      <c r="XDF503" s="1505"/>
      <c r="XDG503" s="1506"/>
      <c r="XDH503" s="1507"/>
      <c r="XDI503" s="1508"/>
      <c r="XDJ503" s="1509"/>
      <c r="XDK503" s="1510"/>
      <c r="XDL503" s="1509"/>
      <c r="XDM503" s="1511"/>
      <c r="XDN503" s="1512"/>
      <c r="XDO503" s="1508"/>
      <c r="XDP503" s="1508"/>
      <c r="XDQ503" s="1508"/>
      <c r="XDV503" s="1503"/>
      <c r="XDW503" s="1504"/>
      <c r="XDX503" s="1505"/>
      <c r="XDY503" s="1506"/>
      <c r="XDZ503" s="1507"/>
      <c r="XEA503" s="1508"/>
      <c r="XEB503" s="1509"/>
      <c r="XEC503" s="1510"/>
      <c r="XED503" s="1509"/>
      <c r="XEE503" s="1511"/>
      <c r="XEF503" s="1512"/>
      <c r="XEG503" s="1508"/>
      <c r="XEH503" s="1508"/>
      <c r="XEI503" s="1508"/>
      <c r="XEN503" s="1503"/>
      <c r="XEO503" s="1504"/>
      <c r="XEP503" s="1505"/>
      <c r="XEQ503" s="1506"/>
      <c r="XER503" s="1507"/>
      <c r="XES503" s="1508"/>
      <c r="XET503" s="1509"/>
      <c r="XEU503" s="1510"/>
      <c r="XEV503" s="1509"/>
      <c r="XEW503" s="1511"/>
      <c r="XEX503" s="1512"/>
      <c r="XEY503" s="1508"/>
      <c r="XEZ503" s="1508"/>
      <c r="XFA503" s="1508"/>
    </row>
    <row r="504" spans="1:40 16098:16381" s="1502" customFormat="1" ht="28.8" x14ac:dyDescent="0.3">
      <c r="A504" s="1502" t="s">
        <v>264</v>
      </c>
      <c r="B504" s="1503" t="s">
        <v>280</v>
      </c>
      <c r="C504" s="1504" t="s">
        <v>3800</v>
      </c>
      <c r="D504" s="1505" t="s">
        <v>34</v>
      </c>
      <c r="E504" s="1506" t="s">
        <v>282</v>
      </c>
      <c r="F504" s="1507" t="s">
        <v>285</v>
      </c>
      <c r="G504" s="1508">
        <v>1.9</v>
      </c>
      <c r="H504" s="1509">
        <v>49055.31</v>
      </c>
      <c r="I504" s="1510" t="s">
        <v>267</v>
      </c>
      <c r="J504" s="1509">
        <v>49055.31</v>
      </c>
      <c r="K504" s="1511">
        <v>0</v>
      </c>
      <c r="L504" s="1512">
        <v>0</v>
      </c>
      <c r="M504" s="1508" t="s">
        <v>66</v>
      </c>
      <c r="N504" s="1508" t="s">
        <v>3748</v>
      </c>
      <c r="O504" s="1508" t="s">
        <v>3762</v>
      </c>
      <c r="P504" s="1502" t="s">
        <v>40</v>
      </c>
      <c r="R504" s="1502" t="s">
        <v>64</v>
      </c>
      <c r="V504" s="1502" t="s">
        <v>40</v>
      </c>
      <c r="X504" s="1502" t="s">
        <v>40</v>
      </c>
      <c r="Z504" s="1502" t="s">
        <v>64</v>
      </c>
      <c r="AB504" s="1502" t="s">
        <v>40</v>
      </c>
      <c r="AE504" s="1531">
        <v>46203</v>
      </c>
      <c r="AF504" s="1502" t="s">
        <v>247</v>
      </c>
      <c r="AG504" s="1502">
        <v>2023</v>
      </c>
      <c r="AH504" s="1509">
        <v>242730.57941099998</v>
      </c>
      <c r="AI504" s="1502" t="s">
        <v>3781</v>
      </c>
      <c r="AK504" s="1502" t="s">
        <v>43</v>
      </c>
      <c r="AL504" s="1502" t="s">
        <v>41</v>
      </c>
      <c r="AM504" s="1502">
        <v>0</v>
      </c>
      <c r="AN504" s="1502" t="s">
        <v>40</v>
      </c>
      <c r="WZR504" s="1503"/>
      <c r="WZS504" s="1504"/>
      <c r="WZT504" s="1505"/>
      <c r="WZU504" s="1506"/>
      <c r="WZV504" s="1507"/>
      <c r="WZW504" s="1508"/>
      <c r="WZX504" s="1509"/>
      <c r="WZY504" s="1510"/>
      <c r="WZZ504" s="1509"/>
      <c r="XAA504" s="1511"/>
      <c r="XAB504" s="1512"/>
      <c r="XAC504" s="1508"/>
      <c r="XAD504" s="1508"/>
      <c r="XAE504" s="1508"/>
      <c r="XAJ504" s="1503"/>
      <c r="XAK504" s="1504"/>
      <c r="XAL504" s="1505"/>
      <c r="XAM504" s="1506"/>
      <c r="XAN504" s="1507"/>
      <c r="XAO504" s="1508"/>
      <c r="XAP504" s="1509"/>
      <c r="XAQ504" s="1510"/>
      <c r="XAR504" s="1509"/>
      <c r="XAS504" s="1511"/>
      <c r="XAT504" s="1512"/>
      <c r="XAU504" s="1508"/>
      <c r="XAV504" s="1508"/>
      <c r="XAW504" s="1508"/>
      <c r="XBB504" s="1503"/>
      <c r="XBC504" s="1504"/>
      <c r="XBD504" s="1505"/>
      <c r="XBE504" s="1506"/>
      <c r="XBF504" s="1507"/>
      <c r="XBG504" s="1508"/>
      <c r="XBH504" s="1509"/>
      <c r="XBI504" s="1510"/>
      <c r="XBJ504" s="1509"/>
      <c r="XBK504" s="1511"/>
      <c r="XBL504" s="1512"/>
      <c r="XBM504" s="1508"/>
      <c r="XBN504" s="1508"/>
      <c r="XBO504" s="1508"/>
      <c r="XBT504" s="1503"/>
      <c r="XBU504" s="1504"/>
      <c r="XBV504" s="1505"/>
      <c r="XBW504" s="1506"/>
      <c r="XBX504" s="1507"/>
      <c r="XBY504" s="1508"/>
      <c r="XBZ504" s="1509"/>
      <c r="XCA504" s="1510"/>
      <c r="XCB504" s="1509"/>
      <c r="XCC504" s="1511"/>
      <c r="XCD504" s="1512"/>
      <c r="XCE504" s="1508"/>
      <c r="XCF504" s="1508"/>
      <c r="XCG504" s="1508"/>
      <c r="XCL504" s="1503"/>
      <c r="XCM504" s="1504"/>
      <c r="XCN504" s="1505"/>
      <c r="XCO504" s="1506"/>
      <c r="XCP504" s="1507"/>
      <c r="XCQ504" s="1508"/>
      <c r="XCR504" s="1509"/>
      <c r="XCS504" s="1510"/>
      <c r="XCT504" s="1509"/>
      <c r="XCU504" s="1511"/>
      <c r="XCV504" s="1512"/>
      <c r="XCW504" s="1508"/>
      <c r="XCX504" s="1508"/>
      <c r="XCY504" s="1508"/>
      <c r="XDD504" s="1503"/>
      <c r="XDE504" s="1504"/>
      <c r="XDF504" s="1505"/>
      <c r="XDG504" s="1506"/>
      <c r="XDH504" s="1507"/>
      <c r="XDI504" s="1508"/>
      <c r="XDJ504" s="1509"/>
      <c r="XDK504" s="1510"/>
      <c r="XDL504" s="1509"/>
      <c r="XDM504" s="1511"/>
      <c r="XDN504" s="1512"/>
      <c r="XDO504" s="1508"/>
      <c r="XDP504" s="1508"/>
      <c r="XDQ504" s="1508"/>
      <c r="XDV504" s="1503"/>
      <c r="XDW504" s="1504"/>
      <c r="XDX504" s="1505"/>
      <c r="XDY504" s="1506"/>
      <c r="XDZ504" s="1507"/>
      <c r="XEA504" s="1508"/>
      <c r="XEB504" s="1509"/>
      <c r="XEC504" s="1510"/>
      <c r="XED504" s="1509"/>
      <c r="XEE504" s="1511"/>
      <c r="XEF504" s="1512"/>
      <c r="XEG504" s="1508"/>
      <c r="XEH504" s="1508"/>
      <c r="XEI504" s="1508"/>
      <c r="XEN504" s="1503"/>
      <c r="XEO504" s="1504"/>
      <c r="XEP504" s="1505"/>
      <c r="XEQ504" s="1506"/>
      <c r="XER504" s="1507"/>
      <c r="XES504" s="1508"/>
      <c r="XET504" s="1509"/>
      <c r="XEU504" s="1510"/>
      <c r="XEV504" s="1509"/>
      <c r="XEW504" s="1511"/>
      <c r="XEX504" s="1512"/>
      <c r="XEY504" s="1508"/>
      <c r="XEZ504" s="1508"/>
      <c r="XFA504" s="1508"/>
    </row>
    <row r="505" spans="1:40 16098:16381" s="1502" customFormat="1" ht="28.8" x14ac:dyDescent="0.3">
      <c r="A505" s="1502" t="s">
        <v>264</v>
      </c>
      <c r="B505" s="1503" t="s">
        <v>280</v>
      </c>
      <c r="C505" s="1504" t="s">
        <v>3801</v>
      </c>
      <c r="D505" s="1505" t="s">
        <v>34</v>
      </c>
      <c r="E505" s="1506" t="s">
        <v>282</v>
      </c>
      <c r="F505" s="1507" t="s">
        <v>285</v>
      </c>
      <c r="G505" s="1508">
        <v>8.5299999999999994</v>
      </c>
      <c r="H505" s="1509">
        <v>168765.88</v>
      </c>
      <c r="I505" s="1510" t="s">
        <v>267</v>
      </c>
      <c r="J505" s="1509">
        <v>168765.88</v>
      </c>
      <c r="K505" s="1511">
        <v>0</v>
      </c>
      <c r="L505" s="1512">
        <v>0</v>
      </c>
      <c r="M505" s="1508" t="s">
        <v>1806</v>
      </c>
      <c r="N505" s="1508" t="s">
        <v>3749</v>
      </c>
      <c r="O505" s="1508" t="s">
        <v>3763</v>
      </c>
      <c r="P505" s="1502" t="s">
        <v>40</v>
      </c>
      <c r="R505" s="1502" t="s">
        <v>64</v>
      </c>
      <c r="V505" s="1502" t="s">
        <v>40</v>
      </c>
      <c r="X505" s="1502" t="s">
        <v>40</v>
      </c>
      <c r="Z505" s="1502" t="s">
        <v>64</v>
      </c>
      <c r="AB505" s="1502" t="s">
        <v>40</v>
      </c>
      <c r="AE505" s="1531">
        <v>46203</v>
      </c>
      <c r="AF505" s="1502" t="s">
        <v>247</v>
      </c>
      <c r="AG505" s="1502">
        <v>2023</v>
      </c>
      <c r="AH505" s="1509">
        <v>835070.46</v>
      </c>
      <c r="AI505" s="1502" t="s">
        <v>3782</v>
      </c>
      <c r="AK505" s="1502" t="s">
        <v>43</v>
      </c>
      <c r="AL505" s="1502" t="s">
        <v>41</v>
      </c>
      <c r="AM505" s="1502">
        <v>0</v>
      </c>
      <c r="AN505" s="1502" t="s">
        <v>40</v>
      </c>
      <c r="WYZ505" s="1503"/>
      <c r="WZA505" s="1504"/>
      <c r="WZB505" s="1505"/>
      <c r="WZC505" s="1506"/>
      <c r="WZD505" s="1507"/>
      <c r="WZE505" s="1508"/>
      <c r="WZF505" s="1509"/>
      <c r="WZG505" s="1510"/>
      <c r="WZH505" s="1509"/>
      <c r="WZI505" s="1511"/>
      <c r="WZJ505" s="1512"/>
      <c r="WZK505" s="1508"/>
      <c r="WZL505" s="1508"/>
      <c r="WZM505" s="1508"/>
      <c r="WZR505" s="1503"/>
      <c r="WZS505" s="1504"/>
      <c r="WZT505" s="1505"/>
      <c r="WZU505" s="1506"/>
      <c r="WZV505" s="1507"/>
      <c r="WZW505" s="1508"/>
      <c r="WZX505" s="1509"/>
      <c r="WZY505" s="1510"/>
      <c r="WZZ505" s="1509"/>
      <c r="XAA505" s="1511"/>
      <c r="XAB505" s="1512"/>
      <c r="XAC505" s="1508"/>
      <c r="XAD505" s="1508"/>
      <c r="XAE505" s="1508"/>
      <c r="XAJ505" s="1503"/>
      <c r="XAK505" s="1504"/>
      <c r="XAL505" s="1505"/>
      <c r="XAM505" s="1506"/>
      <c r="XAN505" s="1507"/>
      <c r="XAO505" s="1508"/>
      <c r="XAP505" s="1509"/>
      <c r="XAQ505" s="1510"/>
      <c r="XAR505" s="1509"/>
      <c r="XAS505" s="1511"/>
      <c r="XAT505" s="1512"/>
      <c r="XAU505" s="1508"/>
      <c r="XAV505" s="1508"/>
      <c r="XAW505" s="1508"/>
      <c r="XBB505" s="1503"/>
      <c r="XBC505" s="1504"/>
      <c r="XBD505" s="1505"/>
      <c r="XBE505" s="1506"/>
      <c r="XBF505" s="1507"/>
      <c r="XBG505" s="1508"/>
      <c r="XBH505" s="1509"/>
      <c r="XBI505" s="1510"/>
      <c r="XBJ505" s="1509"/>
      <c r="XBK505" s="1511"/>
      <c r="XBL505" s="1512"/>
      <c r="XBM505" s="1508"/>
      <c r="XBN505" s="1508"/>
      <c r="XBO505" s="1508"/>
      <c r="XBT505" s="1503"/>
      <c r="XBU505" s="1504"/>
      <c r="XBV505" s="1505"/>
      <c r="XBW505" s="1506"/>
      <c r="XBX505" s="1507"/>
      <c r="XBY505" s="1508"/>
      <c r="XBZ505" s="1509"/>
      <c r="XCA505" s="1510"/>
      <c r="XCB505" s="1509"/>
      <c r="XCC505" s="1511"/>
      <c r="XCD505" s="1512"/>
      <c r="XCE505" s="1508"/>
      <c r="XCF505" s="1508"/>
      <c r="XCG505" s="1508"/>
      <c r="XCL505" s="1503"/>
      <c r="XCM505" s="1504"/>
      <c r="XCN505" s="1505"/>
      <c r="XCO505" s="1506"/>
      <c r="XCP505" s="1507"/>
      <c r="XCQ505" s="1508"/>
      <c r="XCR505" s="1509"/>
      <c r="XCS505" s="1510"/>
      <c r="XCT505" s="1509"/>
      <c r="XCU505" s="1511"/>
      <c r="XCV505" s="1512"/>
      <c r="XCW505" s="1508"/>
      <c r="XCX505" s="1508"/>
      <c r="XCY505" s="1508"/>
      <c r="XDD505" s="1503"/>
      <c r="XDE505" s="1504"/>
      <c r="XDF505" s="1505"/>
      <c r="XDG505" s="1506"/>
      <c r="XDH505" s="1507"/>
      <c r="XDI505" s="1508"/>
      <c r="XDJ505" s="1509"/>
      <c r="XDK505" s="1510"/>
      <c r="XDL505" s="1509"/>
      <c r="XDM505" s="1511"/>
      <c r="XDN505" s="1512"/>
      <c r="XDO505" s="1508"/>
      <c r="XDP505" s="1508"/>
      <c r="XDQ505" s="1508"/>
      <c r="XDV505" s="1503"/>
      <c r="XDW505" s="1504"/>
      <c r="XDX505" s="1505"/>
      <c r="XDY505" s="1506"/>
      <c r="XDZ505" s="1507"/>
      <c r="XEA505" s="1508"/>
      <c r="XEB505" s="1509"/>
      <c r="XEC505" s="1510"/>
      <c r="XED505" s="1509"/>
      <c r="XEE505" s="1511"/>
      <c r="XEF505" s="1512"/>
      <c r="XEG505" s="1508"/>
      <c r="XEH505" s="1508"/>
      <c r="XEI505" s="1508"/>
      <c r="XEN505" s="1503"/>
      <c r="XEO505" s="1504"/>
      <c r="XEP505" s="1505"/>
      <c r="XEQ505" s="1506"/>
      <c r="XER505" s="1507"/>
      <c r="XES505" s="1508"/>
      <c r="XET505" s="1509"/>
      <c r="XEU505" s="1510"/>
      <c r="XEV505" s="1509"/>
      <c r="XEW505" s="1511"/>
      <c r="XEX505" s="1512"/>
      <c r="XEY505" s="1508"/>
      <c r="XEZ505" s="1508"/>
      <c r="XFA505" s="1508"/>
    </row>
    <row r="506" spans="1:40 16098:16381" s="1502" customFormat="1" ht="28.8" x14ac:dyDescent="0.3">
      <c r="A506" s="1502" t="s">
        <v>264</v>
      </c>
      <c r="B506" s="1503" t="s">
        <v>280</v>
      </c>
      <c r="C506" s="1504" t="s">
        <v>3802</v>
      </c>
      <c r="D506" s="1505" t="s">
        <v>34</v>
      </c>
      <c r="E506" s="1506" t="s">
        <v>282</v>
      </c>
      <c r="F506" s="1507" t="s">
        <v>285</v>
      </c>
      <c r="G506" s="1508">
        <v>15.37</v>
      </c>
      <c r="H506" s="1509">
        <v>292042.78000000003</v>
      </c>
      <c r="I506" s="1510" t="s">
        <v>267</v>
      </c>
      <c r="J506" s="1509">
        <v>292042.78000000003</v>
      </c>
      <c r="K506" s="1511">
        <v>0</v>
      </c>
      <c r="L506" s="1512">
        <v>0</v>
      </c>
      <c r="M506" s="1508" t="s">
        <v>412</v>
      </c>
      <c r="N506" s="1508" t="s">
        <v>487</v>
      </c>
      <c r="O506" s="1508" t="s">
        <v>3764</v>
      </c>
      <c r="P506" s="1502" t="s">
        <v>40</v>
      </c>
      <c r="R506" s="1502" t="s">
        <v>64</v>
      </c>
      <c r="V506" s="1502" t="s">
        <v>40</v>
      </c>
      <c r="X506" s="1502" t="s">
        <v>40</v>
      </c>
      <c r="Z506" s="1502" t="s">
        <v>64</v>
      </c>
      <c r="AB506" s="1502" t="s">
        <v>40</v>
      </c>
      <c r="AE506" s="1531">
        <v>46203</v>
      </c>
      <c r="AF506" s="1502" t="s">
        <v>247</v>
      </c>
      <c r="AG506" s="1502">
        <v>2023</v>
      </c>
      <c r="AH506" s="1509">
        <v>1445056.8797180003</v>
      </c>
      <c r="AI506" s="1502" t="s">
        <v>3783</v>
      </c>
      <c r="AK506" s="1502" t="s">
        <v>43</v>
      </c>
      <c r="AL506" s="1502" t="s">
        <v>41</v>
      </c>
      <c r="AM506" s="1502">
        <v>0</v>
      </c>
      <c r="AN506" s="1502" t="s">
        <v>40</v>
      </c>
      <c r="WYH506" s="1503"/>
      <c r="WYI506" s="1504"/>
      <c r="WYJ506" s="1505"/>
      <c r="WYK506" s="1506"/>
      <c r="WYL506" s="1507"/>
      <c r="WYM506" s="1508"/>
      <c r="WYN506" s="1509"/>
      <c r="WYO506" s="1510"/>
      <c r="WYP506" s="1509"/>
      <c r="WYQ506" s="1511"/>
      <c r="WYR506" s="1512"/>
      <c r="WYS506" s="1508"/>
      <c r="WYT506" s="1508"/>
      <c r="WYU506" s="1508"/>
      <c r="WYZ506" s="1503"/>
      <c r="WZA506" s="1504"/>
      <c r="WZB506" s="1505"/>
      <c r="WZC506" s="1506"/>
      <c r="WZD506" s="1507"/>
      <c r="WZE506" s="1508"/>
      <c r="WZF506" s="1509"/>
      <c r="WZG506" s="1510"/>
      <c r="WZH506" s="1509"/>
      <c r="WZI506" s="1511"/>
      <c r="WZJ506" s="1512"/>
      <c r="WZK506" s="1508"/>
      <c r="WZL506" s="1508"/>
      <c r="WZM506" s="1508"/>
      <c r="WZR506" s="1503"/>
      <c r="WZS506" s="1504"/>
      <c r="WZT506" s="1505"/>
      <c r="WZU506" s="1506"/>
      <c r="WZV506" s="1507"/>
      <c r="WZW506" s="1508"/>
      <c r="WZX506" s="1509"/>
      <c r="WZY506" s="1510"/>
      <c r="WZZ506" s="1509"/>
      <c r="XAA506" s="1511"/>
      <c r="XAB506" s="1512"/>
      <c r="XAC506" s="1508"/>
      <c r="XAD506" s="1508"/>
      <c r="XAE506" s="1508"/>
      <c r="XAJ506" s="1503"/>
      <c r="XAK506" s="1504"/>
      <c r="XAL506" s="1505"/>
      <c r="XAM506" s="1506"/>
      <c r="XAN506" s="1507"/>
      <c r="XAO506" s="1508"/>
      <c r="XAP506" s="1509"/>
      <c r="XAQ506" s="1510"/>
      <c r="XAR506" s="1509"/>
      <c r="XAS506" s="1511"/>
      <c r="XAT506" s="1512"/>
      <c r="XAU506" s="1508"/>
      <c r="XAV506" s="1508"/>
      <c r="XAW506" s="1508"/>
      <c r="XBB506" s="1503"/>
      <c r="XBC506" s="1504"/>
      <c r="XBD506" s="1505"/>
      <c r="XBE506" s="1506"/>
      <c r="XBF506" s="1507"/>
      <c r="XBG506" s="1508"/>
      <c r="XBH506" s="1509"/>
      <c r="XBI506" s="1510"/>
      <c r="XBJ506" s="1509"/>
      <c r="XBK506" s="1511"/>
      <c r="XBL506" s="1512"/>
      <c r="XBM506" s="1508"/>
      <c r="XBN506" s="1508"/>
      <c r="XBO506" s="1508"/>
      <c r="XBT506" s="1503"/>
      <c r="XBU506" s="1504"/>
      <c r="XBV506" s="1505"/>
      <c r="XBW506" s="1506"/>
      <c r="XBX506" s="1507"/>
      <c r="XBY506" s="1508"/>
      <c r="XBZ506" s="1509"/>
      <c r="XCA506" s="1510"/>
      <c r="XCB506" s="1509"/>
      <c r="XCC506" s="1511"/>
      <c r="XCD506" s="1512"/>
      <c r="XCE506" s="1508"/>
      <c r="XCF506" s="1508"/>
      <c r="XCG506" s="1508"/>
      <c r="XCL506" s="1503"/>
      <c r="XCM506" s="1504"/>
      <c r="XCN506" s="1505"/>
      <c r="XCO506" s="1506"/>
      <c r="XCP506" s="1507"/>
      <c r="XCQ506" s="1508"/>
      <c r="XCR506" s="1509"/>
      <c r="XCS506" s="1510"/>
      <c r="XCT506" s="1509"/>
      <c r="XCU506" s="1511"/>
      <c r="XCV506" s="1512"/>
      <c r="XCW506" s="1508"/>
      <c r="XCX506" s="1508"/>
      <c r="XCY506" s="1508"/>
      <c r="XDD506" s="1503"/>
      <c r="XDE506" s="1504"/>
      <c r="XDF506" s="1505"/>
      <c r="XDG506" s="1506"/>
      <c r="XDH506" s="1507"/>
      <c r="XDI506" s="1508"/>
      <c r="XDJ506" s="1509"/>
      <c r="XDK506" s="1510"/>
      <c r="XDL506" s="1509"/>
      <c r="XDM506" s="1511"/>
      <c r="XDN506" s="1512"/>
      <c r="XDO506" s="1508"/>
      <c r="XDP506" s="1508"/>
      <c r="XDQ506" s="1508"/>
      <c r="XDV506" s="1503"/>
      <c r="XDW506" s="1504"/>
      <c r="XDX506" s="1505"/>
      <c r="XDY506" s="1506"/>
      <c r="XDZ506" s="1507"/>
      <c r="XEA506" s="1508"/>
      <c r="XEB506" s="1509"/>
      <c r="XEC506" s="1510"/>
      <c r="XED506" s="1509"/>
      <c r="XEE506" s="1511"/>
      <c r="XEF506" s="1512"/>
      <c r="XEG506" s="1508"/>
      <c r="XEH506" s="1508"/>
      <c r="XEI506" s="1508"/>
      <c r="XEN506" s="1503"/>
      <c r="XEO506" s="1504"/>
      <c r="XEP506" s="1505"/>
      <c r="XEQ506" s="1506"/>
      <c r="XER506" s="1507"/>
      <c r="XES506" s="1508"/>
      <c r="XET506" s="1509"/>
      <c r="XEU506" s="1510"/>
      <c r="XEV506" s="1509"/>
      <c r="XEW506" s="1511"/>
      <c r="XEX506" s="1512"/>
      <c r="XEY506" s="1508"/>
      <c r="XEZ506" s="1508"/>
      <c r="XFA506" s="1508"/>
    </row>
    <row r="507" spans="1:40 16098:16381" s="1502" customFormat="1" ht="28.8" x14ac:dyDescent="0.3">
      <c r="A507" s="1502" t="s">
        <v>264</v>
      </c>
      <c r="B507" s="1503" t="s">
        <v>280</v>
      </c>
      <c r="C507" s="1504" t="s">
        <v>3803</v>
      </c>
      <c r="D507" s="1505" t="s">
        <v>34</v>
      </c>
      <c r="E507" s="1506" t="s">
        <v>282</v>
      </c>
      <c r="F507" s="1507" t="s">
        <v>285</v>
      </c>
      <c r="G507" s="1508">
        <v>30.4893</v>
      </c>
      <c r="H507" s="1509">
        <v>593506.87</v>
      </c>
      <c r="I507" s="1510" t="s">
        <v>267</v>
      </c>
      <c r="J507" s="1509">
        <v>593506.87</v>
      </c>
      <c r="K507" s="1511">
        <v>0</v>
      </c>
      <c r="L507" s="1512">
        <v>0</v>
      </c>
      <c r="M507" s="1508" t="s">
        <v>73</v>
      </c>
      <c r="N507" s="1508" t="s">
        <v>3750</v>
      </c>
      <c r="O507" s="1508" t="s">
        <v>3765</v>
      </c>
      <c r="P507" s="1502" t="s">
        <v>40</v>
      </c>
      <c r="R507" s="1502" t="s">
        <v>64</v>
      </c>
      <c r="V507" s="1502" t="s">
        <v>40</v>
      </c>
      <c r="X507" s="1502" t="s">
        <v>40</v>
      </c>
      <c r="Z507" s="1502" t="s">
        <v>64</v>
      </c>
      <c r="AB507" s="1502" t="s">
        <v>40</v>
      </c>
      <c r="AE507" s="1531">
        <v>46203</v>
      </c>
      <c r="AF507" s="1502" t="s">
        <v>247</v>
      </c>
      <c r="AG507" s="1502">
        <v>2023</v>
      </c>
      <c r="AH507" s="1509">
        <v>2936731.31</v>
      </c>
      <c r="AI507" s="1502" t="s">
        <v>3784</v>
      </c>
      <c r="AK507" s="1502" t="s">
        <v>43</v>
      </c>
      <c r="AL507" s="1502" t="s">
        <v>41</v>
      </c>
      <c r="AM507" s="1502">
        <v>0</v>
      </c>
      <c r="AN507" s="1502" t="s">
        <v>40</v>
      </c>
      <c r="WXP507" s="1503"/>
      <c r="WXQ507" s="1504"/>
      <c r="WXR507" s="1505"/>
      <c r="WXS507" s="1506"/>
      <c r="WXT507" s="1507"/>
      <c r="WXU507" s="1508"/>
      <c r="WXV507" s="1509"/>
      <c r="WXW507" s="1510"/>
      <c r="WXX507" s="1509"/>
      <c r="WXY507" s="1511"/>
      <c r="WXZ507" s="1512"/>
      <c r="WYA507" s="1508"/>
      <c r="WYB507" s="1508"/>
      <c r="WYC507" s="1508"/>
      <c r="WYH507" s="1503"/>
      <c r="WYI507" s="1504"/>
      <c r="WYJ507" s="1505"/>
      <c r="WYK507" s="1506"/>
      <c r="WYL507" s="1507"/>
      <c r="WYM507" s="1508"/>
      <c r="WYN507" s="1509"/>
      <c r="WYO507" s="1510"/>
      <c r="WYP507" s="1509"/>
      <c r="WYQ507" s="1511"/>
      <c r="WYR507" s="1512"/>
      <c r="WYS507" s="1508"/>
      <c r="WYT507" s="1508"/>
      <c r="WYU507" s="1508"/>
      <c r="WYZ507" s="1503"/>
      <c r="WZA507" s="1504"/>
      <c r="WZB507" s="1505"/>
      <c r="WZC507" s="1506"/>
      <c r="WZD507" s="1507"/>
      <c r="WZE507" s="1508"/>
      <c r="WZF507" s="1509"/>
      <c r="WZG507" s="1510"/>
      <c r="WZH507" s="1509"/>
      <c r="WZI507" s="1511"/>
      <c r="WZJ507" s="1512"/>
      <c r="WZK507" s="1508"/>
      <c r="WZL507" s="1508"/>
      <c r="WZM507" s="1508"/>
      <c r="WZR507" s="1503"/>
      <c r="WZS507" s="1504"/>
      <c r="WZT507" s="1505"/>
      <c r="WZU507" s="1506"/>
      <c r="WZV507" s="1507"/>
      <c r="WZW507" s="1508"/>
      <c r="WZX507" s="1509"/>
      <c r="WZY507" s="1510"/>
      <c r="WZZ507" s="1509"/>
      <c r="XAA507" s="1511"/>
      <c r="XAB507" s="1512"/>
      <c r="XAC507" s="1508"/>
      <c r="XAD507" s="1508"/>
      <c r="XAE507" s="1508"/>
      <c r="XAJ507" s="1503"/>
      <c r="XAK507" s="1504"/>
      <c r="XAL507" s="1505"/>
      <c r="XAM507" s="1506"/>
      <c r="XAN507" s="1507"/>
      <c r="XAO507" s="1508"/>
      <c r="XAP507" s="1509"/>
      <c r="XAQ507" s="1510"/>
      <c r="XAR507" s="1509"/>
      <c r="XAS507" s="1511"/>
      <c r="XAT507" s="1512"/>
      <c r="XAU507" s="1508"/>
      <c r="XAV507" s="1508"/>
      <c r="XAW507" s="1508"/>
      <c r="XBB507" s="1503"/>
      <c r="XBC507" s="1504"/>
      <c r="XBD507" s="1505"/>
      <c r="XBE507" s="1506"/>
      <c r="XBF507" s="1507"/>
      <c r="XBG507" s="1508"/>
      <c r="XBH507" s="1509"/>
      <c r="XBI507" s="1510"/>
      <c r="XBJ507" s="1509"/>
      <c r="XBK507" s="1511"/>
      <c r="XBL507" s="1512"/>
      <c r="XBM507" s="1508"/>
      <c r="XBN507" s="1508"/>
      <c r="XBO507" s="1508"/>
      <c r="XBT507" s="1503"/>
      <c r="XBU507" s="1504"/>
      <c r="XBV507" s="1505"/>
      <c r="XBW507" s="1506"/>
      <c r="XBX507" s="1507"/>
      <c r="XBY507" s="1508"/>
      <c r="XBZ507" s="1509"/>
      <c r="XCA507" s="1510"/>
      <c r="XCB507" s="1509"/>
      <c r="XCC507" s="1511"/>
      <c r="XCD507" s="1512"/>
      <c r="XCE507" s="1508"/>
      <c r="XCF507" s="1508"/>
      <c r="XCG507" s="1508"/>
      <c r="XCL507" s="1503"/>
      <c r="XCM507" s="1504"/>
      <c r="XCN507" s="1505"/>
      <c r="XCO507" s="1506"/>
      <c r="XCP507" s="1507"/>
      <c r="XCQ507" s="1508"/>
      <c r="XCR507" s="1509"/>
      <c r="XCS507" s="1510"/>
      <c r="XCT507" s="1509"/>
      <c r="XCU507" s="1511"/>
      <c r="XCV507" s="1512"/>
      <c r="XCW507" s="1508"/>
      <c r="XCX507" s="1508"/>
      <c r="XCY507" s="1508"/>
      <c r="XDD507" s="1503"/>
      <c r="XDE507" s="1504"/>
      <c r="XDF507" s="1505"/>
      <c r="XDG507" s="1506"/>
      <c r="XDH507" s="1507"/>
      <c r="XDI507" s="1508"/>
      <c r="XDJ507" s="1509"/>
      <c r="XDK507" s="1510"/>
      <c r="XDL507" s="1509"/>
      <c r="XDM507" s="1511"/>
      <c r="XDN507" s="1512"/>
      <c r="XDO507" s="1508"/>
      <c r="XDP507" s="1508"/>
      <c r="XDQ507" s="1508"/>
      <c r="XDV507" s="1503"/>
      <c r="XDW507" s="1504"/>
      <c r="XDX507" s="1505"/>
      <c r="XDY507" s="1506"/>
      <c r="XDZ507" s="1507"/>
      <c r="XEA507" s="1508"/>
      <c r="XEB507" s="1509"/>
      <c r="XEC507" s="1510"/>
      <c r="XED507" s="1509"/>
      <c r="XEE507" s="1511"/>
      <c r="XEF507" s="1512"/>
      <c r="XEG507" s="1508"/>
      <c r="XEH507" s="1508"/>
      <c r="XEI507" s="1508"/>
      <c r="XEN507" s="1503"/>
      <c r="XEO507" s="1504"/>
      <c r="XEP507" s="1505"/>
      <c r="XEQ507" s="1506"/>
      <c r="XER507" s="1507"/>
      <c r="XES507" s="1508"/>
      <c r="XET507" s="1509"/>
      <c r="XEU507" s="1510"/>
      <c r="XEV507" s="1509"/>
      <c r="XEW507" s="1511"/>
      <c r="XEX507" s="1512"/>
      <c r="XEY507" s="1508"/>
      <c r="XEZ507" s="1508"/>
      <c r="XFA507" s="1508"/>
    </row>
    <row r="508" spans="1:40 16098:16381" s="1502" customFormat="1" ht="43.2" x14ac:dyDescent="0.3">
      <c r="A508" s="1502" t="s">
        <v>264</v>
      </c>
      <c r="B508" s="1503" t="s">
        <v>280</v>
      </c>
      <c r="C508" s="1504" t="s">
        <v>3804</v>
      </c>
      <c r="D508" s="1505" t="s">
        <v>34</v>
      </c>
      <c r="E508" s="1506" t="s">
        <v>282</v>
      </c>
      <c r="F508" s="1507" t="s">
        <v>285</v>
      </c>
      <c r="G508" s="1508">
        <v>9.57</v>
      </c>
      <c r="H508" s="1509">
        <v>173203.52</v>
      </c>
      <c r="I508" s="1510" t="s">
        <v>267</v>
      </c>
      <c r="J508" s="1509">
        <v>173203.52</v>
      </c>
      <c r="K508" s="1511">
        <v>0</v>
      </c>
      <c r="L508" s="1512">
        <v>0</v>
      </c>
      <c r="M508" s="1508" t="s">
        <v>412</v>
      </c>
      <c r="N508" s="1508" t="s">
        <v>2687</v>
      </c>
      <c r="O508" s="1508" t="s">
        <v>3766</v>
      </c>
      <c r="P508" s="1502" t="s">
        <v>40</v>
      </c>
      <c r="R508" s="1502" t="s">
        <v>64</v>
      </c>
      <c r="V508" s="1502" t="s">
        <v>40</v>
      </c>
      <c r="X508" s="1502" t="s">
        <v>40</v>
      </c>
      <c r="Z508" s="1502" t="s">
        <v>64</v>
      </c>
      <c r="AB508" s="1502" t="s">
        <v>40</v>
      </c>
      <c r="AE508" s="1531">
        <v>46203</v>
      </c>
      <c r="AF508" s="1502" t="s">
        <v>247</v>
      </c>
      <c r="AG508" s="1502">
        <v>2023</v>
      </c>
      <c r="AH508" s="1509">
        <v>857028.33731199999</v>
      </c>
      <c r="AI508" s="1502" t="s">
        <v>3785</v>
      </c>
      <c r="AK508" s="1502" t="s">
        <v>43</v>
      </c>
      <c r="AL508" s="1502" t="s">
        <v>41</v>
      </c>
      <c r="AM508" s="1502">
        <v>0</v>
      </c>
      <c r="AN508" s="1502" t="s">
        <v>40</v>
      </c>
      <c r="WWX508" s="1503"/>
      <c r="WWY508" s="1504"/>
      <c r="WWZ508" s="1505"/>
      <c r="WXA508" s="1506"/>
      <c r="WXB508" s="1507"/>
      <c r="WXC508" s="1508"/>
      <c r="WXD508" s="1509"/>
      <c r="WXE508" s="1510"/>
      <c r="WXF508" s="1509"/>
      <c r="WXG508" s="1511"/>
      <c r="WXH508" s="1512"/>
      <c r="WXI508" s="1508"/>
      <c r="WXJ508" s="1508"/>
      <c r="WXK508" s="1508"/>
      <c r="WXP508" s="1503"/>
      <c r="WXQ508" s="1504"/>
      <c r="WXR508" s="1505"/>
      <c r="WXS508" s="1506"/>
      <c r="WXT508" s="1507"/>
      <c r="WXU508" s="1508"/>
      <c r="WXV508" s="1509"/>
      <c r="WXW508" s="1510"/>
      <c r="WXX508" s="1509"/>
      <c r="WXY508" s="1511"/>
      <c r="WXZ508" s="1512"/>
      <c r="WYA508" s="1508"/>
      <c r="WYB508" s="1508"/>
      <c r="WYC508" s="1508"/>
      <c r="WYH508" s="1503"/>
      <c r="WYI508" s="1504"/>
      <c r="WYJ508" s="1505"/>
      <c r="WYK508" s="1506"/>
      <c r="WYL508" s="1507"/>
      <c r="WYM508" s="1508"/>
      <c r="WYN508" s="1509"/>
      <c r="WYO508" s="1510"/>
      <c r="WYP508" s="1509"/>
      <c r="WYQ508" s="1511"/>
      <c r="WYR508" s="1512"/>
      <c r="WYS508" s="1508"/>
      <c r="WYT508" s="1508"/>
      <c r="WYU508" s="1508"/>
      <c r="WYZ508" s="1503"/>
      <c r="WZA508" s="1504"/>
      <c r="WZB508" s="1505"/>
      <c r="WZC508" s="1506"/>
      <c r="WZD508" s="1507"/>
      <c r="WZE508" s="1508"/>
      <c r="WZF508" s="1509"/>
      <c r="WZG508" s="1510"/>
      <c r="WZH508" s="1509"/>
      <c r="WZI508" s="1511"/>
      <c r="WZJ508" s="1512"/>
      <c r="WZK508" s="1508"/>
      <c r="WZL508" s="1508"/>
      <c r="WZM508" s="1508"/>
      <c r="WZR508" s="1503"/>
      <c r="WZS508" s="1504"/>
      <c r="WZT508" s="1505"/>
      <c r="WZU508" s="1506"/>
      <c r="WZV508" s="1507"/>
      <c r="WZW508" s="1508"/>
      <c r="WZX508" s="1509"/>
      <c r="WZY508" s="1510"/>
      <c r="WZZ508" s="1509"/>
      <c r="XAA508" s="1511"/>
      <c r="XAB508" s="1512"/>
      <c r="XAC508" s="1508"/>
      <c r="XAD508" s="1508"/>
      <c r="XAE508" s="1508"/>
      <c r="XAJ508" s="1503"/>
      <c r="XAK508" s="1504"/>
      <c r="XAL508" s="1505"/>
      <c r="XAM508" s="1506"/>
      <c r="XAN508" s="1507"/>
      <c r="XAO508" s="1508"/>
      <c r="XAP508" s="1509"/>
      <c r="XAQ508" s="1510"/>
      <c r="XAR508" s="1509"/>
      <c r="XAS508" s="1511"/>
      <c r="XAT508" s="1512"/>
      <c r="XAU508" s="1508"/>
      <c r="XAV508" s="1508"/>
      <c r="XAW508" s="1508"/>
      <c r="XBB508" s="1503"/>
      <c r="XBC508" s="1504"/>
      <c r="XBD508" s="1505"/>
      <c r="XBE508" s="1506"/>
      <c r="XBF508" s="1507"/>
      <c r="XBG508" s="1508"/>
      <c r="XBH508" s="1509"/>
      <c r="XBI508" s="1510"/>
      <c r="XBJ508" s="1509"/>
      <c r="XBK508" s="1511"/>
      <c r="XBL508" s="1512"/>
      <c r="XBM508" s="1508"/>
      <c r="XBN508" s="1508"/>
      <c r="XBO508" s="1508"/>
      <c r="XBT508" s="1503"/>
      <c r="XBU508" s="1504"/>
      <c r="XBV508" s="1505"/>
      <c r="XBW508" s="1506"/>
      <c r="XBX508" s="1507"/>
      <c r="XBY508" s="1508"/>
      <c r="XBZ508" s="1509"/>
      <c r="XCA508" s="1510"/>
      <c r="XCB508" s="1509"/>
      <c r="XCC508" s="1511"/>
      <c r="XCD508" s="1512"/>
      <c r="XCE508" s="1508"/>
      <c r="XCF508" s="1508"/>
      <c r="XCG508" s="1508"/>
      <c r="XCL508" s="1503"/>
      <c r="XCM508" s="1504"/>
      <c r="XCN508" s="1505"/>
      <c r="XCO508" s="1506"/>
      <c r="XCP508" s="1507"/>
      <c r="XCQ508" s="1508"/>
      <c r="XCR508" s="1509"/>
      <c r="XCS508" s="1510"/>
      <c r="XCT508" s="1509"/>
      <c r="XCU508" s="1511"/>
      <c r="XCV508" s="1512"/>
      <c r="XCW508" s="1508"/>
      <c r="XCX508" s="1508"/>
      <c r="XCY508" s="1508"/>
      <c r="XDD508" s="1503"/>
      <c r="XDE508" s="1504"/>
      <c r="XDF508" s="1505"/>
      <c r="XDG508" s="1506"/>
      <c r="XDH508" s="1507"/>
      <c r="XDI508" s="1508"/>
      <c r="XDJ508" s="1509"/>
      <c r="XDK508" s="1510"/>
      <c r="XDL508" s="1509"/>
      <c r="XDM508" s="1511"/>
      <c r="XDN508" s="1512"/>
      <c r="XDO508" s="1508"/>
      <c r="XDP508" s="1508"/>
      <c r="XDQ508" s="1508"/>
      <c r="XDV508" s="1503"/>
      <c r="XDW508" s="1504"/>
      <c r="XDX508" s="1505"/>
      <c r="XDY508" s="1506"/>
      <c r="XDZ508" s="1507"/>
      <c r="XEA508" s="1508"/>
      <c r="XEB508" s="1509"/>
      <c r="XEC508" s="1510"/>
      <c r="XED508" s="1509"/>
      <c r="XEE508" s="1511"/>
      <c r="XEF508" s="1512"/>
      <c r="XEG508" s="1508"/>
      <c r="XEH508" s="1508"/>
      <c r="XEI508" s="1508"/>
      <c r="XEN508" s="1503"/>
      <c r="XEO508" s="1504"/>
      <c r="XEP508" s="1505"/>
      <c r="XEQ508" s="1506"/>
      <c r="XER508" s="1507"/>
      <c r="XES508" s="1508"/>
      <c r="XET508" s="1509"/>
      <c r="XEU508" s="1510"/>
      <c r="XEV508" s="1509"/>
      <c r="XEW508" s="1511"/>
      <c r="XEX508" s="1512"/>
      <c r="XEY508" s="1508"/>
      <c r="XEZ508" s="1508"/>
      <c r="XFA508" s="1508"/>
    </row>
    <row r="509" spans="1:40 16098:16381" s="1502" customFormat="1" ht="28.8" x14ac:dyDescent="0.3">
      <c r="A509" s="1502" t="s">
        <v>264</v>
      </c>
      <c r="B509" s="1503" t="s">
        <v>280</v>
      </c>
      <c r="C509" s="1504" t="s">
        <v>3805</v>
      </c>
      <c r="D509" s="1505" t="s">
        <v>34</v>
      </c>
      <c r="E509" s="1506" t="s">
        <v>282</v>
      </c>
      <c r="F509" s="1507" t="s">
        <v>285</v>
      </c>
      <c r="G509" s="1508">
        <v>11.57</v>
      </c>
      <c r="H509" s="1509">
        <v>118908.63</v>
      </c>
      <c r="I509" s="1510" t="s">
        <v>267</v>
      </c>
      <c r="J509" s="1509">
        <v>118908.63</v>
      </c>
      <c r="K509" s="1511">
        <v>0</v>
      </c>
      <c r="L509" s="1512">
        <v>0</v>
      </c>
      <c r="M509" s="1508" t="s">
        <v>534</v>
      </c>
      <c r="N509" s="1508" t="s">
        <v>3205</v>
      </c>
      <c r="O509" s="1508" t="s">
        <v>3767</v>
      </c>
      <c r="P509" s="1502" t="s">
        <v>40</v>
      </c>
      <c r="R509" s="1502" t="s">
        <v>64</v>
      </c>
      <c r="V509" s="1502" t="s">
        <v>40</v>
      </c>
      <c r="X509" s="1502" t="s">
        <v>40</v>
      </c>
      <c r="Z509" s="1502" t="s">
        <v>64</v>
      </c>
      <c r="AB509" s="1502" t="s">
        <v>40</v>
      </c>
      <c r="AE509" s="1531">
        <v>46203</v>
      </c>
      <c r="AF509" s="1502" t="s">
        <v>247</v>
      </c>
      <c r="AG509" s="1502">
        <v>2023</v>
      </c>
      <c r="AH509" s="1509">
        <v>588371.81000000006</v>
      </c>
      <c r="AI509" s="1502" t="s">
        <v>3786</v>
      </c>
      <c r="AK509" s="1502" t="s">
        <v>43</v>
      </c>
      <c r="AL509" s="1502" t="s">
        <v>41</v>
      </c>
      <c r="AM509" s="1502">
        <v>0</v>
      </c>
      <c r="AN509" s="1502" t="s">
        <v>40</v>
      </c>
      <c r="WWF509" s="1503"/>
      <c r="WWG509" s="1504"/>
      <c r="WWH509" s="1505"/>
      <c r="WWI509" s="1506"/>
      <c r="WWJ509" s="1507"/>
      <c r="WWK509" s="1508"/>
      <c r="WWL509" s="1509"/>
      <c r="WWM509" s="1510"/>
      <c r="WWN509" s="1509"/>
      <c r="WWO509" s="1511"/>
      <c r="WWP509" s="1512"/>
      <c r="WWQ509" s="1508"/>
      <c r="WWR509" s="1508"/>
      <c r="WWS509" s="1508"/>
      <c r="WWX509" s="1503"/>
      <c r="WWY509" s="1504"/>
      <c r="WWZ509" s="1505"/>
      <c r="WXA509" s="1506"/>
      <c r="WXB509" s="1507"/>
      <c r="WXC509" s="1508"/>
      <c r="WXD509" s="1509"/>
      <c r="WXE509" s="1510"/>
      <c r="WXF509" s="1509"/>
      <c r="WXG509" s="1511"/>
      <c r="WXH509" s="1512"/>
      <c r="WXI509" s="1508"/>
      <c r="WXJ509" s="1508"/>
      <c r="WXK509" s="1508"/>
      <c r="WXP509" s="1503"/>
      <c r="WXQ509" s="1504"/>
      <c r="WXR509" s="1505"/>
      <c r="WXS509" s="1506"/>
      <c r="WXT509" s="1507"/>
      <c r="WXU509" s="1508"/>
      <c r="WXV509" s="1509"/>
      <c r="WXW509" s="1510"/>
      <c r="WXX509" s="1509"/>
      <c r="WXY509" s="1511"/>
      <c r="WXZ509" s="1512"/>
      <c r="WYA509" s="1508"/>
      <c r="WYB509" s="1508"/>
      <c r="WYC509" s="1508"/>
      <c r="WYH509" s="1503"/>
      <c r="WYI509" s="1504"/>
      <c r="WYJ509" s="1505"/>
      <c r="WYK509" s="1506"/>
      <c r="WYL509" s="1507"/>
      <c r="WYM509" s="1508"/>
      <c r="WYN509" s="1509"/>
      <c r="WYO509" s="1510"/>
      <c r="WYP509" s="1509"/>
      <c r="WYQ509" s="1511"/>
      <c r="WYR509" s="1512"/>
      <c r="WYS509" s="1508"/>
      <c r="WYT509" s="1508"/>
      <c r="WYU509" s="1508"/>
      <c r="WYZ509" s="1503"/>
      <c r="WZA509" s="1504"/>
      <c r="WZB509" s="1505"/>
      <c r="WZC509" s="1506"/>
      <c r="WZD509" s="1507"/>
      <c r="WZE509" s="1508"/>
      <c r="WZF509" s="1509"/>
      <c r="WZG509" s="1510"/>
      <c r="WZH509" s="1509"/>
      <c r="WZI509" s="1511"/>
      <c r="WZJ509" s="1512"/>
      <c r="WZK509" s="1508"/>
      <c r="WZL509" s="1508"/>
      <c r="WZM509" s="1508"/>
      <c r="WZR509" s="1503"/>
      <c r="WZS509" s="1504"/>
      <c r="WZT509" s="1505"/>
      <c r="WZU509" s="1506"/>
      <c r="WZV509" s="1507"/>
      <c r="WZW509" s="1508"/>
      <c r="WZX509" s="1509"/>
      <c r="WZY509" s="1510"/>
      <c r="WZZ509" s="1509"/>
      <c r="XAA509" s="1511"/>
      <c r="XAB509" s="1512"/>
      <c r="XAC509" s="1508"/>
      <c r="XAD509" s="1508"/>
      <c r="XAE509" s="1508"/>
      <c r="XAJ509" s="1503"/>
      <c r="XAK509" s="1504"/>
      <c r="XAL509" s="1505"/>
      <c r="XAM509" s="1506"/>
      <c r="XAN509" s="1507"/>
      <c r="XAO509" s="1508"/>
      <c r="XAP509" s="1509"/>
      <c r="XAQ509" s="1510"/>
      <c r="XAR509" s="1509"/>
      <c r="XAS509" s="1511"/>
      <c r="XAT509" s="1512"/>
      <c r="XAU509" s="1508"/>
      <c r="XAV509" s="1508"/>
      <c r="XAW509" s="1508"/>
      <c r="XBB509" s="1503"/>
      <c r="XBC509" s="1504"/>
      <c r="XBD509" s="1505"/>
      <c r="XBE509" s="1506"/>
      <c r="XBF509" s="1507"/>
      <c r="XBG509" s="1508"/>
      <c r="XBH509" s="1509"/>
      <c r="XBI509" s="1510"/>
      <c r="XBJ509" s="1509"/>
      <c r="XBK509" s="1511"/>
      <c r="XBL509" s="1512"/>
      <c r="XBM509" s="1508"/>
      <c r="XBN509" s="1508"/>
      <c r="XBO509" s="1508"/>
      <c r="XBT509" s="1503"/>
      <c r="XBU509" s="1504"/>
      <c r="XBV509" s="1505"/>
      <c r="XBW509" s="1506"/>
      <c r="XBX509" s="1507"/>
      <c r="XBY509" s="1508"/>
      <c r="XBZ509" s="1509"/>
      <c r="XCA509" s="1510"/>
      <c r="XCB509" s="1509"/>
      <c r="XCC509" s="1511"/>
      <c r="XCD509" s="1512"/>
      <c r="XCE509" s="1508"/>
      <c r="XCF509" s="1508"/>
      <c r="XCG509" s="1508"/>
      <c r="XCL509" s="1503"/>
      <c r="XCM509" s="1504"/>
      <c r="XCN509" s="1505"/>
      <c r="XCO509" s="1506"/>
      <c r="XCP509" s="1507"/>
      <c r="XCQ509" s="1508"/>
      <c r="XCR509" s="1509"/>
      <c r="XCS509" s="1510"/>
      <c r="XCT509" s="1509"/>
      <c r="XCU509" s="1511"/>
      <c r="XCV509" s="1512"/>
      <c r="XCW509" s="1508"/>
      <c r="XCX509" s="1508"/>
      <c r="XCY509" s="1508"/>
      <c r="XDD509" s="1503"/>
      <c r="XDE509" s="1504"/>
      <c r="XDF509" s="1505"/>
      <c r="XDG509" s="1506"/>
      <c r="XDH509" s="1507"/>
      <c r="XDI509" s="1508"/>
      <c r="XDJ509" s="1509"/>
      <c r="XDK509" s="1510"/>
      <c r="XDL509" s="1509"/>
      <c r="XDM509" s="1511"/>
      <c r="XDN509" s="1512"/>
      <c r="XDO509" s="1508"/>
      <c r="XDP509" s="1508"/>
      <c r="XDQ509" s="1508"/>
      <c r="XDV509" s="1503"/>
      <c r="XDW509" s="1504"/>
      <c r="XDX509" s="1505"/>
      <c r="XDY509" s="1506"/>
      <c r="XDZ509" s="1507"/>
      <c r="XEA509" s="1508"/>
      <c r="XEB509" s="1509"/>
      <c r="XEC509" s="1510"/>
      <c r="XED509" s="1509"/>
      <c r="XEE509" s="1511"/>
      <c r="XEF509" s="1512"/>
      <c r="XEG509" s="1508"/>
      <c r="XEH509" s="1508"/>
      <c r="XEI509" s="1508"/>
      <c r="XEN509" s="1503"/>
      <c r="XEO509" s="1504"/>
      <c r="XEP509" s="1505"/>
      <c r="XEQ509" s="1506"/>
      <c r="XER509" s="1507"/>
      <c r="XES509" s="1508"/>
      <c r="XET509" s="1509"/>
      <c r="XEU509" s="1510"/>
      <c r="XEV509" s="1509"/>
      <c r="XEW509" s="1511"/>
      <c r="XEX509" s="1512"/>
      <c r="XEY509" s="1508"/>
      <c r="XEZ509" s="1508"/>
      <c r="XFA509" s="1508"/>
    </row>
    <row r="510" spans="1:40 16098:16381" s="1502" customFormat="1" ht="28.8" x14ac:dyDescent="0.3">
      <c r="A510" s="1502" t="s">
        <v>264</v>
      </c>
      <c r="B510" s="1503" t="s">
        <v>280</v>
      </c>
      <c r="C510" s="1504" t="s">
        <v>3806</v>
      </c>
      <c r="D510" s="1505" t="s">
        <v>34</v>
      </c>
      <c r="E510" s="1506" t="s">
        <v>282</v>
      </c>
      <c r="F510" s="1507" t="s">
        <v>285</v>
      </c>
      <c r="G510" s="1508">
        <v>2.2000000000000002</v>
      </c>
      <c r="H510" s="1509">
        <v>52067.6</v>
      </c>
      <c r="I510" s="1510" t="s">
        <v>267</v>
      </c>
      <c r="J510" s="1509">
        <v>52067.6</v>
      </c>
      <c r="K510" s="1511">
        <v>0</v>
      </c>
      <c r="L510" s="1512">
        <v>0</v>
      </c>
      <c r="M510" s="1508" t="s">
        <v>55</v>
      </c>
      <c r="N510" s="1508" t="s">
        <v>2504</v>
      </c>
      <c r="O510" s="1508" t="s">
        <v>3768</v>
      </c>
      <c r="P510" s="1502" t="s">
        <v>40</v>
      </c>
      <c r="R510" s="1502" t="s">
        <v>64</v>
      </c>
      <c r="V510" s="1502" t="s">
        <v>40</v>
      </c>
      <c r="X510" s="1502" t="s">
        <v>40</v>
      </c>
      <c r="Z510" s="1502" t="s">
        <v>64</v>
      </c>
      <c r="AB510" s="1502" t="s">
        <v>40</v>
      </c>
      <c r="AE510" s="1531">
        <v>46203</v>
      </c>
      <c r="AF510" s="1502" t="s">
        <v>247</v>
      </c>
      <c r="AG510" s="1502">
        <v>2023</v>
      </c>
      <c r="AH510" s="1509">
        <v>257635.69156000001</v>
      </c>
      <c r="AI510" s="1502" t="s">
        <v>3787</v>
      </c>
      <c r="AK510" s="1502" t="s">
        <v>43</v>
      </c>
      <c r="AL510" s="1502" t="s">
        <v>41</v>
      </c>
      <c r="AM510" s="1502">
        <v>0</v>
      </c>
      <c r="AN510" s="1502" t="s">
        <v>40</v>
      </c>
      <c r="WVN510" s="1503"/>
      <c r="WVO510" s="1504"/>
      <c r="WVP510" s="1505"/>
      <c r="WVQ510" s="1506"/>
      <c r="WVR510" s="1507"/>
      <c r="WVS510" s="1508"/>
      <c r="WVT510" s="1509"/>
      <c r="WVU510" s="1510"/>
      <c r="WVV510" s="1509"/>
      <c r="WVW510" s="1511"/>
      <c r="WVX510" s="1512"/>
      <c r="WVY510" s="1508"/>
      <c r="WVZ510" s="1508"/>
      <c r="WWA510" s="1508"/>
      <c r="WWF510" s="1503"/>
      <c r="WWG510" s="1504"/>
      <c r="WWH510" s="1505"/>
      <c r="WWI510" s="1506"/>
      <c r="WWJ510" s="1507"/>
      <c r="WWK510" s="1508"/>
      <c r="WWL510" s="1509"/>
      <c r="WWM510" s="1510"/>
      <c r="WWN510" s="1509"/>
      <c r="WWO510" s="1511"/>
      <c r="WWP510" s="1512"/>
      <c r="WWQ510" s="1508"/>
      <c r="WWR510" s="1508"/>
      <c r="WWS510" s="1508"/>
      <c r="WWX510" s="1503"/>
      <c r="WWY510" s="1504"/>
      <c r="WWZ510" s="1505"/>
      <c r="WXA510" s="1506"/>
      <c r="WXB510" s="1507"/>
      <c r="WXC510" s="1508"/>
      <c r="WXD510" s="1509"/>
      <c r="WXE510" s="1510"/>
      <c r="WXF510" s="1509"/>
      <c r="WXG510" s="1511"/>
      <c r="WXH510" s="1512"/>
      <c r="WXI510" s="1508"/>
      <c r="WXJ510" s="1508"/>
      <c r="WXK510" s="1508"/>
      <c r="WXP510" s="1503"/>
      <c r="WXQ510" s="1504"/>
      <c r="WXR510" s="1505"/>
      <c r="WXS510" s="1506"/>
      <c r="WXT510" s="1507"/>
      <c r="WXU510" s="1508"/>
      <c r="WXV510" s="1509"/>
      <c r="WXW510" s="1510"/>
      <c r="WXX510" s="1509"/>
      <c r="WXY510" s="1511"/>
      <c r="WXZ510" s="1512"/>
      <c r="WYA510" s="1508"/>
      <c r="WYB510" s="1508"/>
      <c r="WYC510" s="1508"/>
      <c r="WYH510" s="1503"/>
      <c r="WYI510" s="1504"/>
      <c r="WYJ510" s="1505"/>
      <c r="WYK510" s="1506"/>
      <c r="WYL510" s="1507"/>
      <c r="WYM510" s="1508"/>
      <c r="WYN510" s="1509"/>
      <c r="WYO510" s="1510"/>
      <c r="WYP510" s="1509"/>
      <c r="WYQ510" s="1511"/>
      <c r="WYR510" s="1512"/>
      <c r="WYS510" s="1508"/>
      <c r="WYT510" s="1508"/>
      <c r="WYU510" s="1508"/>
      <c r="WYZ510" s="1503"/>
      <c r="WZA510" s="1504"/>
      <c r="WZB510" s="1505"/>
      <c r="WZC510" s="1506"/>
      <c r="WZD510" s="1507"/>
      <c r="WZE510" s="1508"/>
      <c r="WZF510" s="1509"/>
      <c r="WZG510" s="1510"/>
      <c r="WZH510" s="1509"/>
      <c r="WZI510" s="1511"/>
      <c r="WZJ510" s="1512"/>
      <c r="WZK510" s="1508"/>
      <c r="WZL510" s="1508"/>
      <c r="WZM510" s="1508"/>
      <c r="WZR510" s="1503"/>
      <c r="WZS510" s="1504"/>
      <c r="WZT510" s="1505"/>
      <c r="WZU510" s="1506"/>
      <c r="WZV510" s="1507"/>
      <c r="WZW510" s="1508"/>
      <c r="WZX510" s="1509"/>
      <c r="WZY510" s="1510"/>
      <c r="WZZ510" s="1509"/>
      <c r="XAA510" s="1511"/>
      <c r="XAB510" s="1512"/>
      <c r="XAC510" s="1508"/>
      <c r="XAD510" s="1508"/>
      <c r="XAE510" s="1508"/>
      <c r="XAJ510" s="1503"/>
      <c r="XAK510" s="1504"/>
      <c r="XAL510" s="1505"/>
      <c r="XAM510" s="1506"/>
      <c r="XAN510" s="1507"/>
      <c r="XAO510" s="1508"/>
      <c r="XAP510" s="1509"/>
      <c r="XAQ510" s="1510"/>
      <c r="XAR510" s="1509"/>
      <c r="XAS510" s="1511"/>
      <c r="XAT510" s="1512"/>
      <c r="XAU510" s="1508"/>
      <c r="XAV510" s="1508"/>
      <c r="XAW510" s="1508"/>
      <c r="XBB510" s="1503"/>
      <c r="XBC510" s="1504"/>
      <c r="XBD510" s="1505"/>
      <c r="XBE510" s="1506"/>
      <c r="XBF510" s="1507"/>
      <c r="XBG510" s="1508"/>
      <c r="XBH510" s="1509"/>
      <c r="XBI510" s="1510"/>
      <c r="XBJ510" s="1509"/>
      <c r="XBK510" s="1511"/>
      <c r="XBL510" s="1512"/>
      <c r="XBM510" s="1508"/>
      <c r="XBN510" s="1508"/>
      <c r="XBO510" s="1508"/>
      <c r="XBT510" s="1503"/>
      <c r="XBU510" s="1504"/>
      <c r="XBV510" s="1505"/>
      <c r="XBW510" s="1506"/>
      <c r="XBX510" s="1507"/>
      <c r="XBY510" s="1508"/>
      <c r="XBZ510" s="1509"/>
      <c r="XCA510" s="1510"/>
      <c r="XCB510" s="1509"/>
      <c r="XCC510" s="1511"/>
      <c r="XCD510" s="1512"/>
      <c r="XCE510" s="1508"/>
      <c r="XCF510" s="1508"/>
      <c r="XCG510" s="1508"/>
      <c r="XCL510" s="1503"/>
      <c r="XCM510" s="1504"/>
      <c r="XCN510" s="1505"/>
      <c r="XCO510" s="1506"/>
      <c r="XCP510" s="1507"/>
      <c r="XCQ510" s="1508"/>
      <c r="XCR510" s="1509"/>
      <c r="XCS510" s="1510"/>
      <c r="XCT510" s="1509"/>
      <c r="XCU510" s="1511"/>
      <c r="XCV510" s="1512"/>
      <c r="XCW510" s="1508"/>
      <c r="XCX510" s="1508"/>
      <c r="XCY510" s="1508"/>
      <c r="XDD510" s="1503"/>
      <c r="XDE510" s="1504"/>
      <c r="XDF510" s="1505"/>
      <c r="XDG510" s="1506"/>
      <c r="XDH510" s="1507"/>
      <c r="XDI510" s="1508"/>
      <c r="XDJ510" s="1509"/>
      <c r="XDK510" s="1510"/>
      <c r="XDL510" s="1509"/>
      <c r="XDM510" s="1511"/>
      <c r="XDN510" s="1512"/>
      <c r="XDO510" s="1508"/>
      <c r="XDP510" s="1508"/>
      <c r="XDQ510" s="1508"/>
      <c r="XDV510" s="1503"/>
      <c r="XDW510" s="1504"/>
      <c r="XDX510" s="1505"/>
      <c r="XDY510" s="1506"/>
      <c r="XDZ510" s="1507"/>
      <c r="XEA510" s="1508"/>
      <c r="XEB510" s="1509"/>
      <c r="XEC510" s="1510"/>
      <c r="XED510" s="1509"/>
      <c r="XEE510" s="1511"/>
      <c r="XEF510" s="1512"/>
      <c r="XEG510" s="1508"/>
      <c r="XEH510" s="1508"/>
      <c r="XEI510" s="1508"/>
      <c r="XEN510" s="1503"/>
      <c r="XEO510" s="1504"/>
      <c r="XEP510" s="1505"/>
      <c r="XEQ510" s="1506"/>
      <c r="XER510" s="1507"/>
      <c r="XES510" s="1508"/>
      <c r="XET510" s="1509"/>
      <c r="XEU510" s="1510"/>
      <c r="XEV510" s="1509"/>
      <c r="XEW510" s="1511"/>
      <c r="XEX510" s="1512"/>
      <c r="XEY510" s="1508"/>
      <c r="XEZ510" s="1508"/>
      <c r="XFA510" s="1508"/>
    </row>
    <row r="511" spans="1:40 16098:16381" s="1502" customFormat="1" ht="28.8" x14ac:dyDescent="0.3">
      <c r="A511" s="1502" t="s">
        <v>264</v>
      </c>
      <c r="B511" s="1503" t="s">
        <v>280</v>
      </c>
      <c r="C511" s="1504" t="s">
        <v>3807</v>
      </c>
      <c r="D511" s="1505" t="s">
        <v>34</v>
      </c>
      <c r="E511" s="1506" t="s">
        <v>282</v>
      </c>
      <c r="F511" s="1507" t="s">
        <v>285</v>
      </c>
      <c r="G511" s="1508">
        <v>31.345500000000001</v>
      </c>
      <c r="H511" s="1509">
        <v>515816.08</v>
      </c>
      <c r="I511" s="1510" t="s">
        <v>267</v>
      </c>
      <c r="J511" s="1509">
        <v>515816.08</v>
      </c>
      <c r="K511" s="1511">
        <v>0</v>
      </c>
      <c r="L511" s="1512">
        <v>0</v>
      </c>
      <c r="M511" s="1508" t="s">
        <v>84</v>
      </c>
      <c r="N511" s="1508" t="s">
        <v>3751</v>
      </c>
      <c r="O511" s="1508" t="s">
        <v>3769</v>
      </c>
      <c r="P511" s="1502" t="s">
        <v>40</v>
      </c>
      <c r="R511" s="1502" t="s">
        <v>64</v>
      </c>
      <c r="V511" s="1502" t="s">
        <v>40</v>
      </c>
      <c r="X511" s="1502" t="s">
        <v>40</v>
      </c>
      <c r="Z511" s="1502" t="s">
        <v>64</v>
      </c>
      <c r="AB511" s="1502" t="s">
        <v>40</v>
      </c>
      <c r="AE511" s="1531">
        <v>46203</v>
      </c>
      <c r="AF511" s="1502" t="s">
        <v>247</v>
      </c>
      <c r="AG511" s="1502">
        <v>2023</v>
      </c>
      <c r="AH511" s="1509">
        <v>2552309.5299999998</v>
      </c>
      <c r="AI511" s="1502" t="s">
        <v>3788</v>
      </c>
      <c r="AK511" s="1502" t="s">
        <v>43</v>
      </c>
      <c r="AL511" s="1502" t="s">
        <v>41</v>
      </c>
      <c r="AM511" s="1502">
        <v>0</v>
      </c>
      <c r="AN511" s="1502" t="s">
        <v>40</v>
      </c>
      <c r="WUV511" s="1503"/>
      <c r="WUW511" s="1504"/>
      <c r="WUX511" s="1505"/>
      <c r="WUY511" s="1506"/>
      <c r="WUZ511" s="1507"/>
      <c r="WVA511" s="1508"/>
      <c r="WVB511" s="1509"/>
      <c r="WVC511" s="1510"/>
      <c r="WVD511" s="1509"/>
      <c r="WVE511" s="1511"/>
      <c r="WVF511" s="1512"/>
      <c r="WVG511" s="1508"/>
      <c r="WVH511" s="1508"/>
      <c r="WVI511" s="1508"/>
      <c r="WVN511" s="1503"/>
      <c r="WVO511" s="1504"/>
      <c r="WVP511" s="1505"/>
      <c r="WVQ511" s="1506"/>
      <c r="WVR511" s="1507"/>
      <c r="WVS511" s="1508"/>
      <c r="WVT511" s="1509"/>
      <c r="WVU511" s="1510"/>
      <c r="WVV511" s="1509"/>
      <c r="WVW511" s="1511"/>
      <c r="WVX511" s="1512"/>
      <c r="WVY511" s="1508"/>
      <c r="WVZ511" s="1508"/>
      <c r="WWA511" s="1508"/>
      <c r="WWF511" s="1503"/>
      <c r="WWG511" s="1504"/>
      <c r="WWH511" s="1505"/>
      <c r="WWI511" s="1506"/>
      <c r="WWJ511" s="1507"/>
      <c r="WWK511" s="1508"/>
      <c r="WWL511" s="1509"/>
      <c r="WWM511" s="1510"/>
      <c r="WWN511" s="1509"/>
      <c r="WWO511" s="1511"/>
      <c r="WWP511" s="1512"/>
      <c r="WWQ511" s="1508"/>
      <c r="WWR511" s="1508"/>
      <c r="WWS511" s="1508"/>
      <c r="WWX511" s="1503"/>
      <c r="WWY511" s="1504"/>
      <c r="WWZ511" s="1505"/>
      <c r="WXA511" s="1506"/>
      <c r="WXB511" s="1507"/>
      <c r="WXC511" s="1508"/>
      <c r="WXD511" s="1509"/>
      <c r="WXE511" s="1510"/>
      <c r="WXF511" s="1509"/>
      <c r="WXG511" s="1511"/>
      <c r="WXH511" s="1512"/>
      <c r="WXI511" s="1508"/>
      <c r="WXJ511" s="1508"/>
      <c r="WXK511" s="1508"/>
      <c r="WXP511" s="1503"/>
      <c r="WXQ511" s="1504"/>
      <c r="WXR511" s="1505"/>
      <c r="WXS511" s="1506"/>
      <c r="WXT511" s="1507"/>
      <c r="WXU511" s="1508"/>
      <c r="WXV511" s="1509"/>
      <c r="WXW511" s="1510"/>
      <c r="WXX511" s="1509"/>
      <c r="WXY511" s="1511"/>
      <c r="WXZ511" s="1512"/>
      <c r="WYA511" s="1508"/>
      <c r="WYB511" s="1508"/>
      <c r="WYC511" s="1508"/>
      <c r="WYH511" s="1503"/>
      <c r="WYI511" s="1504"/>
      <c r="WYJ511" s="1505"/>
      <c r="WYK511" s="1506"/>
      <c r="WYL511" s="1507"/>
      <c r="WYM511" s="1508"/>
      <c r="WYN511" s="1509"/>
      <c r="WYO511" s="1510"/>
      <c r="WYP511" s="1509"/>
      <c r="WYQ511" s="1511"/>
      <c r="WYR511" s="1512"/>
      <c r="WYS511" s="1508"/>
      <c r="WYT511" s="1508"/>
      <c r="WYU511" s="1508"/>
      <c r="WYZ511" s="1503"/>
      <c r="WZA511" s="1504"/>
      <c r="WZB511" s="1505"/>
      <c r="WZC511" s="1506"/>
      <c r="WZD511" s="1507"/>
      <c r="WZE511" s="1508"/>
      <c r="WZF511" s="1509"/>
      <c r="WZG511" s="1510"/>
      <c r="WZH511" s="1509"/>
      <c r="WZI511" s="1511"/>
      <c r="WZJ511" s="1512"/>
      <c r="WZK511" s="1508"/>
      <c r="WZL511" s="1508"/>
      <c r="WZM511" s="1508"/>
      <c r="WZR511" s="1503"/>
      <c r="WZS511" s="1504"/>
      <c r="WZT511" s="1505"/>
      <c r="WZU511" s="1506"/>
      <c r="WZV511" s="1507"/>
      <c r="WZW511" s="1508"/>
      <c r="WZX511" s="1509"/>
      <c r="WZY511" s="1510"/>
      <c r="WZZ511" s="1509"/>
      <c r="XAA511" s="1511"/>
      <c r="XAB511" s="1512"/>
      <c r="XAC511" s="1508"/>
      <c r="XAD511" s="1508"/>
      <c r="XAE511" s="1508"/>
      <c r="XAJ511" s="1503"/>
      <c r="XAK511" s="1504"/>
      <c r="XAL511" s="1505"/>
      <c r="XAM511" s="1506"/>
      <c r="XAN511" s="1507"/>
      <c r="XAO511" s="1508"/>
      <c r="XAP511" s="1509"/>
      <c r="XAQ511" s="1510"/>
      <c r="XAR511" s="1509"/>
      <c r="XAS511" s="1511"/>
      <c r="XAT511" s="1512"/>
      <c r="XAU511" s="1508"/>
      <c r="XAV511" s="1508"/>
      <c r="XAW511" s="1508"/>
      <c r="XBB511" s="1503"/>
      <c r="XBC511" s="1504"/>
      <c r="XBD511" s="1505"/>
      <c r="XBE511" s="1506"/>
      <c r="XBF511" s="1507"/>
      <c r="XBG511" s="1508"/>
      <c r="XBH511" s="1509"/>
      <c r="XBI511" s="1510"/>
      <c r="XBJ511" s="1509"/>
      <c r="XBK511" s="1511"/>
      <c r="XBL511" s="1512"/>
      <c r="XBM511" s="1508"/>
      <c r="XBN511" s="1508"/>
      <c r="XBO511" s="1508"/>
      <c r="XBT511" s="1503"/>
      <c r="XBU511" s="1504"/>
      <c r="XBV511" s="1505"/>
      <c r="XBW511" s="1506"/>
      <c r="XBX511" s="1507"/>
      <c r="XBY511" s="1508"/>
      <c r="XBZ511" s="1509"/>
      <c r="XCA511" s="1510"/>
      <c r="XCB511" s="1509"/>
      <c r="XCC511" s="1511"/>
      <c r="XCD511" s="1512"/>
      <c r="XCE511" s="1508"/>
      <c r="XCF511" s="1508"/>
      <c r="XCG511" s="1508"/>
      <c r="XCL511" s="1503"/>
      <c r="XCM511" s="1504"/>
      <c r="XCN511" s="1505"/>
      <c r="XCO511" s="1506"/>
      <c r="XCP511" s="1507"/>
      <c r="XCQ511" s="1508"/>
      <c r="XCR511" s="1509"/>
      <c r="XCS511" s="1510"/>
      <c r="XCT511" s="1509"/>
      <c r="XCU511" s="1511"/>
      <c r="XCV511" s="1512"/>
      <c r="XCW511" s="1508"/>
      <c r="XCX511" s="1508"/>
      <c r="XCY511" s="1508"/>
      <c r="XDD511" s="1503"/>
      <c r="XDE511" s="1504"/>
      <c r="XDF511" s="1505"/>
      <c r="XDG511" s="1506"/>
      <c r="XDH511" s="1507"/>
      <c r="XDI511" s="1508"/>
      <c r="XDJ511" s="1509"/>
      <c r="XDK511" s="1510"/>
      <c r="XDL511" s="1509"/>
      <c r="XDM511" s="1511"/>
      <c r="XDN511" s="1512"/>
      <c r="XDO511" s="1508"/>
      <c r="XDP511" s="1508"/>
      <c r="XDQ511" s="1508"/>
      <c r="XDV511" s="1503"/>
      <c r="XDW511" s="1504"/>
      <c r="XDX511" s="1505"/>
      <c r="XDY511" s="1506"/>
      <c r="XDZ511" s="1507"/>
      <c r="XEA511" s="1508"/>
      <c r="XEB511" s="1509"/>
      <c r="XEC511" s="1510"/>
      <c r="XED511" s="1509"/>
      <c r="XEE511" s="1511"/>
      <c r="XEF511" s="1512"/>
      <c r="XEG511" s="1508"/>
      <c r="XEH511" s="1508"/>
      <c r="XEI511" s="1508"/>
      <c r="XEN511" s="1503"/>
      <c r="XEO511" s="1504"/>
      <c r="XEP511" s="1505"/>
      <c r="XEQ511" s="1506"/>
      <c r="XER511" s="1507"/>
      <c r="XES511" s="1508"/>
      <c r="XET511" s="1509"/>
      <c r="XEU511" s="1510"/>
      <c r="XEV511" s="1509"/>
      <c r="XEW511" s="1511"/>
      <c r="XEX511" s="1512"/>
      <c r="XEY511" s="1508"/>
      <c r="XEZ511" s="1508"/>
      <c r="XFA511" s="1508"/>
    </row>
    <row r="512" spans="1:40 16098:16381" s="1502" customFormat="1" ht="28.8" x14ac:dyDescent="0.3">
      <c r="A512" s="1502" t="s">
        <v>264</v>
      </c>
      <c r="B512" s="1503" t="s">
        <v>280</v>
      </c>
      <c r="C512" s="1504" t="s">
        <v>3808</v>
      </c>
      <c r="D512" s="1505" t="s">
        <v>34</v>
      </c>
      <c r="E512" s="1506" t="s">
        <v>282</v>
      </c>
      <c r="F512" s="1507" t="s">
        <v>285</v>
      </c>
      <c r="G512" s="1508">
        <v>50.3</v>
      </c>
      <c r="H512" s="1509">
        <v>676143.98</v>
      </c>
      <c r="I512" s="1510" t="s">
        <v>267</v>
      </c>
      <c r="J512" s="1509">
        <v>676143.98</v>
      </c>
      <c r="K512" s="1511">
        <v>0</v>
      </c>
      <c r="L512" s="1512">
        <v>0</v>
      </c>
      <c r="M512" s="1508" t="s">
        <v>303</v>
      </c>
      <c r="N512" s="1508" t="s">
        <v>3752</v>
      </c>
      <c r="O512" s="1508" t="s">
        <v>3770</v>
      </c>
      <c r="P512" s="1502" t="s">
        <v>40</v>
      </c>
      <c r="R512" s="1502" t="s">
        <v>64</v>
      </c>
      <c r="V512" s="1502" t="s">
        <v>40</v>
      </c>
      <c r="X512" s="1502" t="s">
        <v>40</v>
      </c>
      <c r="Z512" s="1502" t="s">
        <v>64</v>
      </c>
      <c r="AB512" s="1502" t="s">
        <v>40</v>
      </c>
      <c r="AE512" s="1531">
        <v>46203</v>
      </c>
      <c r="AF512" s="1502" t="s">
        <v>247</v>
      </c>
      <c r="AG512" s="1502">
        <v>2023</v>
      </c>
      <c r="AH512" s="1509">
        <v>3345628.0274379998</v>
      </c>
      <c r="AI512" s="1502" t="s">
        <v>3789</v>
      </c>
      <c r="AK512" s="1502" t="s">
        <v>43</v>
      </c>
      <c r="AL512" s="1502" t="s">
        <v>41</v>
      </c>
      <c r="AM512" s="1502">
        <v>0</v>
      </c>
      <c r="AN512" s="1502" t="s">
        <v>40</v>
      </c>
      <c r="WUD512" s="1503"/>
      <c r="WUE512" s="1504"/>
      <c r="WUF512" s="1505"/>
      <c r="WUG512" s="1506"/>
      <c r="WUH512" s="1507"/>
      <c r="WUI512" s="1508"/>
      <c r="WUJ512" s="1509"/>
      <c r="WUK512" s="1510"/>
      <c r="WUL512" s="1509"/>
      <c r="WUM512" s="1511"/>
      <c r="WUN512" s="1512"/>
      <c r="WUO512" s="1508"/>
      <c r="WUP512" s="1508"/>
      <c r="WUQ512" s="1508"/>
      <c r="WUV512" s="1503"/>
      <c r="WUW512" s="1504"/>
      <c r="WUX512" s="1505"/>
      <c r="WUY512" s="1506"/>
      <c r="WUZ512" s="1507"/>
      <c r="WVA512" s="1508"/>
      <c r="WVB512" s="1509"/>
      <c r="WVC512" s="1510"/>
      <c r="WVD512" s="1509"/>
      <c r="WVE512" s="1511"/>
      <c r="WVF512" s="1512"/>
      <c r="WVG512" s="1508"/>
      <c r="WVH512" s="1508"/>
      <c r="WVI512" s="1508"/>
      <c r="WVN512" s="1503"/>
      <c r="WVO512" s="1504"/>
      <c r="WVP512" s="1505"/>
      <c r="WVQ512" s="1506"/>
      <c r="WVR512" s="1507"/>
      <c r="WVS512" s="1508"/>
      <c r="WVT512" s="1509"/>
      <c r="WVU512" s="1510"/>
      <c r="WVV512" s="1509"/>
      <c r="WVW512" s="1511"/>
      <c r="WVX512" s="1512"/>
      <c r="WVY512" s="1508"/>
      <c r="WVZ512" s="1508"/>
      <c r="WWA512" s="1508"/>
      <c r="WWF512" s="1503"/>
      <c r="WWG512" s="1504"/>
      <c r="WWH512" s="1505"/>
      <c r="WWI512" s="1506"/>
      <c r="WWJ512" s="1507"/>
      <c r="WWK512" s="1508"/>
      <c r="WWL512" s="1509"/>
      <c r="WWM512" s="1510"/>
      <c r="WWN512" s="1509"/>
      <c r="WWO512" s="1511"/>
      <c r="WWP512" s="1512"/>
      <c r="WWQ512" s="1508"/>
      <c r="WWR512" s="1508"/>
      <c r="WWS512" s="1508"/>
      <c r="WWX512" s="1503"/>
      <c r="WWY512" s="1504"/>
      <c r="WWZ512" s="1505"/>
      <c r="WXA512" s="1506"/>
      <c r="WXB512" s="1507"/>
      <c r="WXC512" s="1508"/>
      <c r="WXD512" s="1509"/>
      <c r="WXE512" s="1510"/>
      <c r="WXF512" s="1509"/>
      <c r="WXG512" s="1511"/>
      <c r="WXH512" s="1512"/>
      <c r="WXI512" s="1508"/>
      <c r="WXJ512" s="1508"/>
      <c r="WXK512" s="1508"/>
      <c r="WXP512" s="1503"/>
      <c r="WXQ512" s="1504"/>
      <c r="WXR512" s="1505"/>
      <c r="WXS512" s="1506"/>
      <c r="WXT512" s="1507"/>
      <c r="WXU512" s="1508"/>
      <c r="WXV512" s="1509"/>
      <c r="WXW512" s="1510"/>
      <c r="WXX512" s="1509"/>
      <c r="WXY512" s="1511"/>
      <c r="WXZ512" s="1512"/>
      <c r="WYA512" s="1508"/>
      <c r="WYB512" s="1508"/>
      <c r="WYC512" s="1508"/>
      <c r="WYH512" s="1503"/>
      <c r="WYI512" s="1504"/>
      <c r="WYJ512" s="1505"/>
      <c r="WYK512" s="1506"/>
      <c r="WYL512" s="1507"/>
      <c r="WYM512" s="1508"/>
      <c r="WYN512" s="1509"/>
      <c r="WYO512" s="1510"/>
      <c r="WYP512" s="1509"/>
      <c r="WYQ512" s="1511"/>
      <c r="WYR512" s="1512"/>
      <c r="WYS512" s="1508"/>
      <c r="WYT512" s="1508"/>
      <c r="WYU512" s="1508"/>
      <c r="WYZ512" s="1503"/>
      <c r="WZA512" s="1504"/>
      <c r="WZB512" s="1505"/>
      <c r="WZC512" s="1506"/>
      <c r="WZD512" s="1507"/>
      <c r="WZE512" s="1508"/>
      <c r="WZF512" s="1509"/>
      <c r="WZG512" s="1510"/>
      <c r="WZH512" s="1509"/>
      <c r="WZI512" s="1511"/>
      <c r="WZJ512" s="1512"/>
      <c r="WZK512" s="1508"/>
      <c r="WZL512" s="1508"/>
      <c r="WZM512" s="1508"/>
      <c r="WZR512" s="1503"/>
      <c r="WZS512" s="1504"/>
      <c r="WZT512" s="1505"/>
      <c r="WZU512" s="1506"/>
      <c r="WZV512" s="1507"/>
      <c r="WZW512" s="1508"/>
      <c r="WZX512" s="1509"/>
      <c r="WZY512" s="1510"/>
      <c r="WZZ512" s="1509"/>
      <c r="XAA512" s="1511"/>
      <c r="XAB512" s="1512"/>
      <c r="XAC512" s="1508"/>
      <c r="XAD512" s="1508"/>
      <c r="XAE512" s="1508"/>
      <c r="XAJ512" s="1503"/>
      <c r="XAK512" s="1504"/>
      <c r="XAL512" s="1505"/>
      <c r="XAM512" s="1506"/>
      <c r="XAN512" s="1507"/>
      <c r="XAO512" s="1508"/>
      <c r="XAP512" s="1509"/>
      <c r="XAQ512" s="1510"/>
      <c r="XAR512" s="1509"/>
      <c r="XAS512" s="1511"/>
      <c r="XAT512" s="1512"/>
      <c r="XAU512" s="1508"/>
      <c r="XAV512" s="1508"/>
      <c r="XAW512" s="1508"/>
      <c r="XBB512" s="1503"/>
      <c r="XBC512" s="1504"/>
      <c r="XBD512" s="1505"/>
      <c r="XBE512" s="1506"/>
      <c r="XBF512" s="1507"/>
      <c r="XBG512" s="1508"/>
      <c r="XBH512" s="1509"/>
      <c r="XBI512" s="1510"/>
      <c r="XBJ512" s="1509"/>
      <c r="XBK512" s="1511"/>
      <c r="XBL512" s="1512"/>
      <c r="XBM512" s="1508"/>
      <c r="XBN512" s="1508"/>
      <c r="XBO512" s="1508"/>
      <c r="XBT512" s="1503"/>
      <c r="XBU512" s="1504"/>
      <c r="XBV512" s="1505"/>
      <c r="XBW512" s="1506"/>
      <c r="XBX512" s="1507"/>
      <c r="XBY512" s="1508"/>
      <c r="XBZ512" s="1509"/>
      <c r="XCA512" s="1510"/>
      <c r="XCB512" s="1509"/>
      <c r="XCC512" s="1511"/>
      <c r="XCD512" s="1512"/>
      <c r="XCE512" s="1508"/>
      <c r="XCF512" s="1508"/>
      <c r="XCG512" s="1508"/>
      <c r="XCL512" s="1503"/>
      <c r="XCM512" s="1504"/>
      <c r="XCN512" s="1505"/>
      <c r="XCO512" s="1506"/>
      <c r="XCP512" s="1507"/>
      <c r="XCQ512" s="1508"/>
      <c r="XCR512" s="1509"/>
      <c r="XCS512" s="1510"/>
      <c r="XCT512" s="1509"/>
      <c r="XCU512" s="1511"/>
      <c r="XCV512" s="1512"/>
      <c r="XCW512" s="1508"/>
      <c r="XCX512" s="1508"/>
      <c r="XCY512" s="1508"/>
      <c r="XDD512" s="1503"/>
      <c r="XDE512" s="1504"/>
      <c r="XDF512" s="1505"/>
      <c r="XDG512" s="1506"/>
      <c r="XDH512" s="1507"/>
      <c r="XDI512" s="1508"/>
      <c r="XDJ512" s="1509"/>
      <c r="XDK512" s="1510"/>
      <c r="XDL512" s="1509"/>
      <c r="XDM512" s="1511"/>
      <c r="XDN512" s="1512"/>
      <c r="XDO512" s="1508"/>
      <c r="XDP512" s="1508"/>
      <c r="XDQ512" s="1508"/>
      <c r="XDV512" s="1503"/>
      <c r="XDW512" s="1504"/>
      <c r="XDX512" s="1505"/>
      <c r="XDY512" s="1506"/>
      <c r="XDZ512" s="1507"/>
      <c r="XEA512" s="1508"/>
      <c r="XEB512" s="1509"/>
      <c r="XEC512" s="1510"/>
      <c r="XED512" s="1509"/>
      <c r="XEE512" s="1511"/>
      <c r="XEF512" s="1512"/>
      <c r="XEG512" s="1508"/>
      <c r="XEH512" s="1508"/>
      <c r="XEI512" s="1508"/>
      <c r="XEN512" s="1503"/>
      <c r="XEO512" s="1504"/>
      <c r="XEP512" s="1505"/>
      <c r="XEQ512" s="1506"/>
      <c r="XER512" s="1507"/>
      <c r="XES512" s="1508"/>
      <c r="XET512" s="1509"/>
      <c r="XEU512" s="1510"/>
      <c r="XEV512" s="1509"/>
      <c r="XEW512" s="1511"/>
      <c r="XEX512" s="1512"/>
      <c r="XEY512" s="1508"/>
      <c r="XEZ512" s="1508"/>
      <c r="XFA512" s="1508"/>
    </row>
    <row r="513" spans="1:16381" s="1502" customFormat="1" ht="28.8" x14ac:dyDescent="0.3">
      <c r="A513" s="1502" t="s">
        <v>264</v>
      </c>
      <c r="B513" s="1503" t="s">
        <v>280</v>
      </c>
      <c r="C513" s="1504" t="s">
        <v>3809</v>
      </c>
      <c r="D513" s="1505" t="s">
        <v>34</v>
      </c>
      <c r="E513" s="1506" t="s">
        <v>282</v>
      </c>
      <c r="F513" s="1507" t="s">
        <v>285</v>
      </c>
      <c r="G513" s="1508">
        <v>81.043099999999995</v>
      </c>
      <c r="H513" s="1509">
        <v>1757371.98</v>
      </c>
      <c r="I513" s="1510" t="s">
        <v>267</v>
      </c>
      <c r="J513" s="1509">
        <v>1757371.98</v>
      </c>
      <c r="K513" s="1511">
        <v>0</v>
      </c>
      <c r="L513" s="1512">
        <v>0</v>
      </c>
      <c r="M513" s="1508" t="s">
        <v>636</v>
      </c>
      <c r="N513" s="1508" t="s">
        <v>3753</v>
      </c>
      <c r="O513" s="1508" t="s">
        <v>3771</v>
      </c>
      <c r="P513" s="1502" t="s">
        <v>40</v>
      </c>
      <c r="R513" s="1502" t="s">
        <v>64</v>
      </c>
      <c r="V513" s="1502" t="s">
        <v>40</v>
      </c>
      <c r="X513" s="1502" t="s">
        <v>40</v>
      </c>
      <c r="Z513" s="1502" t="s">
        <v>64</v>
      </c>
      <c r="AB513" s="1502" t="s">
        <v>40</v>
      </c>
      <c r="AE513" s="1531">
        <v>46203</v>
      </c>
      <c r="AF513" s="1502" t="s">
        <v>247</v>
      </c>
      <c r="AG513" s="1502">
        <v>2023</v>
      </c>
      <c r="AH513" s="1509">
        <v>8695652.3100000005</v>
      </c>
      <c r="AI513" s="1502" t="s">
        <v>3790</v>
      </c>
      <c r="AK513" s="1502" t="s">
        <v>43</v>
      </c>
      <c r="AL513" s="1502" t="s">
        <v>41</v>
      </c>
      <c r="AM513" s="1502">
        <v>0</v>
      </c>
      <c r="AN513" s="1502" t="s">
        <v>40</v>
      </c>
      <c r="WTL513" s="1503"/>
      <c r="WTM513" s="1504"/>
      <c r="WTN513" s="1505"/>
      <c r="WTO513" s="1506"/>
      <c r="WTP513" s="1507"/>
      <c r="WTQ513" s="1508"/>
      <c r="WTR513" s="1509"/>
      <c r="WTS513" s="1510"/>
      <c r="WTT513" s="1509"/>
      <c r="WTU513" s="1511"/>
      <c r="WTV513" s="1512"/>
      <c r="WTW513" s="1508"/>
      <c r="WTX513" s="1508"/>
      <c r="WTY513" s="1508"/>
      <c r="WUD513" s="1503"/>
      <c r="WUE513" s="1504"/>
      <c r="WUF513" s="1505"/>
      <c r="WUG513" s="1506"/>
      <c r="WUH513" s="1507"/>
      <c r="WUI513" s="1508"/>
      <c r="WUJ513" s="1509"/>
      <c r="WUK513" s="1510"/>
      <c r="WUL513" s="1509"/>
      <c r="WUM513" s="1511"/>
      <c r="WUN513" s="1512"/>
      <c r="WUO513" s="1508"/>
      <c r="WUP513" s="1508"/>
      <c r="WUQ513" s="1508"/>
      <c r="WUV513" s="1503"/>
      <c r="WUW513" s="1504"/>
      <c r="WUX513" s="1505"/>
      <c r="WUY513" s="1506"/>
      <c r="WUZ513" s="1507"/>
      <c r="WVA513" s="1508"/>
      <c r="WVB513" s="1509"/>
      <c r="WVC513" s="1510"/>
      <c r="WVD513" s="1509"/>
      <c r="WVE513" s="1511"/>
      <c r="WVF513" s="1512"/>
      <c r="WVG513" s="1508"/>
      <c r="WVH513" s="1508"/>
      <c r="WVI513" s="1508"/>
      <c r="WVN513" s="1503"/>
      <c r="WVO513" s="1504"/>
      <c r="WVP513" s="1505"/>
      <c r="WVQ513" s="1506"/>
      <c r="WVR513" s="1507"/>
      <c r="WVS513" s="1508"/>
      <c r="WVT513" s="1509"/>
      <c r="WVU513" s="1510"/>
      <c r="WVV513" s="1509"/>
      <c r="WVW513" s="1511"/>
      <c r="WVX513" s="1512"/>
      <c r="WVY513" s="1508"/>
      <c r="WVZ513" s="1508"/>
      <c r="WWA513" s="1508"/>
      <c r="WWF513" s="1503"/>
      <c r="WWG513" s="1504"/>
      <c r="WWH513" s="1505"/>
      <c r="WWI513" s="1506"/>
      <c r="WWJ513" s="1507"/>
      <c r="WWK513" s="1508"/>
      <c r="WWL513" s="1509"/>
      <c r="WWM513" s="1510"/>
      <c r="WWN513" s="1509"/>
      <c r="WWO513" s="1511"/>
      <c r="WWP513" s="1512"/>
      <c r="WWQ513" s="1508"/>
      <c r="WWR513" s="1508"/>
      <c r="WWS513" s="1508"/>
      <c r="WWX513" s="1503"/>
      <c r="WWY513" s="1504"/>
      <c r="WWZ513" s="1505"/>
      <c r="WXA513" s="1506"/>
      <c r="WXB513" s="1507"/>
      <c r="WXC513" s="1508"/>
      <c r="WXD513" s="1509"/>
      <c r="WXE513" s="1510"/>
      <c r="WXF513" s="1509"/>
      <c r="WXG513" s="1511"/>
      <c r="WXH513" s="1512"/>
      <c r="WXI513" s="1508"/>
      <c r="WXJ513" s="1508"/>
      <c r="WXK513" s="1508"/>
      <c r="WXP513" s="1503"/>
      <c r="WXQ513" s="1504"/>
      <c r="WXR513" s="1505"/>
      <c r="WXS513" s="1506"/>
      <c r="WXT513" s="1507"/>
      <c r="WXU513" s="1508"/>
      <c r="WXV513" s="1509"/>
      <c r="WXW513" s="1510"/>
      <c r="WXX513" s="1509"/>
      <c r="WXY513" s="1511"/>
      <c r="WXZ513" s="1512"/>
      <c r="WYA513" s="1508"/>
      <c r="WYB513" s="1508"/>
      <c r="WYC513" s="1508"/>
      <c r="WYH513" s="1503"/>
      <c r="WYI513" s="1504"/>
      <c r="WYJ513" s="1505"/>
      <c r="WYK513" s="1506"/>
      <c r="WYL513" s="1507"/>
      <c r="WYM513" s="1508"/>
      <c r="WYN513" s="1509"/>
      <c r="WYO513" s="1510"/>
      <c r="WYP513" s="1509"/>
      <c r="WYQ513" s="1511"/>
      <c r="WYR513" s="1512"/>
      <c r="WYS513" s="1508"/>
      <c r="WYT513" s="1508"/>
      <c r="WYU513" s="1508"/>
      <c r="WYZ513" s="1503"/>
      <c r="WZA513" s="1504"/>
      <c r="WZB513" s="1505"/>
      <c r="WZC513" s="1506"/>
      <c r="WZD513" s="1507"/>
      <c r="WZE513" s="1508"/>
      <c r="WZF513" s="1509"/>
      <c r="WZG513" s="1510"/>
      <c r="WZH513" s="1509"/>
      <c r="WZI513" s="1511"/>
      <c r="WZJ513" s="1512"/>
      <c r="WZK513" s="1508"/>
      <c r="WZL513" s="1508"/>
      <c r="WZM513" s="1508"/>
      <c r="WZR513" s="1503"/>
      <c r="WZS513" s="1504"/>
      <c r="WZT513" s="1505"/>
      <c r="WZU513" s="1506"/>
      <c r="WZV513" s="1507"/>
      <c r="WZW513" s="1508"/>
      <c r="WZX513" s="1509"/>
      <c r="WZY513" s="1510"/>
      <c r="WZZ513" s="1509"/>
      <c r="XAA513" s="1511"/>
      <c r="XAB513" s="1512"/>
      <c r="XAC513" s="1508"/>
      <c r="XAD513" s="1508"/>
      <c r="XAE513" s="1508"/>
      <c r="XAJ513" s="1503"/>
      <c r="XAK513" s="1504"/>
      <c r="XAL513" s="1505"/>
      <c r="XAM513" s="1506"/>
      <c r="XAN513" s="1507"/>
      <c r="XAO513" s="1508"/>
      <c r="XAP513" s="1509"/>
      <c r="XAQ513" s="1510"/>
      <c r="XAR513" s="1509"/>
      <c r="XAS513" s="1511"/>
      <c r="XAT513" s="1512"/>
      <c r="XAU513" s="1508"/>
      <c r="XAV513" s="1508"/>
      <c r="XAW513" s="1508"/>
      <c r="XBB513" s="1503"/>
      <c r="XBC513" s="1504"/>
      <c r="XBD513" s="1505"/>
      <c r="XBE513" s="1506"/>
      <c r="XBF513" s="1507"/>
      <c r="XBG513" s="1508"/>
      <c r="XBH513" s="1509"/>
      <c r="XBI513" s="1510"/>
      <c r="XBJ513" s="1509"/>
      <c r="XBK513" s="1511"/>
      <c r="XBL513" s="1512"/>
      <c r="XBM513" s="1508"/>
      <c r="XBN513" s="1508"/>
      <c r="XBO513" s="1508"/>
      <c r="XBT513" s="1503"/>
      <c r="XBU513" s="1504"/>
      <c r="XBV513" s="1505"/>
      <c r="XBW513" s="1506"/>
      <c r="XBX513" s="1507"/>
      <c r="XBY513" s="1508"/>
      <c r="XBZ513" s="1509"/>
      <c r="XCA513" s="1510"/>
      <c r="XCB513" s="1509"/>
      <c r="XCC513" s="1511"/>
      <c r="XCD513" s="1512"/>
      <c r="XCE513" s="1508"/>
      <c r="XCF513" s="1508"/>
      <c r="XCG513" s="1508"/>
      <c r="XCL513" s="1503"/>
      <c r="XCM513" s="1504"/>
      <c r="XCN513" s="1505"/>
      <c r="XCO513" s="1506"/>
      <c r="XCP513" s="1507"/>
      <c r="XCQ513" s="1508"/>
      <c r="XCR513" s="1509"/>
      <c r="XCS513" s="1510"/>
      <c r="XCT513" s="1509"/>
      <c r="XCU513" s="1511"/>
      <c r="XCV513" s="1512"/>
      <c r="XCW513" s="1508"/>
      <c r="XCX513" s="1508"/>
      <c r="XCY513" s="1508"/>
      <c r="XDD513" s="1503"/>
      <c r="XDE513" s="1504"/>
      <c r="XDF513" s="1505"/>
      <c r="XDG513" s="1506"/>
      <c r="XDH513" s="1507"/>
      <c r="XDI513" s="1508"/>
      <c r="XDJ513" s="1509"/>
      <c r="XDK513" s="1510"/>
      <c r="XDL513" s="1509"/>
      <c r="XDM513" s="1511"/>
      <c r="XDN513" s="1512"/>
      <c r="XDO513" s="1508"/>
      <c r="XDP513" s="1508"/>
      <c r="XDQ513" s="1508"/>
      <c r="XDV513" s="1503"/>
      <c r="XDW513" s="1504"/>
      <c r="XDX513" s="1505"/>
      <c r="XDY513" s="1506"/>
      <c r="XDZ513" s="1507"/>
      <c r="XEA513" s="1508"/>
      <c r="XEB513" s="1509"/>
      <c r="XEC513" s="1510"/>
      <c r="XED513" s="1509"/>
      <c r="XEE513" s="1511"/>
      <c r="XEF513" s="1512"/>
      <c r="XEG513" s="1508"/>
      <c r="XEH513" s="1508"/>
      <c r="XEI513" s="1508"/>
      <c r="XEN513" s="1503"/>
      <c r="XEO513" s="1504"/>
      <c r="XEP513" s="1505"/>
      <c r="XEQ513" s="1506"/>
      <c r="XER513" s="1507"/>
      <c r="XES513" s="1508"/>
      <c r="XET513" s="1509"/>
      <c r="XEU513" s="1510"/>
      <c r="XEV513" s="1509"/>
      <c r="XEW513" s="1511"/>
      <c r="XEX513" s="1512"/>
      <c r="XEY513" s="1508"/>
      <c r="XEZ513" s="1508"/>
      <c r="XFA513" s="1508"/>
    </row>
    <row r="514" spans="1:16381" s="1502" customFormat="1" ht="28.8" x14ac:dyDescent="0.3">
      <c r="A514" s="1502" t="s">
        <v>264</v>
      </c>
      <c r="B514" s="1503" t="s">
        <v>280</v>
      </c>
      <c r="C514" s="1504" t="s">
        <v>3810</v>
      </c>
      <c r="D514" s="1505" t="s">
        <v>34</v>
      </c>
      <c r="E514" s="1506" t="s">
        <v>282</v>
      </c>
      <c r="F514" s="1507" t="s">
        <v>285</v>
      </c>
      <c r="G514" s="1508">
        <v>591.08479999999997</v>
      </c>
      <c r="H514" s="1509">
        <v>10218079.77</v>
      </c>
      <c r="I514" s="1510" t="s">
        <v>267</v>
      </c>
      <c r="J514" s="1509">
        <v>10218079.77</v>
      </c>
      <c r="K514" s="1511">
        <v>0</v>
      </c>
      <c r="L514" s="1512">
        <v>0</v>
      </c>
      <c r="M514" s="1508" t="s">
        <v>84</v>
      </c>
      <c r="N514" s="1508" t="s">
        <v>710</v>
      </c>
      <c r="O514" s="1508" t="s">
        <v>3772</v>
      </c>
      <c r="P514" s="1502" t="s">
        <v>40</v>
      </c>
      <c r="R514" s="1502" t="s">
        <v>64</v>
      </c>
      <c r="V514" s="1502" t="s">
        <v>40</v>
      </c>
      <c r="X514" s="1502" t="s">
        <v>40</v>
      </c>
      <c r="Z514" s="1502" t="s">
        <v>64</v>
      </c>
      <c r="AB514" s="1502" t="s">
        <v>40</v>
      </c>
      <c r="AE514" s="1531">
        <v>46203</v>
      </c>
      <c r="AF514" s="1502" t="s">
        <v>247</v>
      </c>
      <c r="AG514" s="1502">
        <v>2023</v>
      </c>
      <c r="AH514" s="1509">
        <v>50560080.509936996</v>
      </c>
      <c r="AI514" s="1502" t="s">
        <v>3791</v>
      </c>
      <c r="AK514" s="1502" t="s">
        <v>43</v>
      </c>
      <c r="AL514" s="1502" t="s">
        <v>41</v>
      </c>
      <c r="AM514" s="1502">
        <v>0</v>
      </c>
      <c r="AN514" s="1502" t="s">
        <v>40</v>
      </c>
      <c r="WST514" s="1503"/>
      <c r="WSU514" s="1504"/>
      <c r="WSV514" s="1505"/>
      <c r="WSW514" s="1506"/>
      <c r="WSX514" s="1507"/>
      <c r="WSY514" s="1508"/>
      <c r="WSZ514" s="1509"/>
      <c r="WTA514" s="1510"/>
      <c r="WTB514" s="1509"/>
      <c r="WTC514" s="1511"/>
      <c r="WTD514" s="1512"/>
      <c r="WTE514" s="1508"/>
      <c r="WTF514" s="1508"/>
      <c r="WTG514" s="1508"/>
      <c r="WTL514" s="1503"/>
      <c r="WTM514" s="1504"/>
      <c r="WTN514" s="1505"/>
      <c r="WTO514" s="1506"/>
      <c r="WTP514" s="1507"/>
      <c r="WTQ514" s="1508"/>
      <c r="WTR514" s="1509"/>
      <c r="WTS514" s="1510"/>
      <c r="WTT514" s="1509"/>
      <c r="WTU514" s="1511"/>
      <c r="WTV514" s="1512"/>
      <c r="WTW514" s="1508"/>
      <c r="WTX514" s="1508"/>
      <c r="WTY514" s="1508"/>
      <c r="WUD514" s="1503"/>
      <c r="WUE514" s="1504"/>
      <c r="WUF514" s="1505"/>
      <c r="WUG514" s="1506"/>
      <c r="WUH514" s="1507"/>
      <c r="WUI514" s="1508"/>
      <c r="WUJ514" s="1509"/>
      <c r="WUK514" s="1510"/>
      <c r="WUL514" s="1509"/>
      <c r="WUM514" s="1511"/>
      <c r="WUN514" s="1512"/>
      <c r="WUO514" s="1508"/>
      <c r="WUP514" s="1508"/>
      <c r="WUQ514" s="1508"/>
      <c r="WUV514" s="1503"/>
      <c r="WUW514" s="1504"/>
      <c r="WUX514" s="1505"/>
      <c r="WUY514" s="1506"/>
      <c r="WUZ514" s="1507"/>
      <c r="WVA514" s="1508"/>
      <c r="WVB514" s="1509"/>
      <c r="WVC514" s="1510"/>
      <c r="WVD514" s="1509"/>
      <c r="WVE514" s="1511"/>
      <c r="WVF514" s="1512"/>
      <c r="WVG514" s="1508"/>
      <c r="WVH514" s="1508"/>
      <c r="WVI514" s="1508"/>
      <c r="WVN514" s="1503"/>
      <c r="WVO514" s="1504"/>
      <c r="WVP514" s="1505"/>
      <c r="WVQ514" s="1506"/>
      <c r="WVR514" s="1507"/>
      <c r="WVS514" s="1508"/>
      <c r="WVT514" s="1509"/>
      <c r="WVU514" s="1510"/>
      <c r="WVV514" s="1509"/>
      <c r="WVW514" s="1511"/>
      <c r="WVX514" s="1512"/>
      <c r="WVY514" s="1508"/>
      <c r="WVZ514" s="1508"/>
      <c r="WWA514" s="1508"/>
      <c r="WWF514" s="1503"/>
      <c r="WWG514" s="1504"/>
      <c r="WWH514" s="1505"/>
      <c r="WWI514" s="1506"/>
      <c r="WWJ514" s="1507"/>
      <c r="WWK514" s="1508"/>
      <c r="WWL514" s="1509"/>
      <c r="WWM514" s="1510"/>
      <c r="WWN514" s="1509"/>
      <c r="WWO514" s="1511"/>
      <c r="WWP514" s="1512"/>
      <c r="WWQ514" s="1508"/>
      <c r="WWR514" s="1508"/>
      <c r="WWS514" s="1508"/>
      <c r="WWX514" s="1503"/>
      <c r="WWY514" s="1504"/>
      <c r="WWZ514" s="1505"/>
      <c r="WXA514" s="1506"/>
      <c r="WXB514" s="1507"/>
      <c r="WXC514" s="1508"/>
      <c r="WXD514" s="1509"/>
      <c r="WXE514" s="1510"/>
      <c r="WXF514" s="1509"/>
      <c r="WXG514" s="1511"/>
      <c r="WXH514" s="1512"/>
      <c r="WXI514" s="1508"/>
      <c r="WXJ514" s="1508"/>
      <c r="WXK514" s="1508"/>
      <c r="WXP514" s="1503"/>
      <c r="WXQ514" s="1504"/>
      <c r="WXR514" s="1505"/>
      <c r="WXS514" s="1506"/>
      <c r="WXT514" s="1507"/>
      <c r="WXU514" s="1508"/>
      <c r="WXV514" s="1509"/>
      <c r="WXW514" s="1510"/>
      <c r="WXX514" s="1509"/>
      <c r="WXY514" s="1511"/>
      <c r="WXZ514" s="1512"/>
      <c r="WYA514" s="1508"/>
      <c r="WYB514" s="1508"/>
      <c r="WYC514" s="1508"/>
      <c r="WYH514" s="1503"/>
      <c r="WYI514" s="1504"/>
      <c r="WYJ514" s="1505"/>
      <c r="WYK514" s="1506"/>
      <c r="WYL514" s="1507"/>
      <c r="WYM514" s="1508"/>
      <c r="WYN514" s="1509"/>
      <c r="WYO514" s="1510"/>
      <c r="WYP514" s="1509"/>
      <c r="WYQ514" s="1511"/>
      <c r="WYR514" s="1512"/>
      <c r="WYS514" s="1508"/>
      <c r="WYT514" s="1508"/>
      <c r="WYU514" s="1508"/>
      <c r="WYZ514" s="1503"/>
      <c r="WZA514" s="1504"/>
      <c r="WZB514" s="1505"/>
      <c r="WZC514" s="1506"/>
      <c r="WZD514" s="1507"/>
      <c r="WZE514" s="1508"/>
      <c r="WZF514" s="1509"/>
      <c r="WZG514" s="1510"/>
      <c r="WZH514" s="1509"/>
      <c r="WZI514" s="1511"/>
      <c r="WZJ514" s="1512"/>
      <c r="WZK514" s="1508"/>
      <c r="WZL514" s="1508"/>
      <c r="WZM514" s="1508"/>
      <c r="WZR514" s="1503"/>
      <c r="WZS514" s="1504"/>
      <c r="WZT514" s="1505"/>
      <c r="WZU514" s="1506"/>
      <c r="WZV514" s="1507"/>
      <c r="WZW514" s="1508"/>
      <c r="WZX514" s="1509"/>
      <c r="WZY514" s="1510"/>
      <c r="WZZ514" s="1509"/>
      <c r="XAA514" s="1511"/>
      <c r="XAB514" s="1512"/>
      <c r="XAC514" s="1508"/>
      <c r="XAD514" s="1508"/>
      <c r="XAE514" s="1508"/>
      <c r="XAJ514" s="1503"/>
      <c r="XAK514" s="1504"/>
      <c r="XAL514" s="1505"/>
      <c r="XAM514" s="1506"/>
      <c r="XAN514" s="1507"/>
      <c r="XAO514" s="1508"/>
      <c r="XAP514" s="1509"/>
      <c r="XAQ514" s="1510"/>
      <c r="XAR514" s="1509"/>
      <c r="XAS514" s="1511"/>
      <c r="XAT514" s="1512"/>
      <c r="XAU514" s="1508"/>
      <c r="XAV514" s="1508"/>
      <c r="XAW514" s="1508"/>
      <c r="XBB514" s="1503"/>
      <c r="XBC514" s="1504"/>
      <c r="XBD514" s="1505"/>
      <c r="XBE514" s="1506"/>
      <c r="XBF514" s="1507"/>
      <c r="XBG514" s="1508"/>
      <c r="XBH514" s="1509"/>
      <c r="XBI514" s="1510"/>
      <c r="XBJ514" s="1509"/>
      <c r="XBK514" s="1511"/>
      <c r="XBL514" s="1512"/>
      <c r="XBM514" s="1508"/>
      <c r="XBN514" s="1508"/>
      <c r="XBO514" s="1508"/>
      <c r="XBT514" s="1503"/>
      <c r="XBU514" s="1504"/>
      <c r="XBV514" s="1505"/>
      <c r="XBW514" s="1506"/>
      <c r="XBX514" s="1507"/>
      <c r="XBY514" s="1508"/>
      <c r="XBZ514" s="1509"/>
      <c r="XCA514" s="1510"/>
      <c r="XCB514" s="1509"/>
      <c r="XCC514" s="1511"/>
      <c r="XCD514" s="1512"/>
      <c r="XCE514" s="1508"/>
      <c r="XCF514" s="1508"/>
      <c r="XCG514" s="1508"/>
      <c r="XCL514" s="1503"/>
      <c r="XCM514" s="1504"/>
      <c r="XCN514" s="1505"/>
      <c r="XCO514" s="1506"/>
      <c r="XCP514" s="1507"/>
      <c r="XCQ514" s="1508"/>
      <c r="XCR514" s="1509"/>
      <c r="XCS514" s="1510"/>
      <c r="XCT514" s="1509"/>
      <c r="XCU514" s="1511"/>
      <c r="XCV514" s="1512"/>
      <c r="XCW514" s="1508"/>
      <c r="XCX514" s="1508"/>
      <c r="XCY514" s="1508"/>
      <c r="XDD514" s="1503"/>
      <c r="XDE514" s="1504"/>
      <c r="XDF514" s="1505"/>
      <c r="XDG514" s="1506"/>
      <c r="XDH514" s="1507"/>
      <c r="XDI514" s="1508"/>
      <c r="XDJ514" s="1509"/>
      <c r="XDK514" s="1510"/>
      <c r="XDL514" s="1509"/>
      <c r="XDM514" s="1511"/>
      <c r="XDN514" s="1512"/>
      <c r="XDO514" s="1508"/>
      <c r="XDP514" s="1508"/>
      <c r="XDQ514" s="1508"/>
      <c r="XDV514" s="1503"/>
      <c r="XDW514" s="1504"/>
      <c r="XDX514" s="1505"/>
      <c r="XDY514" s="1506"/>
      <c r="XDZ514" s="1507"/>
      <c r="XEA514" s="1508"/>
      <c r="XEB514" s="1509"/>
      <c r="XEC514" s="1510"/>
      <c r="XED514" s="1509"/>
      <c r="XEE514" s="1511"/>
      <c r="XEF514" s="1512"/>
      <c r="XEG514" s="1508"/>
      <c r="XEH514" s="1508"/>
      <c r="XEI514" s="1508"/>
      <c r="XEN514" s="1503"/>
      <c r="XEO514" s="1504"/>
      <c r="XEP514" s="1505"/>
      <c r="XEQ514" s="1506"/>
      <c r="XER514" s="1507"/>
      <c r="XES514" s="1508"/>
      <c r="XET514" s="1509"/>
      <c r="XEU514" s="1510"/>
      <c r="XEV514" s="1509"/>
      <c r="XEW514" s="1511"/>
      <c r="XEX514" s="1512"/>
      <c r="XEY514" s="1508"/>
      <c r="XEZ514" s="1508"/>
      <c r="XFA514" s="1508"/>
    </row>
    <row r="515" spans="1:16381" s="1502" customFormat="1" ht="28.8" x14ac:dyDescent="0.3">
      <c r="A515" s="1502" t="s">
        <v>264</v>
      </c>
      <c r="B515" s="1503" t="s">
        <v>280</v>
      </c>
      <c r="C515" s="1504" t="s">
        <v>3811</v>
      </c>
      <c r="D515" s="1505" t="s">
        <v>34</v>
      </c>
      <c r="E515" s="1506" t="s">
        <v>282</v>
      </c>
      <c r="F515" s="1507" t="s">
        <v>285</v>
      </c>
      <c r="G515" s="1508">
        <v>1.087</v>
      </c>
      <c r="H515" s="1509">
        <v>26613.33</v>
      </c>
      <c r="I515" s="1510" t="s">
        <v>267</v>
      </c>
      <c r="J515" s="1509">
        <v>26613.33</v>
      </c>
      <c r="K515" s="1511">
        <v>0</v>
      </c>
      <c r="L515" s="1512">
        <v>0</v>
      </c>
      <c r="M515" s="1508" t="s">
        <v>54</v>
      </c>
      <c r="N515" s="1508" t="s">
        <v>3754</v>
      </c>
      <c r="O515" s="1508" t="s">
        <v>3773</v>
      </c>
      <c r="P515" s="1502" t="s">
        <v>40</v>
      </c>
      <c r="R515" s="1502" t="s">
        <v>64</v>
      </c>
      <c r="V515" s="1502" t="s">
        <v>40</v>
      </c>
      <c r="X515" s="1502" t="s">
        <v>40</v>
      </c>
      <c r="Z515" s="1502" t="s">
        <v>64</v>
      </c>
      <c r="AB515" s="1502" t="s">
        <v>40</v>
      </c>
      <c r="AE515" s="1531">
        <v>46203</v>
      </c>
      <c r="AF515" s="1502" t="s">
        <v>247</v>
      </c>
      <c r="AG515" s="1502">
        <v>2023</v>
      </c>
      <c r="AH515" s="1509">
        <v>131685.41817300001</v>
      </c>
      <c r="AI515" s="1502" t="s">
        <v>3792</v>
      </c>
      <c r="AK515" s="1502" t="s">
        <v>43</v>
      </c>
      <c r="AL515" s="1502" t="s">
        <v>41</v>
      </c>
      <c r="AM515" s="1502">
        <v>0</v>
      </c>
      <c r="AN515" s="1502" t="s">
        <v>40</v>
      </c>
      <c r="WSB515" s="1503"/>
      <c r="WSC515" s="1504"/>
      <c r="WSD515" s="1505"/>
      <c r="WSE515" s="1506"/>
      <c r="WSF515" s="1507"/>
      <c r="WSG515" s="1508"/>
      <c r="WSH515" s="1509"/>
      <c r="WSI515" s="1510"/>
      <c r="WSJ515" s="1509"/>
      <c r="WSK515" s="1511"/>
      <c r="WSL515" s="1512"/>
      <c r="WSM515" s="1508"/>
      <c r="WSN515" s="1508"/>
      <c r="WSO515" s="1508"/>
      <c r="WST515" s="1503"/>
      <c r="WSU515" s="1504"/>
      <c r="WSV515" s="1505"/>
      <c r="WSW515" s="1506"/>
      <c r="WSX515" s="1507"/>
      <c r="WSY515" s="1508"/>
      <c r="WSZ515" s="1509"/>
      <c r="WTA515" s="1510"/>
      <c r="WTB515" s="1509"/>
      <c r="WTC515" s="1511"/>
      <c r="WTD515" s="1512"/>
      <c r="WTE515" s="1508"/>
      <c r="WTF515" s="1508"/>
      <c r="WTG515" s="1508"/>
      <c r="WTL515" s="1503"/>
      <c r="WTM515" s="1504"/>
      <c r="WTN515" s="1505"/>
      <c r="WTO515" s="1506"/>
      <c r="WTP515" s="1507"/>
      <c r="WTQ515" s="1508"/>
      <c r="WTR515" s="1509"/>
      <c r="WTS515" s="1510"/>
      <c r="WTT515" s="1509"/>
      <c r="WTU515" s="1511"/>
      <c r="WTV515" s="1512"/>
      <c r="WTW515" s="1508"/>
      <c r="WTX515" s="1508"/>
      <c r="WTY515" s="1508"/>
      <c r="WUD515" s="1503"/>
      <c r="WUE515" s="1504"/>
      <c r="WUF515" s="1505"/>
      <c r="WUG515" s="1506"/>
      <c r="WUH515" s="1507"/>
      <c r="WUI515" s="1508"/>
      <c r="WUJ515" s="1509"/>
      <c r="WUK515" s="1510"/>
      <c r="WUL515" s="1509"/>
      <c r="WUM515" s="1511"/>
      <c r="WUN515" s="1512"/>
      <c r="WUO515" s="1508"/>
      <c r="WUP515" s="1508"/>
      <c r="WUQ515" s="1508"/>
      <c r="WUV515" s="1503"/>
      <c r="WUW515" s="1504"/>
      <c r="WUX515" s="1505"/>
      <c r="WUY515" s="1506"/>
      <c r="WUZ515" s="1507"/>
      <c r="WVA515" s="1508"/>
      <c r="WVB515" s="1509"/>
      <c r="WVC515" s="1510"/>
      <c r="WVD515" s="1509"/>
      <c r="WVE515" s="1511"/>
      <c r="WVF515" s="1512"/>
      <c r="WVG515" s="1508"/>
      <c r="WVH515" s="1508"/>
      <c r="WVI515" s="1508"/>
      <c r="WVN515" s="1503"/>
      <c r="WVO515" s="1504"/>
      <c r="WVP515" s="1505"/>
      <c r="WVQ515" s="1506"/>
      <c r="WVR515" s="1507"/>
      <c r="WVS515" s="1508"/>
      <c r="WVT515" s="1509"/>
      <c r="WVU515" s="1510"/>
      <c r="WVV515" s="1509"/>
      <c r="WVW515" s="1511"/>
      <c r="WVX515" s="1512"/>
      <c r="WVY515" s="1508"/>
      <c r="WVZ515" s="1508"/>
      <c r="WWA515" s="1508"/>
      <c r="WWF515" s="1503"/>
      <c r="WWG515" s="1504"/>
      <c r="WWH515" s="1505"/>
      <c r="WWI515" s="1506"/>
      <c r="WWJ515" s="1507"/>
      <c r="WWK515" s="1508"/>
      <c r="WWL515" s="1509"/>
      <c r="WWM515" s="1510"/>
      <c r="WWN515" s="1509"/>
      <c r="WWO515" s="1511"/>
      <c r="WWP515" s="1512"/>
      <c r="WWQ515" s="1508"/>
      <c r="WWR515" s="1508"/>
      <c r="WWS515" s="1508"/>
      <c r="WWX515" s="1503"/>
      <c r="WWY515" s="1504"/>
      <c r="WWZ515" s="1505"/>
      <c r="WXA515" s="1506"/>
      <c r="WXB515" s="1507"/>
      <c r="WXC515" s="1508"/>
      <c r="WXD515" s="1509"/>
      <c r="WXE515" s="1510"/>
      <c r="WXF515" s="1509"/>
      <c r="WXG515" s="1511"/>
      <c r="WXH515" s="1512"/>
      <c r="WXI515" s="1508"/>
      <c r="WXJ515" s="1508"/>
      <c r="WXK515" s="1508"/>
      <c r="WXP515" s="1503"/>
      <c r="WXQ515" s="1504"/>
      <c r="WXR515" s="1505"/>
      <c r="WXS515" s="1506"/>
      <c r="WXT515" s="1507"/>
      <c r="WXU515" s="1508"/>
      <c r="WXV515" s="1509"/>
      <c r="WXW515" s="1510"/>
      <c r="WXX515" s="1509"/>
      <c r="WXY515" s="1511"/>
      <c r="WXZ515" s="1512"/>
      <c r="WYA515" s="1508"/>
      <c r="WYB515" s="1508"/>
      <c r="WYC515" s="1508"/>
      <c r="WYH515" s="1503"/>
      <c r="WYI515" s="1504"/>
      <c r="WYJ515" s="1505"/>
      <c r="WYK515" s="1506"/>
      <c r="WYL515" s="1507"/>
      <c r="WYM515" s="1508"/>
      <c r="WYN515" s="1509"/>
      <c r="WYO515" s="1510"/>
      <c r="WYP515" s="1509"/>
      <c r="WYQ515" s="1511"/>
      <c r="WYR515" s="1512"/>
      <c r="WYS515" s="1508"/>
      <c r="WYT515" s="1508"/>
      <c r="WYU515" s="1508"/>
      <c r="WYZ515" s="1503"/>
      <c r="WZA515" s="1504"/>
      <c r="WZB515" s="1505"/>
      <c r="WZC515" s="1506"/>
      <c r="WZD515" s="1507"/>
      <c r="WZE515" s="1508"/>
      <c r="WZF515" s="1509"/>
      <c r="WZG515" s="1510"/>
      <c r="WZH515" s="1509"/>
      <c r="WZI515" s="1511"/>
      <c r="WZJ515" s="1512"/>
      <c r="WZK515" s="1508"/>
      <c r="WZL515" s="1508"/>
      <c r="WZM515" s="1508"/>
      <c r="WZR515" s="1503"/>
      <c r="WZS515" s="1504"/>
      <c r="WZT515" s="1505"/>
      <c r="WZU515" s="1506"/>
      <c r="WZV515" s="1507"/>
      <c r="WZW515" s="1508"/>
      <c r="WZX515" s="1509"/>
      <c r="WZY515" s="1510"/>
      <c r="WZZ515" s="1509"/>
      <c r="XAA515" s="1511"/>
      <c r="XAB515" s="1512"/>
      <c r="XAC515" s="1508"/>
      <c r="XAD515" s="1508"/>
      <c r="XAE515" s="1508"/>
      <c r="XAJ515" s="1503"/>
      <c r="XAK515" s="1504"/>
      <c r="XAL515" s="1505"/>
      <c r="XAM515" s="1506"/>
      <c r="XAN515" s="1507"/>
      <c r="XAO515" s="1508"/>
      <c r="XAP515" s="1509"/>
      <c r="XAQ515" s="1510"/>
      <c r="XAR515" s="1509"/>
      <c r="XAS515" s="1511"/>
      <c r="XAT515" s="1512"/>
      <c r="XAU515" s="1508"/>
      <c r="XAV515" s="1508"/>
      <c r="XAW515" s="1508"/>
      <c r="XBB515" s="1503"/>
      <c r="XBC515" s="1504"/>
      <c r="XBD515" s="1505"/>
      <c r="XBE515" s="1506"/>
      <c r="XBF515" s="1507"/>
      <c r="XBG515" s="1508"/>
      <c r="XBH515" s="1509"/>
      <c r="XBI515" s="1510"/>
      <c r="XBJ515" s="1509"/>
      <c r="XBK515" s="1511"/>
      <c r="XBL515" s="1512"/>
      <c r="XBM515" s="1508"/>
      <c r="XBN515" s="1508"/>
      <c r="XBO515" s="1508"/>
      <c r="XBT515" s="1503"/>
      <c r="XBU515" s="1504"/>
      <c r="XBV515" s="1505"/>
      <c r="XBW515" s="1506"/>
      <c r="XBX515" s="1507"/>
      <c r="XBY515" s="1508"/>
      <c r="XBZ515" s="1509"/>
      <c r="XCA515" s="1510"/>
      <c r="XCB515" s="1509"/>
      <c r="XCC515" s="1511"/>
      <c r="XCD515" s="1512"/>
      <c r="XCE515" s="1508"/>
      <c r="XCF515" s="1508"/>
      <c r="XCG515" s="1508"/>
      <c r="XCL515" s="1503"/>
      <c r="XCM515" s="1504"/>
      <c r="XCN515" s="1505"/>
      <c r="XCO515" s="1506"/>
      <c r="XCP515" s="1507"/>
      <c r="XCQ515" s="1508"/>
      <c r="XCR515" s="1509"/>
      <c r="XCS515" s="1510"/>
      <c r="XCT515" s="1509"/>
      <c r="XCU515" s="1511"/>
      <c r="XCV515" s="1512"/>
      <c r="XCW515" s="1508"/>
      <c r="XCX515" s="1508"/>
      <c r="XCY515" s="1508"/>
      <c r="XDD515" s="1503"/>
      <c r="XDE515" s="1504"/>
      <c r="XDF515" s="1505"/>
      <c r="XDG515" s="1506"/>
      <c r="XDH515" s="1507"/>
      <c r="XDI515" s="1508"/>
      <c r="XDJ515" s="1509"/>
      <c r="XDK515" s="1510"/>
      <c r="XDL515" s="1509"/>
      <c r="XDM515" s="1511"/>
      <c r="XDN515" s="1512"/>
      <c r="XDO515" s="1508"/>
      <c r="XDP515" s="1508"/>
      <c r="XDQ515" s="1508"/>
      <c r="XDV515" s="1503"/>
      <c r="XDW515" s="1504"/>
      <c r="XDX515" s="1505"/>
      <c r="XDY515" s="1506"/>
      <c r="XDZ515" s="1507"/>
      <c r="XEA515" s="1508"/>
      <c r="XEB515" s="1509"/>
      <c r="XEC515" s="1510"/>
      <c r="XED515" s="1509"/>
      <c r="XEE515" s="1511"/>
      <c r="XEF515" s="1512"/>
      <c r="XEG515" s="1508"/>
      <c r="XEH515" s="1508"/>
      <c r="XEI515" s="1508"/>
      <c r="XEN515" s="1503"/>
      <c r="XEO515" s="1504"/>
      <c r="XEP515" s="1505"/>
      <c r="XEQ515" s="1506"/>
      <c r="XER515" s="1507"/>
      <c r="XES515" s="1508"/>
      <c r="XET515" s="1509"/>
      <c r="XEU515" s="1510"/>
      <c r="XEV515" s="1509"/>
      <c r="XEW515" s="1511"/>
      <c r="XEX515" s="1512"/>
      <c r="XEY515" s="1508"/>
      <c r="XEZ515" s="1508"/>
      <c r="XFA515" s="1508"/>
    </row>
    <row r="516" spans="1:16381" s="1516" customFormat="1" ht="28.8" x14ac:dyDescent="0.3">
      <c r="A516" s="1502" t="s">
        <v>264</v>
      </c>
      <c r="B516" s="1503" t="s">
        <v>280</v>
      </c>
      <c r="C516" s="1504" t="s">
        <v>3812</v>
      </c>
      <c r="D516" s="1505" t="s">
        <v>34</v>
      </c>
      <c r="E516" s="1506" t="s">
        <v>282</v>
      </c>
      <c r="F516" s="1507" t="s">
        <v>285</v>
      </c>
      <c r="G516" s="1508">
        <v>1.5</v>
      </c>
      <c r="H516" s="1509">
        <v>35579.379999999997</v>
      </c>
      <c r="I516" s="1510" t="s">
        <v>267</v>
      </c>
      <c r="J516" s="1509">
        <v>35579.379999999997</v>
      </c>
      <c r="K516" s="1511">
        <v>0</v>
      </c>
      <c r="L516" s="1512">
        <v>0</v>
      </c>
      <c r="M516" s="1508" t="s">
        <v>636</v>
      </c>
      <c r="N516" s="1508" t="s">
        <v>3755</v>
      </c>
      <c r="O516" s="1508" t="s">
        <v>3774</v>
      </c>
      <c r="P516" s="1502" t="s">
        <v>40</v>
      </c>
      <c r="Q516" s="1502"/>
      <c r="R516" s="1502" t="s">
        <v>64</v>
      </c>
      <c r="S516" s="1502"/>
      <c r="T516" s="1502"/>
      <c r="U516" s="1502"/>
      <c r="V516" s="1502" t="s">
        <v>40</v>
      </c>
      <c r="W516" s="1502"/>
      <c r="X516" s="1502" t="s">
        <v>40</v>
      </c>
      <c r="Y516" s="1502"/>
      <c r="Z516" s="1502" t="s">
        <v>64</v>
      </c>
      <c r="AA516" s="1502"/>
      <c r="AB516" s="1502" t="s">
        <v>40</v>
      </c>
      <c r="AC516" s="1502"/>
      <c r="AD516" s="1502"/>
      <c r="AE516" s="1531">
        <v>46203</v>
      </c>
      <c r="AF516" s="1502" t="s">
        <v>247</v>
      </c>
      <c r="AG516" s="1502">
        <v>2023</v>
      </c>
      <c r="AH516" s="1509">
        <v>176050.330178</v>
      </c>
      <c r="AI516" s="1502" t="s">
        <v>786</v>
      </c>
      <c r="AJ516" s="1502"/>
      <c r="AK516" s="1502" t="s">
        <v>43</v>
      </c>
      <c r="AL516" s="1502" t="s">
        <v>41</v>
      </c>
      <c r="AM516" s="1502">
        <v>0</v>
      </c>
      <c r="AN516" s="1502" t="s">
        <v>40</v>
      </c>
      <c r="AO516" s="1502"/>
      <c r="AP516" s="1502"/>
      <c r="AQ516" s="1502"/>
      <c r="AR516" s="1502"/>
      <c r="AS516" s="1502"/>
      <c r="AT516" s="1502"/>
      <c r="AU516" s="1502"/>
      <c r="AV516" s="1502"/>
      <c r="AW516" s="1502"/>
      <c r="AX516" s="1502"/>
      <c r="AY516" s="1502"/>
      <c r="AZ516" s="1502"/>
      <c r="BA516" s="1502"/>
      <c r="BB516" s="1502"/>
      <c r="BC516" s="1502"/>
      <c r="BD516" s="1502"/>
      <c r="BE516" s="1502"/>
      <c r="BF516" s="1502"/>
      <c r="BG516" s="1502"/>
      <c r="BH516" s="1502"/>
      <c r="BI516" s="1502"/>
      <c r="BJ516" s="1502"/>
      <c r="BK516" s="1502"/>
      <c r="BL516" s="1502"/>
      <c r="BM516" s="1502"/>
      <c r="BN516" s="1502"/>
      <c r="BO516" s="1502"/>
      <c r="BP516" s="1502"/>
      <c r="BQ516" s="1502"/>
      <c r="BR516" s="1502"/>
      <c r="BS516" s="1502"/>
      <c r="BT516" s="1502"/>
      <c r="BU516" s="1502"/>
      <c r="BV516" s="1502"/>
      <c r="BW516" s="1502"/>
      <c r="BX516" s="1502"/>
      <c r="BY516" s="1502"/>
      <c r="BZ516" s="1502"/>
      <c r="CA516" s="1502"/>
      <c r="CB516" s="1502"/>
      <c r="CC516" s="1502"/>
      <c r="CD516" s="1502"/>
      <c r="CE516" s="1502"/>
      <c r="CF516" s="1502"/>
      <c r="CG516" s="1502"/>
      <c r="CH516" s="1502"/>
      <c r="CI516" s="1502"/>
      <c r="CJ516" s="1502"/>
      <c r="CK516" s="1502"/>
      <c r="CL516" s="1502"/>
      <c r="CM516" s="1502"/>
      <c r="CN516" s="1502"/>
      <c r="CO516" s="1502"/>
      <c r="CP516" s="1502"/>
      <c r="CQ516" s="1502"/>
      <c r="CR516" s="1502"/>
      <c r="CS516" s="1502"/>
      <c r="CT516" s="1502"/>
      <c r="CU516" s="1502"/>
      <c r="CV516" s="1502"/>
      <c r="CW516" s="1502"/>
      <c r="CX516" s="1502"/>
      <c r="CY516" s="1502"/>
      <c r="CZ516" s="1502"/>
      <c r="DA516" s="1502"/>
      <c r="DB516" s="1502"/>
      <c r="DC516" s="1502"/>
      <c r="DD516" s="1502"/>
      <c r="DE516" s="1502"/>
      <c r="DF516" s="1502"/>
      <c r="DG516" s="1502"/>
      <c r="DH516" s="1502"/>
      <c r="DI516" s="1502"/>
      <c r="DJ516" s="1502"/>
      <c r="DK516" s="1502"/>
      <c r="DL516" s="1502"/>
      <c r="DM516" s="1502"/>
      <c r="DN516" s="1502"/>
      <c r="DO516" s="1502"/>
      <c r="DP516" s="1502"/>
      <c r="DQ516" s="1502"/>
      <c r="DR516" s="1502"/>
      <c r="DS516" s="1502"/>
      <c r="DT516" s="1502"/>
      <c r="DU516" s="1502"/>
      <c r="DV516" s="1502"/>
      <c r="DW516" s="1502"/>
      <c r="DX516" s="1502"/>
      <c r="DY516" s="1502"/>
      <c r="DZ516" s="1502"/>
      <c r="EA516" s="1502"/>
      <c r="EB516" s="1502"/>
      <c r="EC516" s="1502"/>
      <c r="ED516" s="1502"/>
      <c r="EE516" s="1502"/>
      <c r="EF516" s="1502"/>
      <c r="EG516" s="1502"/>
      <c r="EH516" s="1502"/>
      <c r="EI516" s="1502"/>
      <c r="EJ516" s="1502"/>
      <c r="EK516" s="1502"/>
      <c r="EL516" s="1502"/>
      <c r="EM516" s="1502"/>
      <c r="EN516" s="1502"/>
      <c r="EO516" s="1502"/>
      <c r="EP516" s="1502"/>
      <c r="EQ516" s="1502"/>
      <c r="ER516" s="1502"/>
      <c r="ES516" s="1502"/>
      <c r="ET516" s="1502"/>
      <c r="EU516" s="1502"/>
      <c r="EV516" s="1502"/>
      <c r="EW516" s="1502"/>
      <c r="EX516" s="1502"/>
      <c r="EY516" s="1502"/>
      <c r="EZ516" s="1502"/>
      <c r="FA516" s="1502"/>
      <c r="FB516" s="1502"/>
      <c r="FC516" s="1502"/>
      <c r="FD516" s="1502"/>
      <c r="FE516" s="1502"/>
      <c r="FF516" s="1502"/>
      <c r="FG516" s="1502"/>
      <c r="FH516" s="1502"/>
      <c r="FI516" s="1502"/>
      <c r="FJ516" s="1502"/>
      <c r="FK516" s="1502"/>
      <c r="FL516" s="1502"/>
      <c r="FM516" s="1502"/>
      <c r="FN516" s="1502"/>
      <c r="FO516" s="1502"/>
      <c r="FP516" s="1502"/>
      <c r="FQ516" s="1502"/>
      <c r="FR516" s="1502"/>
      <c r="FS516" s="1502"/>
      <c r="FT516" s="1502"/>
      <c r="FU516" s="1502"/>
      <c r="FV516" s="1502"/>
      <c r="FW516" s="1502"/>
      <c r="FX516" s="1502"/>
      <c r="FY516" s="1502"/>
      <c r="FZ516" s="1502"/>
      <c r="GA516" s="1502"/>
      <c r="GB516" s="1502"/>
      <c r="GC516" s="1502"/>
      <c r="GD516" s="1502"/>
      <c r="GE516" s="1502"/>
      <c r="GF516" s="1502"/>
      <c r="GG516" s="1502"/>
      <c r="GH516" s="1502"/>
      <c r="GI516" s="1502"/>
      <c r="GJ516" s="1502"/>
      <c r="GK516" s="1502"/>
      <c r="GL516" s="1502"/>
      <c r="GM516" s="1502"/>
      <c r="GN516" s="1502"/>
      <c r="GO516" s="1502"/>
      <c r="GP516" s="1502"/>
      <c r="GQ516" s="1502"/>
      <c r="GR516" s="1502"/>
      <c r="GS516" s="1502"/>
      <c r="GT516" s="1502"/>
      <c r="GU516" s="1502"/>
      <c r="GV516" s="1502"/>
      <c r="GW516" s="1502"/>
      <c r="GX516" s="1502"/>
      <c r="GY516" s="1502"/>
      <c r="GZ516" s="1502"/>
      <c r="HA516" s="1502"/>
      <c r="HB516" s="1502"/>
      <c r="HC516" s="1502"/>
      <c r="HD516" s="1502"/>
      <c r="HE516" s="1502"/>
      <c r="HF516" s="1502"/>
      <c r="HG516" s="1502"/>
      <c r="HH516" s="1502"/>
      <c r="HI516" s="1502"/>
      <c r="HJ516" s="1502"/>
      <c r="HK516" s="1502"/>
      <c r="HL516" s="1502"/>
      <c r="HM516" s="1502"/>
      <c r="HN516" s="1502"/>
      <c r="HO516" s="1502"/>
      <c r="HP516" s="1502"/>
      <c r="HQ516" s="1502"/>
      <c r="HR516" s="1502"/>
      <c r="HS516" s="1502"/>
      <c r="HT516" s="1502"/>
      <c r="HU516" s="1502"/>
      <c r="HV516" s="1502"/>
      <c r="HW516" s="1502"/>
      <c r="HX516" s="1502"/>
      <c r="HY516" s="1502"/>
      <c r="HZ516" s="1502"/>
      <c r="IA516" s="1502"/>
      <c r="IB516" s="1502"/>
      <c r="IC516" s="1502"/>
      <c r="ID516" s="1502"/>
      <c r="IE516" s="1502"/>
      <c r="IF516" s="1502"/>
      <c r="IG516" s="1502"/>
      <c r="IH516" s="1502"/>
      <c r="II516" s="1502"/>
      <c r="IJ516" s="1502"/>
      <c r="IK516" s="1502"/>
      <c r="IL516" s="1502"/>
      <c r="IM516" s="1502"/>
      <c r="IN516" s="1502"/>
      <c r="IO516" s="1502"/>
      <c r="IP516" s="1502"/>
      <c r="IQ516" s="1502"/>
      <c r="IR516" s="1502"/>
      <c r="IS516" s="1502"/>
      <c r="IT516" s="1502"/>
      <c r="IU516" s="1502"/>
      <c r="IV516" s="1502"/>
      <c r="IW516" s="1502"/>
      <c r="IX516" s="1502"/>
      <c r="IY516" s="1502"/>
      <c r="IZ516" s="1502"/>
      <c r="JA516" s="1502"/>
      <c r="JB516" s="1502"/>
      <c r="JC516" s="1502"/>
      <c r="JD516" s="1502"/>
      <c r="JE516" s="1502"/>
      <c r="JF516" s="1502"/>
      <c r="JG516" s="1502"/>
      <c r="JH516" s="1502"/>
      <c r="JI516" s="1502"/>
      <c r="JJ516" s="1502"/>
      <c r="JK516" s="1502"/>
      <c r="JL516" s="1502"/>
      <c r="JM516" s="1502"/>
      <c r="JN516" s="1502"/>
      <c r="JO516" s="1502"/>
      <c r="JP516" s="1502"/>
      <c r="JQ516" s="1502"/>
      <c r="JR516" s="1502"/>
      <c r="JS516" s="1502"/>
      <c r="JT516" s="1502"/>
      <c r="JU516" s="1502"/>
      <c r="JV516" s="1502"/>
      <c r="JW516" s="1502"/>
      <c r="JX516" s="1502"/>
      <c r="JY516" s="1502"/>
      <c r="JZ516" s="1502"/>
      <c r="KA516" s="1502"/>
      <c r="KB516" s="1502"/>
      <c r="KC516" s="1502"/>
      <c r="KD516" s="1502"/>
      <c r="KE516" s="1502"/>
      <c r="KF516" s="1502"/>
      <c r="KG516" s="1502"/>
      <c r="KH516" s="1502"/>
      <c r="KI516" s="1502"/>
      <c r="KJ516" s="1502"/>
      <c r="KK516" s="1502"/>
      <c r="KL516" s="1502"/>
      <c r="KM516" s="1502"/>
      <c r="KN516" s="1502"/>
      <c r="KO516" s="1502"/>
      <c r="KP516" s="1502"/>
      <c r="KQ516" s="1502"/>
      <c r="KR516" s="1502"/>
      <c r="KS516" s="1502"/>
      <c r="KT516" s="1502"/>
      <c r="KU516" s="1502"/>
      <c r="KV516" s="1502"/>
      <c r="KW516" s="1502"/>
      <c r="KX516" s="1502"/>
      <c r="KY516" s="1502"/>
      <c r="KZ516" s="1502"/>
      <c r="LA516" s="1502"/>
      <c r="LB516" s="1502"/>
      <c r="LC516" s="1502"/>
      <c r="LD516" s="1502"/>
      <c r="LE516" s="1502"/>
      <c r="LF516" s="1502"/>
      <c r="LG516" s="1502"/>
      <c r="LH516" s="1502"/>
      <c r="LI516" s="1502"/>
      <c r="LJ516" s="1502"/>
      <c r="LK516" s="1502"/>
      <c r="LL516" s="1502"/>
      <c r="LM516" s="1502"/>
      <c r="LN516" s="1502"/>
      <c r="LO516" s="1502"/>
      <c r="LP516" s="1502"/>
      <c r="LQ516" s="1502"/>
      <c r="LR516" s="1502"/>
      <c r="LS516" s="1502"/>
      <c r="LT516" s="1502"/>
      <c r="LU516" s="1502"/>
      <c r="LV516" s="1502"/>
      <c r="LW516" s="1502"/>
      <c r="LX516" s="1502"/>
      <c r="LY516" s="1502"/>
      <c r="LZ516" s="1502"/>
      <c r="MA516" s="1502"/>
      <c r="MB516" s="1502"/>
      <c r="MC516" s="1502"/>
      <c r="MD516" s="1502"/>
      <c r="ME516" s="1502"/>
      <c r="MF516" s="1502"/>
      <c r="MG516" s="1502"/>
      <c r="MH516" s="1502"/>
      <c r="MI516" s="1502"/>
      <c r="MJ516" s="1502"/>
      <c r="MK516" s="1502"/>
      <c r="ML516" s="1502"/>
      <c r="MM516" s="1502"/>
      <c r="MN516" s="1502"/>
      <c r="MO516" s="1502"/>
      <c r="MP516" s="1502"/>
      <c r="MQ516" s="1502"/>
      <c r="MR516" s="1502"/>
      <c r="MS516" s="1502"/>
      <c r="MT516" s="1502"/>
      <c r="MU516" s="1502"/>
      <c r="MV516" s="1502"/>
      <c r="MW516" s="1502"/>
      <c r="MX516" s="1502"/>
      <c r="MY516" s="1502"/>
      <c r="MZ516" s="1502"/>
      <c r="NA516" s="1502"/>
      <c r="NB516" s="1502"/>
      <c r="NC516" s="1502"/>
      <c r="ND516" s="1502"/>
      <c r="NE516" s="1502"/>
      <c r="NF516" s="1502"/>
      <c r="NG516" s="1502"/>
      <c r="NH516" s="1502"/>
      <c r="NI516" s="1502"/>
      <c r="NJ516" s="1502"/>
      <c r="NK516" s="1502"/>
      <c r="NL516" s="1502"/>
      <c r="NM516" s="1502"/>
      <c r="NN516" s="1502"/>
      <c r="NO516" s="1502"/>
      <c r="NP516" s="1502"/>
      <c r="NQ516" s="1502"/>
      <c r="NR516" s="1502"/>
      <c r="NS516" s="1502"/>
      <c r="NT516" s="1502"/>
      <c r="NU516" s="1502"/>
      <c r="NV516" s="1502"/>
      <c r="NW516" s="1502"/>
      <c r="NX516" s="1502"/>
      <c r="NY516" s="1502"/>
      <c r="NZ516" s="1502"/>
      <c r="OA516" s="1502"/>
      <c r="OB516" s="1502"/>
      <c r="OC516" s="1502"/>
      <c r="OD516" s="1502"/>
      <c r="OE516" s="1502"/>
      <c r="OF516" s="1502"/>
      <c r="OG516" s="1502"/>
      <c r="OH516" s="1502"/>
      <c r="OI516" s="1502"/>
      <c r="OJ516" s="1502"/>
      <c r="OK516" s="1502"/>
      <c r="OL516" s="1502"/>
      <c r="OM516" s="1502"/>
      <c r="ON516" s="1502"/>
      <c r="OO516" s="1502"/>
      <c r="OP516" s="1502"/>
      <c r="OQ516" s="1502"/>
      <c r="OR516" s="1502"/>
      <c r="OS516" s="1502"/>
      <c r="OT516" s="1502"/>
      <c r="OU516" s="1502"/>
      <c r="OV516" s="1502"/>
      <c r="OW516" s="1502"/>
      <c r="OX516" s="1502"/>
      <c r="OY516" s="1502"/>
      <c r="OZ516" s="1502"/>
      <c r="PA516" s="1502"/>
      <c r="PB516" s="1502"/>
      <c r="PC516" s="1502"/>
      <c r="PD516" s="1502"/>
      <c r="PE516" s="1502"/>
      <c r="PF516" s="1502"/>
      <c r="PG516" s="1502"/>
      <c r="PH516" s="1502"/>
      <c r="PI516" s="1502"/>
      <c r="PJ516" s="1502"/>
      <c r="PK516" s="1502"/>
      <c r="PL516" s="1502"/>
      <c r="PM516" s="1502"/>
      <c r="PN516" s="1502"/>
      <c r="PO516" s="1502"/>
      <c r="PP516" s="1502"/>
      <c r="PQ516" s="1502"/>
      <c r="PR516" s="1502"/>
      <c r="PS516" s="1502"/>
      <c r="PT516" s="1502"/>
      <c r="PU516" s="1502"/>
      <c r="PV516" s="1502"/>
      <c r="PW516" s="1502"/>
      <c r="PX516" s="1502"/>
      <c r="PY516" s="1502"/>
      <c r="PZ516" s="1502"/>
      <c r="QA516" s="1502"/>
      <c r="QB516" s="1502"/>
      <c r="QC516" s="1502"/>
      <c r="QD516" s="1502"/>
      <c r="QE516" s="1502"/>
      <c r="QF516" s="1502"/>
      <c r="QG516" s="1502"/>
      <c r="QH516" s="1502"/>
      <c r="QI516" s="1502"/>
      <c r="QJ516" s="1502"/>
      <c r="QK516" s="1502"/>
      <c r="QL516" s="1502"/>
      <c r="QM516" s="1502"/>
      <c r="QN516" s="1502"/>
      <c r="QO516" s="1502"/>
      <c r="QP516" s="1502"/>
      <c r="QQ516" s="1502"/>
      <c r="QR516" s="1502"/>
      <c r="QS516" s="1502"/>
      <c r="QT516" s="1502"/>
      <c r="QU516" s="1502"/>
      <c r="QV516" s="1502"/>
      <c r="QW516" s="1502"/>
      <c r="QX516" s="1502"/>
      <c r="QY516" s="1502"/>
      <c r="QZ516" s="1502"/>
      <c r="RA516" s="1502"/>
      <c r="RB516" s="1502"/>
      <c r="RC516" s="1502"/>
      <c r="RD516" s="1502"/>
      <c r="RE516" s="1502"/>
      <c r="RF516" s="1502"/>
      <c r="RG516" s="1502"/>
      <c r="RH516" s="1502"/>
      <c r="RI516" s="1502"/>
      <c r="RJ516" s="1502"/>
      <c r="RK516" s="1502"/>
      <c r="RL516" s="1502"/>
      <c r="RM516" s="1502"/>
      <c r="RN516" s="1502"/>
      <c r="RO516" s="1502"/>
      <c r="RP516" s="1502"/>
      <c r="RQ516" s="1502"/>
      <c r="RR516" s="1502"/>
      <c r="RS516" s="1502"/>
      <c r="RT516" s="1502"/>
      <c r="RU516" s="1502"/>
      <c r="RV516" s="1502"/>
      <c r="RW516" s="1502"/>
      <c r="RX516" s="1502"/>
      <c r="RY516" s="1502"/>
      <c r="RZ516" s="1502"/>
      <c r="SA516" s="1502"/>
      <c r="SB516" s="1502"/>
      <c r="SC516" s="1502"/>
      <c r="SD516" s="1502"/>
      <c r="SE516" s="1502"/>
      <c r="SF516" s="1502"/>
      <c r="SG516" s="1502"/>
      <c r="SH516" s="1502"/>
      <c r="SI516" s="1502"/>
      <c r="SJ516" s="1502"/>
      <c r="SK516" s="1502"/>
      <c r="SL516" s="1502"/>
      <c r="SM516" s="1502"/>
      <c r="SN516" s="1502"/>
      <c r="SO516" s="1502"/>
      <c r="SP516" s="1502"/>
      <c r="SQ516" s="1502"/>
      <c r="SR516" s="1502"/>
      <c r="SS516" s="1502"/>
      <c r="ST516" s="1502"/>
      <c r="SU516" s="1502"/>
      <c r="SV516" s="1502"/>
      <c r="SW516" s="1502"/>
      <c r="SX516" s="1502"/>
      <c r="SY516" s="1502"/>
      <c r="SZ516" s="1502"/>
      <c r="TA516" s="1502"/>
      <c r="TB516" s="1502"/>
      <c r="TC516" s="1502"/>
      <c r="TD516" s="1502"/>
      <c r="TE516" s="1502"/>
      <c r="TF516" s="1502"/>
      <c r="TG516" s="1502"/>
      <c r="TH516" s="1502"/>
      <c r="TI516" s="1502"/>
      <c r="TJ516" s="1502"/>
      <c r="TK516" s="1502"/>
      <c r="TL516" s="1502"/>
      <c r="TM516" s="1502"/>
      <c r="TN516" s="1502"/>
      <c r="TO516" s="1502"/>
      <c r="TP516" s="1502"/>
      <c r="TQ516" s="1502"/>
      <c r="TR516" s="1502"/>
      <c r="TS516" s="1502"/>
      <c r="TT516" s="1502"/>
      <c r="TU516" s="1502"/>
      <c r="TV516" s="1502"/>
      <c r="TW516" s="1502"/>
      <c r="TX516" s="1502"/>
      <c r="TY516" s="1502"/>
      <c r="TZ516" s="1502"/>
      <c r="UA516" s="1502"/>
      <c r="UB516" s="1502"/>
      <c r="UC516" s="1502"/>
      <c r="UD516" s="1502"/>
      <c r="UE516" s="1502"/>
      <c r="UF516" s="1502"/>
      <c r="UG516" s="1502"/>
      <c r="UH516" s="1502"/>
      <c r="UI516" s="1502"/>
      <c r="UJ516" s="1502"/>
      <c r="UK516" s="1502"/>
      <c r="UL516" s="1502"/>
      <c r="UM516" s="1502"/>
      <c r="UN516" s="1502"/>
      <c r="UO516" s="1502"/>
      <c r="UP516" s="1502"/>
      <c r="UQ516" s="1502"/>
      <c r="UR516" s="1502"/>
      <c r="US516" s="1502"/>
      <c r="UT516" s="1502"/>
      <c r="UU516" s="1502"/>
      <c r="UV516" s="1502"/>
      <c r="UW516" s="1502"/>
      <c r="UX516" s="1502"/>
      <c r="UY516" s="1502"/>
      <c r="UZ516" s="1502"/>
      <c r="VA516" s="1502"/>
      <c r="VB516" s="1502"/>
      <c r="VC516" s="1502"/>
      <c r="VD516" s="1502"/>
      <c r="VE516" s="1502"/>
      <c r="VF516" s="1502"/>
      <c r="VG516" s="1502"/>
      <c r="VH516" s="1502"/>
      <c r="VI516" s="1502"/>
      <c r="VJ516" s="1502"/>
      <c r="VK516" s="1502"/>
      <c r="VL516" s="1502"/>
      <c r="VM516" s="1502"/>
      <c r="VN516" s="1502"/>
      <c r="VO516" s="1502"/>
      <c r="VP516" s="1502"/>
      <c r="VQ516" s="1502"/>
      <c r="VR516" s="1502"/>
      <c r="VS516" s="1502"/>
      <c r="VT516" s="1502"/>
      <c r="VU516" s="1502"/>
      <c r="VV516" s="1502"/>
      <c r="VW516" s="1502"/>
      <c r="VX516" s="1502"/>
      <c r="VY516" s="1502"/>
      <c r="VZ516" s="1502"/>
      <c r="WA516" s="1502"/>
      <c r="WB516" s="1502"/>
      <c r="WC516" s="1502"/>
      <c r="WD516" s="1502"/>
      <c r="WE516" s="1502"/>
      <c r="WF516" s="1502"/>
      <c r="WG516" s="1502"/>
      <c r="WH516" s="1502"/>
      <c r="WI516" s="1502"/>
      <c r="WJ516" s="1502"/>
      <c r="WK516" s="1502"/>
      <c r="WL516" s="1502"/>
      <c r="WM516" s="1502"/>
      <c r="WN516" s="1502"/>
      <c r="WO516" s="1502"/>
      <c r="WP516" s="1502"/>
      <c r="WQ516" s="1502"/>
      <c r="WR516" s="1502"/>
      <c r="WS516" s="1502"/>
      <c r="WT516" s="1502"/>
      <c r="WU516" s="1502"/>
      <c r="WV516" s="1502"/>
      <c r="WW516" s="1502"/>
      <c r="WX516" s="1502"/>
      <c r="WY516" s="1502"/>
      <c r="WZ516" s="1502"/>
      <c r="XA516" s="1502"/>
      <c r="XB516" s="1502"/>
      <c r="XC516" s="1502"/>
      <c r="XD516" s="1502"/>
      <c r="XE516" s="1502"/>
      <c r="XF516" s="1502"/>
      <c r="XG516" s="1502"/>
      <c r="XH516" s="1502"/>
      <c r="XI516" s="1502"/>
      <c r="XJ516" s="1502"/>
      <c r="XK516" s="1502"/>
      <c r="XL516" s="1502"/>
      <c r="XM516" s="1502"/>
      <c r="XN516" s="1502"/>
      <c r="XO516" s="1502"/>
      <c r="XP516" s="1502"/>
      <c r="XQ516" s="1502"/>
      <c r="XR516" s="1502"/>
      <c r="XS516" s="1502"/>
      <c r="XT516" s="1502"/>
      <c r="XU516" s="1502"/>
      <c r="XV516" s="1502"/>
      <c r="XW516" s="1502"/>
      <c r="XX516" s="1502"/>
      <c r="XY516" s="1502"/>
      <c r="XZ516" s="1502"/>
      <c r="YA516" s="1502"/>
      <c r="YB516" s="1502"/>
      <c r="YC516" s="1502"/>
      <c r="YD516" s="1502"/>
      <c r="YE516" s="1502"/>
      <c r="YF516" s="1502"/>
      <c r="YG516" s="1502"/>
      <c r="YH516" s="1502"/>
      <c r="YI516" s="1502"/>
      <c r="YJ516" s="1502"/>
      <c r="YK516" s="1502"/>
      <c r="YL516" s="1502"/>
      <c r="YM516" s="1502"/>
      <c r="YN516" s="1502"/>
      <c r="YO516" s="1502"/>
      <c r="YP516" s="1502"/>
      <c r="YQ516" s="1502"/>
      <c r="YR516" s="1502"/>
      <c r="YS516" s="1502"/>
      <c r="YT516" s="1502"/>
      <c r="YU516" s="1502"/>
      <c r="YV516" s="1502"/>
      <c r="YW516" s="1502"/>
      <c r="YX516" s="1502"/>
      <c r="YY516" s="1502"/>
      <c r="YZ516" s="1502"/>
      <c r="ZA516" s="1502"/>
      <c r="ZB516" s="1502"/>
      <c r="ZC516" s="1502"/>
      <c r="ZD516" s="1502"/>
      <c r="ZE516" s="1502"/>
      <c r="ZF516" s="1502"/>
      <c r="ZG516" s="1502"/>
      <c r="ZH516" s="1502"/>
      <c r="ZI516" s="1502"/>
      <c r="ZJ516" s="1502"/>
      <c r="ZK516" s="1502"/>
      <c r="ZL516" s="1502"/>
      <c r="ZM516" s="1502"/>
      <c r="ZN516" s="1502"/>
      <c r="ZO516" s="1502"/>
      <c r="ZP516" s="1502"/>
      <c r="ZQ516" s="1502"/>
      <c r="ZR516" s="1502"/>
      <c r="ZS516" s="1502"/>
      <c r="ZT516" s="1502"/>
      <c r="ZU516" s="1502"/>
      <c r="ZV516" s="1502"/>
      <c r="ZW516" s="1502"/>
      <c r="ZX516" s="1502"/>
      <c r="ZY516" s="1502"/>
      <c r="ZZ516" s="1502"/>
      <c r="AAA516" s="1502"/>
      <c r="AAB516" s="1502"/>
      <c r="AAC516" s="1502"/>
      <c r="AAD516" s="1502"/>
      <c r="AAE516" s="1502"/>
      <c r="AAF516" s="1502"/>
      <c r="AAG516" s="1502"/>
      <c r="AAH516" s="1502"/>
      <c r="AAI516" s="1502"/>
      <c r="AAJ516" s="1502"/>
      <c r="AAK516" s="1502"/>
      <c r="AAL516" s="1502"/>
      <c r="AAM516" s="1502"/>
      <c r="AAN516" s="1502"/>
      <c r="AAO516" s="1502"/>
      <c r="AAP516" s="1502"/>
      <c r="AAQ516" s="1502"/>
      <c r="AAR516" s="1502"/>
      <c r="AAS516" s="1502"/>
      <c r="AAT516" s="1502"/>
      <c r="AAU516" s="1502"/>
      <c r="AAV516" s="1502"/>
      <c r="AAW516" s="1502"/>
      <c r="AAX516" s="1502"/>
      <c r="AAY516" s="1502"/>
      <c r="AAZ516" s="1502"/>
      <c r="ABA516" s="1502"/>
      <c r="ABB516" s="1502"/>
      <c r="ABC516" s="1502"/>
      <c r="ABD516" s="1502"/>
      <c r="ABE516" s="1502"/>
      <c r="ABF516" s="1502"/>
      <c r="ABG516" s="1502"/>
      <c r="ABH516" s="1502"/>
      <c r="ABI516" s="1502"/>
      <c r="ABJ516" s="1502"/>
      <c r="ABK516" s="1502"/>
      <c r="ABL516" s="1502"/>
      <c r="ABM516" s="1502"/>
      <c r="ABN516" s="1502"/>
      <c r="ABO516" s="1502"/>
      <c r="ABP516" s="1502"/>
      <c r="ABQ516" s="1502"/>
      <c r="ABR516" s="1502"/>
      <c r="ABS516" s="1502"/>
      <c r="ABT516" s="1502"/>
      <c r="ABU516" s="1502"/>
      <c r="ABV516" s="1502"/>
      <c r="ABW516" s="1502"/>
      <c r="ABX516" s="1502"/>
      <c r="ABY516" s="1502"/>
      <c r="ABZ516" s="1502"/>
      <c r="ACA516" s="1502"/>
      <c r="ACB516" s="1502"/>
      <c r="ACC516" s="1502"/>
      <c r="ACD516" s="1502"/>
      <c r="ACE516" s="1502"/>
      <c r="ACF516" s="1502"/>
      <c r="ACG516" s="1502"/>
      <c r="ACH516" s="1502"/>
      <c r="ACI516" s="1502"/>
      <c r="ACJ516" s="1502"/>
      <c r="ACK516" s="1502"/>
      <c r="ACL516" s="1502"/>
      <c r="ACM516" s="1502"/>
      <c r="ACN516" s="1502"/>
      <c r="ACO516" s="1502"/>
      <c r="ACP516" s="1502"/>
      <c r="ACQ516" s="1502"/>
      <c r="ACR516" s="1502"/>
      <c r="ACS516" s="1502"/>
      <c r="ACT516" s="1502"/>
      <c r="ACU516" s="1502"/>
      <c r="ACV516" s="1502"/>
      <c r="ACW516" s="1502"/>
      <c r="ACX516" s="1502"/>
      <c r="ACY516" s="1502"/>
      <c r="ACZ516" s="1502"/>
      <c r="ADA516" s="1502"/>
      <c r="ADB516" s="1502"/>
      <c r="ADC516" s="1502"/>
      <c r="ADD516" s="1502"/>
      <c r="ADE516" s="1502"/>
      <c r="ADF516" s="1502"/>
      <c r="ADG516" s="1502"/>
      <c r="ADH516" s="1502"/>
      <c r="ADI516" s="1502"/>
      <c r="ADJ516" s="1502"/>
      <c r="ADK516" s="1502"/>
      <c r="ADL516" s="1502"/>
      <c r="ADM516" s="1502"/>
      <c r="ADN516" s="1502"/>
      <c r="ADO516" s="1502"/>
      <c r="ADP516" s="1502"/>
      <c r="ADQ516" s="1502"/>
      <c r="ADR516" s="1502"/>
      <c r="ADS516" s="1502"/>
      <c r="ADT516" s="1502"/>
      <c r="ADU516" s="1502"/>
      <c r="ADV516" s="1502"/>
      <c r="ADW516" s="1502"/>
      <c r="ADX516" s="1502"/>
      <c r="ADY516" s="1502"/>
      <c r="ADZ516" s="1502"/>
      <c r="AEA516" s="1502"/>
      <c r="AEB516" s="1502"/>
      <c r="AEC516" s="1502"/>
      <c r="AED516" s="1502"/>
      <c r="AEE516" s="1502"/>
      <c r="AEF516" s="1502"/>
      <c r="AEG516" s="1502"/>
      <c r="AEH516" s="1502"/>
      <c r="AEI516" s="1502"/>
      <c r="AEJ516" s="1502"/>
      <c r="AEK516" s="1502"/>
      <c r="AEL516" s="1502"/>
      <c r="AEM516" s="1502"/>
      <c r="AEN516" s="1502"/>
      <c r="AEO516" s="1502"/>
      <c r="AEP516" s="1502"/>
      <c r="AEQ516" s="1502"/>
      <c r="AER516" s="1502"/>
      <c r="AES516" s="1502"/>
      <c r="AET516" s="1502"/>
      <c r="AEU516" s="1502"/>
      <c r="AEV516" s="1502"/>
      <c r="AEW516" s="1502"/>
      <c r="AEX516" s="1502"/>
      <c r="AEY516" s="1502"/>
      <c r="AEZ516" s="1502"/>
      <c r="AFA516" s="1502"/>
      <c r="AFB516" s="1502"/>
      <c r="AFC516" s="1502"/>
      <c r="AFD516" s="1502"/>
      <c r="AFE516" s="1502"/>
      <c r="AFF516" s="1502"/>
      <c r="AFG516" s="1502"/>
      <c r="AFH516" s="1502"/>
      <c r="AFI516" s="1502"/>
      <c r="AFJ516" s="1502"/>
      <c r="AFK516" s="1502"/>
      <c r="AFL516" s="1502"/>
      <c r="AFM516" s="1502"/>
      <c r="AFN516" s="1502"/>
      <c r="AFO516" s="1502"/>
      <c r="AFP516" s="1502"/>
      <c r="AFQ516" s="1502"/>
      <c r="AFR516" s="1502"/>
      <c r="AFS516" s="1502"/>
      <c r="AFT516" s="1502"/>
      <c r="AFU516" s="1502"/>
      <c r="AFV516" s="1502"/>
      <c r="AFW516" s="1502"/>
      <c r="AFX516" s="1502"/>
      <c r="AFY516" s="1502"/>
      <c r="AFZ516" s="1502"/>
      <c r="AGA516" s="1502"/>
      <c r="AGB516" s="1502"/>
      <c r="AGC516" s="1502"/>
      <c r="AGD516" s="1502"/>
      <c r="AGE516" s="1502"/>
      <c r="AGF516" s="1502"/>
      <c r="AGG516" s="1502"/>
      <c r="AGH516" s="1502"/>
      <c r="AGI516" s="1502"/>
      <c r="AGJ516" s="1502"/>
      <c r="AGK516" s="1502"/>
      <c r="AGL516" s="1502"/>
      <c r="AGM516" s="1502"/>
      <c r="AGN516" s="1502"/>
      <c r="AGO516" s="1502"/>
      <c r="AGP516" s="1502"/>
      <c r="AGQ516" s="1502"/>
      <c r="AGR516" s="1502"/>
      <c r="AGS516" s="1502"/>
      <c r="AGT516" s="1502"/>
      <c r="AGU516" s="1502"/>
      <c r="AGV516" s="1502"/>
      <c r="AGW516" s="1502"/>
      <c r="AGX516" s="1502"/>
      <c r="AGY516" s="1502"/>
      <c r="AGZ516" s="1502"/>
      <c r="AHA516" s="1502"/>
      <c r="AHB516" s="1502"/>
      <c r="AHC516" s="1502"/>
      <c r="AHD516" s="1502"/>
      <c r="AHE516" s="1502"/>
      <c r="AHF516" s="1502"/>
      <c r="AHG516" s="1502"/>
      <c r="AHH516" s="1502"/>
      <c r="AHI516" s="1502"/>
      <c r="AHJ516" s="1502"/>
      <c r="AHK516" s="1502"/>
      <c r="AHL516" s="1502"/>
      <c r="AHM516" s="1502"/>
      <c r="AHN516" s="1502"/>
      <c r="AHO516" s="1502"/>
      <c r="AHP516" s="1502"/>
      <c r="AHQ516" s="1502"/>
      <c r="AHR516" s="1502"/>
      <c r="AHS516" s="1502"/>
      <c r="AHT516" s="1502"/>
      <c r="AHU516" s="1502"/>
      <c r="AHV516" s="1502"/>
      <c r="AHW516" s="1502"/>
      <c r="AHX516" s="1502"/>
      <c r="AHY516" s="1502"/>
      <c r="AHZ516" s="1502"/>
      <c r="AIA516" s="1502"/>
      <c r="AIB516" s="1502"/>
      <c r="AIC516" s="1502"/>
      <c r="AID516" s="1502"/>
      <c r="AIE516" s="1502"/>
      <c r="AIF516" s="1502"/>
      <c r="AIG516" s="1502"/>
      <c r="AIH516" s="1502"/>
      <c r="AII516" s="1502"/>
      <c r="AIJ516" s="1502"/>
      <c r="AIK516" s="1502"/>
      <c r="AIL516" s="1502"/>
      <c r="AIM516" s="1502"/>
      <c r="AIN516" s="1502"/>
      <c r="AIO516" s="1502"/>
      <c r="AIP516" s="1502"/>
      <c r="AIQ516" s="1502"/>
      <c r="AIR516" s="1502"/>
      <c r="AIS516" s="1502"/>
      <c r="AIT516" s="1502"/>
      <c r="AIU516" s="1502"/>
      <c r="AIV516" s="1502"/>
      <c r="AIW516" s="1502"/>
      <c r="AIX516" s="1502"/>
      <c r="AIY516" s="1502"/>
      <c r="AIZ516" s="1502"/>
      <c r="AJA516" s="1502"/>
      <c r="AJB516" s="1502"/>
      <c r="AJC516" s="1502"/>
      <c r="AJD516" s="1502"/>
      <c r="AJE516" s="1502"/>
      <c r="AJF516" s="1502"/>
      <c r="AJG516" s="1502"/>
      <c r="AJH516" s="1502"/>
      <c r="AJI516" s="1502"/>
      <c r="AJJ516" s="1502"/>
      <c r="AJK516" s="1502"/>
      <c r="AJL516" s="1502"/>
      <c r="AJM516" s="1502"/>
      <c r="AJN516" s="1502"/>
      <c r="AJO516" s="1502"/>
      <c r="AJP516" s="1502"/>
      <c r="AJQ516" s="1502"/>
      <c r="AJR516" s="1502"/>
      <c r="AJS516" s="1502"/>
      <c r="AJT516" s="1502"/>
      <c r="AJU516" s="1502"/>
      <c r="AJV516" s="1502"/>
      <c r="AJW516" s="1502"/>
      <c r="AJX516" s="1502"/>
      <c r="AJY516" s="1502"/>
      <c r="AJZ516" s="1502"/>
      <c r="AKA516" s="1502"/>
      <c r="AKB516" s="1502"/>
      <c r="AKC516" s="1502"/>
      <c r="AKD516" s="1502"/>
      <c r="AKE516" s="1502"/>
      <c r="AKF516" s="1502"/>
      <c r="AKG516" s="1502"/>
      <c r="AKH516" s="1502"/>
      <c r="AKI516" s="1502"/>
      <c r="AKJ516" s="1502"/>
      <c r="AKK516" s="1502"/>
      <c r="AKL516" s="1502"/>
      <c r="AKM516" s="1502"/>
      <c r="AKN516" s="1502"/>
      <c r="AKO516" s="1502"/>
      <c r="AKP516" s="1502"/>
      <c r="AKQ516" s="1502"/>
      <c r="AKR516" s="1502"/>
      <c r="AKS516" s="1502"/>
      <c r="AKT516" s="1502"/>
      <c r="AKU516" s="1502"/>
      <c r="AKV516" s="1502"/>
      <c r="AKW516" s="1502"/>
      <c r="AKX516" s="1502"/>
      <c r="AKY516" s="1502"/>
      <c r="AKZ516" s="1502"/>
      <c r="ALA516" s="1502"/>
      <c r="ALB516" s="1502"/>
      <c r="ALC516" s="1502"/>
      <c r="ALD516" s="1502"/>
      <c r="ALE516" s="1502"/>
      <c r="ALF516" s="1502"/>
      <c r="ALG516" s="1502"/>
      <c r="ALH516" s="1502"/>
      <c r="ALI516" s="1502"/>
      <c r="ALJ516" s="1502"/>
      <c r="ALK516" s="1502"/>
      <c r="ALL516" s="1502"/>
      <c r="ALM516" s="1502"/>
      <c r="ALN516" s="1502"/>
      <c r="ALO516" s="1502"/>
      <c r="ALP516" s="1502"/>
      <c r="ALQ516" s="1502"/>
      <c r="ALR516" s="1502"/>
      <c r="ALS516" s="1502"/>
      <c r="ALT516" s="1502"/>
      <c r="ALU516" s="1502"/>
      <c r="ALV516" s="1502"/>
      <c r="ALW516" s="1502"/>
      <c r="ALX516" s="1502"/>
      <c r="ALY516" s="1502"/>
      <c r="ALZ516" s="1502"/>
      <c r="AMA516" s="1502"/>
      <c r="AMB516" s="1502"/>
      <c r="AMC516" s="1502"/>
      <c r="AMD516" s="1502"/>
      <c r="AME516" s="1502"/>
      <c r="AMF516" s="1502"/>
      <c r="AMG516" s="1502"/>
      <c r="AMH516" s="1502"/>
      <c r="AMI516" s="1502"/>
      <c r="AMJ516" s="1502"/>
      <c r="AMK516" s="1502"/>
      <c r="AML516" s="1502"/>
      <c r="AMM516" s="1502"/>
      <c r="AMN516" s="1502"/>
      <c r="AMO516" s="1502"/>
      <c r="AMP516" s="1502"/>
      <c r="AMQ516" s="1502"/>
      <c r="AMR516" s="1502"/>
      <c r="AMS516" s="1502"/>
      <c r="AMT516" s="1502"/>
      <c r="AMU516" s="1502"/>
      <c r="AMV516" s="1502"/>
      <c r="AMW516" s="1502"/>
      <c r="AMX516" s="1502"/>
      <c r="AMY516" s="1502"/>
      <c r="AMZ516" s="1502"/>
      <c r="ANA516" s="1502"/>
      <c r="ANB516" s="1502"/>
      <c r="ANC516" s="1502"/>
      <c r="AND516" s="1502"/>
      <c r="ANE516" s="1502"/>
      <c r="ANF516" s="1502"/>
      <c r="ANG516" s="1502"/>
      <c r="ANH516" s="1502"/>
      <c r="ANI516" s="1502"/>
      <c r="ANJ516" s="1502"/>
      <c r="ANK516" s="1502"/>
      <c r="ANL516" s="1502"/>
      <c r="ANM516" s="1502"/>
      <c r="ANN516" s="1502"/>
      <c r="ANO516" s="1502"/>
      <c r="ANP516" s="1502"/>
      <c r="ANQ516" s="1502"/>
      <c r="ANR516" s="1502"/>
      <c r="ANS516" s="1502"/>
      <c r="ANT516" s="1502"/>
      <c r="ANU516" s="1502"/>
      <c r="ANV516" s="1502"/>
      <c r="ANW516" s="1502"/>
      <c r="ANX516" s="1502"/>
      <c r="ANY516" s="1502"/>
      <c r="ANZ516" s="1502"/>
      <c r="AOA516" s="1502"/>
      <c r="AOB516" s="1502"/>
      <c r="AOC516" s="1502"/>
      <c r="AOD516" s="1502"/>
      <c r="AOE516" s="1502"/>
      <c r="AOF516" s="1502"/>
      <c r="AOG516" s="1502"/>
      <c r="AOH516" s="1502"/>
      <c r="AOI516" s="1502"/>
      <c r="AOJ516" s="1502"/>
      <c r="AOK516" s="1502"/>
      <c r="AOL516" s="1502"/>
      <c r="AOM516" s="1502"/>
      <c r="AON516" s="1502"/>
      <c r="AOO516" s="1502"/>
      <c r="AOP516" s="1502"/>
      <c r="AOQ516" s="1502"/>
      <c r="AOR516" s="1502"/>
      <c r="AOS516" s="1502"/>
      <c r="AOT516" s="1502"/>
      <c r="AOU516" s="1502"/>
      <c r="AOV516" s="1502"/>
      <c r="AOW516" s="1502"/>
      <c r="AOX516" s="1502"/>
      <c r="AOY516" s="1502"/>
      <c r="AOZ516" s="1502"/>
      <c r="APA516" s="1502"/>
      <c r="APB516" s="1502"/>
      <c r="APC516" s="1502"/>
      <c r="APD516" s="1502"/>
      <c r="APE516" s="1502"/>
      <c r="APF516" s="1502"/>
      <c r="APG516" s="1502"/>
      <c r="APH516" s="1502"/>
      <c r="API516" s="1502"/>
      <c r="APJ516" s="1502"/>
      <c r="APK516" s="1502"/>
      <c r="APL516" s="1502"/>
      <c r="APM516" s="1502"/>
      <c r="APN516" s="1502"/>
      <c r="APO516" s="1502"/>
      <c r="APP516" s="1502"/>
      <c r="APQ516" s="1502"/>
      <c r="APR516" s="1502"/>
      <c r="APS516" s="1502"/>
      <c r="APT516" s="1502"/>
      <c r="APU516" s="1502"/>
      <c r="APV516" s="1502"/>
      <c r="APW516" s="1502"/>
      <c r="APX516" s="1502"/>
      <c r="APY516" s="1502"/>
      <c r="APZ516" s="1502"/>
      <c r="AQA516" s="1502"/>
      <c r="AQB516" s="1502"/>
      <c r="AQC516" s="1502"/>
      <c r="AQD516" s="1502"/>
      <c r="AQE516" s="1502"/>
      <c r="AQF516" s="1502"/>
      <c r="AQG516" s="1502"/>
      <c r="AQH516" s="1502"/>
      <c r="AQI516" s="1502"/>
      <c r="AQJ516" s="1502"/>
      <c r="AQK516" s="1502"/>
      <c r="AQL516" s="1502"/>
      <c r="AQM516" s="1502"/>
      <c r="AQN516" s="1502"/>
      <c r="AQO516" s="1502"/>
      <c r="AQP516" s="1502"/>
      <c r="AQQ516" s="1502"/>
      <c r="AQR516" s="1502"/>
      <c r="AQS516" s="1502"/>
      <c r="AQT516" s="1502"/>
      <c r="AQU516" s="1502"/>
      <c r="AQV516" s="1502"/>
      <c r="AQW516" s="1502"/>
      <c r="AQX516" s="1502"/>
      <c r="AQY516" s="1502"/>
      <c r="AQZ516" s="1502"/>
      <c r="ARA516" s="1502"/>
      <c r="ARB516" s="1502"/>
      <c r="ARC516" s="1502"/>
      <c r="ARD516" s="1502"/>
      <c r="ARE516" s="1502"/>
      <c r="ARF516" s="1502"/>
      <c r="ARG516" s="1502"/>
      <c r="ARH516" s="1502"/>
      <c r="ARI516" s="1502"/>
      <c r="ARJ516" s="1502"/>
      <c r="ARK516" s="1502"/>
      <c r="ARL516" s="1502"/>
      <c r="ARM516" s="1502"/>
      <c r="ARN516" s="1502"/>
      <c r="ARO516" s="1502"/>
      <c r="ARP516" s="1502"/>
      <c r="ARQ516" s="1502"/>
      <c r="ARR516" s="1502"/>
      <c r="ARS516" s="1502"/>
      <c r="ART516" s="1502"/>
      <c r="ARU516" s="1502"/>
      <c r="ARV516" s="1502"/>
      <c r="ARW516" s="1502"/>
      <c r="ARX516" s="1502"/>
      <c r="ARY516" s="1502"/>
      <c r="ARZ516" s="1502"/>
      <c r="ASA516" s="1502"/>
      <c r="ASB516" s="1502"/>
      <c r="ASC516" s="1502"/>
      <c r="ASD516" s="1502"/>
      <c r="ASE516" s="1502"/>
      <c r="ASF516" s="1502"/>
      <c r="ASG516" s="1502"/>
      <c r="ASH516" s="1502"/>
      <c r="ASI516" s="1502"/>
      <c r="ASJ516" s="1502"/>
      <c r="ASK516" s="1502"/>
      <c r="ASL516" s="1502"/>
      <c r="ASM516" s="1502"/>
      <c r="ASN516" s="1502"/>
      <c r="ASO516" s="1502"/>
      <c r="ASP516" s="1502"/>
      <c r="ASQ516" s="1502"/>
      <c r="ASR516" s="1502"/>
      <c r="ASS516" s="1502"/>
      <c r="AST516" s="1502"/>
      <c r="ASU516" s="1502"/>
      <c r="ASV516" s="1502"/>
      <c r="ASW516" s="1502"/>
      <c r="ASX516" s="1502"/>
      <c r="ASY516" s="1502"/>
      <c r="ASZ516" s="1502"/>
      <c r="ATA516" s="1502"/>
      <c r="ATB516" s="1502"/>
      <c r="ATC516" s="1502"/>
      <c r="ATD516" s="1502"/>
      <c r="ATE516" s="1502"/>
      <c r="ATF516" s="1502"/>
      <c r="ATG516" s="1502"/>
      <c r="ATH516" s="1502"/>
      <c r="ATI516" s="1502"/>
      <c r="ATJ516" s="1502"/>
      <c r="ATK516" s="1502"/>
      <c r="ATL516" s="1502"/>
      <c r="ATM516" s="1502"/>
      <c r="ATN516" s="1502"/>
      <c r="ATO516" s="1502"/>
      <c r="ATP516" s="1502"/>
      <c r="ATQ516" s="1502"/>
      <c r="ATR516" s="1502"/>
      <c r="ATS516" s="1502"/>
      <c r="ATT516" s="1502"/>
      <c r="ATU516" s="1502"/>
      <c r="ATV516" s="1502"/>
      <c r="ATW516" s="1502"/>
      <c r="ATX516" s="1502"/>
      <c r="ATY516" s="1502"/>
      <c r="ATZ516" s="1502"/>
      <c r="AUA516" s="1502"/>
      <c r="AUB516" s="1502"/>
      <c r="AUC516" s="1502"/>
      <c r="AUD516" s="1502"/>
      <c r="AUE516" s="1502"/>
      <c r="AUF516" s="1502"/>
      <c r="AUG516" s="1502"/>
      <c r="AUH516" s="1502"/>
      <c r="AUI516" s="1502"/>
      <c r="AUJ516" s="1502"/>
      <c r="AUK516" s="1502"/>
      <c r="AUL516" s="1502"/>
      <c r="AUM516" s="1502"/>
      <c r="AUN516" s="1502"/>
      <c r="AUO516" s="1502"/>
      <c r="AUP516" s="1502"/>
      <c r="AUQ516" s="1502"/>
      <c r="AUR516" s="1502"/>
      <c r="AUS516" s="1502"/>
      <c r="AUT516" s="1502"/>
      <c r="AUU516" s="1502"/>
      <c r="AUV516" s="1502"/>
      <c r="AUW516" s="1502"/>
      <c r="AUX516" s="1502"/>
      <c r="AUY516" s="1502"/>
      <c r="AUZ516" s="1502"/>
      <c r="AVA516" s="1502"/>
      <c r="AVB516" s="1502"/>
      <c r="AVC516" s="1502"/>
      <c r="AVD516" s="1502"/>
      <c r="AVE516" s="1502"/>
      <c r="AVF516" s="1502"/>
      <c r="AVG516" s="1502"/>
      <c r="AVH516" s="1502"/>
      <c r="AVI516" s="1502"/>
      <c r="AVJ516" s="1502"/>
      <c r="AVK516" s="1502"/>
      <c r="AVL516" s="1502"/>
      <c r="AVM516" s="1502"/>
      <c r="AVN516" s="1502"/>
      <c r="AVO516" s="1502"/>
      <c r="AVP516" s="1502"/>
      <c r="AVQ516" s="1502"/>
      <c r="AVR516" s="1502"/>
      <c r="AVS516" s="1502"/>
      <c r="AVT516" s="1502"/>
      <c r="AVU516" s="1502"/>
      <c r="AVV516" s="1502"/>
      <c r="AVW516" s="1502"/>
      <c r="AVX516" s="1502"/>
      <c r="AVY516" s="1502"/>
      <c r="AVZ516" s="1502"/>
      <c r="AWA516" s="1502"/>
      <c r="AWB516" s="1502"/>
      <c r="AWC516" s="1502"/>
      <c r="AWD516" s="1502"/>
      <c r="AWE516" s="1502"/>
      <c r="AWF516" s="1502"/>
      <c r="AWG516" s="1502"/>
      <c r="AWH516" s="1502"/>
      <c r="AWI516" s="1502"/>
      <c r="AWJ516" s="1502"/>
      <c r="AWK516" s="1502"/>
      <c r="AWL516" s="1502"/>
      <c r="AWM516" s="1502"/>
      <c r="AWN516" s="1502"/>
      <c r="AWO516" s="1502"/>
      <c r="AWP516" s="1502"/>
      <c r="AWQ516" s="1502"/>
      <c r="AWR516" s="1502"/>
      <c r="AWS516" s="1502"/>
      <c r="AWT516" s="1502"/>
      <c r="AWU516" s="1502"/>
      <c r="AWV516" s="1502"/>
      <c r="AWW516" s="1502"/>
      <c r="AWX516" s="1502"/>
      <c r="AWY516" s="1502"/>
      <c r="AWZ516" s="1502"/>
      <c r="AXA516" s="1502"/>
      <c r="AXB516" s="1502"/>
      <c r="AXC516" s="1502"/>
      <c r="AXD516" s="1502"/>
      <c r="AXE516" s="1502"/>
      <c r="AXF516" s="1502"/>
      <c r="AXG516" s="1502"/>
      <c r="AXH516" s="1502"/>
      <c r="AXI516" s="1502"/>
      <c r="AXJ516" s="1502"/>
      <c r="AXK516" s="1502"/>
      <c r="AXL516" s="1502"/>
      <c r="AXM516" s="1502"/>
      <c r="AXN516" s="1502"/>
      <c r="AXO516" s="1502"/>
      <c r="AXP516" s="1502"/>
      <c r="AXQ516" s="1502"/>
      <c r="AXR516" s="1502"/>
      <c r="AXS516" s="1502"/>
      <c r="AXT516" s="1502"/>
      <c r="AXU516" s="1502"/>
      <c r="AXV516" s="1502"/>
      <c r="AXW516" s="1502"/>
      <c r="AXX516" s="1502"/>
      <c r="AXY516" s="1502"/>
      <c r="AXZ516" s="1502"/>
      <c r="AYA516" s="1502"/>
      <c r="AYB516" s="1502"/>
      <c r="AYC516" s="1502"/>
      <c r="AYD516" s="1502"/>
      <c r="AYE516" s="1502"/>
      <c r="AYF516" s="1502"/>
      <c r="AYG516" s="1502"/>
      <c r="AYH516" s="1502"/>
      <c r="AYI516" s="1502"/>
      <c r="AYJ516" s="1502"/>
      <c r="AYK516" s="1502"/>
      <c r="AYL516" s="1502"/>
      <c r="AYM516" s="1502"/>
      <c r="AYN516" s="1502"/>
      <c r="AYO516" s="1502"/>
      <c r="AYP516" s="1502"/>
      <c r="AYQ516" s="1502"/>
      <c r="AYR516" s="1502"/>
      <c r="AYS516" s="1502"/>
      <c r="AYT516" s="1502"/>
      <c r="AYU516" s="1502"/>
      <c r="AYV516" s="1502"/>
      <c r="AYW516" s="1502"/>
      <c r="AYX516" s="1502"/>
      <c r="AYY516" s="1502"/>
      <c r="AYZ516" s="1502"/>
      <c r="AZA516" s="1502"/>
      <c r="AZB516" s="1502"/>
      <c r="AZC516" s="1502"/>
      <c r="AZD516" s="1502"/>
      <c r="AZE516" s="1502"/>
      <c r="AZF516" s="1502"/>
      <c r="AZG516" s="1502"/>
      <c r="AZH516" s="1502"/>
      <c r="AZI516" s="1502"/>
      <c r="AZJ516" s="1502"/>
      <c r="AZK516" s="1502"/>
      <c r="AZL516" s="1502"/>
      <c r="AZM516" s="1502"/>
      <c r="AZN516" s="1502"/>
      <c r="AZO516" s="1502"/>
      <c r="AZP516" s="1502"/>
      <c r="AZQ516" s="1502"/>
      <c r="AZR516" s="1502"/>
      <c r="AZS516" s="1502"/>
      <c r="AZT516" s="1502"/>
      <c r="AZU516" s="1502"/>
      <c r="AZV516" s="1502"/>
      <c r="AZW516" s="1502"/>
      <c r="AZX516" s="1502"/>
      <c r="AZY516" s="1502"/>
      <c r="AZZ516" s="1502"/>
      <c r="BAA516" s="1502"/>
      <c r="BAB516" s="1502"/>
      <c r="BAC516" s="1502"/>
      <c r="BAD516" s="1502"/>
      <c r="BAE516" s="1502"/>
      <c r="BAF516" s="1502"/>
      <c r="BAG516" s="1502"/>
      <c r="BAH516" s="1502"/>
      <c r="BAI516" s="1502"/>
      <c r="BAJ516" s="1502"/>
      <c r="BAK516" s="1502"/>
      <c r="BAL516" s="1502"/>
      <c r="BAM516" s="1502"/>
      <c r="BAN516" s="1502"/>
      <c r="BAO516" s="1502"/>
      <c r="BAP516" s="1502"/>
      <c r="BAQ516" s="1502"/>
      <c r="BAR516" s="1502"/>
      <c r="BAS516" s="1502"/>
      <c r="BAT516" s="1502"/>
      <c r="BAU516" s="1502"/>
      <c r="BAV516" s="1502"/>
      <c r="BAW516" s="1502"/>
      <c r="BAX516" s="1502"/>
      <c r="BAY516" s="1502"/>
      <c r="BAZ516" s="1502"/>
      <c r="BBA516" s="1502"/>
      <c r="BBB516" s="1502"/>
      <c r="BBC516" s="1502"/>
      <c r="BBD516" s="1502"/>
      <c r="BBE516" s="1502"/>
      <c r="BBF516" s="1502"/>
      <c r="BBG516" s="1502"/>
      <c r="BBH516" s="1502"/>
      <c r="BBI516" s="1502"/>
      <c r="BBJ516" s="1502"/>
      <c r="BBK516" s="1502"/>
      <c r="BBL516" s="1502"/>
      <c r="BBM516" s="1502"/>
      <c r="BBN516" s="1502"/>
      <c r="BBO516" s="1502"/>
      <c r="BBP516" s="1502"/>
      <c r="BBQ516" s="1502"/>
      <c r="BBR516" s="1502"/>
      <c r="BBS516" s="1502"/>
      <c r="BBT516" s="1502"/>
      <c r="BBU516" s="1502"/>
      <c r="BBV516" s="1502"/>
      <c r="BBW516" s="1502"/>
      <c r="BBX516" s="1502"/>
      <c r="BBY516" s="1502"/>
      <c r="BBZ516" s="1502"/>
      <c r="BCA516" s="1502"/>
      <c r="BCB516" s="1502"/>
      <c r="BCC516" s="1502"/>
      <c r="BCD516" s="1502"/>
      <c r="BCE516" s="1502"/>
      <c r="BCF516" s="1502"/>
      <c r="BCG516" s="1502"/>
      <c r="BCH516" s="1502"/>
      <c r="BCI516" s="1502"/>
      <c r="BCJ516" s="1502"/>
      <c r="BCK516" s="1502"/>
      <c r="BCL516" s="1502"/>
      <c r="BCM516" s="1502"/>
      <c r="BCN516" s="1502"/>
      <c r="BCO516" s="1502"/>
      <c r="BCP516" s="1502"/>
      <c r="BCQ516" s="1502"/>
      <c r="BCR516" s="1502"/>
      <c r="BCS516" s="1502"/>
      <c r="BCT516" s="1502"/>
      <c r="BCU516" s="1502"/>
      <c r="BCV516" s="1502"/>
      <c r="BCW516" s="1502"/>
      <c r="BCX516" s="1502"/>
      <c r="BCY516" s="1502"/>
      <c r="BCZ516" s="1502"/>
      <c r="BDA516" s="1502"/>
      <c r="BDB516" s="1502"/>
      <c r="BDC516" s="1502"/>
      <c r="BDD516" s="1502"/>
      <c r="BDE516" s="1502"/>
      <c r="BDF516" s="1502"/>
      <c r="BDG516" s="1502"/>
      <c r="BDH516" s="1502"/>
      <c r="BDI516" s="1502"/>
      <c r="BDJ516" s="1502"/>
      <c r="BDK516" s="1502"/>
      <c r="BDL516" s="1502"/>
      <c r="BDM516" s="1502"/>
      <c r="BDN516" s="1502"/>
      <c r="BDO516" s="1502"/>
      <c r="BDP516" s="1502"/>
      <c r="BDQ516" s="1502"/>
      <c r="BDR516" s="1502"/>
      <c r="BDS516" s="1502"/>
      <c r="BDT516" s="1502"/>
      <c r="BDU516" s="1502"/>
      <c r="BDV516" s="1502"/>
      <c r="BDW516" s="1502"/>
      <c r="BDX516" s="1502"/>
      <c r="BDY516" s="1502"/>
      <c r="BDZ516" s="1502"/>
      <c r="BEA516" s="1502"/>
      <c r="BEB516" s="1502"/>
      <c r="BEC516" s="1502"/>
      <c r="BED516" s="1502"/>
      <c r="BEE516" s="1502"/>
      <c r="BEF516" s="1502"/>
      <c r="BEG516" s="1502"/>
      <c r="BEH516" s="1502"/>
      <c r="BEI516" s="1502"/>
      <c r="BEJ516" s="1502"/>
      <c r="BEK516" s="1502"/>
      <c r="BEL516" s="1502"/>
      <c r="BEM516" s="1502"/>
      <c r="BEN516" s="1502"/>
      <c r="BEO516" s="1502"/>
      <c r="BEP516" s="1502"/>
      <c r="BEQ516" s="1502"/>
      <c r="BER516" s="1502"/>
      <c r="BES516" s="1502"/>
      <c r="BET516" s="1502"/>
      <c r="BEU516" s="1502"/>
      <c r="BEV516" s="1502"/>
      <c r="BEW516" s="1502"/>
      <c r="BEX516" s="1502"/>
      <c r="BEY516" s="1502"/>
      <c r="BEZ516" s="1502"/>
      <c r="BFA516" s="1502"/>
      <c r="BFB516" s="1502"/>
      <c r="BFC516" s="1502"/>
      <c r="BFD516" s="1502"/>
      <c r="BFE516" s="1502"/>
      <c r="BFF516" s="1502"/>
      <c r="BFG516" s="1502"/>
      <c r="BFH516" s="1502"/>
      <c r="BFI516" s="1502"/>
      <c r="BFJ516" s="1502"/>
      <c r="BFK516" s="1502"/>
      <c r="BFL516" s="1502"/>
      <c r="BFM516" s="1502"/>
      <c r="BFN516" s="1502"/>
      <c r="BFO516" s="1502"/>
      <c r="BFP516" s="1502"/>
      <c r="BFQ516" s="1502"/>
      <c r="BFR516" s="1502"/>
      <c r="BFS516" s="1502"/>
      <c r="BFT516" s="1502"/>
      <c r="BFU516" s="1502"/>
      <c r="BFV516" s="1502"/>
      <c r="BFW516" s="1502"/>
      <c r="BFX516" s="1502"/>
      <c r="BFY516" s="1502"/>
      <c r="BFZ516" s="1502"/>
      <c r="BGA516" s="1502"/>
      <c r="BGB516" s="1502"/>
      <c r="BGC516" s="1502"/>
      <c r="BGD516" s="1502"/>
      <c r="BGE516" s="1502"/>
      <c r="BGF516" s="1502"/>
      <c r="BGG516" s="1502"/>
      <c r="BGH516" s="1502"/>
      <c r="BGI516" s="1502"/>
      <c r="BGJ516" s="1502"/>
      <c r="BGK516" s="1502"/>
      <c r="BGL516" s="1502"/>
      <c r="BGM516" s="1502"/>
      <c r="BGN516" s="1502"/>
      <c r="BGO516" s="1502"/>
      <c r="BGP516" s="1502"/>
      <c r="BGQ516" s="1502"/>
      <c r="BGR516" s="1502"/>
      <c r="BGS516" s="1502"/>
      <c r="BGT516" s="1502"/>
      <c r="BGU516" s="1502"/>
      <c r="BGV516" s="1502"/>
      <c r="BGW516" s="1502"/>
      <c r="BGX516" s="1502"/>
      <c r="BGY516" s="1502"/>
      <c r="BGZ516" s="1502"/>
      <c r="BHA516" s="1502"/>
      <c r="BHB516" s="1502"/>
      <c r="BHC516" s="1502"/>
      <c r="BHD516" s="1502"/>
      <c r="BHE516" s="1502"/>
      <c r="BHF516" s="1502"/>
      <c r="BHG516" s="1502"/>
      <c r="BHH516" s="1502"/>
      <c r="BHI516" s="1502"/>
      <c r="BHJ516" s="1502"/>
      <c r="BHK516" s="1502"/>
      <c r="BHL516" s="1502"/>
      <c r="BHM516" s="1502"/>
      <c r="BHN516" s="1502"/>
      <c r="BHO516" s="1502"/>
      <c r="BHP516" s="1502"/>
      <c r="BHQ516" s="1502"/>
      <c r="BHR516" s="1502"/>
      <c r="BHS516" s="1502"/>
      <c r="BHT516" s="1502"/>
      <c r="BHU516" s="1502"/>
      <c r="BHV516" s="1502"/>
      <c r="BHW516" s="1502"/>
      <c r="BHX516" s="1502"/>
      <c r="BHY516" s="1502"/>
      <c r="BHZ516" s="1502"/>
      <c r="BIA516" s="1502"/>
      <c r="BIB516" s="1502"/>
      <c r="BIC516" s="1502"/>
      <c r="BID516" s="1502"/>
      <c r="BIE516" s="1502"/>
      <c r="BIF516" s="1502"/>
      <c r="BIG516" s="1502"/>
      <c r="BIH516" s="1502"/>
      <c r="BII516" s="1502"/>
      <c r="BIJ516" s="1502"/>
      <c r="BIK516" s="1502"/>
      <c r="BIL516" s="1502"/>
      <c r="BIM516" s="1502"/>
      <c r="BIN516" s="1502"/>
      <c r="BIO516" s="1502"/>
      <c r="BIP516" s="1502"/>
      <c r="BIQ516" s="1502"/>
      <c r="BIR516" s="1502"/>
      <c r="BIS516" s="1502"/>
      <c r="BIT516" s="1502"/>
      <c r="BIU516" s="1502"/>
      <c r="BIV516" s="1502"/>
      <c r="BIW516" s="1502"/>
      <c r="BIX516" s="1502"/>
      <c r="BIY516" s="1502"/>
      <c r="BIZ516" s="1502"/>
      <c r="BJA516" s="1502"/>
      <c r="BJB516" s="1502"/>
      <c r="BJC516" s="1502"/>
      <c r="BJD516" s="1502"/>
      <c r="BJE516" s="1502"/>
      <c r="BJF516" s="1502"/>
      <c r="BJG516" s="1502"/>
      <c r="BJH516" s="1502"/>
      <c r="BJI516" s="1502"/>
      <c r="BJJ516" s="1502"/>
      <c r="BJK516" s="1502"/>
      <c r="BJL516" s="1502"/>
      <c r="BJM516" s="1502"/>
      <c r="BJN516" s="1502"/>
      <c r="BJO516" s="1502"/>
      <c r="BJP516" s="1502"/>
      <c r="BJQ516" s="1502"/>
      <c r="BJR516" s="1502"/>
      <c r="BJS516" s="1502"/>
      <c r="BJT516" s="1502"/>
      <c r="BJU516" s="1502"/>
      <c r="BJV516" s="1502"/>
      <c r="BJW516" s="1502"/>
      <c r="BJX516" s="1502"/>
      <c r="BJY516" s="1502"/>
      <c r="BJZ516" s="1502"/>
      <c r="BKA516" s="1502"/>
      <c r="BKB516" s="1502"/>
      <c r="BKC516" s="1502"/>
      <c r="BKD516" s="1502"/>
      <c r="BKE516" s="1502"/>
      <c r="BKF516" s="1502"/>
      <c r="BKG516" s="1502"/>
      <c r="BKH516" s="1502"/>
      <c r="BKI516" s="1502"/>
      <c r="BKJ516" s="1502"/>
      <c r="BKK516" s="1502"/>
      <c r="BKL516" s="1502"/>
      <c r="BKM516" s="1502"/>
      <c r="BKN516" s="1502"/>
      <c r="BKO516" s="1502"/>
      <c r="BKP516" s="1502"/>
      <c r="BKQ516" s="1502"/>
      <c r="BKR516" s="1502"/>
      <c r="BKS516" s="1502"/>
      <c r="BKT516" s="1502"/>
      <c r="BKU516" s="1502"/>
      <c r="BKV516" s="1502"/>
      <c r="BKW516" s="1502"/>
      <c r="BKX516" s="1502"/>
      <c r="BKY516" s="1502"/>
      <c r="BKZ516" s="1502"/>
      <c r="BLA516" s="1502"/>
      <c r="BLB516" s="1502"/>
      <c r="BLC516" s="1502"/>
      <c r="BLD516" s="1502"/>
      <c r="BLE516" s="1502"/>
      <c r="BLF516" s="1502"/>
      <c r="BLG516" s="1502"/>
      <c r="BLH516" s="1502"/>
      <c r="BLI516" s="1502"/>
      <c r="BLJ516" s="1502"/>
      <c r="BLK516" s="1502"/>
      <c r="BLL516" s="1502"/>
      <c r="BLM516" s="1502"/>
      <c r="BLN516" s="1502"/>
      <c r="BLO516" s="1502"/>
      <c r="BLP516" s="1502"/>
      <c r="BLQ516" s="1502"/>
      <c r="BLR516" s="1502"/>
      <c r="BLS516" s="1502"/>
      <c r="BLT516" s="1502"/>
      <c r="BLU516" s="1502"/>
      <c r="BLV516" s="1502"/>
      <c r="BLW516" s="1502"/>
      <c r="BLX516" s="1502"/>
      <c r="BLY516" s="1502"/>
      <c r="BLZ516" s="1502"/>
      <c r="BMA516" s="1502"/>
      <c r="BMB516" s="1502"/>
      <c r="BMC516" s="1502"/>
      <c r="BMD516" s="1502"/>
      <c r="BME516" s="1502"/>
      <c r="BMF516" s="1502"/>
      <c r="BMG516" s="1502"/>
      <c r="BMH516" s="1502"/>
      <c r="BMI516" s="1502"/>
      <c r="BMJ516" s="1502"/>
      <c r="BMK516" s="1502"/>
      <c r="BML516" s="1502"/>
      <c r="BMM516" s="1502"/>
      <c r="BMN516" s="1502"/>
      <c r="BMO516" s="1502"/>
      <c r="BMP516" s="1502"/>
      <c r="BMQ516" s="1502"/>
      <c r="BMR516" s="1502"/>
      <c r="BMS516" s="1502"/>
      <c r="BMT516" s="1502"/>
      <c r="BMU516" s="1502"/>
      <c r="BMV516" s="1502"/>
      <c r="BMW516" s="1502"/>
      <c r="BMX516" s="1502"/>
      <c r="BMY516" s="1502"/>
      <c r="BMZ516" s="1502"/>
      <c r="BNA516" s="1502"/>
      <c r="BNB516" s="1502"/>
      <c r="BNC516" s="1502"/>
      <c r="BND516" s="1502"/>
      <c r="BNE516" s="1502"/>
      <c r="BNF516" s="1502"/>
      <c r="BNG516" s="1502"/>
      <c r="BNH516" s="1502"/>
      <c r="BNI516" s="1502"/>
      <c r="BNJ516" s="1502"/>
      <c r="BNK516" s="1502"/>
      <c r="BNL516" s="1502"/>
      <c r="BNM516" s="1502"/>
      <c r="BNN516" s="1502"/>
      <c r="BNO516" s="1502"/>
      <c r="BNP516" s="1502"/>
      <c r="BNQ516" s="1502"/>
      <c r="BNR516" s="1502"/>
      <c r="BNS516" s="1502"/>
      <c r="BNT516" s="1502"/>
      <c r="BNU516" s="1502"/>
      <c r="BNV516" s="1502"/>
      <c r="BNW516" s="1502"/>
      <c r="BNX516" s="1502"/>
      <c r="BNY516" s="1502"/>
      <c r="BNZ516" s="1502"/>
      <c r="BOA516" s="1502"/>
      <c r="BOB516" s="1502"/>
      <c r="BOC516" s="1502"/>
      <c r="BOD516" s="1502"/>
      <c r="BOE516" s="1502"/>
      <c r="BOF516" s="1502"/>
      <c r="BOG516" s="1502"/>
      <c r="BOH516" s="1502"/>
      <c r="BOI516" s="1502"/>
      <c r="BOJ516" s="1502"/>
      <c r="BOK516" s="1502"/>
      <c r="BOL516" s="1502"/>
      <c r="BOM516" s="1502"/>
      <c r="BON516" s="1502"/>
      <c r="BOO516" s="1502"/>
      <c r="BOP516" s="1502"/>
      <c r="BOQ516" s="1502"/>
      <c r="BOR516" s="1502"/>
      <c r="BOS516" s="1502"/>
      <c r="BOT516" s="1502"/>
      <c r="BOU516" s="1502"/>
      <c r="BOV516" s="1502"/>
      <c r="BOW516" s="1502"/>
      <c r="BOX516" s="1502"/>
      <c r="BOY516" s="1502"/>
      <c r="BOZ516" s="1502"/>
      <c r="BPA516" s="1502"/>
      <c r="BPB516" s="1502"/>
      <c r="BPC516" s="1502"/>
      <c r="BPD516" s="1502"/>
      <c r="BPE516" s="1502"/>
      <c r="BPF516" s="1502"/>
      <c r="BPG516" s="1502"/>
      <c r="BPH516" s="1502"/>
      <c r="BPI516" s="1502"/>
      <c r="BPJ516" s="1502"/>
      <c r="BPK516" s="1502"/>
      <c r="BPL516" s="1502"/>
      <c r="BPM516" s="1502"/>
      <c r="BPN516" s="1502"/>
      <c r="BPO516" s="1502"/>
      <c r="BPP516" s="1502"/>
      <c r="BPQ516" s="1502"/>
      <c r="BPR516" s="1502"/>
      <c r="BPS516" s="1502"/>
      <c r="BPT516" s="1502"/>
      <c r="BPU516" s="1502"/>
      <c r="BPV516" s="1502"/>
      <c r="BPW516" s="1502"/>
      <c r="BPX516" s="1502"/>
      <c r="BPY516" s="1502"/>
      <c r="BPZ516" s="1502"/>
      <c r="BQA516" s="1502"/>
      <c r="BQB516" s="1502"/>
      <c r="BQC516" s="1502"/>
      <c r="BQD516" s="1502"/>
      <c r="BQE516" s="1502"/>
      <c r="BQF516" s="1502"/>
      <c r="BQG516" s="1502"/>
      <c r="BQH516" s="1502"/>
      <c r="BQI516" s="1502"/>
      <c r="BQJ516" s="1502"/>
      <c r="BQK516" s="1502"/>
      <c r="BQL516" s="1502"/>
      <c r="BQM516" s="1502"/>
      <c r="BQN516" s="1502"/>
      <c r="BQO516" s="1502"/>
      <c r="BQP516" s="1502"/>
      <c r="BQQ516" s="1502"/>
      <c r="BQR516" s="1502"/>
      <c r="BQS516" s="1502"/>
      <c r="BQT516" s="1502"/>
      <c r="BQU516" s="1502"/>
      <c r="BQV516" s="1502"/>
      <c r="BQW516" s="1502"/>
      <c r="BQX516" s="1502"/>
      <c r="BQY516" s="1502"/>
      <c r="BQZ516" s="1502"/>
      <c r="BRA516" s="1502"/>
      <c r="BRB516" s="1502"/>
      <c r="BRC516" s="1502"/>
      <c r="BRD516" s="1502"/>
      <c r="BRE516" s="1502"/>
      <c r="BRF516" s="1502"/>
      <c r="BRG516" s="1502"/>
      <c r="BRH516" s="1502"/>
      <c r="BRI516" s="1502"/>
      <c r="BRJ516" s="1502"/>
      <c r="BRK516" s="1502"/>
      <c r="BRL516" s="1502"/>
      <c r="BRM516" s="1502"/>
      <c r="BRN516" s="1502"/>
      <c r="BRO516" s="1502"/>
      <c r="BRP516" s="1502"/>
      <c r="BRQ516" s="1502"/>
      <c r="BRR516" s="1502"/>
      <c r="BRS516" s="1502"/>
      <c r="BRT516" s="1502"/>
      <c r="BRU516" s="1502"/>
      <c r="BRV516" s="1502"/>
      <c r="BRW516" s="1502"/>
      <c r="BRX516" s="1502"/>
      <c r="BRY516" s="1502"/>
      <c r="BRZ516" s="1502"/>
      <c r="BSA516" s="1502"/>
      <c r="BSB516" s="1502"/>
      <c r="BSC516" s="1502"/>
      <c r="BSD516" s="1502"/>
      <c r="BSE516" s="1502"/>
      <c r="BSF516" s="1502"/>
      <c r="BSG516" s="1502"/>
      <c r="BSH516" s="1502"/>
      <c r="BSI516" s="1502"/>
      <c r="BSJ516" s="1502"/>
      <c r="BSK516" s="1502"/>
      <c r="BSL516" s="1502"/>
      <c r="BSM516" s="1502"/>
      <c r="BSN516" s="1502"/>
      <c r="BSO516" s="1502"/>
      <c r="BSP516" s="1502"/>
      <c r="BSQ516" s="1502"/>
      <c r="BSR516" s="1502"/>
      <c r="BSS516" s="1502"/>
      <c r="BST516" s="1502"/>
      <c r="BSU516" s="1502"/>
      <c r="BSV516" s="1502"/>
      <c r="BSW516" s="1502"/>
      <c r="BSX516" s="1502"/>
      <c r="BSY516" s="1502"/>
      <c r="BSZ516" s="1502"/>
      <c r="BTA516" s="1502"/>
      <c r="BTB516" s="1502"/>
      <c r="BTC516" s="1502"/>
      <c r="BTD516" s="1502"/>
      <c r="BTE516" s="1502"/>
      <c r="BTF516" s="1502"/>
      <c r="BTG516" s="1502"/>
      <c r="BTH516" s="1502"/>
      <c r="BTI516" s="1502"/>
      <c r="BTJ516" s="1502"/>
      <c r="BTK516" s="1502"/>
      <c r="BTL516" s="1502"/>
      <c r="BTM516" s="1502"/>
      <c r="BTN516" s="1502"/>
      <c r="BTO516" s="1502"/>
      <c r="BTP516" s="1502"/>
      <c r="BTQ516" s="1502"/>
      <c r="BTR516" s="1502"/>
      <c r="BTS516" s="1502"/>
      <c r="BTT516" s="1502"/>
      <c r="BTU516" s="1502"/>
      <c r="BTV516" s="1502"/>
      <c r="BTW516" s="1502"/>
      <c r="BTX516" s="1502"/>
      <c r="BTY516" s="1502"/>
      <c r="BTZ516" s="1502"/>
      <c r="BUA516" s="1502"/>
      <c r="BUB516" s="1502"/>
      <c r="BUC516" s="1502"/>
      <c r="BUD516" s="1502"/>
      <c r="BUE516" s="1502"/>
      <c r="BUF516" s="1502"/>
      <c r="BUG516" s="1502"/>
      <c r="BUH516" s="1502"/>
      <c r="BUI516" s="1502"/>
      <c r="BUJ516" s="1502"/>
      <c r="BUK516" s="1502"/>
      <c r="BUL516" s="1502"/>
      <c r="BUM516" s="1502"/>
      <c r="BUN516" s="1502"/>
      <c r="BUO516" s="1502"/>
      <c r="BUP516" s="1502"/>
      <c r="BUQ516" s="1502"/>
      <c r="BUR516" s="1502"/>
      <c r="BUS516" s="1502"/>
      <c r="BUT516" s="1502"/>
      <c r="BUU516" s="1502"/>
      <c r="BUV516" s="1502"/>
      <c r="BUW516" s="1502"/>
      <c r="BUX516" s="1502"/>
      <c r="BUY516" s="1502"/>
      <c r="BUZ516" s="1502"/>
      <c r="BVA516" s="1502"/>
      <c r="BVB516" s="1502"/>
      <c r="BVC516" s="1502"/>
      <c r="BVD516" s="1502"/>
      <c r="BVE516" s="1502"/>
      <c r="BVF516" s="1502"/>
      <c r="BVG516" s="1502"/>
      <c r="BVH516" s="1502"/>
      <c r="BVI516" s="1502"/>
      <c r="BVJ516" s="1502"/>
      <c r="BVK516" s="1502"/>
      <c r="BVL516" s="1502"/>
      <c r="BVM516" s="1502"/>
      <c r="BVN516" s="1502"/>
      <c r="BVO516" s="1502"/>
      <c r="BVP516" s="1502"/>
      <c r="BVQ516" s="1502"/>
      <c r="BVR516" s="1502"/>
      <c r="BVS516" s="1502"/>
      <c r="BVT516" s="1502"/>
      <c r="BVU516" s="1502"/>
      <c r="BVV516" s="1502"/>
      <c r="BVW516" s="1502"/>
      <c r="BVX516" s="1502"/>
      <c r="BVY516" s="1502"/>
      <c r="BVZ516" s="1502"/>
      <c r="BWA516" s="1502"/>
      <c r="BWB516" s="1502"/>
      <c r="BWC516" s="1502"/>
      <c r="BWD516" s="1502"/>
      <c r="BWE516" s="1502"/>
      <c r="BWF516" s="1502"/>
      <c r="BWG516" s="1502"/>
      <c r="BWH516" s="1502"/>
      <c r="BWI516" s="1502"/>
      <c r="BWJ516" s="1502"/>
      <c r="BWK516" s="1502"/>
      <c r="BWL516" s="1502"/>
      <c r="BWM516" s="1502"/>
      <c r="BWN516" s="1502"/>
      <c r="BWO516" s="1502"/>
      <c r="BWP516" s="1502"/>
      <c r="BWQ516" s="1502"/>
      <c r="BWR516" s="1502"/>
      <c r="BWS516" s="1502"/>
      <c r="BWT516" s="1502"/>
      <c r="BWU516" s="1502"/>
      <c r="BWV516" s="1502"/>
      <c r="BWW516" s="1502"/>
      <c r="BWX516" s="1502"/>
      <c r="BWY516" s="1502"/>
      <c r="BWZ516" s="1502"/>
      <c r="BXA516" s="1502"/>
      <c r="BXB516" s="1502"/>
      <c r="BXC516" s="1502"/>
      <c r="BXD516" s="1502"/>
      <c r="BXE516" s="1502"/>
      <c r="BXF516" s="1502"/>
      <c r="BXG516" s="1502"/>
      <c r="BXH516" s="1502"/>
      <c r="BXI516" s="1502"/>
      <c r="BXJ516" s="1502"/>
      <c r="BXK516" s="1502"/>
      <c r="BXL516" s="1502"/>
      <c r="BXM516" s="1502"/>
      <c r="BXN516" s="1502"/>
      <c r="BXO516" s="1502"/>
      <c r="BXP516" s="1502"/>
      <c r="BXQ516" s="1502"/>
      <c r="BXR516" s="1502"/>
      <c r="BXS516" s="1502"/>
      <c r="BXT516" s="1502"/>
      <c r="BXU516" s="1502"/>
      <c r="BXV516" s="1502"/>
      <c r="BXW516" s="1502"/>
      <c r="BXX516" s="1502"/>
      <c r="BXY516" s="1502"/>
      <c r="BXZ516" s="1502"/>
      <c r="BYA516" s="1502"/>
      <c r="BYB516" s="1502"/>
      <c r="BYC516" s="1502"/>
      <c r="BYD516" s="1502"/>
      <c r="BYE516" s="1502"/>
      <c r="BYF516" s="1502"/>
      <c r="BYG516" s="1502"/>
      <c r="BYH516" s="1502"/>
      <c r="BYI516" s="1502"/>
      <c r="BYJ516" s="1502"/>
      <c r="BYK516" s="1502"/>
      <c r="BYL516" s="1502"/>
      <c r="BYM516" s="1502"/>
      <c r="BYN516" s="1502"/>
      <c r="BYO516" s="1502"/>
      <c r="BYP516" s="1502"/>
      <c r="BYQ516" s="1502"/>
      <c r="BYR516" s="1502"/>
      <c r="BYS516" s="1502"/>
      <c r="BYT516" s="1502"/>
      <c r="BYU516" s="1502"/>
      <c r="BYV516" s="1502"/>
      <c r="BYW516" s="1502"/>
      <c r="BYX516" s="1502"/>
      <c r="BYY516" s="1502"/>
      <c r="BYZ516" s="1502"/>
      <c r="BZA516" s="1502"/>
      <c r="BZB516" s="1502"/>
      <c r="BZC516" s="1502"/>
      <c r="BZD516" s="1502"/>
      <c r="BZE516" s="1502"/>
      <c r="BZF516" s="1502"/>
      <c r="BZG516" s="1502"/>
      <c r="BZH516" s="1502"/>
      <c r="BZI516" s="1502"/>
      <c r="BZJ516" s="1502"/>
      <c r="BZK516" s="1502"/>
      <c r="BZL516" s="1502"/>
      <c r="BZM516" s="1502"/>
      <c r="BZN516" s="1502"/>
      <c r="BZO516" s="1502"/>
      <c r="BZP516" s="1502"/>
      <c r="BZQ516" s="1502"/>
      <c r="BZR516" s="1502"/>
      <c r="BZS516" s="1502"/>
      <c r="BZT516" s="1502"/>
      <c r="BZU516" s="1502"/>
      <c r="BZV516" s="1502"/>
      <c r="BZW516" s="1502"/>
      <c r="BZX516" s="1502"/>
      <c r="BZY516" s="1502"/>
      <c r="BZZ516" s="1502"/>
      <c r="CAA516" s="1502"/>
      <c r="CAB516" s="1502"/>
      <c r="CAC516" s="1502"/>
      <c r="CAD516" s="1502"/>
      <c r="CAE516" s="1502"/>
      <c r="CAF516" s="1502"/>
      <c r="CAG516" s="1502"/>
      <c r="CAH516" s="1502"/>
      <c r="CAI516" s="1502"/>
      <c r="CAJ516" s="1502"/>
      <c r="CAK516" s="1502"/>
      <c r="CAL516" s="1502"/>
      <c r="CAM516" s="1502"/>
      <c r="CAN516" s="1502"/>
      <c r="CAO516" s="1502"/>
      <c r="CAP516" s="1502"/>
      <c r="CAQ516" s="1502"/>
      <c r="CAR516" s="1502"/>
      <c r="CAS516" s="1502"/>
      <c r="CAT516" s="1502"/>
      <c r="CAU516" s="1502"/>
      <c r="CAV516" s="1502"/>
      <c r="CAW516" s="1502"/>
      <c r="CAX516" s="1502"/>
      <c r="CAY516" s="1502"/>
      <c r="CAZ516" s="1502"/>
      <c r="CBA516" s="1502"/>
      <c r="CBB516" s="1502"/>
      <c r="CBC516" s="1502"/>
      <c r="CBD516" s="1502"/>
      <c r="CBE516" s="1502"/>
      <c r="CBF516" s="1502"/>
      <c r="CBG516" s="1502"/>
      <c r="CBH516" s="1502"/>
      <c r="CBI516" s="1502"/>
      <c r="CBJ516" s="1502"/>
      <c r="CBK516" s="1502"/>
      <c r="CBL516" s="1502"/>
      <c r="CBM516" s="1502"/>
      <c r="CBN516" s="1502"/>
      <c r="CBO516" s="1502"/>
      <c r="CBP516" s="1502"/>
      <c r="CBQ516" s="1502"/>
      <c r="CBR516" s="1502"/>
      <c r="CBS516" s="1502"/>
      <c r="CBT516" s="1502"/>
      <c r="CBU516" s="1502"/>
      <c r="CBV516" s="1502"/>
      <c r="CBW516" s="1502"/>
      <c r="CBX516" s="1502"/>
      <c r="CBY516" s="1502"/>
      <c r="CBZ516" s="1502"/>
      <c r="CCA516" s="1502"/>
      <c r="CCB516" s="1502"/>
      <c r="CCC516" s="1502"/>
      <c r="CCD516" s="1502"/>
      <c r="CCE516" s="1502"/>
      <c r="CCF516" s="1502"/>
      <c r="CCG516" s="1502"/>
      <c r="CCH516" s="1502"/>
      <c r="CCI516" s="1502"/>
      <c r="CCJ516" s="1502"/>
      <c r="CCK516" s="1502"/>
      <c r="CCL516" s="1502"/>
      <c r="CCM516" s="1502"/>
      <c r="CCN516" s="1502"/>
      <c r="CCO516" s="1502"/>
      <c r="CCP516" s="1502"/>
      <c r="CCQ516" s="1502"/>
      <c r="CCR516" s="1502"/>
      <c r="CCS516" s="1502"/>
      <c r="CCT516" s="1502"/>
      <c r="CCU516" s="1502"/>
      <c r="CCV516" s="1502"/>
      <c r="CCW516" s="1502"/>
      <c r="CCX516" s="1502"/>
      <c r="CCY516" s="1502"/>
      <c r="CCZ516" s="1502"/>
      <c r="CDA516" s="1502"/>
      <c r="CDB516" s="1502"/>
      <c r="CDC516" s="1502"/>
      <c r="CDD516" s="1502"/>
      <c r="CDE516" s="1502"/>
      <c r="CDF516" s="1502"/>
      <c r="CDG516" s="1502"/>
      <c r="CDH516" s="1502"/>
      <c r="CDI516" s="1502"/>
      <c r="CDJ516" s="1502"/>
      <c r="CDK516" s="1502"/>
      <c r="CDL516" s="1502"/>
      <c r="CDM516" s="1502"/>
      <c r="CDN516" s="1502"/>
      <c r="CDO516" s="1502"/>
      <c r="CDP516" s="1502"/>
      <c r="CDQ516" s="1502"/>
      <c r="CDR516" s="1502"/>
      <c r="CDS516" s="1502"/>
      <c r="CDT516" s="1502"/>
      <c r="CDU516" s="1502"/>
      <c r="CDV516" s="1502"/>
      <c r="CDW516" s="1502"/>
      <c r="CDX516" s="1502"/>
      <c r="CDY516" s="1502"/>
      <c r="CDZ516" s="1502"/>
      <c r="CEA516" s="1502"/>
      <c r="CEB516" s="1502"/>
      <c r="CEC516" s="1502"/>
      <c r="CED516" s="1502"/>
      <c r="CEE516" s="1502"/>
      <c r="CEF516" s="1502"/>
      <c r="CEG516" s="1502"/>
      <c r="CEH516" s="1502"/>
      <c r="CEI516" s="1502"/>
      <c r="CEJ516" s="1502"/>
      <c r="CEK516" s="1502"/>
      <c r="CEL516" s="1502"/>
      <c r="CEM516" s="1502"/>
      <c r="CEN516" s="1502"/>
      <c r="CEO516" s="1502"/>
      <c r="CEP516" s="1502"/>
      <c r="CEQ516" s="1502"/>
      <c r="CER516" s="1502"/>
      <c r="CES516" s="1502"/>
      <c r="CET516" s="1502"/>
      <c r="CEU516" s="1502"/>
      <c r="CEV516" s="1502"/>
      <c r="CEW516" s="1502"/>
      <c r="CEX516" s="1502"/>
      <c r="CEY516" s="1502"/>
      <c r="CEZ516" s="1502"/>
      <c r="CFA516" s="1502"/>
      <c r="CFB516" s="1502"/>
      <c r="CFC516" s="1502"/>
      <c r="CFD516" s="1502"/>
      <c r="CFE516" s="1502"/>
      <c r="CFF516" s="1502"/>
      <c r="CFG516" s="1502"/>
      <c r="CFH516" s="1502"/>
      <c r="CFI516" s="1502"/>
      <c r="CFJ516" s="1502"/>
      <c r="CFK516" s="1502"/>
      <c r="CFL516" s="1502"/>
      <c r="CFM516" s="1502"/>
      <c r="CFN516" s="1502"/>
      <c r="CFO516" s="1502"/>
      <c r="CFP516" s="1502"/>
      <c r="CFQ516" s="1502"/>
      <c r="CFR516" s="1502"/>
      <c r="CFS516" s="1502"/>
      <c r="CFT516" s="1502"/>
      <c r="CFU516" s="1502"/>
      <c r="CFV516" s="1502"/>
      <c r="CFW516" s="1502"/>
      <c r="CFX516" s="1502"/>
      <c r="CFY516" s="1502"/>
      <c r="CFZ516" s="1502"/>
      <c r="CGA516" s="1502"/>
      <c r="CGB516" s="1502"/>
      <c r="CGC516" s="1502"/>
      <c r="CGD516" s="1502"/>
      <c r="CGE516" s="1502"/>
      <c r="CGF516" s="1502"/>
      <c r="CGG516" s="1502"/>
      <c r="CGH516" s="1502"/>
      <c r="CGI516" s="1502"/>
      <c r="CGJ516" s="1502"/>
      <c r="CGK516" s="1502"/>
      <c r="CGL516" s="1502"/>
      <c r="CGM516" s="1502"/>
      <c r="CGN516" s="1502"/>
      <c r="CGO516" s="1502"/>
      <c r="CGP516" s="1502"/>
      <c r="CGQ516" s="1502"/>
      <c r="CGR516" s="1502"/>
      <c r="CGS516" s="1502"/>
      <c r="CGT516" s="1502"/>
      <c r="CGU516" s="1502"/>
      <c r="CGV516" s="1502"/>
      <c r="CGW516" s="1502"/>
      <c r="CGX516" s="1502"/>
      <c r="CGY516" s="1502"/>
      <c r="CGZ516" s="1502"/>
      <c r="CHA516" s="1502"/>
      <c r="CHB516" s="1502"/>
      <c r="CHC516" s="1502"/>
      <c r="CHD516" s="1502"/>
      <c r="CHE516" s="1502"/>
      <c r="CHF516" s="1502"/>
      <c r="CHG516" s="1502"/>
      <c r="CHH516" s="1502"/>
      <c r="CHI516" s="1502"/>
      <c r="CHJ516" s="1502"/>
      <c r="CHK516" s="1502"/>
      <c r="CHL516" s="1502"/>
      <c r="CHM516" s="1502"/>
      <c r="CHN516" s="1502"/>
      <c r="CHO516" s="1502"/>
      <c r="CHP516" s="1502"/>
      <c r="CHQ516" s="1502"/>
      <c r="CHR516" s="1502"/>
      <c r="CHS516" s="1502"/>
      <c r="CHT516" s="1502"/>
      <c r="CHU516" s="1502"/>
      <c r="CHV516" s="1502"/>
      <c r="CHW516" s="1502"/>
      <c r="CHX516" s="1502"/>
      <c r="CHY516" s="1502"/>
      <c r="CHZ516" s="1502"/>
      <c r="CIA516" s="1502"/>
      <c r="CIB516" s="1502"/>
      <c r="CIC516" s="1502"/>
      <c r="CID516" s="1502"/>
      <c r="CIE516" s="1502"/>
      <c r="CIF516" s="1502"/>
      <c r="CIG516" s="1502"/>
      <c r="CIH516" s="1502"/>
      <c r="CII516" s="1502"/>
      <c r="CIJ516" s="1502"/>
      <c r="CIK516" s="1502"/>
      <c r="CIL516" s="1502"/>
      <c r="CIM516" s="1502"/>
      <c r="CIN516" s="1502"/>
      <c r="CIO516" s="1502"/>
      <c r="CIP516" s="1502"/>
      <c r="CIQ516" s="1502"/>
      <c r="CIR516" s="1502"/>
      <c r="CIS516" s="1502"/>
      <c r="CIT516" s="1502"/>
      <c r="CIU516" s="1502"/>
      <c r="CIV516" s="1502"/>
      <c r="CIW516" s="1502"/>
      <c r="CIX516" s="1502"/>
      <c r="CIY516" s="1502"/>
      <c r="CIZ516" s="1502"/>
      <c r="CJA516" s="1502"/>
      <c r="CJB516" s="1502"/>
      <c r="CJC516" s="1502"/>
      <c r="CJD516" s="1502"/>
      <c r="CJE516" s="1502"/>
      <c r="CJF516" s="1502"/>
      <c r="CJG516" s="1502"/>
      <c r="CJH516" s="1502"/>
      <c r="CJI516" s="1502"/>
      <c r="CJJ516" s="1502"/>
      <c r="CJK516" s="1502"/>
      <c r="CJL516" s="1502"/>
      <c r="CJM516" s="1502"/>
      <c r="CJN516" s="1502"/>
      <c r="CJO516" s="1502"/>
      <c r="CJP516" s="1502"/>
      <c r="CJQ516" s="1502"/>
      <c r="CJR516" s="1502"/>
      <c r="CJS516" s="1502"/>
      <c r="CJT516" s="1502"/>
      <c r="CJU516" s="1502"/>
      <c r="CJV516" s="1502"/>
      <c r="CJW516" s="1502"/>
      <c r="CJX516" s="1502"/>
      <c r="CJY516" s="1502"/>
      <c r="CJZ516" s="1502"/>
      <c r="CKA516" s="1502"/>
      <c r="CKB516" s="1502"/>
      <c r="CKC516" s="1502"/>
      <c r="CKD516" s="1502"/>
      <c r="CKE516" s="1502"/>
      <c r="CKF516" s="1502"/>
      <c r="CKG516" s="1502"/>
      <c r="CKH516" s="1502"/>
      <c r="CKI516" s="1502"/>
      <c r="CKJ516" s="1502"/>
      <c r="CKK516" s="1502"/>
      <c r="CKL516" s="1502"/>
      <c r="CKM516" s="1502"/>
      <c r="CKN516" s="1502"/>
      <c r="CKO516" s="1502"/>
      <c r="CKP516" s="1502"/>
      <c r="CKQ516" s="1502"/>
      <c r="CKR516" s="1502"/>
      <c r="CKS516" s="1502"/>
      <c r="CKT516" s="1502"/>
      <c r="CKU516" s="1502"/>
      <c r="CKV516" s="1502"/>
      <c r="CKW516" s="1502"/>
      <c r="CKX516" s="1502"/>
      <c r="CKY516" s="1502"/>
      <c r="CKZ516" s="1502"/>
      <c r="CLA516" s="1502"/>
      <c r="CLB516" s="1502"/>
      <c r="CLC516" s="1502"/>
      <c r="CLD516" s="1502"/>
      <c r="CLE516" s="1502"/>
      <c r="CLF516" s="1502"/>
      <c r="CLG516" s="1502"/>
      <c r="CLH516" s="1502"/>
      <c r="CLI516" s="1502"/>
      <c r="CLJ516" s="1502"/>
      <c r="CLK516" s="1502"/>
      <c r="CLL516" s="1502"/>
      <c r="CLM516" s="1502"/>
      <c r="CLN516" s="1502"/>
      <c r="CLO516" s="1502"/>
      <c r="CLP516" s="1502"/>
      <c r="CLQ516" s="1502"/>
      <c r="CLR516" s="1502"/>
      <c r="CLS516" s="1502"/>
      <c r="CLT516" s="1502"/>
      <c r="CLU516" s="1502"/>
      <c r="CLV516" s="1502"/>
      <c r="CLW516" s="1502"/>
      <c r="CLX516" s="1502"/>
      <c r="CLY516" s="1502"/>
      <c r="CLZ516" s="1502"/>
      <c r="CMA516" s="1502"/>
      <c r="CMB516" s="1502"/>
      <c r="CMC516" s="1502"/>
      <c r="CMD516" s="1502"/>
      <c r="CME516" s="1502"/>
      <c r="CMF516" s="1502"/>
      <c r="CMG516" s="1502"/>
      <c r="CMH516" s="1502"/>
      <c r="CMI516" s="1502"/>
      <c r="CMJ516" s="1502"/>
      <c r="CMK516" s="1502"/>
      <c r="CML516" s="1502"/>
      <c r="CMM516" s="1502"/>
      <c r="CMN516" s="1502"/>
      <c r="CMO516" s="1502"/>
      <c r="CMP516" s="1502"/>
      <c r="CMQ516" s="1502"/>
      <c r="CMR516" s="1502"/>
      <c r="CMS516" s="1502"/>
      <c r="CMT516" s="1502"/>
      <c r="CMU516" s="1502"/>
      <c r="CMV516" s="1502"/>
      <c r="CMW516" s="1502"/>
      <c r="CMX516" s="1502"/>
      <c r="CMY516" s="1502"/>
      <c r="CMZ516" s="1502"/>
      <c r="CNA516" s="1502"/>
      <c r="CNB516" s="1502"/>
      <c r="CNC516" s="1502"/>
      <c r="CND516" s="1502"/>
      <c r="CNE516" s="1502"/>
      <c r="CNF516" s="1502"/>
      <c r="CNG516" s="1502"/>
      <c r="CNH516" s="1502"/>
      <c r="CNI516" s="1502"/>
      <c r="CNJ516" s="1502"/>
      <c r="CNK516" s="1502"/>
      <c r="CNL516" s="1502"/>
      <c r="CNM516" s="1502"/>
      <c r="CNN516" s="1502"/>
      <c r="CNO516" s="1502"/>
      <c r="CNP516" s="1502"/>
      <c r="CNQ516" s="1502"/>
      <c r="CNR516" s="1502"/>
      <c r="CNS516" s="1502"/>
      <c r="CNT516" s="1502"/>
      <c r="CNU516" s="1502"/>
      <c r="CNV516" s="1502"/>
      <c r="CNW516" s="1502"/>
      <c r="CNX516" s="1502"/>
      <c r="CNY516" s="1502"/>
      <c r="CNZ516" s="1502"/>
      <c r="COA516" s="1502"/>
      <c r="COB516" s="1502"/>
      <c r="COC516" s="1502"/>
      <c r="COD516" s="1502"/>
      <c r="COE516" s="1502"/>
      <c r="COF516" s="1502"/>
      <c r="COG516" s="1502"/>
      <c r="COH516" s="1502"/>
      <c r="COI516" s="1502"/>
      <c r="COJ516" s="1502"/>
      <c r="COK516" s="1502"/>
      <c r="COL516" s="1502"/>
      <c r="COM516" s="1502"/>
      <c r="CON516" s="1502"/>
      <c r="COO516" s="1502"/>
      <c r="COP516" s="1502"/>
      <c r="COQ516" s="1502"/>
      <c r="COR516" s="1502"/>
      <c r="COS516" s="1502"/>
      <c r="COT516" s="1502"/>
      <c r="COU516" s="1502"/>
      <c r="COV516" s="1502"/>
      <c r="COW516" s="1502"/>
      <c r="COX516" s="1502"/>
      <c r="COY516" s="1502"/>
      <c r="COZ516" s="1502"/>
      <c r="CPA516" s="1502"/>
      <c r="CPB516" s="1502"/>
      <c r="CPC516" s="1502"/>
      <c r="CPD516" s="1502"/>
      <c r="CPE516" s="1502"/>
      <c r="CPF516" s="1502"/>
      <c r="CPG516" s="1502"/>
      <c r="CPH516" s="1502"/>
      <c r="CPI516" s="1502"/>
      <c r="CPJ516" s="1502"/>
      <c r="CPK516" s="1502"/>
      <c r="CPL516" s="1502"/>
      <c r="CPM516" s="1502"/>
      <c r="CPN516" s="1502"/>
      <c r="CPO516" s="1502"/>
      <c r="CPP516" s="1502"/>
      <c r="CPQ516" s="1502"/>
      <c r="CPR516" s="1502"/>
      <c r="CPS516" s="1502"/>
      <c r="CPT516" s="1502"/>
      <c r="CPU516" s="1502"/>
      <c r="CPV516" s="1502"/>
      <c r="CPW516" s="1502"/>
      <c r="CPX516" s="1502"/>
      <c r="CPY516" s="1502"/>
      <c r="CPZ516" s="1502"/>
      <c r="CQA516" s="1502"/>
      <c r="CQB516" s="1502"/>
      <c r="CQC516" s="1502"/>
      <c r="CQD516" s="1502"/>
      <c r="CQE516" s="1502"/>
      <c r="CQF516" s="1502"/>
      <c r="CQG516" s="1502"/>
      <c r="CQH516" s="1502"/>
      <c r="CQI516" s="1502"/>
      <c r="CQJ516" s="1502"/>
      <c r="CQK516" s="1502"/>
      <c r="CQL516" s="1502"/>
      <c r="CQM516" s="1502"/>
      <c r="CQN516" s="1502"/>
      <c r="CQO516" s="1502"/>
      <c r="CQP516" s="1502"/>
      <c r="CQQ516" s="1502"/>
      <c r="CQR516" s="1502"/>
      <c r="CQS516" s="1502"/>
      <c r="CQT516" s="1502"/>
      <c r="CQU516" s="1502"/>
      <c r="CQV516" s="1502"/>
      <c r="CQW516" s="1502"/>
      <c r="CQX516" s="1502"/>
      <c r="CQY516" s="1502"/>
      <c r="CQZ516" s="1502"/>
      <c r="CRA516" s="1502"/>
      <c r="CRB516" s="1502"/>
      <c r="CRC516" s="1502"/>
      <c r="CRD516" s="1502"/>
      <c r="CRE516" s="1502"/>
      <c r="CRF516" s="1502"/>
      <c r="CRG516" s="1502"/>
      <c r="CRH516" s="1502"/>
      <c r="CRI516" s="1502"/>
      <c r="CRJ516" s="1502"/>
      <c r="CRK516" s="1502"/>
      <c r="CRL516" s="1502"/>
      <c r="CRM516" s="1502"/>
      <c r="CRN516" s="1502"/>
      <c r="CRO516" s="1502"/>
      <c r="CRP516" s="1502"/>
      <c r="CRQ516" s="1502"/>
      <c r="CRR516" s="1502"/>
      <c r="CRS516" s="1502"/>
      <c r="CRT516" s="1502"/>
      <c r="CRU516" s="1502"/>
      <c r="CRV516" s="1502"/>
      <c r="CRW516" s="1502"/>
      <c r="CRX516" s="1502"/>
      <c r="CRY516" s="1502"/>
      <c r="CRZ516" s="1502"/>
      <c r="CSA516" s="1502"/>
      <c r="CSB516" s="1502"/>
      <c r="CSC516" s="1502"/>
      <c r="CSD516" s="1502"/>
      <c r="CSE516" s="1502"/>
      <c r="CSF516" s="1502"/>
      <c r="CSG516" s="1502"/>
      <c r="CSH516" s="1502"/>
      <c r="CSI516" s="1502"/>
      <c r="CSJ516" s="1502"/>
      <c r="CSK516" s="1502"/>
      <c r="CSL516" s="1502"/>
      <c r="CSM516" s="1502"/>
      <c r="CSN516" s="1502"/>
      <c r="CSO516" s="1502"/>
      <c r="CSP516" s="1502"/>
      <c r="CSQ516" s="1502"/>
      <c r="CSR516" s="1502"/>
      <c r="CSS516" s="1502"/>
      <c r="CST516" s="1502"/>
      <c r="CSU516" s="1502"/>
      <c r="CSV516" s="1502"/>
      <c r="CSW516" s="1502"/>
      <c r="CSX516" s="1502"/>
      <c r="CSY516" s="1502"/>
      <c r="CSZ516" s="1502"/>
      <c r="CTA516" s="1502"/>
      <c r="CTB516" s="1502"/>
      <c r="CTC516" s="1502"/>
      <c r="CTD516" s="1502"/>
      <c r="CTE516" s="1502"/>
      <c r="CTF516" s="1502"/>
      <c r="CTG516" s="1502"/>
      <c r="CTH516" s="1502"/>
      <c r="CTI516" s="1502"/>
      <c r="CTJ516" s="1502"/>
      <c r="CTK516" s="1502"/>
      <c r="CTL516" s="1502"/>
      <c r="CTM516" s="1502"/>
      <c r="CTN516" s="1502"/>
      <c r="CTO516" s="1502"/>
      <c r="CTP516" s="1502"/>
      <c r="CTQ516" s="1502"/>
      <c r="CTR516" s="1502"/>
      <c r="CTS516" s="1502"/>
      <c r="CTT516" s="1502"/>
      <c r="CTU516" s="1502"/>
      <c r="CTV516" s="1502"/>
      <c r="CTW516" s="1502"/>
      <c r="CTX516" s="1502"/>
      <c r="CTY516" s="1502"/>
      <c r="CTZ516" s="1502"/>
      <c r="CUA516" s="1502"/>
      <c r="CUB516" s="1502"/>
      <c r="CUC516" s="1502"/>
      <c r="CUD516" s="1502"/>
      <c r="CUE516" s="1502"/>
      <c r="CUF516" s="1502"/>
      <c r="CUG516" s="1502"/>
      <c r="CUH516" s="1502"/>
      <c r="CUI516" s="1502"/>
      <c r="CUJ516" s="1502"/>
      <c r="CUK516" s="1502"/>
      <c r="CUL516" s="1502"/>
      <c r="CUM516" s="1502"/>
      <c r="CUN516" s="1502"/>
      <c r="CUO516" s="1502"/>
      <c r="CUP516" s="1502"/>
      <c r="CUQ516" s="1502"/>
      <c r="CUR516" s="1502"/>
      <c r="CUS516" s="1502"/>
      <c r="CUT516" s="1502"/>
      <c r="CUU516" s="1502"/>
      <c r="CUV516" s="1502"/>
      <c r="CUW516" s="1502"/>
      <c r="CUX516" s="1502"/>
      <c r="CUY516" s="1502"/>
      <c r="CUZ516" s="1502"/>
      <c r="CVA516" s="1502"/>
      <c r="CVB516" s="1502"/>
      <c r="CVC516" s="1502"/>
      <c r="CVD516" s="1502"/>
      <c r="CVE516" s="1502"/>
      <c r="CVF516" s="1502"/>
      <c r="CVG516" s="1502"/>
      <c r="CVH516" s="1502"/>
      <c r="CVI516" s="1502"/>
      <c r="CVJ516" s="1502"/>
      <c r="CVK516" s="1502"/>
      <c r="CVL516" s="1502"/>
      <c r="CVM516" s="1502"/>
      <c r="CVN516" s="1502"/>
      <c r="CVO516" s="1502"/>
      <c r="CVP516" s="1502"/>
      <c r="CVQ516" s="1502"/>
      <c r="CVR516" s="1502"/>
      <c r="CVS516" s="1502"/>
      <c r="CVT516" s="1502"/>
      <c r="CVU516" s="1502"/>
      <c r="CVV516" s="1502"/>
      <c r="CVW516" s="1502"/>
      <c r="CVX516" s="1502"/>
      <c r="CVY516" s="1502"/>
      <c r="CVZ516" s="1502"/>
      <c r="CWA516" s="1502"/>
      <c r="CWB516" s="1502"/>
      <c r="CWC516" s="1502"/>
      <c r="CWD516" s="1502"/>
      <c r="CWE516" s="1502"/>
      <c r="CWF516" s="1502"/>
      <c r="CWG516" s="1502"/>
      <c r="CWH516" s="1502"/>
      <c r="CWI516" s="1502"/>
      <c r="CWJ516" s="1502"/>
      <c r="CWK516" s="1502"/>
      <c r="CWL516" s="1502"/>
      <c r="CWM516" s="1502"/>
      <c r="CWN516" s="1502"/>
      <c r="CWO516" s="1502"/>
      <c r="CWP516" s="1502"/>
      <c r="CWQ516" s="1502"/>
      <c r="CWR516" s="1502"/>
      <c r="CWS516" s="1502"/>
      <c r="CWT516" s="1502"/>
      <c r="CWU516" s="1502"/>
      <c r="CWV516" s="1502"/>
      <c r="CWW516" s="1502"/>
      <c r="CWX516" s="1502"/>
      <c r="CWY516" s="1502"/>
      <c r="CWZ516" s="1502"/>
      <c r="CXA516" s="1502"/>
      <c r="CXB516" s="1502"/>
      <c r="CXC516" s="1502"/>
      <c r="CXD516" s="1502"/>
      <c r="CXE516" s="1502"/>
      <c r="CXF516" s="1502"/>
      <c r="CXG516" s="1502"/>
      <c r="CXH516" s="1502"/>
      <c r="CXI516" s="1502"/>
      <c r="CXJ516" s="1502"/>
      <c r="CXK516" s="1502"/>
      <c r="CXL516" s="1502"/>
      <c r="CXM516" s="1502"/>
      <c r="CXN516" s="1502"/>
      <c r="CXO516" s="1502"/>
      <c r="CXP516" s="1502"/>
      <c r="CXQ516" s="1502"/>
      <c r="CXR516" s="1502"/>
      <c r="CXS516" s="1502"/>
      <c r="CXT516" s="1502"/>
      <c r="CXU516" s="1502"/>
      <c r="CXV516" s="1502"/>
      <c r="CXW516" s="1502"/>
      <c r="CXX516" s="1502"/>
      <c r="CXY516" s="1502"/>
      <c r="CXZ516" s="1502"/>
      <c r="CYA516" s="1502"/>
      <c r="CYB516" s="1502"/>
      <c r="CYC516" s="1502"/>
      <c r="CYD516" s="1502"/>
      <c r="CYE516" s="1502"/>
      <c r="CYF516" s="1502"/>
      <c r="CYG516" s="1502"/>
      <c r="CYH516" s="1502"/>
      <c r="CYI516" s="1502"/>
      <c r="CYJ516" s="1502"/>
      <c r="CYK516" s="1502"/>
      <c r="CYL516" s="1502"/>
      <c r="CYM516" s="1502"/>
      <c r="CYN516" s="1502"/>
      <c r="CYO516" s="1502"/>
      <c r="CYP516" s="1502"/>
      <c r="CYQ516" s="1502"/>
      <c r="CYR516" s="1502"/>
      <c r="CYS516" s="1502"/>
      <c r="CYT516" s="1502"/>
      <c r="CYU516" s="1502"/>
      <c r="CYV516" s="1502"/>
      <c r="CYW516" s="1502"/>
      <c r="CYX516" s="1502"/>
      <c r="CYY516" s="1502"/>
      <c r="CYZ516" s="1502"/>
      <c r="CZA516" s="1502"/>
      <c r="CZB516" s="1502"/>
      <c r="CZC516" s="1502"/>
      <c r="CZD516" s="1502"/>
      <c r="CZE516" s="1502"/>
      <c r="CZF516" s="1502"/>
      <c r="CZG516" s="1502"/>
      <c r="CZH516" s="1502"/>
      <c r="CZI516" s="1502"/>
      <c r="CZJ516" s="1502"/>
      <c r="CZK516" s="1502"/>
      <c r="CZL516" s="1502"/>
      <c r="CZM516" s="1502"/>
      <c r="CZN516" s="1502"/>
      <c r="CZO516" s="1502"/>
      <c r="CZP516" s="1502"/>
      <c r="CZQ516" s="1502"/>
      <c r="CZR516" s="1502"/>
      <c r="CZS516" s="1502"/>
      <c r="CZT516" s="1502"/>
      <c r="CZU516" s="1502"/>
      <c r="CZV516" s="1502"/>
      <c r="CZW516" s="1502"/>
      <c r="CZX516" s="1502"/>
      <c r="CZY516" s="1502"/>
      <c r="CZZ516" s="1502"/>
      <c r="DAA516" s="1502"/>
      <c r="DAB516" s="1502"/>
      <c r="DAC516" s="1502"/>
      <c r="DAD516" s="1502"/>
      <c r="DAE516" s="1502"/>
      <c r="DAF516" s="1502"/>
      <c r="DAG516" s="1502"/>
      <c r="DAH516" s="1502"/>
      <c r="DAI516" s="1502"/>
      <c r="DAJ516" s="1502"/>
      <c r="DAK516" s="1502"/>
      <c r="DAL516" s="1502"/>
      <c r="DAM516" s="1502"/>
      <c r="DAN516" s="1502"/>
      <c r="DAO516" s="1502"/>
      <c r="DAP516" s="1502"/>
      <c r="DAQ516" s="1502"/>
      <c r="DAR516" s="1502"/>
      <c r="DAS516" s="1502"/>
      <c r="DAT516" s="1502"/>
      <c r="DAU516" s="1502"/>
      <c r="DAV516" s="1502"/>
      <c r="DAW516" s="1502"/>
      <c r="DAX516" s="1502"/>
      <c r="DAY516" s="1502"/>
      <c r="DAZ516" s="1502"/>
      <c r="DBA516" s="1502"/>
      <c r="DBB516" s="1502"/>
      <c r="DBC516" s="1502"/>
      <c r="DBD516" s="1502"/>
      <c r="DBE516" s="1502"/>
      <c r="DBF516" s="1502"/>
      <c r="DBG516" s="1502"/>
      <c r="DBH516" s="1502"/>
      <c r="DBI516" s="1502"/>
      <c r="DBJ516" s="1502"/>
      <c r="DBK516" s="1502"/>
      <c r="DBL516" s="1502"/>
      <c r="DBM516" s="1502"/>
      <c r="DBN516" s="1502"/>
      <c r="DBO516" s="1502"/>
      <c r="DBP516" s="1502"/>
      <c r="DBQ516" s="1502"/>
      <c r="DBR516" s="1502"/>
      <c r="DBS516" s="1502"/>
      <c r="DBT516" s="1502"/>
      <c r="DBU516" s="1502"/>
      <c r="DBV516" s="1502"/>
      <c r="DBW516" s="1502"/>
      <c r="DBX516" s="1502"/>
      <c r="DBY516" s="1502"/>
      <c r="DBZ516" s="1502"/>
      <c r="DCA516" s="1502"/>
      <c r="DCB516" s="1502"/>
      <c r="DCC516" s="1502"/>
      <c r="DCD516" s="1502"/>
      <c r="DCE516" s="1502"/>
      <c r="DCF516" s="1502"/>
      <c r="DCG516" s="1502"/>
      <c r="DCH516" s="1502"/>
      <c r="DCI516" s="1502"/>
      <c r="DCJ516" s="1502"/>
      <c r="DCK516" s="1502"/>
      <c r="DCL516" s="1502"/>
      <c r="DCM516" s="1502"/>
      <c r="DCN516" s="1502"/>
      <c r="DCO516" s="1502"/>
      <c r="DCP516" s="1502"/>
      <c r="DCQ516" s="1502"/>
      <c r="DCR516" s="1502"/>
      <c r="DCS516" s="1502"/>
      <c r="DCT516" s="1502"/>
      <c r="DCU516" s="1502"/>
      <c r="DCV516" s="1502"/>
      <c r="DCW516" s="1502"/>
      <c r="DCX516" s="1502"/>
      <c r="DCY516" s="1502"/>
      <c r="DCZ516" s="1502"/>
      <c r="DDA516" s="1502"/>
      <c r="DDB516" s="1502"/>
      <c r="DDC516" s="1502"/>
      <c r="DDD516" s="1502"/>
      <c r="DDE516" s="1502"/>
      <c r="DDF516" s="1502"/>
      <c r="DDG516" s="1502"/>
      <c r="DDH516" s="1502"/>
      <c r="DDI516" s="1502"/>
      <c r="DDJ516" s="1502"/>
      <c r="DDK516" s="1502"/>
      <c r="DDL516" s="1502"/>
      <c r="DDM516" s="1502"/>
      <c r="DDN516" s="1502"/>
      <c r="DDO516" s="1502"/>
      <c r="DDP516" s="1502"/>
      <c r="DDQ516" s="1502"/>
      <c r="DDR516" s="1502"/>
      <c r="DDS516" s="1502"/>
      <c r="DDT516" s="1502"/>
      <c r="DDU516" s="1502"/>
      <c r="DDV516" s="1502"/>
      <c r="DDW516" s="1502"/>
      <c r="DDX516" s="1502"/>
      <c r="DDY516" s="1502"/>
      <c r="DDZ516" s="1502"/>
      <c r="DEA516" s="1502"/>
      <c r="DEB516" s="1502"/>
      <c r="DEC516" s="1502"/>
      <c r="DED516" s="1502"/>
      <c r="DEE516" s="1502"/>
      <c r="DEF516" s="1502"/>
      <c r="DEG516" s="1502"/>
      <c r="DEH516" s="1502"/>
      <c r="DEI516" s="1502"/>
      <c r="DEJ516" s="1502"/>
      <c r="DEK516" s="1502"/>
      <c r="DEL516" s="1502"/>
      <c r="DEM516" s="1502"/>
      <c r="DEN516" s="1502"/>
      <c r="DEO516" s="1502"/>
      <c r="DEP516" s="1502"/>
      <c r="DEQ516" s="1502"/>
      <c r="DER516" s="1502"/>
      <c r="DES516" s="1502"/>
      <c r="DET516" s="1502"/>
      <c r="DEU516" s="1502"/>
      <c r="DEV516" s="1502"/>
      <c r="DEW516" s="1502"/>
      <c r="DEX516" s="1502"/>
      <c r="DEY516" s="1502"/>
      <c r="DEZ516" s="1502"/>
      <c r="DFA516" s="1502"/>
      <c r="DFB516" s="1502"/>
      <c r="DFC516" s="1502"/>
      <c r="DFD516" s="1502"/>
      <c r="DFE516" s="1502"/>
      <c r="DFF516" s="1502"/>
      <c r="DFG516" s="1502"/>
      <c r="DFH516" s="1502"/>
      <c r="DFI516" s="1502"/>
      <c r="DFJ516" s="1502"/>
      <c r="DFK516" s="1502"/>
      <c r="DFL516" s="1502"/>
      <c r="DFM516" s="1502"/>
      <c r="DFN516" s="1502"/>
      <c r="DFO516" s="1502"/>
      <c r="DFP516" s="1502"/>
      <c r="DFQ516" s="1502"/>
      <c r="DFR516" s="1502"/>
      <c r="DFS516" s="1502"/>
      <c r="DFT516" s="1502"/>
      <c r="DFU516" s="1502"/>
      <c r="DFV516" s="1502"/>
      <c r="DFW516" s="1502"/>
      <c r="DFX516" s="1502"/>
      <c r="DFY516" s="1502"/>
      <c r="DFZ516" s="1502"/>
      <c r="DGA516" s="1502"/>
      <c r="DGB516" s="1502"/>
      <c r="DGC516" s="1502"/>
      <c r="DGD516" s="1502"/>
      <c r="DGE516" s="1502"/>
      <c r="DGF516" s="1502"/>
      <c r="DGG516" s="1502"/>
      <c r="DGH516" s="1502"/>
      <c r="DGI516" s="1502"/>
      <c r="DGJ516" s="1502"/>
      <c r="DGK516" s="1502"/>
      <c r="DGL516" s="1502"/>
      <c r="DGM516" s="1502"/>
      <c r="DGN516" s="1502"/>
      <c r="DGO516" s="1502"/>
      <c r="DGP516" s="1502"/>
      <c r="DGQ516" s="1502"/>
      <c r="DGR516" s="1502"/>
      <c r="DGS516" s="1502"/>
      <c r="DGT516" s="1502"/>
      <c r="DGU516" s="1502"/>
      <c r="DGV516" s="1502"/>
      <c r="DGW516" s="1502"/>
      <c r="DGX516" s="1502"/>
      <c r="DGY516" s="1502"/>
      <c r="DGZ516" s="1502"/>
      <c r="DHA516" s="1502"/>
      <c r="DHB516" s="1502"/>
      <c r="DHC516" s="1502"/>
      <c r="DHD516" s="1502"/>
      <c r="DHE516" s="1502"/>
      <c r="DHF516" s="1502"/>
      <c r="DHG516" s="1502"/>
      <c r="DHH516" s="1502"/>
      <c r="DHI516" s="1502"/>
      <c r="DHJ516" s="1502"/>
      <c r="DHK516" s="1502"/>
      <c r="DHL516" s="1502"/>
      <c r="DHM516" s="1502"/>
      <c r="DHN516" s="1502"/>
      <c r="DHO516" s="1502"/>
      <c r="DHP516" s="1502"/>
      <c r="DHQ516" s="1502"/>
      <c r="DHR516" s="1502"/>
      <c r="DHS516" s="1502"/>
      <c r="DHT516" s="1502"/>
      <c r="DHU516" s="1502"/>
      <c r="DHV516" s="1502"/>
      <c r="DHW516" s="1502"/>
      <c r="DHX516" s="1502"/>
      <c r="DHY516" s="1502"/>
      <c r="DHZ516" s="1502"/>
      <c r="DIA516" s="1502"/>
      <c r="DIB516" s="1502"/>
      <c r="DIC516" s="1502"/>
      <c r="DID516" s="1502"/>
      <c r="DIE516" s="1502"/>
      <c r="DIF516" s="1502"/>
      <c r="DIG516" s="1502"/>
      <c r="DIH516" s="1502"/>
      <c r="DII516" s="1502"/>
      <c r="DIJ516" s="1502"/>
      <c r="DIK516" s="1502"/>
      <c r="DIL516" s="1502"/>
      <c r="DIM516" s="1502"/>
      <c r="DIN516" s="1502"/>
      <c r="DIO516" s="1502"/>
      <c r="DIP516" s="1502"/>
      <c r="DIQ516" s="1502"/>
      <c r="DIR516" s="1502"/>
      <c r="DIS516" s="1502"/>
      <c r="DIT516" s="1502"/>
      <c r="DIU516" s="1502"/>
      <c r="DIV516" s="1502"/>
      <c r="DIW516" s="1502"/>
      <c r="DIX516" s="1502"/>
      <c r="DIY516" s="1502"/>
      <c r="DIZ516" s="1502"/>
      <c r="DJA516" s="1502"/>
      <c r="DJB516" s="1502"/>
      <c r="DJC516" s="1502"/>
      <c r="DJD516" s="1502"/>
      <c r="DJE516" s="1502"/>
      <c r="DJF516" s="1502"/>
      <c r="DJG516" s="1502"/>
      <c r="DJH516" s="1502"/>
      <c r="DJI516" s="1502"/>
      <c r="DJJ516" s="1502"/>
      <c r="DJK516" s="1502"/>
      <c r="DJL516" s="1502"/>
      <c r="DJM516" s="1502"/>
      <c r="DJN516" s="1502"/>
      <c r="DJO516" s="1502"/>
      <c r="DJP516" s="1502"/>
      <c r="DJQ516" s="1502"/>
      <c r="DJR516" s="1502"/>
      <c r="DJS516" s="1502"/>
      <c r="DJT516" s="1502"/>
      <c r="DJU516" s="1502"/>
      <c r="DJV516" s="1502"/>
      <c r="DJW516" s="1502"/>
      <c r="DJX516" s="1502"/>
      <c r="DJY516" s="1502"/>
      <c r="DJZ516" s="1502"/>
      <c r="DKA516" s="1502"/>
      <c r="DKB516" s="1502"/>
      <c r="DKC516" s="1502"/>
      <c r="DKD516" s="1502"/>
      <c r="DKE516" s="1502"/>
      <c r="DKF516" s="1502"/>
      <c r="DKG516" s="1502"/>
      <c r="DKH516" s="1502"/>
      <c r="DKI516" s="1502"/>
      <c r="DKJ516" s="1502"/>
      <c r="DKK516" s="1502"/>
      <c r="DKL516" s="1502"/>
      <c r="DKM516" s="1502"/>
      <c r="DKN516" s="1502"/>
      <c r="DKO516" s="1502"/>
      <c r="DKP516" s="1502"/>
      <c r="DKQ516" s="1502"/>
      <c r="DKR516" s="1502"/>
      <c r="DKS516" s="1502"/>
      <c r="DKT516" s="1502"/>
      <c r="DKU516" s="1502"/>
      <c r="DKV516" s="1502"/>
      <c r="DKW516" s="1502"/>
      <c r="DKX516" s="1502"/>
      <c r="DKY516" s="1502"/>
      <c r="DKZ516" s="1502"/>
      <c r="DLA516" s="1502"/>
      <c r="DLB516" s="1502"/>
      <c r="DLC516" s="1502"/>
      <c r="DLD516" s="1502"/>
      <c r="DLE516" s="1502"/>
      <c r="DLF516" s="1502"/>
      <c r="DLG516" s="1502"/>
      <c r="DLH516" s="1502"/>
      <c r="DLI516" s="1502"/>
      <c r="DLJ516" s="1502"/>
      <c r="DLK516" s="1502"/>
      <c r="DLL516" s="1502"/>
      <c r="DLM516" s="1502"/>
      <c r="DLN516" s="1502"/>
      <c r="DLO516" s="1502"/>
      <c r="DLP516" s="1502"/>
      <c r="DLQ516" s="1502"/>
      <c r="DLR516" s="1502"/>
      <c r="DLS516" s="1502"/>
      <c r="DLT516" s="1502"/>
      <c r="DLU516" s="1502"/>
      <c r="DLV516" s="1502"/>
      <c r="DLW516" s="1502"/>
      <c r="DLX516" s="1502"/>
      <c r="DLY516" s="1502"/>
      <c r="DLZ516" s="1502"/>
      <c r="DMA516" s="1502"/>
      <c r="DMB516" s="1502"/>
      <c r="DMC516" s="1502"/>
      <c r="DMD516" s="1502"/>
      <c r="DME516" s="1502"/>
      <c r="DMF516" s="1502"/>
      <c r="DMG516" s="1502"/>
      <c r="DMH516" s="1502"/>
      <c r="DMI516" s="1502"/>
      <c r="DMJ516" s="1502"/>
      <c r="DMK516" s="1502"/>
      <c r="DML516" s="1502"/>
      <c r="DMM516" s="1502"/>
      <c r="DMN516" s="1502"/>
      <c r="DMO516" s="1502"/>
      <c r="DMP516" s="1502"/>
      <c r="DMQ516" s="1502"/>
      <c r="DMR516" s="1502"/>
      <c r="DMS516" s="1502"/>
      <c r="DMT516" s="1502"/>
      <c r="DMU516" s="1502"/>
      <c r="DMV516" s="1502"/>
      <c r="DMW516" s="1502"/>
      <c r="DMX516" s="1502"/>
      <c r="DMY516" s="1502"/>
      <c r="DMZ516" s="1502"/>
      <c r="DNA516" s="1502"/>
      <c r="DNB516" s="1502"/>
      <c r="DNC516" s="1502"/>
      <c r="DND516" s="1502"/>
      <c r="DNE516" s="1502"/>
      <c r="DNF516" s="1502"/>
      <c r="DNG516" s="1502"/>
      <c r="DNH516" s="1502"/>
      <c r="DNI516" s="1502"/>
      <c r="DNJ516" s="1502"/>
      <c r="DNK516" s="1502"/>
      <c r="DNL516" s="1502"/>
      <c r="DNM516" s="1502"/>
      <c r="DNN516" s="1502"/>
      <c r="DNO516" s="1502"/>
      <c r="DNP516" s="1502"/>
      <c r="DNQ516" s="1502"/>
      <c r="DNR516" s="1502"/>
      <c r="DNS516" s="1502"/>
      <c r="DNT516" s="1502"/>
      <c r="DNU516" s="1502"/>
      <c r="DNV516" s="1502"/>
      <c r="DNW516" s="1502"/>
      <c r="DNX516" s="1502"/>
      <c r="DNY516" s="1502"/>
      <c r="DNZ516" s="1502"/>
      <c r="DOA516" s="1502"/>
      <c r="DOB516" s="1502"/>
      <c r="DOC516" s="1502"/>
      <c r="DOD516" s="1502"/>
      <c r="DOE516" s="1502"/>
      <c r="DOF516" s="1502"/>
      <c r="DOG516" s="1502"/>
      <c r="DOH516" s="1502"/>
      <c r="DOI516" s="1502"/>
      <c r="DOJ516" s="1502"/>
      <c r="DOK516" s="1502"/>
      <c r="DOL516" s="1502"/>
      <c r="DOM516" s="1502"/>
      <c r="DON516" s="1502"/>
      <c r="DOO516" s="1502"/>
      <c r="DOP516" s="1502"/>
      <c r="DOQ516" s="1502"/>
      <c r="DOR516" s="1502"/>
      <c r="DOS516" s="1502"/>
      <c r="DOT516" s="1502"/>
      <c r="DOU516" s="1502"/>
      <c r="DOV516" s="1502"/>
      <c r="DOW516" s="1502"/>
      <c r="DOX516" s="1502"/>
      <c r="DOY516" s="1502"/>
      <c r="DOZ516" s="1502"/>
      <c r="DPA516" s="1502"/>
      <c r="DPB516" s="1502"/>
      <c r="DPC516" s="1502"/>
      <c r="DPD516" s="1502"/>
      <c r="DPE516" s="1502"/>
      <c r="DPF516" s="1502"/>
      <c r="DPG516" s="1502"/>
      <c r="DPH516" s="1502"/>
      <c r="DPI516" s="1502"/>
      <c r="DPJ516" s="1502"/>
      <c r="DPK516" s="1502"/>
      <c r="DPL516" s="1502"/>
      <c r="DPM516" s="1502"/>
      <c r="DPN516" s="1502"/>
      <c r="DPO516" s="1502"/>
      <c r="DPP516" s="1502"/>
      <c r="DPQ516" s="1502"/>
      <c r="DPR516" s="1502"/>
      <c r="DPS516" s="1502"/>
      <c r="DPT516" s="1502"/>
      <c r="DPU516" s="1502"/>
      <c r="DPV516" s="1502"/>
      <c r="DPW516" s="1502"/>
      <c r="DPX516" s="1502"/>
      <c r="DPY516" s="1502"/>
      <c r="DPZ516" s="1502"/>
      <c r="DQA516" s="1502"/>
      <c r="DQB516" s="1502"/>
      <c r="DQC516" s="1502"/>
      <c r="DQD516" s="1502"/>
      <c r="DQE516" s="1502"/>
      <c r="DQF516" s="1502"/>
      <c r="DQG516" s="1502"/>
      <c r="DQH516" s="1502"/>
      <c r="DQI516" s="1502"/>
      <c r="DQJ516" s="1502"/>
      <c r="DQK516" s="1502"/>
      <c r="DQL516" s="1502"/>
      <c r="DQM516" s="1502"/>
      <c r="DQN516" s="1502"/>
      <c r="DQO516" s="1502"/>
      <c r="DQP516" s="1502"/>
      <c r="DQQ516" s="1502"/>
      <c r="DQR516" s="1502"/>
      <c r="DQS516" s="1502"/>
      <c r="DQT516" s="1502"/>
      <c r="DQU516" s="1502"/>
      <c r="DQV516" s="1502"/>
      <c r="DQW516" s="1502"/>
      <c r="DQX516" s="1502"/>
      <c r="DQY516" s="1502"/>
      <c r="DQZ516" s="1502"/>
      <c r="DRA516" s="1502"/>
      <c r="DRB516" s="1502"/>
      <c r="DRC516" s="1502"/>
      <c r="DRD516" s="1502"/>
      <c r="DRE516" s="1502"/>
      <c r="DRF516" s="1502"/>
      <c r="DRG516" s="1502"/>
      <c r="DRH516" s="1502"/>
      <c r="DRI516" s="1502"/>
      <c r="DRJ516" s="1502"/>
      <c r="DRK516" s="1502"/>
      <c r="DRL516" s="1502"/>
      <c r="DRM516" s="1502"/>
      <c r="DRN516" s="1502"/>
      <c r="DRO516" s="1502"/>
      <c r="DRP516" s="1502"/>
      <c r="DRQ516" s="1502"/>
      <c r="DRR516" s="1502"/>
      <c r="DRS516" s="1502"/>
      <c r="DRT516" s="1502"/>
      <c r="DRU516" s="1502"/>
      <c r="DRV516" s="1502"/>
      <c r="DRW516" s="1502"/>
      <c r="DRX516" s="1502"/>
      <c r="DRY516" s="1502"/>
      <c r="DRZ516" s="1502"/>
      <c r="DSA516" s="1502"/>
      <c r="DSB516" s="1502"/>
      <c r="DSC516" s="1502"/>
      <c r="DSD516" s="1502"/>
      <c r="DSE516" s="1502"/>
      <c r="DSF516" s="1502"/>
      <c r="DSG516" s="1502"/>
      <c r="DSH516" s="1502"/>
      <c r="DSI516" s="1502"/>
      <c r="DSJ516" s="1502"/>
      <c r="DSK516" s="1502"/>
      <c r="DSL516" s="1502"/>
      <c r="DSM516" s="1502"/>
      <c r="DSN516" s="1502"/>
      <c r="DSO516" s="1502"/>
      <c r="DSP516" s="1502"/>
      <c r="DSQ516" s="1502"/>
      <c r="DSR516" s="1502"/>
      <c r="DSS516" s="1502"/>
      <c r="DST516" s="1502"/>
      <c r="DSU516" s="1502"/>
      <c r="DSV516" s="1502"/>
      <c r="DSW516" s="1502"/>
      <c r="DSX516" s="1502"/>
      <c r="DSY516" s="1502"/>
      <c r="DSZ516" s="1502"/>
      <c r="DTA516" s="1502"/>
      <c r="DTB516" s="1502"/>
      <c r="DTC516" s="1502"/>
      <c r="DTD516" s="1502"/>
      <c r="DTE516" s="1502"/>
      <c r="DTF516" s="1502"/>
      <c r="DTG516" s="1502"/>
      <c r="DTH516" s="1502"/>
      <c r="DTI516" s="1502"/>
      <c r="DTJ516" s="1502"/>
      <c r="DTK516" s="1502"/>
      <c r="DTL516" s="1502"/>
      <c r="DTM516" s="1502"/>
      <c r="DTN516" s="1502"/>
      <c r="DTO516" s="1502"/>
      <c r="DTP516" s="1502"/>
      <c r="DTQ516" s="1502"/>
      <c r="DTR516" s="1502"/>
      <c r="DTS516" s="1502"/>
      <c r="DTT516" s="1502"/>
      <c r="DTU516" s="1502"/>
      <c r="DTV516" s="1502"/>
      <c r="DTW516" s="1502"/>
      <c r="DTX516" s="1502"/>
      <c r="DTY516" s="1502"/>
      <c r="DTZ516" s="1502"/>
      <c r="DUA516" s="1502"/>
      <c r="DUB516" s="1502"/>
      <c r="DUC516" s="1502"/>
      <c r="DUD516" s="1502"/>
      <c r="DUE516" s="1502"/>
      <c r="DUF516" s="1502"/>
      <c r="DUG516" s="1502"/>
      <c r="DUH516" s="1502"/>
      <c r="DUI516" s="1502"/>
      <c r="DUJ516" s="1502"/>
      <c r="DUK516" s="1502"/>
      <c r="DUL516" s="1502"/>
      <c r="DUM516" s="1502"/>
      <c r="DUN516" s="1502"/>
      <c r="DUO516" s="1502"/>
      <c r="DUP516" s="1502"/>
      <c r="DUQ516" s="1502"/>
      <c r="DUR516" s="1502"/>
      <c r="DUS516" s="1502"/>
      <c r="DUT516" s="1502"/>
      <c r="DUU516" s="1502"/>
      <c r="DUV516" s="1502"/>
      <c r="DUW516" s="1502"/>
      <c r="DUX516" s="1502"/>
      <c r="DUY516" s="1502"/>
      <c r="DUZ516" s="1502"/>
      <c r="DVA516" s="1502"/>
      <c r="DVB516" s="1502"/>
      <c r="DVC516" s="1502"/>
      <c r="DVD516" s="1502"/>
      <c r="DVE516" s="1502"/>
      <c r="DVF516" s="1502"/>
      <c r="DVG516" s="1502"/>
      <c r="DVH516" s="1502"/>
      <c r="DVI516" s="1502"/>
      <c r="DVJ516" s="1502"/>
      <c r="DVK516" s="1502"/>
      <c r="DVL516" s="1502"/>
      <c r="DVM516" s="1502"/>
      <c r="DVN516" s="1502"/>
      <c r="DVO516" s="1502"/>
      <c r="DVP516" s="1502"/>
      <c r="DVQ516" s="1502"/>
      <c r="DVR516" s="1502"/>
      <c r="DVS516" s="1502"/>
      <c r="DVT516" s="1502"/>
      <c r="DVU516" s="1502"/>
      <c r="DVV516" s="1502"/>
      <c r="DVW516" s="1502"/>
      <c r="DVX516" s="1502"/>
      <c r="DVY516" s="1502"/>
      <c r="DVZ516" s="1502"/>
      <c r="DWA516" s="1502"/>
      <c r="DWB516" s="1502"/>
      <c r="DWC516" s="1502"/>
      <c r="DWD516" s="1502"/>
      <c r="DWE516" s="1502"/>
      <c r="DWF516" s="1502"/>
      <c r="DWG516" s="1502"/>
      <c r="DWH516" s="1502"/>
      <c r="DWI516" s="1502"/>
      <c r="DWJ516" s="1502"/>
      <c r="DWK516" s="1502"/>
      <c r="DWL516" s="1502"/>
      <c r="DWM516" s="1502"/>
      <c r="DWN516" s="1502"/>
      <c r="DWO516" s="1502"/>
      <c r="DWP516" s="1502"/>
      <c r="DWQ516" s="1502"/>
      <c r="DWR516" s="1502"/>
      <c r="DWS516" s="1502"/>
      <c r="DWT516" s="1502"/>
      <c r="DWU516" s="1502"/>
      <c r="DWV516" s="1502"/>
      <c r="DWW516" s="1502"/>
      <c r="DWX516" s="1502"/>
      <c r="DWY516" s="1502"/>
      <c r="DWZ516" s="1502"/>
      <c r="DXA516" s="1502"/>
      <c r="DXB516" s="1502"/>
      <c r="DXC516" s="1502"/>
      <c r="DXD516" s="1502"/>
      <c r="DXE516" s="1502"/>
      <c r="DXF516" s="1502"/>
      <c r="DXG516" s="1502"/>
      <c r="DXH516" s="1502"/>
      <c r="DXI516" s="1502"/>
      <c r="DXJ516" s="1502"/>
      <c r="DXK516" s="1502"/>
      <c r="DXL516" s="1502"/>
      <c r="DXM516" s="1502"/>
      <c r="DXN516" s="1502"/>
      <c r="DXO516" s="1502"/>
      <c r="DXP516" s="1502"/>
      <c r="DXQ516" s="1502"/>
      <c r="DXR516" s="1502"/>
      <c r="DXS516" s="1502"/>
      <c r="DXT516" s="1502"/>
      <c r="DXU516" s="1502"/>
      <c r="DXV516" s="1502"/>
      <c r="DXW516" s="1502"/>
      <c r="DXX516" s="1502"/>
      <c r="DXY516" s="1502"/>
      <c r="DXZ516" s="1502"/>
      <c r="DYA516" s="1502"/>
      <c r="DYB516" s="1502"/>
      <c r="DYC516" s="1502"/>
      <c r="DYD516" s="1502"/>
      <c r="DYE516" s="1502"/>
      <c r="DYF516" s="1502"/>
      <c r="DYG516" s="1502"/>
      <c r="DYH516" s="1502"/>
      <c r="DYI516" s="1502"/>
      <c r="DYJ516" s="1502"/>
      <c r="DYK516" s="1502"/>
      <c r="DYL516" s="1502"/>
      <c r="DYM516" s="1502"/>
      <c r="DYN516" s="1502"/>
      <c r="DYO516" s="1502"/>
      <c r="DYP516" s="1502"/>
      <c r="DYQ516" s="1502"/>
      <c r="DYR516" s="1502"/>
      <c r="DYS516" s="1502"/>
      <c r="DYT516" s="1502"/>
      <c r="DYU516" s="1502"/>
      <c r="DYV516" s="1502"/>
      <c r="DYW516" s="1502"/>
      <c r="DYX516" s="1502"/>
      <c r="DYY516" s="1502"/>
      <c r="DYZ516" s="1502"/>
      <c r="DZA516" s="1502"/>
      <c r="DZB516" s="1502"/>
      <c r="DZC516" s="1502"/>
      <c r="DZD516" s="1502"/>
      <c r="DZE516" s="1502"/>
      <c r="DZF516" s="1502"/>
      <c r="DZG516" s="1502"/>
      <c r="DZH516" s="1502"/>
      <c r="DZI516" s="1502"/>
      <c r="DZJ516" s="1502"/>
      <c r="DZK516" s="1502"/>
      <c r="DZL516" s="1502"/>
      <c r="DZM516" s="1502"/>
      <c r="DZN516" s="1502"/>
      <c r="DZO516" s="1502"/>
      <c r="DZP516" s="1502"/>
      <c r="DZQ516" s="1502"/>
      <c r="DZR516" s="1502"/>
      <c r="DZS516" s="1502"/>
      <c r="DZT516" s="1502"/>
      <c r="DZU516" s="1502"/>
      <c r="DZV516" s="1502"/>
      <c r="DZW516" s="1502"/>
      <c r="DZX516" s="1502"/>
      <c r="DZY516" s="1502"/>
      <c r="DZZ516" s="1502"/>
      <c r="EAA516" s="1502"/>
      <c r="EAB516" s="1502"/>
      <c r="EAC516" s="1502"/>
      <c r="EAD516" s="1502"/>
      <c r="EAE516" s="1502"/>
      <c r="EAF516" s="1502"/>
      <c r="EAG516" s="1502"/>
      <c r="EAH516" s="1502"/>
      <c r="EAI516" s="1502"/>
      <c r="EAJ516" s="1502"/>
      <c r="EAK516" s="1502"/>
      <c r="EAL516" s="1502"/>
      <c r="EAM516" s="1502"/>
      <c r="EAN516" s="1502"/>
      <c r="EAO516" s="1502"/>
      <c r="EAP516" s="1502"/>
      <c r="EAQ516" s="1502"/>
      <c r="EAR516" s="1502"/>
      <c r="EAS516" s="1502"/>
      <c r="EAT516" s="1502"/>
      <c r="EAU516" s="1502"/>
      <c r="EAV516" s="1502"/>
      <c r="EAW516" s="1502"/>
      <c r="EAX516" s="1502"/>
      <c r="EAY516" s="1502"/>
      <c r="EAZ516" s="1502"/>
      <c r="EBA516" s="1502"/>
      <c r="EBB516" s="1502"/>
      <c r="EBC516" s="1502"/>
      <c r="EBD516" s="1502"/>
      <c r="EBE516" s="1502"/>
      <c r="EBF516" s="1502"/>
      <c r="EBG516" s="1502"/>
      <c r="EBH516" s="1502"/>
      <c r="EBI516" s="1502"/>
      <c r="EBJ516" s="1502"/>
      <c r="EBK516" s="1502"/>
      <c r="EBL516" s="1502"/>
      <c r="EBM516" s="1502"/>
      <c r="EBN516" s="1502"/>
      <c r="EBO516" s="1502"/>
      <c r="EBP516" s="1502"/>
      <c r="EBQ516" s="1502"/>
      <c r="EBR516" s="1502"/>
      <c r="EBS516" s="1502"/>
      <c r="EBT516" s="1502"/>
      <c r="EBU516" s="1502"/>
      <c r="EBV516" s="1502"/>
      <c r="EBW516" s="1502"/>
      <c r="EBX516" s="1502"/>
      <c r="EBY516" s="1502"/>
      <c r="EBZ516" s="1502"/>
      <c r="ECA516" s="1502"/>
      <c r="ECB516" s="1502"/>
      <c r="ECC516" s="1502"/>
      <c r="ECD516" s="1502"/>
      <c r="ECE516" s="1502"/>
      <c r="ECF516" s="1502"/>
      <c r="ECG516" s="1502"/>
      <c r="ECH516" s="1502"/>
      <c r="ECI516" s="1502"/>
      <c r="ECJ516" s="1502"/>
      <c r="ECK516" s="1502"/>
      <c r="ECL516" s="1502"/>
      <c r="ECM516" s="1502"/>
      <c r="ECN516" s="1502"/>
      <c r="ECO516" s="1502"/>
      <c r="ECP516" s="1502"/>
      <c r="ECQ516" s="1502"/>
      <c r="ECR516" s="1502"/>
      <c r="ECS516" s="1502"/>
      <c r="ECT516" s="1502"/>
      <c r="ECU516" s="1502"/>
      <c r="ECV516" s="1502"/>
      <c r="ECW516" s="1502"/>
      <c r="ECX516" s="1502"/>
      <c r="ECY516" s="1502"/>
      <c r="ECZ516" s="1502"/>
      <c r="EDA516" s="1502"/>
      <c r="EDB516" s="1502"/>
      <c r="EDC516" s="1502"/>
      <c r="EDD516" s="1502"/>
      <c r="EDE516" s="1502"/>
      <c r="EDF516" s="1502"/>
      <c r="EDG516" s="1502"/>
      <c r="EDH516" s="1502"/>
      <c r="EDI516" s="1502"/>
      <c r="EDJ516" s="1502"/>
      <c r="EDK516" s="1502"/>
      <c r="EDL516" s="1502"/>
      <c r="EDM516" s="1502"/>
      <c r="EDN516" s="1502"/>
      <c r="EDO516" s="1502"/>
      <c r="EDP516" s="1502"/>
      <c r="EDQ516" s="1502"/>
      <c r="EDR516" s="1502"/>
      <c r="EDS516" s="1502"/>
      <c r="EDT516" s="1502"/>
      <c r="EDU516" s="1502"/>
      <c r="EDV516" s="1502"/>
      <c r="EDW516" s="1502"/>
      <c r="EDX516" s="1502"/>
      <c r="EDY516" s="1502"/>
      <c r="EDZ516" s="1502"/>
      <c r="EEA516" s="1502"/>
      <c r="EEB516" s="1502"/>
      <c r="EEC516" s="1502"/>
      <c r="EED516" s="1502"/>
      <c r="EEE516" s="1502"/>
      <c r="EEF516" s="1502"/>
      <c r="EEG516" s="1502"/>
      <c r="EEH516" s="1502"/>
      <c r="EEI516" s="1502"/>
      <c r="EEJ516" s="1502"/>
      <c r="EEK516" s="1502"/>
      <c r="EEL516" s="1502"/>
      <c r="EEM516" s="1502"/>
      <c r="EEN516" s="1502"/>
      <c r="EEO516" s="1502"/>
      <c r="EEP516" s="1502"/>
      <c r="EEQ516" s="1502"/>
      <c r="EER516" s="1502"/>
      <c r="EES516" s="1502"/>
      <c r="EET516" s="1502"/>
      <c r="EEU516" s="1502"/>
      <c r="EEV516" s="1502"/>
      <c r="EEW516" s="1502"/>
      <c r="EEX516" s="1502"/>
      <c r="EEY516" s="1502"/>
      <c r="EEZ516" s="1502"/>
      <c r="EFA516" s="1502"/>
      <c r="EFB516" s="1502"/>
      <c r="EFC516" s="1502"/>
      <c r="EFD516" s="1502"/>
      <c r="EFE516" s="1502"/>
      <c r="EFF516" s="1502"/>
      <c r="EFG516" s="1502"/>
      <c r="EFH516" s="1502"/>
      <c r="EFI516" s="1502"/>
      <c r="EFJ516" s="1502"/>
      <c r="EFK516" s="1502"/>
      <c r="EFL516" s="1502"/>
      <c r="EFM516" s="1502"/>
      <c r="EFN516" s="1502"/>
      <c r="EFO516" s="1502"/>
      <c r="EFP516" s="1502"/>
      <c r="EFQ516" s="1502"/>
      <c r="EFR516" s="1502"/>
      <c r="EFS516" s="1502"/>
      <c r="EFT516" s="1502"/>
      <c r="EFU516" s="1502"/>
      <c r="EFV516" s="1502"/>
      <c r="EFW516" s="1502"/>
      <c r="EFX516" s="1502"/>
      <c r="EFY516" s="1502"/>
      <c r="EFZ516" s="1502"/>
      <c r="EGA516" s="1502"/>
      <c r="EGB516" s="1502"/>
      <c r="EGC516" s="1502"/>
      <c r="EGD516" s="1502"/>
      <c r="EGE516" s="1502"/>
      <c r="EGF516" s="1502"/>
      <c r="EGG516" s="1502"/>
      <c r="EGH516" s="1502"/>
      <c r="EGI516" s="1502"/>
      <c r="EGJ516" s="1502"/>
      <c r="EGK516" s="1502"/>
      <c r="EGL516" s="1502"/>
      <c r="EGM516" s="1502"/>
      <c r="EGN516" s="1502"/>
      <c r="EGO516" s="1502"/>
      <c r="EGP516" s="1502"/>
      <c r="EGQ516" s="1502"/>
      <c r="EGR516" s="1502"/>
      <c r="EGS516" s="1502"/>
      <c r="EGT516" s="1502"/>
      <c r="EGU516" s="1502"/>
      <c r="EGV516" s="1502"/>
      <c r="EGW516" s="1502"/>
      <c r="EGX516" s="1502"/>
      <c r="EGY516" s="1502"/>
      <c r="EGZ516" s="1502"/>
      <c r="EHA516" s="1502"/>
      <c r="EHB516" s="1502"/>
      <c r="EHC516" s="1502"/>
      <c r="EHD516" s="1502"/>
      <c r="EHE516" s="1502"/>
      <c r="EHF516" s="1502"/>
      <c r="EHG516" s="1502"/>
      <c r="EHH516" s="1502"/>
      <c r="EHI516" s="1502"/>
      <c r="EHJ516" s="1502"/>
      <c r="EHK516" s="1502"/>
      <c r="EHL516" s="1502"/>
      <c r="EHM516" s="1502"/>
      <c r="EHN516" s="1502"/>
      <c r="EHO516" s="1502"/>
      <c r="EHP516" s="1502"/>
      <c r="EHQ516" s="1502"/>
      <c r="EHR516" s="1502"/>
      <c r="EHS516" s="1502"/>
      <c r="EHT516" s="1502"/>
      <c r="EHU516" s="1502"/>
      <c r="EHV516" s="1502"/>
      <c r="EHW516" s="1502"/>
      <c r="EHX516" s="1502"/>
      <c r="EHY516" s="1502"/>
      <c r="EHZ516" s="1502"/>
      <c r="EIA516" s="1502"/>
      <c r="EIB516" s="1502"/>
      <c r="EIC516" s="1502"/>
      <c r="EID516" s="1502"/>
      <c r="EIE516" s="1502"/>
      <c r="EIF516" s="1502"/>
      <c r="EIG516" s="1502"/>
      <c r="EIH516" s="1502"/>
      <c r="EII516" s="1502"/>
      <c r="EIJ516" s="1502"/>
      <c r="EIK516" s="1502"/>
      <c r="EIL516" s="1502"/>
      <c r="EIM516" s="1502"/>
      <c r="EIN516" s="1502"/>
      <c r="EIO516" s="1502"/>
      <c r="EIP516" s="1502"/>
      <c r="EIQ516" s="1502"/>
      <c r="EIR516" s="1502"/>
      <c r="EIS516" s="1502"/>
      <c r="EIT516" s="1502"/>
      <c r="EIU516" s="1502"/>
      <c r="EIV516" s="1502"/>
      <c r="EIW516" s="1502"/>
      <c r="EIX516" s="1502"/>
      <c r="EIY516" s="1502"/>
      <c r="EIZ516" s="1502"/>
      <c r="EJA516" s="1502"/>
      <c r="EJB516" s="1502"/>
      <c r="EJC516" s="1502"/>
      <c r="EJD516" s="1502"/>
      <c r="EJE516" s="1502"/>
      <c r="EJF516" s="1502"/>
      <c r="EJG516" s="1502"/>
      <c r="EJH516" s="1502"/>
      <c r="EJI516" s="1502"/>
      <c r="EJJ516" s="1502"/>
      <c r="EJK516" s="1502"/>
      <c r="EJL516" s="1502"/>
      <c r="EJM516" s="1502"/>
      <c r="EJN516" s="1502"/>
      <c r="EJO516" s="1502"/>
      <c r="EJP516" s="1502"/>
      <c r="EJQ516" s="1502"/>
      <c r="EJR516" s="1502"/>
      <c r="EJS516" s="1502"/>
      <c r="EJT516" s="1502"/>
      <c r="EJU516" s="1502"/>
      <c r="EJV516" s="1502"/>
      <c r="EJW516" s="1502"/>
      <c r="EJX516" s="1502"/>
      <c r="EJY516" s="1502"/>
      <c r="EJZ516" s="1502"/>
      <c r="EKA516" s="1502"/>
      <c r="EKB516" s="1502"/>
      <c r="EKC516" s="1502"/>
      <c r="EKD516" s="1502"/>
      <c r="EKE516" s="1502"/>
      <c r="EKF516" s="1502"/>
      <c r="EKG516" s="1502"/>
      <c r="EKH516" s="1502"/>
      <c r="EKI516" s="1502"/>
      <c r="EKJ516" s="1502"/>
      <c r="EKK516" s="1502"/>
      <c r="EKL516" s="1502"/>
      <c r="EKM516" s="1502"/>
      <c r="EKN516" s="1502"/>
      <c r="EKO516" s="1502"/>
      <c r="EKP516" s="1502"/>
      <c r="EKQ516" s="1502"/>
      <c r="EKR516" s="1502"/>
      <c r="EKS516" s="1502"/>
      <c r="EKT516" s="1502"/>
      <c r="EKU516" s="1502"/>
      <c r="EKV516" s="1502"/>
      <c r="EKW516" s="1502"/>
      <c r="EKX516" s="1502"/>
      <c r="EKY516" s="1502"/>
      <c r="EKZ516" s="1502"/>
      <c r="ELA516" s="1502"/>
      <c r="ELB516" s="1502"/>
      <c r="ELC516" s="1502"/>
      <c r="ELD516" s="1502"/>
      <c r="ELE516" s="1502"/>
      <c r="ELF516" s="1502"/>
      <c r="ELG516" s="1502"/>
      <c r="ELH516" s="1502"/>
      <c r="ELI516" s="1502"/>
      <c r="ELJ516" s="1502"/>
      <c r="ELK516" s="1502"/>
      <c r="ELL516" s="1502"/>
      <c r="ELM516" s="1502"/>
      <c r="ELN516" s="1502"/>
      <c r="ELO516" s="1502"/>
      <c r="ELP516" s="1502"/>
      <c r="ELQ516" s="1502"/>
      <c r="ELR516" s="1502"/>
      <c r="ELS516" s="1502"/>
      <c r="ELT516" s="1502"/>
      <c r="ELU516" s="1502"/>
      <c r="ELV516" s="1502"/>
      <c r="ELW516" s="1502"/>
      <c r="ELX516" s="1502"/>
      <c r="ELY516" s="1502"/>
      <c r="ELZ516" s="1502"/>
      <c r="EMA516" s="1502"/>
      <c r="EMB516" s="1502"/>
      <c r="EMC516" s="1502"/>
      <c r="EMD516" s="1502"/>
      <c r="EME516" s="1502"/>
      <c r="EMF516" s="1502"/>
      <c r="EMG516" s="1502"/>
      <c r="EMH516" s="1502"/>
      <c r="EMI516" s="1502"/>
      <c r="EMJ516" s="1502"/>
      <c r="EMK516" s="1502"/>
      <c r="EML516" s="1502"/>
      <c r="EMM516" s="1502"/>
      <c r="EMN516" s="1502"/>
      <c r="EMO516" s="1502"/>
      <c r="EMP516" s="1502"/>
      <c r="EMQ516" s="1502"/>
      <c r="EMR516" s="1502"/>
      <c r="EMS516" s="1502"/>
      <c r="EMT516" s="1502"/>
      <c r="EMU516" s="1502"/>
      <c r="EMV516" s="1502"/>
      <c r="EMW516" s="1502"/>
      <c r="EMX516" s="1502"/>
      <c r="EMY516" s="1502"/>
      <c r="EMZ516" s="1502"/>
      <c r="ENA516" s="1502"/>
      <c r="ENB516" s="1502"/>
      <c r="ENC516" s="1502"/>
      <c r="END516" s="1502"/>
      <c r="ENE516" s="1502"/>
      <c r="ENF516" s="1502"/>
      <c r="ENG516" s="1502"/>
      <c r="ENH516" s="1502"/>
      <c r="ENI516" s="1502"/>
      <c r="ENJ516" s="1502"/>
      <c r="ENK516" s="1502"/>
      <c r="ENL516" s="1502"/>
      <c r="ENM516" s="1502"/>
      <c r="ENN516" s="1502"/>
      <c r="ENO516" s="1502"/>
      <c r="ENP516" s="1502"/>
      <c r="ENQ516" s="1502"/>
      <c r="ENR516" s="1502"/>
      <c r="ENS516" s="1502"/>
      <c r="ENT516" s="1502"/>
      <c r="ENU516" s="1502"/>
      <c r="ENV516" s="1502"/>
      <c r="ENW516" s="1502"/>
      <c r="ENX516" s="1502"/>
      <c r="ENY516" s="1502"/>
      <c r="ENZ516" s="1502"/>
      <c r="EOA516" s="1502"/>
      <c r="EOB516" s="1502"/>
      <c r="EOC516" s="1502"/>
      <c r="EOD516" s="1502"/>
      <c r="EOE516" s="1502"/>
      <c r="EOF516" s="1502"/>
      <c r="EOG516" s="1502"/>
      <c r="EOH516" s="1502"/>
      <c r="EOI516" s="1502"/>
      <c r="EOJ516" s="1502"/>
      <c r="EOK516" s="1502"/>
      <c r="EOL516" s="1502"/>
      <c r="EOM516" s="1502"/>
      <c r="EON516" s="1502"/>
      <c r="EOO516" s="1502"/>
      <c r="EOP516" s="1502"/>
      <c r="EOQ516" s="1502"/>
      <c r="EOR516" s="1502"/>
      <c r="EOS516" s="1502"/>
      <c r="EOT516" s="1502"/>
      <c r="EOU516" s="1502"/>
      <c r="EOV516" s="1502"/>
      <c r="EOW516" s="1502"/>
      <c r="EOX516" s="1502"/>
      <c r="EOY516" s="1502"/>
      <c r="EOZ516" s="1502"/>
      <c r="EPA516" s="1502"/>
      <c r="EPB516" s="1502"/>
      <c r="EPC516" s="1502"/>
      <c r="EPD516" s="1502"/>
      <c r="EPE516" s="1502"/>
      <c r="EPF516" s="1502"/>
      <c r="EPG516" s="1502"/>
      <c r="EPH516" s="1502"/>
      <c r="EPI516" s="1502"/>
      <c r="EPJ516" s="1502"/>
      <c r="EPK516" s="1502"/>
      <c r="EPL516" s="1502"/>
      <c r="EPM516" s="1502"/>
      <c r="EPN516" s="1502"/>
      <c r="EPO516" s="1502"/>
      <c r="EPP516" s="1502"/>
      <c r="EPQ516" s="1502"/>
      <c r="EPR516" s="1502"/>
      <c r="EPS516" s="1502"/>
      <c r="EPT516" s="1502"/>
      <c r="EPU516" s="1502"/>
      <c r="EPV516" s="1502"/>
      <c r="EPW516" s="1502"/>
      <c r="EPX516" s="1502"/>
      <c r="EPY516" s="1502"/>
      <c r="EPZ516" s="1502"/>
      <c r="EQA516" s="1502"/>
      <c r="EQB516" s="1502"/>
      <c r="EQC516" s="1502"/>
      <c r="EQD516" s="1502"/>
      <c r="EQE516" s="1502"/>
      <c r="EQF516" s="1502"/>
      <c r="EQG516" s="1502"/>
      <c r="EQH516" s="1502"/>
      <c r="EQI516" s="1502"/>
      <c r="EQJ516" s="1502"/>
      <c r="EQK516" s="1502"/>
      <c r="EQL516" s="1502"/>
      <c r="EQM516" s="1502"/>
      <c r="EQN516" s="1502"/>
      <c r="EQO516" s="1502"/>
      <c r="EQP516" s="1502"/>
      <c r="EQQ516" s="1502"/>
      <c r="EQR516" s="1502"/>
      <c r="EQS516" s="1502"/>
      <c r="EQT516" s="1502"/>
      <c r="EQU516" s="1502"/>
      <c r="EQV516" s="1502"/>
      <c r="EQW516" s="1502"/>
      <c r="EQX516" s="1502"/>
      <c r="EQY516" s="1502"/>
      <c r="EQZ516" s="1502"/>
      <c r="ERA516" s="1502"/>
      <c r="ERB516" s="1502"/>
      <c r="ERC516" s="1502"/>
      <c r="ERD516" s="1502"/>
      <c r="ERE516" s="1502"/>
      <c r="ERF516" s="1502"/>
      <c r="ERG516" s="1502"/>
      <c r="ERH516" s="1502"/>
      <c r="ERI516" s="1502"/>
      <c r="ERJ516" s="1502"/>
      <c r="ERK516" s="1502"/>
      <c r="ERL516" s="1502"/>
      <c r="ERM516" s="1502"/>
      <c r="ERN516" s="1502"/>
      <c r="ERO516" s="1502"/>
      <c r="ERP516" s="1502"/>
      <c r="ERQ516" s="1502"/>
      <c r="ERR516" s="1502"/>
      <c r="ERS516" s="1502"/>
      <c r="ERT516" s="1502"/>
      <c r="ERU516" s="1502"/>
      <c r="ERV516" s="1502"/>
      <c r="ERW516" s="1502"/>
      <c r="ERX516" s="1502"/>
      <c r="ERY516" s="1502"/>
      <c r="ERZ516" s="1502"/>
      <c r="ESA516" s="1502"/>
      <c r="ESB516" s="1502"/>
      <c r="ESC516" s="1502"/>
      <c r="ESD516" s="1502"/>
      <c r="ESE516" s="1502"/>
      <c r="ESF516" s="1502"/>
      <c r="ESG516" s="1502"/>
      <c r="ESH516" s="1502"/>
      <c r="ESI516" s="1502"/>
      <c r="ESJ516" s="1502"/>
      <c r="ESK516" s="1502"/>
      <c r="ESL516" s="1502"/>
      <c r="ESM516" s="1502"/>
      <c r="ESN516" s="1502"/>
      <c r="ESO516" s="1502"/>
      <c r="ESP516" s="1502"/>
      <c r="ESQ516" s="1502"/>
      <c r="ESR516" s="1502"/>
      <c r="ESS516" s="1502"/>
      <c r="EST516" s="1502"/>
      <c r="ESU516" s="1502"/>
      <c r="ESV516" s="1502"/>
      <c r="ESW516" s="1502"/>
      <c r="ESX516" s="1502"/>
      <c r="ESY516" s="1502"/>
      <c r="ESZ516" s="1502"/>
      <c r="ETA516" s="1502"/>
      <c r="ETB516" s="1502"/>
      <c r="ETC516" s="1502"/>
      <c r="ETD516" s="1502"/>
      <c r="ETE516" s="1502"/>
      <c r="ETF516" s="1502"/>
      <c r="ETG516" s="1502"/>
      <c r="ETH516" s="1502"/>
      <c r="ETI516" s="1502"/>
      <c r="ETJ516" s="1502"/>
      <c r="ETK516" s="1502"/>
      <c r="ETL516" s="1502"/>
      <c r="ETM516" s="1502"/>
      <c r="ETN516" s="1502"/>
      <c r="ETO516" s="1502"/>
      <c r="ETP516" s="1502"/>
      <c r="ETQ516" s="1502"/>
      <c r="ETR516" s="1502"/>
      <c r="ETS516" s="1502"/>
      <c r="ETT516" s="1502"/>
      <c r="ETU516" s="1502"/>
      <c r="ETV516" s="1502"/>
      <c r="ETW516" s="1502"/>
      <c r="ETX516" s="1502"/>
      <c r="ETY516" s="1502"/>
      <c r="ETZ516" s="1502"/>
      <c r="EUA516" s="1502"/>
      <c r="EUB516" s="1502"/>
      <c r="EUC516" s="1502"/>
      <c r="EUD516" s="1502"/>
      <c r="EUE516" s="1502"/>
      <c r="EUF516" s="1502"/>
      <c r="EUG516" s="1502"/>
      <c r="EUH516" s="1502"/>
      <c r="EUI516" s="1502"/>
      <c r="EUJ516" s="1502"/>
      <c r="EUK516" s="1502"/>
      <c r="EUL516" s="1502"/>
      <c r="EUM516" s="1502"/>
      <c r="EUN516" s="1502"/>
      <c r="EUO516" s="1502"/>
      <c r="EUP516" s="1502"/>
      <c r="EUQ516" s="1502"/>
      <c r="EUR516" s="1502"/>
      <c r="EUS516" s="1502"/>
      <c r="EUT516" s="1502"/>
      <c r="EUU516" s="1502"/>
      <c r="EUV516" s="1502"/>
      <c r="EUW516" s="1502"/>
      <c r="EUX516" s="1502"/>
      <c r="EUY516" s="1502"/>
      <c r="EUZ516" s="1502"/>
      <c r="EVA516" s="1502"/>
      <c r="EVB516" s="1502"/>
      <c r="EVC516" s="1502"/>
      <c r="EVD516" s="1502"/>
      <c r="EVE516" s="1502"/>
      <c r="EVF516" s="1502"/>
      <c r="EVG516" s="1502"/>
      <c r="EVH516" s="1502"/>
      <c r="EVI516" s="1502"/>
      <c r="EVJ516" s="1502"/>
      <c r="EVK516" s="1502"/>
      <c r="EVL516" s="1502"/>
      <c r="EVM516" s="1502"/>
      <c r="EVN516" s="1502"/>
      <c r="EVO516" s="1502"/>
      <c r="EVP516" s="1502"/>
      <c r="EVQ516" s="1502"/>
      <c r="EVR516" s="1502"/>
      <c r="EVS516" s="1502"/>
      <c r="EVT516" s="1502"/>
      <c r="EVU516" s="1502"/>
      <c r="EVV516" s="1502"/>
      <c r="EVW516" s="1502"/>
      <c r="EVX516" s="1502"/>
      <c r="EVY516" s="1502"/>
      <c r="EVZ516" s="1502"/>
      <c r="EWA516" s="1502"/>
      <c r="EWB516" s="1502"/>
      <c r="EWC516" s="1502"/>
      <c r="EWD516" s="1502"/>
      <c r="EWE516" s="1502"/>
      <c r="EWF516" s="1502"/>
      <c r="EWG516" s="1502"/>
      <c r="EWH516" s="1502"/>
      <c r="EWI516" s="1502"/>
      <c r="EWJ516" s="1502"/>
      <c r="EWK516" s="1502"/>
      <c r="EWL516" s="1502"/>
      <c r="EWM516" s="1502"/>
      <c r="EWN516" s="1502"/>
      <c r="EWO516" s="1502"/>
      <c r="EWP516" s="1502"/>
      <c r="EWQ516" s="1502"/>
      <c r="EWR516" s="1502"/>
      <c r="EWS516" s="1502"/>
      <c r="EWT516" s="1502"/>
      <c r="EWU516" s="1502"/>
      <c r="EWV516" s="1502"/>
      <c r="EWW516" s="1502"/>
      <c r="EWX516" s="1502"/>
      <c r="EWY516" s="1502"/>
      <c r="EWZ516" s="1502"/>
      <c r="EXA516" s="1502"/>
      <c r="EXB516" s="1502"/>
      <c r="EXC516" s="1502"/>
      <c r="EXD516" s="1502"/>
      <c r="EXE516" s="1502"/>
      <c r="EXF516" s="1502"/>
      <c r="EXG516" s="1502"/>
      <c r="EXH516" s="1502"/>
      <c r="EXI516" s="1502"/>
      <c r="EXJ516" s="1502"/>
      <c r="EXK516" s="1502"/>
      <c r="EXL516" s="1502"/>
      <c r="EXM516" s="1502"/>
      <c r="EXN516" s="1502"/>
      <c r="EXO516" s="1502"/>
      <c r="EXP516" s="1502"/>
      <c r="EXQ516" s="1502"/>
      <c r="EXR516" s="1502"/>
      <c r="EXS516" s="1502"/>
      <c r="EXT516" s="1502"/>
      <c r="EXU516" s="1502"/>
      <c r="EXV516" s="1502"/>
      <c r="EXW516" s="1502"/>
      <c r="EXX516" s="1502"/>
      <c r="EXY516" s="1502"/>
      <c r="EXZ516" s="1502"/>
      <c r="EYA516" s="1502"/>
      <c r="EYB516" s="1502"/>
      <c r="EYC516" s="1502"/>
      <c r="EYD516" s="1502"/>
      <c r="EYE516" s="1502"/>
      <c r="EYF516" s="1502"/>
      <c r="EYG516" s="1502"/>
      <c r="EYH516" s="1502"/>
      <c r="EYI516" s="1502"/>
      <c r="EYJ516" s="1502"/>
      <c r="EYK516" s="1502"/>
      <c r="EYL516" s="1502"/>
      <c r="EYM516" s="1502"/>
      <c r="EYN516" s="1502"/>
      <c r="EYO516" s="1502"/>
      <c r="EYP516" s="1502"/>
      <c r="EYQ516" s="1502"/>
      <c r="EYR516" s="1502"/>
      <c r="EYS516" s="1502"/>
      <c r="EYT516" s="1502"/>
      <c r="EYU516" s="1502"/>
      <c r="EYV516" s="1502"/>
      <c r="EYW516" s="1502"/>
      <c r="EYX516" s="1502"/>
      <c r="EYY516" s="1502"/>
      <c r="EYZ516" s="1502"/>
      <c r="EZA516" s="1502"/>
      <c r="EZB516" s="1502"/>
      <c r="EZC516" s="1502"/>
      <c r="EZD516" s="1502"/>
      <c r="EZE516" s="1502"/>
      <c r="EZF516" s="1502"/>
      <c r="EZG516" s="1502"/>
      <c r="EZH516" s="1502"/>
      <c r="EZI516" s="1502"/>
      <c r="EZJ516" s="1502"/>
      <c r="EZK516" s="1502"/>
      <c r="EZL516" s="1502"/>
      <c r="EZM516" s="1502"/>
      <c r="EZN516" s="1502"/>
      <c r="EZO516" s="1502"/>
      <c r="EZP516" s="1502"/>
      <c r="EZQ516" s="1502"/>
      <c r="EZR516" s="1502"/>
      <c r="EZS516" s="1502"/>
      <c r="EZT516" s="1502"/>
      <c r="EZU516" s="1502"/>
      <c r="EZV516" s="1502"/>
      <c r="EZW516" s="1502"/>
      <c r="EZX516" s="1502"/>
      <c r="EZY516" s="1502"/>
      <c r="EZZ516" s="1502"/>
      <c r="FAA516" s="1502"/>
      <c r="FAB516" s="1502"/>
      <c r="FAC516" s="1502"/>
      <c r="FAD516" s="1502"/>
      <c r="FAE516" s="1502"/>
      <c r="FAF516" s="1502"/>
      <c r="FAG516" s="1502"/>
      <c r="FAH516" s="1502"/>
      <c r="FAI516" s="1502"/>
      <c r="FAJ516" s="1502"/>
      <c r="FAK516" s="1502"/>
      <c r="FAL516" s="1502"/>
      <c r="FAM516" s="1502"/>
      <c r="FAN516" s="1502"/>
      <c r="FAO516" s="1502"/>
      <c r="FAP516" s="1502"/>
      <c r="FAQ516" s="1502"/>
      <c r="FAR516" s="1502"/>
      <c r="FAS516" s="1502"/>
      <c r="FAT516" s="1502"/>
      <c r="FAU516" s="1502"/>
      <c r="FAV516" s="1502"/>
      <c r="FAW516" s="1502"/>
      <c r="FAX516" s="1502"/>
      <c r="FAY516" s="1502"/>
      <c r="FAZ516" s="1502"/>
      <c r="FBA516" s="1502"/>
      <c r="FBB516" s="1502"/>
      <c r="FBC516" s="1502"/>
      <c r="FBD516" s="1502"/>
      <c r="FBE516" s="1502"/>
      <c r="FBF516" s="1502"/>
      <c r="FBG516" s="1502"/>
      <c r="FBH516" s="1502"/>
      <c r="FBI516" s="1502"/>
      <c r="FBJ516" s="1502"/>
      <c r="FBK516" s="1502"/>
      <c r="FBL516" s="1502"/>
      <c r="FBM516" s="1502"/>
      <c r="FBN516" s="1502"/>
      <c r="FBO516" s="1502"/>
      <c r="FBP516" s="1502"/>
      <c r="FBQ516" s="1502"/>
      <c r="FBR516" s="1502"/>
      <c r="FBS516" s="1502"/>
      <c r="FBT516" s="1502"/>
      <c r="FBU516" s="1502"/>
      <c r="FBV516" s="1502"/>
      <c r="FBW516" s="1502"/>
      <c r="FBX516" s="1502"/>
      <c r="FBY516" s="1502"/>
      <c r="FBZ516" s="1502"/>
      <c r="FCA516" s="1502"/>
      <c r="FCB516" s="1502"/>
      <c r="FCC516" s="1502"/>
      <c r="FCD516" s="1502"/>
      <c r="FCE516" s="1502"/>
      <c r="FCF516" s="1502"/>
      <c r="FCG516" s="1502"/>
      <c r="FCH516" s="1502"/>
      <c r="FCI516" s="1502"/>
      <c r="FCJ516" s="1502"/>
      <c r="FCK516" s="1502"/>
      <c r="FCL516" s="1502"/>
      <c r="FCM516" s="1502"/>
      <c r="FCN516" s="1502"/>
      <c r="FCO516" s="1502"/>
      <c r="FCP516" s="1502"/>
      <c r="FCQ516" s="1502"/>
      <c r="FCR516" s="1502"/>
      <c r="FCS516" s="1502"/>
      <c r="FCT516" s="1502"/>
      <c r="FCU516" s="1502"/>
      <c r="FCV516" s="1502"/>
      <c r="FCW516" s="1502"/>
      <c r="FCX516" s="1502"/>
      <c r="FCY516" s="1502"/>
      <c r="FCZ516" s="1502"/>
      <c r="FDA516" s="1502"/>
      <c r="FDB516" s="1502"/>
      <c r="FDC516" s="1502"/>
      <c r="FDD516" s="1502"/>
      <c r="FDE516" s="1502"/>
      <c r="FDF516" s="1502"/>
      <c r="FDG516" s="1502"/>
      <c r="FDH516" s="1502"/>
      <c r="FDI516" s="1502"/>
      <c r="FDJ516" s="1502"/>
      <c r="FDK516" s="1502"/>
      <c r="FDL516" s="1502"/>
      <c r="FDM516" s="1502"/>
      <c r="FDN516" s="1502"/>
      <c r="FDO516" s="1502"/>
      <c r="FDP516" s="1502"/>
      <c r="FDQ516" s="1502"/>
      <c r="FDR516" s="1502"/>
      <c r="FDS516" s="1502"/>
      <c r="FDT516" s="1502"/>
      <c r="FDU516" s="1502"/>
      <c r="FDV516" s="1502"/>
      <c r="FDW516" s="1502"/>
      <c r="FDX516" s="1502"/>
      <c r="FDY516" s="1502"/>
      <c r="FDZ516" s="1502"/>
      <c r="FEA516" s="1502"/>
      <c r="FEB516" s="1502"/>
      <c r="FEC516" s="1502"/>
      <c r="FED516" s="1502"/>
      <c r="FEE516" s="1502"/>
      <c r="FEF516" s="1502"/>
      <c r="FEG516" s="1502"/>
      <c r="FEH516" s="1502"/>
      <c r="FEI516" s="1502"/>
      <c r="FEJ516" s="1502"/>
      <c r="FEK516" s="1502"/>
      <c r="FEL516" s="1502"/>
      <c r="FEM516" s="1502"/>
      <c r="FEN516" s="1502"/>
      <c r="FEO516" s="1502"/>
      <c r="FEP516" s="1502"/>
      <c r="FEQ516" s="1502"/>
      <c r="FER516" s="1502"/>
      <c r="FES516" s="1502"/>
      <c r="FET516" s="1502"/>
      <c r="FEU516" s="1502"/>
      <c r="FEV516" s="1502"/>
      <c r="FEW516" s="1502"/>
      <c r="FEX516" s="1502"/>
      <c r="FEY516" s="1502"/>
      <c r="FEZ516" s="1502"/>
      <c r="FFA516" s="1502"/>
      <c r="FFB516" s="1502"/>
      <c r="FFC516" s="1502"/>
      <c r="FFD516" s="1502"/>
      <c r="FFE516" s="1502"/>
      <c r="FFF516" s="1502"/>
      <c r="FFG516" s="1502"/>
      <c r="FFH516" s="1502"/>
      <c r="FFI516" s="1502"/>
      <c r="FFJ516" s="1502"/>
      <c r="FFK516" s="1502"/>
      <c r="FFL516" s="1502"/>
      <c r="FFM516" s="1502"/>
      <c r="FFN516" s="1502"/>
      <c r="FFO516" s="1502"/>
      <c r="FFP516" s="1502"/>
      <c r="FFQ516" s="1502"/>
      <c r="FFR516" s="1502"/>
      <c r="FFS516" s="1502"/>
      <c r="FFT516" s="1502"/>
      <c r="FFU516" s="1502"/>
      <c r="FFV516" s="1502"/>
      <c r="FFW516" s="1502"/>
      <c r="FFX516" s="1502"/>
      <c r="FFY516" s="1502"/>
      <c r="FFZ516" s="1502"/>
      <c r="FGA516" s="1502"/>
      <c r="FGB516" s="1502"/>
      <c r="FGC516" s="1502"/>
      <c r="FGD516" s="1502"/>
      <c r="FGE516" s="1502"/>
      <c r="FGF516" s="1502"/>
      <c r="FGG516" s="1502"/>
      <c r="FGH516" s="1502"/>
      <c r="FGI516" s="1502"/>
      <c r="FGJ516" s="1502"/>
      <c r="FGK516" s="1502"/>
      <c r="FGL516" s="1502"/>
      <c r="FGM516" s="1502"/>
      <c r="FGN516" s="1502"/>
      <c r="FGO516" s="1502"/>
      <c r="FGP516" s="1502"/>
      <c r="FGQ516" s="1502"/>
      <c r="FGR516" s="1502"/>
      <c r="FGS516" s="1502"/>
      <c r="FGT516" s="1502"/>
      <c r="FGU516" s="1502"/>
      <c r="FGV516" s="1502"/>
      <c r="FGW516" s="1502"/>
      <c r="FGX516" s="1502"/>
      <c r="FGY516" s="1502"/>
      <c r="FGZ516" s="1502"/>
      <c r="FHA516" s="1502"/>
      <c r="FHB516" s="1502"/>
      <c r="FHC516" s="1502"/>
      <c r="FHD516" s="1502"/>
      <c r="FHE516" s="1502"/>
      <c r="FHF516" s="1502"/>
      <c r="FHG516" s="1502"/>
      <c r="FHH516" s="1502"/>
      <c r="FHI516" s="1502"/>
      <c r="FHJ516" s="1502"/>
      <c r="FHK516" s="1502"/>
      <c r="FHL516" s="1502"/>
      <c r="FHM516" s="1502"/>
      <c r="FHN516" s="1502"/>
      <c r="FHO516" s="1502"/>
      <c r="FHP516" s="1502"/>
      <c r="FHQ516" s="1502"/>
      <c r="FHR516" s="1502"/>
      <c r="FHS516" s="1502"/>
      <c r="FHT516" s="1502"/>
      <c r="FHU516" s="1502"/>
      <c r="FHV516" s="1502"/>
      <c r="FHW516" s="1502"/>
      <c r="FHX516" s="1502"/>
      <c r="FHY516" s="1502"/>
      <c r="FHZ516" s="1502"/>
      <c r="FIA516" s="1502"/>
      <c r="FIB516" s="1502"/>
      <c r="FIC516" s="1502"/>
      <c r="FID516" s="1502"/>
      <c r="FIE516" s="1502"/>
      <c r="FIF516" s="1502"/>
      <c r="FIG516" s="1502"/>
      <c r="FIH516" s="1502"/>
      <c r="FII516" s="1502"/>
      <c r="FIJ516" s="1502"/>
      <c r="FIK516" s="1502"/>
      <c r="FIL516" s="1502"/>
      <c r="FIM516" s="1502"/>
      <c r="FIN516" s="1502"/>
      <c r="FIO516" s="1502"/>
      <c r="FIP516" s="1502"/>
      <c r="FIQ516" s="1502"/>
      <c r="FIR516" s="1502"/>
      <c r="FIS516" s="1502"/>
      <c r="FIT516" s="1502"/>
      <c r="FIU516" s="1502"/>
      <c r="FIV516" s="1502"/>
      <c r="FIW516" s="1502"/>
      <c r="FIX516" s="1502"/>
      <c r="FIY516" s="1502"/>
      <c r="FIZ516" s="1502"/>
      <c r="FJA516" s="1502"/>
      <c r="FJB516" s="1502"/>
      <c r="FJC516" s="1502"/>
      <c r="FJD516" s="1502"/>
      <c r="FJE516" s="1502"/>
      <c r="FJF516" s="1502"/>
      <c r="FJG516" s="1502"/>
      <c r="FJH516" s="1502"/>
      <c r="FJI516" s="1502"/>
      <c r="FJJ516" s="1502"/>
      <c r="FJK516" s="1502"/>
      <c r="FJL516" s="1502"/>
      <c r="FJM516" s="1502"/>
      <c r="FJN516" s="1502"/>
      <c r="FJO516" s="1502"/>
      <c r="FJP516" s="1502"/>
      <c r="FJQ516" s="1502"/>
      <c r="FJR516" s="1502"/>
      <c r="FJS516" s="1502"/>
      <c r="FJT516" s="1502"/>
      <c r="FJU516" s="1502"/>
      <c r="FJV516" s="1502"/>
      <c r="FJW516" s="1502"/>
      <c r="FJX516" s="1502"/>
      <c r="FJY516" s="1502"/>
      <c r="FJZ516" s="1502"/>
      <c r="FKA516" s="1502"/>
      <c r="FKB516" s="1502"/>
      <c r="FKC516" s="1502"/>
      <c r="FKD516" s="1502"/>
      <c r="FKE516" s="1502"/>
      <c r="FKF516" s="1502"/>
      <c r="FKG516" s="1502"/>
      <c r="FKH516" s="1502"/>
      <c r="FKI516" s="1502"/>
      <c r="FKJ516" s="1502"/>
      <c r="FKK516" s="1502"/>
      <c r="FKL516" s="1502"/>
      <c r="FKM516" s="1502"/>
      <c r="FKN516" s="1502"/>
      <c r="FKO516" s="1502"/>
      <c r="FKP516" s="1502"/>
      <c r="FKQ516" s="1502"/>
      <c r="FKR516" s="1502"/>
      <c r="FKS516" s="1502"/>
      <c r="FKT516" s="1502"/>
      <c r="FKU516" s="1502"/>
      <c r="FKV516" s="1502"/>
      <c r="FKW516" s="1502"/>
      <c r="FKX516" s="1502"/>
      <c r="FKY516" s="1502"/>
      <c r="FKZ516" s="1502"/>
      <c r="FLA516" s="1502"/>
      <c r="FLB516" s="1502"/>
      <c r="FLC516" s="1502"/>
      <c r="FLD516" s="1502"/>
      <c r="FLE516" s="1502"/>
      <c r="FLF516" s="1502"/>
      <c r="FLG516" s="1502"/>
      <c r="FLH516" s="1502"/>
      <c r="FLI516" s="1502"/>
      <c r="FLJ516" s="1502"/>
      <c r="FLK516" s="1502"/>
      <c r="FLL516" s="1502"/>
      <c r="FLM516" s="1502"/>
      <c r="FLN516" s="1502"/>
      <c r="FLO516" s="1502"/>
      <c r="FLP516" s="1502"/>
      <c r="FLQ516" s="1502"/>
      <c r="FLR516" s="1502"/>
      <c r="FLS516" s="1502"/>
      <c r="FLT516" s="1502"/>
      <c r="FLU516" s="1502"/>
      <c r="FLV516" s="1502"/>
      <c r="FLW516" s="1502"/>
      <c r="FLX516" s="1502"/>
      <c r="FLY516" s="1502"/>
      <c r="FLZ516" s="1502"/>
      <c r="FMA516" s="1502"/>
      <c r="FMB516" s="1502"/>
      <c r="FMC516" s="1502"/>
      <c r="FMD516" s="1502"/>
      <c r="FME516" s="1502"/>
      <c r="FMF516" s="1502"/>
      <c r="FMG516" s="1502"/>
      <c r="FMH516" s="1502"/>
      <c r="FMI516" s="1502"/>
      <c r="FMJ516" s="1502"/>
      <c r="FMK516" s="1502"/>
      <c r="FML516" s="1502"/>
      <c r="FMM516" s="1502"/>
      <c r="FMN516" s="1502"/>
      <c r="FMO516" s="1502"/>
      <c r="FMP516" s="1502"/>
      <c r="FMQ516" s="1502"/>
      <c r="FMR516" s="1502"/>
      <c r="FMS516" s="1502"/>
      <c r="FMT516" s="1502"/>
      <c r="FMU516" s="1502"/>
      <c r="FMV516" s="1502"/>
      <c r="FMW516" s="1502"/>
      <c r="FMX516" s="1502"/>
      <c r="FMY516" s="1502"/>
      <c r="FMZ516" s="1502"/>
      <c r="FNA516" s="1502"/>
      <c r="FNB516" s="1502"/>
      <c r="FNC516" s="1502"/>
      <c r="FND516" s="1502"/>
      <c r="FNE516" s="1502"/>
      <c r="FNF516" s="1502"/>
      <c r="FNG516" s="1502"/>
      <c r="FNH516" s="1502"/>
      <c r="FNI516" s="1502"/>
      <c r="FNJ516" s="1502"/>
      <c r="FNK516" s="1502"/>
      <c r="FNL516" s="1502"/>
      <c r="FNM516" s="1502"/>
      <c r="FNN516" s="1502"/>
      <c r="FNO516" s="1502"/>
      <c r="FNP516" s="1502"/>
      <c r="FNQ516" s="1502"/>
      <c r="FNR516" s="1502"/>
      <c r="FNS516" s="1502"/>
      <c r="FNT516" s="1502"/>
      <c r="FNU516" s="1502"/>
      <c r="FNV516" s="1502"/>
      <c r="FNW516" s="1502"/>
      <c r="FNX516" s="1502"/>
      <c r="FNY516" s="1502"/>
      <c r="FNZ516" s="1502"/>
      <c r="FOA516" s="1502"/>
      <c r="FOB516" s="1502"/>
      <c r="FOC516" s="1502"/>
      <c r="FOD516" s="1502"/>
      <c r="FOE516" s="1502"/>
      <c r="FOF516" s="1502"/>
      <c r="FOG516" s="1502"/>
      <c r="FOH516" s="1502"/>
      <c r="FOI516" s="1502"/>
      <c r="FOJ516" s="1502"/>
      <c r="FOK516" s="1502"/>
      <c r="FOL516" s="1502"/>
      <c r="FOM516" s="1502"/>
      <c r="FON516" s="1502"/>
      <c r="FOO516" s="1502"/>
      <c r="FOP516" s="1502"/>
      <c r="FOQ516" s="1502"/>
      <c r="FOR516" s="1502"/>
      <c r="FOS516" s="1502"/>
      <c r="FOT516" s="1502"/>
      <c r="FOU516" s="1502"/>
      <c r="FOV516" s="1502"/>
      <c r="FOW516" s="1502"/>
      <c r="FOX516" s="1502"/>
      <c r="FOY516" s="1502"/>
      <c r="FOZ516" s="1502"/>
      <c r="FPA516" s="1502"/>
      <c r="FPB516" s="1502"/>
      <c r="FPC516" s="1502"/>
      <c r="FPD516" s="1502"/>
      <c r="FPE516" s="1502"/>
      <c r="FPF516" s="1502"/>
      <c r="FPG516" s="1502"/>
      <c r="FPH516" s="1502"/>
      <c r="FPI516" s="1502"/>
      <c r="FPJ516" s="1502"/>
      <c r="FPK516" s="1502"/>
      <c r="FPL516" s="1502"/>
      <c r="FPM516" s="1502"/>
      <c r="FPN516" s="1502"/>
      <c r="FPO516" s="1502"/>
      <c r="FPP516" s="1502"/>
      <c r="FPQ516" s="1502"/>
      <c r="FPR516" s="1502"/>
      <c r="FPS516" s="1502"/>
      <c r="FPT516" s="1502"/>
      <c r="FPU516" s="1502"/>
      <c r="FPV516" s="1502"/>
      <c r="FPW516" s="1502"/>
      <c r="FPX516" s="1502"/>
      <c r="FPY516" s="1502"/>
      <c r="FPZ516" s="1502"/>
      <c r="FQA516" s="1502"/>
      <c r="FQB516" s="1502"/>
      <c r="FQC516" s="1502"/>
      <c r="FQD516" s="1502"/>
      <c r="FQE516" s="1502"/>
      <c r="FQF516" s="1502"/>
      <c r="FQG516" s="1502"/>
      <c r="FQH516" s="1502"/>
      <c r="FQI516" s="1502"/>
      <c r="FQJ516" s="1502"/>
      <c r="FQK516" s="1502"/>
      <c r="FQL516" s="1502"/>
      <c r="FQM516" s="1502"/>
      <c r="FQN516" s="1502"/>
      <c r="FQO516" s="1502"/>
      <c r="FQP516" s="1502"/>
      <c r="FQQ516" s="1502"/>
      <c r="FQR516" s="1502"/>
      <c r="FQS516" s="1502"/>
      <c r="FQT516" s="1502"/>
      <c r="FQU516" s="1502"/>
      <c r="FQV516" s="1502"/>
      <c r="FQW516" s="1502"/>
      <c r="FQX516" s="1502"/>
      <c r="FQY516" s="1502"/>
      <c r="FQZ516" s="1502"/>
      <c r="FRA516" s="1502"/>
      <c r="FRB516" s="1502"/>
      <c r="FRC516" s="1502"/>
      <c r="FRD516" s="1502"/>
      <c r="FRE516" s="1502"/>
      <c r="FRF516" s="1502"/>
      <c r="FRG516" s="1502"/>
      <c r="FRH516" s="1502"/>
      <c r="FRI516" s="1502"/>
      <c r="FRJ516" s="1502"/>
      <c r="FRK516" s="1502"/>
      <c r="FRL516" s="1502"/>
      <c r="FRM516" s="1502"/>
      <c r="FRN516" s="1502"/>
      <c r="FRO516" s="1502"/>
      <c r="FRP516" s="1502"/>
      <c r="FRQ516" s="1502"/>
      <c r="FRR516" s="1502"/>
      <c r="FRS516" s="1502"/>
      <c r="FRT516" s="1502"/>
      <c r="FRU516" s="1502"/>
      <c r="FRV516" s="1502"/>
      <c r="FRW516" s="1502"/>
      <c r="FRX516" s="1502"/>
      <c r="FRY516" s="1502"/>
      <c r="FRZ516" s="1502"/>
      <c r="FSA516" s="1502"/>
      <c r="FSB516" s="1502"/>
      <c r="FSC516" s="1502"/>
      <c r="FSD516" s="1502"/>
      <c r="FSE516" s="1502"/>
      <c r="FSF516" s="1502"/>
      <c r="FSG516" s="1502"/>
      <c r="FSH516" s="1502"/>
      <c r="FSI516" s="1502"/>
      <c r="FSJ516" s="1502"/>
      <c r="FSK516" s="1502"/>
      <c r="FSL516" s="1502"/>
      <c r="FSM516" s="1502"/>
      <c r="FSN516" s="1502"/>
      <c r="FSO516" s="1502"/>
      <c r="FSP516" s="1502"/>
      <c r="FSQ516" s="1502"/>
      <c r="FSR516" s="1502"/>
      <c r="FSS516" s="1502"/>
      <c r="FST516" s="1502"/>
      <c r="FSU516" s="1502"/>
      <c r="FSV516" s="1502"/>
      <c r="FSW516" s="1502"/>
      <c r="FSX516" s="1502"/>
      <c r="FSY516" s="1502"/>
      <c r="FSZ516" s="1502"/>
      <c r="FTA516" s="1502"/>
      <c r="FTB516" s="1502"/>
      <c r="FTC516" s="1502"/>
      <c r="FTD516" s="1502"/>
      <c r="FTE516" s="1502"/>
      <c r="FTF516" s="1502"/>
      <c r="FTG516" s="1502"/>
      <c r="FTH516" s="1502"/>
      <c r="FTI516" s="1502"/>
      <c r="FTJ516" s="1502"/>
      <c r="FTK516" s="1502"/>
      <c r="FTL516" s="1502"/>
      <c r="FTM516" s="1502"/>
      <c r="FTN516" s="1502"/>
      <c r="FTO516" s="1502"/>
      <c r="FTP516" s="1502"/>
      <c r="FTQ516" s="1502"/>
      <c r="FTR516" s="1502"/>
      <c r="FTS516" s="1502"/>
      <c r="FTT516" s="1502"/>
      <c r="FTU516" s="1502"/>
      <c r="FTV516" s="1502"/>
      <c r="FTW516" s="1502"/>
      <c r="FTX516" s="1502"/>
      <c r="FTY516" s="1502"/>
      <c r="FTZ516" s="1502"/>
      <c r="FUA516" s="1502"/>
      <c r="FUB516" s="1502"/>
      <c r="FUC516" s="1502"/>
      <c r="FUD516" s="1502"/>
      <c r="FUE516" s="1502"/>
      <c r="FUF516" s="1502"/>
      <c r="FUG516" s="1502"/>
      <c r="FUH516" s="1502"/>
      <c r="FUI516" s="1502"/>
      <c r="FUJ516" s="1502"/>
      <c r="FUK516" s="1502"/>
      <c r="FUL516" s="1502"/>
      <c r="FUM516" s="1502"/>
      <c r="FUN516" s="1502"/>
      <c r="FUO516" s="1502"/>
      <c r="FUP516" s="1502"/>
      <c r="FUQ516" s="1502"/>
      <c r="FUR516" s="1502"/>
      <c r="FUS516" s="1502"/>
      <c r="FUT516" s="1502"/>
      <c r="FUU516" s="1502"/>
      <c r="FUV516" s="1502"/>
      <c r="FUW516" s="1502"/>
      <c r="FUX516" s="1502"/>
      <c r="FUY516" s="1502"/>
      <c r="FUZ516" s="1502"/>
      <c r="FVA516" s="1502"/>
      <c r="FVB516" s="1502"/>
      <c r="FVC516" s="1502"/>
      <c r="FVD516" s="1502"/>
      <c r="FVE516" s="1502"/>
      <c r="FVF516" s="1502"/>
      <c r="FVG516" s="1502"/>
      <c r="FVH516" s="1502"/>
      <c r="FVI516" s="1502"/>
      <c r="FVJ516" s="1502"/>
      <c r="FVK516" s="1502"/>
      <c r="FVL516" s="1502"/>
      <c r="FVM516" s="1502"/>
      <c r="FVN516" s="1502"/>
      <c r="FVO516" s="1502"/>
      <c r="FVP516" s="1502"/>
      <c r="FVQ516" s="1502"/>
      <c r="FVR516" s="1502"/>
      <c r="FVS516" s="1502"/>
      <c r="FVT516" s="1502"/>
      <c r="FVU516" s="1502"/>
      <c r="FVV516" s="1502"/>
      <c r="FVW516" s="1502"/>
      <c r="FVX516" s="1502"/>
      <c r="FVY516" s="1502"/>
      <c r="FVZ516" s="1502"/>
      <c r="FWA516" s="1502"/>
      <c r="FWB516" s="1502"/>
      <c r="FWC516" s="1502"/>
      <c r="FWD516" s="1502"/>
      <c r="FWE516" s="1502"/>
      <c r="FWF516" s="1502"/>
      <c r="FWG516" s="1502"/>
      <c r="FWH516" s="1502"/>
      <c r="FWI516" s="1502"/>
      <c r="FWJ516" s="1502"/>
      <c r="FWK516" s="1502"/>
      <c r="FWL516" s="1502"/>
      <c r="FWM516" s="1502"/>
      <c r="FWN516" s="1502"/>
      <c r="FWO516" s="1502"/>
      <c r="FWP516" s="1502"/>
      <c r="FWQ516" s="1502"/>
      <c r="FWR516" s="1502"/>
      <c r="FWS516" s="1502"/>
      <c r="FWT516" s="1502"/>
      <c r="FWU516" s="1502"/>
      <c r="FWV516" s="1502"/>
      <c r="FWW516" s="1502"/>
      <c r="FWX516" s="1502"/>
      <c r="FWY516" s="1502"/>
      <c r="FWZ516" s="1502"/>
      <c r="FXA516" s="1502"/>
      <c r="FXB516" s="1502"/>
      <c r="FXC516" s="1502"/>
      <c r="FXD516" s="1502"/>
      <c r="FXE516" s="1502"/>
      <c r="FXF516" s="1502"/>
      <c r="FXG516" s="1502"/>
      <c r="FXH516" s="1502"/>
      <c r="FXI516" s="1502"/>
      <c r="FXJ516" s="1502"/>
      <c r="FXK516" s="1502"/>
      <c r="FXL516" s="1502"/>
      <c r="FXM516" s="1502"/>
      <c r="FXN516" s="1502"/>
      <c r="FXO516" s="1502"/>
      <c r="FXP516" s="1502"/>
      <c r="FXQ516" s="1502"/>
      <c r="FXR516" s="1502"/>
      <c r="FXS516" s="1502"/>
      <c r="FXT516" s="1502"/>
      <c r="FXU516" s="1502"/>
      <c r="FXV516" s="1502"/>
      <c r="FXW516" s="1502"/>
      <c r="FXX516" s="1502"/>
      <c r="FXY516" s="1502"/>
      <c r="FXZ516" s="1502"/>
      <c r="FYA516" s="1502"/>
      <c r="FYB516" s="1502"/>
      <c r="FYC516" s="1502"/>
      <c r="FYD516" s="1502"/>
      <c r="FYE516" s="1502"/>
      <c r="FYF516" s="1502"/>
      <c r="FYG516" s="1502"/>
      <c r="FYH516" s="1502"/>
      <c r="FYI516" s="1502"/>
      <c r="FYJ516" s="1502"/>
      <c r="FYK516" s="1502"/>
      <c r="FYL516" s="1502"/>
      <c r="FYM516" s="1502"/>
      <c r="FYN516" s="1502"/>
      <c r="FYO516" s="1502"/>
      <c r="FYP516" s="1502"/>
      <c r="FYQ516" s="1502"/>
      <c r="FYR516" s="1502"/>
      <c r="FYS516" s="1502"/>
      <c r="FYT516" s="1502"/>
      <c r="FYU516" s="1502"/>
      <c r="FYV516" s="1502"/>
      <c r="FYW516" s="1502"/>
      <c r="FYX516" s="1502"/>
      <c r="FYY516" s="1502"/>
      <c r="FYZ516" s="1502"/>
      <c r="FZA516" s="1502"/>
      <c r="FZB516" s="1502"/>
      <c r="FZC516" s="1502"/>
      <c r="FZD516" s="1502"/>
      <c r="FZE516" s="1502"/>
      <c r="FZF516" s="1502"/>
      <c r="FZG516" s="1502"/>
      <c r="FZH516" s="1502"/>
      <c r="FZI516" s="1502"/>
      <c r="FZJ516" s="1502"/>
      <c r="FZK516" s="1502"/>
      <c r="FZL516" s="1502"/>
      <c r="FZM516" s="1502"/>
      <c r="FZN516" s="1502"/>
      <c r="FZO516" s="1502"/>
      <c r="FZP516" s="1502"/>
      <c r="FZQ516" s="1502"/>
      <c r="FZR516" s="1502"/>
      <c r="FZS516" s="1502"/>
      <c r="FZT516" s="1502"/>
      <c r="FZU516" s="1502"/>
      <c r="FZV516" s="1502"/>
      <c r="FZW516" s="1502"/>
      <c r="FZX516" s="1502"/>
      <c r="FZY516" s="1502"/>
      <c r="FZZ516" s="1502"/>
      <c r="GAA516" s="1502"/>
      <c r="GAB516" s="1502"/>
      <c r="GAC516" s="1502"/>
      <c r="GAD516" s="1502"/>
      <c r="GAE516" s="1502"/>
      <c r="GAF516" s="1502"/>
      <c r="GAG516" s="1502"/>
      <c r="GAH516" s="1502"/>
      <c r="GAI516" s="1502"/>
      <c r="GAJ516" s="1502"/>
      <c r="GAK516" s="1502"/>
      <c r="GAL516" s="1502"/>
      <c r="GAM516" s="1502"/>
      <c r="GAN516" s="1502"/>
      <c r="GAO516" s="1502"/>
      <c r="GAP516" s="1502"/>
      <c r="GAQ516" s="1502"/>
      <c r="GAR516" s="1502"/>
      <c r="GAS516" s="1502"/>
      <c r="GAT516" s="1502"/>
      <c r="GAU516" s="1502"/>
      <c r="GAV516" s="1502"/>
      <c r="GAW516" s="1502"/>
      <c r="GAX516" s="1502"/>
      <c r="GAY516" s="1502"/>
      <c r="GAZ516" s="1502"/>
      <c r="GBA516" s="1502"/>
      <c r="GBB516" s="1502"/>
      <c r="GBC516" s="1502"/>
      <c r="GBD516" s="1502"/>
      <c r="GBE516" s="1502"/>
      <c r="GBF516" s="1502"/>
      <c r="GBG516" s="1502"/>
      <c r="GBH516" s="1502"/>
      <c r="GBI516" s="1502"/>
      <c r="GBJ516" s="1502"/>
      <c r="GBK516" s="1502"/>
      <c r="GBL516" s="1502"/>
      <c r="GBM516" s="1502"/>
      <c r="GBN516" s="1502"/>
      <c r="GBO516" s="1502"/>
      <c r="GBP516" s="1502"/>
      <c r="GBQ516" s="1502"/>
      <c r="GBR516" s="1502"/>
      <c r="GBS516" s="1502"/>
      <c r="GBT516" s="1502"/>
      <c r="GBU516" s="1502"/>
      <c r="GBV516" s="1502"/>
      <c r="GBW516" s="1502"/>
      <c r="GBX516" s="1502"/>
      <c r="GBY516" s="1502"/>
      <c r="GBZ516" s="1502"/>
      <c r="GCA516" s="1502"/>
      <c r="GCB516" s="1502"/>
      <c r="GCC516" s="1502"/>
      <c r="GCD516" s="1502"/>
      <c r="GCE516" s="1502"/>
      <c r="GCF516" s="1502"/>
      <c r="GCG516" s="1502"/>
      <c r="GCH516" s="1502"/>
      <c r="GCI516" s="1502"/>
      <c r="GCJ516" s="1502"/>
      <c r="GCK516" s="1502"/>
      <c r="GCL516" s="1502"/>
      <c r="GCM516" s="1502"/>
      <c r="GCN516" s="1502"/>
      <c r="GCO516" s="1502"/>
      <c r="GCP516" s="1502"/>
      <c r="GCQ516" s="1502"/>
      <c r="GCR516" s="1502"/>
      <c r="GCS516" s="1502"/>
      <c r="GCT516" s="1502"/>
      <c r="GCU516" s="1502"/>
      <c r="GCV516" s="1502"/>
      <c r="GCW516" s="1502"/>
      <c r="GCX516" s="1502"/>
      <c r="GCY516" s="1502"/>
      <c r="GCZ516" s="1502"/>
      <c r="GDA516" s="1502"/>
      <c r="GDB516" s="1502"/>
      <c r="GDC516" s="1502"/>
      <c r="GDD516" s="1502"/>
      <c r="GDE516" s="1502"/>
      <c r="GDF516" s="1502"/>
      <c r="GDG516" s="1502"/>
      <c r="GDH516" s="1502"/>
      <c r="GDI516" s="1502"/>
      <c r="GDJ516" s="1502"/>
      <c r="GDK516" s="1502"/>
      <c r="GDL516" s="1502"/>
      <c r="GDM516" s="1502"/>
      <c r="GDN516" s="1502"/>
      <c r="GDO516" s="1502"/>
      <c r="GDP516" s="1502"/>
      <c r="GDQ516" s="1502"/>
      <c r="GDR516" s="1502"/>
      <c r="GDS516" s="1502"/>
      <c r="GDT516" s="1502"/>
      <c r="GDU516" s="1502"/>
      <c r="GDV516" s="1502"/>
      <c r="GDW516" s="1502"/>
      <c r="GDX516" s="1502"/>
      <c r="GDY516" s="1502"/>
      <c r="GDZ516" s="1502"/>
      <c r="GEA516" s="1502"/>
      <c r="GEB516" s="1502"/>
      <c r="GEC516" s="1502"/>
      <c r="GED516" s="1502"/>
      <c r="GEE516" s="1502"/>
      <c r="GEF516" s="1502"/>
      <c r="GEG516" s="1502"/>
      <c r="GEH516" s="1502"/>
      <c r="GEI516" s="1502"/>
      <c r="GEJ516" s="1502"/>
      <c r="GEK516" s="1502"/>
      <c r="GEL516" s="1502"/>
      <c r="GEM516" s="1502"/>
      <c r="GEN516" s="1502"/>
      <c r="GEO516" s="1502"/>
      <c r="GEP516" s="1502"/>
      <c r="GEQ516" s="1502"/>
      <c r="GER516" s="1502"/>
      <c r="GES516" s="1502"/>
      <c r="GET516" s="1502"/>
      <c r="GEU516" s="1502"/>
      <c r="GEV516" s="1502"/>
      <c r="GEW516" s="1502"/>
      <c r="GEX516" s="1502"/>
      <c r="GEY516" s="1502"/>
      <c r="GEZ516" s="1502"/>
      <c r="GFA516" s="1502"/>
      <c r="GFB516" s="1502"/>
      <c r="GFC516" s="1502"/>
      <c r="GFD516" s="1502"/>
      <c r="GFE516" s="1502"/>
      <c r="GFF516" s="1502"/>
      <c r="GFG516" s="1502"/>
      <c r="GFH516" s="1502"/>
      <c r="GFI516" s="1502"/>
      <c r="GFJ516" s="1502"/>
      <c r="GFK516" s="1502"/>
      <c r="GFL516" s="1502"/>
      <c r="GFM516" s="1502"/>
      <c r="GFN516" s="1502"/>
      <c r="GFO516" s="1502"/>
      <c r="GFP516" s="1502"/>
      <c r="GFQ516" s="1502"/>
      <c r="GFR516" s="1502"/>
      <c r="GFS516" s="1502"/>
      <c r="GFT516" s="1502"/>
      <c r="GFU516" s="1502"/>
      <c r="GFV516" s="1502"/>
      <c r="GFW516" s="1502"/>
      <c r="GFX516" s="1502"/>
      <c r="GFY516" s="1502"/>
      <c r="GFZ516" s="1502"/>
      <c r="GGA516" s="1502"/>
      <c r="GGB516" s="1502"/>
      <c r="GGC516" s="1502"/>
      <c r="GGD516" s="1502"/>
      <c r="GGE516" s="1502"/>
      <c r="GGF516" s="1502"/>
      <c r="GGG516" s="1502"/>
      <c r="GGH516" s="1502"/>
      <c r="GGI516" s="1502"/>
      <c r="GGJ516" s="1502"/>
      <c r="GGK516" s="1502"/>
      <c r="GGL516" s="1502"/>
      <c r="GGM516" s="1502"/>
      <c r="GGN516" s="1502"/>
      <c r="GGO516" s="1502"/>
      <c r="GGP516" s="1502"/>
      <c r="GGQ516" s="1502"/>
      <c r="GGR516" s="1502"/>
      <c r="GGS516" s="1502"/>
      <c r="GGT516" s="1502"/>
      <c r="GGU516" s="1502"/>
      <c r="GGV516" s="1502"/>
      <c r="GGW516" s="1502"/>
      <c r="GGX516" s="1502"/>
      <c r="GGY516" s="1502"/>
      <c r="GGZ516" s="1502"/>
      <c r="GHA516" s="1502"/>
      <c r="GHB516" s="1502"/>
      <c r="GHC516" s="1502"/>
      <c r="GHD516" s="1502"/>
      <c r="GHE516" s="1502"/>
      <c r="GHF516" s="1502"/>
      <c r="GHG516" s="1502"/>
      <c r="GHH516" s="1502"/>
      <c r="GHI516" s="1502"/>
      <c r="GHJ516" s="1502"/>
      <c r="GHK516" s="1502"/>
      <c r="GHL516" s="1502"/>
      <c r="GHM516" s="1502"/>
      <c r="GHN516" s="1502"/>
      <c r="GHO516" s="1502"/>
      <c r="GHP516" s="1502"/>
      <c r="GHQ516" s="1502"/>
      <c r="GHR516" s="1502"/>
      <c r="GHS516" s="1502"/>
      <c r="GHT516" s="1502"/>
      <c r="GHU516" s="1502"/>
      <c r="GHV516" s="1502"/>
      <c r="GHW516" s="1502"/>
      <c r="GHX516" s="1502"/>
      <c r="GHY516" s="1502"/>
      <c r="GHZ516" s="1502"/>
      <c r="GIA516" s="1502"/>
      <c r="GIB516" s="1502"/>
      <c r="GIC516" s="1502"/>
      <c r="GID516" s="1502"/>
      <c r="GIE516" s="1502"/>
      <c r="GIF516" s="1502"/>
      <c r="GIG516" s="1502"/>
      <c r="GIH516" s="1502"/>
      <c r="GII516" s="1502"/>
      <c r="GIJ516" s="1502"/>
      <c r="GIK516" s="1502"/>
      <c r="GIL516" s="1502"/>
      <c r="GIM516" s="1502"/>
      <c r="GIN516" s="1502"/>
      <c r="GIO516" s="1502"/>
      <c r="GIP516" s="1502"/>
      <c r="GIQ516" s="1502"/>
      <c r="GIR516" s="1502"/>
      <c r="GIS516" s="1502"/>
      <c r="GIT516" s="1502"/>
      <c r="GIU516" s="1502"/>
      <c r="GIV516" s="1502"/>
      <c r="GIW516" s="1502"/>
      <c r="GIX516" s="1502"/>
      <c r="GIY516" s="1502"/>
      <c r="GIZ516" s="1502"/>
      <c r="GJA516" s="1502"/>
      <c r="GJB516" s="1502"/>
      <c r="GJC516" s="1502"/>
      <c r="GJD516" s="1502"/>
      <c r="GJE516" s="1502"/>
      <c r="GJF516" s="1502"/>
      <c r="GJG516" s="1502"/>
      <c r="GJH516" s="1502"/>
      <c r="GJI516" s="1502"/>
      <c r="GJJ516" s="1502"/>
      <c r="GJK516" s="1502"/>
      <c r="GJL516" s="1502"/>
      <c r="GJM516" s="1502"/>
      <c r="GJN516" s="1502"/>
      <c r="GJO516" s="1502"/>
      <c r="GJP516" s="1502"/>
      <c r="GJQ516" s="1502"/>
      <c r="GJR516" s="1502"/>
      <c r="GJS516" s="1502"/>
      <c r="GJT516" s="1502"/>
      <c r="GJU516" s="1502"/>
      <c r="GJV516" s="1502"/>
      <c r="GJW516" s="1502"/>
      <c r="GJX516" s="1502"/>
      <c r="GJY516" s="1502"/>
      <c r="GJZ516" s="1502"/>
      <c r="GKA516" s="1502"/>
      <c r="GKB516" s="1502"/>
      <c r="GKC516" s="1502"/>
      <c r="GKD516" s="1502"/>
      <c r="GKE516" s="1502"/>
      <c r="GKF516" s="1502"/>
      <c r="GKG516" s="1502"/>
      <c r="GKH516" s="1502"/>
      <c r="GKI516" s="1502"/>
      <c r="GKJ516" s="1502"/>
      <c r="GKK516" s="1502"/>
      <c r="GKL516" s="1502"/>
      <c r="GKM516" s="1502"/>
      <c r="GKN516" s="1502"/>
      <c r="GKO516" s="1502"/>
      <c r="GKP516" s="1502"/>
      <c r="GKQ516" s="1502"/>
      <c r="GKR516" s="1502"/>
      <c r="GKS516" s="1502"/>
      <c r="GKT516" s="1502"/>
      <c r="GKU516" s="1502"/>
      <c r="GKV516" s="1502"/>
      <c r="GKW516" s="1502"/>
      <c r="GKX516" s="1502"/>
      <c r="GKY516" s="1502"/>
      <c r="GKZ516" s="1502"/>
      <c r="GLA516" s="1502"/>
      <c r="GLB516" s="1502"/>
      <c r="GLC516" s="1502"/>
      <c r="GLD516" s="1502"/>
      <c r="GLE516" s="1502"/>
      <c r="GLF516" s="1502"/>
      <c r="GLG516" s="1502"/>
      <c r="GLH516" s="1502"/>
      <c r="GLI516" s="1502"/>
      <c r="GLJ516" s="1502"/>
      <c r="GLK516" s="1502"/>
      <c r="GLL516" s="1502"/>
      <c r="GLM516" s="1502"/>
      <c r="GLN516" s="1502"/>
      <c r="GLO516" s="1502"/>
      <c r="GLP516" s="1502"/>
      <c r="GLQ516" s="1502"/>
      <c r="GLR516" s="1502"/>
      <c r="GLS516" s="1502"/>
      <c r="GLT516" s="1502"/>
      <c r="GLU516" s="1502"/>
      <c r="GLV516" s="1502"/>
      <c r="GLW516" s="1502"/>
      <c r="GLX516" s="1502"/>
      <c r="GLY516" s="1502"/>
      <c r="GLZ516" s="1502"/>
      <c r="GMA516" s="1502"/>
      <c r="GMB516" s="1502"/>
      <c r="GMC516" s="1502"/>
      <c r="GMD516" s="1502"/>
      <c r="GME516" s="1502"/>
      <c r="GMF516" s="1502"/>
      <c r="GMG516" s="1502"/>
      <c r="GMH516" s="1502"/>
      <c r="GMI516" s="1502"/>
      <c r="GMJ516" s="1502"/>
      <c r="GMK516" s="1502"/>
      <c r="GML516" s="1502"/>
      <c r="GMM516" s="1502"/>
      <c r="GMN516" s="1502"/>
      <c r="GMO516" s="1502"/>
      <c r="GMP516" s="1502"/>
      <c r="GMQ516" s="1502"/>
      <c r="GMR516" s="1502"/>
      <c r="GMS516" s="1502"/>
      <c r="GMT516" s="1502"/>
      <c r="GMU516" s="1502"/>
      <c r="GMV516" s="1502"/>
      <c r="GMW516" s="1502"/>
      <c r="GMX516" s="1502"/>
      <c r="GMY516" s="1502"/>
      <c r="GMZ516" s="1502"/>
      <c r="GNA516" s="1502"/>
      <c r="GNB516" s="1502"/>
      <c r="GNC516" s="1502"/>
      <c r="GND516" s="1502"/>
      <c r="GNE516" s="1502"/>
      <c r="GNF516" s="1502"/>
      <c r="GNG516" s="1502"/>
      <c r="GNH516" s="1502"/>
      <c r="GNI516" s="1502"/>
      <c r="GNJ516" s="1502"/>
      <c r="GNK516" s="1502"/>
      <c r="GNL516" s="1502"/>
      <c r="GNM516" s="1502"/>
      <c r="GNN516" s="1502"/>
      <c r="GNO516" s="1502"/>
      <c r="GNP516" s="1502"/>
      <c r="GNQ516" s="1502"/>
      <c r="GNR516" s="1502"/>
      <c r="GNS516" s="1502"/>
      <c r="GNT516" s="1502"/>
      <c r="GNU516" s="1502"/>
      <c r="GNV516" s="1502"/>
      <c r="GNW516" s="1502"/>
      <c r="GNX516" s="1502"/>
      <c r="GNY516" s="1502"/>
      <c r="GNZ516" s="1502"/>
      <c r="GOA516" s="1502"/>
      <c r="GOB516" s="1502"/>
      <c r="GOC516" s="1502"/>
      <c r="GOD516" s="1502"/>
      <c r="GOE516" s="1502"/>
      <c r="GOF516" s="1502"/>
      <c r="GOG516" s="1502"/>
      <c r="GOH516" s="1502"/>
      <c r="GOI516" s="1502"/>
      <c r="GOJ516" s="1502"/>
      <c r="GOK516" s="1502"/>
      <c r="GOL516" s="1502"/>
      <c r="GOM516" s="1502"/>
      <c r="GON516" s="1502"/>
      <c r="GOO516" s="1502"/>
      <c r="GOP516" s="1502"/>
      <c r="GOQ516" s="1502"/>
      <c r="GOR516" s="1502"/>
      <c r="GOS516" s="1502"/>
      <c r="GOT516" s="1502"/>
      <c r="GOU516" s="1502"/>
      <c r="GOV516" s="1502"/>
      <c r="GOW516" s="1502"/>
      <c r="GOX516" s="1502"/>
      <c r="GOY516" s="1502"/>
      <c r="GOZ516" s="1502"/>
      <c r="GPA516" s="1502"/>
      <c r="GPB516" s="1502"/>
      <c r="GPC516" s="1502"/>
      <c r="GPD516" s="1502"/>
      <c r="GPE516" s="1502"/>
      <c r="GPF516" s="1502"/>
      <c r="GPG516" s="1502"/>
      <c r="GPH516" s="1502"/>
      <c r="GPI516" s="1502"/>
      <c r="GPJ516" s="1502"/>
      <c r="GPK516" s="1502"/>
      <c r="GPL516" s="1502"/>
      <c r="GPM516" s="1502"/>
      <c r="GPN516" s="1502"/>
      <c r="GPO516" s="1502"/>
      <c r="GPP516" s="1502"/>
      <c r="GPQ516" s="1502"/>
      <c r="GPR516" s="1502"/>
      <c r="GPS516" s="1502"/>
      <c r="GPT516" s="1502"/>
      <c r="GPU516" s="1502"/>
      <c r="GPV516" s="1502"/>
      <c r="GPW516" s="1502"/>
      <c r="GPX516" s="1502"/>
      <c r="GPY516" s="1502"/>
      <c r="GPZ516" s="1502"/>
      <c r="GQA516" s="1502"/>
      <c r="GQB516" s="1502"/>
      <c r="GQC516" s="1502"/>
      <c r="GQD516" s="1502"/>
      <c r="GQE516" s="1502"/>
      <c r="GQF516" s="1502"/>
      <c r="GQG516" s="1502"/>
      <c r="GQH516" s="1502"/>
      <c r="GQI516" s="1502"/>
      <c r="GQJ516" s="1502"/>
      <c r="GQK516" s="1502"/>
      <c r="GQL516" s="1502"/>
      <c r="GQM516" s="1502"/>
      <c r="GQN516" s="1502"/>
      <c r="GQO516" s="1502"/>
      <c r="GQP516" s="1502"/>
      <c r="GQQ516" s="1502"/>
      <c r="GQR516" s="1502"/>
      <c r="GQS516" s="1502"/>
      <c r="GQT516" s="1502"/>
      <c r="GQU516" s="1502"/>
      <c r="GQV516" s="1502"/>
      <c r="GQW516" s="1502"/>
      <c r="GQX516" s="1502"/>
      <c r="GQY516" s="1502"/>
      <c r="GQZ516" s="1502"/>
      <c r="GRA516" s="1502"/>
      <c r="GRB516" s="1502"/>
      <c r="GRC516" s="1502"/>
      <c r="GRD516" s="1502"/>
      <c r="GRE516" s="1502"/>
      <c r="GRF516" s="1502"/>
      <c r="GRG516" s="1502"/>
      <c r="GRH516" s="1502"/>
      <c r="GRI516" s="1502"/>
      <c r="GRJ516" s="1502"/>
      <c r="GRK516" s="1502"/>
      <c r="GRL516" s="1502"/>
      <c r="GRM516" s="1502"/>
      <c r="GRN516" s="1502"/>
      <c r="GRO516" s="1502"/>
      <c r="GRP516" s="1502"/>
      <c r="GRQ516" s="1502"/>
      <c r="GRR516" s="1502"/>
      <c r="GRS516" s="1502"/>
      <c r="GRT516" s="1502"/>
      <c r="GRU516" s="1502"/>
      <c r="GRV516" s="1502"/>
      <c r="GRW516" s="1502"/>
      <c r="GRX516" s="1502"/>
      <c r="GRY516" s="1502"/>
      <c r="GRZ516" s="1502"/>
      <c r="GSA516" s="1502"/>
      <c r="GSB516" s="1502"/>
      <c r="GSC516" s="1502"/>
      <c r="GSD516" s="1502"/>
      <c r="GSE516" s="1502"/>
      <c r="GSF516" s="1502"/>
      <c r="GSG516" s="1502"/>
      <c r="GSH516" s="1502"/>
      <c r="GSI516" s="1502"/>
      <c r="GSJ516" s="1502"/>
      <c r="GSK516" s="1502"/>
      <c r="GSL516" s="1502"/>
      <c r="GSM516" s="1502"/>
      <c r="GSN516" s="1502"/>
      <c r="GSO516" s="1502"/>
      <c r="GSP516" s="1502"/>
      <c r="GSQ516" s="1502"/>
      <c r="GSR516" s="1502"/>
      <c r="GSS516" s="1502"/>
      <c r="GST516" s="1502"/>
      <c r="GSU516" s="1502"/>
      <c r="GSV516" s="1502"/>
      <c r="GSW516" s="1502"/>
      <c r="GSX516" s="1502"/>
      <c r="GSY516" s="1502"/>
      <c r="GSZ516" s="1502"/>
      <c r="GTA516" s="1502"/>
      <c r="GTB516" s="1502"/>
      <c r="GTC516" s="1502"/>
      <c r="GTD516" s="1502"/>
      <c r="GTE516" s="1502"/>
      <c r="GTF516" s="1502"/>
      <c r="GTG516" s="1502"/>
      <c r="GTH516" s="1502"/>
      <c r="GTI516" s="1502"/>
      <c r="GTJ516" s="1502"/>
      <c r="GTK516" s="1502"/>
      <c r="GTL516" s="1502"/>
      <c r="GTM516" s="1502"/>
      <c r="GTN516" s="1502"/>
      <c r="GTO516" s="1502"/>
      <c r="GTP516" s="1502"/>
      <c r="GTQ516" s="1502"/>
      <c r="GTR516" s="1502"/>
      <c r="GTS516" s="1502"/>
      <c r="GTT516" s="1502"/>
      <c r="GTU516" s="1502"/>
      <c r="GTV516" s="1502"/>
      <c r="GTW516" s="1502"/>
      <c r="GTX516" s="1502"/>
      <c r="GTY516" s="1502"/>
      <c r="GTZ516" s="1502"/>
      <c r="GUA516" s="1502"/>
      <c r="GUB516" s="1502"/>
      <c r="GUC516" s="1502"/>
      <c r="GUD516" s="1502"/>
      <c r="GUE516" s="1502"/>
      <c r="GUF516" s="1502"/>
      <c r="GUG516" s="1502"/>
      <c r="GUH516" s="1502"/>
      <c r="GUI516" s="1502"/>
      <c r="GUJ516" s="1502"/>
      <c r="GUK516" s="1502"/>
      <c r="GUL516" s="1502"/>
      <c r="GUM516" s="1502"/>
      <c r="GUN516" s="1502"/>
      <c r="GUO516" s="1502"/>
      <c r="GUP516" s="1502"/>
      <c r="GUQ516" s="1502"/>
      <c r="GUR516" s="1502"/>
      <c r="GUS516" s="1502"/>
      <c r="GUT516" s="1502"/>
      <c r="GUU516" s="1502"/>
      <c r="GUV516" s="1502"/>
      <c r="GUW516" s="1502"/>
      <c r="GUX516" s="1502"/>
      <c r="GUY516" s="1502"/>
      <c r="GUZ516" s="1502"/>
      <c r="GVA516" s="1502"/>
      <c r="GVB516" s="1502"/>
      <c r="GVC516" s="1502"/>
      <c r="GVD516" s="1502"/>
      <c r="GVE516" s="1502"/>
      <c r="GVF516" s="1502"/>
      <c r="GVG516" s="1502"/>
      <c r="GVH516" s="1502"/>
      <c r="GVI516" s="1502"/>
      <c r="GVJ516" s="1502"/>
      <c r="GVK516" s="1502"/>
      <c r="GVL516" s="1502"/>
      <c r="GVM516" s="1502"/>
      <c r="GVN516" s="1502"/>
      <c r="GVO516" s="1502"/>
      <c r="GVP516" s="1502"/>
      <c r="GVQ516" s="1502"/>
      <c r="GVR516" s="1502"/>
      <c r="GVS516" s="1502"/>
      <c r="GVT516" s="1502"/>
      <c r="GVU516" s="1502"/>
      <c r="GVV516" s="1502"/>
      <c r="GVW516" s="1502"/>
      <c r="GVX516" s="1502"/>
      <c r="GVY516" s="1502"/>
      <c r="GVZ516" s="1502"/>
      <c r="GWA516" s="1502"/>
      <c r="GWB516" s="1502"/>
      <c r="GWC516" s="1502"/>
      <c r="GWD516" s="1502"/>
      <c r="GWE516" s="1502"/>
      <c r="GWF516" s="1502"/>
      <c r="GWG516" s="1502"/>
      <c r="GWH516" s="1502"/>
      <c r="GWI516" s="1502"/>
      <c r="GWJ516" s="1502"/>
      <c r="GWK516" s="1502"/>
      <c r="GWL516" s="1502"/>
      <c r="GWM516" s="1502"/>
      <c r="GWN516" s="1502"/>
      <c r="GWO516" s="1502"/>
      <c r="GWP516" s="1502"/>
      <c r="GWQ516" s="1502"/>
      <c r="GWR516" s="1502"/>
      <c r="GWS516" s="1502"/>
      <c r="GWT516" s="1502"/>
      <c r="GWU516" s="1502"/>
      <c r="GWV516" s="1502"/>
      <c r="GWW516" s="1502"/>
      <c r="GWX516" s="1502"/>
      <c r="GWY516" s="1502"/>
      <c r="GWZ516" s="1502"/>
      <c r="GXA516" s="1502"/>
      <c r="GXB516" s="1502"/>
      <c r="GXC516" s="1502"/>
      <c r="GXD516" s="1502"/>
      <c r="GXE516" s="1502"/>
      <c r="GXF516" s="1502"/>
      <c r="GXG516" s="1502"/>
      <c r="GXH516" s="1502"/>
      <c r="GXI516" s="1502"/>
      <c r="GXJ516" s="1502"/>
      <c r="GXK516" s="1502"/>
      <c r="GXL516" s="1502"/>
      <c r="GXM516" s="1502"/>
      <c r="GXN516" s="1502"/>
      <c r="GXO516" s="1502"/>
      <c r="GXP516" s="1502"/>
      <c r="GXQ516" s="1502"/>
      <c r="GXR516" s="1502"/>
      <c r="GXS516" s="1502"/>
      <c r="GXT516" s="1502"/>
      <c r="GXU516" s="1502"/>
      <c r="GXV516" s="1502"/>
      <c r="GXW516" s="1502"/>
      <c r="GXX516" s="1502"/>
      <c r="GXY516" s="1502"/>
      <c r="GXZ516" s="1502"/>
      <c r="GYA516" s="1502"/>
      <c r="GYB516" s="1502"/>
      <c r="GYC516" s="1502"/>
      <c r="GYD516" s="1502"/>
      <c r="GYE516" s="1502"/>
      <c r="GYF516" s="1502"/>
      <c r="GYG516" s="1502"/>
      <c r="GYH516" s="1502"/>
      <c r="GYI516" s="1502"/>
      <c r="GYJ516" s="1502"/>
      <c r="GYK516" s="1502"/>
      <c r="GYL516" s="1502"/>
      <c r="GYM516" s="1502"/>
      <c r="GYN516" s="1502"/>
      <c r="GYO516" s="1502"/>
      <c r="GYP516" s="1502"/>
      <c r="GYQ516" s="1502"/>
      <c r="GYR516" s="1502"/>
      <c r="GYS516" s="1502"/>
      <c r="GYT516" s="1502"/>
      <c r="GYU516" s="1502"/>
      <c r="GYV516" s="1502"/>
      <c r="GYW516" s="1502"/>
      <c r="GYX516" s="1502"/>
      <c r="GYY516" s="1502"/>
      <c r="GYZ516" s="1502"/>
      <c r="GZA516" s="1502"/>
      <c r="GZB516" s="1502"/>
      <c r="GZC516" s="1502"/>
      <c r="GZD516" s="1502"/>
      <c r="GZE516" s="1502"/>
      <c r="GZF516" s="1502"/>
      <c r="GZG516" s="1502"/>
      <c r="GZH516" s="1502"/>
      <c r="GZI516" s="1502"/>
      <c r="GZJ516" s="1502"/>
      <c r="GZK516" s="1502"/>
      <c r="GZL516" s="1502"/>
      <c r="GZM516" s="1502"/>
      <c r="GZN516" s="1502"/>
      <c r="GZO516" s="1502"/>
      <c r="GZP516" s="1502"/>
      <c r="GZQ516" s="1502"/>
      <c r="GZR516" s="1502"/>
      <c r="GZS516" s="1502"/>
      <c r="GZT516" s="1502"/>
      <c r="GZU516" s="1502"/>
      <c r="GZV516" s="1502"/>
      <c r="GZW516" s="1502"/>
      <c r="GZX516" s="1502"/>
      <c r="GZY516" s="1502"/>
      <c r="GZZ516" s="1502"/>
      <c r="HAA516" s="1502"/>
      <c r="HAB516" s="1502"/>
      <c r="HAC516" s="1502"/>
      <c r="HAD516" s="1502"/>
      <c r="HAE516" s="1502"/>
      <c r="HAF516" s="1502"/>
      <c r="HAG516" s="1502"/>
      <c r="HAH516" s="1502"/>
      <c r="HAI516" s="1502"/>
      <c r="HAJ516" s="1502"/>
      <c r="HAK516" s="1502"/>
      <c r="HAL516" s="1502"/>
      <c r="HAM516" s="1502"/>
      <c r="HAN516" s="1502"/>
      <c r="HAO516" s="1502"/>
      <c r="HAP516" s="1502"/>
      <c r="HAQ516" s="1502"/>
      <c r="HAR516" s="1502"/>
      <c r="HAS516" s="1502"/>
      <c r="HAT516" s="1502"/>
      <c r="HAU516" s="1502"/>
      <c r="HAV516" s="1502"/>
      <c r="HAW516" s="1502"/>
      <c r="HAX516" s="1502"/>
      <c r="HAY516" s="1502"/>
      <c r="HAZ516" s="1502"/>
      <c r="HBA516" s="1502"/>
      <c r="HBB516" s="1502"/>
      <c r="HBC516" s="1502"/>
      <c r="HBD516" s="1502"/>
      <c r="HBE516" s="1502"/>
      <c r="HBF516" s="1502"/>
      <c r="HBG516" s="1502"/>
      <c r="HBH516" s="1502"/>
      <c r="HBI516" s="1502"/>
      <c r="HBJ516" s="1502"/>
      <c r="HBK516" s="1502"/>
      <c r="HBL516" s="1502"/>
      <c r="HBM516" s="1502"/>
      <c r="HBN516" s="1502"/>
      <c r="HBO516" s="1502"/>
      <c r="HBP516" s="1502"/>
      <c r="HBQ516" s="1502"/>
      <c r="HBR516" s="1502"/>
      <c r="HBS516" s="1502"/>
      <c r="HBT516" s="1502"/>
      <c r="HBU516" s="1502"/>
      <c r="HBV516" s="1502"/>
      <c r="HBW516" s="1502"/>
      <c r="HBX516" s="1502"/>
      <c r="HBY516" s="1502"/>
      <c r="HBZ516" s="1502"/>
      <c r="HCA516" s="1502"/>
      <c r="HCB516" s="1502"/>
      <c r="HCC516" s="1502"/>
      <c r="HCD516" s="1502"/>
      <c r="HCE516" s="1502"/>
      <c r="HCF516" s="1502"/>
      <c r="HCG516" s="1502"/>
      <c r="HCH516" s="1502"/>
      <c r="HCI516" s="1502"/>
      <c r="HCJ516" s="1502"/>
      <c r="HCK516" s="1502"/>
      <c r="HCL516" s="1502"/>
      <c r="HCM516" s="1502"/>
      <c r="HCN516" s="1502"/>
      <c r="HCO516" s="1502"/>
      <c r="HCP516" s="1502"/>
      <c r="HCQ516" s="1502"/>
      <c r="HCR516" s="1502"/>
      <c r="HCS516" s="1502"/>
      <c r="HCT516" s="1502"/>
      <c r="HCU516" s="1502"/>
      <c r="HCV516" s="1502"/>
      <c r="HCW516" s="1502"/>
      <c r="HCX516" s="1502"/>
      <c r="HCY516" s="1502"/>
      <c r="HCZ516" s="1502"/>
      <c r="HDA516" s="1502"/>
      <c r="HDB516" s="1502"/>
      <c r="HDC516" s="1502"/>
      <c r="HDD516" s="1502"/>
      <c r="HDE516" s="1502"/>
      <c r="HDF516" s="1502"/>
      <c r="HDG516" s="1502"/>
      <c r="HDH516" s="1502"/>
      <c r="HDI516" s="1502"/>
      <c r="HDJ516" s="1502"/>
      <c r="HDK516" s="1502"/>
      <c r="HDL516" s="1502"/>
      <c r="HDM516" s="1502"/>
      <c r="HDN516" s="1502"/>
      <c r="HDO516" s="1502"/>
      <c r="HDP516" s="1502"/>
      <c r="HDQ516" s="1502"/>
      <c r="HDR516" s="1502"/>
      <c r="HDS516" s="1502"/>
      <c r="HDT516" s="1502"/>
      <c r="HDU516" s="1502"/>
      <c r="HDV516" s="1502"/>
      <c r="HDW516" s="1502"/>
      <c r="HDX516" s="1502"/>
      <c r="HDY516" s="1502"/>
      <c r="HDZ516" s="1502"/>
      <c r="HEA516" s="1502"/>
      <c r="HEB516" s="1502"/>
      <c r="HEC516" s="1502"/>
      <c r="HED516" s="1502"/>
      <c r="HEE516" s="1502"/>
      <c r="HEF516" s="1502"/>
      <c r="HEG516" s="1502"/>
      <c r="HEH516" s="1502"/>
      <c r="HEI516" s="1502"/>
      <c r="HEJ516" s="1502"/>
      <c r="HEK516" s="1502"/>
      <c r="HEL516" s="1502"/>
      <c r="HEM516" s="1502"/>
      <c r="HEN516" s="1502"/>
      <c r="HEO516" s="1502"/>
      <c r="HEP516" s="1502"/>
      <c r="HEQ516" s="1502"/>
      <c r="HER516" s="1502"/>
      <c r="HES516" s="1502"/>
      <c r="HET516" s="1502"/>
      <c r="HEU516" s="1502"/>
      <c r="HEV516" s="1502"/>
      <c r="HEW516" s="1502"/>
      <c r="HEX516" s="1502"/>
      <c r="HEY516" s="1502"/>
      <c r="HEZ516" s="1502"/>
      <c r="HFA516" s="1502"/>
      <c r="HFB516" s="1502"/>
      <c r="HFC516" s="1502"/>
      <c r="HFD516" s="1502"/>
      <c r="HFE516" s="1502"/>
      <c r="HFF516" s="1502"/>
      <c r="HFG516" s="1502"/>
      <c r="HFH516" s="1502"/>
      <c r="HFI516" s="1502"/>
      <c r="HFJ516" s="1502"/>
      <c r="HFK516" s="1502"/>
      <c r="HFL516" s="1502"/>
      <c r="HFM516" s="1502"/>
      <c r="HFN516" s="1502"/>
      <c r="HFO516" s="1502"/>
      <c r="HFP516" s="1502"/>
      <c r="HFQ516" s="1502"/>
      <c r="HFR516" s="1502"/>
      <c r="HFS516" s="1502"/>
      <c r="HFT516" s="1502"/>
      <c r="HFU516" s="1502"/>
      <c r="HFV516" s="1502"/>
      <c r="HFW516" s="1502"/>
      <c r="HFX516" s="1502"/>
      <c r="HFY516" s="1502"/>
      <c r="HFZ516" s="1502"/>
      <c r="HGA516" s="1502"/>
      <c r="HGB516" s="1502"/>
      <c r="HGC516" s="1502"/>
      <c r="HGD516" s="1502"/>
      <c r="HGE516" s="1502"/>
      <c r="HGF516" s="1502"/>
      <c r="HGG516" s="1502"/>
      <c r="HGH516" s="1502"/>
      <c r="HGI516" s="1502"/>
      <c r="HGJ516" s="1502"/>
      <c r="HGK516" s="1502"/>
      <c r="HGL516" s="1502"/>
      <c r="HGM516" s="1502"/>
      <c r="HGN516" s="1502"/>
      <c r="HGO516" s="1502"/>
      <c r="HGP516" s="1502"/>
      <c r="HGQ516" s="1502"/>
      <c r="HGR516" s="1502"/>
      <c r="HGS516" s="1502"/>
      <c r="HGT516" s="1502"/>
      <c r="HGU516" s="1502"/>
      <c r="HGV516" s="1502"/>
      <c r="HGW516" s="1502"/>
      <c r="HGX516" s="1502"/>
      <c r="HGY516" s="1502"/>
      <c r="HGZ516" s="1502"/>
      <c r="HHA516" s="1502"/>
      <c r="HHB516" s="1502"/>
      <c r="HHC516" s="1502"/>
      <c r="HHD516" s="1502"/>
      <c r="HHE516" s="1502"/>
      <c r="HHF516" s="1502"/>
      <c r="HHG516" s="1502"/>
      <c r="HHH516" s="1502"/>
      <c r="HHI516" s="1502"/>
      <c r="HHJ516" s="1502"/>
      <c r="HHK516" s="1502"/>
      <c r="HHL516" s="1502"/>
      <c r="HHM516" s="1502"/>
      <c r="HHN516" s="1502"/>
      <c r="HHO516" s="1502"/>
      <c r="HHP516" s="1502"/>
      <c r="HHQ516" s="1502"/>
      <c r="HHR516" s="1502"/>
      <c r="HHS516" s="1502"/>
      <c r="HHT516" s="1502"/>
      <c r="HHU516" s="1502"/>
      <c r="HHV516" s="1502"/>
      <c r="HHW516" s="1502"/>
      <c r="HHX516" s="1502"/>
      <c r="HHY516" s="1502"/>
      <c r="HHZ516" s="1502"/>
      <c r="HIA516" s="1502"/>
      <c r="HIB516" s="1502"/>
      <c r="HIC516" s="1502"/>
      <c r="HID516" s="1502"/>
      <c r="HIE516" s="1502"/>
      <c r="HIF516" s="1502"/>
      <c r="HIG516" s="1502"/>
      <c r="HIH516" s="1502"/>
      <c r="HII516" s="1502"/>
      <c r="HIJ516" s="1502"/>
      <c r="HIK516" s="1502"/>
      <c r="HIL516" s="1502"/>
      <c r="HIM516" s="1502"/>
      <c r="HIN516" s="1502"/>
      <c r="HIO516" s="1502"/>
      <c r="HIP516" s="1502"/>
      <c r="HIQ516" s="1502"/>
      <c r="HIR516" s="1502"/>
      <c r="HIS516" s="1502"/>
      <c r="HIT516" s="1502"/>
      <c r="HIU516" s="1502"/>
      <c r="HIV516" s="1502"/>
      <c r="HIW516" s="1502"/>
      <c r="HIX516" s="1502"/>
      <c r="HIY516" s="1502"/>
      <c r="HIZ516" s="1502"/>
      <c r="HJA516" s="1502"/>
      <c r="HJB516" s="1502"/>
      <c r="HJC516" s="1502"/>
      <c r="HJD516" s="1502"/>
      <c r="HJE516" s="1502"/>
      <c r="HJF516" s="1502"/>
      <c r="HJG516" s="1502"/>
      <c r="HJH516" s="1502"/>
      <c r="HJI516" s="1502"/>
      <c r="HJJ516" s="1502"/>
      <c r="HJK516" s="1502"/>
      <c r="HJL516" s="1502"/>
      <c r="HJM516" s="1502"/>
      <c r="HJN516" s="1502"/>
      <c r="HJO516" s="1502"/>
      <c r="HJP516" s="1502"/>
      <c r="HJQ516" s="1502"/>
      <c r="HJR516" s="1502"/>
      <c r="HJS516" s="1502"/>
      <c r="HJT516" s="1502"/>
      <c r="HJU516" s="1502"/>
      <c r="HJV516" s="1502"/>
      <c r="HJW516" s="1502"/>
      <c r="HJX516" s="1502"/>
      <c r="HJY516" s="1502"/>
      <c r="HJZ516" s="1502"/>
      <c r="HKA516" s="1502"/>
      <c r="HKB516" s="1502"/>
      <c r="HKC516" s="1502"/>
      <c r="HKD516" s="1502"/>
      <c r="HKE516" s="1502"/>
      <c r="HKF516" s="1502"/>
      <c r="HKG516" s="1502"/>
      <c r="HKH516" s="1502"/>
      <c r="HKI516" s="1502"/>
      <c r="HKJ516" s="1502"/>
      <c r="HKK516" s="1502"/>
      <c r="HKL516" s="1502"/>
      <c r="HKM516" s="1502"/>
      <c r="HKN516" s="1502"/>
      <c r="HKO516" s="1502"/>
      <c r="HKP516" s="1502"/>
      <c r="HKQ516" s="1502"/>
      <c r="HKR516" s="1502"/>
      <c r="HKS516" s="1502"/>
      <c r="HKT516" s="1502"/>
      <c r="HKU516" s="1502"/>
      <c r="HKV516" s="1502"/>
      <c r="HKW516" s="1502"/>
      <c r="HKX516" s="1502"/>
      <c r="HKY516" s="1502"/>
      <c r="HKZ516" s="1502"/>
      <c r="HLA516" s="1502"/>
      <c r="HLB516" s="1502"/>
      <c r="HLC516" s="1502"/>
      <c r="HLD516" s="1502"/>
      <c r="HLE516" s="1502"/>
      <c r="HLF516" s="1502"/>
      <c r="HLG516" s="1502"/>
      <c r="HLH516" s="1502"/>
      <c r="HLI516" s="1502"/>
      <c r="HLJ516" s="1502"/>
      <c r="HLK516" s="1502"/>
      <c r="HLL516" s="1502"/>
      <c r="HLM516" s="1502"/>
      <c r="HLN516" s="1502"/>
      <c r="HLO516" s="1502"/>
      <c r="HLP516" s="1502"/>
      <c r="HLQ516" s="1502"/>
      <c r="HLR516" s="1502"/>
      <c r="HLS516" s="1502"/>
      <c r="HLT516" s="1502"/>
      <c r="HLU516" s="1502"/>
      <c r="HLV516" s="1502"/>
      <c r="HLW516" s="1502"/>
      <c r="HLX516" s="1502"/>
      <c r="HLY516" s="1502"/>
      <c r="HLZ516" s="1502"/>
      <c r="HMA516" s="1502"/>
      <c r="HMB516" s="1502"/>
      <c r="HMC516" s="1502"/>
      <c r="HMD516" s="1502"/>
      <c r="HME516" s="1502"/>
      <c r="HMF516" s="1502"/>
      <c r="HMG516" s="1502"/>
      <c r="HMH516" s="1502"/>
      <c r="HMI516" s="1502"/>
      <c r="HMJ516" s="1502"/>
      <c r="HMK516" s="1502"/>
      <c r="HML516" s="1502"/>
      <c r="HMM516" s="1502"/>
      <c r="HMN516" s="1502"/>
      <c r="HMO516" s="1502"/>
      <c r="HMP516" s="1502"/>
      <c r="HMQ516" s="1502"/>
      <c r="HMR516" s="1502"/>
      <c r="HMS516" s="1502"/>
      <c r="HMT516" s="1502"/>
      <c r="HMU516" s="1502"/>
      <c r="HMV516" s="1502"/>
      <c r="HMW516" s="1502"/>
      <c r="HMX516" s="1502"/>
      <c r="HMY516" s="1502"/>
      <c r="HMZ516" s="1502"/>
      <c r="HNA516" s="1502"/>
      <c r="HNB516" s="1502"/>
      <c r="HNC516" s="1502"/>
      <c r="HND516" s="1502"/>
      <c r="HNE516" s="1502"/>
      <c r="HNF516" s="1502"/>
      <c r="HNG516" s="1502"/>
      <c r="HNH516" s="1502"/>
      <c r="HNI516" s="1502"/>
      <c r="HNJ516" s="1502"/>
      <c r="HNK516" s="1502"/>
      <c r="HNL516" s="1502"/>
      <c r="HNM516" s="1502"/>
      <c r="HNN516" s="1502"/>
      <c r="HNO516" s="1502"/>
      <c r="HNP516" s="1502"/>
      <c r="HNQ516" s="1502"/>
      <c r="HNR516" s="1502"/>
      <c r="HNS516" s="1502"/>
      <c r="HNT516" s="1502"/>
      <c r="HNU516" s="1502"/>
      <c r="HNV516" s="1502"/>
      <c r="HNW516" s="1502"/>
      <c r="HNX516" s="1502"/>
      <c r="HNY516" s="1502"/>
      <c r="HNZ516" s="1502"/>
      <c r="HOA516" s="1502"/>
      <c r="HOB516" s="1502"/>
      <c r="HOC516" s="1502"/>
      <c r="HOD516" s="1502"/>
      <c r="HOE516" s="1502"/>
      <c r="HOF516" s="1502"/>
      <c r="HOG516" s="1502"/>
      <c r="HOH516" s="1502"/>
      <c r="HOI516" s="1502"/>
      <c r="HOJ516" s="1502"/>
      <c r="HOK516" s="1502"/>
      <c r="HOL516" s="1502"/>
      <c r="HOM516" s="1502"/>
      <c r="HON516" s="1502"/>
      <c r="HOO516" s="1502"/>
      <c r="HOP516" s="1502"/>
      <c r="HOQ516" s="1502"/>
      <c r="HOR516" s="1502"/>
      <c r="HOS516" s="1502"/>
      <c r="HOT516" s="1502"/>
      <c r="HOU516" s="1502"/>
      <c r="HOV516" s="1502"/>
      <c r="HOW516" s="1502"/>
      <c r="HOX516" s="1502"/>
      <c r="HOY516" s="1502"/>
      <c r="HOZ516" s="1502"/>
      <c r="HPA516" s="1502"/>
      <c r="HPB516" s="1502"/>
      <c r="HPC516" s="1502"/>
      <c r="HPD516" s="1502"/>
      <c r="HPE516" s="1502"/>
      <c r="HPF516" s="1502"/>
      <c r="HPG516" s="1502"/>
      <c r="HPH516" s="1502"/>
      <c r="HPI516" s="1502"/>
      <c r="HPJ516" s="1502"/>
      <c r="HPK516" s="1502"/>
      <c r="HPL516" s="1502"/>
      <c r="HPM516" s="1502"/>
      <c r="HPN516" s="1502"/>
      <c r="HPO516" s="1502"/>
      <c r="HPP516" s="1502"/>
      <c r="HPQ516" s="1502"/>
      <c r="HPR516" s="1502"/>
      <c r="HPS516" s="1502"/>
      <c r="HPT516" s="1502"/>
      <c r="HPU516" s="1502"/>
      <c r="HPV516" s="1502"/>
      <c r="HPW516" s="1502"/>
      <c r="HPX516" s="1502"/>
      <c r="HPY516" s="1502"/>
      <c r="HPZ516" s="1502"/>
      <c r="HQA516" s="1502"/>
      <c r="HQB516" s="1502"/>
      <c r="HQC516" s="1502"/>
      <c r="HQD516" s="1502"/>
      <c r="HQE516" s="1502"/>
      <c r="HQF516" s="1502"/>
      <c r="HQG516" s="1502"/>
      <c r="HQH516" s="1502"/>
      <c r="HQI516" s="1502"/>
      <c r="HQJ516" s="1502"/>
      <c r="HQK516" s="1502"/>
      <c r="HQL516" s="1502"/>
      <c r="HQM516" s="1502"/>
      <c r="HQN516" s="1502"/>
      <c r="HQO516" s="1502"/>
      <c r="HQP516" s="1502"/>
      <c r="HQQ516" s="1502"/>
      <c r="HQR516" s="1502"/>
      <c r="HQS516" s="1502"/>
      <c r="HQT516" s="1502"/>
      <c r="HQU516" s="1502"/>
      <c r="HQV516" s="1502"/>
      <c r="HQW516" s="1502"/>
      <c r="HQX516" s="1502"/>
      <c r="HQY516" s="1502"/>
      <c r="HQZ516" s="1502"/>
      <c r="HRA516" s="1502"/>
      <c r="HRB516" s="1502"/>
      <c r="HRC516" s="1502"/>
      <c r="HRD516" s="1502"/>
      <c r="HRE516" s="1502"/>
      <c r="HRF516" s="1502"/>
      <c r="HRG516" s="1502"/>
      <c r="HRH516" s="1502"/>
      <c r="HRI516" s="1502"/>
      <c r="HRJ516" s="1502"/>
      <c r="HRK516" s="1502"/>
      <c r="HRL516" s="1502"/>
      <c r="HRM516" s="1502"/>
      <c r="HRN516" s="1502"/>
      <c r="HRO516" s="1502"/>
      <c r="HRP516" s="1502"/>
      <c r="HRQ516" s="1502"/>
      <c r="HRR516" s="1502"/>
      <c r="HRS516" s="1502"/>
      <c r="HRT516" s="1502"/>
      <c r="HRU516" s="1502"/>
      <c r="HRV516" s="1502"/>
      <c r="HRW516" s="1502"/>
      <c r="HRX516" s="1502"/>
      <c r="HRY516" s="1502"/>
      <c r="HRZ516" s="1502"/>
      <c r="HSA516" s="1502"/>
      <c r="HSB516" s="1502"/>
      <c r="HSC516" s="1502"/>
      <c r="HSD516" s="1502"/>
      <c r="HSE516" s="1502"/>
      <c r="HSF516" s="1502"/>
      <c r="HSG516" s="1502"/>
      <c r="HSH516" s="1502"/>
      <c r="HSI516" s="1502"/>
      <c r="HSJ516" s="1502"/>
      <c r="HSK516" s="1502"/>
      <c r="HSL516" s="1502"/>
      <c r="HSM516" s="1502"/>
      <c r="HSN516" s="1502"/>
      <c r="HSO516" s="1502"/>
      <c r="HSP516" s="1502"/>
      <c r="HSQ516" s="1502"/>
      <c r="HSR516" s="1502"/>
      <c r="HSS516" s="1502"/>
      <c r="HST516" s="1502"/>
      <c r="HSU516" s="1502"/>
      <c r="HSV516" s="1502"/>
      <c r="HSW516" s="1502"/>
      <c r="HSX516" s="1502"/>
      <c r="HSY516" s="1502"/>
      <c r="HSZ516" s="1502"/>
      <c r="HTA516" s="1502"/>
      <c r="HTB516" s="1502"/>
      <c r="HTC516" s="1502"/>
      <c r="HTD516" s="1502"/>
      <c r="HTE516" s="1502"/>
      <c r="HTF516" s="1502"/>
      <c r="HTG516" s="1502"/>
      <c r="HTH516" s="1502"/>
      <c r="HTI516" s="1502"/>
      <c r="HTJ516" s="1502"/>
      <c r="HTK516" s="1502"/>
      <c r="HTL516" s="1502"/>
      <c r="HTM516" s="1502"/>
      <c r="HTN516" s="1502"/>
      <c r="HTO516" s="1502"/>
      <c r="HTP516" s="1502"/>
      <c r="HTQ516" s="1502"/>
      <c r="HTR516" s="1502"/>
      <c r="HTS516" s="1502"/>
      <c r="HTT516" s="1502"/>
      <c r="HTU516" s="1502"/>
      <c r="HTV516" s="1502"/>
      <c r="HTW516" s="1502"/>
      <c r="HTX516" s="1502"/>
      <c r="HTY516" s="1502"/>
      <c r="HTZ516" s="1502"/>
      <c r="HUA516" s="1502"/>
      <c r="HUB516" s="1502"/>
      <c r="HUC516" s="1502"/>
      <c r="HUD516" s="1502"/>
      <c r="HUE516" s="1502"/>
      <c r="HUF516" s="1502"/>
      <c r="HUG516" s="1502"/>
      <c r="HUH516" s="1502"/>
      <c r="HUI516" s="1502"/>
      <c r="HUJ516" s="1502"/>
      <c r="HUK516" s="1502"/>
      <c r="HUL516" s="1502"/>
      <c r="HUM516" s="1502"/>
      <c r="HUN516" s="1502"/>
      <c r="HUO516" s="1502"/>
      <c r="HUP516" s="1502"/>
      <c r="HUQ516" s="1502"/>
      <c r="HUR516" s="1502"/>
      <c r="HUS516" s="1502"/>
      <c r="HUT516" s="1502"/>
      <c r="HUU516" s="1502"/>
      <c r="HUV516" s="1502"/>
      <c r="HUW516" s="1502"/>
      <c r="HUX516" s="1502"/>
      <c r="HUY516" s="1502"/>
      <c r="HUZ516" s="1502"/>
      <c r="HVA516" s="1502"/>
      <c r="HVB516" s="1502"/>
      <c r="HVC516" s="1502"/>
      <c r="HVD516" s="1502"/>
      <c r="HVE516" s="1502"/>
      <c r="HVF516" s="1502"/>
      <c r="HVG516" s="1502"/>
      <c r="HVH516" s="1502"/>
      <c r="HVI516" s="1502"/>
      <c r="HVJ516" s="1502"/>
      <c r="HVK516" s="1502"/>
      <c r="HVL516" s="1502"/>
      <c r="HVM516" s="1502"/>
      <c r="HVN516" s="1502"/>
      <c r="HVO516" s="1502"/>
      <c r="HVP516" s="1502"/>
      <c r="HVQ516" s="1502"/>
      <c r="HVR516" s="1502"/>
      <c r="HVS516" s="1502"/>
      <c r="HVT516" s="1502"/>
      <c r="HVU516" s="1502"/>
      <c r="HVV516" s="1502"/>
      <c r="HVW516" s="1502"/>
      <c r="HVX516" s="1502"/>
      <c r="HVY516" s="1502"/>
      <c r="HVZ516" s="1502"/>
      <c r="HWA516" s="1502"/>
      <c r="HWB516" s="1502"/>
      <c r="HWC516" s="1502"/>
      <c r="HWD516" s="1502"/>
      <c r="HWE516" s="1502"/>
      <c r="HWF516" s="1502"/>
      <c r="HWG516" s="1502"/>
      <c r="HWH516" s="1502"/>
      <c r="HWI516" s="1502"/>
      <c r="HWJ516" s="1502"/>
      <c r="HWK516" s="1502"/>
      <c r="HWL516" s="1502"/>
      <c r="HWM516" s="1502"/>
      <c r="HWN516" s="1502"/>
      <c r="HWO516" s="1502"/>
      <c r="HWP516" s="1502"/>
      <c r="HWQ516" s="1502"/>
      <c r="HWR516" s="1502"/>
      <c r="HWS516" s="1502"/>
      <c r="HWT516" s="1502"/>
      <c r="HWU516" s="1502"/>
      <c r="HWV516" s="1502"/>
      <c r="HWW516" s="1502"/>
      <c r="HWX516" s="1502"/>
      <c r="HWY516" s="1502"/>
      <c r="HWZ516" s="1502"/>
      <c r="HXA516" s="1502"/>
      <c r="HXB516" s="1502"/>
      <c r="HXC516" s="1502"/>
      <c r="HXD516" s="1502"/>
      <c r="HXE516" s="1502"/>
      <c r="HXF516" s="1502"/>
      <c r="HXG516" s="1502"/>
      <c r="HXH516" s="1502"/>
      <c r="HXI516" s="1502"/>
      <c r="HXJ516" s="1502"/>
      <c r="HXK516" s="1502"/>
      <c r="HXL516" s="1502"/>
      <c r="HXM516" s="1502"/>
      <c r="HXN516" s="1502"/>
      <c r="HXO516" s="1502"/>
      <c r="HXP516" s="1502"/>
      <c r="HXQ516" s="1502"/>
      <c r="HXR516" s="1502"/>
      <c r="HXS516" s="1502"/>
      <c r="HXT516" s="1502"/>
      <c r="HXU516" s="1502"/>
      <c r="HXV516" s="1502"/>
      <c r="HXW516" s="1502"/>
      <c r="HXX516" s="1502"/>
      <c r="HXY516" s="1502"/>
      <c r="HXZ516" s="1502"/>
      <c r="HYA516" s="1502"/>
      <c r="HYB516" s="1502"/>
      <c r="HYC516" s="1502"/>
      <c r="HYD516" s="1502"/>
      <c r="HYE516" s="1502"/>
      <c r="HYF516" s="1502"/>
      <c r="HYG516" s="1502"/>
      <c r="HYH516" s="1502"/>
      <c r="HYI516" s="1502"/>
      <c r="HYJ516" s="1502"/>
      <c r="HYK516" s="1502"/>
      <c r="HYL516" s="1502"/>
      <c r="HYM516" s="1502"/>
      <c r="HYN516" s="1502"/>
      <c r="HYO516" s="1502"/>
      <c r="HYP516" s="1502"/>
      <c r="HYQ516" s="1502"/>
      <c r="HYR516" s="1502"/>
      <c r="HYS516" s="1502"/>
      <c r="HYT516" s="1502"/>
      <c r="HYU516" s="1502"/>
      <c r="HYV516" s="1502"/>
      <c r="HYW516" s="1502"/>
      <c r="HYX516" s="1502"/>
      <c r="HYY516" s="1502"/>
      <c r="HYZ516" s="1502"/>
      <c r="HZA516" s="1502"/>
      <c r="HZB516" s="1502"/>
      <c r="HZC516" s="1502"/>
      <c r="HZD516" s="1502"/>
      <c r="HZE516" s="1502"/>
      <c r="HZF516" s="1502"/>
      <c r="HZG516" s="1502"/>
      <c r="HZH516" s="1502"/>
      <c r="HZI516" s="1502"/>
      <c r="HZJ516" s="1502"/>
      <c r="HZK516" s="1502"/>
      <c r="HZL516" s="1502"/>
      <c r="HZM516" s="1502"/>
      <c r="HZN516" s="1502"/>
      <c r="HZO516" s="1502"/>
      <c r="HZP516" s="1502"/>
      <c r="HZQ516" s="1502"/>
      <c r="HZR516" s="1502"/>
      <c r="HZS516" s="1502"/>
      <c r="HZT516" s="1502"/>
      <c r="HZU516" s="1502"/>
      <c r="HZV516" s="1502"/>
      <c r="HZW516" s="1502"/>
      <c r="HZX516" s="1502"/>
      <c r="HZY516" s="1502"/>
      <c r="HZZ516" s="1502"/>
      <c r="IAA516" s="1502"/>
      <c r="IAB516" s="1502"/>
      <c r="IAC516" s="1502"/>
      <c r="IAD516" s="1502"/>
      <c r="IAE516" s="1502"/>
      <c r="IAF516" s="1502"/>
      <c r="IAG516" s="1502"/>
      <c r="IAH516" s="1502"/>
      <c r="IAI516" s="1502"/>
      <c r="IAJ516" s="1502"/>
      <c r="IAK516" s="1502"/>
      <c r="IAL516" s="1502"/>
      <c r="IAM516" s="1502"/>
      <c r="IAN516" s="1502"/>
      <c r="IAO516" s="1502"/>
      <c r="IAP516" s="1502"/>
      <c r="IAQ516" s="1502"/>
      <c r="IAR516" s="1502"/>
      <c r="IAS516" s="1502"/>
      <c r="IAT516" s="1502"/>
      <c r="IAU516" s="1502"/>
      <c r="IAV516" s="1502"/>
      <c r="IAW516" s="1502"/>
      <c r="IAX516" s="1502"/>
      <c r="IAY516" s="1502"/>
      <c r="IAZ516" s="1502"/>
      <c r="IBA516" s="1502"/>
      <c r="IBB516" s="1502"/>
      <c r="IBC516" s="1502"/>
      <c r="IBD516" s="1502"/>
      <c r="IBE516" s="1502"/>
      <c r="IBF516" s="1502"/>
      <c r="IBG516" s="1502"/>
      <c r="IBH516" s="1502"/>
      <c r="IBI516" s="1502"/>
      <c r="IBJ516" s="1502"/>
      <c r="IBK516" s="1502"/>
      <c r="IBL516" s="1502"/>
      <c r="IBM516" s="1502"/>
      <c r="IBN516" s="1502"/>
      <c r="IBO516" s="1502"/>
      <c r="IBP516" s="1502"/>
      <c r="IBQ516" s="1502"/>
      <c r="IBR516" s="1502"/>
      <c r="IBS516" s="1502"/>
      <c r="IBT516" s="1502"/>
      <c r="IBU516" s="1502"/>
      <c r="IBV516" s="1502"/>
      <c r="IBW516" s="1502"/>
      <c r="IBX516" s="1502"/>
      <c r="IBY516" s="1502"/>
      <c r="IBZ516" s="1502"/>
      <c r="ICA516" s="1502"/>
      <c r="ICB516" s="1502"/>
      <c r="ICC516" s="1502"/>
      <c r="ICD516" s="1502"/>
      <c r="ICE516" s="1502"/>
      <c r="ICF516" s="1502"/>
      <c r="ICG516" s="1502"/>
      <c r="ICH516" s="1502"/>
      <c r="ICI516" s="1502"/>
      <c r="ICJ516" s="1502"/>
      <c r="ICK516" s="1502"/>
      <c r="ICL516" s="1502"/>
      <c r="ICM516" s="1502"/>
      <c r="ICN516" s="1502"/>
      <c r="ICO516" s="1502"/>
      <c r="ICP516" s="1502"/>
      <c r="ICQ516" s="1502"/>
      <c r="ICR516" s="1502"/>
      <c r="ICS516" s="1502"/>
      <c r="ICT516" s="1502"/>
      <c r="ICU516" s="1502"/>
      <c r="ICV516" s="1502"/>
      <c r="ICW516" s="1502"/>
      <c r="ICX516" s="1502"/>
      <c r="ICY516" s="1502"/>
      <c r="ICZ516" s="1502"/>
      <c r="IDA516" s="1502"/>
      <c r="IDB516" s="1502"/>
      <c r="IDC516" s="1502"/>
      <c r="IDD516" s="1502"/>
      <c r="IDE516" s="1502"/>
      <c r="IDF516" s="1502"/>
      <c r="IDG516" s="1502"/>
      <c r="IDH516" s="1502"/>
      <c r="IDI516" s="1502"/>
      <c r="IDJ516" s="1502"/>
      <c r="IDK516" s="1502"/>
      <c r="IDL516" s="1502"/>
      <c r="IDM516" s="1502"/>
      <c r="IDN516" s="1502"/>
      <c r="IDO516" s="1502"/>
      <c r="IDP516" s="1502"/>
      <c r="IDQ516" s="1502"/>
      <c r="IDR516" s="1502"/>
      <c r="IDS516" s="1502"/>
      <c r="IDT516" s="1502"/>
      <c r="IDU516" s="1502"/>
      <c r="IDV516" s="1502"/>
      <c r="IDW516" s="1502"/>
      <c r="IDX516" s="1502"/>
      <c r="IDY516" s="1502"/>
      <c r="IDZ516" s="1502"/>
      <c r="IEA516" s="1502"/>
      <c r="IEB516" s="1502"/>
      <c r="IEC516" s="1502"/>
      <c r="IED516" s="1502"/>
      <c r="IEE516" s="1502"/>
      <c r="IEF516" s="1502"/>
      <c r="IEG516" s="1502"/>
      <c r="IEH516" s="1502"/>
      <c r="IEI516" s="1502"/>
      <c r="IEJ516" s="1502"/>
      <c r="IEK516" s="1502"/>
      <c r="IEL516" s="1502"/>
      <c r="IEM516" s="1502"/>
      <c r="IEN516" s="1502"/>
      <c r="IEO516" s="1502"/>
      <c r="IEP516" s="1502"/>
      <c r="IEQ516" s="1502"/>
      <c r="IER516" s="1502"/>
      <c r="IES516" s="1502"/>
      <c r="IET516" s="1502"/>
      <c r="IEU516" s="1502"/>
      <c r="IEV516" s="1502"/>
      <c r="IEW516" s="1502"/>
      <c r="IEX516" s="1502"/>
      <c r="IEY516" s="1502"/>
      <c r="IEZ516" s="1502"/>
      <c r="IFA516" s="1502"/>
      <c r="IFB516" s="1502"/>
      <c r="IFC516" s="1502"/>
      <c r="IFD516" s="1502"/>
      <c r="IFE516" s="1502"/>
      <c r="IFF516" s="1502"/>
      <c r="IFG516" s="1502"/>
      <c r="IFH516" s="1502"/>
      <c r="IFI516" s="1502"/>
      <c r="IFJ516" s="1502"/>
      <c r="IFK516" s="1502"/>
      <c r="IFL516" s="1502"/>
      <c r="IFM516" s="1502"/>
      <c r="IFN516" s="1502"/>
      <c r="IFO516" s="1502"/>
      <c r="IFP516" s="1502"/>
      <c r="IFQ516" s="1502"/>
      <c r="IFR516" s="1502"/>
      <c r="IFS516" s="1502"/>
      <c r="IFT516" s="1502"/>
      <c r="IFU516" s="1502"/>
      <c r="IFV516" s="1502"/>
      <c r="IFW516" s="1502"/>
      <c r="IFX516" s="1502"/>
      <c r="IFY516" s="1502"/>
      <c r="IFZ516" s="1502"/>
      <c r="IGA516" s="1502"/>
      <c r="IGB516" s="1502"/>
      <c r="IGC516" s="1502"/>
      <c r="IGD516" s="1502"/>
      <c r="IGE516" s="1502"/>
      <c r="IGF516" s="1502"/>
      <c r="IGG516" s="1502"/>
      <c r="IGH516" s="1502"/>
      <c r="IGI516" s="1502"/>
      <c r="IGJ516" s="1502"/>
      <c r="IGK516" s="1502"/>
      <c r="IGL516" s="1502"/>
      <c r="IGM516" s="1502"/>
      <c r="IGN516" s="1502"/>
      <c r="IGO516" s="1502"/>
      <c r="IGP516" s="1502"/>
      <c r="IGQ516" s="1502"/>
      <c r="IGR516" s="1502"/>
      <c r="IGS516" s="1502"/>
      <c r="IGT516" s="1502"/>
      <c r="IGU516" s="1502"/>
      <c r="IGV516" s="1502"/>
      <c r="IGW516" s="1502"/>
      <c r="IGX516" s="1502"/>
      <c r="IGY516" s="1502"/>
      <c r="IGZ516" s="1502"/>
      <c r="IHA516" s="1502"/>
      <c r="IHB516" s="1502"/>
      <c r="IHC516" s="1502"/>
      <c r="IHD516" s="1502"/>
      <c r="IHE516" s="1502"/>
      <c r="IHF516" s="1502"/>
      <c r="IHG516" s="1502"/>
      <c r="IHH516" s="1502"/>
      <c r="IHI516" s="1502"/>
      <c r="IHJ516" s="1502"/>
      <c r="IHK516" s="1502"/>
      <c r="IHL516" s="1502"/>
      <c r="IHM516" s="1502"/>
      <c r="IHN516" s="1502"/>
      <c r="IHO516" s="1502"/>
      <c r="IHP516" s="1502"/>
      <c r="IHQ516" s="1502"/>
      <c r="IHR516" s="1502"/>
      <c r="IHS516" s="1502"/>
      <c r="IHT516" s="1502"/>
      <c r="IHU516" s="1502"/>
      <c r="IHV516" s="1502"/>
      <c r="IHW516" s="1502"/>
      <c r="IHX516" s="1502"/>
      <c r="IHY516" s="1502"/>
      <c r="IHZ516" s="1502"/>
      <c r="IIA516" s="1502"/>
      <c r="IIB516" s="1502"/>
      <c r="IIC516" s="1502"/>
      <c r="IID516" s="1502"/>
      <c r="IIE516" s="1502"/>
      <c r="IIF516" s="1502"/>
      <c r="IIG516" s="1502"/>
      <c r="IIH516" s="1502"/>
      <c r="III516" s="1502"/>
      <c r="IIJ516" s="1502"/>
      <c r="IIK516" s="1502"/>
      <c r="IIL516" s="1502"/>
      <c r="IIM516" s="1502"/>
      <c r="IIN516" s="1502"/>
      <c r="IIO516" s="1502"/>
      <c r="IIP516" s="1502"/>
      <c r="IIQ516" s="1502"/>
      <c r="IIR516" s="1502"/>
      <c r="IIS516" s="1502"/>
      <c r="IIT516" s="1502"/>
      <c r="IIU516" s="1502"/>
      <c r="IIV516" s="1502"/>
      <c r="IIW516" s="1502"/>
      <c r="IIX516" s="1502"/>
      <c r="IIY516" s="1502"/>
      <c r="IIZ516" s="1502"/>
      <c r="IJA516" s="1502"/>
      <c r="IJB516" s="1502"/>
      <c r="IJC516" s="1502"/>
      <c r="IJD516" s="1502"/>
      <c r="IJE516" s="1502"/>
      <c r="IJF516" s="1502"/>
      <c r="IJG516" s="1502"/>
      <c r="IJH516" s="1502"/>
      <c r="IJI516" s="1502"/>
      <c r="IJJ516" s="1502"/>
      <c r="IJK516" s="1502"/>
      <c r="IJL516" s="1502"/>
      <c r="IJM516" s="1502"/>
      <c r="IJN516" s="1502"/>
      <c r="IJO516" s="1502"/>
      <c r="IJP516" s="1502"/>
      <c r="IJQ516" s="1502"/>
      <c r="IJR516" s="1502"/>
      <c r="IJS516" s="1502"/>
      <c r="IJT516" s="1502"/>
      <c r="IJU516" s="1502"/>
      <c r="IJV516" s="1502"/>
      <c r="IJW516" s="1502"/>
      <c r="IJX516" s="1502"/>
      <c r="IJY516" s="1502"/>
      <c r="IJZ516" s="1502"/>
      <c r="IKA516" s="1502"/>
      <c r="IKB516" s="1502"/>
      <c r="IKC516" s="1502"/>
      <c r="IKD516" s="1502"/>
      <c r="IKE516" s="1502"/>
      <c r="IKF516" s="1502"/>
      <c r="IKG516" s="1502"/>
      <c r="IKH516" s="1502"/>
      <c r="IKI516" s="1502"/>
      <c r="IKJ516" s="1502"/>
      <c r="IKK516" s="1502"/>
      <c r="IKL516" s="1502"/>
      <c r="IKM516" s="1502"/>
      <c r="IKN516" s="1502"/>
      <c r="IKO516" s="1502"/>
      <c r="IKP516" s="1502"/>
      <c r="IKQ516" s="1502"/>
      <c r="IKR516" s="1502"/>
      <c r="IKS516" s="1502"/>
      <c r="IKT516" s="1502"/>
      <c r="IKU516" s="1502"/>
      <c r="IKV516" s="1502"/>
      <c r="IKW516" s="1502"/>
      <c r="IKX516" s="1502"/>
      <c r="IKY516" s="1502"/>
      <c r="IKZ516" s="1502"/>
      <c r="ILA516" s="1502"/>
      <c r="ILB516" s="1502"/>
      <c r="ILC516" s="1502"/>
      <c r="ILD516" s="1502"/>
      <c r="ILE516" s="1502"/>
      <c r="ILF516" s="1502"/>
      <c r="ILG516" s="1502"/>
      <c r="ILH516" s="1502"/>
      <c r="ILI516" s="1502"/>
      <c r="ILJ516" s="1502"/>
      <c r="ILK516" s="1502"/>
      <c r="ILL516" s="1502"/>
      <c r="ILM516" s="1502"/>
      <c r="ILN516" s="1502"/>
      <c r="ILO516" s="1502"/>
      <c r="ILP516" s="1502"/>
      <c r="ILQ516" s="1502"/>
      <c r="ILR516" s="1502"/>
      <c r="ILS516" s="1502"/>
      <c r="ILT516" s="1502"/>
      <c r="ILU516" s="1502"/>
      <c r="ILV516" s="1502"/>
      <c r="ILW516" s="1502"/>
      <c r="ILX516" s="1502"/>
      <c r="ILY516" s="1502"/>
      <c r="ILZ516" s="1502"/>
      <c r="IMA516" s="1502"/>
      <c r="IMB516" s="1502"/>
      <c r="IMC516" s="1502"/>
      <c r="IMD516" s="1502"/>
      <c r="IME516" s="1502"/>
      <c r="IMF516" s="1502"/>
      <c r="IMG516" s="1502"/>
      <c r="IMH516" s="1502"/>
      <c r="IMI516" s="1502"/>
      <c r="IMJ516" s="1502"/>
      <c r="IMK516" s="1502"/>
      <c r="IML516" s="1502"/>
      <c r="IMM516" s="1502"/>
      <c r="IMN516" s="1502"/>
      <c r="IMO516" s="1502"/>
      <c r="IMP516" s="1502"/>
      <c r="IMQ516" s="1502"/>
      <c r="IMR516" s="1502"/>
      <c r="IMS516" s="1502"/>
      <c r="IMT516" s="1502"/>
      <c r="IMU516" s="1502"/>
      <c r="IMV516" s="1502"/>
      <c r="IMW516" s="1502"/>
      <c r="IMX516" s="1502"/>
      <c r="IMY516" s="1502"/>
      <c r="IMZ516" s="1502"/>
      <c r="INA516" s="1502"/>
      <c r="INB516" s="1502"/>
      <c r="INC516" s="1502"/>
      <c r="IND516" s="1502"/>
      <c r="INE516" s="1502"/>
      <c r="INF516" s="1502"/>
      <c r="ING516" s="1502"/>
      <c r="INH516" s="1502"/>
      <c r="INI516" s="1502"/>
      <c r="INJ516" s="1502"/>
      <c r="INK516" s="1502"/>
      <c r="INL516" s="1502"/>
      <c r="INM516" s="1502"/>
      <c r="INN516" s="1502"/>
      <c r="INO516" s="1502"/>
      <c r="INP516" s="1502"/>
      <c r="INQ516" s="1502"/>
      <c r="INR516" s="1502"/>
      <c r="INS516" s="1502"/>
      <c r="INT516" s="1502"/>
      <c r="INU516" s="1502"/>
      <c r="INV516" s="1502"/>
      <c r="INW516" s="1502"/>
      <c r="INX516" s="1502"/>
      <c r="INY516" s="1502"/>
      <c r="INZ516" s="1502"/>
      <c r="IOA516" s="1502"/>
      <c r="IOB516" s="1502"/>
      <c r="IOC516" s="1502"/>
      <c r="IOD516" s="1502"/>
      <c r="IOE516" s="1502"/>
      <c r="IOF516" s="1502"/>
      <c r="IOG516" s="1502"/>
      <c r="IOH516" s="1502"/>
      <c r="IOI516" s="1502"/>
      <c r="IOJ516" s="1502"/>
      <c r="IOK516" s="1502"/>
      <c r="IOL516" s="1502"/>
      <c r="IOM516" s="1502"/>
      <c r="ION516" s="1502"/>
      <c r="IOO516" s="1502"/>
      <c r="IOP516" s="1502"/>
      <c r="IOQ516" s="1502"/>
      <c r="IOR516" s="1502"/>
      <c r="IOS516" s="1502"/>
      <c r="IOT516" s="1502"/>
      <c r="IOU516" s="1502"/>
      <c r="IOV516" s="1502"/>
      <c r="IOW516" s="1502"/>
      <c r="IOX516" s="1502"/>
      <c r="IOY516" s="1502"/>
      <c r="IOZ516" s="1502"/>
      <c r="IPA516" s="1502"/>
      <c r="IPB516" s="1502"/>
      <c r="IPC516" s="1502"/>
      <c r="IPD516" s="1502"/>
      <c r="IPE516" s="1502"/>
      <c r="IPF516" s="1502"/>
      <c r="IPG516" s="1502"/>
      <c r="IPH516" s="1502"/>
      <c r="IPI516" s="1502"/>
      <c r="IPJ516" s="1502"/>
      <c r="IPK516" s="1502"/>
      <c r="IPL516" s="1502"/>
      <c r="IPM516" s="1502"/>
      <c r="IPN516" s="1502"/>
      <c r="IPO516" s="1502"/>
      <c r="IPP516" s="1502"/>
      <c r="IPQ516" s="1502"/>
      <c r="IPR516" s="1502"/>
      <c r="IPS516" s="1502"/>
      <c r="IPT516" s="1502"/>
      <c r="IPU516" s="1502"/>
      <c r="IPV516" s="1502"/>
      <c r="IPW516" s="1502"/>
      <c r="IPX516" s="1502"/>
      <c r="IPY516" s="1502"/>
      <c r="IPZ516" s="1502"/>
      <c r="IQA516" s="1502"/>
      <c r="IQB516" s="1502"/>
      <c r="IQC516" s="1502"/>
      <c r="IQD516" s="1502"/>
      <c r="IQE516" s="1502"/>
      <c r="IQF516" s="1502"/>
      <c r="IQG516" s="1502"/>
      <c r="IQH516" s="1502"/>
      <c r="IQI516" s="1502"/>
      <c r="IQJ516" s="1502"/>
      <c r="IQK516" s="1502"/>
      <c r="IQL516" s="1502"/>
      <c r="IQM516" s="1502"/>
      <c r="IQN516" s="1502"/>
      <c r="IQO516" s="1502"/>
      <c r="IQP516" s="1502"/>
      <c r="IQQ516" s="1502"/>
      <c r="IQR516" s="1502"/>
      <c r="IQS516" s="1502"/>
      <c r="IQT516" s="1502"/>
      <c r="IQU516" s="1502"/>
      <c r="IQV516" s="1502"/>
      <c r="IQW516" s="1502"/>
      <c r="IQX516" s="1502"/>
      <c r="IQY516" s="1502"/>
      <c r="IQZ516" s="1502"/>
      <c r="IRA516" s="1502"/>
      <c r="IRB516" s="1502"/>
      <c r="IRC516" s="1502"/>
      <c r="IRD516" s="1502"/>
      <c r="IRE516" s="1502"/>
      <c r="IRF516" s="1502"/>
      <c r="IRG516" s="1502"/>
      <c r="IRH516" s="1502"/>
      <c r="IRI516" s="1502"/>
      <c r="IRJ516" s="1502"/>
      <c r="IRK516" s="1502"/>
      <c r="IRL516" s="1502"/>
      <c r="IRM516" s="1502"/>
      <c r="IRN516" s="1502"/>
      <c r="IRO516" s="1502"/>
      <c r="IRP516" s="1502"/>
      <c r="IRQ516" s="1502"/>
      <c r="IRR516" s="1502"/>
      <c r="IRS516" s="1502"/>
      <c r="IRT516" s="1502"/>
      <c r="IRU516" s="1502"/>
      <c r="IRV516" s="1502"/>
      <c r="IRW516" s="1502"/>
      <c r="IRX516" s="1502"/>
      <c r="IRY516" s="1502"/>
      <c r="IRZ516" s="1502"/>
      <c r="ISA516" s="1502"/>
      <c r="ISB516" s="1502"/>
      <c r="ISC516" s="1502"/>
      <c r="ISD516" s="1502"/>
      <c r="ISE516" s="1502"/>
      <c r="ISF516" s="1502"/>
      <c r="ISG516" s="1502"/>
      <c r="ISH516" s="1502"/>
      <c r="ISI516" s="1502"/>
      <c r="ISJ516" s="1502"/>
      <c r="ISK516" s="1502"/>
      <c r="ISL516" s="1502"/>
      <c r="ISM516" s="1502"/>
      <c r="ISN516" s="1502"/>
      <c r="ISO516" s="1502"/>
      <c r="ISP516" s="1502"/>
      <c r="ISQ516" s="1502"/>
      <c r="ISR516" s="1502"/>
      <c r="ISS516" s="1502"/>
      <c r="IST516" s="1502"/>
      <c r="ISU516" s="1502"/>
      <c r="ISV516" s="1502"/>
      <c r="ISW516" s="1502"/>
      <c r="ISX516" s="1502"/>
      <c r="ISY516" s="1502"/>
      <c r="ISZ516" s="1502"/>
      <c r="ITA516" s="1502"/>
      <c r="ITB516" s="1502"/>
      <c r="ITC516" s="1502"/>
      <c r="ITD516" s="1502"/>
      <c r="ITE516" s="1502"/>
      <c r="ITF516" s="1502"/>
      <c r="ITG516" s="1502"/>
      <c r="ITH516" s="1502"/>
      <c r="ITI516" s="1502"/>
      <c r="ITJ516" s="1502"/>
      <c r="ITK516" s="1502"/>
      <c r="ITL516" s="1502"/>
      <c r="ITM516" s="1502"/>
      <c r="ITN516" s="1502"/>
      <c r="ITO516" s="1502"/>
      <c r="ITP516" s="1502"/>
      <c r="ITQ516" s="1502"/>
      <c r="ITR516" s="1502"/>
      <c r="ITS516" s="1502"/>
      <c r="ITT516" s="1502"/>
      <c r="ITU516" s="1502"/>
      <c r="ITV516" s="1502"/>
      <c r="ITW516" s="1502"/>
      <c r="ITX516" s="1502"/>
      <c r="ITY516" s="1502"/>
      <c r="ITZ516" s="1502"/>
      <c r="IUA516" s="1502"/>
      <c r="IUB516" s="1502"/>
      <c r="IUC516" s="1502"/>
      <c r="IUD516" s="1502"/>
      <c r="IUE516" s="1502"/>
      <c r="IUF516" s="1502"/>
      <c r="IUG516" s="1502"/>
      <c r="IUH516" s="1502"/>
      <c r="IUI516" s="1502"/>
      <c r="IUJ516" s="1502"/>
      <c r="IUK516" s="1502"/>
      <c r="IUL516" s="1502"/>
      <c r="IUM516" s="1502"/>
      <c r="IUN516" s="1502"/>
      <c r="IUO516" s="1502"/>
      <c r="IUP516" s="1502"/>
      <c r="IUQ516" s="1502"/>
      <c r="IUR516" s="1502"/>
      <c r="IUS516" s="1502"/>
      <c r="IUT516" s="1502"/>
      <c r="IUU516" s="1502"/>
      <c r="IUV516" s="1502"/>
      <c r="IUW516" s="1502"/>
      <c r="IUX516" s="1502"/>
      <c r="IUY516" s="1502"/>
      <c r="IUZ516" s="1502"/>
      <c r="IVA516" s="1502"/>
      <c r="IVB516" s="1502"/>
      <c r="IVC516" s="1502"/>
      <c r="IVD516" s="1502"/>
      <c r="IVE516" s="1502"/>
      <c r="IVF516" s="1502"/>
      <c r="IVG516" s="1502"/>
      <c r="IVH516" s="1502"/>
      <c r="IVI516" s="1502"/>
      <c r="IVJ516" s="1502"/>
      <c r="IVK516" s="1502"/>
      <c r="IVL516" s="1502"/>
      <c r="IVM516" s="1502"/>
      <c r="IVN516" s="1502"/>
      <c r="IVO516" s="1502"/>
      <c r="IVP516" s="1502"/>
      <c r="IVQ516" s="1502"/>
      <c r="IVR516" s="1502"/>
      <c r="IVS516" s="1502"/>
      <c r="IVT516" s="1502"/>
      <c r="IVU516" s="1502"/>
      <c r="IVV516" s="1502"/>
      <c r="IVW516" s="1502"/>
      <c r="IVX516" s="1502"/>
      <c r="IVY516" s="1502"/>
      <c r="IVZ516" s="1502"/>
      <c r="IWA516" s="1502"/>
      <c r="IWB516" s="1502"/>
      <c r="IWC516" s="1502"/>
      <c r="IWD516" s="1502"/>
      <c r="IWE516" s="1502"/>
      <c r="IWF516" s="1502"/>
      <c r="IWG516" s="1502"/>
      <c r="IWH516" s="1502"/>
      <c r="IWI516" s="1502"/>
      <c r="IWJ516" s="1502"/>
      <c r="IWK516" s="1502"/>
      <c r="IWL516" s="1502"/>
      <c r="IWM516" s="1502"/>
      <c r="IWN516" s="1502"/>
      <c r="IWO516" s="1502"/>
      <c r="IWP516" s="1502"/>
      <c r="IWQ516" s="1502"/>
      <c r="IWR516" s="1502"/>
      <c r="IWS516" s="1502"/>
      <c r="IWT516" s="1502"/>
      <c r="IWU516" s="1502"/>
      <c r="IWV516" s="1502"/>
      <c r="IWW516" s="1502"/>
      <c r="IWX516" s="1502"/>
      <c r="IWY516" s="1502"/>
      <c r="IWZ516" s="1502"/>
      <c r="IXA516" s="1502"/>
      <c r="IXB516" s="1502"/>
      <c r="IXC516" s="1502"/>
      <c r="IXD516" s="1502"/>
      <c r="IXE516" s="1502"/>
      <c r="IXF516" s="1502"/>
      <c r="IXG516" s="1502"/>
      <c r="IXH516" s="1502"/>
      <c r="IXI516" s="1502"/>
      <c r="IXJ516" s="1502"/>
      <c r="IXK516" s="1502"/>
      <c r="IXL516" s="1502"/>
      <c r="IXM516" s="1502"/>
      <c r="IXN516" s="1502"/>
      <c r="IXO516" s="1502"/>
      <c r="IXP516" s="1502"/>
      <c r="IXQ516" s="1502"/>
      <c r="IXR516" s="1502"/>
      <c r="IXS516" s="1502"/>
      <c r="IXT516" s="1502"/>
      <c r="IXU516" s="1502"/>
      <c r="IXV516" s="1502"/>
      <c r="IXW516" s="1502"/>
      <c r="IXX516" s="1502"/>
      <c r="IXY516" s="1502"/>
      <c r="IXZ516" s="1502"/>
      <c r="IYA516" s="1502"/>
      <c r="IYB516" s="1502"/>
      <c r="IYC516" s="1502"/>
      <c r="IYD516" s="1502"/>
      <c r="IYE516" s="1502"/>
      <c r="IYF516" s="1502"/>
      <c r="IYG516" s="1502"/>
      <c r="IYH516" s="1502"/>
      <c r="IYI516" s="1502"/>
      <c r="IYJ516" s="1502"/>
      <c r="IYK516" s="1502"/>
      <c r="IYL516" s="1502"/>
      <c r="IYM516" s="1502"/>
      <c r="IYN516" s="1502"/>
      <c r="IYO516" s="1502"/>
      <c r="IYP516" s="1502"/>
      <c r="IYQ516" s="1502"/>
      <c r="IYR516" s="1502"/>
      <c r="IYS516" s="1502"/>
      <c r="IYT516" s="1502"/>
      <c r="IYU516" s="1502"/>
      <c r="IYV516" s="1502"/>
      <c r="IYW516" s="1502"/>
      <c r="IYX516" s="1502"/>
      <c r="IYY516" s="1502"/>
      <c r="IYZ516" s="1502"/>
      <c r="IZA516" s="1502"/>
      <c r="IZB516" s="1502"/>
      <c r="IZC516" s="1502"/>
      <c r="IZD516" s="1502"/>
      <c r="IZE516" s="1502"/>
      <c r="IZF516" s="1502"/>
      <c r="IZG516" s="1502"/>
      <c r="IZH516" s="1502"/>
      <c r="IZI516" s="1502"/>
      <c r="IZJ516" s="1502"/>
      <c r="IZK516" s="1502"/>
      <c r="IZL516" s="1502"/>
      <c r="IZM516" s="1502"/>
      <c r="IZN516" s="1502"/>
      <c r="IZO516" s="1502"/>
      <c r="IZP516" s="1502"/>
      <c r="IZQ516" s="1502"/>
      <c r="IZR516" s="1502"/>
      <c r="IZS516" s="1502"/>
      <c r="IZT516" s="1502"/>
      <c r="IZU516" s="1502"/>
      <c r="IZV516" s="1502"/>
      <c r="IZW516" s="1502"/>
      <c r="IZX516" s="1502"/>
      <c r="IZY516" s="1502"/>
      <c r="IZZ516" s="1502"/>
      <c r="JAA516" s="1502"/>
      <c r="JAB516" s="1502"/>
      <c r="JAC516" s="1502"/>
      <c r="JAD516" s="1502"/>
      <c r="JAE516" s="1502"/>
      <c r="JAF516" s="1502"/>
      <c r="JAG516" s="1502"/>
      <c r="JAH516" s="1502"/>
      <c r="JAI516" s="1502"/>
      <c r="JAJ516" s="1502"/>
      <c r="JAK516" s="1502"/>
      <c r="JAL516" s="1502"/>
      <c r="JAM516" s="1502"/>
      <c r="JAN516" s="1502"/>
      <c r="JAO516" s="1502"/>
      <c r="JAP516" s="1502"/>
      <c r="JAQ516" s="1502"/>
      <c r="JAR516" s="1502"/>
      <c r="JAS516" s="1502"/>
      <c r="JAT516" s="1502"/>
      <c r="JAU516" s="1502"/>
      <c r="JAV516" s="1502"/>
      <c r="JAW516" s="1502"/>
      <c r="JAX516" s="1502"/>
      <c r="JAY516" s="1502"/>
      <c r="JAZ516" s="1502"/>
      <c r="JBA516" s="1502"/>
      <c r="JBB516" s="1502"/>
      <c r="JBC516" s="1502"/>
      <c r="JBD516" s="1502"/>
      <c r="JBE516" s="1502"/>
      <c r="JBF516" s="1502"/>
      <c r="JBG516" s="1502"/>
      <c r="JBH516" s="1502"/>
      <c r="JBI516" s="1502"/>
      <c r="JBJ516" s="1502"/>
      <c r="JBK516" s="1502"/>
      <c r="JBL516" s="1502"/>
      <c r="JBM516" s="1502"/>
      <c r="JBN516" s="1502"/>
      <c r="JBO516" s="1502"/>
      <c r="JBP516" s="1502"/>
      <c r="JBQ516" s="1502"/>
      <c r="JBR516" s="1502"/>
      <c r="JBS516" s="1502"/>
      <c r="JBT516" s="1502"/>
      <c r="JBU516" s="1502"/>
      <c r="JBV516" s="1502"/>
      <c r="JBW516" s="1502"/>
      <c r="JBX516" s="1502"/>
      <c r="JBY516" s="1502"/>
      <c r="JBZ516" s="1502"/>
      <c r="JCA516" s="1502"/>
      <c r="JCB516" s="1502"/>
      <c r="JCC516" s="1502"/>
      <c r="JCD516" s="1502"/>
      <c r="JCE516" s="1502"/>
      <c r="JCF516" s="1502"/>
      <c r="JCG516" s="1502"/>
      <c r="JCH516" s="1502"/>
      <c r="JCI516" s="1502"/>
      <c r="JCJ516" s="1502"/>
      <c r="JCK516" s="1502"/>
      <c r="JCL516" s="1502"/>
      <c r="JCM516" s="1502"/>
      <c r="JCN516" s="1502"/>
      <c r="JCO516" s="1502"/>
      <c r="JCP516" s="1502"/>
      <c r="JCQ516" s="1502"/>
      <c r="JCR516" s="1502"/>
      <c r="JCS516" s="1502"/>
      <c r="JCT516" s="1502"/>
      <c r="JCU516" s="1502"/>
      <c r="JCV516" s="1502"/>
      <c r="JCW516" s="1502"/>
      <c r="JCX516" s="1502"/>
      <c r="JCY516" s="1502"/>
      <c r="JCZ516" s="1502"/>
      <c r="JDA516" s="1502"/>
      <c r="JDB516" s="1502"/>
      <c r="JDC516" s="1502"/>
      <c r="JDD516" s="1502"/>
      <c r="JDE516" s="1502"/>
      <c r="JDF516" s="1502"/>
      <c r="JDG516" s="1502"/>
      <c r="JDH516" s="1502"/>
      <c r="JDI516" s="1502"/>
      <c r="JDJ516" s="1502"/>
      <c r="JDK516" s="1502"/>
      <c r="JDL516" s="1502"/>
      <c r="JDM516" s="1502"/>
      <c r="JDN516" s="1502"/>
      <c r="JDO516" s="1502"/>
      <c r="JDP516" s="1502"/>
      <c r="JDQ516" s="1502"/>
      <c r="JDR516" s="1502"/>
      <c r="JDS516" s="1502"/>
      <c r="JDT516" s="1502"/>
      <c r="JDU516" s="1502"/>
      <c r="JDV516" s="1502"/>
      <c r="JDW516" s="1502"/>
      <c r="JDX516" s="1502"/>
      <c r="JDY516" s="1502"/>
      <c r="JDZ516" s="1502"/>
      <c r="JEA516" s="1502"/>
      <c r="JEB516" s="1502"/>
      <c r="JEC516" s="1502"/>
      <c r="JED516" s="1502"/>
      <c r="JEE516" s="1502"/>
      <c r="JEF516" s="1502"/>
      <c r="JEG516" s="1502"/>
      <c r="JEH516" s="1502"/>
      <c r="JEI516" s="1502"/>
      <c r="JEJ516" s="1502"/>
      <c r="JEK516" s="1502"/>
      <c r="JEL516" s="1502"/>
      <c r="JEM516" s="1502"/>
      <c r="JEN516" s="1502"/>
      <c r="JEO516" s="1502"/>
      <c r="JEP516" s="1502"/>
      <c r="JEQ516" s="1502"/>
      <c r="JER516" s="1502"/>
      <c r="JES516" s="1502"/>
      <c r="JET516" s="1502"/>
      <c r="JEU516" s="1502"/>
      <c r="JEV516" s="1502"/>
      <c r="JEW516" s="1502"/>
      <c r="JEX516" s="1502"/>
      <c r="JEY516" s="1502"/>
      <c r="JEZ516" s="1502"/>
      <c r="JFA516" s="1502"/>
      <c r="JFB516" s="1502"/>
      <c r="JFC516" s="1502"/>
      <c r="JFD516" s="1502"/>
      <c r="JFE516" s="1502"/>
      <c r="JFF516" s="1502"/>
      <c r="JFG516" s="1502"/>
      <c r="JFH516" s="1502"/>
      <c r="JFI516" s="1502"/>
      <c r="JFJ516" s="1502"/>
      <c r="JFK516" s="1502"/>
      <c r="JFL516" s="1502"/>
      <c r="JFM516" s="1502"/>
      <c r="JFN516" s="1502"/>
      <c r="JFO516" s="1502"/>
      <c r="JFP516" s="1502"/>
      <c r="JFQ516" s="1502"/>
      <c r="JFR516" s="1502"/>
      <c r="JFS516" s="1502"/>
      <c r="JFT516" s="1502"/>
      <c r="JFU516" s="1502"/>
      <c r="JFV516" s="1502"/>
      <c r="JFW516" s="1502"/>
      <c r="JFX516" s="1502"/>
      <c r="JFY516" s="1502"/>
      <c r="JFZ516" s="1502"/>
      <c r="JGA516" s="1502"/>
      <c r="JGB516" s="1502"/>
      <c r="JGC516" s="1502"/>
      <c r="JGD516" s="1502"/>
      <c r="JGE516" s="1502"/>
      <c r="JGF516" s="1502"/>
      <c r="JGG516" s="1502"/>
      <c r="JGH516" s="1502"/>
      <c r="JGI516" s="1502"/>
      <c r="JGJ516" s="1502"/>
      <c r="JGK516" s="1502"/>
      <c r="JGL516" s="1502"/>
      <c r="JGM516" s="1502"/>
      <c r="JGN516" s="1502"/>
      <c r="JGO516" s="1502"/>
      <c r="JGP516" s="1502"/>
      <c r="JGQ516" s="1502"/>
      <c r="JGR516" s="1502"/>
      <c r="JGS516" s="1502"/>
      <c r="JGT516" s="1502"/>
      <c r="JGU516" s="1502"/>
      <c r="JGV516" s="1502"/>
      <c r="JGW516" s="1502"/>
      <c r="JGX516" s="1502"/>
      <c r="JGY516" s="1502"/>
      <c r="JGZ516" s="1502"/>
      <c r="JHA516" s="1502"/>
      <c r="JHB516" s="1502"/>
      <c r="JHC516" s="1502"/>
      <c r="JHD516" s="1502"/>
      <c r="JHE516" s="1502"/>
      <c r="JHF516" s="1502"/>
      <c r="JHG516" s="1502"/>
      <c r="JHH516" s="1502"/>
      <c r="JHI516" s="1502"/>
      <c r="JHJ516" s="1502"/>
      <c r="JHK516" s="1502"/>
      <c r="JHL516" s="1502"/>
      <c r="JHM516" s="1502"/>
      <c r="JHN516" s="1502"/>
      <c r="JHO516" s="1502"/>
      <c r="JHP516" s="1502"/>
      <c r="JHQ516" s="1502"/>
      <c r="JHR516" s="1502"/>
      <c r="JHS516" s="1502"/>
      <c r="JHT516" s="1502"/>
      <c r="JHU516" s="1502"/>
      <c r="JHV516" s="1502"/>
      <c r="JHW516" s="1502"/>
      <c r="JHX516" s="1502"/>
      <c r="JHY516" s="1502"/>
      <c r="JHZ516" s="1502"/>
      <c r="JIA516" s="1502"/>
      <c r="JIB516" s="1502"/>
      <c r="JIC516" s="1502"/>
      <c r="JID516" s="1502"/>
      <c r="JIE516" s="1502"/>
      <c r="JIF516" s="1502"/>
      <c r="JIG516" s="1502"/>
      <c r="JIH516" s="1502"/>
      <c r="JII516" s="1502"/>
      <c r="JIJ516" s="1502"/>
      <c r="JIK516" s="1502"/>
      <c r="JIL516" s="1502"/>
      <c r="JIM516" s="1502"/>
      <c r="JIN516" s="1502"/>
      <c r="JIO516" s="1502"/>
      <c r="JIP516" s="1502"/>
      <c r="JIQ516" s="1502"/>
      <c r="JIR516" s="1502"/>
      <c r="JIS516" s="1502"/>
      <c r="JIT516" s="1502"/>
      <c r="JIU516" s="1502"/>
      <c r="JIV516" s="1502"/>
      <c r="JIW516" s="1502"/>
      <c r="JIX516" s="1502"/>
      <c r="JIY516" s="1502"/>
      <c r="JIZ516" s="1502"/>
      <c r="JJA516" s="1502"/>
      <c r="JJB516" s="1502"/>
      <c r="JJC516" s="1502"/>
      <c r="JJD516" s="1502"/>
      <c r="JJE516" s="1502"/>
      <c r="JJF516" s="1502"/>
      <c r="JJG516" s="1502"/>
      <c r="JJH516" s="1502"/>
      <c r="JJI516" s="1502"/>
      <c r="JJJ516" s="1502"/>
      <c r="JJK516" s="1502"/>
      <c r="JJL516" s="1502"/>
      <c r="JJM516" s="1502"/>
      <c r="JJN516" s="1502"/>
      <c r="JJO516" s="1502"/>
      <c r="JJP516" s="1502"/>
      <c r="JJQ516" s="1502"/>
      <c r="JJR516" s="1502"/>
      <c r="JJS516" s="1502"/>
      <c r="JJT516" s="1502"/>
      <c r="JJU516" s="1502"/>
      <c r="JJV516" s="1502"/>
      <c r="JJW516" s="1502"/>
      <c r="JJX516" s="1502"/>
      <c r="JJY516" s="1502"/>
      <c r="JJZ516" s="1502"/>
      <c r="JKA516" s="1502"/>
      <c r="JKB516" s="1502"/>
      <c r="JKC516" s="1502"/>
      <c r="JKD516" s="1502"/>
      <c r="JKE516" s="1502"/>
      <c r="JKF516" s="1502"/>
      <c r="JKG516" s="1502"/>
      <c r="JKH516" s="1502"/>
      <c r="JKI516" s="1502"/>
      <c r="JKJ516" s="1502"/>
      <c r="JKK516" s="1502"/>
      <c r="JKL516" s="1502"/>
      <c r="JKM516" s="1502"/>
      <c r="JKN516" s="1502"/>
      <c r="JKO516" s="1502"/>
      <c r="JKP516" s="1502"/>
      <c r="JKQ516" s="1502"/>
      <c r="JKR516" s="1502"/>
      <c r="JKS516" s="1502"/>
      <c r="JKT516" s="1502"/>
      <c r="JKU516" s="1502"/>
      <c r="JKV516" s="1502"/>
      <c r="JKW516" s="1502"/>
      <c r="JKX516" s="1502"/>
      <c r="JKY516" s="1502"/>
      <c r="JKZ516" s="1502"/>
      <c r="JLA516" s="1502"/>
      <c r="JLB516" s="1502"/>
      <c r="JLC516" s="1502"/>
      <c r="JLD516" s="1502"/>
      <c r="JLE516" s="1502"/>
      <c r="JLF516" s="1502"/>
      <c r="JLG516" s="1502"/>
      <c r="JLH516" s="1502"/>
      <c r="JLI516" s="1502"/>
      <c r="JLJ516" s="1502"/>
      <c r="JLK516" s="1502"/>
      <c r="JLL516" s="1502"/>
      <c r="JLM516" s="1502"/>
      <c r="JLN516" s="1502"/>
      <c r="JLO516" s="1502"/>
      <c r="JLP516" s="1502"/>
      <c r="JLQ516" s="1502"/>
      <c r="JLR516" s="1502"/>
      <c r="JLS516" s="1502"/>
      <c r="JLT516" s="1502"/>
      <c r="JLU516" s="1502"/>
      <c r="JLV516" s="1502"/>
      <c r="JLW516" s="1502"/>
      <c r="JLX516" s="1502"/>
      <c r="JLY516" s="1502"/>
      <c r="JLZ516" s="1502"/>
      <c r="JMA516" s="1502"/>
      <c r="JMB516" s="1502"/>
      <c r="JMC516" s="1502"/>
      <c r="JMD516" s="1502"/>
      <c r="JME516" s="1502"/>
      <c r="JMF516" s="1502"/>
      <c r="JMG516" s="1502"/>
      <c r="JMH516" s="1502"/>
      <c r="JMI516" s="1502"/>
      <c r="JMJ516" s="1502"/>
      <c r="JMK516" s="1502"/>
      <c r="JML516" s="1502"/>
      <c r="JMM516" s="1502"/>
      <c r="JMN516" s="1502"/>
      <c r="JMO516" s="1502"/>
      <c r="JMP516" s="1502"/>
      <c r="JMQ516" s="1502"/>
      <c r="JMR516" s="1502"/>
      <c r="JMS516" s="1502"/>
      <c r="JMT516" s="1502"/>
      <c r="JMU516" s="1502"/>
      <c r="JMV516" s="1502"/>
      <c r="JMW516" s="1502"/>
      <c r="JMX516" s="1502"/>
      <c r="JMY516" s="1502"/>
      <c r="JMZ516" s="1502"/>
      <c r="JNA516" s="1502"/>
      <c r="JNB516" s="1502"/>
      <c r="JNC516" s="1502"/>
      <c r="JND516" s="1502"/>
      <c r="JNE516" s="1502"/>
      <c r="JNF516" s="1502"/>
      <c r="JNG516" s="1502"/>
      <c r="JNH516" s="1502"/>
      <c r="JNI516" s="1502"/>
      <c r="JNJ516" s="1502"/>
      <c r="JNK516" s="1502"/>
      <c r="JNL516" s="1502"/>
      <c r="JNM516" s="1502"/>
      <c r="JNN516" s="1502"/>
      <c r="JNO516" s="1502"/>
      <c r="JNP516" s="1502"/>
      <c r="JNQ516" s="1502"/>
      <c r="JNR516" s="1502"/>
      <c r="JNS516" s="1502"/>
      <c r="JNT516" s="1502"/>
      <c r="JNU516" s="1502"/>
      <c r="JNV516" s="1502"/>
      <c r="JNW516" s="1502"/>
      <c r="JNX516" s="1502"/>
      <c r="JNY516" s="1502"/>
      <c r="JNZ516" s="1502"/>
      <c r="JOA516" s="1502"/>
      <c r="JOB516" s="1502"/>
      <c r="JOC516" s="1502"/>
      <c r="JOD516" s="1502"/>
      <c r="JOE516" s="1502"/>
      <c r="JOF516" s="1502"/>
      <c r="JOG516" s="1502"/>
      <c r="JOH516" s="1502"/>
      <c r="JOI516" s="1502"/>
      <c r="JOJ516" s="1502"/>
      <c r="JOK516" s="1502"/>
      <c r="JOL516" s="1502"/>
      <c r="JOM516" s="1502"/>
      <c r="JON516" s="1502"/>
      <c r="JOO516" s="1502"/>
      <c r="JOP516" s="1502"/>
      <c r="JOQ516" s="1502"/>
      <c r="JOR516" s="1502"/>
      <c r="JOS516" s="1502"/>
      <c r="JOT516" s="1502"/>
      <c r="JOU516" s="1502"/>
      <c r="JOV516" s="1502"/>
      <c r="JOW516" s="1502"/>
      <c r="JOX516" s="1502"/>
      <c r="JOY516" s="1502"/>
      <c r="JOZ516" s="1502"/>
      <c r="JPA516" s="1502"/>
      <c r="JPB516" s="1502"/>
      <c r="JPC516" s="1502"/>
      <c r="JPD516" s="1502"/>
      <c r="JPE516" s="1502"/>
      <c r="JPF516" s="1502"/>
      <c r="JPG516" s="1502"/>
      <c r="JPH516" s="1502"/>
      <c r="JPI516" s="1502"/>
      <c r="JPJ516" s="1502"/>
      <c r="JPK516" s="1502"/>
      <c r="JPL516" s="1502"/>
      <c r="JPM516" s="1502"/>
      <c r="JPN516" s="1502"/>
      <c r="JPO516" s="1502"/>
      <c r="JPP516" s="1502"/>
      <c r="JPQ516" s="1502"/>
      <c r="JPR516" s="1502"/>
      <c r="JPS516" s="1502"/>
      <c r="JPT516" s="1502"/>
      <c r="JPU516" s="1502"/>
      <c r="JPV516" s="1502"/>
      <c r="JPW516" s="1502"/>
      <c r="JPX516" s="1502"/>
      <c r="JPY516" s="1502"/>
      <c r="JPZ516" s="1502"/>
      <c r="JQA516" s="1502"/>
      <c r="JQB516" s="1502"/>
      <c r="JQC516" s="1502"/>
      <c r="JQD516" s="1502"/>
      <c r="JQE516" s="1502"/>
      <c r="JQF516" s="1502"/>
      <c r="JQG516" s="1502"/>
      <c r="JQH516" s="1502"/>
      <c r="JQI516" s="1502"/>
      <c r="JQJ516" s="1502"/>
      <c r="JQK516" s="1502"/>
      <c r="JQL516" s="1502"/>
      <c r="JQM516" s="1502"/>
      <c r="JQN516" s="1502"/>
      <c r="JQO516" s="1502"/>
      <c r="JQP516" s="1502"/>
      <c r="JQQ516" s="1502"/>
      <c r="JQR516" s="1502"/>
      <c r="JQS516" s="1502"/>
      <c r="JQT516" s="1502"/>
      <c r="JQU516" s="1502"/>
      <c r="JQV516" s="1502"/>
      <c r="JQW516" s="1502"/>
      <c r="JQX516" s="1502"/>
      <c r="JQY516" s="1502"/>
      <c r="JQZ516" s="1502"/>
      <c r="JRA516" s="1502"/>
      <c r="JRB516" s="1502"/>
      <c r="JRC516" s="1502"/>
      <c r="JRD516" s="1502"/>
      <c r="JRE516" s="1502"/>
      <c r="JRF516" s="1502"/>
      <c r="JRG516" s="1502"/>
      <c r="JRH516" s="1502"/>
      <c r="JRI516" s="1502"/>
      <c r="JRJ516" s="1502"/>
      <c r="JRK516" s="1502"/>
      <c r="JRL516" s="1502"/>
      <c r="JRM516" s="1502"/>
      <c r="JRN516" s="1502"/>
      <c r="JRO516" s="1502"/>
      <c r="JRP516" s="1502"/>
      <c r="JRQ516" s="1502"/>
      <c r="JRR516" s="1502"/>
      <c r="JRS516" s="1502"/>
      <c r="JRT516" s="1502"/>
      <c r="JRU516" s="1502"/>
      <c r="JRV516" s="1502"/>
      <c r="JRW516" s="1502"/>
      <c r="JRX516" s="1502"/>
      <c r="JRY516" s="1502"/>
      <c r="JRZ516" s="1502"/>
      <c r="JSA516" s="1502"/>
      <c r="JSB516" s="1502"/>
      <c r="JSC516" s="1502"/>
      <c r="JSD516" s="1502"/>
      <c r="JSE516" s="1502"/>
      <c r="JSF516" s="1502"/>
      <c r="JSG516" s="1502"/>
      <c r="JSH516" s="1502"/>
      <c r="JSI516" s="1502"/>
      <c r="JSJ516" s="1502"/>
      <c r="JSK516" s="1502"/>
      <c r="JSL516" s="1502"/>
      <c r="JSM516" s="1502"/>
      <c r="JSN516" s="1502"/>
      <c r="JSO516" s="1502"/>
      <c r="JSP516" s="1502"/>
      <c r="JSQ516" s="1502"/>
      <c r="JSR516" s="1502"/>
      <c r="JSS516" s="1502"/>
      <c r="JST516" s="1502"/>
      <c r="JSU516" s="1502"/>
      <c r="JSV516" s="1502"/>
      <c r="JSW516" s="1502"/>
      <c r="JSX516" s="1502"/>
      <c r="JSY516" s="1502"/>
      <c r="JSZ516" s="1502"/>
      <c r="JTA516" s="1502"/>
      <c r="JTB516" s="1502"/>
      <c r="JTC516" s="1502"/>
      <c r="JTD516" s="1502"/>
      <c r="JTE516" s="1502"/>
      <c r="JTF516" s="1502"/>
      <c r="JTG516" s="1502"/>
      <c r="JTH516" s="1502"/>
      <c r="JTI516" s="1502"/>
      <c r="JTJ516" s="1502"/>
      <c r="JTK516" s="1502"/>
      <c r="JTL516" s="1502"/>
      <c r="JTM516" s="1502"/>
      <c r="JTN516" s="1502"/>
      <c r="JTO516" s="1502"/>
      <c r="JTP516" s="1502"/>
      <c r="JTQ516" s="1502"/>
      <c r="JTR516" s="1502"/>
      <c r="JTS516" s="1502"/>
      <c r="JTT516" s="1502"/>
      <c r="JTU516" s="1502"/>
      <c r="JTV516" s="1502"/>
      <c r="JTW516" s="1502"/>
      <c r="JTX516" s="1502"/>
      <c r="JTY516" s="1502"/>
      <c r="JTZ516" s="1502"/>
      <c r="JUA516" s="1502"/>
      <c r="JUB516" s="1502"/>
      <c r="JUC516" s="1502"/>
      <c r="JUD516" s="1502"/>
      <c r="JUE516" s="1502"/>
      <c r="JUF516" s="1502"/>
      <c r="JUG516" s="1502"/>
      <c r="JUH516" s="1502"/>
      <c r="JUI516" s="1502"/>
      <c r="JUJ516" s="1502"/>
      <c r="JUK516" s="1502"/>
      <c r="JUL516" s="1502"/>
      <c r="JUM516" s="1502"/>
      <c r="JUN516" s="1502"/>
      <c r="JUO516" s="1502"/>
      <c r="JUP516" s="1502"/>
      <c r="JUQ516" s="1502"/>
      <c r="JUR516" s="1502"/>
      <c r="JUS516" s="1502"/>
      <c r="JUT516" s="1502"/>
      <c r="JUU516" s="1502"/>
      <c r="JUV516" s="1502"/>
      <c r="JUW516" s="1502"/>
      <c r="JUX516" s="1502"/>
      <c r="JUY516" s="1502"/>
      <c r="JUZ516" s="1502"/>
      <c r="JVA516" s="1502"/>
      <c r="JVB516" s="1502"/>
      <c r="JVC516" s="1502"/>
      <c r="JVD516" s="1502"/>
      <c r="JVE516" s="1502"/>
      <c r="JVF516" s="1502"/>
      <c r="JVG516" s="1502"/>
      <c r="JVH516" s="1502"/>
      <c r="JVI516" s="1502"/>
      <c r="JVJ516" s="1502"/>
      <c r="JVK516" s="1502"/>
      <c r="JVL516" s="1502"/>
      <c r="JVM516" s="1502"/>
      <c r="JVN516" s="1502"/>
      <c r="JVO516" s="1502"/>
      <c r="JVP516" s="1502"/>
      <c r="JVQ516" s="1502"/>
      <c r="JVR516" s="1502"/>
      <c r="JVS516" s="1502"/>
      <c r="JVT516" s="1502"/>
      <c r="JVU516" s="1502"/>
      <c r="JVV516" s="1502"/>
      <c r="JVW516" s="1502"/>
      <c r="JVX516" s="1502"/>
      <c r="JVY516" s="1502"/>
      <c r="JVZ516" s="1502"/>
      <c r="JWA516" s="1502"/>
      <c r="JWB516" s="1502"/>
      <c r="JWC516" s="1502"/>
      <c r="JWD516" s="1502"/>
      <c r="JWE516" s="1502"/>
      <c r="JWF516" s="1502"/>
      <c r="JWG516" s="1502"/>
      <c r="JWH516" s="1502"/>
      <c r="JWI516" s="1502"/>
      <c r="JWJ516" s="1502"/>
      <c r="JWK516" s="1502"/>
      <c r="JWL516" s="1502"/>
      <c r="JWM516" s="1502"/>
      <c r="JWN516" s="1502"/>
      <c r="JWO516" s="1502"/>
      <c r="JWP516" s="1502"/>
      <c r="JWQ516" s="1502"/>
      <c r="JWR516" s="1502"/>
      <c r="JWS516" s="1502"/>
      <c r="JWT516" s="1502"/>
      <c r="JWU516" s="1502"/>
      <c r="JWV516" s="1502"/>
      <c r="JWW516" s="1502"/>
      <c r="JWX516" s="1502"/>
      <c r="JWY516" s="1502"/>
      <c r="JWZ516" s="1502"/>
      <c r="JXA516" s="1502"/>
      <c r="JXB516" s="1502"/>
      <c r="JXC516" s="1502"/>
      <c r="JXD516" s="1502"/>
      <c r="JXE516" s="1502"/>
      <c r="JXF516" s="1502"/>
      <c r="JXG516" s="1502"/>
      <c r="JXH516" s="1502"/>
      <c r="JXI516" s="1502"/>
      <c r="JXJ516" s="1502"/>
      <c r="JXK516" s="1502"/>
      <c r="JXL516" s="1502"/>
      <c r="JXM516" s="1502"/>
      <c r="JXN516" s="1502"/>
      <c r="JXO516" s="1502"/>
      <c r="JXP516" s="1502"/>
      <c r="JXQ516" s="1502"/>
      <c r="JXR516" s="1502"/>
      <c r="JXS516" s="1502"/>
      <c r="JXT516" s="1502"/>
      <c r="JXU516" s="1502"/>
      <c r="JXV516" s="1502"/>
      <c r="JXW516" s="1502"/>
      <c r="JXX516" s="1502"/>
      <c r="JXY516" s="1502"/>
      <c r="JXZ516" s="1502"/>
      <c r="JYA516" s="1502"/>
      <c r="JYB516" s="1502"/>
      <c r="JYC516" s="1502"/>
      <c r="JYD516" s="1502"/>
      <c r="JYE516" s="1502"/>
      <c r="JYF516" s="1502"/>
      <c r="JYG516" s="1502"/>
      <c r="JYH516" s="1502"/>
      <c r="JYI516" s="1502"/>
      <c r="JYJ516" s="1502"/>
      <c r="JYK516" s="1502"/>
      <c r="JYL516" s="1502"/>
      <c r="JYM516" s="1502"/>
      <c r="JYN516" s="1502"/>
      <c r="JYO516" s="1502"/>
      <c r="JYP516" s="1502"/>
      <c r="JYQ516" s="1502"/>
      <c r="JYR516" s="1502"/>
      <c r="JYS516" s="1502"/>
      <c r="JYT516" s="1502"/>
      <c r="JYU516" s="1502"/>
      <c r="JYV516" s="1502"/>
      <c r="JYW516" s="1502"/>
      <c r="JYX516" s="1502"/>
      <c r="JYY516" s="1502"/>
      <c r="JYZ516" s="1502"/>
      <c r="JZA516" s="1502"/>
      <c r="JZB516" s="1502"/>
      <c r="JZC516" s="1502"/>
      <c r="JZD516" s="1502"/>
      <c r="JZE516" s="1502"/>
      <c r="JZF516" s="1502"/>
      <c r="JZG516" s="1502"/>
      <c r="JZH516" s="1502"/>
      <c r="JZI516" s="1502"/>
      <c r="JZJ516" s="1502"/>
      <c r="JZK516" s="1502"/>
      <c r="JZL516" s="1502"/>
      <c r="JZM516" s="1502"/>
      <c r="JZN516" s="1502"/>
      <c r="JZO516" s="1502"/>
      <c r="JZP516" s="1502"/>
      <c r="JZQ516" s="1502"/>
      <c r="JZR516" s="1502"/>
      <c r="JZS516" s="1502"/>
      <c r="JZT516" s="1502"/>
      <c r="JZU516" s="1502"/>
      <c r="JZV516" s="1502"/>
      <c r="JZW516" s="1502"/>
      <c r="JZX516" s="1502"/>
      <c r="JZY516" s="1502"/>
      <c r="JZZ516" s="1502"/>
      <c r="KAA516" s="1502"/>
      <c r="KAB516" s="1502"/>
      <c r="KAC516" s="1502"/>
      <c r="KAD516" s="1502"/>
      <c r="KAE516" s="1502"/>
      <c r="KAF516" s="1502"/>
      <c r="KAG516" s="1502"/>
      <c r="KAH516" s="1502"/>
      <c r="KAI516" s="1502"/>
      <c r="KAJ516" s="1502"/>
      <c r="KAK516" s="1502"/>
      <c r="KAL516" s="1502"/>
      <c r="KAM516" s="1502"/>
      <c r="KAN516" s="1502"/>
      <c r="KAO516" s="1502"/>
      <c r="KAP516" s="1502"/>
      <c r="KAQ516" s="1502"/>
      <c r="KAR516" s="1502"/>
      <c r="KAS516" s="1502"/>
      <c r="KAT516" s="1502"/>
      <c r="KAU516" s="1502"/>
      <c r="KAV516" s="1502"/>
      <c r="KAW516" s="1502"/>
      <c r="KAX516" s="1502"/>
      <c r="KAY516" s="1502"/>
      <c r="KAZ516" s="1502"/>
      <c r="KBA516" s="1502"/>
      <c r="KBB516" s="1502"/>
      <c r="KBC516" s="1502"/>
      <c r="KBD516" s="1502"/>
      <c r="KBE516" s="1502"/>
      <c r="KBF516" s="1502"/>
      <c r="KBG516" s="1502"/>
      <c r="KBH516" s="1502"/>
      <c r="KBI516" s="1502"/>
      <c r="KBJ516" s="1502"/>
      <c r="KBK516" s="1502"/>
      <c r="KBL516" s="1502"/>
      <c r="KBM516" s="1502"/>
      <c r="KBN516" s="1502"/>
      <c r="KBO516" s="1502"/>
      <c r="KBP516" s="1502"/>
      <c r="KBQ516" s="1502"/>
      <c r="KBR516" s="1502"/>
      <c r="KBS516" s="1502"/>
      <c r="KBT516" s="1502"/>
      <c r="KBU516" s="1502"/>
      <c r="KBV516" s="1502"/>
      <c r="KBW516" s="1502"/>
      <c r="KBX516" s="1502"/>
      <c r="KBY516" s="1502"/>
      <c r="KBZ516" s="1502"/>
      <c r="KCA516" s="1502"/>
      <c r="KCB516" s="1502"/>
      <c r="KCC516" s="1502"/>
      <c r="KCD516" s="1502"/>
      <c r="KCE516" s="1502"/>
      <c r="KCF516" s="1502"/>
      <c r="KCG516" s="1502"/>
      <c r="KCH516" s="1502"/>
      <c r="KCI516" s="1502"/>
      <c r="KCJ516" s="1502"/>
      <c r="KCK516" s="1502"/>
      <c r="KCL516" s="1502"/>
      <c r="KCM516" s="1502"/>
      <c r="KCN516" s="1502"/>
      <c r="KCO516" s="1502"/>
      <c r="KCP516" s="1502"/>
      <c r="KCQ516" s="1502"/>
      <c r="KCR516" s="1502"/>
      <c r="KCS516" s="1502"/>
      <c r="KCT516" s="1502"/>
      <c r="KCU516" s="1502"/>
      <c r="KCV516" s="1502"/>
      <c r="KCW516" s="1502"/>
      <c r="KCX516" s="1502"/>
      <c r="KCY516" s="1502"/>
      <c r="KCZ516" s="1502"/>
      <c r="KDA516" s="1502"/>
      <c r="KDB516" s="1502"/>
      <c r="KDC516" s="1502"/>
      <c r="KDD516" s="1502"/>
      <c r="KDE516" s="1502"/>
      <c r="KDF516" s="1502"/>
      <c r="KDG516" s="1502"/>
      <c r="KDH516" s="1502"/>
      <c r="KDI516" s="1502"/>
      <c r="KDJ516" s="1502"/>
      <c r="KDK516" s="1502"/>
      <c r="KDL516" s="1502"/>
      <c r="KDM516" s="1502"/>
      <c r="KDN516" s="1502"/>
      <c r="KDO516" s="1502"/>
      <c r="KDP516" s="1502"/>
      <c r="KDQ516" s="1502"/>
      <c r="KDR516" s="1502"/>
      <c r="KDS516" s="1502"/>
      <c r="KDT516" s="1502"/>
      <c r="KDU516" s="1502"/>
      <c r="KDV516" s="1502"/>
      <c r="KDW516" s="1502"/>
      <c r="KDX516" s="1502"/>
      <c r="KDY516" s="1502"/>
      <c r="KDZ516" s="1502"/>
      <c r="KEA516" s="1502"/>
      <c r="KEB516" s="1502"/>
      <c r="KEC516" s="1502"/>
      <c r="KED516" s="1502"/>
      <c r="KEE516" s="1502"/>
      <c r="KEF516" s="1502"/>
      <c r="KEG516" s="1502"/>
      <c r="KEH516" s="1502"/>
      <c r="KEI516" s="1502"/>
      <c r="KEJ516" s="1502"/>
      <c r="KEK516" s="1502"/>
      <c r="KEL516" s="1502"/>
      <c r="KEM516" s="1502"/>
      <c r="KEN516" s="1502"/>
      <c r="KEO516" s="1502"/>
      <c r="KEP516" s="1502"/>
      <c r="KEQ516" s="1502"/>
      <c r="KER516" s="1502"/>
      <c r="KES516" s="1502"/>
      <c r="KET516" s="1502"/>
      <c r="KEU516" s="1502"/>
      <c r="KEV516" s="1502"/>
      <c r="KEW516" s="1502"/>
      <c r="KEX516" s="1502"/>
      <c r="KEY516" s="1502"/>
      <c r="KEZ516" s="1502"/>
      <c r="KFA516" s="1502"/>
      <c r="KFB516" s="1502"/>
      <c r="KFC516" s="1502"/>
      <c r="KFD516" s="1502"/>
      <c r="KFE516" s="1502"/>
      <c r="KFF516" s="1502"/>
      <c r="KFG516" s="1502"/>
      <c r="KFH516" s="1502"/>
      <c r="KFI516" s="1502"/>
      <c r="KFJ516" s="1502"/>
      <c r="KFK516" s="1502"/>
      <c r="KFL516" s="1502"/>
      <c r="KFM516" s="1502"/>
      <c r="KFN516" s="1502"/>
      <c r="KFO516" s="1502"/>
      <c r="KFP516" s="1502"/>
      <c r="KFQ516" s="1502"/>
      <c r="KFR516" s="1502"/>
      <c r="KFS516" s="1502"/>
      <c r="KFT516" s="1502"/>
      <c r="KFU516" s="1502"/>
      <c r="KFV516" s="1502"/>
      <c r="KFW516" s="1502"/>
      <c r="KFX516" s="1502"/>
      <c r="KFY516" s="1502"/>
      <c r="KFZ516" s="1502"/>
      <c r="KGA516" s="1502"/>
      <c r="KGB516" s="1502"/>
      <c r="KGC516" s="1502"/>
      <c r="KGD516" s="1502"/>
      <c r="KGE516" s="1502"/>
      <c r="KGF516" s="1502"/>
      <c r="KGG516" s="1502"/>
      <c r="KGH516" s="1502"/>
      <c r="KGI516" s="1502"/>
      <c r="KGJ516" s="1502"/>
      <c r="KGK516" s="1502"/>
      <c r="KGL516" s="1502"/>
      <c r="KGM516" s="1502"/>
      <c r="KGN516" s="1502"/>
      <c r="KGO516" s="1502"/>
      <c r="KGP516" s="1502"/>
      <c r="KGQ516" s="1502"/>
      <c r="KGR516" s="1502"/>
      <c r="KGS516" s="1502"/>
      <c r="KGT516" s="1502"/>
      <c r="KGU516" s="1502"/>
      <c r="KGV516" s="1502"/>
      <c r="KGW516" s="1502"/>
      <c r="KGX516" s="1502"/>
      <c r="KGY516" s="1502"/>
      <c r="KGZ516" s="1502"/>
      <c r="KHA516" s="1502"/>
      <c r="KHB516" s="1502"/>
      <c r="KHC516" s="1502"/>
      <c r="KHD516" s="1502"/>
      <c r="KHE516" s="1502"/>
      <c r="KHF516" s="1502"/>
      <c r="KHG516" s="1502"/>
      <c r="KHH516" s="1502"/>
      <c r="KHI516" s="1502"/>
      <c r="KHJ516" s="1502"/>
      <c r="KHK516" s="1502"/>
      <c r="KHL516" s="1502"/>
      <c r="KHM516" s="1502"/>
      <c r="KHN516" s="1502"/>
      <c r="KHO516" s="1502"/>
      <c r="KHP516" s="1502"/>
      <c r="KHQ516" s="1502"/>
      <c r="KHR516" s="1502"/>
      <c r="KHS516" s="1502"/>
      <c r="KHT516" s="1502"/>
      <c r="KHU516" s="1502"/>
      <c r="KHV516" s="1502"/>
      <c r="KHW516" s="1502"/>
      <c r="KHX516" s="1502"/>
      <c r="KHY516" s="1502"/>
      <c r="KHZ516" s="1502"/>
      <c r="KIA516" s="1502"/>
      <c r="KIB516" s="1502"/>
      <c r="KIC516" s="1502"/>
      <c r="KID516" s="1502"/>
      <c r="KIE516" s="1502"/>
      <c r="KIF516" s="1502"/>
      <c r="KIG516" s="1502"/>
      <c r="KIH516" s="1502"/>
      <c r="KII516" s="1502"/>
      <c r="KIJ516" s="1502"/>
      <c r="KIK516" s="1502"/>
      <c r="KIL516" s="1502"/>
      <c r="KIM516" s="1502"/>
      <c r="KIN516" s="1502"/>
      <c r="KIO516" s="1502"/>
      <c r="KIP516" s="1502"/>
      <c r="KIQ516" s="1502"/>
      <c r="KIR516" s="1502"/>
      <c r="KIS516" s="1502"/>
      <c r="KIT516" s="1502"/>
      <c r="KIU516" s="1502"/>
      <c r="KIV516" s="1502"/>
      <c r="KIW516" s="1502"/>
      <c r="KIX516" s="1502"/>
      <c r="KIY516" s="1502"/>
      <c r="KIZ516" s="1502"/>
      <c r="KJA516" s="1502"/>
      <c r="KJB516" s="1502"/>
      <c r="KJC516" s="1502"/>
      <c r="KJD516" s="1502"/>
      <c r="KJE516" s="1502"/>
      <c r="KJF516" s="1502"/>
      <c r="KJG516" s="1502"/>
      <c r="KJH516" s="1502"/>
      <c r="KJI516" s="1502"/>
      <c r="KJJ516" s="1502"/>
      <c r="KJK516" s="1502"/>
      <c r="KJL516" s="1502"/>
      <c r="KJM516" s="1502"/>
      <c r="KJN516" s="1502"/>
      <c r="KJO516" s="1502"/>
      <c r="KJP516" s="1502"/>
      <c r="KJQ516" s="1502"/>
      <c r="KJR516" s="1502"/>
      <c r="KJS516" s="1502"/>
      <c r="KJT516" s="1502"/>
      <c r="KJU516" s="1502"/>
      <c r="KJV516" s="1502"/>
      <c r="KJW516" s="1502"/>
      <c r="KJX516" s="1502"/>
      <c r="KJY516" s="1502"/>
      <c r="KJZ516" s="1502"/>
      <c r="KKA516" s="1502"/>
      <c r="KKB516" s="1502"/>
      <c r="KKC516" s="1502"/>
      <c r="KKD516" s="1502"/>
      <c r="KKE516" s="1502"/>
      <c r="KKF516" s="1502"/>
      <c r="KKG516" s="1502"/>
      <c r="KKH516" s="1502"/>
      <c r="KKI516" s="1502"/>
      <c r="KKJ516" s="1502"/>
      <c r="KKK516" s="1502"/>
      <c r="KKL516" s="1502"/>
      <c r="KKM516" s="1502"/>
      <c r="KKN516" s="1502"/>
      <c r="KKO516" s="1502"/>
      <c r="KKP516" s="1502"/>
      <c r="KKQ516" s="1502"/>
      <c r="KKR516" s="1502"/>
      <c r="KKS516" s="1502"/>
      <c r="KKT516" s="1502"/>
      <c r="KKU516" s="1502"/>
      <c r="KKV516" s="1502"/>
      <c r="KKW516" s="1502"/>
      <c r="KKX516" s="1502"/>
      <c r="KKY516" s="1502"/>
      <c r="KKZ516" s="1502"/>
      <c r="KLA516" s="1502"/>
      <c r="KLB516" s="1502"/>
      <c r="KLC516" s="1502"/>
      <c r="KLD516" s="1502"/>
      <c r="KLE516" s="1502"/>
      <c r="KLF516" s="1502"/>
      <c r="KLG516" s="1502"/>
      <c r="KLH516" s="1502"/>
      <c r="KLI516" s="1502"/>
      <c r="KLJ516" s="1502"/>
      <c r="KLK516" s="1502"/>
      <c r="KLL516" s="1502"/>
      <c r="KLM516" s="1502"/>
      <c r="KLN516" s="1502"/>
      <c r="KLO516" s="1502"/>
      <c r="KLP516" s="1502"/>
      <c r="KLQ516" s="1502"/>
      <c r="KLR516" s="1502"/>
      <c r="KLS516" s="1502"/>
      <c r="KLT516" s="1502"/>
      <c r="KLU516" s="1502"/>
      <c r="KLV516" s="1502"/>
      <c r="KLW516" s="1502"/>
      <c r="KLX516" s="1502"/>
      <c r="KLY516" s="1502"/>
      <c r="KLZ516" s="1502"/>
      <c r="KMA516" s="1502"/>
      <c r="KMB516" s="1502"/>
      <c r="KMC516" s="1502"/>
      <c r="KMD516" s="1502"/>
      <c r="KME516" s="1502"/>
      <c r="KMF516" s="1502"/>
      <c r="KMG516" s="1502"/>
      <c r="KMH516" s="1502"/>
      <c r="KMI516" s="1502"/>
      <c r="KMJ516" s="1502"/>
      <c r="KMK516" s="1502"/>
      <c r="KML516" s="1502"/>
      <c r="KMM516" s="1502"/>
      <c r="KMN516" s="1502"/>
      <c r="KMO516" s="1502"/>
      <c r="KMP516" s="1502"/>
      <c r="KMQ516" s="1502"/>
      <c r="KMR516" s="1502"/>
      <c r="KMS516" s="1502"/>
      <c r="KMT516" s="1502"/>
      <c r="KMU516" s="1502"/>
      <c r="KMV516" s="1502"/>
      <c r="KMW516" s="1502"/>
      <c r="KMX516" s="1502"/>
      <c r="KMY516" s="1502"/>
      <c r="KMZ516" s="1502"/>
      <c r="KNA516" s="1502"/>
      <c r="KNB516" s="1502"/>
      <c r="KNC516" s="1502"/>
      <c r="KND516" s="1502"/>
      <c r="KNE516" s="1502"/>
      <c r="KNF516" s="1502"/>
      <c r="KNG516" s="1502"/>
      <c r="KNH516" s="1502"/>
      <c r="KNI516" s="1502"/>
      <c r="KNJ516" s="1502"/>
      <c r="KNK516" s="1502"/>
      <c r="KNL516" s="1502"/>
      <c r="KNM516" s="1502"/>
      <c r="KNN516" s="1502"/>
      <c r="KNO516" s="1502"/>
      <c r="KNP516" s="1502"/>
      <c r="KNQ516" s="1502"/>
      <c r="KNR516" s="1502"/>
      <c r="KNS516" s="1502"/>
      <c r="KNT516" s="1502"/>
      <c r="KNU516" s="1502"/>
      <c r="KNV516" s="1502"/>
      <c r="KNW516" s="1502"/>
      <c r="KNX516" s="1502"/>
      <c r="KNY516" s="1502"/>
      <c r="KNZ516" s="1502"/>
      <c r="KOA516" s="1502"/>
      <c r="KOB516" s="1502"/>
      <c r="KOC516" s="1502"/>
      <c r="KOD516" s="1502"/>
      <c r="KOE516" s="1502"/>
      <c r="KOF516" s="1502"/>
      <c r="KOG516" s="1502"/>
      <c r="KOH516" s="1502"/>
      <c r="KOI516" s="1502"/>
      <c r="KOJ516" s="1502"/>
      <c r="KOK516" s="1502"/>
      <c r="KOL516" s="1502"/>
      <c r="KOM516" s="1502"/>
      <c r="KON516" s="1502"/>
      <c r="KOO516" s="1502"/>
      <c r="KOP516" s="1502"/>
      <c r="KOQ516" s="1502"/>
      <c r="KOR516" s="1502"/>
      <c r="KOS516" s="1502"/>
      <c r="KOT516" s="1502"/>
      <c r="KOU516" s="1502"/>
      <c r="KOV516" s="1502"/>
      <c r="KOW516" s="1502"/>
      <c r="KOX516" s="1502"/>
      <c r="KOY516" s="1502"/>
      <c r="KOZ516" s="1502"/>
      <c r="KPA516" s="1502"/>
      <c r="KPB516" s="1502"/>
      <c r="KPC516" s="1502"/>
      <c r="KPD516" s="1502"/>
      <c r="KPE516" s="1502"/>
      <c r="KPF516" s="1502"/>
      <c r="KPG516" s="1502"/>
      <c r="KPH516" s="1502"/>
      <c r="KPI516" s="1502"/>
      <c r="KPJ516" s="1502"/>
      <c r="KPK516" s="1502"/>
      <c r="KPL516" s="1502"/>
      <c r="KPM516" s="1502"/>
      <c r="KPN516" s="1502"/>
      <c r="KPO516" s="1502"/>
      <c r="KPP516" s="1502"/>
      <c r="KPQ516" s="1502"/>
      <c r="KPR516" s="1502"/>
      <c r="KPS516" s="1502"/>
      <c r="KPT516" s="1502"/>
      <c r="KPU516" s="1502"/>
      <c r="KPV516" s="1502"/>
      <c r="KPW516" s="1502"/>
      <c r="KPX516" s="1502"/>
      <c r="KPY516" s="1502"/>
      <c r="KPZ516" s="1502"/>
      <c r="KQA516" s="1502"/>
      <c r="KQB516" s="1502"/>
      <c r="KQC516" s="1502"/>
      <c r="KQD516" s="1502"/>
      <c r="KQE516" s="1502"/>
      <c r="KQF516" s="1502"/>
      <c r="KQG516" s="1502"/>
      <c r="KQH516" s="1502"/>
      <c r="KQI516" s="1502"/>
      <c r="KQJ516" s="1502"/>
      <c r="KQK516" s="1502"/>
      <c r="KQL516" s="1502"/>
      <c r="KQM516" s="1502"/>
      <c r="KQN516" s="1502"/>
      <c r="KQO516" s="1502"/>
      <c r="KQP516" s="1502"/>
      <c r="KQQ516" s="1502"/>
      <c r="KQR516" s="1502"/>
      <c r="KQS516" s="1502"/>
      <c r="KQT516" s="1502"/>
      <c r="KQU516" s="1502"/>
      <c r="KQV516" s="1502"/>
      <c r="KQW516" s="1502"/>
      <c r="KQX516" s="1502"/>
      <c r="KQY516" s="1502"/>
      <c r="KQZ516" s="1502"/>
      <c r="KRA516" s="1502"/>
      <c r="KRB516" s="1502"/>
      <c r="KRC516" s="1502"/>
      <c r="KRD516" s="1502"/>
      <c r="KRE516" s="1502"/>
      <c r="KRF516" s="1502"/>
      <c r="KRG516" s="1502"/>
      <c r="KRH516" s="1502"/>
      <c r="KRI516" s="1502"/>
      <c r="KRJ516" s="1502"/>
      <c r="KRK516" s="1502"/>
      <c r="KRL516" s="1502"/>
      <c r="KRM516" s="1502"/>
      <c r="KRN516" s="1502"/>
      <c r="KRO516" s="1502"/>
      <c r="KRP516" s="1502"/>
      <c r="KRQ516" s="1502"/>
      <c r="KRR516" s="1502"/>
      <c r="KRS516" s="1502"/>
      <c r="KRT516" s="1502"/>
      <c r="KRU516" s="1502"/>
      <c r="KRV516" s="1502"/>
      <c r="KRW516" s="1502"/>
      <c r="KRX516" s="1502"/>
      <c r="KRY516" s="1502"/>
      <c r="KRZ516" s="1502"/>
      <c r="KSA516" s="1502"/>
      <c r="KSB516" s="1502"/>
      <c r="KSC516" s="1502"/>
      <c r="KSD516" s="1502"/>
      <c r="KSE516" s="1502"/>
      <c r="KSF516" s="1502"/>
      <c r="KSG516" s="1502"/>
      <c r="KSH516" s="1502"/>
      <c r="KSI516" s="1502"/>
      <c r="KSJ516" s="1502"/>
      <c r="KSK516" s="1502"/>
      <c r="KSL516" s="1502"/>
      <c r="KSM516" s="1502"/>
      <c r="KSN516" s="1502"/>
      <c r="KSO516" s="1502"/>
      <c r="KSP516" s="1502"/>
      <c r="KSQ516" s="1502"/>
      <c r="KSR516" s="1502"/>
      <c r="KSS516" s="1502"/>
      <c r="KST516" s="1502"/>
      <c r="KSU516" s="1502"/>
      <c r="KSV516" s="1502"/>
      <c r="KSW516" s="1502"/>
      <c r="KSX516" s="1502"/>
      <c r="KSY516" s="1502"/>
      <c r="KSZ516" s="1502"/>
      <c r="KTA516" s="1502"/>
      <c r="KTB516" s="1502"/>
      <c r="KTC516" s="1502"/>
      <c r="KTD516" s="1502"/>
      <c r="KTE516" s="1502"/>
      <c r="KTF516" s="1502"/>
      <c r="KTG516" s="1502"/>
      <c r="KTH516" s="1502"/>
      <c r="KTI516" s="1502"/>
      <c r="KTJ516" s="1502"/>
      <c r="KTK516" s="1502"/>
      <c r="KTL516" s="1502"/>
      <c r="KTM516" s="1502"/>
      <c r="KTN516" s="1502"/>
      <c r="KTO516" s="1502"/>
      <c r="KTP516" s="1502"/>
      <c r="KTQ516" s="1502"/>
      <c r="KTR516" s="1502"/>
      <c r="KTS516" s="1502"/>
      <c r="KTT516" s="1502"/>
      <c r="KTU516" s="1502"/>
      <c r="KTV516" s="1502"/>
      <c r="KTW516" s="1502"/>
      <c r="KTX516" s="1502"/>
      <c r="KTY516" s="1502"/>
      <c r="KTZ516" s="1502"/>
      <c r="KUA516" s="1502"/>
      <c r="KUB516" s="1502"/>
      <c r="KUC516" s="1502"/>
      <c r="KUD516" s="1502"/>
      <c r="KUE516" s="1502"/>
      <c r="KUF516" s="1502"/>
      <c r="KUG516" s="1502"/>
      <c r="KUH516" s="1502"/>
      <c r="KUI516" s="1502"/>
      <c r="KUJ516" s="1502"/>
      <c r="KUK516" s="1502"/>
      <c r="KUL516" s="1502"/>
      <c r="KUM516" s="1502"/>
      <c r="KUN516" s="1502"/>
      <c r="KUO516" s="1502"/>
      <c r="KUP516" s="1502"/>
      <c r="KUQ516" s="1502"/>
      <c r="KUR516" s="1502"/>
      <c r="KUS516" s="1502"/>
      <c r="KUT516" s="1502"/>
      <c r="KUU516" s="1502"/>
      <c r="KUV516" s="1502"/>
      <c r="KUW516" s="1502"/>
      <c r="KUX516" s="1502"/>
      <c r="KUY516" s="1502"/>
      <c r="KUZ516" s="1502"/>
      <c r="KVA516" s="1502"/>
      <c r="KVB516" s="1502"/>
      <c r="KVC516" s="1502"/>
      <c r="KVD516" s="1502"/>
      <c r="KVE516" s="1502"/>
      <c r="KVF516" s="1502"/>
      <c r="KVG516" s="1502"/>
      <c r="KVH516" s="1502"/>
      <c r="KVI516" s="1502"/>
      <c r="KVJ516" s="1502"/>
      <c r="KVK516" s="1502"/>
      <c r="KVL516" s="1502"/>
      <c r="KVM516" s="1502"/>
      <c r="KVN516" s="1502"/>
      <c r="KVO516" s="1502"/>
      <c r="KVP516" s="1502"/>
      <c r="KVQ516" s="1502"/>
      <c r="KVR516" s="1502"/>
      <c r="KVS516" s="1502"/>
      <c r="KVT516" s="1502"/>
      <c r="KVU516" s="1502"/>
      <c r="KVV516" s="1502"/>
      <c r="KVW516" s="1502"/>
      <c r="KVX516" s="1502"/>
      <c r="KVY516" s="1502"/>
      <c r="KVZ516" s="1502"/>
      <c r="KWA516" s="1502"/>
      <c r="KWB516" s="1502"/>
      <c r="KWC516" s="1502"/>
      <c r="KWD516" s="1502"/>
      <c r="KWE516" s="1502"/>
      <c r="KWF516" s="1502"/>
      <c r="KWG516" s="1502"/>
      <c r="KWH516" s="1502"/>
      <c r="KWI516" s="1502"/>
      <c r="KWJ516" s="1502"/>
      <c r="KWK516" s="1502"/>
      <c r="KWL516" s="1502"/>
      <c r="KWM516" s="1502"/>
      <c r="KWN516" s="1502"/>
      <c r="KWO516" s="1502"/>
      <c r="KWP516" s="1502"/>
      <c r="KWQ516" s="1502"/>
      <c r="KWR516" s="1502"/>
      <c r="KWS516" s="1502"/>
      <c r="KWT516" s="1502"/>
      <c r="KWU516" s="1502"/>
      <c r="KWV516" s="1502"/>
      <c r="KWW516" s="1502"/>
      <c r="KWX516" s="1502"/>
      <c r="KWY516" s="1502"/>
      <c r="KWZ516" s="1502"/>
      <c r="KXA516" s="1502"/>
      <c r="KXB516" s="1502"/>
      <c r="KXC516" s="1502"/>
      <c r="KXD516" s="1502"/>
      <c r="KXE516" s="1502"/>
      <c r="KXF516" s="1502"/>
      <c r="KXG516" s="1502"/>
      <c r="KXH516" s="1502"/>
      <c r="KXI516" s="1502"/>
      <c r="KXJ516" s="1502"/>
      <c r="KXK516" s="1502"/>
      <c r="KXL516" s="1502"/>
      <c r="KXM516" s="1502"/>
      <c r="KXN516" s="1502"/>
      <c r="KXO516" s="1502"/>
      <c r="KXP516" s="1502"/>
      <c r="KXQ516" s="1502"/>
      <c r="KXR516" s="1502"/>
      <c r="KXS516" s="1502"/>
      <c r="KXT516" s="1502"/>
      <c r="KXU516" s="1502"/>
      <c r="KXV516" s="1502"/>
      <c r="KXW516" s="1502"/>
      <c r="KXX516" s="1502"/>
      <c r="KXY516" s="1502"/>
      <c r="KXZ516" s="1502"/>
      <c r="KYA516" s="1502"/>
      <c r="KYB516" s="1502"/>
      <c r="KYC516" s="1502"/>
      <c r="KYD516" s="1502"/>
      <c r="KYE516" s="1502"/>
      <c r="KYF516" s="1502"/>
      <c r="KYG516" s="1502"/>
      <c r="KYH516" s="1502"/>
      <c r="KYI516" s="1502"/>
      <c r="KYJ516" s="1502"/>
      <c r="KYK516" s="1502"/>
      <c r="KYL516" s="1502"/>
      <c r="KYM516" s="1502"/>
      <c r="KYN516" s="1502"/>
      <c r="KYO516" s="1502"/>
      <c r="KYP516" s="1502"/>
      <c r="KYQ516" s="1502"/>
      <c r="KYR516" s="1502"/>
      <c r="KYS516" s="1502"/>
      <c r="KYT516" s="1502"/>
      <c r="KYU516" s="1502"/>
      <c r="KYV516" s="1502"/>
      <c r="KYW516" s="1502"/>
      <c r="KYX516" s="1502"/>
      <c r="KYY516" s="1502"/>
      <c r="KYZ516" s="1502"/>
      <c r="KZA516" s="1502"/>
      <c r="KZB516" s="1502"/>
      <c r="KZC516" s="1502"/>
      <c r="KZD516" s="1502"/>
      <c r="KZE516" s="1502"/>
      <c r="KZF516" s="1502"/>
      <c r="KZG516" s="1502"/>
      <c r="KZH516" s="1502"/>
      <c r="KZI516" s="1502"/>
      <c r="KZJ516" s="1502"/>
      <c r="KZK516" s="1502"/>
      <c r="KZL516" s="1502"/>
      <c r="KZM516" s="1502"/>
      <c r="KZN516" s="1502"/>
      <c r="KZO516" s="1502"/>
      <c r="KZP516" s="1502"/>
      <c r="KZQ516" s="1502"/>
      <c r="KZR516" s="1502"/>
      <c r="KZS516" s="1502"/>
      <c r="KZT516" s="1502"/>
      <c r="KZU516" s="1502"/>
      <c r="KZV516" s="1502"/>
      <c r="KZW516" s="1502"/>
      <c r="KZX516" s="1502"/>
      <c r="KZY516" s="1502"/>
      <c r="KZZ516" s="1502"/>
      <c r="LAA516" s="1502"/>
      <c r="LAB516" s="1502"/>
      <c r="LAC516" s="1502"/>
      <c r="LAD516" s="1502"/>
      <c r="LAE516" s="1502"/>
      <c r="LAF516" s="1502"/>
      <c r="LAG516" s="1502"/>
      <c r="LAH516" s="1502"/>
      <c r="LAI516" s="1502"/>
      <c r="LAJ516" s="1502"/>
      <c r="LAK516" s="1502"/>
      <c r="LAL516" s="1502"/>
      <c r="LAM516" s="1502"/>
      <c r="LAN516" s="1502"/>
      <c r="LAO516" s="1502"/>
      <c r="LAP516" s="1502"/>
      <c r="LAQ516" s="1502"/>
      <c r="LAR516" s="1502"/>
      <c r="LAS516" s="1502"/>
      <c r="LAT516" s="1502"/>
      <c r="LAU516" s="1502"/>
      <c r="LAV516" s="1502"/>
      <c r="LAW516" s="1502"/>
      <c r="LAX516" s="1502"/>
      <c r="LAY516" s="1502"/>
      <c r="LAZ516" s="1502"/>
      <c r="LBA516" s="1502"/>
      <c r="LBB516" s="1502"/>
      <c r="LBC516" s="1502"/>
      <c r="LBD516" s="1502"/>
      <c r="LBE516" s="1502"/>
      <c r="LBF516" s="1502"/>
      <c r="LBG516" s="1502"/>
      <c r="LBH516" s="1502"/>
      <c r="LBI516" s="1502"/>
      <c r="LBJ516" s="1502"/>
      <c r="LBK516" s="1502"/>
      <c r="LBL516" s="1502"/>
      <c r="LBM516" s="1502"/>
      <c r="LBN516" s="1502"/>
      <c r="LBO516" s="1502"/>
      <c r="LBP516" s="1502"/>
      <c r="LBQ516" s="1502"/>
      <c r="LBR516" s="1502"/>
      <c r="LBS516" s="1502"/>
      <c r="LBT516" s="1502"/>
      <c r="LBU516" s="1502"/>
      <c r="LBV516" s="1502"/>
      <c r="LBW516" s="1502"/>
      <c r="LBX516" s="1502"/>
      <c r="LBY516" s="1502"/>
      <c r="LBZ516" s="1502"/>
      <c r="LCA516" s="1502"/>
      <c r="LCB516" s="1502"/>
      <c r="LCC516" s="1502"/>
      <c r="LCD516" s="1502"/>
      <c r="LCE516" s="1502"/>
      <c r="LCF516" s="1502"/>
      <c r="LCG516" s="1502"/>
      <c r="LCH516" s="1502"/>
      <c r="LCI516" s="1502"/>
      <c r="LCJ516" s="1502"/>
      <c r="LCK516" s="1502"/>
      <c r="LCL516" s="1502"/>
      <c r="LCM516" s="1502"/>
      <c r="LCN516" s="1502"/>
      <c r="LCO516" s="1502"/>
      <c r="LCP516" s="1502"/>
      <c r="LCQ516" s="1502"/>
      <c r="LCR516" s="1502"/>
      <c r="LCS516" s="1502"/>
      <c r="LCT516" s="1502"/>
      <c r="LCU516" s="1502"/>
      <c r="LCV516" s="1502"/>
      <c r="LCW516" s="1502"/>
      <c r="LCX516" s="1502"/>
      <c r="LCY516" s="1502"/>
      <c r="LCZ516" s="1502"/>
      <c r="LDA516" s="1502"/>
      <c r="LDB516" s="1502"/>
      <c r="LDC516" s="1502"/>
      <c r="LDD516" s="1502"/>
      <c r="LDE516" s="1502"/>
      <c r="LDF516" s="1502"/>
      <c r="LDG516" s="1502"/>
      <c r="LDH516" s="1502"/>
      <c r="LDI516" s="1502"/>
      <c r="LDJ516" s="1502"/>
      <c r="LDK516" s="1502"/>
      <c r="LDL516" s="1502"/>
      <c r="LDM516" s="1502"/>
      <c r="LDN516" s="1502"/>
      <c r="LDO516" s="1502"/>
      <c r="LDP516" s="1502"/>
      <c r="LDQ516" s="1502"/>
      <c r="LDR516" s="1502"/>
      <c r="LDS516" s="1502"/>
      <c r="LDT516" s="1502"/>
      <c r="LDU516" s="1502"/>
      <c r="LDV516" s="1502"/>
      <c r="LDW516" s="1502"/>
      <c r="LDX516" s="1502"/>
      <c r="LDY516" s="1502"/>
      <c r="LDZ516" s="1502"/>
      <c r="LEA516" s="1502"/>
      <c r="LEB516" s="1502"/>
      <c r="LEC516" s="1502"/>
      <c r="LED516" s="1502"/>
      <c r="LEE516" s="1502"/>
      <c r="LEF516" s="1502"/>
      <c r="LEG516" s="1502"/>
      <c r="LEH516" s="1502"/>
      <c r="LEI516" s="1502"/>
      <c r="LEJ516" s="1502"/>
      <c r="LEK516" s="1502"/>
      <c r="LEL516" s="1502"/>
      <c r="LEM516" s="1502"/>
      <c r="LEN516" s="1502"/>
      <c r="LEO516" s="1502"/>
      <c r="LEP516" s="1502"/>
      <c r="LEQ516" s="1502"/>
      <c r="LER516" s="1502"/>
      <c r="LES516" s="1502"/>
      <c r="LET516" s="1502"/>
      <c r="LEU516" s="1502"/>
      <c r="LEV516" s="1502"/>
      <c r="LEW516" s="1502"/>
      <c r="LEX516" s="1502"/>
      <c r="LEY516" s="1502"/>
      <c r="LEZ516" s="1502"/>
      <c r="LFA516" s="1502"/>
      <c r="LFB516" s="1502"/>
      <c r="LFC516" s="1502"/>
      <c r="LFD516" s="1502"/>
      <c r="LFE516" s="1502"/>
      <c r="LFF516" s="1502"/>
      <c r="LFG516" s="1502"/>
      <c r="LFH516" s="1502"/>
      <c r="LFI516" s="1502"/>
      <c r="LFJ516" s="1502"/>
      <c r="LFK516" s="1502"/>
      <c r="LFL516" s="1502"/>
      <c r="LFM516" s="1502"/>
      <c r="LFN516" s="1502"/>
      <c r="LFO516" s="1502"/>
      <c r="LFP516" s="1502"/>
      <c r="LFQ516" s="1502"/>
      <c r="LFR516" s="1502"/>
      <c r="LFS516" s="1502"/>
      <c r="LFT516" s="1502"/>
      <c r="LFU516" s="1502"/>
      <c r="LFV516" s="1502"/>
      <c r="LFW516" s="1502"/>
      <c r="LFX516" s="1502"/>
      <c r="LFY516" s="1502"/>
      <c r="LFZ516" s="1502"/>
      <c r="LGA516" s="1502"/>
      <c r="LGB516" s="1502"/>
      <c r="LGC516" s="1502"/>
      <c r="LGD516" s="1502"/>
      <c r="LGE516" s="1502"/>
      <c r="LGF516" s="1502"/>
      <c r="LGG516" s="1502"/>
      <c r="LGH516" s="1502"/>
      <c r="LGI516" s="1502"/>
      <c r="LGJ516" s="1502"/>
      <c r="LGK516" s="1502"/>
      <c r="LGL516" s="1502"/>
      <c r="LGM516" s="1502"/>
      <c r="LGN516" s="1502"/>
      <c r="LGO516" s="1502"/>
      <c r="LGP516" s="1502"/>
      <c r="LGQ516" s="1502"/>
      <c r="LGR516" s="1502"/>
      <c r="LGS516" s="1502"/>
      <c r="LGT516" s="1502"/>
      <c r="LGU516" s="1502"/>
      <c r="LGV516" s="1502"/>
      <c r="LGW516" s="1502"/>
      <c r="LGX516" s="1502"/>
      <c r="LGY516" s="1502"/>
      <c r="LGZ516" s="1502"/>
      <c r="LHA516" s="1502"/>
      <c r="LHB516" s="1502"/>
      <c r="LHC516" s="1502"/>
      <c r="LHD516" s="1502"/>
      <c r="LHE516" s="1502"/>
      <c r="LHF516" s="1502"/>
      <c r="LHG516" s="1502"/>
      <c r="LHH516" s="1502"/>
      <c r="LHI516" s="1502"/>
      <c r="LHJ516" s="1502"/>
      <c r="LHK516" s="1502"/>
      <c r="LHL516" s="1502"/>
      <c r="LHM516" s="1502"/>
      <c r="LHN516" s="1502"/>
      <c r="LHO516" s="1502"/>
      <c r="LHP516" s="1502"/>
      <c r="LHQ516" s="1502"/>
      <c r="LHR516" s="1502"/>
      <c r="LHS516" s="1502"/>
      <c r="LHT516" s="1502"/>
      <c r="LHU516" s="1502"/>
      <c r="LHV516" s="1502"/>
      <c r="LHW516" s="1502"/>
      <c r="LHX516" s="1502"/>
      <c r="LHY516" s="1502"/>
      <c r="LHZ516" s="1502"/>
      <c r="LIA516" s="1502"/>
      <c r="LIB516" s="1502"/>
      <c r="LIC516" s="1502"/>
      <c r="LID516" s="1502"/>
      <c r="LIE516" s="1502"/>
      <c r="LIF516" s="1502"/>
      <c r="LIG516" s="1502"/>
      <c r="LIH516" s="1502"/>
      <c r="LII516" s="1502"/>
      <c r="LIJ516" s="1502"/>
      <c r="LIK516" s="1502"/>
      <c r="LIL516" s="1502"/>
      <c r="LIM516" s="1502"/>
      <c r="LIN516" s="1502"/>
      <c r="LIO516" s="1502"/>
      <c r="LIP516" s="1502"/>
      <c r="LIQ516" s="1502"/>
      <c r="LIR516" s="1502"/>
      <c r="LIS516" s="1502"/>
      <c r="LIT516" s="1502"/>
      <c r="LIU516" s="1502"/>
      <c r="LIV516" s="1502"/>
      <c r="LIW516" s="1502"/>
      <c r="LIX516" s="1502"/>
      <c r="LIY516" s="1502"/>
      <c r="LIZ516" s="1502"/>
      <c r="LJA516" s="1502"/>
      <c r="LJB516" s="1502"/>
      <c r="LJC516" s="1502"/>
      <c r="LJD516" s="1502"/>
      <c r="LJE516" s="1502"/>
      <c r="LJF516" s="1502"/>
      <c r="LJG516" s="1502"/>
      <c r="LJH516" s="1502"/>
      <c r="LJI516" s="1502"/>
      <c r="LJJ516" s="1502"/>
      <c r="LJK516" s="1502"/>
      <c r="LJL516" s="1502"/>
      <c r="LJM516" s="1502"/>
      <c r="LJN516" s="1502"/>
      <c r="LJO516" s="1502"/>
      <c r="LJP516" s="1502"/>
      <c r="LJQ516" s="1502"/>
      <c r="LJR516" s="1502"/>
      <c r="LJS516" s="1502"/>
      <c r="LJT516" s="1502"/>
      <c r="LJU516" s="1502"/>
      <c r="LJV516" s="1502"/>
      <c r="LJW516" s="1502"/>
      <c r="LJX516" s="1502"/>
      <c r="LJY516" s="1502"/>
      <c r="LJZ516" s="1502"/>
      <c r="LKA516" s="1502"/>
      <c r="LKB516" s="1502"/>
      <c r="LKC516" s="1502"/>
      <c r="LKD516" s="1502"/>
      <c r="LKE516" s="1502"/>
      <c r="LKF516" s="1502"/>
      <c r="LKG516" s="1502"/>
      <c r="LKH516" s="1502"/>
      <c r="LKI516" s="1502"/>
      <c r="LKJ516" s="1502"/>
      <c r="LKK516" s="1502"/>
      <c r="LKL516" s="1502"/>
      <c r="LKM516" s="1502"/>
      <c r="LKN516" s="1502"/>
      <c r="LKO516" s="1502"/>
      <c r="LKP516" s="1502"/>
      <c r="LKQ516" s="1502"/>
      <c r="LKR516" s="1502"/>
      <c r="LKS516" s="1502"/>
      <c r="LKT516" s="1502"/>
      <c r="LKU516" s="1502"/>
      <c r="LKV516" s="1502"/>
      <c r="LKW516" s="1502"/>
      <c r="LKX516" s="1502"/>
      <c r="LKY516" s="1502"/>
      <c r="LKZ516" s="1502"/>
      <c r="LLA516" s="1502"/>
      <c r="LLB516" s="1502"/>
      <c r="LLC516" s="1502"/>
      <c r="LLD516" s="1502"/>
      <c r="LLE516" s="1502"/>
      <c r="LLF516" s="1502"/>
      <c r="LLG516" s="1502"/>
      <c r="LLH516" s="1502"/>
      <c r="LLI516" s="1502"/>
      <c r="LLJ516" s="1502"/>
      <c r="LLK516" s="1502"/>
      <c r="LLL516" s="1502"/>
      <c r="LLM516" s="1502"/>
      <c r="LLN516" s="1502"/>
      <c r="LLO516" s="1502"/>
      <c r="LLP516" s="1502"/>
      <c r="LLQ516" s="1502"/>
      <c r="LLR516" s="1502"/>
      <c r="LLS516" s="1502"/>
      <c r="LLT516" s="1502"/>
      <c r="LLU516" s="1502"/>
      <c r="LLV516" s="1502"/>
      <c r="LLW516" s="1502"/>
      <c r="LLX516" s="1502"/>
      <c r="LLY516" s="1502"/>
      <c r="LLZ516" s="1502"/>
      <c r="LMA516" s="1502"/>
      <c r="LMB516" s="1502"/>
      <c r="LMC516" s="1502"/>
      <c r="LMD516" s="1502"/>
      <c r="LME516" s="1502"/>
      <c r="LMF516" s="1502"/>
      <c r="LMG516" s="1502"/>
      <c r="LMH516" s="1502"/>
      <c r="LMI516" s="1502"/>
      <c r="LMJ516" s="1502"/>
      <c r="LMK516" s="1502"/>
      <c r="LML516" s="1502"/>
      <c r="LMM516" s="1502"/>
      <c r="LMN516" s="1502"/>
      <c r="LMO516" s="1502"/>
      <c r="LMP516" s="1502"/>
      <c r="LMQ516" s="1502"/>
      <c r="LMR516" s="1502"/>
      <c r="LMS516" s="1502"/>
      <c r="LMT516" s="1502"/>
      <c r="LMU516" s="1502"/>
      <c r="LMV516" s="1502"/>
      <c r="LMW516" s="1502"/>
      <c r="LMX516" s="1502"/>
      <c r="LMY516" s="1502"/>
      <c r="LMZ516" s="1502"/>
      <c r="LNA516" s="1502"/>
      <c r="LNB516" s="1502"/>
      <c r="LNC516" s="1502"/>
      <c r="LND516" s="1502"/>
      <c r="LNE516" s="1502"/>
      <c r="LNF516" s="1502"/>
      <c r="LNG516" s="1502"/>
      <c r="LNH516" s="1502"/>
      <c r="LNI516" s="1502"/>
      <c r="LNJ516" s="1502"/>
      <c r="LNK516" s="1502"/>
      <c r="LNL516" s="1502"/>
      <c r="LNM516" s="1502"/>
      <c r="LNN516" s="1502"/>
      <c r="LNO516" s="1502"/>
      <c r="LNP516" s="1502"/>
      <c r="LNQ516" s="1502"/>
      <c r="LNR516" s="1502"/>
      <c r="LNS516" s="1502"/>
      <c r="LNT516" s="1502"/>
      <c r="LNU516" s="1502"/>
      <c r="LNV516" s="1502"/>
      <c r="LNW516" s="1502"/>
      <c r="LNX516" s="1502"/>
      <c r="LNY516" s="1502"/>
      <c r="LNZ516" s="1502"/>
      <c r="LOA516" s="1502"/>
      <c r="LOB516" s="1502"/>
      <c r="LOC516" s="1502"/>
      <c r="LOD516" s="1502"/>
      <c r="LOE516" s="1502"/>
      <c r="LOF516" s="1502"/>
      <c r="LOG516" s="1502"/>
      <c r="LOH516" s="1502"/>
      <c r="LOI516" s="1502"/>
      <c r="LOJ516" s="1502"/>
      <c r="LOK516" s="1502"/>
      <c r="LOL516" s="1502"/>
      <c r="LOM516" s="1502"/>
      <c r="LON516" s="1502"/>
      <c r="LOO516" s="1502"/>
      <c r="LOP516" s="1502"/>
      <c r="LOQ516" s="1502"/>
      <c r="LOR516" s="1502"/>
      <c r="LOS516" s="1502"/>
      <c r="LOT516" s="1502"/>
      <c r="LOU516" s="1502"/>
      <c r="LOV516" s="1502"/>
      <c r="LOW516" s="1502"/>
      <c r="LOX516" s="1502"/>
      <c r="LOY516" s="1502"/>
      <c r="LOZ516" s="1502"/>
      <c r="LPA516" s="1502"/>
      <c r="LPB516" s="1502"/>
      <c r="LPC516" s="1502"/>
      <c r="LPD516" s="1502"/>
      <c r="LPE516" s="1502"/>
      <c r="LPF516" s="1502"/>
      <c r="LPG516" s="1502"/>
      <c r="LPH516" s="1502"/>
      <c r="LPI516" s="1502"/>
      <c r="LPJ516" s="1502"/>
      <c r="LPK516" s="1502"/>
      <c r="LPL516" s="1502"/>
      <c r="LPM516" s="1502"/>
      <c r="LPN516" s="1502"/>
      <c r="LPO516" s="1502"/>
      <c r="LPP516" s="1502"/>
      <c r="LPQ516" s="1502"/>
      <c r="LPR516" s="1502"/>
      <c r="LPS516" s="1502"/>
      <c r="LPT516" s="1502"/>
      <c r="LPU516" s="1502"/>
      <c r="LPV516" s="1502"/>
      <c r="LPW516" s="1502"/>
      <c r="LPX516" s="1502"/>
      <c r="LPY516" s="1502"/>
      <c r="LPZ516" s="1502"/>
      <c r="LQA516" s="1502"/>
      <c r="LQB516" s="1502"/>
      <c r="LQC516" s="1502"/>
      <c r="LQD516" s="1502"/>
      <c r="LQE516" s="1502"/>
      <c r="LQF516" s="1502"/>
      <c r="LQG516" s="1502"/>
      <c r="LQH516" s="1502"/>
      <c r="LQI516" s="1502"/>
      <c r="LQJ516" s="1502"/>
      <c r="LQK516" s="1502"/>
      <c r="LQL516" s="1502"/>
      <c r="LQM516" s="1502"/>
      <c r="LQN516" s="1502"/>
      <c r="LQO516" s="1502"/>
      <c r="LQP516" s="1502"/>
      <c r="LQQ516" s="1502"/>
      <c r="LQR516" s="1502"/>
      <c r="LQS516" s="1502"/>
      <c r="LQT516" s="1502"/>
      <c r="LQU516" s="1502"/>
      <c r="LQV516" s="1502"/>
      <c r="LQW516" s="1502"/>
      <c r="LQX516" s="1502"/>
      <c r="LQY516" s="1502"/>
      <c r="LQZ516" s="1502"/>
      <c r="LRA516" s="1502"/>
      <c r="LRB516" s="1502"/>
      <c r="LRC516" s="1502"/>
      <c r="LRD516" s="1502"/>
      <c r="LRE516" s="1502"/>
      <c r="LRF516" s="1502"/>
      <c r="LRG516" s="1502"/>
      <c r="LRH516" s="1502"/>
      <c r="LRI516" s="1502"/>
      <c r="LRJ516" s="1502"/>
      <c r="LRK516" s="1502"/>
      <c r="LRL516" s="1502"/>
      <c r="LRM516" s="1502"/>
      <c r="LRN516" s="1502"/>
      <c r="LRO516" s="1502"/>
      <c r="LRP516" s="1502"/>
      <c r="LRQ516" s="1502"/>
      <c r="LRR516" s="1502"/>
      <c r="LRS516" s="1502"/>
      <c r="LRT516" s="1502"/>
      <c r="LRU516" s="1502"/>
      <c r="LRV516" s="1502"/>
      <c r="LRW516" s="1502"/>
      <c r="LRX516" s="1502"/>
      <c r="LRY516" s="1502"/>
      <c r="LRZ516" s="1502"/>
      <c r="LSA516" s="1502"/>
      <c r="LSB516" s="1502"/>
      <c r="LSC516" s="1502"/>
      <c r="LSD516" s="1502"/>
      <c r="LSE516" s="1502"/>
      <c r="LSF516" s="1502"/>
      <c r="LSG516" s="1502"/>
      <c r="LSH516" s="1502"/>
      <c r="LSI516" s="1502"/>
      <c r="LSJ516" s="1502"/>
      <c r="LSK516" s="1502"/>
      <c r="LSL516" s="1502"/>
      <c r="LSM516" s="1502"/>
      <c r="LSN516" s="1502"/>
      <c r="LSO516" s="1502"/>
      <c r="LSP516" s="1502"/>
      <c r="LSQ516" s="1502"/>
      <c r="LSR516" s="1502"/>
      <c r="LSS516" s="1502"/>
      <c r="LST516" s="1502"/>
      <c r="LSU516" s="1502"/>
      <c r="LSV516" s="1502"/>
      <c r="LSW516" s="1502"/>
      <c r="LSX516" s="1502"/>
      <c r="LSY516" s="1502"/>
      <c r="LSZ516" s="1502"/>
      <c r="LTA516" s="1502"/>
      <c r="LTB516" s="1502"/>
      <c r="LTC516" s="1502"/>
      <c r="LTD516" s="1502"/>
      <c r="LTE516" s="1502"/>
      <c r="LTF516" s="1502"/>
      <c r="LTG516" s="1502"/>
      <c r="LTH516" s="1502"/>
      <c r="LTI516" s="1502"/>
      <c r="LTJ516" s="1502"/>
      <c r="LTK516" s="1502"/>
      <c r="LTL516" s="1502"/>
      <c r="LTM516" s="1502"/>
      <c r="LTN516" s="1502"/>
      <c r="LTO516" s="1502"/>
      <c r="LTP516" s="1502"/>
      <c r="LTQ516" s="1502"/>
      <c r="LTR516" s="1502"/>
      <c r="LTS516" s="1502"/>
      <c r="LTT516" s="1502"/>
      <c r="LTU516" s="1502"/>
      <c r="LTV516" s="1502"/>
      <c r="LTW516" s="1502"/>
      <c r="LTX516" s="1502"/>
      <c r="LTY516" s="1502"/>
      <c r="LTZ516" s="1502"/>
      <c r="LUA516" s="1502"/>
      <c r="LUB516" s="1502"/>
      <c r="LUC516" s="1502"/>
      <c r="LUD516" s="1502"/>
      <c r="LUE516" s="1502"/>
      <c r="LUF516" s="1502"/>
      <c r="LUG516" s="1502"/>
      <c r="LUH516" s="1502"/>
      <c r="LUI516" s="1502"/>
      <c r="LUJ516" s="1502"/>
      <c r="LUK516" s="1502"/>
      <c r="LUL516" s="1502"/>
      <c r="LUM516" s="1502"/>
      <c r="LUN516" s="1502"/>
      <c r="LUO516" s="1502"/>
      <c r="LUP516" s="1502"/>
      <c r="LUQ516" s="1502"/>
      <c r="LUR516" s="1502"/>
      <c r="LUS516" s="1502"/>
      <c r="LUT516" s="1502"/>
      <c r="LUU516" s="1502"/>
      <c r="LUV516" s="1502"/>
      <c r="LUW516" s="1502"/>
      <c r="LUX516" s="1502"/>
      <c r="LUY516" s="1502"/>
      <c r="LUZ516" s="1502"/>
      <c r="LVA516" s="1502"/>
      <c r="LVB516" s="1502"/>
      <c r="LVC516" s="1502"/>
      <c r="LVD516" s="1502"/>
      <c r="LVE516" s="1502"/>
      <c r="LVF516" s="1502"/>
      <c r="LVG516" s="1502"/>
      <c r="LVH516" s="1502"/>
      <c r="LVI516" s="1502"/>
      <c r="LVJ516" s="1502"/>
      <c r="LVK516" s="1502"/>
      <c r="LVL516" s="1502"/>
      <c r="LVM516" s="1502"/>
      <c r="LVN516" s="1502"/>
      <c r="LVO516" s="1502"/>
      <c r="LVP516" s="1502"/>
      <c r="LVQ516" s="1502"/>
      <c r="LVR516" s="1502"/>
      <c r="LVS516" s="1502"/>
      <c r="LVT516" s="1502"/>
      <c r="LVU516" s="1502"/>
      <c r="LVV516" s="1502"/>
      <c r="LVW516" s="1502"/>
      <c r="LVX516" s="1502"/>
      <c r="LVY516" s="1502"/>
      <c r="LVZ516" s="1502"/>
      <c r="LWA516" s="1502"/>
      <c r="LWB516" s="1502"/>
      <c r="LWC516" s="1502"/>
      <c r="LWD516" s="1502"/>
      <c r="LWE516" s="1502"/>
      <c r="LWF516" s="1502"/>
      <c r="LWG516" s="1502"/>
      <c r="LWH516" s="1502"/>
      <c r="LWI516" s="1502"/>
      <c r="LWJ516" s="1502"/>
      <c r="LWK516" s="1502"/>
      <c r="LWL516" s="1502"/>
      <c r="LWM516" s="1502"/>
      <c r="LWN516" s="1502"/>
      <c r="LWO516" s="1502"/>
      <c r="LWP516" s="1502"/>
      <c r="LWQ516" s="1502"/>
      <c r="LWR516" s="1502"/>
      <c r="LWS516" s="1502"/>
      <c r="LWT516" s="1502"/>
      <c r="LWU516" s="1502"/>
      <c r="LWV516" s="1502"/>
      <c r="LWW516" s="1502"/>
      <c r="LWX516" s="1502"/>
      <c r="LWY516" s="1502"/>
      <c r="LWZ516" s="1502"/>
      <c r="LXA516" s="1502"/>
      <c r="LXB516" s="1502"/>
      <c r="LXC516" s="1502"/>
      <c r="LXD516" s="1502"/>
      <c r="LXE516" s="1502"/>
      <c r="LXF516" s="1502"/>
      <c r="LXG516" s="1502"/>
      <c r="LXH516" s="1502"/>
      <c r="LXI516" s="1502"/>
      <c r="LXJ516" s="1502"/>
      <c r="LXK516" s="1502"/>
      <c r="LXL516" s="1502"/>
      <c r="LXM516" s="1502"/>
      <c r="LXN516" s="1502"/>
      <c r="LXO516" s="1502"/>
      <c r="LXP516" s="1502"/>
      <c r="LXQ516" s="1502"/>
      <c r="LXR516" s="1502"/>
      <c r="LXS516" s="1502"/>
      <c r="LXT516" s="1502"/>
      <c r="LXU516" s="1502"/>
      <c r="LXV516" s="1502"/>
      <c r="LXW516" s="1502"/>
      <c r="LXX516" s="1502"/>
      <c r="LXY516" s="1502"/>
      <c r="LXZ516" s="1502"/>
      <c r="LYA516" s="1502"/>
      <c r="LYB516" s="1502"/>
      <c r="LYC516" s="1502"/>
      <c r="LYD516" s="1502"/>
      <c r="LYE516" s="1502"/>
      <c r="LYF516" s="1502"/>
      <c r="LYG516" s="1502"/>
      <c r="LYH516" s="1502"/>
      <c r="LYI516" s="1502"/>
      <c r="LYJ516" s="1502"/>
      <c r="LYK516" s="1502"/>
      <c r="LYL516" s="1502"/>
      <c r="LYM516" s="1502"/>
      <c r="LYN516" s="1502"/>
      <c r="LYO516" s="1502"/>
      <c r="LYP516" s="1502"/>
      <c r="LYQ516" s="1502"/>
      <c r="LYR516" s="1502"/>
      <c r="LYS516" s="1502"/>
      <c r="LYT516" s="1502"/>
      <c r="LYU516" s="1502"/>
      <c r="LYV516" s="1502"/>
      <c r="LYW516" s="1502"/>
      <c r="LYX516" s="1502"/>
      <c r="LYY516" s="1502"/>
      <c r="LYZ516" s="1502"/>
      <c r="LZA516" s="1502"/>
      <c r="LZB516" s="1502"/>
      <c r="LZC516" s="1502"/>
      <c r="LZD516" s="1502"/>
      <c r="LZE516" s="1502"/>
      <c r="LZF516" s="1502"/>
      <c r="LZG516" s="1502"/>
      <c r="LZH516" s="1502"/>
      <c r="LZI516" s="1502"/>
      <c r="LZJ516" s="1502"/>
      <c r="LZK516" s="1502"/>
      <c r="LZL516" s="1502"/>
      <c r="LZM516" s="1502"/>
      <c r="LZN516" s="1502"/>
      <c r="LZO516" s="1502"/>
      <c r="LZP516" s="1502"/>
      <c r="LZQ516" s="1502"/>
      <c r="LZR516" s="1502"/>
      <c r="LZS516" s="1502"/>
      <c r="LZT516" s="1502"/>
      <c r="LZU516" s="1502"/>
      <c r="LZV516" s="1502"/>
      <c r="LZW516" s="1502"/>
      <c r="LZX516" s="1502"/>
      <c r="LZY516" s="1502"/>
      <c r="LZZ516" s="1502"/>
      <c r="MAA516" s="1502"/>
      <c r="MAB516" s="1502"/>
      <c r="MAC516" s="1502"/>
      <c r="MAD516" s="1502"/>
      <c r="MAE516" s="1502"/>
      <c r="MAF516" s="1502"/>
      <c r="MAG516" s="1502"/>
      <c r="MAH516" s="1502"/>
      <c r="MAI516" s="1502"/>
      <c r="MAJ516" s="1502"/>
      <c r="MAK516" s="1502"/>
      <c r="MAL516" s="1502"/>
      <c r="MAM516" s="1502"/>
      <c r="MAN516" s="1502"/>
      <c r="MAO516" s="1502"/>
      <c r="MAP516" s="1502"/>
      <c r="MAQ516" s="1502"/>
      <c r="MAR516" s="1502"/>
      <c r="MAS516" s="1502"/>
      <c r="MAT516" s="1502"/>
      <c r="MAU516" s="1502"/>
      <c r="MAV516" s="1502"/>
      <c r="MAW516" s="1502"/>
      <c r="MAX516" s="1502"/>
      <c r="MAY516" s="1502"/>
      <c r="MAZ516" s="1502"/>
      <c r="MBA516" s="1502"/>
      <c r="MBB516" s="1502"/>
      <c r="MBC516" s="1502"/>
      <c r="MBD516" s="1502"/>
      <c r="MBE516" s="1502"/>
      <c r="MBF516" s="1502"/>
      <c r="MBG516" s="1502"/>
      <c r="MBH516" s="1502"/>
      <c r="MBI516" s="1502"/>
      <c r="MBJ516" s="1502"/>
      <c r="MBK516" s="1502"/>
      <c r="MBL516" s="1502"/>
      <c r="MBM516" s="1502"/>
      <c r="MBN516" s="1502"/>
      <c r="MBO516" s="1502"/>
      <c r="MBP516" s="1502"/>
      <c r="MBQ516" s="1502"/>
      <c r="MBR516" s="1502"/>
      <c r="MBS516" s="1502"/>
      <c r="MBT516" s="1502"/>
      <c r="MBU516" s="1502"/>
      <c r="MBV516" s="1502"/>
      <c r="MBW516" s="1502"/>
      <c r="MBX516" s="1502"/>
      <c r="MBY516" s="1502"/>
      <c r="MBZ516" s="1502"/>
      <c r="MCA516" s="1502"/>
      <c r="MCB516" s="1502"/>
      <c r="MCC516" s="1502"/>
      <c r="MCD516" s="1502"/>
      <c r="MCE516" s="1502"/>
      <c r="MCF516" s="1502"/>
      <c r="MCG516" s="1502"/>
      <c r="MCH516" s="1502"/>
      <c r="MCI516" s="1502"/>
      <c r="MCJ516" s="1502"/>
      <c r="MCK516" s="1502"/>
      <c r="MCL516" s="1502"/>
      <c r="MCM516" s="1502"/>
      <c r="MCN516" s="1502"/>
      <c r="MCO516" s="1502"/>
      <c r="MCP516" s="1502"/>
      <c r="MCQ516" s="1502"/>
      <c r="MCR516" s="1502"/>
      <c r="MCS516" s="1502"/>
      <c r="MCT516" s="1502"/>
      <c r="MCU516" s="1502"/>
      <c r="MCV516" s="1502"/>
      <c r="MCW516" s="1502"/>
      <c r="MCX516" s="1502"/>
      <c r="MCY516" s="1502"/>
      <c r="MCZ516" s="1502"/>
      <c r="MDA516" s="1502"/>
      <c r="MDB516" s="1502"/>
      <c r="MDC516" s="1502"/>
      <c r="MDD516" s="1502"/>
      <c r="MDE516" s="1502"/>
      <c r="MDF516" s="1502"/>
      <c r="MDG516" s="1502"/>
      <c r="MDH516" s="1502"/>
      <c r="MDI516" s="1502"/>
      <c r="MDJ516" s="1502"/>
      <c r="MDK516" s="1502"/>
      <c r="MDL516" s="1502"/>
      <c r="MDM516" s="1502"/>
      <c r="MDN516" s="1502"/>
      <c r="MDO516" s="1502"/>
      <c r="MDP516" s="1502"/>
      <c r="MDQ516" s="1502"/>
      <c r="MDR516" s="1502"/>
      <c r="MDS516" s="1502"/>
      <c r="MDT516" s="1502"/>
      <c r="MDU516" s="1502"/>
      <c r="MDV516" s="1502"/>
      <c r="MDW516" s="1502"/>
      <c r="MDX516" s="1502"/>
      <c r="MDY516" s="1502"/>
      <c r="MDZ516" s="1502"/>
      <c r="MEA516" s="1502"/>
      <c r="MEB516" s="1502"/>
      <c r="MEC516" s="1502"/>
      <c r="MED516" s="1502"/>
      <c r="MEE516" s="1502"/>
      <c r="MEF516" s="1502"/>
      <c r="MEG516" s="1502"/>
      <c r="MEH516" s="1502"/>
      <c r="MEI516" s="1502"/>
      <c r="MEJ516" s="1502"/>
      <c r="MEK516" s="1502"/>
      <c r="MEL516" s="1502"/>
      <c r="MEM516" s="1502"/>
      <c r="MEN516" s="1502"/>
      <c r="MEO516" s="1502"/>
      <c r="MEP516" s="1502"/>
      <c r="MEQ516" s="1502"/>
      <c r="MER516" s="1502"/>
      <c r="MES516" s="1502"/>
      <c r="MET516" s="1502"/>
      <c r="MEU516" s="1502"/>
      <c r="MEV516" s="1502"/>
      <c r="MEW516" s="1502"/>
      <c r="MEX516" s="1502"/>
      <c r="MEY516" s="1502"/>
      <c r="MEZ516" s="1502"/>
      <c r="MFA516" s="1502"/>
      <c r="MFB516" s="1502"/>
      <c r="MFC516" s="1502"/>
      <c r="MFD516" s="1502"/>
      <c r="MFE516" s="1502"/>
      <c r="MFF516" s="1502"/>
      <c r="MFG516" s="1502"/>
      <c r="MFH516" s="1502"/>
      <c r="MFI516" s="1502"/>
      <c r="MFJ516" s="1502"/>
      <c r="MFK516" s="1502"/>
      <c r="MFL516" s="1502"/>
      <c r="MFM516" s="1502"/>
      <c r="MFN516" s="1502"/>
      <c r="MFO516" s="1502"/>
      <c r="MFP516" s="1502"/>
      <c r="MFQ516" s="1502"/>
      <c r="MFR516" s="1502"/>
      <c r="MFS516" s="1502"/>
      <c r="MFT516" s="1502"/>
      <c r="MFU516" s="1502"/>
      <c r="MFV516" s="1502"/>
      <c r="MFW516" s="1502"/>
      <c r="MFX516" s="1502"/>
      <c r="MFY516" s="1502"/>
      <c r="MFZ516" s="1502"/>
      <c r="MGA516" s="1502"/>
      <c r="MGB516" s="1502"/>
      <c r="MGC516" s="1502"/>
      <c r="MGD516" s="1502"/>
      <c r="MGE516" s="1502"/>
      <c r="MGF516" s="1502"/>
      <c r="MGG516" s="1502"/>
      <c r="MGH516" s="1502"/>
      <c r="MGI516" s="1502"/>
      <c r="MGJ516" s="1502"/>
      <c r="MGK516" s="1502"/>
      <c r="MGL516" s="1502"/>
      <c r="MGM516" s="1502"/>
      <c r="MGN516" s="1502"/>
      <c r="MGO516" s="1502"/>
      <c r="MGP516" s="1502"/>
      <c r="MGQ516" s="1502"/>
      <c r="MGR516" s="1502"/>
      <c r="MGS516" s="1502"/>
      <c r="MGT516" s="1502"/>
      <c r="MGU516" s="1502"/>
      <c r="MGV516" s="1502"/>
      <c r="MGW516" s="1502"/>
      <c r="MGX516" s="1502"/>
      <c r="MGY516" s="1502"/>
      <c r="MGZ516" s="1502"/>
      <c r="MHA516" s="1502"/>
      <c r="MHB516" s="1502"/>
      <c r="MHC516" s="1502"/>
      <c r="MHD516" s="1502"/>
      <c r="MHE516" s="1502"/>
      <c r="MHF516" s="1502"/>
      <c r="MHG516" s="1502"/>
      <c r="MHH516" s="1502"/>
      <c r="MHI516" s="1502"/>
      <c r="MHJ516" s="1502"/>
      <c r="MHK516" s="1502"/>
      <c r="MHL516" s="1502"/>
      <c r="MHM516" s="1502"/>
      <c r="MHN516" s="1502"/>
      <c r="MHO516" s="1502"/>
      <c r="MHP516" s="1502"/>
      <c r="MHQ516" s="1502"/>
      <c r="MHR516" s="1502"/>
      <c r="MHS516" s="1502"/>
      <c r="MHT516" s="1502"/>
      <c r="MHU516" s="1502"/>
      <c r="MHV516" s="1502"/>
      <c r="MHW516" s="1502"/>
      <c r="MHX516" s="1502"/>
      <c r="MHY516" s="1502"/>
      <c r="MHZ516" s="1502"/>
      <c r="MIA516" s="1502"/>
      <c r="MIB516" s="1502"/>
      <c r="MIC516" s="1502"/>
      <c r="MID516" s="1502"/>
      <c r="MIE516" s="1502"/>
      <c r="MIF516" s="1502"/>
      <c r="MIG516" s="1502"/>
      <c r="MIH516" s="1502"/>
      <c r="MII516" s="1502"/>
      <c r="MIJ516" s="1502"/>
      <c r="MIK516" s="1502"/>
      <c r="MIL516" s="1502"/>
      <c r="MIM516" s="1502"/>
      <c r="MIN516" s="1502"/>
      <c r="MIO516" s="1502"/>
      <c r="MIP516" s="1502"/>
      <c r="MIQ516" s="1502"/>
      <c r="MIR516" s="1502"/>
      <c r="MIS516" s="1502"/>
      <c r="MIT516" s="1502"/>
      <c r="MIU516" s="1502"/>
      <c r="MIV516" s="1502"/>
      <c r="MIW516" s="1502"/>
      <c r="MIX516" s="1502"/>
      <c r="MIY516" s="1502"/>
      <c r="MIZ516" s="1502"/>
      <c r="MJA516" s="1502"/>
      <c r="MJB516" s="1502"/>
      <c r="MJC516" s="1502"/>
      <c r="MJD516" s="1502"/>
      <c r="MJE516" s="1502"/>
      <c r="MJF516" s="1502"/>
      <c r="MJG516" s="1502"/>
      <c r="MJH516" s="1502"/>
      <c r="MJI516" s="1502"/>
      <c r="MJJ516" s="1502"/>
      <c r="MJK516" s="1502"/>
      <c r="MJL516" s="1502"/>
      <c r="MJM516" s="1502"/>
      <c r="MJN516" s="1502"/>
      <c r="MJO516" s="1502"/>
      <c r="MJP516" s="1502"/>
      <c r="MJQ516" s="1502"/>
      <c r="MJR516" s="1502"/>
      <c r="MJS516" s="1502"/>
      <c r="MJT516" s="1502"/>
      <c r="MJU516" s="1502"/>
      <c r="MJV516" s="1502"/>
      <c r="MJW516" s="1502"/>
      <c r="MJX516" s="1502"/>
      <c r="MJY516" s="1502"/>
      <c r="MJZ516" s="1502"/>
      <c r="MKA516" s="1502"/>
      <c r="MKB516" s="1502"/>
      <c r="MKC516" s="1502"/>
      <c r="MKD516" s="1502"/>
      <c r="MKE516" s="1502"/>
      <c r="MKF516" s="1502"/>
      <c r="MKG516" s="1502"/>
      <c r="MKH516" s="1502"/>
      <c r="MKI516" s="1502"/>
      <c r="MKJ516" s="1502"/>
      <c r="MKK516" s="1502"/>
      <c r="MKL516" s="1502"/>
      <c r="MKM516" s="1502"/>
      <c r="MKN516" s="1502"/>
      <c r="MKO516" s="1502"/>
      <c r="MKP516" s="1502"/>
      <c r="MKQ516" s="1502"/>
      <c r="MKR516" s="1502"/>
      <c r="MKS516" s="1502"/>
      <c r="MKT516" s="1502"/>
      <c r="MKU516" s="1502"/>
      <c r="MKV516" s="1502"/>
      <c r="MKW516" s="1502"/>
      <c r="MKX516" s="1502"/>
      <c r="MKY516" s="1502"/>
      <c r="MKZ516" s="1502"/>
      <c r="MLA516" s="1502"/>
      <c r="MLB516" s="1502"/>
      <c r="MLC516" s="1502"/>
      <c r="MLD516" s="1502"/>
      <c r="MLE516" s="1502"/>
      <c r="MLF516" s="1502"/>
      <c r="MLG516" s="1502"/>
      <c r="MLH516" s="1502"/>
      <c r="MLI516" s="1502"/>
      <c r="MLJ516" s="1502"/>
      <c r="MLK516" s="1502"/>
      <c r="MLL516" s="1502"/>
      <c r="MLM516" s="1502"/>
      <c r="MLN516" s="1502"/>
      <c r="MLO516" s="1502"/>
      <c r="MLP516" s="1502"/>
      <c r="MLQ516" s="1502"/>
      <c r="MLR516" s="1502"/>
      <c r="MLS516" s="1502"/>
      <c r="MLT516" s="1502"/>
      <c r="MLU516" s="1502"/>
      <c r="MLV516" s="1502"/>
      <c r="MLW516" s="1502"/>
      <c r="MLX516" s="1502"/>
      <c r="MLY516" s="1502"/>
      <c r="MLZ516" s="1502"/>
      <c r="MMA516" s="1502"/>
      <c r="MMB516" s="1502"/>
      <c r="MMC516" s="1502"/>
      <c r="MMD516" s="1502"/>
      <c r="MME516" s="1502"/>
      <c r="MMF516" s="1502"/>
      <c r="MMG516" s="1502"/>
      <c r="MMH516" s="1502"/>
      <c r="MMI516" s="1502"/>
      <c r="MMJ516" s="1502"/>
      <c r="MMK516" s="1502"/>
      <c r="MML516" s="1502"/>
      <c r="MMM516" s="1502"/>
      <c r="MMN516" s="1502"/>
      <c r="MMO516" s="1502"/>
      <c r="MMP516" s="1502"/>
      <c r="MMQ516" s="1502"/>
      <c r="MMR516" s="1502"/>
      <c r="MMS516" s="1502"/>
      <c r="MMT516" s="1502"/>
      <c r="MMU516" s="1502"/>
      <c r="MMV516" s="1502"/>
      <c r="MMW516" s="1502"/>
      <c r="MMX516" s="1502"/>
      <c r="MMY516" s="1502"/>
      <c r="MMZ516" s="1502"/>
      <c r="MNA516" s="1502"/>
      <c r="MNB516" s="1502"/>
      <c r="MNC516" s="1502"/>
      <c r="MND516" s="1502"/>
      <c r="MNE516" s="1502"/>
      <c r="MNF516" s="1502"/>
      <c r="MNG516" s="1502"/>
      <c r="MNH516" s="1502"/>
      <c r="MNI516" s="1502"/>
      <c r="MNJ516" s="1502"/>
      <c r="MNK516" s="1502"/>
      <c r="MNL516" s="1502"/>
      <c r="MNM516" s="1502"/>
      <c r="MNN516" s="1502"/>
      <c r="MNO516" s="1502"/>
      <c r="MNP516" s="1502"/>
      <c r="MNQ516" s="1502"/>
      <c r="MNR516" s="1502"/>
      <c r="MNS516" s="1502"/>
      <c r="MNT516" s="1502"/>
      <c r="MNU516" s="1502"/>
      <c r="MNV516" s="1502"/>
      <c r="MNW516" s="1502"/>
      <c r="MNX516" s="1502"/>
      <c r="MNY516" s="1502"/>
      <c r="MNZ516" s="1502"/>
      <c r="MOA516" s="1502"/>
      <c r="MOB516" s="1502"/>
      <c r="MOC516" s="1502"/>
      <c r="MOD516" s="1502"/>
      <c r="MOE516" s="1502"/>
      <c r="MOF516" s="1502"/>
      <c r="MOG516" s="1502"/>
      <c r="MOH516" s="1502"/>
      <c r="MOI516" s="1502"/>
      <c r="MOJ516" s="1502"/>
      <c r="MOK516" s="1502"/>
      <c r="MOL516" s="1502"/>
      <c r="MOM516" s="1502"/>
      <c r="MON516" s="1502"/>
      <c r="MOO516" s="1502"/>
      <c r="MOP516" s="1502"/>
      <c r="MOQ516" s="1502"/>
      <c r="MOR516" s="1502"/>
      <c r="MOS516" s="1502"/>
      <c r="MOT516" s="1502"/>
      <c r="MOU516" s="1502"/>
      <c r="MOV516" s="1502"/>
      <c r="MOW516" s="1502"/>
      <c r="MOX516" s="1502"/>
      <c r="MOY516" s="1502"/>
      <c r="MOZ516" s="1502"/>
      <c r="MPA516" s="1502"/>
      <c r="MPB516" s="1502"/>
      <c r="MPC516" s="1502"/>
      <c r="MPD516" s="1502"/>
      <c r="MPE516" s="1502"/>
      <c r="MPF516" s="1502"/>
      <c r="MPG516" s="1502"/>
      <c r="MPH516" s="1502"/>
      <c r="MPI516" s="1502"/>
      <c r="MPJ516" s="1502"/>
      <c r="MPK516" s="1502"/>
      <c r="MPL516" s="1502"/>
      <c r="MPM516" s="1502"/>
      <c r="MPN516" s="1502"/>
      <c r="MPO516" s="1502"/>
      <c r="MPP516" s="1502"/>
      <c r="MPQ516" s="1502"/>
      <c r="MPR516" s="1502"/>
      <c r="MPS516" s="1502"/>
      <c r="MPT516" s="1502"/>
      <c r="MPU516" s="1502"/>
      <c r="MPV516" s="1502"/>
      <c r="MPW516" s="1502"/>
      <c r="MPX516" s="1502"/>
      <c r="MPY516" s="1502"/>
      <c r="MPZ516" s="1502"/>
      <c r="MQA516" s="1502"/>
      <c r="MQB516" s="1502"/>
      <c r="MQC516" s="1502"/>
      <c r="MQD516" s="1502"/>
      <c r="MQE516" s="1502"/>
      <c r="MQF516" s="1502"/>
      <c r="MQG516" s="1502"/>
      <c r="MQH516" s="1502"/>
      <c r="MQI516" s="1502"/>
      <c r="MQJ516" s="1502"/>
      <c r="MQK516" s="1502"/>
      <c r="MQL516" s="1502"/>
      <c r="MQM516" s="1502"/>
      <c r="MQN516" s="1502"/>
      <c r="MQO516" s="1502"/>
      <c r="MQP516" s="1502"/>
      <c r="MQQ516" s="1502"/>
      <c r="MQR516" s="1502"/>
      <c r="MQS516" s="1502"/>
      <c r="MQT516" s="1502"/>
      <c r="MQU516" s="1502"/>
      <c r="MQV516" s="1502"/>
      <c r="MQW516" s="1502"/>
      <c r="MQX516" s="1502"/>
      <c r="MQY516" s="1502"/>
      <c r="MQZ516" s="1502"/>
      <c r="MRA516" s="1502"/>
      <c r="MRB516" s="1502"/>
      <c r="MRC516" s="1502"/>
      <c r="MRD516" s="1502"/>
      <c r="MRE516" s="1502"/>
      <c r="MRF516" s="1502"/>
      <c r="MRG516" s="1502"/>
      <c r="MRH516" s="1502"/>
      <c r="MRI516" s="1502"/>
      <c r="MRJ516" s="1502"/>
      <c r="MRK516" s="1502"/>
      <c r="MRL516" s="1502"/>
      <c r="MRM516" s="1502"/>
      <c r="MRN516" s="1502"/>
      <c r="MRO516" s="1502"/>
      <c r="MRP516" s="1502"/>
      <c r="MRQ516" s="1502"/>
      <c r="MRR516" s="1502"/>
      <c r="MRS516" s="1502"/>
      <c r="MRT516" s="1502"/>
      <c r="MRU516" s="1502"/>
      <c r="MRV516" s="1502"/>
      <c r="MRW516" s="1502"/>
      <c r="MRX516" s="1502"/>
      <c r="MRY516" s="1502"/>
      <c r="MRZ516" s="1502"/>
      <c r="MSA516" s="1502"/>
      <c r="MSB516" s="1502"/>
      <c r="MSC516" s="1502"/>
      <c r="MSD516" s="1502"/>
      <c r="MSE516" s="1502"/>
      <c r="MSF516" s="1502"/>
      <c r="MSG516" s="1502"/>
      <c r="MSH516" s="1502"/>
      <c r="MSI516" s="1502"/>
      <c r="MSJ516" s="1502"/>
      <c r="MSK516" s="1502"/>
      <c r="MSL516" s="1502"/>
      <c r="MSM516" s="1502"/>
      <c r="MSN516" s="1502"/>
      <c r="MSO516" s="1502"/>
      <c r="MSP516" s="1502"/>
      <c r="MSQ516" s="1502"/>
      <c r="MSR516" s="1502"/>
      <c r="MSS516" s="1502"/>
      <c r="MST516" s="1502"/>
      <c r="MSU516" s="1502"/>
      <c r="MSV516" s="1502"/>
      <c r="MSW516" s="1502"/>
      <c r="MSX516" s="1502"/>
      <c r="MSY516" s="1502"/>
      <c r="MSZ516" s="1502"/>
      <c r="MTA516" s="1502"/>
      <c r="MTB516" s="1502"/>
      <c r="MTC516" s="1502"/>
      <c r="MTD516" s="1502"/>
      <c r="MTE516" s="1502"/>
      <c r="MTF516" s="1502"/>
      <c r="MTG516" s="1502"/>
      <c r="MTH516" s="1502"/>
      <c r="MTI516" s="1502"/>
      <c r="MTJ516" s="1502"/>
      <c r="MTK516" s="1502"/>
      <c r="MTL516" s="1502"/>
      <c r="MTM516" s="1502"/>
      <c r="MTN516" s="1502"/>
      <c r="MTO516" s="1502"/>
      <c r="MTP516" s="1502"/>
      <c r="MTQ516" s="1502"/>
      <c r="MTR516" s="1502"/>
      <c r="MTS516" s="1502"/>
      <c r="MTT516" s="1502"/>
      <c r="MTU516" s="1502"/>
      <c r="MTV516" s="1502"/>
      <c r="MTW516" s="1502"/>
      <c r="MTX516" s="1502"/>
      <c r="MTY516" s="1502"/>
      <c r="MTZ516" s="1502"/>
      <c r="MUA516" s="1502"/>
      <c r="MUB516" s="1502"/>
      <c r="MUC516" s="1502"/>
      <c r="MUD516" s="1502"/>
      <c r="MUE516" s="1502"/>
      <c r="MUF516" s="1502"/>
      <c r="MUG516" s="1502"/>
      <c r="MUH516" s="1502"/>
      <c r="MUI516" s="1502"/>
      <c r="MUJ516" s="1502"/>
      <c r="MUK516" s="1502"/>
      <c r="MUL516" s="1502"/>
      <c r="MUM516" s="1502"/>
      <c r="MUN516" s="1502"/>
      <c r="MUO516" s="1502"/>
      <c r="MUP516" s="1502"/>
      <c r="MUQ516" s="1502"/>
      <c r="MUR516" s="1502"/>
      <c r="MUS516" s="1502"/>
      <c r="MUT516" s="1502"/>
      <c r="MUU516" s="1502"/>
      <c r="MUV516" s="1502"/>
      <c r="MUW516" s="1502"/>
      <c r="MUX516" s="1502"/>
      <c r="MUY516" s="1502"/>
      <c r="MUZ516" s="1502"/>
      <c r="MVA516" s="1502"/>
      <c r="MVB516" s="1502"/>
      <c r="MVC516" s="1502"/>
      <c r="MVD516" s="1502"/>
      <c r="MVE516" s="1502"/>
      <c r="MVF516" s="1502"/>
      <c r="MVG516" s="1502"/>
      <c r="MVH516" s="1502"/>
      <c r="MVI516" s="1502"/>
      <c r="MVJ516" s="1502"/>
      <c r="MVK516" s="1502"/>
      <c r="MVL516" s="1502"/>
      <c r="MVM516" s="1502"/>
      <c r="MVN516" s="1502"/>
      <c r="MVO516" s="1502"/>
      <c r="MVP516" s="1502"/>
      <c r="MVQ516" s="1502"/>
      <c r="MVR516" s="1502"/>
      <c r="MVS516" s="1502"/>
      <c r="MVT516" s="1502"/>
      <c r="MVU516" s="1502"/>
      <c r="MVV516" s="1502"/>
      <c r="MVW516" s="1502"/>
      <c r="MVX516" s="1502"/>
      <c r="MVY516" s="1502"/>
      <c r="MVZ516" s="1502"/>
      <c r="MWA516" s="1502"/>
      <c r="MWB516" s="1502"/>
      <c r="MWC516" s="1502"/>
      <c r="MWD516" s="1502"/>
      <c r="MWE516" s="1502"/>
      <c r="MWF516" s="1502"/>
      <c r="MWG516" s="1502"/>
      <c r="MWH516" s="1502"/>
      <c r="MWI516" s="1502"/>
      <c r="MWJ516" s="1502"/>
      <c r="MWK516" s="1502"/>
      <c r="MWL516" s="1502"/>
      <c r="MWM516" s="1502"/>
      <c r="MWN516" s="1502"/>
      <c r="MWO516" s="1502"/>
      <c r="MWP516" s="1502"/>
      <c r="MWQ516" s="1502"/>
      <c r="MWR516" s="1502"/>
      <c r="MWS516" s="1502"/>
      <c r="MWT516" s="1502"/>
      <c r="MWU516" s="1502"/>
      <c r="MWV516" s="1502"/>
      <c r="MWW516" s="1502"/>
      <c r="MWX516" s="1502"/>
      <c r="MWY516" s="1502"/>
      <c r="MWZ516" s="1502"/>
      <c r="MXA516" s="1502"/>
      <c r="MXB516" s="1502"/>
      <c r="MXC516" s="1502"/>
      <c r="MXD516" s="1502"/>
      <c r="MXE516" s="1502"/>
      <c r="MXF516" s="1502"/>
      <c r="MXG516" s="1502"/>
      <c r="MXH516" s="1502"/>
      <c r="MXI516" s="1502"/>
      <c r="MXJ516" s="1502"/>
      <c r="MXK516" s="1502"/>
      <c r="MXL516" s="1502"/>
      <c r="MXM516" s="1502"/>
      <c r="MXN516" s="1502"/>
      <c r="MXO516" s="1502"/>
      <c r="MXP516" s="1502"/>
      <c r="MXQ516" s="1502"/>
      <c r="MXR516" s="1502"/>
      <c r="MXS516" s="1502"/>
      <c r="MXT516" s="1502"/>
      <c r="MXU516" s="1502"/>
      <c r="MXV516" s="1502"/>
      <c r="MXW516" s="1502"/>
      <c r="MXX516" s="1502"/>
      <c r="MXY516" s="1502"/>
      <c r="MXZ516" s="1502"/>
      <c r="MYA516" s="1502"/>
      <c r="MYB516" s="1502"/>
      <c r="MYC516" s="1502"/>
      <c r="MYD516" s="1502"/>
      <c r="MYE516" s="1502"/>
      <c r="MYF516" s="1502"/>
      <c r="MYG516" s="1502"/>
      <c r="MYH516" s="1502"/>
      <c r="MYI516" s="1502"/>
      <c r="MYJ516" s="1502"/>
      <c r="MYK516" s="1502"/>
      <c r="MYL516" s="1502"/>
      <c r="MYM516" s="1502"/>
      <c r="MYN516" s="1502"/>
      <c r="MYO516" s="1502"/>
      <c r="MYP516" s="1502"/>
      <c r="MYQ516" s="1502"/>
      <c r="MYR516" s="1502"/>
      <c r="MYS516" s="1502"/>
      <c r="MYT516" s="1502"/>
      <c r="MYU516" s="1502"/>
      <c r="MYV516" s="1502"/>
      <c r="MYW516" s="1502"/>
      <c r="MYX516" s="1502"/>
      <c r="MYY516" s="1502"/>
      <c r="MYZ516" s="1502"/>
      <c r="MZA516" s="1502"/>
      <c r="MZB516" s="1502"/>
      <c r="MZC516" s="1502"/>
      <c r="MZD516" s="1502"/>
      <c r="MZE516" s="1502"/>
      <c r="MZF516" s="1502"/>
      <c r="MZG516" s="1502"/>
      <c r="MZH516" s="1502"/>
      <c r="MZI516" s="1502"/>
      <c r="MZJ516" s="1502"/>
      <c r="MZK516" s="1502"/>
      <c r="MZL516" s="1502"/>
      <c r="MZM516" s="1502"/>
      <c r="MZN516" s="1502"/>
      <c r="MZO516" s="1502"/>
      <c r="MZP516" s="1502"/>
      <c r="MZQ516" s="1502"/>
      <c r="MZR516" s="1502"/>
      <c r="MZS516" s="1502"/>
      <c r="MZT516" s="1502"/>
      <c r="MZU516" s="1502"/>
      <c r="MZV516" s="1502"/>
      <c r="MZW516" s="1502"/>
      <c r="MZX516" s="1502"/>
      <c r="MZY516" s="1502"/>
      <c r="MZZ516" s="1502"/>
      <c r="NAA516" s="1502"/>
      <c r="NAB516" s="1502"/>
      <c r="NAC516" s="1502"/>
      <c r="NAD516" s="1502"/>
      <c r="NAE516" s="1502"/>
      <c r="NAF516" s="1502"/>
      <c r="NAG516" s="1502"/>
      <c r="NAH516" s="1502"/>
      <c r="NAI516" s="1502"/>
      <c r="NAJ516" s="1502"/>
      <c r="NAK516" s="1502"/>
      <c r="NAL516" s="1502"/>
      <c r="NAM516" s="1502"/>
      <c r="NAN516" s="1502"/>
      <c r="NAO516" s="1502"/>
      <c r="NAP516" s="1502"/>
      <c r="NAQ516" s="1502"/>
      <c r="NAR516" s="1502"/>
      <c r="NAS516" s="1502"/>
      <c r="NAT516" s="1502"/>
      <c r="NAU516" s="1502"/>
      <c r="NAV516" s="1502"/>
      <c r="NAW516" s="1502"/>
      <c r="NAX516" s="1502"/>
      <c r="NAY516" s="1502"/>
      <c r="NAZ516" s="1502"/>
      <c r="NBA516" s="1502"/>
      <c r="NBB516" s="1502"/>
      <c r="NBC516" s="1502"/>
      <c r="NBD516" s="1502"/>
      <c r="NBE516" s="1502"/>
      <c r="NBF516" s="1502"/>
      <c r="NBG516" s="1502"/>
      <c r="NBH516" s="1502"/>
      <c r="NBI516" s="1502"/>
      <c r="NBJ516" s="1502"/>
      <c r="NBK516" s="1502"/>
      <c r="NBL516" s="1502"/>
      <c r="NBM516" s="1502"/>
      <c r="NBN516" s="1502"/>
      <c r="NBO516" s="1502"/>
      <c r="NBP516" s="1502"/>
      <c r="NBQ516" s="1502"/>
      <c r="NBR516" s="1502"/>
      <c r="NBS516" s="1502"/>
      <c r="NBT516" s="1502"/>
      <c r="NBU516" s="1502"/>
      <c r="NBV516" s="1502"/>
      <c r="NBW516" s="1502"/>
      <c r="NBX516" s="1502"/>
      <c r="NBY516" s="1502"/>
      <c r="NBZ516" s="1502"/>
      <c r="NCA516" s="1502"/>
      <c r="NCB516" s="1502"/>
      <c r="NCC516" s="1502"/>
      <c r="NCD516" s="1502"/>
      <c r="NCE516" s="1502"/>
      <c r="NCF516" s="1502"/>
      <c r="NCG516" s="1502"/>
      <c r="NCH516" s="1502"/>
      <c r="NCI516" s="1502"/>
      <c r="NCJ516" s="1502"/>
      <c r="NCK516" s="1502"/>
      <c r="NCL516" s="1502"/>
      <c r="NCM516" s="1502"/>
      <c r="NCN516" s="1502"/>
      <c r="NCO516" s="1502"/>
      <c r="NCP516" s="1502"/>
      <c r="NCQ516" s="1502"/>
      <c r="NCR516" s="1502"/>
      <c r="NCS516" s="1502"/>
      <c r="NCT516" s="1502"/>
      <c r="NCU516" s="1502"/>
      <c r="NCV516" s="1502"/>
      <c r="NCW516" s="1502"/>
      <c r="NCX516" s="1502"/>
      <c r="NCY516" s="1502"/>
      <c r="NCZ516" s="1502"/>
      <c r="NDA516" s="1502"/>
      <c r="NDB516" s="1502"/>
      <c r="NDC516" s="1502"/>
      <c r="NDD516" s="1502"/>
      <c r="NDE516" s="1502"/>
      <c r="NDF516" s="1502"/>
      <c r="NDG516" s="1502"/>
      <c r="NDH516" s="1502"/>
      <c r="NDI516" s="1502"/>
      <c r="NDJ516" s="1502"/>
      <c r="NDK516" s="1502"/>
      <c r="NDL516" s="1502"/>
      <c r="NDM516" s="1502"/>
      <c r="NDN516" s="1502"/>
      <c r="NDO516" s="1502"/>
      <c r="NDP516" s="1502"/>
      <c r="NDQ516" s="1502"/>
      <c r="NDR516" s="1502"/>
      <c r="NDS516" s="1502"/>
      <c r="NDT516" s="1502"/>
      <c r="NDU516" s="1502"/>
      <c r="NDV516" s="1502"/>
      <c r="NDW516" s="1502"/>
      <c r="NDX516" s="1502"/>
      <c r="NDY516" s="1502"/>
      <c r="NDZ516" s="1502"/>
      <c r="NEA516" s="1502"/>
      <c r="NEB516" s="1502"/>
      <c r="NEC516" s="1502"/>
      <c r="NED516" s="1502"/>
      <c r="NEE516" s="1502"/>
      <c r="NEF516" s="1502"/>
      <c r="NEG516" s="1502"/>
      <c r="NEH516" s="1502"/>
      <c r="NEI516" s="1502"/>
      <c r="NEJ516" s="1502"/>
      <c r="NEK516" s="1502"/>
      <c r="NEL516" s="1502"/>
      <c r="NEM516" s="1502"/>
      <c r="NEN516" s="1502"/>
      <c r="NEO516" s="1502"/>
      <c r="NEP516" s="1502"/>
      <c r="NEQ516" s="1502"/>
      <c r="NER516" s="1502"/>
      <c r="NES516" s="1502"/>
      <c r="NET516" s="1502"/>
      <c r="NEU516" s="1502"/>
      <c r="NEV516" s="1502"/>
      <c r="NEW516" s="1502"/>
      <c r="NEX516" s="1502"/>
      <c r="NEY516" s="1502"/>
      <c r="NEZ516" s="1502"/>
      <c r="NFA516" s="1502"/>
      <c r="NFB516" s="1502"/>
      <c r="NFC516" s="1502"/>
      <c r="NFD516" s="1502"/>
      <c r="NFE516" s="1502"/>
      <c r="NFF516" s="1502"/>
      <c r="NFG516" s="1502"/>
      <c r="NFH516" s="1502"/>
      <c r="NFI516" s="1502"/>
      <c r="NFJ516" s="1502"/>
      <c r="NFK516" s="1502"/>
      <c r="NFL516" s="1502"/>
      <c r="NFM516" s="1502"/>
      <c r="NFN516" s="1502"/>
      <c r="NFO516" s="1502"/>
      <c r="NFP516" s="1502"/>
      <c r="NFQ516" s="1502"/>
      <c r="NFR516" s="1502"/>
      <c r="NFS516" s="1502"/>
      <c r="NFT516" s="1502"/>
      <c r="NFU516" s="1502"/>
      <c r="NFV516" s="1502"/>
      <c r="NFW516" s="1502"/>
      <c r="NFX516" s="1502"/>
      <c r="NFY516" s="1502"/>
      <c r="NFZ516" s="1502"/>
      <c r="NGA516" s="1502"/>
      <c r="NGB516" s="1502"/>
      <c r="NGC516" s="1502"/>
      <c r="NGD516" s="1502"/>
      <c r="NGE516" s="1502"/>
      <c r="NGF516" s="1502"/>
      <c r="NGG516" s="1502"/>
      <c r="NGH516" s="1502"/>
      <c r="NGI516" s="1502"/>
      <c r="NGJ516" s="1502"/>
      <c r="NGK516" s="1502"/>
      <c r="NGL516" s="1502"/>
      <c r="NGM516" s="1502"/>
      <c r="NGN516" s="1502"/>
      <c r="NGO516" s="1502"/>
      <c r="NGP516" s="1502"/>
      <c r="NGQ516" s="1502"/>
      <c r="NGR516" s="1502"/>
      <c r="NGS516" s="1502"/>
      <c r="NGT516" s="1502"/>
      <c r="NGU516" s="1502"/>
      <c r="NGV516" s="1502"/>
      <c r="NGW516" s="1502"/>
      <c r="NGX516" s="1502"/>
      <c r="NGY516" s="1502"/>
      <c r="NGZ516" s="1502"/>
      <c r="NHA516" s="1502"/>
      <c r="NHB516" s="1502"/>
      <c r="NHC516" s="1502"/>
      <c r="NHD516" s="1502"/>
      <c r="NHE516" s="1502"/>
      <c r="NHF516" s="1502"/>
      <c r="NHG516" s="1502"/>
      <c r="NHH516" s="1502"/>
      <c r="NHI516" s="1502"/>
      <c r="NHJ516" s="1502"/>
      <c r="NHK516" s="1502"/>
      <c r="NHL516" s="1502"/>
      <c r="NHM516" s="1502"/>
      <c r="NHN516" s="1502"/>
      <c r="NHO516" s="1502"/>
      <c r="NHP516" s="1502"/>
      <c r="NHQ516" s="1502"/>
      <c r="NHR516" s="1502"/>
      <c r="NHS516" s="1502"/>
      <c r="NHT516" s="1502"/>
      <c r="NHU516" s="1502"/>
      <c r="NHV516" s="1502"/>
      <c r="NHW516" s="1502"/>
      <c r="NHX516" s="1502"/>
      <c r="NHY516" s="1502"/>
      <c r="NHZ516" s="1502"/>
      <c r="NIA516" s="1502"/>
      <c r="NIB516" s="1502"/>
      <c r="NIC516" s="1502"/>
      <c r="NID516" s="1502"/>
      <c r="NIE516" s="1502"/>
      <c r="NIF516" s="1502"/>
      <c r="NIG516" s="1502"/>
      <c r="NIH516" s="1502"/>
      <c r="NII516" s="1502"/>
      <c r="NIJ516" s="1502"/>
      <c r="NIK516" s="1502"/>
      <c r="NIL516" s="1502"/>
      <c r="NIM516" s="1502"/>
      <c r="NIN516" s="1502"/>
      <c r="NIO516" s="1502"/>
      <c r="NIP516" s="1502"/>
      <c r="NIQ516" s="1502"/>
      <c r="NIR516" s="1502"/>
      <c r="NIS516" s="1502"/>
      <c r="NIT516" s="1502"/>
      <c r="NIU516" s="1502"/>
      <c r="NIV516" s="1502"/>
      <c r="NIW516" s="1502"/>
      <c r="NIX516" s="1502"/>
      <c r="NIY516" s="1502"/>
      <c r="NIZ516" s="1502"/>
      <c r="NJA516" s="1502"/>
      <c r="NJB516" s="1502"/>
      <c r="NJC516" s="1502"/>
      <c r="NJD516" s="1502"/>
      <c r="NJE516" s="1502"/>
      <c r="NJF516" s="1502"/>
      <c r="NJG516" s="1502"/>
      <c r="NJH516" s="1502"/>
      <c r="NJI516" s="1502"/>
      <c r="NJJ516" s="1502"/>
      <c r="NJK516" s="1502"/>
      <c r="NJL516" s="1502"/>
      <c r="NJM516" s="1502"/>
      <c r="NJN516" s="1502"/>
      <c r="NJO516" s="1502"/>
      <c r="NJP516" s="1502"/>
      <c r="NJQ516" s="1502"/>
      <c r="NJR516" s="1502"/>
      <c r="NJS516" s="1502"/>
      <c r="NJT516" s="1502"/>
      <c r="NJU516" s="1502"/>
      <c r="NJV516" s="1502"/>
      <c r="NJW516" s="1502"/>
      <c r="NJX516" s="1502"/>
      <c r="NJY516" s="1502"/>
      <c r="NJZ516" s="1502"/>
      <c r="NKA516" s="1502"/>
      <c r="NKB516" s="1502"/>
      <c r="NKC516" s="1502"/>
      <c r="NKD516" s="1502"/>
      <c r="NKE516" s="1502"/>
      <c r="NKF516" s="1502"/>
      <c r="NKG516" s="1502"/>
      <c r="NKH516" s="1502"/>
      <c r="NKI516" s="1502"/>
      <c r="NKJ516" s="1502"/>
      <c r="NKK516" s="1502"/>
      <c r="NKL516" s="1502"/>
      <c r="NKM516" s="1502"/>
      <c r="NKN516" s="1502"/>
      <c r="NKO516" s="1502"/>
      <c r="NKP516" s="1502"/>
      <c r="NKQ516" s="1502"/>
      <c r="NKR516" s="1502"/>
      <c r="NKS516" s="1502"/>
      <c r="NKT516" s="1502"/>
      <c r="NKU516" s="1502"/>
      <c r="NKV516" s="1502"/>
      <c r="NKW516" s="1502"/>
      <c r="NKX516" s="1502"/>
      <c r="NKY516" s="1502"/>
      <c r="NKZ516" s="1502"/>
      <c r="NLA516" s="1502"/>
      <c r="NLB516" s="1502"/>
      <c r="NLC516" s="1502"/>
      <c r="NLD516" s="1502"/>
      <c r="NLE516" s="1502"/>
      <c r="NLF516" s="1502"/>
      <c r="NLG516" s="1502"/>
      <c r="NLH516" s="1502"/>
      <c r="NLI516" s="1502"/>
      <c r="NLJ516" s="1502"/>
      <c r="NLK516" s="1502"/>
      <c r="NLL516" s="1502"/>
      <c r="NLM516" s="1502"/>
      <c r="NLN516" s="1502"/>
      <c r="NLO516" s="1502"/>
      <c r="NLP516" s="1502"/>
      <c r="NLQ516" s="1502"/>
      <c r="NLR516" s="1502"/>
      <c r="NLS516" s="1502"/>
      <c r="NLT516" s="1502"/>
      <c r="NLU516" s="1502"/>
      <c r="NLV516" s="1502"/>
      <c r="NLW516" s="1502"/>
      <c r="NLX516" s="1502"/>
      <c r="NLY516" s="1502"/>
      <c r="NLZ516" s="1502"/>
      <c r="NMA516" s="1502"/>
      <c r="NMB516" s="1502"/>
      <c r="NMC516" s="1502"/>
      <c r="NMD516" s="1502"/>
      <c r="NME516" s="1502"/>
      <c r="NMF516" s="1502"/>
      <c r="NMG516" s="1502"/>
      <c r="NMH516" s="1502"/>
      <c r="NMI516" s="1502"/>
      <c r="NMJ516" s="1502"/>
      <c r="NMK516" s="1502"/>
      <c r="NML516" s="1502"/>
      <c r="NMM516" s="1502"/>
      <c r="NMN516" s="1502"/>
      <c r="NMO516" s="1502"/>
      <c r="NMP516" s="1502"/>
      <c r="NMQ516" s="1502"/>
      <c r="NMR516" s="1502"/>
      <c r="NMS516" s="1502"/>
      <c r="NMT516" s="1502"/>
      <c r="NMU516" s="1502"/>
      <c r="NMV516" s="1502"/>
      <c r="NMW516" s="1502"/>
      <c r="NMX516" s="1502"/>
      <c r="NMY516" s="1502"/>
      <c r="NMZ516" s="1502"/>
      <c r="NNA516" s="1502"/>
      <c r="NNB516" s="1502"/>
      <c r="NNC516" s="1502"/>
      <c r="NND516" s="1502"/>
      <c r="NNE516" s="1502"/>
      <c r="NNF516" s="1502"/>
      <c r="NNG516" s="1502"/>
      <c r="NNH516" s="1502"/>
      <c r="NNI516" s="1502"/>
      <c r="NNJ516" s="1502"/>
      <c r="NNK516" s="1502"/>
      <c r="NNL516" s="1502"/>
      <c r="NNM516" s="1502"/>
      <c r="NNN516" s="1502"/>
      <c r="NNO516" s="1502"/>
      <c r="NNP516" s="1502"/>
      <c r="NNQ516" s="1502"/>
      <c r="NNR516" s="1502"/>
      <c r="NNS516" s="1502"/>
      <c r="NNT516" s="1502"/>
      <c r="NNU516" s="1502"/>
      <c r="NNV516" s="1502"/>
      <c r="NNW516" s="1502"/>
      <c r="NNX516" s="1502"/>
      <c r="NNY516" s="1502"/>
      <c r="NNZ516" s="1502"/>
      <c r="NOA516" s="1502"/>
      <c r="NOB516" s="1502"/>
      <c r="NOC516" s="1502"/>
      <c r="NOD516" s="1502"/>
      <c r="NOE516" s="1502"/>
      <c r="NOF516" s="1502"/>
      <c r="NOG516" s="1502"/>
      <c r="NOH516" s="1502"/>
      <c r="NOI516" s="1502"/>
      <c r="NOJ516" s="1502"/>
      <c r="NOK516" s="1502"/>
      <c r="NOL516" s="1502"/>
      <c r="NOM516" s="1502"/>
      <c r="NON516" s="1502"/>
      <c r="NOO516" s="1502"/>
      <c r="NOP516" s="1502"/>
      <c r="NOQ516" s="1502"/>
      <c r="NOR516" s="1502"/>
      <c r="NOS516" s="1502"/>
      <c r="NOT516" s="1502"/>
      <c r="NOU516" s="1502"/>
      <c r="NOV516" s="1502"/>
      <c r="NOW516" s="1502"/>
      <c r="NOX516" s="1502"/>
      <c r="NOY516" s="1502"/>
      <c r="NOZ516" s="1502"/>
      <c r="NPA516" s="1502"/>
      <c r="NPB516" s="1502"/>
      <c r="NPC516" s="1502"/>
      <c r="NPD516" s="1502"/>
      <c r="NPE516" s="1502"/>
      <c r="NPF516" s="1502"/>
      <c r="NPG516" s="1502"/>
      <c r="NPH516" s="1502"/>
      <c r="NPI516" s="1502"/>
      <c r="NPJ516" s="1502"/>
      <c r="NPK516" s="1502"/>
      <c r="NPL516" s="1502"/>
      <c r="NPM516" s="1502"/>
      <c r="NPN516" s="1502"/>
      <c r="NPO516" s="1502"/>
      <c r="NPP516" s="1502"/>
      <c r="NPQ516" s="1502"/>
      <c r="NPR516" s="1502"/>
      <c r="NPS516" s="1502"/>
      <c r="NPT516" s="1502"/>
      <c r="NPU516" s="1502"/>
      <c r="NPV516" s="1502"/>
      <c r="NPW516" s="1502"/>
      <c r="NPX516" s="1502"/>
      <c r="NPY516" s="1502"/>
      <c r="NPZ516" s="1502"/>
      <c r="NQA516" s="1502"/>
      <c r="NQB516" s="1502"/>
      <c r="NQC516" s="1502"/>
      <c r="NQD516" s="1502"/>
      <c r="NQE516" s="1502"/>
      <c r="NQF516" s="1502"/>
      <c r="NQG516" s="1502"/>
      <c r="NQH516" s="1502"/>
      <c r="NQI516" s="1502"/>
      <c r="NQJ516" s="1502"/>
      <c r="NQK516" s="1502"/>
      <c r="NQL516" s="1502"/>
      <c r="NQM516" s="1502"/>
      <c r="NQN516" s="1502"/>
      <c r="NQO516" s="1502"/>
      <c r="NQP516" s="1502"/>
      <c r="NQQ516" s="1502"/>
      <c r="NQR516" s="1502"/>
      <c r="NQS516" s="1502"/>
      <c r="NQT516" s="1502"/>
      <c r="NQU516" s="1502"/>
      <c r="NQV516" s="1502"/>
      <c r="NQW516" s="1502"/>
      <c r="NQX516" s="1502"/>
      <c r="NQY516" s="1502"/>
      <c r="NQZ516" s="1502"/>
      <c r="NRA516" s="1502"/>
      <c r="NRB516" s="1502"/>
      <c r="NRC516" s="1502"/>
      <c r="NRD516" s="1502"/>
      <c r="NRE516" s="1502"/>
      <c r="NRF516" s="1502"/>
      <c r="NRG516" s="1502"/>
      <c r="NRH516" s="1502"/>
      <c r="NRI516" s="1502"/>
      <c r="NRJ516" s="1502"/>
      <c r="NRK516" s="1502"/>
      <c r="NRL516" s="1502"/>
      <c r="NRM516" s="1502"/>
      <c r="NRN516" s="1502"/>
      <c r="NRO516" s="1502"/>
      <c r="NRP516" s="1502"/>
      <c r="NRQ516" s="1502"/>
      <c r="NRR516" s="1502"/>
      <c r="NRS516" s="1502"/>
      <c r="NRT516" s="1502"/>
      <c r="NRU516" s="1502"/>
      <c r="NRV516" s="1502"/>
      <c r="NRW516" s="1502"/>
      <c r="NRX516" s="1502"/>
      <c r="NRY516" s="1502"/>
      <c r="NRZ516" s="1502"/>
      <c r="NSA516" s="1502"/>
      <c r="NSB516" s="1502"/>
      <c r="NSC516" s="1502"/>
      <c r="NSD516" s="1502"/>
      <c r="NSE516" s="1502"/>
      <c r="NSF516" s="1502"/>
      <c r="NSG516" s="1502"/>
      <c r="NSH516" s="1502"/>
      <c r="NSI516" s="1502"/>
      <c r="NSJ516" s="1502"/>
      <c r="NSK516" s="1502"/>
      <c r="NSL516" s="1502"/>
      <c r="NSM516" s="1502"/>
      <c r="NSN516" s="1502"/>
      <c r="NSO516" s="1502"/>
      <c r="NSP516" s="1502"/>
      <c r="NSQ516" s="1502"/>
      <c r="NSR516" s="1502"/>
      <c r="NSS516" s="1502"/>
      <c r="NST516" s="1502"/>
      <c r="NSU516" s="1502"/>
      <c r="NSV516" s="1502"/>
      <c r="NSW516" s="1502"/>
      <c r="NSX516" s="1502"/>
      <c r="NSY516" s="1502"/>
      <c r="NSZ516" s="1502"/>
      <c r="NTA516" s="1502"/>
      <c r="NTB516" s="1502"/>
      <c r="NTC516" s="1502"/>
      <c r="NTD516" s="1502"/>
      <c r="NTE516" s="1502"/>
      <c r="NTF516" s="1502"/>
      <c r="NTG516" s="1502"/>
      <c r="NTH516" s="1502"/>
      <c r="NTI516" s="1502"/>
      <c r="NTJ516" s="1502"/>
      <c r="NTK516" s="1502"/>
      <c r="NTL516" s="1502"/>
      <c r="NTM516" s="1502"/>
      <c r="NTN516" s="1502"/>
      <c r="NTO516" s="1502"/>
      <c r="NTP516" s="1502"/>
      <c r="NTQ516" s="1502"/>
      <c r="NTR516" s="1502"/>
      <c r="NTS516" s="1502"/>
      <c r="NTT516" s="1502"/>
      <c r="NTU516" s="1502"/>
      <c r="NTV516" s="1502"/>
      <c r="NTW516" s="1502"/>
      <c r="NTX516" s="1502"/>
      <c r="NTY516" s="1502"/>
      <c r="NTZ516" s="1502"/>
      <c r="NUA516" s="1502"/>
      <c r="NUB516" s="1502"/>
      <c r="NUC516" s="1502"/>
      <c r="NUD516" s="1502"/>
      <c r="NUE516" s="1502"/>
      <c r="NUF516" s="1502"/>
      <c r="NUG516" s="1502"/>
      <c r="NUH516" s="1502"/>
      <c r="NUI516" s="1502"/>
      <c r="NUJ516" s="1502"/>
      <c r="NUK516" s="1502"/>
      <c r="NUL516" s="1502"/>
      <c r="NUM516" s="1502"/>
      <c r="NUN516" s="1502"/>
      <c r="NUO516" s="1502"/>
      <c r="NUP516" s="1502"/>
      <c r="NUQ516" s="1502"/>
      <c r="NUR516" s="1502"/>
      <c r="NUS516" s="1502"/>
      <c r="NUT516" s="1502"/>
      <c r="NUU516" s="1502"/>
      <c r="NUV516" s="1502"/>
      <c r="NUW516" s="1502"/>
      <c r="NUX516" s="1502"/>
      <c r="NUY516" s="1502"/>
      <c r="NUZ516" s="1502"/>
      <c r="NVA516" s="1502"/>
      <c r="NVB516" s="1502"/>
      <c r="NVC516" s="1502"/>
      <c r="NVD516" s="1502"/>
      <c r="NVE516" s="1502"/>
      <c r="NVF516" s="1502"/>
      <c r="NVG516" s="1502"/>
      <c r="NVH516" s="1502"/>
      <c r="NVI516" s="1502"/>
      <c r="NVJ516" s="1502"/>
      <c r="NVK516" s="1502"/>
      <c r="NVL516" s="1502"/>
      <c r="NVM516" s="1502"/>
      <c r="NVN516" s="1502"/>
      <c r="NVO516" s="1502"/>
      <c r="NVP516" s="1502"/>
      <c r="NVQ516" s="1502"/>
      <c r="NVR516" s="1502"/>
      <c r="NVS516" s="1502"/>
      <c r="NVT516" s="1502"/>
      <c r="NVU516" s="1502"/>
      <c r="NVV516" s="1502"/>
      <c r="NVW516" s="1502"/>
      <c r="NVX516" s="1502"/>
      <c r="NVY516" s="1502"/>
      <c r="NVZ516" s="1502"/>
      <c r="NWA516" s="1502"/>
      <c r="NWB516" s="1502"/>
      <c r="NWC516" s="1502"/>
      <c r="NWD516" s="1502"/>
      <c r="NWE516" s="1502"/>
      <c r="NWF516" s="1502"/>
      <c r="NWG516" s="1502"/>
      <c r="NWH516" s="1502"/>
      <c r="NWI516" s="1502"/>
      <c r="NWJ516" s="1502"/>
      <c r="NWK516" s="1502"/>
      <c r="NWL516" s="1502"/>
      <c r="NWM516" s="1502"/>
      <c r="NWN516" s="1502"/>
      <c r="NWO516" s="1502"/>
      <c r="NWP516" s="1502"/>
      <c r="NWQ516" s="1502"/>
      <c r="NWR516" s="1502"/>
      <c r="NWS516" s="1502"/>
      <c r="NWT516" s="1502"/>
      <c r="NWU516" s="1502"/>
      <c r="NWV516" s="1502"/>
      <c r="NWW516" s="1502"/>
      <c r="NWX516" s="1502"/>
      <c r="NWY516" s="1502"/>
      <c r="NWZ516" s="1502"/>
      <c r="NXA516" s="1502"/>
      <c r="NXB516" s="1502"/>
      <c r="NXC516" s="1502"/>
      <c r="NXD516" s="1502"/>
      <c r="NXE516" s="1502"/>
      <c r="NXF516" s="1502"/>
      <c r="NXG516" s="1502"/>
      <c r="NXH516" s="1502"/>
      <c r="NXI516" s="1502"/>
      <c r="NXJ516" s="1502"/>
      <c r="NXK516" s="1502"/>
      <c r="NXL516" s="1502"/>
      <c r="NXM516" s="1502"/>
      <c r="NXN516" s="1502"/>
      <c r="NXO516" s="1502"/>
      <c r="NXP516" s="1502"/>
      <c r="NXQ516" s="1502"/>
      <c r="NXR516" s="1502"/>
      <c r="NXS516" s="1502"/>
      <c r="NXT516" s="1502"/>
      <c r="NXU516" s="1502"/>
      <c r="NXV516" s="1502"/>
      <c r="NXW516" s="1502"/>
      <c r="NXX516" s="1502"/>
      <c r="NXY516" s="1502"/>
      <c r="NXZ516" s="1502"/>
      <c r="NYA516" s="1502"/>
      <c r="NYB516" s="1502"/>
      <c r="NYC516" s="1502"/>
      <c r="NYD516" s="1502"/>
      <c r="NYE516" s="1502"/>
      <c r="NYF516" s="1502"/>
      <c r="NYG516" s="1502"/>
      <c r="NYH516" s="1502"/>
      <c r="NYI516" s="1502"/>
      <c r="NYJ516" s="1502"/>
      <c r="NYK516" s="1502"/>
      <c r="NYL516" s="1502"/>
      <c r="NYM516" s="1502"/>
      <c r="NYN516" s="1502"/>
      <c r="NYO516" s="1502"/>
      <c r="NYP516" s="1502"/>
      <c r="NYQ516" s="1502"/>
      <c r="NYR516" s="1502"/>
      <c r="NYS516" s="1502"/>
      <c r="NYT516" s="1502"/>
      <c r="NYU516" s="1502"/>
      <c r="NYV516" s="1502"/>
      <c r="NYW516" s="1502"/>
      <c r="NYX516" s="1502"/>
      <c r="NYY516" s="1502"/>
      <c r="NYZ516" s="1502"/>
      <c r="NZA516" s="1502"/>
      <c r="NZB516" s="1502"/>
      <c r="NZC516" s="1502"/>
      <c r="NZD516" s="1502"/>
      <c r="NZE516" s="1502"/>
      <c r="NZF516" s="1502"/>
      <c r="NZG516" s="1502"/>
      <c r="NZH516" s="1502"/>
      <c r="NZI516" s="1502"/>
      <c r="NZJ516" s="1502"/>
      <c r="NZK516" s="1502"/>
      <c r="NZL516" s="1502"/>
      <c r="NZM516" s="1502"/>
      <c r="NZN516" s="1502"/>
      <c r="NZO516" s="1502"/>
      <c r="NZP516" s="1502"/>
      <c r="NZQ516" s="1502"/>
      <c r="NZR516" s="1502"/>
      <c r="NZS516" s="1502"/>
      <c r="NZT516" s="1502"/>
      <c r="NZU516" s="1502"/>
      <c r="NZV516" s="1502"/>
      <c r="NZW516" s="1502"/>
      <c r="NZX516" s="1502"/>
      <c r="NZY516" s="1502"/>
      <c r="NZZ516" s="1502"/>
      <c r="OAA516" s="1502"/>
      <c r="OAB516" s="1502"/>
      <c r="OAC516" s="1502"/>
      <c r="OAD516" s="1502"/>
      <c r="OAE516" s="1502"/>
      <c r="OAF516" s="1502"/>
      <c r="OAG516" s="1502"/>
      <c r="OAH516" s="1502"/>
      <c r="OAI516" s="1502"/>
      <c r="OAJ516" s="1502"/>
      <c r="OAK516" s="1502"/>
      <c r="OAL516" s="1502"/>
      <c r="OAM516" s="1502"/>
      <c r="OAN516" s="1502"/>
      <c r="OAO516" s="1502"/>
      <c r="OAP516" s="1502"/>
      <c r="OAQ516" s="1502"/>
      <c r="OAR516" s="1502"/>
      <c r="OAS516" s="1502"/>
      <c r="OAT516" s="1502"/>
      <c r="OAU516" s="1502"/>
      <c r="OAV516" s="1502"/>
      <c r="OAW516" s="1502"/>
      <c r="OAX516" s="1502"/>
      <c r="OAY516" s="1502"/>
      <c r="OAZ516" s="1502"/>
      <c r="OBA516" s="1502"/>
      <c r="OBB516" s="1502"/>
      <c r="OBC516" s="1502"/>
      <c r="OBD516" s="1502"/>
      <c r="OBE516" s="1502"/>
      <c r="OBF516" s="1502"/>
      <c r="OBG516" s="1502"/>
      <c r="OBH516" s="1502"/>
      <c r="OBI516" s="1502"/>
      <c r="OBJ516" s="1502"/>
      <c r="OBK516" s="1502"/>
      <c r="OBL516" s="1502"/>
      <c r="OBM516" s="1502"/>
      <c r="OBN516" s="1502"/>
      <c r="OBO516" s="1502"/>
      <c r="OBP516" s="1502"/>
      <c r="OBQ516" s="1502"/>
      <c r="OBR516" s="1502"/>
      <c r="OBS516" s="1502"/>
      <c r="OBT516" s="1502"/>
      <c r="OBU516" s="1502"/>
      <c r="OBV516" s="1502"/>
      <c r="OBW516" s="1502"/>
      <c r="OBX516" s="1502"/>
      <c r="OBY516" s="1502"/>
      <c r="OBZ516" s="1502"/>
      <c r="OCA516" s="1502"/>
      <c r="OCB516" s="1502"/>
      <c r="OCC516" s="1502"/>
      <c r="OCD516" s="1502"/>
      <c r="OCE516" s="1502"/>
      <c r="OCF516" s="1502"/>
      <c r="OCG516" s="1502"/>
      <c r="OCH516" s="1502"/>
      <c r="OCI516" s="1502"/>
      <c r="OCJ516" s="1502"/>
      <c r="OCK516" s="1502"/>
      <c r="OCL516" s="1502"/>
      <c r="OCM516" s="1502"/>
      <c r="OCN516" s="1502"/>
      <c r="OCO516" s="1502"/>
      <c r="OCP516" s="1502"/>
      <c r="OCQ516" s="1502"/>
      <c r="OCR516" s="1502"/>
      <c r="OCS516" s="1502"/>
      <c r="OCT516" s="1502"/>
      <c r="OCU516" s="1502"/>
      <c r="OCV516" s="1502"/>
      <c r="OCW516" s="1502"/>
      <c r="OCX516" s="1502"/>
      <c r="OCY516" s="1502"/>
      <c r="OCZ516" s="1502"/>
      <c r="ODA516" s="1502"/>
      <c r="ODB516" s="1502"/>
      <c r="ODC516" s="1502"/>
      <c r="ODD516" s="1502"/>
      <c r="ODE516" s="1502"/>
      <c r="ODF516" s="1502"/>
      <c r="ODG516" s="1502"/>
      <c r="ODH516" s="1502"/>
      <c r="ODI516" s="1502"/>
      <c r="ODJ516" s="1502"/>
      <c r="ODK516" s="1502"/>
      <c r="ODL516" s="1502"/>
      <c r="ODM516" s="1502"/>
      <c r="ODN516" s="1502"/>
      <c r="ODO516" s="1502"/>
      <c r="ODP516" s="1502"/>
      <c r="ODQ516" s="1502"/>
      <c r="ODR516" s="1502"/>
      <c r="ODS516" s="1502"/>
      <c r="ODT516" s="1502"/>
      <c r="ODU516" s="1502"/>
      <c r="ODV516" s="1502"/>
      <c r="ODW516" s="1502"/>
      <c r="ODX516" s="1502"/>
      <c r="ODY516" s="1502"/>
      <c r="ODZ516" s="1502"/>
      <c r="OEA516" s="1502"/>
      <c r="OEB516" s="1502"/>
      <c r="OEC516" s="1502"/>
      <c r="OED516" s="1502"/>
      <c r="OEE516" s="1502"/>
      <c r="OEF516" s="1502"/>
      <c r="OEG516" s="1502"/>
      <c r="OEH516" s="1502"/>
      <c r="OEI516" s="1502"/>
      <c r="OEJ516" s="1502"/>
      <c r="OEK516" s="1502"/>
      <c r="OEL516" s="1502"/>
      <c r="OEM516" s="1502"/>
      <c r="OEN516" s="1502"/>
      <c r="OEO516" s="1502"/>
      <c r="OEP516" s="1502"/>
      <c r="OEQ516" s="1502"/>
      <c r="OER516" s="1502"/>
      <c r="OES516" s="1502"/>
      <c r="OET516" s="1502"/>
      <c r="OEU516" s="1502"/>
      <c r="OEV516" s="1502"/>
      <c r="OEW516" s="1502"/>
      <c r="OEX516" s="1502"/>
      <c r="OEY516" s="1502"/>
      <c r="OEZ516" s="1502"/>
      <c r="OFA516" s="1502"/>
      <c r="OFB516" s="1502"/>
      <c r="OFC516" s="1502"/>
      <c r="OFD516" s="1502"/>
      <c r="OFE516" s="1502"/>
      <c r="OFF516" s="1502"/>
      <c r="OFG516" s="1502"/>
      <c r="OFH516" s="1502"/>
      <c r="OFI516" s="1502"/>
      <c r="OFJ516" s="1502"/>
      <c r="OFK516" s="1502"/>
      <c r="OFL516" s="1502"/>
      <c r="OFM516" s="1502"/>
      <c r="OFN516" s="1502"/>
      <c r="OFO516" s="1502"/>
      <c r="OFP516" s="1502"/>
      <c r="OFQ516" s="1502"/>
      <c r="OFR516" s="1502"/>
      <c r="OFS516" s="1502"/>
      <c r="OFT516" s="1502"/>
      <c r="OFU516" s="1502"/>
      <c r="OFV516" s="1502"/>
      <c r="OFW516" s="1502"/>
      <c r="OFX516" s="1502"/>
      <c r="OFY516" s="1502"/>
      <c r="OFZ516" s="1502"/>
      <c r="OGA516" s="1502"/>
      <c r="OGB516" s="1502"/>
      <c r="OGC516" s="1502"/>
      <c r="OGD516" s="1502"/>
      <c r="OGE516" s="1502"/>
      <c r="OGF516" s="1502"/>
      <c r="OGG516" s="1502"/>
      <c r="OGH516" s="1502"/>
      <c r="OGI516" s="1502"/>
      <c r="OGJ516" s="1502"/>
      <c r="OGK516" s="1502"/>
      <c r="OGL516" s="1502"/>
      <c r="OGM516" s="1502"/>
      <c r="OGN516" s="1502"/>
      <c r="OGO516" s="1502"/>
      <c r="OGP516" s="1502"/>
      <c r="OGQ516" s="1502"/>
      <c r="OGR516" s="1502"/>
      <c r="OGS516" s="1502"/>
      <c r="OGT516" s="1502"/>
      <c r="OGU516" s="1502"/>
      <c r="OGV516" s="1502"/>
      <c r="OGW516" s="1502"/>
      <c r="OGX516" s="1502"/>
      <c r="OGY516" s="1502"/>
      <c r="OGZ516" s="1502"/>
      <c r="OHA516" s="1502"/>
      <c r="OHB516" s="1502"/>
      <c r="OHC516" s="1502"/>
      <c r="OHD516" s="1502"/>
      <c r="OHE516" s="1502"/>
      <c r="OHF516" s="1502"/>
      <c r="OHG516" s="1502"/>
      <c r="OHH516" s="1502"/>
      <c r="OHI516" s="1502"/>
      <c r="OHJ516" s="1502"/>
      <c r="OHK516" s="1502"/>
      <c r="OHL516" s="1502"/>
      <c r="OHM516" s="1502"/>
      <c r="OHN516" s="1502"/>
      <c r="OHO516" s="1502"/>
      <c r="OHP516" s="1502"/>
      <c r="OHQ516" s="1502"/>
      <c r="OHR516" s="1502"/>
      <c r="OHS516" s="1502"/>
      <c r="OHT516" s="1502"/>
      <c r="OHU516" s="1502"/>
      <c r="OHV516" s="1502"/>
      <c r="OHW516" s="1502"/>
      <c r="OHX516" s="1502"/>
      <c r="OHY516" s="1502"/>
      <c r="OHZ516" s="1502"/>
      <c r="OIA516" s="1502"/>
      <c r="OIB516" s="1502"/>
      <c r="OIC516" s="1502"/>
      <c r="OID516" s="1502"/>
      <c r="OIE516" s="1502"/>
      <c r="OIF516" s="1502"/>
      <c r="OIG516" s="1502"/>
      <c r="OIH516" s="1502"/>
      <c r="OII516" s="1502"/>
      <c r="OIJ516" s="1502"/>
      <c r="OIK516" s="1502"/>
      <c r="OIL516" s="1502"/>
      <c r="OIM516" s="1502"/>
      <c r="OIN516" s="1502"/>
      <c r="OIO516" s="1502"/>
      <c r="OIP516" s="1502"/>
      <c r="OIQ516" s="1502"/>
      <c r="OIR516" s="1502"/>
      <c r="OIS516" s="1502"/>
      <c r="OIT516" s="1502"/>
      <c r="OIU516" s="1502"/>
      <c r="OIV516" s="1502"/>
      <c r="OIW516" s="1502"/>
      <c r="OIX516" s="1502"/>
      <c r="OIY516" s="1502"/>
      <c r="OIZ516" s="1502"/>
      <c r="OJA516" s="1502"/>
      <c r="OJB516" s="1502"/>
      <c r="OJC516" s="1502"/>
      <c r="OJD516" s="1502"/>
      <c r="OJE516" s="1502"/>
      <c r="OJF516" s="1502"/>
      <c r="OJG516" s="1502"/>
      <c r="OJH516" s="1502"/>
      <c r="OJI516" s="1502"/>
      <c r="OJJ516" s="1502"/>
      <c r="OJK516" s="1502"/>
      <c r="OJL516" s="1502"/>
      <c r="OJM516" s="1502"/>
      <c r="OJN516" s="1502"/>
      <c r="OJO516" s="1502"/>
      <c r="OJP516" s="1502"/>
      <c r="OJQ516" s="1502"/>
      <c r="OJR516" s="1502"/>
      <c r="OJS516" s="1502"/>
      <c r="OJT516" s="1502"/>
      <c r="OJU516" s="1502"/>
      <c r="OJV516" s="1502"/>
      <c r="OJW516" s="1502"/>
      <c r="OJX516" s="1502"/>
      <c r="OJY516" s="1502"/>
      <c r="OJZ516" s="1502"/>
      <c r="OKA516" s="1502"/>
      <c r="OKB516" s="1502"/>
      <c r="OKC516" s="1502"/>
      <c r="OKD516" s="1502"/>
      <c r="OKE516" s="1502"/>
      <c r="OKF516" s="1502"/>
      <c r="OKG516" s="1502"/>
      <c r="OKH516" s="1502"/>
      <c r="OKI516" s="1502"/>
      <c r="OKJ516" s="1502"/>
      <c r="OKK516" s="1502"/>
      <c r="OKL516" s="1502"/>
      <c r="OKM516" s="1502"/>
      <c r="OKN516" s="1502"/>
      <c r="OKO516" s="1502"/>
      <c r="OKP516" s="1502"/>
      <c r="OKQ516" s="1502"/>
      <c r="OKR516" s="1502"/>
      <c r="OKS516" s="1502"/>
      <c r="OKT516" s="1502"/>
      <c r="OKU516" s="1502"/>
      <c r="OKV516" s="1502"/>
      <c r="OKW516" s="1502"/>
      <c r="OKX516" s="1502"/>
      <c r="OKY516" s="1502"/>
      <c r="OKZ516" s="1502"/>
      <c r="OLA516" s="1502"/>
      <c r="OLB516" s="1502"/>
      <c r="OLC516" s="1502"/>
      <c r="OLD516" s="1502"/>
      <c r="OLE516" s="1502"/>
      <c r="OLF516" s="1502"/>
      <c r="OLG516" s="1502"/>
      <c r="OLH516" s="1502"/>
      <c r="OLI516" s="1502"/>
      <c r="OLJ516" s="1502"/>
      <c r="OLK516" s="1502"/>
      <c r="OLL516" s="1502"/>
      <c r="OLM516" s="1502"/>
      <c r="OLN516" s="1502"/>
      <c r="OLO516" s="1502"/>
      <c r="OLP516" s="1502"/>
      <c r="OLQ516" s="1502"/>
      <c r="OLR516" s="1502"/>
      <c r="OLS516" s="1502"/>
      <c r="OLT516" s="1502"/>
      <c r="OLU516" s="1502"/>
      <c r="OLV516" s="1502"/>
      <c r="OLW516" s="1502"/>
      <c r="OLX516" s="1502"/>
      <c r="OLY516" s="1502"/>
      <c r="OLZ516" s="1502"/>
      <c r="OMA516" s="1502"/>
      <c r="OMB516" s="1502"/>
      <c r="OMC516" s="1502"/>
      <c r="OMD516" s="1502"/>
      <c r="OME516" s="1502"/>
      <c r="OMF516" s="1502"/>
      <c r="OMG516" s="1502"/>
      <c r="OMH516" s="1502"/>
      <c r="OMI516" s="1502"/>
      <c r="OMJ516" s="1502"/>
      <c r="OMK516" s="1502"/>
      <c r="OML516" s="1502"/>
      <c r="OMM516" s="1502"/>
      <c r="OMN516" s="1502"/>
      <c r="OMO516" s="1502"/>
      <c r="OMP516" s="1502"/>
      <c r="OMQ516" s="1502"/>
      <c r="OMR516" s="1502"/>
      <c r="OMS516" s="1502"/>
      <c r="OMT516" s="1502"/>
      <c r="OMU516" s="1502"/>
      <c r="OMV516" s="1502"/>
      <c r="OMW516" s="1502"/>
      <c r="OMX516" s="1502"/>
      <c r="OMY516" s="1502"/>
      <c r="OMZ516" s="1502"/>
      <c r="ONA516" s="1502"/>
      <c r="ONB516" s="1502"/>
      <c r="ONC516" s="1502"/>
      <c r="OND516" s="1502"/>
      <c r="ONE516" s="1502"/>
      <c r="ONF516" s="1502"/>
      <c r="ONG516" s="1502"/>
      <c r="ONH516" s="1502"/>
      <c r="ONI516" s="1502"/>
      <c r="ONJ516" s="1502"/>
      <c r="ONK516" s="1502"/>
      <c r="ONL516" s="1502"/>
      <c r="ONM516" s="1502"/>
      <c r="ONN516" s="1502"/>
      <c r="ONO516" s="1502"/>
      <c r="ONP516" s="1502"/>
      <c r="ONQ516" s="1502"/>
      <c r="ONR516" s="1502"/>
      <c r="ONS516" s="1502"/>
      <c r="ONT516" s="1502"/>
      <c r="ONU516" s="1502"/>
      <c r="ONV516" s="1502"/>
      <c r="ONW516" s="1502"/>
      <c r="ONX516" s="1502"/>
      <c r="ONY516" s="1502"/>
      <c r="ONZ516" s="1502"/>
      <c r="OOA516" s="1502"/>
      <c r="OOB516" s="1502"/>
      <c r="OOC516" s="1502"/>
      <c r="OOD516" s="1502"/>
      <c r="OOE516" s="1502"/>
      <c r="OOF516" s="1502"/>
      <c r="OOG516" s="1502"/>
      <c r="OOH516" s="1502"/>
      <c r="OOI516" s="1502"/>
      <c r="OOJ516" s="1502"/>
      <c r="OOK516" s="1502"/>
      <c r="OOL516" s="1502"/>
      <c r="OOM516" s="1502"/>
      <c r="OON516" s="1502"/>
      <c r="OOO516" s="1502"/>
      <c r="OOP516" s="1502"/>
      <c r="OOQ516" s="1502"/>
      <c r="OOR516" s="1502"/>
      <c r="OOS516" s="1502"/>
      <c r="OOT516" s="1502"/>
      <c r="OOU516" s="1502"/>
      <c r="OOV516" s="1502"/>
      <c r="OOW516" s="1502"/>
      <c r="OOX516" s="1502"/>
      <c r="OOY516" s="1502"/>
      <c r="OOZ516" s="1502"/>
      <c r="OPA516" s="1502"/>
      <c r="OPB516" s="1502"/>
      <c r="OPC516" s="1502"/>
      <c r="OPD516" s="1502"/>
      <c r="OPE516" s="1502"/>
      <c r="OPF516" s="1502"/>
      <c r="OPG516" s="1502"/>
      <c r="OPH516" s="1502"/>
      <c r="OPI516" s="1502"/>
      <c r="OPJ516" s="1502"/>
      <c r="OPK516" s="1502"/>
      <c r="OPL516" s="1502"/>
      <c r="OPM516" s="1502"/>
      <c r="OPN516" s="1502"/>
      <c r="OPO516" s="1502"/>
      <c r="OPP516" s="1502"/>
      <c r="OPQ516" s="1502"/>
      <c r="OPR516" s="1502"/>
      <c r="OPS516" s="1502"/>
      <c r="OPT516" s="1502"/>
      <c r="OPU516" s="1502"/>
      <c r="OPV516" s="1502"/>
      <c r="OPW516" s="1502"/>
      <c r="OPX516" s="1502"/>
      <c r="OPY516" s="1502"/>
      <c r="OPZ516" s="1502"/>
      <c r="OQA516" s="1502"/>
      <c r="OQB516" s="1502"/>
      <c r="OQC516" s="1502"/>
      <c r="OQD516" s="1502"/>
      <c r="OQE516" s="1502"/>
      <c r="OQF516" s="1502"/>
      <c r="OQG516" s="1502"/>
      <c r="OQH516" s="1502"/>
      <c r="OQI516" s="1502"/>
      <c r="OQJ516" s="1502"/>
      <c r="OQK516" s="1502"/>
      <c r="OQL516" s="1502"/>
      <c r="OQM516" s="1502"/>
      <c r="OQN516" s="1502"/>
      <c r="OQO516" s="1502"/>
      <c r="OQP516" s="1502"/>
      <c r="OQQ516" s="1502"/>
      <c r="OQR516" s="1502"/>
      <c r="OQS516" s="1502"/>
      <c r="OQT516" s="1502"/>
      <c r="OQU516" s="1502"/>
      <c r="OQV516" s="1502"/>
      <c r="OQW516" s="1502"/>
      <c r="OQX516" s="1502"/>
      <c r="OQY516" s="1502"/>
      <c r="OQZ516" s="1502"/>
      <c r="ORA516" s="1502"/>
      <c r="ORB516" s="1502"/>
      <c r="ORC516" s="1502"/>
      <c r="ORD516" s="1502"/>
      <c r="ORE516" s="1502"/>
      <c r="ORF516" s="1502"/>
      <c r="ORG516" s="1502"/>
      <c r="ORH516" s="1502"/>
      <c r="ORI516" s="1502"/>
      <c r="ORJ516" s="1502"/>
      <c r="ORK516" s="1502"/>
      <c r="ORL516" s="1502"/>
      <c r="ORM516" s="1502"/>
      <c r="ORN516" s="1502"/>
      <c r="ORO516" s="1502"/>
      <c r="ORP516" s="1502"/>
      <c r="ORQ516" s="1502"/>
      <c r="ORR516" s="1502"/>
      <c r="ORS516" s="1502"/>
      <c r="ORT516" s="1502"/>
      <c r="ORU516" s="1502"/>
      <c r="ORV516" s="1502"/>
      <c r="ORW516" s="1502"/>
      <c r="ORX516" s="1502"/>
      <c r="ORY516" s="1502"/>
      <c r="ORZ516" s="1502"/>
      <c r="OSA516" s="1502"/>
      <c r="OSB516" s="1502"/>
      <c r="OSC516" s="1502"/>
      <c r="OSD516" s="1502"/>
      <c r="OSE516" s="1502"/>
      <c r="OSF516" s="1502"/>
      <c r="OSG516" s="1502"/>
      <c r="OSH516" s="1502"/>
      <c r="OSI516" s="1502"/>
      <c r="OSJ516" s="1502"/>
      <c r="OSK516" s="1502"/>
      <c r="OSL516" s="1502"/>
      <c r="OSM516" s="1502"/>
      <c r="OSN516" s="1502"/>
      <c r="OSO516" s="1502"/>
      <c r="OSP516" s="1502"/>
      <c r="OSQ516" s="1502"/>
      <c r="OSR516" s="1502"/>
      <c r="OSS516" s="1502"/>
      <c r="OST516" s="1502"/>
      <c r="OSU516" s="1502"/>
      <c r="OSV516" s="1502"/>
      <c r="OSW516" s="1502"/>
      <c r="OSX516" s="1502"/>
      <c r="OSY516" s="1502"/>
      <c r="OSZ516" s="1502"/>
      <c r="OTA516" s="1502"/>
      <c r="OTB516" s="1502"/>
      <c r="OTC516" s="1502"/>
      <c r="OTD516" s="1502"/>
      <c r="OTE516" s="1502"/>
      <c r="OTF516" s="1502"/>
      <c r="OTG516" s="1502"/>
      <c r="OTH516" s="1502"/>
      <c r="OTI516" s="1502"/>
      <c r="OTJ516" s="1502"/>
      <c r="OTK516" s="1502"/>
      <c r="OTL516" s="1502"/>
      <c r="OTM516" s="1502"/>
      <c r="OTN516" s="1502"/>
      <c r="OTO516" s="1502"/>
      <c r="OTP516" s="1502"/>
      <c r="OTQ516" s="1502"/>
      <c r="OTR516" s="1502"/>
      <c r="OTS516" s="1502"/>
      <c r="OTT516" s="1502"/>
      <c r="OTU516" s="1502"/>
      <c r="OTV516" s="1502"/>
      <c r="OTW516" s="1502"/>
      <c r="OTX516" s="1502"/>
      <c r="OTY516" s="1502"/>
      <c r="OTZ516" s="1502"/>
      <c r="OUA516" s="1502"/>
      <c r="OUB516" s="1502"/>
      <c r="OUC516" s="1502"/>
      <c r="OUD516" s="1502"/>
      <c r="OUE516" s="1502"/>
      <c r="OUF516" s="1502"/>
      <c r="OUG516" s="1502"/>
      <c r="OUH516" s="1502"/>
      <c r="OUI516" s="1502"/>
      <c r="OUJ516" s="1502"/>
      <c r="OUK516" s="1502"/>
      <c r="OUL516" s="1502"/>
      <c r="OUM516" s="1502"/>
      <c r="OUN516" s="1502"/>
      <c r="OUO516" s="1502"/>
      <c r="OUP516" s="1502"/>
      <c r="OUQ516" s="1502"/>
      <c r="OUR516" s="1502"/>
      <c r="OUS516" s="1502"/>
      <c r="OUT516" s="1502"/>
      <c r="OUU516" s="1502"/>
      <c r="OUV516" s="1502"/>
      <c r="OUW516" s="1502"/>
      <c r="OUX516" s="1502"/>
      <c r="OUY516" s="1502"/>
      <c r="OUZ516" s="1502"/>
      <c r="OVA516" s="1502"/>
      <c r="OVB516" s="1502"/>
      <c r="OVC516" s="1502"/>
      <c r="OVD516" s="1502"/>
      <c r="OVE516" s="1502"/>
      <c r="OVF516" s="1502"/>
      <c r="OVG516" s="1502"/>
      <c r="OVH516" s="1502"/>
      <c r="OVI516" s="1502"/>
      <c r="OVJ516" s="1502"/>
      <c r="OVK516" s="1502"/>
      <c r="OVL516" s="1502"/>
      <c r="OVM516" s="1502"/>
      <c r="OVN516" s="1502"/>
      <c r="OVO516" s="1502"/>
      <c r="OVP516" s="1502"/>
      <c r="OVQ516" s="1502"/>
      <c r="OVR516" s="1502"/>
      <c r="OVS516" s="1502"/>
      <c r="OVT516" s="1502"/>
      <c r="OVU516" s="1502"/>
      <c r="OVV516" s="1502"/>
      <c r="OVW516" s="1502"/>
      <c r="OVX516" s="1502"/>
      <c r="OVY516" s="1502"/>
      <c r="OVZ516" s="1502"/>
      <c r="OWA516" s="1502"/>
      <c r="OWB516" s="1502"/>
      <c r="OWC516" s="1502"/>
      <c r="OWD516" s="1502"/>
      <c r="OWE516" s="1502"/>
      <c r="OWF516" s="1502"/>
      <c r="OWG516" s="1502"/>
      <c r="OWH516" s="1502"/>
      <c r="OWI516" s="1502"/>
      <c r="OWJ516" s="1502"/>
      <c r="OWK516" s="1502"/>
      <c r="OWL516" s="1502"/>
      <c r="OWM516" s="1502"/>
      <c r="OWN516" s="1502"/>
      <c r="OWO516" s="1502"/>
      <c r="OWP516" s="1502"/>
      <c r="OWQ516" s="1502"/>
      <c r="OWR516" s="1502"/>
      <c r="OWS516" s="1502"/>
      <c r="OWT516" s="1502"/>
      <c r="OWU516" s="1502"/>
      <c r="OWV516" s="1502"/>
      <c r="OWW516" s="1502"/>
      <c r="OWX516" s="1502"/>
      <c r="OWY516" s="1502"/>
      <c r="OWZ516" s="1502"/>
      <c r="OXA516" s="1502"/>
      <c r="OXB516" s="1502"/>
      <c r="OXC516" s="1502"/>
      <c r="OXD516" s="1502"/>
      <c r="OXE516" s="1502"/>
      <c r="OXF516" s="1502"/>
      <c r="OXG516" s="1502"/>
      <c r="OXH516" s="1502"/>
      <c r="OXI516" s="1502"/>
      <c r="OXJ516" s="1502"/>
      <c r="OXK516" s="1502"/>
      <c r="OXL516" s="1502"/>
      <c r="OXM516" s="1502"/>
      <c r="OXN516" s="1502"/>
      <c r="OXO516" s="1502"/>
      <c r="OXP516" s="1502"/>
      <c r="OXQ516" s="1502"/>
      <c r="OXR516" s="1502"/>
      <c r="OXS516" s="1502"/>
      <c r="OXT516" s="1502"/>
      <c r="OXU516" s="1502"/>
      <c r="OXV516" s="1502"/>
      <c r="OXW516" s="1502"/>
      <c r="OXX516" s="1502"/>
      <c r="OXY516" s="1502"/>
      <c r="OXZ516" s="1502"/>
      <c r="OYA516" s="1502"/>
      <c r="OYB516" s="1502"/>
      <c r="OYC516" s="1502"/>
      <c r="OYD516" s="1502"/>
      <c r="OYE516" s="1502"/>
      <c r="OYF516" s="1502"/>
      <c r="OYG516" s="1502"/>
      <c r="OYH516" s="1502"/>
      <c r="OYI516" s="1502"/>
      <c r="OYJ516" s="1502"/>
      <c r="OYK516" s="1502"/>
      <c r="OYL516" s="1502"/>
      <c r="OYM516" s="1502"/>
      <c r="OYN516" s="1502"/>
      <c r="OYO516" s="1502"/>
      <c r="OYP516" s="1502"/>
      <c r="OYQ516" s="1502"/>
      <c r="OYR516" s="1502"/>
      <c r="OYS516" s="1502"/>
      <c r="OYT516" s="1502"/>
      <c r="OYU516" s="1502"/>
      <c r="OYV516" s="1502"/>
      <c r="OYW516" s="1502"/>
      <c r="OYX516" s="1502"/>
      <c r="OYY516" s="1502"/>
      <c r="OYZ516" s="1502"/>
      <c r="OZA516" s="1502"/>
      <c r="OZB516" s="1502"/>
      <c r="OZC516" s="1502"/>
      <c r="OZD516" s="1502"/>
      <c r="OZE516" s="1502"/>
      <c r="OZF516" s="1502"/>
      <c r="OZG516" s="1502"/>
      <c r="OZH516" s="1502"/>
      <c r="OZI516" s="1502"/>
      <c r="OZJ516" s="1502"/>
      <c r="OZK516" s="1502"/>
      <c r="OZL516" s="1502"/>
      <c r="OZM516" s="1502"/>
      <c r="OZN516" s="1502"/>
      <c r="OZO516" s="1502"/>
      <c r="OZP516" s="1502"/>
      <c r="OZQ516" s="1502"/>
      <c r="OZR516" s="1502"/>
      <c r="OZS516" s="1502"/>
      <c r="OZT516" s="1502"/>
      <c r="OZU516" s="1502"/>
      <c r="OZV516" s="1502"/>
      <c r="OZW516" s="1502"/>
      <c r="OZX516" s="1502"/>
      <c r="OZY516" s="1502"/>
      <c r="OZZ516" s="1502"/>
      <c r="PAA516" s="1502"/>
      <c r="PAB516" s="1502"/>
      <c r="PAC516" s="1502"/>
      <c r="PAD516" s="1502"/>
      <c r="PAE516" s="1502"/>
      <c r="PAF516" s="1502"/>
      <c r="PAG516" s="1502"/>
      <c r="PAH516" s="1502"/>
      <c r="PAI516" s="1502"/>
      <c r="PAJ516" s="1502"/>
      <c r="PAK516" s="1502"/>
      <c r="PAL516" s="1502"/>
      <c r="PAM516" s="1502"/>
      <c r="PAN516" s="1502"/>
      <c r="PAO516" s="1502"/>
      <c r="PAP516" s="1502"/>
      <c r="PAQ516" s="1502"/>
      <c r="PAR516" s="1502"/>
      <c r="PAS516" s="1502"/>
      <c r="PAT516" s="1502"/>
      <c r="PAU516" s="1502"/>
      <c r="PAV516" s="1502"/>
      <c r="PAW516" s="1502"/>
      <c r="PAX516" s="1502"/>
      <c r="PAY516" s="1502"/>
      <c r="PAZ516" s="1502"/>
      <c r="PBA516" s="1502"/>
      <c r="PBB516" s="1502"/>
      <c r="PBC516" s="1502"/>
      <c r="PBD516" s="1502"/>
      <c r="PBE516" s="1502"/>
      <c r="PBF516" s="1502"/>
      <c r="PBG516" s="1502"/>
      <c r="PBH516" s="1502"/>
      <c r="PBI516" s="1502"/>
      <c r="PBJ516" s="1502"/>
      <c r="PBK516" s="1502"/>
      <c r="PBL516" s="1502"/>
      <c r="PBM516" s="1502"/>
      <c r="PBN516" s="1502"/>
      <c r="PBO516" s="1502"/>
      <c r="PBP516" s="1502"/>
      <c r="PBQ516" s="1502"/>
      <c r="PBR516" s="1502"/>
      <c r="PBS516" s="1502"/>
      <c r="PBT516" s="1502"/>
      <c r="PBU516" s="1502"/>
      <c r="PBV516" s="1502"/>
      <c r="PBW516" s="1502"/>
      <c r="PBX516" s="1502"/>
      <c r="PBY516" s="1502"/>
      <c r="PBZ516" s="1502"/>
      <c r="PCA516" s="1502"/>
      <c r="PCB516" s="1502"/>
      <c r="PCC516" s="1502"/>
      <c r="PCD516" s="1502"/>
      <c r="PCE516" s="1502"/>
      <c r="PCF516" s="1502"/>
      <c r="PCG516" s="1502"/>
      <c r="PCH516" s="1502"/>
      <c r="PCI516" s="1502"/>
      <c r="PCJ516" s="1502"/>
      <c r="PCK516" s="1502"/>
      <c r="PCL516" s="1502"/>
      <c r="PCM516" s="1502"/>
      <c r="PCN516" s="1502"/>
      <c r="PCO516" s="1502"/>
      <c r="PCP516" s="1502"/>
      <c r="PCQ516" s="1502"/>
      <c r="PCR516" s="1502"/>
      <c r="PCS516" s="1502"/>
      <c r="PCT516" s="1502"/>
      <c r="PCU516" s="1502"/>
      <c r="PCV516" s="1502"/>
      <c r="PCW516" s="1502"/>
      <c r="PCX516" s="1502"/>
      <c r="PCY516" s="1502"/>
      <c r="PCZ516" s="1502"/>
      <c r="PDA516" s="1502"/>
      <c r="PDB516" s="1502"/>
      <c r="PDC516" s="1502"/>
      <c r="PDD516" s="1502"/>
      <c r="PDE516" s="1502"/>
      <c r="PDF516" s="1502"/>
      <c r="PDG516" s="1502"/>
      <c r="PDH516" s="1502"/>
      <c r="PDI516" s="1502"/>
      <c r="PDJ516" s="1502"/>
      <c r="PDK516" s="1502"/>
      <c r="PDL516" s="1502"/>
      <c r="PDM516" s="1502"/>
      <c r="PDN516" s="1502"/>
      <c r="PDO516" s="1502"/>
      <c r="PDP516" s="1502"/>
      <c r="PDQ516" s="1502"/>
      <c r="PDR516" s="1502"/>
      <c r="PDS516" s="1502"/>
      <c r="PDT516" s="1502"/>
      <c r="PDU516" s="1502"/>
      <c r="PDV516" s="1502"/>
      <c r="PDW516" s="1502"/>
      <c r="PDX516" s="1502"/>
      <c r="PDY516" s="1502"/>
      <c r="PDZ516" s="1502"/>
      <c r="PEA516" s="1502"/>
      <c r="PEB516" s="1502"/>
      <c r="PEC516" s="1502"/>
      <c r="PED516" s="1502"/>
      <c r="PEE516" s="1502"/>
      <c r="PEF516" s="1502"/>
      <c r="PEG516" s="1502"/>
      <c r="PEH516" s="1502"/>
      <c r="PEI516" s="1502"/>
      <c r="PEJ516" s="1502"/>
      <c r="PEK516" s="1502"/>
      <c r="PEL516" s="1502"/>
      <c r="PEM516" s="1502"/>
      <c r="PEN516" s="1502"/>
      <c r="PEO516" s="1502"/>
      <c r="PEP516" s="1502"/>
      <c r="PEQ516" s="1502"/>
      <c r="PER516" s="1502"/>
      <c r="PES516" s="1502"/>
      <c r="PET516" s="1502"/>
      <c r="PEU516" s="1502"/>
      <c r="PEV516" s="1502"/>
      <c r="PEW516" s="1502"/>
      <c r="PEX516" s="1502"/>
      <c r="PEY516" s="1502"/>
      <c r="PEZ516" s="1502"/>
      <c r="PFA516" s="1502"/>
      <c r="PFB516" s="1502"/>
      <c r="PFC516" s="1502"/>
      <c r="PFD516" s="1502"/>
      <c r="PFE516" s="1502"/>
      <c r="PFF516" s="1502"/>
      <c r="PFG516" s="1502"/>
      <c r="PFH516" s="1502"/>
      <c r="PFI516" s="1502"/>
      <c r="PFJ516" s="1502"/>
      <c r="PFK516" s="1502"/>
      <c r="PFL516" s="1502"/>
      <c r="PFM516" s="1502"/>
      <c r="PFN516" s="1502"/>
      <c r="PFO516" s="1502"/>
      <c r="PFP516" s="1502"/>
      <c r="PFQ516" s="1502"/>
      <c r="PFR516" s="1502"/>
      <c r="PFS516" s="1502"/>
      <c r="PFT516" s="1502"/>
      <c r="PFU516" s="1502"/>
      <c r="PFV516" s="1502"/>
      <c r="PFW516" s="1502"/>
      <c r="PFX516" s="1502"/>
      <c r="PFY516" s="1502"/>
      <c r="PFZ516" s="1502"/>
      <c r="PGA516" s="1502"/>
      <c r="PGB516" s="1502"/>
      <c r="PGC516" s="1502"/>
      <c r="PGD516" s="1502"/>
      <c r="PGE516" s="1502"/>
      <c r="PGF516" s="1502"/>
      <c r="PGG516" s="1502"/>
      <c r="PGH516" s="1502"/>
      <c r="PGI516" s="1502"/>
      <c r="PGJ516" s="1502"/>
      <c r="PGK516" s="1502"/>
      <c r="PGL516" s="1502"/>
      <c r="PGM516" s="1502"/>
      <c r="PGN516" s="1502"/>
      <c r="PGO516" s="1502"/>
      <c r="PGP516" s="1502"/>
      <c r="PGQ516" s="1502"/>
      <c r="PGR516" s="1502"/>
      <c r="PGS516" s="1502"/>
      <c r="PGT516" s="1502"/>
      <c r="PGU516" s="1502"/>
      <c r="PGV516" s="1502"/>
      <c r="PGW516" s="1502"/>
      <c r="PGX516" s="1502"/>
      <c r="PGY516" s="1502"/>
      <c r="PGZ516" s="1502"/>
      <c r="PHA516" s="1502"/>
      <c r="PHB516" s="1502"/>
      <c r="PHC516" s="1502"/>
      <c r="PHD516" s="1502"/>
      <c r="PHE516" s="1502"/>
      <c r="PHF516" s="1502"/>
      <c r="PHG516" s="1502"/>
      <c r="PHH516" s="1502"/>
      <c r="PHI516" s="1502"/>
      <c r="PHJ516" s="1502"/>
      <c r="PHK516" s="1502"/>
      <c r="PHL516" s="1502"/>
      <c r="PHM516" s="1502"/>
      <c r="PHN516" s="1502"/>
      <c r="PHO516" s="1502"/>
      <c r="PHP516" s="1502"/>
      <c r="PHQ516" s="1502"/>
      <c r="PHR516" s="1502"/>
      <c r="PHS516" s="1502"/>
      <c r="PHT516" s="1502"/>
      <c r="PHU516" s="1502"/>
      <c r="PHV516" s="1502"/>
      <c r="PHW516" s="1502"/>
      <c r="PHX516" s="1502"/>
      <c r="PHY516" s="1502"/>
      <c r="PHZ516" s="1502"/>
      <c r="PIA516" s="1502"/>
      <c r="PIB516" s="1502"/>
      <c r="PIC516" s="1502"/>
      <c r="PID516" s="1502"/>
      <c r="PIE516" s="1502"/>
      <c r="PIF516" s="1502"/>
      <c r="PIG516" s="1502"/>
      <c r="PIH516" s="1502"/>
      <c r="PII516" s="1502"/>
      <c r="PIJ516" s="1502"/>
      <c r="PIK516" s="1502"/>
      <c r="PIL516" s="1502"/>
      <c r="PIM516" s="1502"/>
      <c r="PIN516" s="1502"/>
      <c r="PIO516" s="1502"/>
      <c r="PIP516" s="1502"/>
      <c r="PIQ516" s="1502"/>
      <c r="PIR516" s="1502"/>
      <c r="PIS516" s="1502"/>
      <c r="PIT516" s="1502"/>
      <c r="PIU516" s="1502"/>
      <c r="PIV516" s="1502"/>
      <c r="PIW516" s="1502"/>
      <c r="PIX516" s="1502"/>
      <c r="PIY516" s="1502"/>
      <c r="PIZ516" s="1502"/>
      <c r="PJA516" s="1502"/>
      <c r="PJB516" s="1502"/>
      <c r="PJC516" s="1502"/>
      <c r="PJD516" s="1502"/>
      <c r="PJE516" s="1502"/>
      <c r="PJF516" s="1502"/>
      <c r="PJG516" s="1502"/>
      <c r="PJH516" s="1502"/>
      <c r="PJI516" s="1502"/>
      <c r="PJJ516" s="1502"/>
      <c r="PJK516" s="1502"/>
      <c r="PJL516" s="1502"/>
      <c r="PJM516" s="1502"/>
      <c r="PJN516" s="1502"/>
      <c r="PJO516" s="1502"/>
      <c r="PJP516" s="1502"/>
      <c r="PJQ516" s="1502"/>
      <c r="PJR516" s="1502"/>
      <c r="PJS516" s="1502"/>
      <c r="PJT516" s="1502"/>
      <c r="PJU516" s="1502"/>
      <c r="PJV516" s="1502"/>
      <c r="PJW516" s="1502"/>
      <c r="PJX516" s="1502"/>
      <c r="PJY516" s="1502"/>
      <c r="PJZ516" s="1502"/>
      <c r="PKA516" s="1502"/>
      <c r="PKB516" s="1502"/>
      <c r="PKC516" s="1502"/>
      <c r="PKD516" s="1502"/>
      <c r="PKE516" s="1502"/>
      <c r="PKF516" s="1502"/>
      <c r="PKG516" s="1502"/>
      <c r="PKH516" s="1502"/>
      <c r="PKI516" s="1502"/>
      <c r="PKJ516" s="1502"/>
      <c r="PKK516" s="1502"/>
      <c r="PKL516" s="1502"/>
      <c r="PKM516" s="1502"/>
      <c r="PKN516" s="1502"/>
      <c r="PKO516" s="1502"/>
      <c r="PKP516" s="1502"/>
      <c r="PKQ516" s="1502"/>
      <c r="PKR516" s="1502"/>
      <c r="PKS516" s="1502"/>
      <c r="PKT516" s="1502"/>
      <c r="PKU516" s="1502"/>
      <c r="PKV516" s="1502"/>
      <c r="PKW516" s="1502"/>
      <c r="PKX516" s="1502"/>
      <c r="PKY516" s="1502"/>
      <c r="PKZ516" s="1502"/>
      <c r="PLA516" s="1502"/>
      <c r="PLB516" s="1502"/>
      <c r="PLC516" s="1502"/>
      <c r="PLD516" s="1502"/>
      <c r="PLE516" s="1502"/>
      <c r="PLF516" s="1502"/>
      <c r="PLG516" s="1502"/>
      <c r="PLH516" s="1502"/>
      <c r="PLI516" s="1502"/>
      <c r="PLJ516" s="1502"/>
      <c r="PLK516" s="1502"/>
      <c r="PLL516" s="1502"/>
      <c r="PLM516" s="1502"/>
      <c r="PLN516" s="1502"/>
      <c r="PLO516" s="1502"/>
      <c r="PLP516" s="1502"/>
      <c r="PLQ516" s="1502"/>
      <c r="PLR516" s="1502"/>
      <c r="PLS516" s="1502"/>
      <c r="PLT516" s="1502"/>
      <c r="PLU516" s="1502"/>
      <c r="PLV516" s="1502"/>
      <c r="PLW516" s="1502"/>
      <c r="PLX516" s="1502"/>
      <c r="PLY516" s="1502"/>
      <c r="PLZ516" s="1502"/>
      <c r="PMA516" s="1502"/>
      <c r="PMB516" s="1502"/>
      <c r="PMC516" s="1502"/>
      <c r="PMD516" s="1502"/>
      <c r="PME516" s="1502"/>
      <c r="PMF516" s="1502"/>
      <c r="PMG516" s="1502"/>
      <c r="PMH516" s="1502"/>
      <c r="PMI516" s="1502"/>
      <c r="PMJ516" s="1502"/>
      <c r="PMK516" s="1502"/>
      <c r="PML516" s="1502"/>
      <c r="PMM516" s="1502"/>
      <c r="PMN516" s="1502"/>
      <c r="PMO516" s="1502"/>
      <c r="PMP516" s="1502"/>
      <c r="PMQ516" s="1502"/>
      <c r="PMR516" s="1502"/>
      <c r="PMS516" s="1502"/>
      <c r="PMT516" s="1502"/>
      <c r="PMU516" s="1502"/>
      <c r="PMV516" s="1502"/>
      <c r="PMW516" s="1502"/>
      <c r="PMX516" s="1502"/>
      <c r="PMY516" s="1502"/>
      <c r="PMZ516" s="1502"/>
      <c r="PNA516" s="1502"/>
      <c r="PNB516" s="1502"/>
      <c r="PNC516" s="1502"/>
      <c r="PND516" s="1502"/>
      <c r="PNE516" s="1502"/>
      <c r="PNF516" s="1502"/>
      <c r="PNG516" s="1502"/>
      <c r="PNH516" s="1502"/>
      <c r="PNI516" s="1502"/>
      <c r="PNJ516" s="1502"/>
      <c r="PNK516" s="1502"/>
      <c r="PNL516" s="1502"/>
      <c r="PNM516" s="1502"/>
      <c r="PNN516" s="1502"/>
      <c r="PNO516" s="1502"/>
      <c r="PNP516" s="1502"/>
      <c r="PNQ516" s="1502"/>
      <c r="PNR516" s="1502"/>
      <c r="PNS516" s="1502"/>
      <c r="PNT516" s="1502"/>
      <c r="PNU516" s="1502"/>
      <c r="PNV516" s="1502"/>
      <c r="PNW516" s="1502"/>
      <c r="PNX516" s="1502"/>
      <c r="PNY516" s="1502"/>
      <c r="PNZ516" s="1502"/>
      <c r="POA516" s="1502"/>
      <c r="POB516" s="1502"/>
      <c r="POC516" s="1502"/>
      <c r="POD516" s="1502"/>
      <c r="POE516" s="1502"/>
      <c r="POF516" s="1502"/>
      <c r="POG516" s="1502"/>
      <c r="POH516" s="1502"/>
      <c r="POI516" s="1502"/>
      <c r="POJ516" s="1502"/>
      <c r="POK516" s="1502"/>
      <c r="POL516" s="1502"/>
      <c r="POM516" s="1502"/>
      <c r="PON516" s="1502"/>
      <c r="POO516" s="1502"/>
      <c r="POP516" s="1502"/>
      <c r="POQ516" s="1502"/>
      <c r="POR516" s="1502"/>
      <c r="POS516" s="1502"/>
      <c r="POT516" s="1502"/>
      <c r="POU516" s="1502"/>
      <c r="POV516" s="1502"/>
      <c r="POW516" s="1502"/>
      <c r="POX516" s="1502"/>
      <c r="POY516" s="1502"/>
      <c r="POZ516" s="1502"/>
      <c r="PPA516" s="1502"/>
      <c r="PPB516" s="1502"/>
      <c r="PPC516" s="1502"/>
      <c r="PPD516" s="1502"/>
      <c r="PPE516" s="1502"/>
      <c r="PPF516" s="1502"/>
      <c r="PPG516" s="1502"/>
      <c r="PPH516" s="1502"/>
      <c r="PPI516" s="1502"/>
      <c r="PPJ516" s="1502"/>
      <c r="PPK516" s="1502"/>
      <c r="PPL516" s="1502"/>
      <c r="PPM516" s="1502"/>
      <c r="PPN516" s="1502"/>
      <c r="PPO516" s="1502"/>
      <c r="PPP516" s="1502"/>
      <c r="PPQ516" s="1502"/>
      <c r="PPR516" s="1502"/>
      <c r="PPS516" s="1502"/>
      <c r="PPT516" s="1502"/>
      <c r="PPU516" s="1502"/>
      <c r="PPV516" s="1502"/>
      <c r="PPW516" s="1502"/>
      <c r="PPX516" s="1502"/>
      <c r="PPY516" s="1502"/>
      <c r="PPZ516" s="1502"/>
      <c r="PQA516" s="1502"/>
      <c r="PQB516" s="1502"/>
      <c r="PQC516" s="1502"/>
      <c r="PQD516" s="1502"/>
      <c r="PQE516" s="1502"/>
      <c r="PQF516" s="1502"/>
      <c r="PQG516" s="1502"/>
      <c r="PQH516" s="1502"/>
      <c r="PQI516" s="1502"/>
      <c r="PQJ516" s="1502"/>
      <c r="PQK516" s="1502"/>
      <c r="PQL516" s="1502"/>
      <c r="PQM516" s="1502"/>
      <c r="PQN516" s="1502"/>
      <c r="PQO516" s="1502"/>
      <c r="PQP516" s="1502"/>
      <c r="PQQ516" s="1502"/>
      <c r="PQR516" s="1502"/>
      <c r="PQS516" s="1502"/>
      <c r="PQT516" s="1502"/>
      <c r="PQU516" s="1502"/>
      <c r="PQV516" s="1502"/>
      <c r="PQW516" s="1502"/>
      <c r="PQX516" s="1502"/>
      <c r="PQY516" s="1502"/>
      <c r="PQZ516" s="1502"/>
      <c r="PRA516" s="1502"/>
      <c r="PRB516" s="1502"/>
      <c r="PRC516" s="1502"/>
      <c r="PRD516" s="1502"/>
      <c r="PRE516" s="1502"/>
      <c r="PRF516" s="1502"/>
      <c r="PRG516" s="1502"/>
      <c r="PRH516" s="1502"/>
      <c r="PRI516" s="1502"/>
      <c r="PRJ516" s="1502"/>
      <c r="PRK516" s="1502"/>
      <c r="PRL516" s="1502"/>
      <c r="PRM516" s="1502"/>
      <c r="PRN516" s="1502"/>
      <c r="PRO516" s="1502"/>
      <c r="PRP516" s="1502"/>
      <c r="PRQ516" s="1502"/>
      <c r="PRR516" s="1502"/>
      <c r="PRS516" s="1502"/>
      <c r="PRT516" s="1502"/>
      <c r="PRU516" s="1502"/>
      <c r="PRV516" s="1502"/>
      <c r="PRW516" s="1502"/>
      <c r="PRX516" s="1502"/>
      <c r="PRY516" s="1502"/>
      <c r="PRZ516" s="1502"/>
      <c r="PSA516" s="1502"/>
      <c r="PSB516" s="1502"/>
      <c r="PSC516" s="1502"/>
      <c r="PSD516" s="1502"/>
      <c r="PSE516" s="1502"/>
      <c r="PSF516" s="1502"/>
      <c r="PSG516" s="1502"/>
      <c r="PSH516" s="1502"/>
      <c r="PSI516" s="1502"/>
      <c r="PSJ516" s="1502"/>
      <c r="PSK516" s="1502"/>
      <c r="PSL516" s="1502"/>
      <c r="PSM516" s="1502"/>
      <c r="PSN516" s="1502"/>
      <c r="PSO516" s="1502"/>
      <c r="PSP516" s="1502"/>
      <c r="PSQ516" s="1502"/>
      <c r="PSR516" s="1502"/>
      <c r="PSS516" s="1502"/>
      <c r="PST516" s="1502"/>
      <c r="PSU516" s="1502"/>
      <c r="PSV516" s="1502"/>
      <c r="PSW516" s="1502"/>
      <c r="PSX516" s="1502"/>
      <c r="PSY516" s="1502"/>
      <c r="PSZ516" s="1502"/>
      <c r="PTA516" s="1502"/>
      <c r="PTB516" s="1502"/>
      <c r="PTC516" s="1502"/>
      <c r="PTD516" s="1502"/>
      <c r="PTE516" s="1502"/>
      <c r="PTF516" s="1502"/>
      <c r="PTG516" s="1502"/>
      <c r="PTH516" s="1502"/>
      <c r="PTI516" s="1502"/>
      <c r="PTJ516" s="1502"/>
      <c r="PTK516" s="1502"/>
      <c r="PTL516" s="1502"/>
      <c r="PTM516" s="1502"/>
      <c r="PTN516" s="1502"/>
      <c r="PTO516" s="1502"/>
      <c r="PTP516" s="1502"/>
      <c r="PTQ516" s="1502"/>
      <c r="PTR516" s="1502"/>
      <c r="PTS516" s="1502"/>
      <c r="PTT516" s="1502"/>
      <c r="PTU516" s="1502"/>
      <c r="PTV516" s="1502"/>
      <c r="PTW516" s="1502"/>
      <c r="PTX516" s="1502"/>
      <c r="PTY516" s="1502"/>
      <c r="PTZ516" s="1502"/>
      <c r="PUA516" s="1502"/>
      <c r="PUB516" s="1502"/>
      <c r="PUC516" s="1502"/>
      <c r="PUD516" s="1502"/>
      <c r="PUE516" s="1502"/>
      <c r="PUF516" s="1502"/>
      <c r="PUG516" s="1502"/>
      <c r="PUH516" s="1502"/>
      <c r="PUI516" s="1502"/>
      <c r="PUJ516" s="1502"/>
      <c r="PUK516" s="1502"/>
      <c r="PUL516" s="1502"/>
      <c r="PUM516" s="1502"/>
      <c r="PUN516" s="1502"/>
      <c r="PUO516" s="1502"/>
      <c r="PUP516" s="1502"/>
      <c r="PUQ516" s="1502"/>
      <c r="PUR516" s="1502"/>
      <c r="PUS516" s="1502"/>
      <c r="PUT516" s="1502"/>
      <c r="PUU516" s="1502"/>
      <c r="PUV516" s="1502"/>
      <c r="PUW516" s="1502"/>
      <c r="PUX516" s="1502"/>
      <c r="PUY516" s="1502"/>
      <c r="PUZ516" s="1502"/>
      <c r="PVA516" s="1502"/>
      <c r="PVB516" s="1502"/>
      <c r="PVC516" s="1502"/>
      <c r="PVD516" s="1502"/>
      <c r="PVE516" s="1502"/>
      <c r="PVF516" s="1502"/>
      <c r="PVG516" s="1502"/>
      <c r="PVH516" s="1502"/>
      <c r="PVI516" s="1502"/>
      <c r="PVJ516" s="1502"/>
      <c r="PVK516" s="1502"/>
      <c r="PVL516" s="1502"/>
      <c r="PVM516" s="1502"/>
      <c r="PVN516" s="1502"/>
      <c r="PVO516" s="1502"/>
      <c r="PVP516" s="1502"/>
      <c r="PVQ516" s="1502"/>
      <c r="PVR516" s="1502"/>
      <c r="PVS516" s="1502"/>
      <c r="PVT516" s="1502"/>
      <c r="PVU516" s="1502"/>
      <c r="PVV516" s="1502"/>
      <c r="PVW516" s="1502"/>
      <c r="PVX516" s="1502"/>
      <c r="PVY516" s="1502"/>
      <c r="PVZ516" s="1502"/>
      <c r="PWA516" s="1502"/>
      <c r="PWB516" s="1502"/>
      <c r="PWC516" s="1502"/>
      <c r="PWD516" s="1502"/>
      <c r="PWE516" s="1502"/>
      <c r="PWF516" s="1502"/>
      <c r="PWG516" s="1502"/>
      <c r="PWH516" s="1502"/>
      <c r="PWI516" s="1502"/>
      <c r="PWJ516" s="1502"/>
      <c r="PWK516" s="1502"/>
      <c r="PWL516" s="1502"/>
      <c r="PWM516" s="1502"/>
      <c r="PWN516" s="1502"/>
      <c r="PWO516" s="1502"/>
      <c r="PWP516" s="1502"/>
      <c r="PWQ516" s="1502"/>
      <c r="PWR516" s="1502"/>
      <c r="PWS516" s="1502"/>
      <c r="PWT516" s="1502"/>
      <c r="PWU516" s="1502"/>
      <c r="PWV516" s="1502"/>
      <c r="PWW516" s="1502"/>
      <c r="PWX516" s="1502"/>
      <c r="PWY516" s="1502"/>
      <c r="PWZ516" s="1502"/>
      <c r="PXA516" s="1502"/>
      <c r="PXB516" s="1502"/>
      <c r="PXC516" s="1502"/>
      <c r="PXD516" s="1502"/>
      <c r="PXE516" s="1502"/>
      <c r="PXF516" s="1502"/>
      <c r="PXG516" s="1502"/>
      <c r="PXH516" s="1502"/>
      <c r="PXI516" s="1502"/>
      <c r="PXJ516" s="1502"/>
      <c r="PXK516" s="1502"/>
      <c r="PXL516" s="1502"/>
      <c r="PXM516" s="1502"/>
      <c r="PXN516" s="1502"/>
      <c r="PXO516" s="1502"/>
      <c r="PXP516" s="1502"/>
      <c r="PXQ516" s="1502"/>
      <c r="PXR516" s="1502"/>
      <c r="PXS516" s="1502"/>
      <c r="PXT516" s="1502"/>
      <c r="PXU516" s="1502"/>
      <c r="PXV516" s="1502"/>
      <c r="PXW516" s="1502"/>
      <c r="PXX516" s="1502"/>
      <c r="PXY516" s="1502"/>
      <c r="PXZ516" s="1502"/>
      <c r="PYA516" s="1502"/>
      <c r="PYB516" s="1502"/>
      <c r="PYC516" s="1502"/>
      <c r="PYD516" s="1502"/>
      <c r="PYE516" s="1502"/>
      <c r="PYF516" s="1502"/>
      <c r="PYG516" s="1502"/>
      <c r="PYH516" s="1502"/>
      <c r="PYI516" s="1502"/>
      <c r="PYJ516" s="1502"/>
      <c r="PYK516" s="1502"/>
      <c r="PYL516" s="1502"/>
      <c r="PYM516" s="1502"/>
      <c r="PYN516" s="1502"/>
      <c r="PYO516" s="1502"/>
      <c r="PYP516" s="1502"/>
      <c r="PYQ516" s="1502"/>
      <c r="PYR516" s="1502"/>
      <c r="PYS516" s="1502"/>
      <c r="PYT516" s="1502"/>
      <c r="PYU516" s="1502"/>
      <c r="PYV516" s="1502"/>
      <c r="PYW516" s="1502"/>
      <c r="PYX516" s="1502"/>
      <c r="PYY516" s="1502"/>
      <c r="PYZ516" s="1502"/>
      <c r="PZA516" s="1502"/>
      <c r="PZB516" s="1502"/>
      <c r="PZC516" s="1502"/>
      <c r="PZD516" s="1502"/>
      <c r="PZE516" s="1502"/>
      <c r="PZF516" s="1502"/>
      <c r="PZG516" s="1502"/>
      <c r="PZH516" s="1502"/>
      <c r="PZI516" s="1502"/>
      <c r="PZJ516" s="1502"/>
      <c r="PZK516" s="1502"/>
      <c r="PZL516" s="1502"/>
      <c r="PZM516" s="1502"/>
      <c r="PZN516" s="1502"/>
      <c r="PZO516" s="1502"/>
      <c r="PZP516" s="1502"/>
      <c r="PZQ516" s="1502"/>
      <c r="PZR516" s="1502"/>
      <c r="PZS516" s="1502"/>
      <c r="PZT516" s="1502"/>
      <c r="PZU516" s="1502"/>
      <c r="PZV516" s="1502"/>
      <c r="PZW516" s="1502"/>
      <c r="PZX516" s="1502"/>
      <c r="PZY516" s="1502"/>
      <c r="PZZ516" s="1502"/>
      <c r="QAA516" s="1502"/>
      <c r="QAB516" s="1502"/>
      <c r="QAC516" s="1502"/>
      <c r="QAD516" s="1502"/>
      <c r="QAE516" s="1502"/>
      <c r="QAF516" s="1502"/>
      <c r="QAG516" s="1502"/>
      <c r="QAH516" s="1502"/>
      <c r="QAI516" s="1502"/>
      <c r="QAJ516" s="1502"/>
      <c r="QAK516" s="1502"/>
      <c r="QAL516" s="1502"/>
      <c r="QAM516" s="1502"/>
      <c r="QAN516" s="1502"/>
      <c r="QAO516" s="1502"/>
      <c r="QAP516" s="1502"/>
      <c r="QAQ516" s="1502"/>
      <c r="QAR516" s="1502"/>
      <c r="QAS516" s="1502"/>
      <c r="QAT516" s="1502"/>
      <c r="QAU516" s="1502"/>
      <c r="QAV516" s="1502"/>
      <c r="QAW516" s="1502"/>
      <c r="QAX516" s="1502"/>
      <c r="QAY516" s="1502"/>
      <c r="QAZ516" s="1502"/>
      <c r="QBA516" s="1502"/>
      <c r="QBB516" s="1502"/>
      <c r="QBC516" s="1502"/>
      <c r="QBD516" s="1502"/>
      <c r="QBE516" s="1502"/>
      <c r="QBF516" s="1502"/>
      <c r="QBG516" s="1502"/>
      <c r="QBH516" s="1502"/>
      <c r="QBI516" s="1502"/>
      <c r="QBJ516" s="1502"/>
      <c r="QBK516" s="1502"/>
      <c r="QBL516" s="1502"/>
      <c r="QBM516" s="1502"/>
      <c r="QBN516" s="1502"/>
      <c r="QBO516" s="1502"/>
      <c r="QBP516" s="1502"/>
      <c r="QBQ516" s="1502"/>
      <c r="QBR516" s="1502"/>
      <c r="QBS516" s="1502"/>
      <c r="QBT516" s="1502"/>
      <c r="QBU516" s="1502"/>
      <c r="QBV516" s="1502"/>
      <c r="QBW516" s="1502"/>
      <c r="QBX516" s="1502"/>
      <c r="QBY516" s="1502"/>
      <c r="QBZ516" s="1502"/>
      <c r="QCA516" s="1502"/>
      <c r="QCB516" s="1502"/>
      <c r="QCC516" s="1502"/>
      <c r="QCD516" s="1502"/>
      <c r="QCE516" s="1502"/>
      <c r="QCF516" s="1502"/>
      <c r="QCG516" s="1502"/>
      <c r="QCH516" s="1502"/>
      <c r="QCI516" s="1502"/>
      <c r="QCJ516" s="1502"/>
      <c r="QCK516" s="1502"/>
      <c r="QCL516" s="1502"/>
      <c r="QCM516" s="1502"/>
      <c r="QCN516" s="1502"/>
      <c r="QCO516" s="1502"/>
      <c r="QCP516" s="1502"/>
      <c r="QCQ516" s="1502"/>
      <c r="QCR516" s="1502"/>
      <c r="QCS516" s="1502"/>
      <c r="QCT516" s="1502"/>
      <c r="QCU516" s="1502"/>
      <c r="QCV516" s="1502"/>
      <c r="QCW516" s="1502"/>
      <c r="QCX516" s="1502"/>
      <c r="QCY516" s="1502"/>
      <c r="QCZ516" s="1502"/>
      <c r="QDA516" s="1502"/>
      <c r="QDB516" s="1502"/>
      <c r="QDC516" s="1502"/>
      <c r="QDD516" s="1502"/>
      <c r="QDE516" s="1502"/>
      <c r="QDF516" s="1502"/>
      <c r="QDG516" s="1502"/>
      <c r="QDH516" s="1502"/>
      <c r="QDI516" s="1502"/>
      <c r="QDJ516" s="1502"/>
      <c r="QDK516" s="1502"/>
      <c r="QDL516" s="1502"/>
      <c r="QDM516" s="1502"/>
      <c r="QDN516" s="1502"/>
      <c r="QDO516" s="1502"/>
      <c r="QDP516" s="1502"/>
      <c r="QDQ516" s="1502"/>
      <c r="QDR516" s="1502"/>
      <c r="QDS516" s="1502"/>
      <c r="QDT516" s="1502"/>
      <c r="QDU516" s="1502"/>
      <c r="QDV516" s="1502"/>
      <c r="QDW516" s="1502"/>
      <c r="QDX516" s="1502"/>
      <c r="QDY516" s="1502"/>
      <c r="QDZ516" s="1502"/>
      <c r="QEA516" s="1502"/>
      <c r="QEB516" s="1502"/>
      <c r="QEC516" s="1502"/>
      <c r="QED516" s="1502"/>
      <c r="QEE516" s="1502"/>
      <c r="QEF516" s="1502"/>
      <c r="QEG516" s="1502"/>
      <c r="QEH516" s="1502"/>
      <c r="QEI516" s="1502"/>
      <c r="QEJ516" s="1502"/>
      <c r="QEK516" s="1502"/>
      <c r="QEL516" s="1502"/>
      <c r="QEM516" s="1502"/>
      <c r="QEN516" s="1502"/>
      <c r="QEO516" s="1502"/>
      <c r="QEP516" s="1502"/>
      <c r="QEQ516" s="1502"/>
      <c r="QER516" s="1502"/>
      <c r="QES516" s="1502"/>
      <c r="QET516" s="1502"/>
      <c r="QEU516" s="1502"/>
      <c r="QEV516" s="1502"/>
      <c r="QEW516" s="1502"/>
      <c r="QEX516" s="1502"/>
      <c r="QEY516" s="1502"/>
      <c r="QEZ516" s="1502"/>
      <c r="QFA516" s="1502"/>
      <c r="QFB516" s="1502"/>
      <c r="QFC516" s="1502"/>
      <c r="QFD516" s="1502"/>
      <c r="QFE516" s="1502"/>
      <c r="QFF516" s="1502"/>
      <c r="QFG516" s="1502"/>
      <c r="QFH516" s="1502"/>
      <c r="QFI516" s="1502"/>
      <c r="QFJ516" s="1502"/>
      <c r="QFK516" s="1502"/>
      <c r="QFL516" s="1502"/>
      <c r="QFM516" s="1502"/>
      <c r="QFN516" s="1502"/>
      <c r="QFO516" s="1502"/>
      <c r="QFP516" s="1502"/>
      <c r="QFQ516" s="1502"/>
      <c r="QFR516" s="1502"/>
      <c r="QFS516" s="1502"/>
      <c r="QFT516" s="1502"/>
      <c r="QFU516" s="1502"/>
      <c r="QFV516" s="1502"/>
      <c r="QFW516" s="1502"/>
      <c r="QFX516" s="1502"/>
      <c r="QFY516" s="1502"/>
      <c r="QFZ516" s="1502"/>
      <c r="QGA516" s="1502"/>
      <c r="QGB516" s="1502"/>
      <c r="QGC516" s="1502"/>
      <c r="QGD516" s="1502"/>
      <c r="QGE516" s="1502"/>
      <c r="QGF516" s="1502"/>
      <c r="QGG516" s="1502"/>
      <c r="QGH516" s="1502"/>
      <c r="QGI516" s="1502"/>
      <c r="QGJ516" s="1502"/>
      <c r="QGK516" s="1502"/>
      <c r="QGL516" s="1502"/>
      <c r="QGM516" s="1502"/>
      <c r="QGN516" s="1502"/>
      <c r="QGO516" s="1502"/>
      <c r="QGP516" s="1502"/>
      <c r="QGQ516" s="1502"/>
      <c r="QGR516" s="1502"/>
      <c r="QGS516" s="1502"/>
      <c r="QGT516" s="1502"/>
      <c r="QGU516" s="1502"/>
      <c r="QGV516" s="1502"/>
      <c r="QGW516" s="1502"/>
      <c r="QGX516" s="1502"/>
      <c r="QGY516" s="1502"/>
      <c r="QGZ516" s="1502"/>
      <c r="QHA516" s="1502"/>
      <c r="QHB516" s="1502"/>
      <c r="QHC516" s="1502"/>
      <c r="QHD516" s="1502"/>
      <c r="QHE516" s="1502"/>
      <c r="QHF516" s="1502"/>
      <c r="QHG516" s="1502"/>
      <c r="QHH516" s="1502"/>
      <c r="QHI516" s="1502"/>
      <c r="QHJ516" s="1502"/>
      <c r="QHK516" s="1502"/>
      <c r="QHL516" s="1502"/>
      <c r="QHM516" s="1502"/>
      <c r="QHN516" s="1502"/>
      <c r="QHO516" s="1502"/>
      <c r="QHP516" s="1502"/>
      <c r="QHQ516" s="1502"/>
      <c r="QHR516" s="1502"/>
      <c r="QHS516" s="1502"/>
      <c r="QHT516" s="1502"/>
      <c r="QHU516" s="1502"/>
      <c r="QHV516" s="1502"/>
      <c r="QHW516" s="1502"/>
      <c r="QHX516" s="1502"/>
      <c r="QHY516" s="1502"/>
      <c r="QHZ516" s="1502"/>
      <c r="QIA516" s="1502"/>
      <c r="QIB516" s="1502"/>
      <c r="QIC516" s="1502"/>
      <c r="QID516" s="1502"/>
      <c r="QIE516" s="1502"/>
      <c r="QIF516" s="1502"/>
      <c r="QIG516" s="1502"/>
      <c r="QIH516" s="1502"/>
      <c r="QII516" s="1502"/>
      <c r="QIJ516" s="1502"/>
      <c r="QIK516" s="1502"/>
      <c r="QIL516" s="1502"/>
      <c r="QIM516" s="1502"/>
      <c r="QIN516" s="1502"/>
      <c r="QIO516" s="1502"/>
      <c r="QIP516" s="1502"/>
      <c r="QIQ516" s="1502"/>
      <c r="QIR516" s="1502"/>
      <c r="QIS516" s="1502"/>
      <c r="QIT516" s="1502"/>
      <c r="QIU516" s="1502"/>
      <c r="QIV516" s="1502"/>
      <c r="QIW516" s="1502"/>
      <c r="QIX516" s="1502"/>
      <c r="QIY516" s="1502"/>
      <c r="QIZ516" s="1502"/>
      <c r="QJA516" s="1502"/>
      <c r="QJB516" s="1502"/>
      <c r="QJC516" s="1502"/>
      <c r="QJD516" s="1502"/>
      <c r="QJE516" s="1502"/>
      <c r="QJF516" s="1502"/>
      <c r="QJG516" s="1502"/>
      <c r="QJH516" s="1502"/>
      <c r="QJI516" s="1502"/>
      <c r="QJJ516" s="1502"/>
      <c r="QJK516" s="1502"/>
      <c r="QJL516" s="1502"/>
      <c r="QJM516" s="1502"/>
      <c r="QJN516" s="1502"/>
      <c r="QJO516" s="1502"/>
      <c r="QJP516" s="1502"/>
      <c r="QJQ516" s="1502"/>
      <c r="QJR516" s="1502"/>
      <c r="QJS516" s="1502"/>
      <c r="QJT516" s="1502"/>
      <c r="QJU516" s="1502"/>
      <c r="QJV516" s="1502"/>
      <c r="QJW516" s="1502"/>
      <c r="QJX516" s="1502"/>
      <c r="QJY516" s="1502"/>
      <c r="QJZ516" s="1502"/>
      <c r="QKA516" s="1502"/>
      <c r="QKB516" s="1502"/>
      <c r="QKC516" s="1502"/>
      <c r="QKD516" s="1502"/>
      <c r="QKE516" s="1502"/>
      <c r="QKF516" s="1502"/>
      <c r="QKG516" s="1502"/>
      <c r="QKH516" s="1502"/>
      <c r="QKI516" s="1502"/>
      <c r="QKJ516" s="1502"/>
      <c r="QKK516" s="1502"/>
      <c r="QKL516" s="1502"/>
      <c r="QKM516" s="1502"/>
      <c r="QKN516" s="1502"/>
      <c r="QKO516" s="1502"/>
      <c r="QKP516" s="1502"/>
      <c r="QKQ516" s="1502"/>
      <c r="QKR516" s="1502"/>
      <c r="QKS516" s="1502"/>
      <c r="QKT516" s="1502"/>
      <c r="QKU516" s="1502"/>
      <c r="QKV516" s="1502"/>
      <c r="QKW516" s="1502"/>
      <c r="QKX516" s="1502"/>
      <c r="QKY516" s="1502"/>
      <c r="QKZ516" s="1502"/>
      <c r="QLA516" s="1502"/>
      <c r="QLB516" s="1502"/>
      <c r="QLC516" s="1502"/>
      <c r="QLD516" s="1502"/>
      <c r="QLE516" s="1502"/>
      <c r="QLF516" s="1502"/>
      <c r="QLG516" s="1502"/>
      <c r="QLH516" s="1502"/>
      <c r="QLI516" s="1502"/>
      <c r="QLJ516" s="1502"/>
      <c r="QLK516" s="1502"/>
      <c r="QLL516" s="1502"/>
      <c r="QLM516" s="1502"/>
      <c r="QLN516" s="1502"/>
      <c r="QLO516" s="1502"/>
      <c r="QLP516" s="1502"/>
      <c r="QLQ516" s="1502"/>
      <c r="QLR516" s="1502"/>
      <c r="QLS516" s="1502"/>
      <c r="QLT516" s="1502"/>
      <c r="QLU516" s="1502"/>
      <c r="QLV516" s="1502"/>
      <c r="QLW516" s="1502"/>
      <c r="QLX516" s="1502"/>
      <c r="QLY516" s="1502"/>
      <c r="QLZ516" s="1502"/>
      <c r="QMA516" s="1502"/>
      <c r="QMB516" s="1502"/>
      <c r="QMC516" s="1502"/>
      <c r="QMD516" s="1502"/>
      <c r="QME516" s="1502"/>
      <c r="QMF516" s="1502"/>
      <c r="QMG516" s="1502"/>
      <c r="QMH516" s="1502"/>
      <c r="QMI516" s="1502"/>
      <c r="QMJ516" s="1502"/>
      <c r="QMK516" s="1502"/>
      <c r="QML516" s="1502"/>
      <c r="QMM516" s="1502"/>
      <c r="QMN516" s="1502"/>
      <c r="QMO516" s="1502"/>
      <c r="QMP516" s="1502"/>
      <c r="QMQ516" s="1502"/>
      <c r="QMR516" s="1502"/>
      <c r="QMS516" s="1502"/>
      <c r="QMT516" s="1502"/>
      <c r="QMU516" s="1502"/>
      <c r="QMV516" s="1502"/>
      <c r="QMW516" s="1502"/>
      <c r="QMX516" s="1502"/>
      <c r="QMY516" s="1502"/>
      <c r="QMZ516" s="1502"/>
      <c r="QNA516" s="1502"/>
      <c r="QNB516" s="1502"/>
      <c r="QNC516" s="1502"/>
      <c r="QND516" s="1502"/>
      <c r="QNE516" s="1502"/>
      <c r="QNF516" s="1502"/>
      <c r="QNG516" s="1502"/>
      <c r="QNH516" s="1502"/>
      <c r="QNI516" s="1502"/>
      <c r="QNJ516" s="1502"/>
      <c r="QNK516" s="1502"/>
      <c r="QNL516" s="1502"/>
      <c r="QNM516" s="1502"/>
      <c r="QNN516" s="1502"/>
      <c r="QNO516" s="1502"/>
      <c r="QNP516" s="1502"/>
      <c r="QNQ516" s="1502"/>
      <c r="QNR516" s="1502"/>
      <c r="QNS516" s="1502"/>
      <c r="QNT516" s="1502"/>
      <c r="QNU516" s="1502"/>
      <c r="QNV516" s="1502"/>
      <c r="QNW516" s="1502"/>
      <c r="QNX516" s="1502"/>
      <c r="QNY516" s="1502"/>
      <c r="QNZ516" s="1502"/>
      <c r="QOA516" s="1502"/>
      <c r="QOB516" s="1502"/>
      <c r="QOC516" s="1502"/>
      <c r="QOD516" s="1502"/>
      <c r="QOE516" s="1502"/>
      <c r="QOF516" s="1502"/>
      <c r="QOG516" s="1502"/>
      <c r="QOH516" s="1502"/>
      <c r="QOI516" s="1502"/>
      <c r="QOJ516" s="1502"/>
      <c r="QOK516" s="1502"/>
      <c r="QOL516" s="1502"/>
      <c r="QOM516" s="1502"/>
      <c r="QON516" s="1502"/>
      <c r="QOO516" s="1502"/>
      <c r="QOP516" s="1502"/>
      <c r="QOQ516" s="1502"/>
      <c r="QOR516" s="1502"/>
      <c r="QOS516" s="1502"/>
      <c r="QOT516" s="1502"/>
      <c r="QOU516" s="1502"/>
      <c r="QOV516" s="1502"/>
      <c r="QOW516" s="1502"/>
      <c r="QOX516" s="1502"/>
      <c r="QOY516" s="1502"/>
      <c r="QOZ516" s="1502"/>
      <c r="QPA516" s="1502"/>
      <c r="QPB516" s="1502"/>
      <c r="QPC516" s="1502"/>
      <c r="QPD516" s="1502"/>
      <c r="QPE516" s="1502"/>
      <c r="QPF516" s="1502"/>
      <c r="QPG516" s="1502"/>
      <c r="QPH516" s="1502"/>
      <c r="QPI516" s="1502"/>
      <c r="QPJ516" s="1502"/>
      <c r="QPK516" s="1502"/>
      <c r="QPL516" s="1502"/>
      <c r="QPM516" s="1502"/>
      <c r="QPN516" s="1502"/>
      <c r="QPO516" s="1502"/>
      <c r="QPP516" s="1502"/>
      <c r="QPQ516" s="1502"/>
      <c r="QPR516" s="1502"/>
      <c r="QPS516" s="1502"/>
      <c r="QPT516" s="1502"/>
      <c r="QPU516" s="1502"/>
      <c r="QPV516" s="1502"/>
      <c r="QPW516" s="1502"/>
      <c r="QPX516" s="1502"/>
      <c r="QPY516" s="1502"/>
      <c r="QPZ516" s="1502"/>
      <c r="QQA516" s="1502"/>
      <c r="QQB516" s="1502"/>
      <c r="QQC516" s="1502"/>
      <c r="QQD516" s="1502"/>
      <c r="QQE516" s="1502"/>
      <c r="QQF516" s="1502"/>
      <c r="QQG516" s="1502"/>
      <c r="QQH516" s="1502"/>
      <c r="QQI516" s="1502"/>
      <c r="QQJ516" s="1502"/>
      <c r="QQK516" s="1502"/>
      <c r="QQL516" s="1502"/>
      <c r="QQM516" s="1502"/>
      <c r="QQN516" s="1502"/>
      <c r="QQO516" s="1502"/>
      <c r="QQP516" s="1502"/>
      <c r="QQQ516" s="1502"/>
      <c r="QQR516" s="1502"/>
      <c r="QQS516" s="1502"/>
      <c r="QQT516" s="1502"/>
      <c r="QQU516" s="1502"/>
      <c r="QQV516" s="1502"/>
      <c r="QQW516" s="1502"/>
      <c r="QQX516" s="1502"/>
      <c r="QQY516" s="1502"/>
      <c r="QQZ516" s="1502"/>
      <c r="QRA516" s="1502"/>
      <c r="QRB516" s="1502"/>
      <c r="QRC516" s="1502"/>
      <c r="QRD516" s="1502"/>
      <c r="QRE516" s="1502"/>
      <c r="QRF516" s="1502"/>
      <c r="QRG516" s="1502"/>
      <c r="QRH516" s="1502"/>
      <c r="QRI516" s="1502"/>
      <c r="QRJ516" s="1502"/>
      <c r="QRK516" s="1502"/>
      <c r="QRL516" s="1502"/>
      <c r="QRM516" s="1502"/>
      <c r="QRN516" s="1502"/>
      <c r="QRO516" s="1502"/>
      <c r="QRP516" s="1502"/>
      <c r="QRQ516" s="1502"/>
      <c r="QRR516" s="1502"/>
      <c r="QRS516" s="1502"/>
      <c r="QRT516" s="1502"/>
      <c r="QRU516" s="1502"/>
      <c r="QRV516" s="1502"/>
      <c r="QRW516" s="1502"/>
      <c r="QRX516" s="1502"/>
      <c r="QRY516" s="1502"/>
      <c r="QRZ516" s="1502"/>
      <c r="QSA516" s="1502"/>
      <c r="QSB516" s="1502"/>
      <c r="QSC516" s="1502"/>
      <c r="QSD516" s="1502"/>
      <c r="QSE516" s="1502"/>
      <c r="QSF516" s="1502"/>
      <c r="QSG516" s="1502"/>
      <c r="QSH516" s="1502"/>
      <c r="QSI516" s="1502"/>
      <c r="QSJ516" s="1502"/>
      <c r="QSK516" s="1502"/>
      <c r="QSL516" s="1502"/>
      <c r="QSM516" s="1502"/>
      <c r="QSN516" s="1502"/>
      <c r="QSO516" s="1502"/>
      <c r="QSP516" s="1502"/>
      <c r="QSQ516" s="1502"/>
      <c r="QSR516" s="1502"/>
      <c r="QSS516" s="1502"/>
      <c r="QST516" s="1502"/>
      <c r="QSU516" s="1502"/>
      <c r="QSV516" s="1502"/>
      <c r="QSW516" s="1502"/>
      <c r="QSX516" s="1502"/>
      <c r="QSY516" s="1502"/>
      <c r="QSZ516" s="1502"/>
      <c r="QTA516" s="1502"/>
      <c r="QTB516" s="1502"/>
      <c r="QTC516" s="1502"/>
      <c r="QTD516" s="1502"/>
      <c r="QTE516" s="1502"/>
      <c r="QTF516" s="1502"/>
      <c r="QTG516" s="1502"/>
      <c r="QTH516" s="1502"/>
      <c r="QTI516" s="1502"/>
      <c r="QTJ516" s="1502"/>
      <c r="QTK516" s="1502"/>
      <c r="QTL516" s="1502"/>
      <c r="QTM516" s="1502"/>
      <c r="QTN516" s="1502"/>
      <c r="QTO516" s="1502"/>
      <c r="QTP516" s="1502"/>
      <c r="QTQ516" s="1502"/>
      <c r="QTR516" s="1502"/>
      <c r="QTS516" s="1502"/>
      <c r="QTT516" s="1502"/>
      <c r="QTU516" s="1502"/>
      <c r="QTV516" s="1502"/>
      <c r="QTW516" s="1502"/>
      <c r="QTX516" s="1502"/>
      <c r="QTY516" s="1502"/>
      <c r="QTZ516" s="1502"/>
      <c r="QUA516" s="1502"/>
      <c r="QUB516" s="1502"/>
      <c r="QUC516" s="1502"/>
      <c r="QUD516" s="1502"/>
      <c r="QUE516" s="1502"/>
      <c r="QUF516" s="1502"/>
      <c r="QUG516" s="1502"/>
      <c r="QUH516" s="1502"/>
      <c r="QUI516" s="1502"/>
      <c r="QUJ516" s="1502"/>
      <c r="QUK516" s="1502"/>
      <c r="QUL516" s="1502"/>
      <c r="QUM516" s="1502"/>
      <c r="QUN516" s="1502"/>
      <c r="QUO516" s="1502"/>
      <c r="QUP516" s="1502"/>
      <c r="QUQ516" s="1502"/>
      <c r="QUR516" s="1502"/>
      <c r="QUS516" s="1502"/>
      <c r="QUT516" s="1502"/>
      <c r="QUU516" s="1502"/>
      <c r="QUV516" s="1502"/>
      <c r="QUW516" s="1502"/>
      <c r="QUX516" s="1502"/>
      <c r="QUY516" s="1502"/>
      <c r="QUZ516" s="1502"/>
      <c r="QVA516" s="1502"/>
      <c r="QVB516" s="1502"/>
      <c r="QVC516" s="1502"/>
      <c r="QVD516" s="1502"/>
      <c r="QVE516" s="1502"/>
      <c r="QVF516" s="1502"/>
      <c r="QVG516" s="1502"/>
      <c r="QVH516" s="1502"/>
      <c r="QVI516" s="1502"/>
      <c r="QVJ516" s="1502"/>
      <c r="QVK516" s="1502"/>
      <c r="QVL516" s="1502"/>
      <c r="QVM516" s="1502"/>
      <c r="QVN516" s="1502"/>
      <c r="QVO516" s="1502"/>
      <c r="QVP516" s="1502"/>
      <c r="QVQ516" s="1502"/>
      <c r="QVR516" s="1502"/>
      <c r="QVS516" s="1502"/>
      <c r="QVT516" s="1502"/>
      <c r="QVU516" s="1502"/>
      <c r="QVV516" s="1502"/>
      <c r="QVW516" s="1502"/>
      <c r="QVX516" s="1502"/>
      <c r="QVY516" s="1502"/>
      <c r="QVZ516" s="1502"/>
      <c r="QWA516" s="1502"/>
      <c r="QWB516" s="1502"/>
      <c r="QWC516" s="1502"/>
      <c r="QWD516" s="1502"/>
      <c r="QWE516" s="1502"/>
      <c r="QWF516" s="1502"/>
      <c r="QWG516" s="1502"/>
      <c r="QWH516" s="1502"/>
      <c r="QWI516" s="1502"/>
      <c r="QWJ516" s="1502"/>
      <c r="QWK516" s="1502"/>
      <c r="QWL516" s="1502"/>
      <c r="QWM516" s="1502"/>
      <c r="QWN516" s="1502"/>
      <c r="QWO516" s="1502"/>
      <c r="QWP516" s="1502"/>
      <c r="QWQ516" s="1502"/>
      <c r="QWR516" s="1502"/>
      <c r="QWS516" s="1502"/>
      <c r="QWT516" s="1502"/>
      <c r="QWU516" s="1502"/>
      <c r="QWV516" s="1502"/>
      <c r="QWW516" s="1502"/>
      <c r="QWX516" s="1502"/>
      <c r="QWY516" s="1502"/>
      <c r="QWZ516" s="1502"/>
      <c r="QXA516" s="1502"/>
      <c r="QXB516" s="1502"/>
      <c r="QXC516" s="1502"/>
      <c r="QXD516" s="1502"/>
      <c r="QXE516" s="1502"/>
      <c r="QXF516" s="1502"/>
      <c r="QXG516" s="1502"/>
      <c r="QXH516" s="1502"/>
      <c r="QXI516" s="1502"/>
      <c r="QXJ516" s="1502"/>
      <c r="QXK516" s="1502"/>
      <c r="QXL516" s="1502"/>
      <c r="QXM516" s="1502"/>
      <c r="QXN516" s="1502"/>
      <c r="QXO516" s="1502"/>
      <c r="QXP516" s="1502"/>
      <c r="QXQ516" s="1502"/>
      <c r="QXR516" s="1502"/>
      <c r="QXS516" s="1502"/>
      <c r="QXT516" s="1502"/>
      <c r="QXU516" s="1502"/>
      <c r="QXV516" s="1502"/>
      <c r="QXW516" s="1502"/>
      <c r="QXX516" s="1502"/>
      <c r="QXY516" s="1502"/>
      <c r="QXZ516" s="1502"/>
      <c r="QYA516" s="1502"/>
      <c r="QYB516" s="1502"/>
      <c r="QYC516" s="1502"/>
      <c r="QYD516" s="1502"/>
      <c r="QYE516" s="1502"/>
      <c r="QYF516" s="1502"/>
      <c r="QYG516" s="1502"/>
      <c r="QYH516" s="1502"/>
      <c r="QYI516" s="1502"/>
      <c r="QYJ516" s="1502"/>
      <c r="QYK516" s="1502"/>
      <c r="QYL516" s="1502"/>
      <c r="QYM516" s="1502"/>
      <c r="QYN516" s="1502"/>
      <c r="QYO516" s="1502"/>
      <c r="QYP516" s="1502"/>
      <c r="QYQ516" s="1502"/>
      <c r="QYR516" s="1502"/>
      <c r="QYS516" s="1502"/>
      <c r="QYT516" s="1502"/>
      <c r="QYU516" s="1502"/>
      <c r="QYV516" s="1502"/>
      <c r="QYW516" s="1502"/>
      <c r="QYX516" s="1502"/>
      <c r="QYY516" s="1502"/>
      <c r="QYZ516" s="1502"/>
      <c r="QZA516" s="1502"/>
      <c r="QZB516" s="1502"/>
      <c r="QZC516" s="1502"/>
      <c r="QZD516" s="1502"/>
      <c r="QZE516" s="1502"/>
      <c r="QZF516" s="1502"/>
      <c r="QZG516" s="1502"/>
      <c r="QZH516" s="1502"/>
      <c r="QZI516" s="1502"/>
      <c r="QZJ516" s="1502"/>
      <c r="QZK516" s="1502"/>
      <c r="QZL516" s="1502"/>
      <c r="QZM516" s="1502"/>
      <c r="QZN516" s="1502"/>
      <c r="QZO516" s="1502"/>
      <c r="QZP516" s="1502"/>
      <c r="QZQ516" s="1502"/>
      <c r="QZR516" s="1502"/>
      <c r="QZS516" s="1502"/>
      <c r="QZT516" s="1502"/>
      <c r="QZU516" s="1502"/>
      <c r="QZV516" s="1502"/>
      <c r="QZW516" s="1502"/>
      <c r="QZX516" s="1502"/>
      <c r="QZY516" s="1502"/>
      <c r="QZZ516" s="1502"/>
      <c r="RAA516" s="1502"/>
      <c r="RAB516" s="1502"/>
      <c r="RAC516" s="1502"/>
      <c r="RAD516" s="1502"/>
      <c r="RAE516" s="1502"/>
      <c r="RAF516" s="1502"/>
      <c r="RAG516" s="1502"/>
      <c r="RAH516" s="1502"/>
      <c r="RAI516" s="1502"/>
      <c r="RAJ516" s="1502"/>
      <c r="RAK516" s="1502"/>
      <c r="RAL516" s="1502"/>
      <c r="RAM516" s="1502"/>
      <c r="RAN516" s="1502"/>
      <c r="RAO516" s="1502"/>
      <c r="RAP516" s="1502"/>
      <c r="RAQ516" s="1502"/>
      <c r="RAR516" s="1502"/>
      <c r="RAS516" s="1502"/>
      <c r="RAT516" s="1502"/>
      <c r="RAU516" s="1502"/>
      <c r="RAV516" s="1502"/>
      <c r="RAW516" s="1502"/>
      <c r="RAX516" s="1502"/>
      <c r="RAY516" s="1502"/>
      <c r="RAZ516" s="1502"/>
      <c r="RBA516" s="1502"/>
      <c r="RBB516" s="1502"/>
      <c r="RBC516" s="1502"/>
      <c r="RBD516" s="1502"/>
      <c r="RBE516" s="1502"/>
      <c r="RBF516" s="1502"/>
      <c r="RBG516" s="1502"/>
      <c r="RBH516" s="1502"/>
      <c r="RBI516" s="1502"/>
      <c r="RBJ516" s="1502"/>
      <c r="RBK516" s="1502"/>
      <c r="RBL516" s="1502"/>
      <c r="RBM516" s="1502"/>
      <c r="RBN516" s="1502"/>
      <c r="RBO516" s="1502"/>
      <c r="RBP516" s="1502"/>
      <c r="RBQ516" s="1502"/>
      <c r="RBR516" s="1502"/>
      <c r="RBS516" s="1502"/>
      <c r="RBT516" s="1502"/>
      <c r="RBU516" s="1502"/>
      <c r="RBV516" s="1502"/>
      <c r="RBW516" s="1502"/>
      <c r="RBX516" s="1502"/>
      <c r="RBY516" s="1502"/>
      <c r="RBZ516" s="1502"/>
      <c r="RCA516" s="1502"/>
      <c r="RCB516" s="1502"/>
      <c r="RCC516" s="1502"/>
      <c r="RCD516" s="1502"/>
      <c r="RCE516" s="1502"/>
      <c r="RCF516" s="1502"/>
      <c r="RCG516" s="1502"/>
      <c r="RCH516" s="1502"/>
      <c r="RCI516" s="1502"/>
      <c r="RCJ516" s="1502"/>
      <c r="RCK516" s="1502"/>
      <c r="RCL516" s="1502"/>
      <c r="RCM516" s="1502"/>
      <c r="RCN516" s="1502"/>
      <c r="RCO516" s="1502"/>
      <c r="RCP516" s="1502"/>
      <c r="RCQ516" s="1502"/>
      <c r="RCR516" s="1502"/>
      <c r="RCS516" s="1502"/>
      <c r="RCT516" s="1502"/>
      <c r="RCU516" s="1502"/>
      <c r="RCV516" s="1502"/>
      <c r="RCW516" s="1502"/>
      <c r="RCX516" s="1502"/>
      <c r="RCY516" s="1502"/>
      <c r="RCZ516" s="1502"/>
      <c r="RDA516" s="1502"/>
      <c r="RDB516" s="1502"/>
      <c r="RDC516" s="1502"/>
      <c r="RDD516" s="1502"/>
      <c r="RDE516" s="1502"/>
      <c r="RDF516" s="1502"/>
      <c r="RDG516" s="1502"/>
      <c r="RDH516" s="1502"/>
      <c r="RDI516" s="1502"/>
      <c r="RDJ516" s="1502"/>
      <c r="RDK516" s="1502"/>
      <c r="RDL516" s="1502"/>
      <c r="RDM516" s="1502"/>
      <c r="RDN516" s="1502"/>
      <c r="RDO516" s="1502"/>
      <c r="RDP516" s="1502"/>
      <c r="RDQ516" s="1502"/>
      <c r="RDR516" s="1502"/>
      <c r="RDS516" s="1502"/>
      <c r="RDT516" s="1502"/>
      <c r="RDU516" s="1502"/>
      <c r="RDV516" s="1502"/>
      <c r="RDW516" s="1502"/>
      <c r="RDX516" s="1502"/>
      <c r="RDY516" s="1502"/>
      <c r="RDZ516" s="1502"/>
      <c r="REA516" s="1502"/>
      <c r="REB516" s="1502"/>
      <c r="REC516" s="1502"/>
      <c r="RED516" s="1502"/>
      <c r="REE516" s="1502"/>
      <c r="REF516" s="1502"/>
      <c r="REG516" s="1502"/>
      <c r="REH516" s="1502"/>
      <c r="REI516" s="1502"/>
      <c r="REJ516" s="1502"/>
      <c r="REK516" s="1502"/>
      <c r="REL516" s="1502"/>
      <c r="REM516" s="1502"/>
      <c r="REN516" s="1502"/>
      <c r="REO516" s="1502"/>
      <c r="REP516" s="1502"/>
      <c r="REQ516" s="1502"/>
      <c r="RER516" s="1502"/>
      <c r="RES516" s="1502"/>
      <c r="RET516" s="1502"/>
      <c r="REU516" s="1502"/>
      <c r="REV516" s="1502"/>
      <c r="REW516" s="1502"/>
      <c r="REX516" s="1502"/>
      <c r="REY516" s="1502"/>
      <c r="REZ516" s="1502"/>
      <c r="RFA516" s="1502"/>
      <c r="RFB516" s="1502"/>
      <c r="RFC516" s="1502"/>
      <c r="RFD516" s="1502"/>
      <c r="RFE516" s="1502"/>
      <c r="RFF516" s="1502"/>
      <c r="RFG516" s="1502"/>
      <c r="RFH516" s="1502"/>
      <c r="RFI516" s="1502"/>
      <c r="RFJ516" s="1502"/>
      <c r="RFK516" s="1502"/>
      <c r="RFL516" s="1502"/>
      <c r="RFM516" s="1502"/>
      <c r="RFN516" s="1502"/>
      <c r="RFO516" s="1502"/>
      <c r="RFP516" s="1502"/>
      <c r="RFQ516" s="1502"/>
      <c r="RFR516" s="1502"/>
      <c r="RFS516" s="1502"/>
      <c r="RFT516" s="1502"/>
      <c r="RFU516" s="1502"/>
      <c r="RFV516" s="1502"/>
      <c r="RFW516" s="1502"/>
      <c r="RFX516" s="1502"/>
      <c r="RFY516" s="1502"/>
      <c r="RFZ516" s="1502"/>
      <c r="RGA516" s="1502"/>
      <c r="RGB516" s="1502"/>
      <c r="RGC516" s="1502"/>
      <c r="RGD516" s="1502"/>
      <c r="RGE516" s="1502"/>
      <c r="RGF516" s="1502"/>
      <c r="RGG516" s="1502"/>
      <c r="RGH516" s="1502"/>
      <c r="RGI516" s="1502"/>
      <c r="RGJ516" s="1502"/>
      <c r="RGK516" s="1502"/>
      <c r="RGL516" s="1502"/>
      <c r="RGM516" s="1502"/>
      <c r="RGN516" s="1502"/>
      <c r="RGO516" s="1502"/>
      <c r="RGP516" s="1502"/>
      <c r="RGQ516" s="1502"/>
      <c r="RGR516" s="1502"/>
      <c r="RGS516" s="1502"/>
      <c r="RGT516" s="1502"/>
      <c r="RGU516" s="1502"/>
      <c r="RGV516" s="1502"/>
      <c r="RGW516" s="1502"/>
      <c r="RGX516" s="1502"/>
      <c r="RGY516" s="1502"/>
      <c r="RGZ516" s="1502"/>
      <c r="RHA516" s="1502"/>
      <c r="RHB516" s="1502"/>
      <c r="RHC516" s="1502"/>
      <c r="RHD516" s="1502"/>
      <c r="RHE516" s="1502"/>
      <c r="RHF516" s="1502"/>
      <c r="RHG516" s="1502"/>
      <c r="RHH516" s="1502"/>
      <c r="RHI516" s="1502"/>
      <c r="RHJ516" s="1502"/>
      <c r="RHK516" s="1502"/>
      <c r="RHL516" s="1502"/>
      <c r="RHM516" s="1502"/>
      <c r="RHN516" s="1502"/>
      <c r="RHO516" s="1502"/>
      <c r="RHP516" s="1502"/>
      <c r="RHQ516" s="1502"/>
      <c r="RHR516" s="1502"/>
      <c r="RHS516" s="1502"/>
      <c r="RHT516" s="1502"/>
      <c r="RHU516" s="1502"/>
      <c r="RHV516" s="1502"/>
      <c r="RHW516" s="1502"/>
      <c r="RHX516" s="1502"/>
      <c r="RHY516" s="1502"/>
      <c r="RHZ516" s="1502"/>
      <c r="RIA516" s="1502"/>
      <c r="RIB516" s="1502"/>
      <c r="RIC516" s="1502"/>
      <c r="RID516" s="1502"/>
      <c r="RIE516" s="1502"/>
      <c r="RIF516" s="1502"/>
      <c r="RIG516" s="1502"/>
      <c r="RIH516" s="1502"/>
      <c r="RII516" s="1502"/>
      <c r="RIJ516" s="1502"/>
      <c r="RIK516" s="1502"/>
      <c r="RIL516" s="1502"/>
      <c r="RIM516" s="1502"/>
      <c r="RIN516" s="1502"/>
      <c r="RIO516" s="1502"/>
      <c r="RIP516" s="1502"/>
      <c r="RIQ516" s="1502"/>
      <c r="RIR516" s="1502"/>
      <c r="RIS516" s="1502"/>
      <c r="RIT516" s="1502"/>
      <c r="RIU516" s="1502"/>
      <c r="RIV516" s="1502"/>
      <c r="RIW516" s="1502"/>
      <c r="RIX516" s="1502"/>
      <c r="RIY516" s="1502"/>
      <c r="RIZ516" s="1502"/>
      <c r="RJA516" s="1502"/>
      <c r="RJB516" s="1502"/>
      <c r="RJC516" s="1502"/>
      <c r="RJD516" s="1502"/>
      <c r="RJE516" s="1502"/>
      <c r="RJF516" s="1502"/>
      <c r="RJG516" s="1502"/>
      <c r="RJH516" s="1502"/>
      <c r="RJI516" s="1502"/>
      <c r="RJJ516" s="1502"/>
      <c r="RJK516" s="1502"/>
      <c r="RJL516" s="1502"/>
      <c r="RJM516" s="1502"/>
      <c r="RJN516" s="1502"/>
      <c r="RJO516" s="1502"/>
      <c r="RJP516" s="1502"/>
      <c r="RJQ516" s="1502"/>
      <c r="RJR516" s="1502"/>
      <c r="RJS516" s="1502"/>
      <c r="RJT516" s="1502"/>
      <c r="RJU516" s="1502"/>
      <c r="RJV516" s="1502"/>
      <c r="RJW516" s="1502"/>
      <c r="RJX516" s="1502"/>
      <c r="RJY516" s="1502"/>
      <c r="RJZ516" s="1502"/>
      <c r="RKA516" s="1502"/>
      <c r="RKB516" s="1502"/>
      <c r="RKC516" s="1502"/>
      <c r="RKD516" s="1502"/>
      <c r="RKE516" s="1502"/>
      <c r="RKF516" s="1502"/>
      <c r="RKG516" s="1502"/>
      <c r="RKH516" s="1502"/>
      <c r="RKI516" s="1502"/>
      <c r="RKJ516" s="1502"/>
      <c r="RKK516" s="1502"/>
      <c r="RKL516" s="1502"/>
      <c r="RKM516" s="1502"/>
      <c r="RKN516" s="1502"/>
      <c r="RKO516" s="1502"/>
      <c r="RKP516" s="1502"/>
      <c r="RKQ516" s="1502"/>
      <c r="RKR516" s="1502"/>
      <c r="RKS516" s="1502"/>
      <c r="RKT516" s="1502"/>
      <c r="RKU516" s="1502"/>
      <c r="RKV516" s="1502"/>
      <c r="RKW516" s="1502"/>
      <c r="RKX516" s="1502"/>
      <c r="RKY516" s="1502"/>
      <c r="RKZ516" s="1502"/>
      <c r="RLA516" s="1502"/>
      <c r="RLB516" s="1502"/>
      <c r="RLC516" s="1502"/>
      <c r="RLD516" s="1502"/>
      <c r="RLE516" s="1502"/>
      <c r="RLF516" s="1502"/>
      <c r="RLG516" s="1502"/>
      <c r="RLH516" s="1502"/>
      <c r="RLI516" s="1502"/>
      <c r="RLJ516" s="1502"/>
      <c r="RLK516" s="1502"/>
      <c r="RLL516" s="1502"/>
      <c r="RLM516" s="1502"/>
      <c r="RLN516" s="1502"/>
      <c r="RLO516" s="1502"/>
      <c r="RLP516" s="1502"/>
      <c r="RLQ516" s="1502"/>
      <c r="RLR516" s="1502"/>
      <c r="RLS516" s="1502"/>
      <c r="RLT516" s="1502"/>
      <c r="RLU516" s="1502"/>
      <c r="RLV516" s="1502"/>
      <c r="RLW516" s="1502"/>
      <c r="RLX516" s="1502"/>
      <c r="RLY516" s="1502"/>
      <c r="RLZ516" s="1502"/>
      <c r="RMA516" s="1502"/>
      <c r="RMB516" s="1502"/>
      <c r="RMC516" s="1502"/>
      <c r="RMD516" s="1502"/>
      <c r="RME516" s="1502"/>
      <c r="RMF516" s="1502"/>
      <c r="RMG516" s="1502"/>
      <c r="RMH516" s="1502"/>
      <c r="RMI516" s="1502"/>
      <c r="RMJ516" s="1502"/>
      <c r="RMK516" s="1502"/>
      <c r="RML516" s="1502"/>
      <c r="RMM516" s="1502"/>
      <c r="RMN516" s="1502"/>
      <c r="RMO516" s="1502"/>
      <c r="RMP516" s="1502"/>
      <c r="RMQ516" s="1502"/>
      <c r="RMR516" s="1502"/>
      <c r="RMS516" s="1502"/>
      <c r="RMT516" s="1502"/>
      <c r="RMU516" s="1502"/>
      <c r="RMV516" s="1502"/>
      <c r="RMW516" s="1502"/>
      <c r="RMX516" s="1502"/>
      <c r="RMY516" s="1502"/>
      <c r="RMZ516" s="1502"/>
      <c r="RNA516" s="1502"/>
      <c r="RNB516" s="1502"/>
      <c r="RNC516" s="1502"/>
      <c r="RND516" s="1502"/>
      <c r="RNE516" s="1502"/>
      <c r="RNF516" s="1502"/>
      <c r="RNG516" s="1502"/>
      <c r="RNH516" s="1502"/>
      <c r="RNI516" s="1502"/>
      <c r="RNJ516" s="1502"/>
      <c r="RNK516" s="1502"/>
      <c r="RNL516" s="1502"/>
      <c r="RNM516" s="1502"/>
      <c r="RNN516" s="1502"/>
      <c r="RNO516" s="1502"/>
      <c r="RNP516" s="1502"/>
      <c r="RNQ516" s="1502"/>
      <c r="RNR516" s="1502"/>
      <c r="RNS516" s="1502"/>
      <c r="RNT516" s="1502"/>
      <c r="RNU516" s="1502"/>
      <c r="RNV516" s="1502"/>
      <c r="RNW516" s="1502"/>
      <c r="RNX516" s="1502"/>
      <c r="RNY516" s="1502"/>
      <c r="RNZ516" s="1502"/>
      <c r="ROA516" s="1502"/>
      <c r="ROB516" s="1502"/>
      <c r="ROC516" s="1502"/>
      <c r="ROD516" s="1502"/>
      <c r="ROE516" s="1502"/>
      <c r="ROF516" s="1502"/>
      <c r="ROG516" s="1502"/>
      <c r="ROH516" s="1502"/>
      <c r="ROI516" s="1502"/>
      <c r="ROJ516" s="1502"/>
      <c r="ROK516" s="1502"/>
      <c r="ROL516" s="1502"/>
      <c r="ROM516" s="1502"/>
      <c r="RON516" s="1502"/>
      <c r="ROO516" s="1502"/>
      <c r="ROP516" s="1502"/>
      <c r="ROQ516" s="1502"/>
      <c r="ROR516" s="1502"/>
      <c r="ROS516" s="1502"/>
      <c r="ROT516" s="1502"/>
      <c r="ROU516" s="1502"/>
      <c r="ROV516" s="1502"/>
      <c r="ROW516" s="1502"/>
      <c r="ROX516" s="1502"/>
      <c r="ROY516" s="1502"/>
      <c r="ROZ516" s="1502"/>
      <c r="RPA516" s="1502"/>
      <c r="RPB516" s="1502"/>
      <c r="RPC516" s="1502"/>
      <c r="RPD516" s="1502"/>
      <c r="RPE516" s="1502"/>
      <c r="RPF516" s="1502"/>
      <c r="RPG516" s="1502"/>
      <c r="RPH516" s="1502"/>
      <c r="RPI516" s="1502"/>
      <c r="RPJ516" s="1502"/>
      <c r="RPK516" s="1502"/>
      <c r="RPL516" s="1502"/>
      <c r="RPM516" s="1502"/>
      <c r="RPN516" s="1502"/>
      <c r="RPO516" s="1502"/>
      <c r="RPP516" s="1502"/>
      <c r="RPQ516" s="1502"/>
      <c r="RPR516" s="1502"/>
      <c r="RPS516" s="1502"/>
      <c r="RPT516" s="1502"/>
      <c r="RPU516" s="1502"/>
      <c r="RPV516" s="1502"/>
      <c r="RPW516" s="1502"/>
      <c r="RPX516" s="1502"/>
      <c r="RPY516" s="1502"/>
      <c r="RPZ516" s="1502"/>
      <c r="RQA516" s="1502"/>
      <c r="RQB516" s="1502"/>
      <c r="RQC516" s="1502"/>
      <c r="RQD516" s="1502"/>
      <c r="RQE516" s="1502"/>
      <c r="RQF516" s="1502"/>
      <c r="RQG516" s="1502"/>
      <c r="RQH516" s="1502"/>
      <c r="RQI516" s="1502"/>
      <c r="RQJ516" s="1502"/>
      <c r="RQK516" s="1502"/>
      <c r="RQL516" s="1502"/>
      <c r="RQM516" s="1502"/>
      <c r="RQN516" s="1502"/>
      <c r="RQO516" s="1502"/>
      <c r="RQP516" s="1502"/>
      <c r="RQQ516" s="1502"/>
      <c r="RQR516" s="1502"/>
      <c r="RQS516" s="1502"/>
      <c r="RQT516" s="1502"/>
      <c r="RQU516" s="1502"/>
      <c r="RQV516" s="1502"/>
      <c r="RQW516" s="1502"/>
      <c r="RQX516" s="1502"/>
      <c r="RQY516" s="1502"/>
      <c r="RQZ516" s="1502"/>
      <c r="RRA516" s="1502"/>
      <c r="RRB516" s="1502"/>
      <c r="RRC516" s="1502"/>
      <c r="RRD516" s="1502"/>
      <c r="RRE516" s="1502"/>
      <c r="RRF516" s="1502"/>
      <c r="RRG516" s="1502"/>
      <c r="RRH516" s="1502"/>
      <c r="RRI516" s="1502"/>
      <c r="RRJ516" s="1502"/>
      <c r="RRK516" s="1502"/>
      <c r="RRL516" s="1502"/>
      <c r="RRM516" s="1502"/>
      <c r="RRN516" s="1502"/>
      <c r="RRO516" s="1502"/>
      <c r="RRP516" s="1502"/>
      <c r="RRQ516" s="1502"/>
      <c r="RRR516" s="1502"/>
      <c r="RRS516" s="1502"/>
      <c r="RRT516" s="1502"/>
      <c r="RRU516" s="1502"/>
      <c r="RRV516" s="1502"/>
      <c r="RRW516" s="1502"/>
      <c r="RRX516" s="1502"/>
      <c r="RRY516" s="1502"/>
      <c r="RRZ516" s="1502"/>
      <c r="RSA516" s="1502"/>
      <c r="RSB516" s="1502"/>
      <c r="RSC516" s="1502"/>
      <c r="RSD516" s="1502"/>
      <c r="RSE516" s="1502"/>
      <c r="RSF516" s="1502"/>
      <c r="RSG516" s="1502"/>
      <c r="RSH516" s="1502"/>
      <c r="RSI516" s="1502"/>
      <c r="RSJ516" s="1502"/>
      <c r="RSK516" s="1502"/>
      <c r="RSL516" s="1502"/>
      <c r="RSM516" s="1502"/>
      <c r="RSN516" s="1502"/>
      <c r="RSO516" s="1502"/>
      <c r="RSP516" s="1502"/>
      <c r="RSQ516" s="1502"/>
      <c r="RSR516" s="1502"/>
      <c r="RSS516" s="1502"/>
      <c r="RST516" s="1502"/>
      <c r="RSU516" s="1502"/>
      <c r="RSV516" s="1502"/>
      <c r="RSW516" s="1502"/>
      <c r="RSX516" s="1502"/>
      <c r="RSY516" s="1502"/>
      <c r="RSZ516" s="1502"/>
      <c r="RTA516" s="1502"/>
      <c r="RTB516" s="1502"/>
      <c r="RTC516" s="1502"/>
      <c r="RTD516" s="1502"/>
      <c r="RTE516" s="1502"/>
      <c r="RTF516" s="1502"/>
      <c r="RTG516" s="1502"/>
      <c r="RTH516" s="1502"/>
      <c r="RTI516" s="1502"/>
      <c r="RTJ516" s="1502"/>
      <c r="RTK516" s="1502"/>
      <c r="RTL516" s="1502"/>
      <c r="RTM516" s="1502"/>
      <c r="RTN516" s="1502"/>
      <c r="RTO516" s="1502"/>
      <c r="RTP516" s="1502"/>
      <c r="RTQ516" s="1502"/>
      <c r="RTR516" s="1502"/>
      <c r="RTS516" s="1502"/>
      <c r="RTT516" s="1502"/>
      <c r="RTU516" s="1502"/>
      <c r="RTV516" s="1502"/>
      <c r="RTW516" s="1502"/>
      <c r="RTX516" s="1502"/>
      <c r="RTY516" s="1502"/>
      <c r="RTZ516" s="1502"/>
      <c r="RUA516" s="1502"/>
      <c r="RUB516" s="1502"/>
      <c r="RUC516" s="1502"/>
      <c r="RUD516" s="1502"/>
      <c r="RUE516" s="1502"/>
      <c r="RUF516" s="1502"/>
      <c r="RUG516" s="1502"/>
      <c r="RUH516" s="1502"/>
      <c r="RUI516" s="1502"/>
      <c r="RUJ516" s="1502"/>
      <c r="RUK516" s="1502"/>
      <c r="RUL516" s="1502"/>
      <c r="RUM516" s="1502"/>
      <c r="RUN516" s="1502"/>
      <c r="RUO516" s="1502"/>
      <c r="RUP516" s="1502"/>
      <c r="RUQ516" s="1502"/>
      <c r="RUR516" s="1502"/>
      <c r="RUS516" s="1502"/>
      <c r="RUT516" s="1502"/>
      <c r="RUU516" s="1502"/>
      <c r="RUV516" s="1502"/>
      <c r="RUW516" s="1502"/>
      <c r="RUX516" s="1502"/>
      <c r="RUY516" s="1502"/>
      <c r="RUZ516" s="1502"/>
      <c r="RVA516" s="1502"/>
      <c r="RVB516" s="1502"/>
      <c r="RVC516" s="1502"/>
      <c r="RVD516" s="1502"/>
      <c r="RVE516" s="1502"/>
      <c r="RVF516" s="1502"/>
      <c r="RVG516" s="1502"/>
      <c r="RVH516" s="1502"/>
      <c r="RVI516" s="1502"/>
      <c r="RVJ516" s="1502"/>
      <c r="RVK516" s="1502"/>
      <c r="RVL516" s="1502"/>
      <c r="RVM516" s="1502"/>
      <c r="RVN516" s="1502"/>
      <c r="RVO516" s="1502"/>
      <c r="RVP516" s="1502"/>
      <c r="RVQ516" s="1502"/>
      <c r="RVR516" s="1502"/>
      <c r="RVS516" s="1502"/>
      <c r="RVT516" s="1502"/>
      <c r="RVU516" s="1502"/>
      <c r="RVV516" s="1502"/>
      <c r="RVW516" s="1502"/>
      <c r="RVX516" s="1502"/>
      <c r="RVY516" s="1502"/>
      <c r="RVZ516" s="1502"/>
      <c r="RWA516" s="1502"/>
      <c r="RWB516" s="1502"/>
      <c r="RWC516" s="1502"/>
      <c r="RWD516" s="1502"/>
      <c r="RWE516" s="1502"/>
      <c r="RWF516" s="1502"/>
      <c r="RWG516" s="1502"/>
      <c r="RWH516" s="1502"/>
      <c r="RWI516" s="1502"/>
      <c r="RWJ516" s="1502"/>
      <c r="RWK516" s="1502"/>
      <c r="RWL516" s="1502"/>
      <c r="RWM516" s="1502"/>
      <c r="RWN516" s="1502"/>
      <c r="RWO516" s="1502"/>
      <c r="RWP516" s="1502"/>
      <c r="RWQ516" s="1502"/>
      <c r="RWR516" s="1502"/>
      <c r="RWS516" s="1502"/>
      <c r="RWT516" s="1502"/>
      <c r="RWU516" s="1502"/>
      <c r="RWV516" s="1502"/>
      <c r="RWW516" s="1502"/>
      <c r="RWX516" s="1502"/>
      <c r="RWY516" s="1502"/>
      <c r="RWZ516" s="1502"/>
      <c r="RXA516" s="1502"/>
      <c r="RXB516" s="1502"/>
      <c r="RXC516" s="1502"/>
      <c r="RXD516" s="1502"/>
      <c r="RXE516" s="1502"/>
      <c r="RXF516" s="1502"/>
      <c r="RXG516" s="1502"/>
      <c r="RXH516" s="1502"/>
      <c r="RXI516" s="1502"/>
      <c r="RXJ516" s="1502"/>
      <c r="RXK516" s="1502"/>
      <c r="RXL516" s="1502"/>
      <c r="RXM516" s="1502"/>
      <c r="RXN516" s="1502"/>
      <c r="RXO516" s="1502"/>
      <c r="RXP516" s="1502"/>
      <c r="RXQ516" s="1502"/>
      <c r="RXR516" s="1502"/>
      <c r="RXS516" s="1502"/>
      <c r="RXT516" s="1502"/>
      <c r="RXU516" s="1502"/>
      <c r="RXV516" s="1502"/>
      <c r="RXW516" s="1502"/>
      <c r="RXX516" s="1502"/>
      <c r="RXY516" s="1502"/>
      <c r="RXZ516" s="1502"/>
      <c r="RYA516" s="1502"/>
      <c r="RYB516" s="1502"/>
      <c r="RYC516" s="1502"/>
      <c r="RYD516" s="1502"/>
      <c r="RYE516" s="1502"/>
      <c r="RYF516" s="1502"/>
      <c r="RYG516" s="1502"/>
      <c r="RYH516" s="1502"/>
      <c r="RYI516" s="1502"/>
      <c r="RYJ516" s="1502"/>
      <c r="RYK516" s="1502"/>
      <c r="RYL516" s="1502"/>
      <c r="RYM516" s="1502"/>
      <c r="RYN516" s="1502"/>
      <c r="RYO516" s="1502"/>
      <c r="RYP516" s="1502"/>
      <c r="RYQ516" s="1502"/>
      <c r="RYR516" s="1502"/>
      <c r="RYS516" s="1502"/>
      <c r="RYT516" s="1502"/>
      <c r="RYU516" s="1502"/>
      <c r="RYV516" s="1502"/>
      <c r="RYW516" s="1502"/>
      <c r="RYX516" s="1502"/>
      <c r="RYY516" s="1502"/>
      <c r="RYZ516" s="1502"/>
      <c r="RZA516" s="1502"/>
      <c r="RZB516" s="1502"/>
      <c r="RZC516" s="1502"/>
      <c r="RZD516" s="1502"/>
      <c r="RZE516" s="1502"/>
      <c r="RZF516" s="1502"/>
      <c r="RZG516" s="1502"/>
      <c r="RZH516" s="1502"/>
      <c r="RZI516" s="1502"/>
      <c r="RZJ516" s="1502"/>
      <c r="RZK516" s="1502"/>
      <c r="RZL516" s="1502"/>
      <c r="RZM516" s="1502"/>
      <c r="RZN516" s="1502"/>
      <c r="RZO516" s="1502"/>
      <c r="RZP516" s="1502"/>
      <c r="RZQ516" s="1502"/>
      <c r="RZR516" s="1502"/>
      <c r="RZS516" s="1502"/>
      <c r="RZT516" s="1502"/>
      <c r="RZU516" s="1502"/>
      <c r="RZV516" s="1502"/>
      <c r="RZW516" s="1502"/>
      <c r="RZX516" s="1502"/>
      <c r="RZY516" s="1502"/>
      <c r="RZZ516" s="1502"/>
      <c r="SAA516" s="1502"/>
      <c r="SAB516" s="1502"/>
      <c r="SAC516" s="1502"/>
      <c r="SAD516" s="1502"/>
      <c r="SAE516" s="1502"/>
      <c r="SAF516" s="1502"/>
      <c r="SAG516" s="1502"/>
      <c r="SAH516" s="1502"/>
      <c r="SAI516" s="1502"/>
      <c r="SAJ516" s="1502"/>
      <c r="SAK516" s="1502"/>
      <c r="SAL516" s="1502"/>
      <c r="SAM516" s="1502"/>
      <c r="SAN516" s="1502"/>
      <c r="SAO516" s="1502"/>
      <c r="SAP516" s="1502"/>
      <c r="SAQ516" s="1502"/>
      <c r="SAR516" s="1502"/>
      <c r="SAS516" s="1502"/>
      <c r="SAT516" s="1502"/>
      <c r="SAU516" s="1502"/>
      <c r="SAV516" s="1502"/>
      <c r="SAW516" s="1502"/>
      <c r="SAX516" s="1502"/>
      <c r="SAY516" s="1502"/>
      <c r="SAZ516" s="1502"/>
      <c r="SBA516" s="1502"/>
      <c r="SBB516" s="1502"/>
      <c r="SBC516" s="1502"/>
      <c r="SBD516" s="1502"/>
      <c r="SBE516" s="1502"/>
      <c r="SBF516" s="1502"/>
      <c r="SBG516" s="1502"/>
      <c r="SBH516" s="1502"/>
      <c r="SBI516" s="1502"/>
      <c r="SBJ516" s="1502"/>
      <c r="SBK516" s="1502"/>
      <c r="SBL516" s="1502"/>
      <c r="SBM516" s="1502"/>
      <c r="SBN516" s="1502"/>
      <c r="SBO516" s="1502"/>
      <c r="SBP516" s="1502"/>
      <c r="SBQ516" s="1502"/>
      <c r="SBR516" s="1502"/>
      <c r="SBS516" s="1502"/>
      <c r="SBT516" s="1502"/>
      <c r="SBU516" s="1502"/>
      <c r="SBV516" s="1502"/>
      <c r="SBW516" s="1502"/>
      <c r="SBX516" s="1502"/>
      <c r="SBY516" s="1502"/>
      <c r="SBZ516" s="1502"/>
      <c r="SCA516" s="1502"/>
      <c r="SCB516" s="1502"/>
      <c r="SCC516" s="1502"/>
      <c r="SCD516" s="1502"/>
      <c r="SCE516" s="1502"/>
      <c r="SCF516" s="1502"/>
      <c r="SCG516" s="1502"/>
      <c r="SCH516" s="1502"/>
      <c r="SCI516" s="1502"/>
      <c r="SCJ516" s="1502"/>
      <c r="SCK516" s="1502"/>
      <c r="SCL516" s="1502"/>
      <c r="SCM516" s="1502"/>
      <c r="SCN516" s="1502"/>
      <c r="SCO516" s="1502"/>
      <c r="SCP516" s="1502"/>
      <c r="SCQ516" s="1502"/>
      <c r="SCR516" s="1502"/>
      <c r="SCS516" s="1502"/>
      <c r="SCT516" s="1502"/>
      <c r="SCU516" s="1502"/>
      <c r="SCV516" s="1502"/>
      <c r="SCW516" s="1502"/>
      <c r="SCX516" s="1502"/>
      <c r="SCY516" s="1502"/>
      <c r="SCZ516" s="1502"/>
      <c r="SDA516" s="1502"/>
      <c r="SDB516" s="1502"/>
      <c r="SDC516" s="1502"/>
      <c r="SDD516" s="1502"/>
      <c r="SDE516" s="1502"/>
      <c r="SDF516" s="1502"/>
      <c r="SDG516" s="1502"/>
      <c r="SDH516" s="1502"/>
      <c r="SDI516" s="1502"/>
      <c r="SDJ516" s="1502"/>
      <c r="SDK516" s="1502"/>
      <c r="SDL516" s="1502"/>
      <c r="SDM516" s="1502"/>
      <c r="SDN516" s="1502"/>
      <c r="SDO516" s="1502"/>
      <c r="SDP516" s="1502"/>
      <c r="SDQ516" s="1502"/>
      <c r="SDR516" s="1502"/>
      <c r="SDS516" s="1502"/>
      <c r="SDT516" s="1502"/>
      <c r="SDU516" s="1502"/>
      <c r="SDV516" s="1502"/>
      <c r="SDW516" s="1502"/>
      <c r="SDX516" s="1502"/>
      <c r="SDY516" s="1502"/>
      <c r="SDZ516" s="1502"/>
      <c r="SEA516" s="1502"/>
      <c r="SEB516" s="1502"/>
      <c r="SEC516" s="1502"/>
      <c r="SED516" s="1502"/>
      <c r="SEE516" s="1502"/>
      <c r="SEF516" s="1502"/>
      <c r="SEG516" s="1502"/>
      <c r="SEH516" s="1502"/>
      <c r="SEI516" s="1502"/>
      <c r="SEJ516" s="1502"/>
      <c r="SEK516" s="1502"/>
      <c r="SEL516" s="1502"/>
      <c r="SEM516" s="1502"/>
      <c r="SEN516" s="1502"/>
      <c r="SEO516" s="1502"/>
      <c r="SEP516" s="1502"/>
      <c r="SEQ516" s="1502"/>
      <c r="SER516" s="1502"/>
      <c r="SES516" s="1502"/>
      <c r="SET516" s="1502"/>
      <c r="SEU516" s="1502"/>
      <c r="SEV516" s="1502"/>
      <c r="SEW516" s="1502"/>
      <c r="SEX516" s="1502"/>
      <c r="SEY516" s="1502"/>
      <c r="SEZ516" s="1502"/>
      <c r="SFA516" s="1502"/>
      <c r="SFB516" s="1502"/>
      <c r="SFC516" s="1502"/>
      <c r="SFD516" s="1502"/>
      <c r="SFE516" s="1502"/>
      <c r="SFF516" s="1502"/>
      <c r="SFG516" s="1502"/>
      <c r="SFH516" s="1502"/>
      <c r="SFI516" s="1502"/>
      <c r="SFJ516" s="1502"/>
      <c r="SFK516" s="1502"/>
      <c r="SFL516" s="1502"/>
      <c r="SFM516" s="1502"/>
      <c r="SFN516" s="1502"/>
      <c r="SFO516" s="1502"/>
      <c r="SFP516" s="1502"/>
      <c r="SFQ516" s="1502"/>
      <c r="SFR516" s="1502"/>
      <c r="SFS516" s="1502"/>
      <c r="SFT516" s="1502"/>
      <c r="SFU516" s="1502"/>
      <c r="SFV516" s="1502"/>
      <c r="SFW516" s="1502"/>
      <c r="SFX516" s="1502"/>
      <c r="SFY516" s="1502"/>
      <c r="SFZ516" s="1502"/>
      <c r="SGA516" s="1502"/>
      <c r="SGB516" s="1502"/>
      <c r="SGC516" s="1502"/>
      <c r="SGD516" s="1502"/>
      <c r="SGE516" s="1502"/>
      <c r="SGF516" s="1502"/>
      <c r="SGG516" s="1502"/>
      <c r="SGH516" s="1502"/>
      <c r="SGI516" s="1502"/>
      <c r="SGJ516" s="1502"/>
      <c r="SGK516" s="1502"/>
      <c r="SGL516" s="1502"/>
      <c r="SGM516" s="1502"/>
      <c r="SGN516" s="1502"/>
      <c r="SGO516" s="1502"/>
      <c r="SGP516" s="1502"/>
      <c r="SGQ516" s="1502"/>
      <c r="SGR516" s="1502"/>
      <c r="SGS516" s="1502"/>
      <c r="SGT516" s="1502"/>
      <c r="SGU516" s="1502"/>
      <c r="SGV516" s="1502"/>
      <c r="SGW516" s="1502"/>
      <c r="SGX516" s="1502"/>
      <c r="SGY516" s="1502"/>
      <c r="SGZ516" s="1502"/>
      <c r="SHA516" s="1502"/>
      <c r="SHB516" s="1502"/>
      <c r="SHC516" s="1502"/>
      <c r="SHD516" s="1502"/>
      <c r="SHE516" s="1502"/>
      <c r="SHF516" s="1502"/>
      <c r="SHG516" s="1502"/>
      <c r="SHH516" s="1502"/>
      <c r="SHI516" s="1502"/>
      <c r="SHJ516" s="1502"/>
      <c r="SHK516" s="1502"/>
      <c r="SHL516" s="1502"/>
      <c r="SHM516" s="1502"/>
      <c r="SHN516" s="1502"/>
      <c r="SHO516" s="1502"/>
      <c r="SHP516" s="1502"/>
      <c r="SHQ516" s="1502"/>
      <c r="SHR516" s="1502"/>
      <c r="SHS516" s="1502"/>
      <c r="SHT516" s="1502"/>
      <c r="SHU516" s="1502"/>
      <c r="SHV516" s="1502"/>
      <c r="SHW516" s="1502"/>
      <c r="SHX516" s="1502"/>
      <c r="SHY516" s="1502"/>
      <c r="SHZ516" s="1502"/>
      <c r="SIA516" s="1502"/>
      <c r="SIB516" s="1502"/>
      <c r="SIC516" s="1502"/>
      <c r="SID516" s="1502"/>
      <c r="SIE516" s="1502"/>
      <c r="SIF516" s="1502"/>
      <c r="SIG516" s="1502"/>
      <c r="SIH516" s="1502"/>
      <c r="SII516" s="1502"/>
      <c r="SIJ516" s="1502"/>
      <c r="SIK516" s="1502"/>
      <c r="SIL516" s="1502"/>
      <c r="SIM516" s="1502"/>
      <c r="SIN516" s="1502"/>
      <c r="SIO516" s="1502"/>
      <c r="SIP516" s="1502"/>
      <c r="SIQ516" s="1502"/>
      <c r="SIR516" s="1502"/>
      <c r="SIS516" s="1502"/>
      <c r="SIT516" s="1502"/>
      <c r="SIU516" s="1502"/>
      <c r="SIV516" s="1502"/>
      <c r="SIW516" s="1502"/>
      <c r="SIX516" s="1502"/>
      <c r="SIY516" s="1502"/>
      <c r="SIZ516" s="1502"/>
      <c r="SJA516" s="1502"/>
      <c r="SJB516" s="1502"/>
      <c r="SJC516" s="1502"/>
      <c r="SJD516" s="1502"/>
      <c r="SJE516" s="1502"/>
      <c r="SJF516" s="1502"/>
      <c r="SJG516" s="1502"/>
      <c r="SJH516" s="1502"/>
      <c r="SJI516" s="1502"/>
      <c r="SJJ516" s="1502"/>
      <c r="SJK516" s="1502"/>
      <c r="SJL516" s="1502"/>
      <c r="SJM516" s="1502"/>
      <c r="SJN516" s="1502"/>
      <c r="SJO516" s="1502"/>
      <c r="SJP516" s="1502"/>
      <c r="SJQ516" s="1502"/>
      <c r="SJR516" s="1502"/>
      <c r="SJS516" s="1502"/>
      <c r="SJT516" s="1502"/>
      <c r="SJU516" s="1502"/>
      <c r="SJV516" s="1502"/>
      <c r="SJW516" s="1502"/>
      <c r="SJX516" s="1502"/>
      <c r="SJY516" s="1502"/>
      <c r="SJZ516" s="1502"/>
      <c r="SKA516" s="1502"/>
      <c r="SKB516" s="1502"/>
      <c r="SKC516" s="1502"/>
      <c r="SKD516" s="1502"/>
      <c r="SKE516" s="1502"/>
      <c r="SKF516" s="1502"/>
      <c r="SKG516" s="1502"/>
      <c r="SKH516" s="1502"/>
      <c r="SKI516" s="1502"/>
      <c r="SKJ516" s="1502"/>
      <c r="SKK516" s="1502"/>
      <c r="SKL516" s="1502"/>
      <c r="SKM516" s="1502"/>
      <c r="SKN516" s="1502"/>
      <c r="SKO516" s="1502"/>
      <c r="SKP516" s="1502"/>
      <c r="SKQ516" s="1502"/>
      <c r="SKR516" s="1502"/>
      <c r="SKS516" s="1502"/>
      <c r="SKT516" s="1502"/>
      <c r="SKU516" s="1502"/>
      <c r="SKV516" s="1502"/>
      <c r="SKW516" s="1502"/>
      <c r="SKX516" s="1502"/>
      <c r="SKY516" s="1502"/>
      <c r="SKZ516" s="1502"/>
      <c r="SLA516" s="1502"/>
      <c r="SLB516" s="1502"/>
      <c r="SLC516" s="1502"/>
      <c r="SLD516" s="1502"/>
      <c r="SLE516" s="1502"/>
      <c r="SLF516" s="1502"/>
      <c r="SLG516" s="1502"/>
      <c r="SLH516" s="1502"/>
      <c r="SLI516" s="1502"/>
      <c r="SLJ516" s="1502"/>
      <c r="SLK516" s="1502"/>
      <c r="SLL516" s="1502"/>
      <c r="SLM516" s="1502"/>
      <c r="SLN516" s="1502"/>
      <c r="SLO516" s="1502"/>
      <c r="SLP516" s="1502"/>
      <c r="SLQ516" s="1502"/>
      <c r="SLR516" s="1502"/>
      <c r="SLS516" s="1502"/>
      <c r="SLT516" s="1502"/>
      <c r="SLU516" s="1502"/>
      <c r="SLV516" s="1502"/>
      <c r="SLW516" s="1502"/>
      <c r="SLX516" s="1502"/>
      <c r="SLY516" s="1502"/>
      <c r="SLZ516" s="1502"/>
      <c r="SMA516" s="1502"/>
      <c r="SMB516" s="1502"/>
      <c r="SMC516" s="1502"/>
      <c r="SMD516" s="1502"/>
      <c r="SME516" s="1502"/>
      <c r="SMF516" s="1502"/>
      <c r="SMG516" s="1502"/>
      <c r="SMH516" s="1502"/>
      <c r="SMI516" s="1502"/>
      <c r="SMJ516" s="1502"/>
      <c r="SMK516" s="1502"/>
      <c r="SML516" s="1502"/>
      <c r="SMM516" s="1502"/>
      <c r="SMN516" s="1502"/>
      <c r="SMO516" s="1502"/>
      <c r="SMP516" s="1502"/>
      <c r="SMQ516" s="1502"/>
      <c r="SMR516" s="1502"/>
      <c r="SMS516" s="1502"/>
      <c r="SMT516" s="1502"/>
      <c r="SMU516" s="1502"/>
      <c r="SMV516" s="1502"/>
      <c r="SMW516" s="1502"/>
      <c r="SMX516" s="1502"/>
      <c r="SMY516" s="1502"/>
      <c r="SMZ516" s="1502"/>
      <c r="SNA516" s="1502"/>
      <c r="SNB516" s="1502"/>
      <c r="SNC516" s="1502"/>
      <c r="SND516" s="1502"/>
      <c r="SNE516" s="1502"/>
      <c r="SNF516" s="1502"/>
      <c r="SNG516" s="1502"/>
      <c r="SNH516" s="1502"/>
      <c r="SNI516" s="1502"/>
      <c r="SNJ516" s="1502"/>
      <c r="SNK516" s="1502"/>
      <c r="SNL516" s="1502"/>
      <c r="SNM516" s="1502"/>
      <c r="SNN516" s="1502"/>
      <c r="SNO516" s="1502"/>
      <c r="SNP516" s="1502"/>
      <c r="SNQ516" s="1502"/>
      <c r="SNR516" s="1502"/>
      <c r="SNS516" s="1502"/>
      <c r="SNT516" s="1502"/>
      <c r="SNU516" s="1502"/>
      <c r="SNV516" s="1502"/>
      <c r="SNW516" s="1502"/>
      <c r="SNX516" s="1502"/>
      <c r="SNY516" s="1502"/>
      <c r="SNZ516" s="1502"/>
      <c r="SOA516" s="1502"/>
      <c r="SOB516" s="1502"/>
      <c r="SOC516" s="1502"/>
      <c r="SOD516" s="1502"/>
      <c r="SOE516" s="1502"/>
      <c r="SOF516" s="1502"/>
      <c r="SOG516" s="1502"/>
      <c r="SOH516" s="1502"/>
      <c r="SOI516" s="1502"/>
      <c r="SOJ516" s="1502"/>
      <c r="SOK516" s="1502"/>
      <c r="SOL516" s="1502"/>
      <c r="SOM516" s="1502"/>
      <c r="SON516" s="1502"/>
      <c r="SOO516" s="1502"/>
      <c r="SOP516" s="1502"/>
      <c r="SOQ516" s="1502"/>
      <c r="SOR516" s="1502"/>
      <c r="SOS516" s="1502"/>
      <c r="SOT516" s="1502"/>
      <c r="SOU516" s="1502"/>
      <c r="SOV516" s="1502"/>
      <c r="SOW516" s="1502"/>
      <c r="SOX516" s="1502"/>
      <c r="SOY516" s="1502"/>
      <c r="SOZ516" s="1502"/>
      <c r="SPA516" s="1502"/>
      <c r="SPB516" s="1502"/>
      <c r="SPC516" s="1502"/>
      <c r="SPD516" s="1502"/>
      <c r="SPE516" s="1502"/>
      <c r="SPF516" s="1502"/>
      <c r="SPG516" s="1502"/>
      <c r="SPH516" s="1502"/>
      <c r="SPI516" s="1502"/>
      <c r="SPJ516" s="1502"/>
      <c r="SPK516" s="1502"/>
      <c r="SPL516" s="1502"/>
      <c r="SPM516" s="1502"/>
      <c r="SPN516" s="1502"/>
      <c r="SPO516" s="1502"/>
      <c r="SPP516" s="1502"/>
      <c r="SPQ516" s="1502"/>
      <c r="SPR516" s="1502"/>
      <c r="SPS516" s="1502"/>
      <c r="SPT516" s="1502"/>
      <c r="SPU516" s="1502"/>
      <c r="SPV516" s="1502"/>
      <c r="SPW516" s="1502"/>
      <c r="SPX516" s="1502"/>
      <c r="SPY516" s="1502"/>
      <c r="SPZ516" s="1502"/>
      <c r="SQA516" s="1502"/>
      <c r="SQB516" s="1502"/>
      <c r="SQC516" s="1502"/>
      <c r="SQD516" s="1502"/>
      <c r="SQE516" s="1502"/>
      <c r="SQF516" s="1502"/>
      <c r="SQG516" s="1502"/>
      <c r="SQH516" s="1502"/>
      <c r="SQI516" s="1502"/>
      <c r="SQJ516" s="1502"/>
      <c r="SQK516" s="1502"/>
      <c r="SQL516" s="1502"/>
      <c r="SQM516" s="1502"/>
      <c r="SQN516" s="1502"/>
      <c r="SQO516" s="1502"/>
      <c r="SQP516" s="1502"/>
      <c r="SQQ516" s="1502"/>
      <c r="SQR516" s="1502"/>
      <c r="SQS516" s="1502"/>
      <c r="SQT516" s="1502"/>
      <c r="SQU516" s="1502"/>
      <c r="SQV516" s="1502"/>
      <c r="SQW516" s="1502"/>
      <c r="SQX516" s="1502"/>
      <c r="SQY516" s="1502"/>
      <c r="SQZ516" s="1502"/>
      <c r="SRA516" s="1502"/>
      <c r="SRB516" s="1502"/>
      <c r="SRC516" s="1502"/>
      <c r="SRD516" s="1502"/>
      <c r="SRE516" s="1502"/>
      <c r="SRF516" s="1502"/>
      <c r="SRG516" s="1502"/>
      <c r="SRH516" s="1502"/>
      <c r="SRI516" s="1502"/>
      <c r="SRJ516" s="1502"/>
      <c r="SRK516" s="1502"/>
      <c r="SRL516" s="1502"/>
      <c r="SRM516" s="1502"/>
      <c r="SRN516" s="1502"/>
      <c r="SRO516" s="1502"/>
      <c r="SRP516" s="1502"/>
      <c r="SRQ516" s="1502"/>
      <c r="SRR516" s="1502"/>
      <c r="SRS516" s="1502"/>
      <c r="SRT516" s="1502"/>
      <c r="SRU516" s="1502"/>
      <c r="SRV516" s="1502"/>
      <c r="SRW516" s="1502"/>
      <c r="SRX516" s="1502"/>
      <c r="SRY516" s="1502"/>
      <c r="SRZ516" s="1502"/>
      <c r="SSA516" s="1502"/>
      <c r="SSB516" s="1502"/>
      <c r="SSC516" s="1502"/>
      <c r="SSD516" s="1502"/>
      <c r="SSE516" s="1502"/>
      <c r="SSF516" s="1502"/>
      <c r="SSG516" s="1502"/>
      <c r="SSH516" s="1502"/>
      <c r="SSI516" s="1502"/>
      <c r="SSJ516" s="1502"/>
      <c r="SSK516" s="1502"/>
      <c r="SSL516" s="1502"/>
      <c r="SSM516" s="1502"/>
      <c r="SSN516" s="1502"/>
      <c r="SSO516" s="1502"/>
      <c r="SSP516" s="1502"/>
      <c r="SSQ516" s="1502"/>
      <c r="SSR516" s="1502"/>
      <c r="SSS516" s="1502"/>
      <c r="SST516" s="1502"/>
      <c r="SSU516" s="1502"/>
      <c r="SSV516" s="1502"/>
      <c r="SSW516" s="1502"/>
      <c r="SSX516" s="1502"/>
      <c r="SSY516" s="1502"/>
      <c r="SSZ516" s="1502"/>
      <c r="STA516" s="1502"/>
      <c r="STB516" s="1502"/>
      <c r="STC516" s="1502"/>
      <c r="STD516" s="1502"/>
      <c r="STE516" s="1502"/>
      <c r="STF516" s="1502"/>
      <c r="STG516" s="1502"/>
      <c r="STH516" s="1502"/>
      <c r="STI516" s="1502"/>
      <c r="STJ516" s="1502"/>
      <c r="STK516" s="1502"/>
      <c r="STL516" s="1502"/>
      <c r="STM516" s="1502"/>
      <c r="STN516" s="1502"/>
      <c r="STO516" s="1502"/>
      <c r="STP516" s="1502"/>
      <c r="STQ516" s="1502"/>
      <c r="STR516" s="1502"/>
      <c r="STS516" s="1502"/>
      <c r="STT516" s="1502"/>
      <c r="STU516" s="1502"/>
      <c r="STV516" s="1502"/>
      <c r="STW516" s="1502"/>
      <c r="STX516" s="1502"/>
      <c r="STY516" s="1502"/>
      <c r="STZ516" s="1502"/>
      <c r="SUA516" s="1502"/>
      <c r="SUB516" s="1502"/>
      <c r="SUC516" s="1502"/>
      <c r="SUD516" s="1502"/>
      <c r="SUE516" s="1502"/>
      <c r="SUF516" s="1502"/>
      <c r="SUG516" s="1502"/>
      <c r="SUH516" s="1502"/>
      <c r="SUI516" s="1502"/>
      <c r="SUJ516" s="1502"/>
      <c r="SUK516" s="1502"/>
      <c r="SUL516" s="1502"/>
      <c r="SUM516" s="1502"/>
      <c r="SUN516" s="1502"/>
      <c r="SUO516" s="1502"/>
      <c r="SUP516" s="1502"/>
      <c r="SUQ516" s="1502"/>
      <c r="SUR516" s="1502"/>
      <c r="SUS516" s="1502"/>
      <c r="SUT516" s="1502"/>
      <c r="SUU516" s="1502"/>
      <c r="SUV516" s="1502"/>
      <c r="SUW516" s="1502"/>
      <c r="SUX516" s="1502"/>
      <c r="SUY516" s="1502"/>
      <c r="SUZ516" s="1502"/>
      <c r="SVA516" s="1502"/>
      <c r="SVB516" s="1502"/>
      <c r="SVC516" s="1502"/>
      <c r="SVD516" s="1502"/>
      <c r="SVE516" s="1502"/>
      <c r="SVF516" s="1502"/>
      <c r="SVG516" s="1502"/>
      <c r="SVH516" s="1502"/>
      <c r="SVI516" s="1502"/>
      <c r="SVJ516" s="1502"/>
      <c r="SVK516" s="1502"/>
      <c r="SVL516" s="1502"/>
      <c r="SVM516" s="1502"/>
      <c r="SVN516" s="1502"/>
      <c r="SVO516" s="1502"/>
      <c r="SVP516" s="1502"/>
      <c r="SVQ516" s="1502"/>
      <c r="SVR516" s="1502"/>
      <c r="SVS516" s="1502"/>
      <c r="SVT516" s="1502"/>
      <c r="SVU516" s="1502"/>
      <c r="SVV516" s="1502"/>
      <c r="SVW516" s="1502"/>
      <c r="SVX516" s="1502"/>
      <c r="SVY516" s="1502"/>
      <c r="SVZ516" s="1502"/>
      <c r="SWA516" s="1502"/>
      <c r="SWB516" s="1502"/>
      <c r="SWC516" s="1502"/>
      <c r="SWD516" s="1502"/>
      <c r="SWE516" s="1502"/>
      <c r="SWF516" s="1502"/>
      <c r="SWG516" s="1502"/>
      <c r="SWH516" s="1502"/>
      <c r="SWI516" s="1502"/>
      <c r="SWJ516" s="1502"/>
      <c r="SWK516" s="1502"/>
      <c r="SWL516" s="1502"/>
      <c r="SWM516" s="1502"/>
      <c r="SWN516" s="1502"/>
      <c r="SWO516" s="1502"/>
      <c r="SWP516" s="1502"/>
      <c r="SWQ516" s="1502"/>
      <c r="SWR516" s="1502"/>
      <c r="SWS516" s="1502"/>
      <c r="SWT516" s="1502"/>
      <c r="SWU516" s="1502"/>
      <c r="SWV516" s="1502"/>
      <c r="SWW516" s="1502"/>
      <c r="SWX516" s="1502"/>
      <c r="SWY516" s="1502"/>
      <c r="SWZ516" s="1502"/>
      <c r="SXA516" s="1502"/>
      <c r="SXB516" s="1502"/>
      <c r="SXC516" s="1502"/>
      <c r="SXD516" s="1502"/>
      <c r="SXE516" s="1502"/>
      <c r="SXF516" s="1502"/>
      <c r="SXG516" s="1502"/>
      <c r="SXH516" s="1502"/>
      <c r="SXI516" s="1502"/>
      <c r="SXJ516" s="1502"/>
      <c r="SXK516" s="1502"/>
      <c r="SXL516" s="1502"/>
      <c r="SXM516" s="1502"/>
      <c r="SXN516" s="1502"/>
      <c r="SXO516" s="1502"/>
      <c r="SXP516" s="1502"/>
      <c r="SXQ516" s="1502"/>
      <c r="SXR516" s="1502"/>
      <c r="SXS516" s="1502"/>
      <c r="SXT516" s="1502"/>
      <c r="SXU516" s="1502"/>
      <c r="SXV516" s="1502"/>
      <c r="SXW516" s="1502"/>
      <c r="SXX516" s="1502"/>
      <c r="SXY516" s="1502"/>
      <c r="SXZ516" s="1502"/>
      <c r="SYA516" s="1502"/>
      <c r="SYB516" s="1502"/>
      <c r="SYC516" s="1502"/>
      <c r="SYD516" s="1502"/>
      <c r="SYE516" s="1502"/>
      <c r="SYF516" s="1502"/>
      <c r="SYG516" s="1502"/>
      <c r="SYH516" s="1502"/>
      <c r="SYI516" s="1502"/>
      <c r="SYJ516" s="1502"/>
      <c r="SYK516" s="1502"/>
      <c r="SYL516" s="1502"/>
      <c r="SYM516" s="1502"/>
      <c r="SYN516" s="1502"/>
      <c r="SYO516" s="1502"/>
      <c r="SYP516" s="1502"/>
      <c r="SYQ516" s="1502"/>
      <c r="SYR516" s="1502"/>
      <c r="SYS516" s="1502"/>
      <c r="SYT516" s="1502"/>
      <c r="SYU516" s="1502"/>
      <c r="SYV516" s="1502"/>
      <c r="SYW516" s="1502"/>
      <c r="SYX516" s="1502"/>
      <c r="SYY516" s="1502"/>
      <c r="SYZ516" s="1502"/>
      <c r="SZA516" s="1502"/>
      <c r="SZB516" s="1502"/>
      <c r="SZC516" s="1502"/>
      <c r="SZD516" s="1502"/>
      <c r="SZE516" s="1502"/>
      <c r="SZF516" s="1502"/>
      <c r="SZG516" s="1502"/>
      <c r="SZH516" s="1502"/>
      <c r="SZI516" s="1502"/>
      <c r="SZJ516" s="1502"/>
      <c r="SZK516" s="1502"/>
      <c r="SZL516" s="1502"/>
      <c r="SZM516" s="1502"/>
      <c r="SZN516" s="1502"/>
      <c r="SZO516" s="1502"/>
      <c r="SZP516" s="1502"/>
      <c r="SZQ516" s="1502"/>
      <c r="SZR516" s="1502"/>
      <c r="SZS516" s="1502"/>
      <c r="SZT516" s="1502"/>
      <c r="SZU516" s="1502"/>
      <c r="SZV516" s="1502"/>
      <c r="SZW516" s="1502"/>
      <c r="SZX516" s="1502"/>
      <c r="SZY516" s="1502"/>
      <c r="SZZ516" s="1502"/>
      <c r="TAA516" s="1502"/>
      <c r="TAB516" s="1502"/>
      <c r="TAC516" s="1502"/>
      <c r="TAD516" s="1502"/>
      <c r="TAE516" s="1502"/>
      <c r="TAF516" s="1502"/>
      <c r="TAG516" s="1502"/>
      <c r="TAH516" s="1502"/>
      <c r="TAI516" s="1502"/>
      <c r="TAJ516" s="1502"/>
      <c r="TAK516" s="1502"/>
      <c r="TAL516" s="1502"/>
      <c r="TAM516" s="1502"/>
      <c r="TAN516" s="1502"/>
      <c r="TAO516" s="1502"/>
      <c r="TAP516" s="1502"/>
      <c r="TAQ516" s="1502"/>
      <c r="TAR516" s="1502"/>
      <c r="TAS516" s="1502"/>
      <c r="TAT516" s="1502"/>
      <c r="TAU516" s="1502"/>
      <c r="TAV516" s="1502"/>
      <c r="TAW516" s="1502"/>
      <c r="TAX516" s="1502"/>
      <c r="TAY516" s="1502"/>
      <c r="TAZ516" s="1502"/>
      <c r="TBA516" s="1502"/>
      <c r="TBB516" s="1502"/>
      <c r="TBC516" s="1502"/>
      <c r="TBD516" s="1502"/>
      <c r="TBE516" s="1502"/>
      <c r="TBF516" s="1502"/>
      <c r="TBG516" s="1502"/>
      <c r="TBH516" s="1502"/>
      <c r="TBI516" s="1502"/>
      <c r="TBJ516" s="1502"/>
      <c r="TBK516" s="1502"/>
      <c r="TBL516" s="1502"/>
      <c r="TBM516" s="1502"/>
      <c r="TBN516" s="1502"/>
      <c r="TBO516" s="1502"/>
      <c r="TBP516" s="1502"/>
      <c r="TBQ516" s="1502"/>
      <c r="TBR516" s="1502"/>
      <c r="TBS516" s="1502"/>
      <c r="TBT516" s="1502"/>
      <c r="TBU516" s="1502"/>
      <c r="TBV516" s="1502"/>
      <c r="TBW516" s="1502"/>
      <c r="TBX516" s="1502"/>
      <c r="TBY516" s="1502"/>
      <c r="TBZ516" s="1502"/>
      <c r="TCA516" s="1502"/>
      <c r="TCB516" s="1502"/>
      <c r="TCC516" s="1502"/>
      <c r="TCD516" s="1502"/>
      <c r="TCE516" s="1502"/>
      <c r="TCF516" s="1502"/>
      <c r="TCG516" s="1502"/>
      <c r="TCH516" s="1502"/>
      <c r="TCI516" s="1502"/>
      <c r="TCJ516" s="1502"/>
      <c r="TCK516" s="1502"/>
      <c r="TCL516" s="1502"/>
      <c r="TCM516" s="1502"/>
      <c r="TCN516" s="1502"/>
      <c r="TCO516" s="1502"/>
      <c r="TCP516" s="1502"/>
      <c r="TCQ516" s="1502"/>
      <c r="TCR516" s="1502"/>
      <c r="TCS516" s="1502"/>
      <c r="TCT516" s="1502"/>
      <c r="TCU516" s="1502"/>
      <c r="TCV516" s="1502"/>
      <c r="TCW516" s="1502"/>
      <c r="TCX516" s="1502"/>
      <c r="TCY516" s="1502"/>
      <c r="TCZ516" s="1502"/>
      <c r="TDA516" s="1502"/>
      <c r="TDB516" s="1502"/>
      <c r="TDC516" s="1502"/>
      <c r="TDD516" s="1502"/>
      <c r="TDE516" s="1502"/>
      <c r="TDF516" s="1502"/>
      <c r="TDG516" s="1502"/>
      <c r="TDH516" s="1502"/>
      <c r="TDI516" s="1502"/>
      <c r="TDJ516" s="1502"/>
      <c r="TDK516" s="1502"/>
      <c r="TDL516" s="1502"/>
      <c r="TDM516" s="1502"/>
      <c r="TDN516" s="1502"/>
      <c r="TDO516" s="1502"/>
      <c r="TDP516" s="1502"/>
      <c r="TDQ516" s="1502"/>
      <c r="TDR516" s="1502"/>
      <c r="TDS516" s="1502"/>
      <c r="TDT516" s="1502"/>
      <c r="TDU516" s="1502"/>
      <c r="TDV516" s="1502"/>
      <c r="TDW516" s="1502"/>
      <c r="TDX516" s="1502"/>
      <c r="TDY516" s="1502"/>
      <c r="TDZ516" s="1502"/>
      <c r="TEA516" s="1502"/>
      <c r="TEB516" s="1502"/>
      <c r="TEC516" s="1502"/>
      <c r="TED516" s="1502"/>
      <c r="TEE516" s="1502"/>
      <c r="TEF516" s="1502"/>
      <c r="TEG516" s="1502"/>
      <c r="TEH516" s="1502"/>
      <c r="TEI516" s="1502"/>
      <c r="TEJ516" s="1502"/>
      <c r="TEK516" s="1502"/>
      <c r="TEL516" s="1502"/>
      <c r="TEM516" s="1502"/>
      <c r="TEN516" s="1502"/>
      <c r="TEO516" s="1502"/>
      <c r="TEP516" s="1502"/>
      <c r="TEQ516" s="1502"/>
      <c r="TER516" s="1502"/>
      <c r="TES516" s="1502"/>
      <c r="TET516" s="1502"/>
      <c r="TEU516" s="1502"/>
      <c r="TEV516" s="1502"/>
      <c r="TEW516" s="1502"/>
      <c r="TEX516" s="1502"/>
      <c r="TEY516" s="1502"/>
      <c r="TEZ516" s="1502"/>
      <c r="TFA516" s="1502"/>
      <c r="TFB516" s="1502"/>
      <c r="TFC516" s="1502"/>
      <c r="TFD516" s="1502"/>
      <c r="TFE516" s="1502"/>
      <c r="TFF516" s="1502"/>
      <c r="TFG516" s="1502"/>
      <c r="TFH516" s="1502"/>
      <c r="TFI516" s="1502"/>
      <c r="TFJ516" s="1502"/>
      <c r="TFK516" s="1502"/>
      <c r="TFL516" s="1502"/>
      <c r="TFM516" s="1502"/>
      <c r="TFN516" s="1502"/>
      <c r="TFO516" s="1502"/>
      <c r="TFP516" s="1502"/>
      <c r="TFQ516" s="1502"/>
      <c r="TFR516" s="1502"/>
      <c r="TFS516" s="1502"/>
      <c r="TFT516" s="1502"/>
      <c r="TFU516" s="1502"/>
      <c r="TFV516" s="1502"/>
      <c r="TFW516" s="1502"/>
      <c r="TFX516" s="1502"/>
      <c r="TFY516" s="1502"/>
      <c r="TFZ516" s="1502"/>
      <c r="TGA516" s="1502"/>
      <c r="TGB516" s="1502"/>
      <c r="TGC516" s="1502"/>
      <c r="TGD516" s="1502"/>
      <c r="TGE516" s="1502"/>
      <c r="TGF516" s="1502"/>
      <c r="TGG516" s="1502"/>
      <c r="TGH516" s="1502"/>
      <c r="TGI516" s="1502"/>
      <c r="TGJ516" s="1502"/>
      <c r="TGK516" s="1502"/>
      <c r="TGL516" s="1502"/>
      <c r="TGM516" s="1502"/>
      <c r="TGN516" s="1502"/>
      <c r="TGO516" s="1502"/>
      <c r="TGP516" s="1502"/>
      <c r="TGQ516" s="1502"/>
      <c r="TGR516" s="1502"/>
      <c r="TGS516" s="1502"/>
      <c r="TGT516" s="1502"/>
      <c r="TGU516" s="1502"/>
      <c r="TGV516" s="1502"/>
      <c r="TGW516" s="1502"/>
      <c r="TGX516" s="1502"/>
      <c r="TGY516" s="1502"/>
      <c r="TGZ516" s="1502"/>
      <c r="THA516" s="1502"/>
      <c r="THB516" s="1502"/>
      <c r="THC516" s="1502"/>
      <c r="THD516" s="1502"/>
      <c r="THE516" s="1502"/>
      <c r="THF516" s="1502"/>
      <c r="THG516" s="1502"/>
      <c r="THH516" s="1502"/>
      <c r="THI516" s="1502"/>
      <c r="THJ516" s="1502"/>
      <c r="THK516" s="1502"/>
      <c r="THL516" s="1502"/>
      <c r="THM516" s="1502"/>
      <c r="THN516" s="1502"/>
      <c r="THO516" s="1502"/>
      <c r="THP516" s="1502"/>
      <c r="THQ516" s="1502"/>
      <c r="THR516" s="1502"/>
      <c r="THS516" s="1502"/>
      <c r="THT516" s="1502"/>
      <c r="THU516" s="1502"/>
      <c r="THV516" s="1502"/>
      <c r="THW516" s="1502"/>
      <c r="THX516" s="1502"/>
      <c r="THY516" s="1502"/>
      <c r="THZ516" s="1502"/>
      <c r="TIA516" s="1502"/>
      <c r="TIB516" s="1502"/>
      <c r="TIC516" s="1502"/>
      <c r="TID516" s="1502"/>
      <c r="TIE516" s="1502"/>
      <c r="TIF516" s="1502"/>
      <c r="TIG516" s="1502"/>
      <c r="TIH516" s="1502"/>
      <c r="TII516" s="1502"/>
      <c r="TIJ516" s="1502"/>
      <c r="TIK516" s="1502"/>
      <c r="TIL516" s="1502"/>
      <c r="TIM516" s="1502"/>
      <c r="TIN516" s="1502"/>
      <c r="TIO516" s="1502"/>
      <c r="TIP516" s="1502"/>
      <c r="TIQ516" s="1502"/>
      <c r="TIR516" s="1502"/>
      <c r="TIS516" s="1502"/>
      <c r="TIT516" s="1502"/>
      <c r="TIU516" s="1502"/>
      <c r="TIV516" s="1502"/>
      <c r="TIW516" s="1502"/>
      <c r="TIX516" s="1502"/>
      <c r="TIY516" s="1502"/>
      <c r="TIZ516" s="1502"/>
      <c r="TJA516" s="1502"/>
      <c r="TJB516" s="1502"/>
      <c r="TJC516" s="1502"/>
      <c r="TJD516" s="1502"/>
      <c r="TJE516" s="1502"/>
      <c r="TJF516" s="1502"/>
      <c r="TJG516" s="1502"/>
      <c r="TJH516" s="1502"/>
      <c r="TJI516" s="1502"/>
      <c r="TJJ516" s="1502"/>
      <c r="TJK516" s="1502"/>
      <c r="TJL516" s="1502"/>
      <c r="TJM516" s="1502"/>
      <c r="TJN516" s="1502"/>
      <c r="TJO516" s="1502"/>
      <c r="TJP516" s="1502"/>
      <c r="TJQ516" s="1502"/>
      <c r="TJR516" s="1502"/>
      <c r="TJS516" s="1502"/>
      <c r="TJT516" s="1502"/>
      <c r="TJU516" s="1502"/>
      <c r="TJV516" s="1502"/>
      <c r="TJW516" s="1502"/>
      <c r="TJX516" s="1502"/>
      <c r="TJY516" s="1502"/>
      <c r="TJZ516" s="1502"/>
      <c r="TKA516" s="1502"/>
      <c r="TKB516" s="1502"/>
      <c r="TKC516" s="1502"/>
      <c r="TKD516" s="1502"/>
      <c r="TKE516" s="1502"/>
      <c r="TKF516" s="1502"/>
      <c r="TKG516" s="1502"/>
      <c r="TKH516" s="1502"/>
      <c r="TKI516" s="1502"/>
      <c r="TKJ516" s="1502"/>
      <c r="TKK516" s="1502"/>
      <c r="TKL516" s="1502"/>
      <c r="TKM516" s="1502"/>
      <c r="TKN516" s="1502"/>
      <c r="TKO516" s="1502"/>
      <c r="TKP516" s="1502"/>
      <c r="TKQ516" s="1502"/>
      <c r="TKR516" s="1502"/>
      <c r="TKS516" s="1502"/>
      <c r="TKT516" s="1502"/>
      <c r="TKU516" s="1502"/>
      <c r="TKV516" s="1502"/>
      <c r="TKW516" s="1502"/>
      <c r="TKX516" s="1502"/>
      <c r="TKY516" s="1502"/>
      <c r="TKZ516" s="1502"/>
      <c r="TLA516" s="1502"/>
      <c r="TLB516" s="1502"/>
      <c r="TLC516" s="1502"/>
      <c r="TLD516" s="1502"/>
      <c r="TLE516" s="1502"/>
      <c r="TLF516" s="1502"/>
      <c r="TLG516" s="1502"/>
      <c r="TLH516" s="1502"/>
      <c r="TLI516" s="1502"/>
      <c r="TLJ516" s="1502"/>
      <c r="TLK516" s="1502"/>
      <c r="TLL516" s="1502"/>
      <c r="TLM516" s="1502"/>
      <c r="TLN516" s="1502"/>
      <c r="TLO516" s="1502"/>
      <c r="TLP516" s="1502"/>
      <c r="TLQ516" s="1502"/>
      <c r="TLR516" s="1502"/>
      <c r="TLS516" s="1502"/>
      <c r="TLT516" s="1502"/>
      <c r="TLU516" s="1502"/>
      <c r="TLV516" s="1502"/>
      <c r="TLW516" s="1502"/>
      <c r="TLX516" s="1502"/>
      <c r="TLY516" s="1502"/>
      <c r="TLZ516" s="1502"/>
      <c r="TMA516" s="1502"/>
      <c r="TMB516" s="1502"/>
      <c r="TMC516" s="1502"/>
      <c r="TMD516" s="1502"/>
      <c r="TME516" s="1502"/>
      <c r="TMF516" s="1502"/>
      <c r="TMG516" s="1502"/>
      <c r="TMH516" s="1502"/>
      <c r="TMI516" s="1502"/>
      <c r="TMJ516" s="1502"/>
      <c r="TMK516" s="1502"/>
      <c r="TML516" s="1502"/>
      <c r="TMM516" s="1502"/>
      <c r="TMN516" s="1502"/>
      <c r="TMO516" s="1502"/>
      <c r="TMP516" s="1502"/>
      <c r="TMQ516" s="1502"/>
      <c r="TMR516" s="1502"/>
      <c r="TMS516" s="1502"/>
      <c r="TMT516" s="1502"/>
      <c r="TMU516" s="1502"/>
      <c r="TMV516" s="1502"/>
      <c r="TMW516" s="1502"/>
      <c r="TMX516" s="1502"/>
      <c r="TMY516" s="1502"/>
      <c r="TMZ516" s="1502"/>
      <c r="TNA516" s="1502"/>
      <c r="TNB516" s="1502"/>
      <c r="TNC516" s="1502"/>
      <c r="TND516" s="1502"/>
      <c r="TNE516" s="1502"/>
      <c r="TNF516" s="1502"/>
      <c r="TNG516" s="1502"/>
      <c r="TNH516" s="1502"/>
      <c r="TNI516" s="1502"/>
      <c r="TNJ516" s="1502"/>
      <c r="TNK516" s="1502"/>
      <c r="TNL516" s="1502"/>
      <c r="TNM516" s="1502"/>
      <c r="TNN516" s="1502"/>
      <c r="TNO516" s="1502"/>
      <c r="TNP516" s="1502"/>
      <c r="TNQ516" s="1502"/>
      <c r="TNR516" s="1502"/>
      <c r="TNS516" s="1502"/>
      <c r="TNT516" s="1502"/>
      <c r="TNU516" s="1502"/>
      <c r="TNV516" s="1502"/>
      <c r="TNW516" s="1502"/>
      <c r="TNX516" s="1502"/>
      <c r="TNY516" s="1502"/>
      <c r="TNZ516" s="1502"/>
      <c r="TOA516" s="1502"/>
      <c r="TOB516" s="1502"/>
      <c r="TOC516" s="1502"/>
      <c r="TOD516" s="1502"/>
      <c r="TOE516" s="1502"/>
      <c r="TOF516" s="1502"/>
      <c r="TOG516" s="1502"/>
      <c r="TOH516" s="1502"/>
      <c r="TOI516" s="1502"/>
      <c r="TOJ516" s="1502"/>
      <c r="TOK516" s="1502"/>
      <c r="TOL516" s="1502"/>
      <c r="TOM516" s="1502"/>
      <c r="TON516" s="1502"/>
      <c r="TOO516" s="1502"/>
      <c r="TOP516" s="1502"/>
      <c r="TOQ516" s="1502"/>
      <c r="TOR516" s="1502"/>
      <c r="TOS516" s="1502"/>
      <c r="TOT516" s="1502"/>
      <c r="TOU516" s="1502"/>
      <c r="TOV516" s="1502"/>
      <c r="TOW516" s="1502"/>
      <c r="TOX516" s="1502"/>
      <c r="TOY516" s="1502"/>
      <c r="TOZ516" s="1502"/>
      <c r="TPA516" s="1502"/>
      <c r="TPB516" s="1502"/>
      <c r="TPC516" s="1502"/>
      <c r="TPD516" s="1502"/>
      <c r="TPE516" s="1502"/>
      <c r="TPF516" s="1502"/>
      <c r="TPG516" s="1502"/>
      <c r="TPH516" s="1502"/>
      <c r="TPI516" s="1502"/>
      <c r="TPJ516" s="1502"/>
      <c r="TPK516" s="1502"/>
      <c r="TPL516" s="1502"/>
      <c r="TPM516" s="1502"/>
      <c r="TPN516" s="1502"/>
      <c r="TPO516" s="1502"/>
      <c r="TPP516" s="1502"/>
      <c r="TPQ516" s="1502"/>
      <c r="TPR516" s="1502"/>
      <c r="TPS516" s="1502"/>
      <c r="TPT516" s="1502"/>
      <c r="TPU516" s="1502"/>
      <c r="TPV516" s="1502"/>
      <c r="TPW516" s="1502"/>
      <c r="TPX516" s="1502"/>
      <c r="TPY516" s="1502"/>
      <c r="TPZ516" s="1502"/>
      <c r="TQA516" s="1502"/>
      <c r="TQB516" s="1502"/>
      <c r="TQC516" s="1502"/>
      <c r="TQD516" s="1502"/>
      <c r="TQE516" s="1502"/>
      <c r="TQF516" s="1502"/>
      <c r="TQG516" s="1502"/>
      <c r="TQH516" s="1502"/>
      <c r="TQI516" s="1502"/>
      <c r="TQJ516" s="1502"/>
      <c r="TQK516" s="1502"/>
      <c r="TQL516" s="1502"/>
      <c r="TQM516" s="1502"/>
      <c r="TQN516" s="1502"/>
      <c r="TQO516" s="1502"/>
      <c r="TQP516" s="1502"/>
      <c r="TQQ516" s="1502"/>
      <c r="TQR516" s="1502"/>
      <c r="TQS516" s="1502"/>
      <c r="TQT516" s="1502"/>
      <c r="TQU516" s="1502"/>
      <c r="TQV516" s="1502"/>
      <c r="TQW516" s="1502"/>
      <c r="TQX516" s="1502"/>
      <c r="TQY516" s="1502"/>
      <c r="TQZ516" s="1502"/>
      <c r="TRA516" s="1502"/>
      <c r="TRB516" s="1502"/>
      <c r="TRC516" s="1502"/>
      <c r="TRD516" s="1502"/>
      <c r="TRE516" s="1502"/>
      <c r="TRF516" s="1502"/>
      <c r="TRG516" s="1502"/>
      <c r="TRH516" s="1502"/>
      <c r="TRI516" s="1502"/>
      <c r="TRJ516" s="1502"/>
      <c r="TRK516" s="1502"/>
      <c r="TRL516" s="1502"/>
      <c r="TRM516" s="1502"/>
      <c r="TRN516" s="1502"/>
      <c r="TRO516" s="1502"/>
      <c r="TRP516" s="1502"/>
      <c r="TRQ516" s="1502"/>
      <c r="TRR516" s="1502"/>
      <c r="TRS516" s="1502"/>
      <c r="TRT516" s="1502"/>
      <c r="TRU516" s="1502"/>
      <c r="TRV516" s="1502"/>
      <c r="TRW516" s="1502"/>
      <c r="TRX516" s="1502"/>
      <c r="TRY516" s="1502"/>
      <c r="TRZ516" s="1502"/>
      <c r="TSA516" s="1502"/>
      <c r="TSB516" s="1502"/>
      <c r="TSC516" s="1502"/>
      <c r="TSD516" s="1502"/>
      <c r="TSE516" s="1502"/>
      <c r="TSF516" s="1502"/>
      <c r="TSG516" s="1502"/>
      <c r="TSH516" s="1502"/>
      <c r="TSI516" s="1502"/>
      <c r="TSJ516" s="1502"/>
      <c r="TSK516" s="1502"/>
      <c r="TSL516" s="1502"/>
      <c r="TSM516" s="1502"/>
      <c r="TSN516" s="1502"/>
      <c r="TSO516" s="1502"/>
      <c r="TSP516" s="1502"/>
      <c r="TSQ516" s="1502"/>
      <c r="TSR516" s="1502"/>
      <c r="TSS516" s="1502"/>
      <c r="TST516" s="1502"/>
      <c r="TSU516" s="1502"/>
      <c r="TSV516" s="1502"/>
      <c r="TSW516" s="1502"/>
      <c r="TSX516" s="1502"/>
      <c r="TSY516" s="1502"/>
      <c r="TSZ516" s="1502"/>
      <c r="TTA516" s="1502"/>
      <c r="TTB516" s="1502"/>
      <c r="TTC516" s="1502"/>
      <c r="TTD516" s="1502"/>
      <c r="TTE516" s="1502"/>
      <c r="TTF516" s="1502"/>
      <c r="TTG516" s="1502"/>
      <c r="TTH516" s="1502"/>
      <c r="TTI516" s="1502"/>
      <c r="TTJ516" s="1502"/>
      <c r="TTK516" s="1502"/>
      <c r="TTL516" s="1502"/>
      <c r="TTM516" s="1502"/>
      <c r="TTN516" s="1502"/>
      <c r="TTO516" s="1502"/>
      <c r="TTP516" s="1502"/>
      <c r="TTQ516" s="1502"/>
      <c r="TTR516" s="1502"/>
      <c r="TTS516" s="1502"/>
      <c r="TTT516" s="1502"/>
      <c r="TTU516" s="1502"/>
      <c r="TTV516" s="1502"/>
      <c r="TTW516" s="1502"/>
      <c r="TTX516" s="1502"/>
      <c r="TTY516" s="1502"/>
      <c r="TTZ516" s="1502"/>
      <c r="TUA516" s="1502"/>
      <c r="TUB516" s="1502"/>
      <c r="TUC516" s="1502"/>
      <c r="TUD516" s="1502"/>
      <c r="TUE516" s="1502"/>
      <c r="TUF516" s="1502"/>
      <c r="TUG516" s="1502"/>
      <c r="TUH516" s="1502"/>
      <c r="TUI516" s="1502"/>
      <c r="TUJ516" s="1502"/>
      <c r="TUK516" s="1502"/>
      <c r="TUL516" s="1502"/>
      <c r="TUM516" s="1502"/>
      <c r="TUN516" s="1502"/>
      <c r="TUO516" s="1502"/>
      <c r="TUP516" s="1502"/>
      <c r="TUQ516" s="1502"/>
      <c r="TUR516" s="1502"/>
      <c r="TUS516" s="1502"/>
      <c r="TUT516" s="1502"/>
      <c r="TUU516" s="1502"/>
      <c r="TUV516" s="1502"/>
      <c r="TUW516" s="1502"/>
      <c r="TUX516" s="1502"/>
      <c r="TUY516" s="1502"/>
      <c r="TUZ516" s="1502"/>
      <c r="TVA516" s="1502"/>
      <c r="TVB516" s="1502"/>
      <c r="TVC516" s="1502"/>
      <c r="TVD516" s="1502"/>
      <c r="TVE516" s="1502"/>
      <c r="TVF516" s="1502"/>
      <c r="TVG516" s="1502"/>
      <c r="TVH516" s="1502"/>
      <c r="TVI516" s="1502"/>
      <c r="TVJ516" s="1502"/>
      <c r="TVK516" s="1502"/>
      <c r="TVL516" s="1502"/>
      <c r="TVM516" s="1502"/>
      <c r="TVN516" s="1502"/>
      <c r="TVO516" s="1502"/>
      <c r="TVP516" s="1502"/>
      <c r="TVQ516" s="1502"/>
      <c r="TVR516" s="1502"/>
      <c r="TVS516" s="1502"/>
      <c r="TVT516" s="1502"/>
      <c r="TVU516" s="1502"/>
      <c r="TVV516" s="1502"/>
      <c r="TVW516" s="1502"/>
      <c r="TVX516" s="1502"/>
      <c r="TVY516" s="1502"/>
      <c r="TVZ516" s="1502"/>
      <c r="TWA516" s="1502"/>
      <c r="TWB516" s="1502"/>
      <c r="TWC516" s="1502"/>
      <c r="TWD516" s="1502"/>
      <c r="TWE516" s="1502"/>
      <c r="TWF516" s="1502"/>
      <c r="TWG516" s="1502"/>
      <c r="TWH516" s="1502"/>
      <c r="TWI516" s="1502"/>
      <c r="TWJ516" s="1502"/>
      <c r="TWK516" s="1502"/>
      <c r="TWL516" s="1502"/>
      <c r="TWM516" s="1502"/>
      <c r="TWN516" s="1502"/>
      <c r="TWO516" s="1502"/>
      <c r="TWP516" s="1502"/>
      <c r="TWQ516" s="1502"/>
      <c r="TWR516" s="1502"/>
      <c r="TWS516" s="1502"/>
      <c r="TWT516" s="1502"/>
      <c r="TWU516" s="1502"/>
      <c r="TWV516" s="1502"/>
      <c r="TWW516" s="1502"/>
      <c r="TWX516" s="1502"/>
      <c r="TWY516" s="1502"/>
      <c r="TWZ516" s="1502"/>
      <c r="TXA516" s="1502"/>
      <c r="TXB516" s="1502"/>
      <c r="TXC516" s="1502"/>
      <c r="TXD516" s="1502"/>
      <c r="TXE516" s="1502"/>
      <c r="TXF516" s="1502"/>
      <c r="TXG516" s="1502"/>
      <c r="TXH516" s="1502"/>
      <c r="TXI516" s="1502"/>
      <c r="TXJ516" s="1502"/>
      <c r="TXK516" s="1502"/>
      <c r="TXL516" s="1502"/>
      <c r="TXM516" s="1502"/>
      <c r="TXN516" s="1502"/>
      <c r="TXO516" s="1502"/>
      <c r="TXP516" s="1502"/>
      <c r="TXQ516" s="1502"/>
      <c r="TXR516" s="1502"/>
      <c r="TXS516" s="1502"/>
      <c r="TXT516" s="1502"/>
      <c r="TXU516" s="1502"/>
      <c r="TXV516" s="1502"/>
      <c r="TXW516" s="1502"/>
      <c r="TXX516" s="1502"/>
      <c r="TXY516" s="1502"/>
      <c r="TXZ516" s="1502"/>
      <c r="TYA516" s="1502"/>
      <c r="TYB516" s="1502"/>
      <c r="TYC516" s="1502"/>
      <c r="TYD516" s="1502"/>
      <c r="TYE516" s="1502"/>
      <c r="TYF516" s="1502"/>
      <c r="TYG516" s="1502"/>
      <c r="TYH516" s="1502"/>
      <c r="TYI516" s="1502"/>
      <c r="TYJ516" s="1502"/>
      <c r="TYK516" s="1502"/>
      <c r="TYL516" s="1502"/>
      <c r="TYM516" s="1502"/>
      <c r="TYN516" s="1502"/>
      <c r="TYO516" s="1502"/>
      <c r="TYP516" s="1502"/>
      <c r="TYQ516" s="1502"/>
      <c r="TYR516" s="1502"/>
      <c r="TYS516" s="1502"/>
      <c r="TYT516" s="1502"/>
      <c r="TYU516" s="1502"/>
      <c r="TYV516" s="1502"/>
      <c r="TYW516" s="1502"/>
      <c r="TYX516" s="1502"/>
      <c r="TYY516" s="1502"/>
      <c r="TYZ516" s="1502"/>
      <c r="TZA516" s="1502"/>
      <c r="TZB516" s="1502"/>
      <c r="TZC516" s="1502"/>
      <c r="TZD516" s="1502"/>
      <c r="TZE516" s="1502"/>
      <c r="TZF516" s="1502"/>
      <c r="TZG516" s="1502"/>
      <c r="TZH516" s="1502"/>
      <c r="TZI516" s="1502"/>
      <c r="TZJ516" s="1502"/>
      <c r="TZK516" s="1502"/>
      <c r="TZL516" s="1502"/>
      <c r="TZM516" s="1502"/>
      <c r="TZN516" s="1502"/>
      <c r="TZO516" s="1502"/>
      <c r="TZP516" s="1502"/>
      <c r="TZQ516" s="1502"/>
      <c r="TZR516" s="1502"/>
      <c r="TZS516" s="1502"/>
      <c r="TZT516" s="1502"/>
      <c r="TZU516" s="1502"/>
      <c r="TZV516" s="1502"/>
      <c r="TZW516" s="1502"/>
      <c r="TZX516" s="1502"/>
      <c r="TZY516" s="1502"/>
      <c r="TZZ516" s="1502"/>
      <c r="UAA516" s="1502"/>
      <c r="UAB516" s="1502"/>
      <c r="UAC516" s="1502"/>
      <c r="UAD516" s="1502"/>
      <c r="UAE516" s="1502"/>
      <c r="UAF516" s="1502"/>
      <c r="UAG516" s="1502"/>
      <c r="UAH516" s="1502"/>
      <c r="UAI516" s="1502"/>
      <c r="UAJ516" s="1502"/>
      <c r="UAK516" s="1502"/>
      <c r="UAL516" s="1502"/>
      <c r="UAM516" s="1502"/>
      <c r="UAN516" s="1502"/>
      <c r="UAO516" s="1502"/>
      <c r="UAP516" s="1502"/>
      <c r="UAQ516" s="1502"/>
      <c r="UAR516" s="1502"/>
      <c r="UAS516" s="1502"/>
      <c r="UAT516" s="1502"/>
      <c r="UAU516" s="1502"/>
      <c r="UAV516" s="1502"/>
      <c r="UAW516" s="1502"/>
      <c r="UAX516" s="1502"/>
      <c r="UAY516" s="1502"/>
      <c r="UAZ516" s="1502"/>
      <c r="UBA516" s="1502"/>
      <c r="UBB516" s="1502"/>
      <c r="UBC516" s="1502"/>
      <c r="UBD516" s="1502"/>
      <c r="UBE516" s="1502"/>
      <c r="UBF516" s="1502"/>
      <c r="UBG516" s="1502"/>
      <c r="UBH516" s="1502"/>
      <c r="UBI516" s="1502"/>
      <c r="UBJ516" s="1502"/>
      <c r="UBK516" s="1502"/>
      <c r="UBL516" s="1502"/>
      <c r="UBM516" s="1502"/>
      <c r="UBN516" s="1502"/>
      <c r="UBO516" s="1502"/>
      <c r="UBP516" s="1502"/>
      <c r="UBQ516" s="1502"/>
      <c r="UBR516" s="1502"/>
      <c r="UBS516" s="1502"/>
      <c r="UBT516" s="1502"/>
      <c r="UBU516" s="1502"/>
      <c r="UBV516" s="1502"/>
      <c r="UBW516" s="1502"/>
      <c r="UBX516" s="1502"/>
      <c r="UBY516" s="1502"/>
      <c r="UBZ516" s="1502"/>
      <c r="UCA516" s="1502"/>
      <c r="UCB516" s="1502"/>
      <c r="UCC516" s="1502"/>
      <c r="UCD516" s="1502"/>
      <c r="UCE516" s="1502"/>
      <c r="UCF516" s="1502"/>
      <c r="UCG516" s="1502"/>
      <c r="UCH516" s="1502"/>
      <c r="UCI516" s="1502"/>
      <c r="UCJ516" s="1502"/>
      <c r="UCK516" s="1502"/>
      <c r="UCL516" s="1502"/>
      <c r="UCM516" s="1502"/>
      <c r="UCN516" s="1502"/>
      <c r="UCO516" s="1502"/>
      <c r="UCP516" s="1502"/>
      <c r="UCQ516" s="1502"/>
      <c r="UCR516" s="1502"/>
      <c r="UCS516" s="1502"/>
      <c r="UCT516" s="1502"/>
      <c r="UCU516" s="1502"/>
      <c r="UCV516" s="1502"/>
      <c r="UCW516" s="1502"/>
      <c r="UCX516" s="1502"/>
      <c r="UCY516" s="1502"/>
      <c r="UCZ516" s="1502"/>
      <c r="UDA516" s="1502"/>
      <c r="UDB516" s="1502"/>
      <c r="UDC516" s="1502"/>
      <c r="UDD516" s="1502"/>
      <c r="UDE516" s="1502"/>
      <c r="UDF516" s="1502"/>
      <c r="UDG516" s="1502"/>
      <c r="UDH516" s="1502"/>
      <c r="UDI516" s="1502"/>
      <c r="UDJ516" s="1502"/>
      <c r="UDK516" s="1502"/>
      <c r="UDL516" s="1502"/>
      <c r="UDM516" s="1502"/>
      <c r="UDN516" s="1502"/>
      <c r="UDO516" s="1502"/>
      <c r="UDP516" s="1502"/>
      <c r="UDQ516" s="1502"/>
      <c r="UDR516" s="1502"/>
      <c r="UDS516" s="1502"/>
      <c r="UDT516" s="1502"/>
      <c r="UDU516" s="1502"/>
      <c r="UDV516" s="1502"/>
      <c r="UDW516" s="1502"/>
      <c r="UDX516" s="1502"/>
      <c r="UDY516" s="1502"/>
      <c r="UDZ516" s="1502"/>
      <c r="UEA516" s="1502"/>
      <c r="UEB516" s="1502"/>
      <c r="UEC516" s="1502"/>
      <c r="UED516" s="1502"/>
      <c r="UEE516" s="1502"/>
      <c r="UEF516" s="1502"/>
      <c r="UEG516" s="1502"/>
      <c r="UEH516" s="1502"/>
      <c r="UEI516" s="1502"/>
      <c r="UEJ516" s="1502"/>
      <c r="UEK516" s="1502"/>
      <c r="UEL516" s="1502"/>
      <c r="UEM516" s="1502"/>
      <c r="UEN516" s="1502"/>
      <c r="UEO516" s="1502"/>
      <c r="UEP516" s="1502"/>
      <c r="UEQ516" s="1502"/>
      <c r="UER516" s="1502"/>
      <c r="UES516" s="1502"/>
      <c r="UET516" s="1502"/>
      <c r="UEU516" s="1502"/>
      <c r="UEV516" s="1502"/>
      <c r="UEW516" s="1502"/>
      <c r="UEX516" s="1502"/>
      <c r="UEY516" s="1502"/>
      <c r="UEZ516" s="1502"/>
      <c r="UFA516" s="1502"/>
      <c r="UFB516" s="1502"/>
      <c r="UFC516" s="1502"/>
      <c r="UFD516" s="1502"/>
      <c r="UFE516" s="1502"/>
      <c r="UFF516" s="1502"/>
      <c r="UFG516" s="1502"/>
      <c r="UFH516" s="1502"/>
      <c r="UFI516" s="1502"/>
      <c r="UFJ516" s="1502"/>
      <c r="UFK516" s="1502"/>
      <c r="UFL516" s="1502"/>
      <c r="UFM516" s="1502"/>
      <c r="UFN516" s="1502"/>
      <c r="UFO516" s="1502"/>
      <c r="UFP516" s="1502"/>
      <c r="UFQ516" s="1502"/>
      <c r="UFR516" s="1502"/>
      <c r="UFS516" s="1502"/>
      <c r="UFT516" s="1502"/>
      <c r="UFU516" s="1502"/>
      <c r="UFV516" s="1502"/>
      <c r="UFW516" s="1502"/>
      <c r="UFX516" s="1502"/>
      <c r="UFY516" s="1502"/>
      <c r="UFZ516" s="1502"/>
      <c r="UGA516" s="1502"/>
      <c r="UGB516" s="1502"/>
      <c r="UGC516" s="1502"/>
      <c r="UGD516" s="1502"/>
      <c r="UGE516" s="1502"/>
      <c r="UGF516" s="1502"/>
      <c r="UGG516" s="1502"/>
      <c r="UGH516" s="1502"/>
      <c r="UGI516" s="1502"/>
      <c r="UGJ516" s="1502"/>
      <c r="UGK516" s="1502"/>
      <c r="UGL516" s="1502"/>
      <c r="UGM516" s="1502"/>
      <c r="UGN516" s="1502"/>
      <c r="UGO516" s="1502"/>
      <c r="UGP516" s="1502"/>
      <c r="UGQ516" s="1502"/>
      <c r="UGR516" s="1502"/>
      <c r="UGS516" s="1502"/>
      <c r="UGT516" s="1502"/>
      <c r="UGU516" s="1502"/>
      <c r="UGV516" s="1502"/>
      <c r="UGW516" s="1502"/>
      <c r="UGX516" s="1502"/>
      <c r="UGY516" s="1502"/>
      <c r="UGZ516" s="1502"/>
      <c r="UHA516" s="1502"/>
      <c r="UHB516" s="1502"/>
      <c r="UHC516" s="1502"/>
      <c r="UHD516" s="1502"/>
      <c r="UHE516" s="1502"/>
      <c r="UHF516" s="1502"/>
      <c r="UHG516" s="1502"/>
      <c r="UHH516" s="1502"/>
      <c r="UHI516" s="1502"/>
      <c r="UHJ516" s="1502"/>
      <c r="UHK516" s="1502"/>
      <c r="UHL516" s="1502"/>
      <c r="UHM516" s="1502"/>
      <c r="UHN516" s="1502"/>
      <c r="UHO516" s="1502"/>
      <c r="UHP516" s="1502"/>
      <c r="UHQ516" s="1502"/>
      <c r="UHR516" s="1502"/>
      <c r="UHS516" s="1502"/>
      <c r="UHT516" s="1502"/>
      <c r="UHU516" s="1502"/>
      <c r="UHV516" s="1502"/>
      <c r="UHW516" s="1502"/>
      <c r="UHX516" s="1502"/>
      <c r="UHY516" s="1502"/>
      <c r="UHZ516" s="1502"/>
      <c r="UIA516" s="1502"/>
      <c r="UIB516" s="1502"/>
      <c r="UIC516" s="1502"/>
      <c r="UID516" s="1502"/>
      <c r="UIE516" s="1502"/>
      <c r="UIF516" s="1502"/>
      <c r="UIG516" s="1502"/>
      <c r="UIH516" s="1502"/>
      <c r="UII516" s="1502"/>
      <c r="UIJ516" s="1502"/>
      <c r="UIK516" s="1502"/>
      <c r="UIL516" s="1502"/>
      <c r="UIM516" s="1502"/>
      <c r="UIN516" s="1502"/>
      <c r="UIO516" s="1502"/>
      <c r="UIP516" s="1502"/>
      <c r="UIQ516" s="1502"/>
      <c r="UIR516" s="1502"/>
      <c r="UIS516" s="1502"/>
      <c r="UIT516" s="1502"/>
      <c r="UIU516" s="1502"/>
      <c r="UIV516" s="1502"/>
      <c r="UIW516" s="1502"/>
      <c r="UIX516" s="1502"/>
      <c r="UIY516" s="1502"/>
      <c r="UIZ516" s="1502"/>
      <c r="UJA516" s="1502"/>
      <c r="UJB516" s="1502"/>
      <c r="UJC516" s="1502"/>
      <c r="UJD516" s="1502"/>
      <c r="UJE516" s="1502"/>
      <c r="UJF516" s="1502"/>
      <c r="UJG516" s="1502"/>
      <c r="UJH516" s="1502"/>
      <c r="UJI516" s="1502"/>
      <c r="UJJ516" s="1502"/>
      <c r="UJK516" s="1502"/>
      <c r="UJL516" s="1502"/>
      <c r="UJM516" s="1502"/>
      <c r="UJN516" s="1502"/>
      <c r="UJO516" s="1502"/>
      <c r="UJP516" s="1502"/>
      <c r="UJQ516" s="1502"/>
      <c r="UJR516" s="1502"/>
      <c r="UJS516" s="1502"/>
      <c r="UJT516" s="1502"/>
      <c r="UJU516" s="1502"/>
      <c r="UJV516" s="1502"/>
      <c r="UJW516" s="1502"/>
      <c r="UJX516" s="1502"/>
      <c r="UJY516" s="1502"/>
      <c r="UJZ516" s="1502"/>
      <c r="UKA516" s="1502"/>
      <c r="UKB516" s="1502"/>
      <c r="UKC516" s="1502"/>
      <c r="UKD516" s="1502"/>
      <c r="UKE516" s="1502"/>
      <c r="UKF516" s="1502"/>
      <c r="UKG516" s="1502"/>
      <c r="UKH516" s="1502"/>
      <c r="UKI516" s="1502"/>
      <c r="UKJ516" s="1502"/>
      <c r="UKK516" s="1502"/>
      <c r="UKL516" s="1502"/>
      <c r="UKM516" s="1502"/>
      <c r="UKN516" s="1502"/>
      <c r="UKO516" s="1502"/>
      <c r="UKP516" s="1502"/>
      <c r="UKQ516" s="1502"/>
      <c r="UKR516" s="1502"/>
      <c r="UKS516" s="1502"/>
      <c r="UKT516" s="1502"/>
      <c r="UKU516" s="1502"/>
      <c r="UKV516" s="1502"/>
      <c r="UKW516" s="1502"/>
      <c r="UKX516" s="1502"/>
      <c r="UKY516" s="1502"/>
      <c r="UKZ516" s="1502"/>
      <c r="ULA516" s="1502"/>
      <c r="ULB516" s="1502"/>
      <c r="ULC516" s="1502"/>
      <c r="ULD516" s="1502"/>
      <c r="ULE516" s="1502"/>
      <c r="ULF516" s="1502"/>
      <c r="ULG516" s="1502"/>
      <c r="ULH516" s="1502"/>
      <c r="ULI516" s="1502"/>
      <c r="ULJ516" s="1502"/>
      <c r="ULK516" s="1502"/>
      <c r="ULL516" s="1502"/>
      <c r="ULM516" s="1502"/>
      <c r="ULN516" s="1502"/>
      <c r="ULO516" s="1502"/>
      <c r="ULP516" s="1502"/>
      <c r="ULQ516" s="1502"/>
      <c r="ULR516" s="1502"/>
      <c r="ULS516" s="1502"/>
      <c r="ULT516" s="1502"/>
      <c r="ULU516" s="1502"/>
      <c r="ULV516" s="1502"/>
      <c r="ULW516" s="1502"/>
      <c r="ULX516" s="1502"/>
      <c r="ULY516" s="1502"/>
      <c r="ULZ516" s="1502"/>
      <c r="UMA516" s="1502"/>
      <c r="UMB516" s="1502"/>
      <c r="UMC516" s="1502"/>
      <c r="UMD516" s="1502"/>
      <c r="UME516" s="1502"/>
      <c r="UMF516" s="1502"/>
      <c r="UMG516" s="1502"/>
      <c r="UMH516" s="1502"/>
      <c r="UMI516" s="1502"/>
      <c r="UMJ516" s="1502"/>
      <c r="UMK516" s="1502"/>
      <c r="UML516" s="1502"/>
      <c r="UMM516" s="1502"/>
      <c r="UMN516" s="1502"/>
      <c r="UMO516" s="1502"/>
      <c r="UMP516" s="1502"/>
      <c r="UMQ516" s="1502"/>
      <c r="UMR516" s="1502"/>
      <c r="UMS516" s="1502"/>
      <c r="UMT516" s="1502"/>
      <c r="UMU516" s="1502"/>
      <c r="UMV516" s="1502"/>
      <c r="UMW516" s="1502"/>
      <c r="UMX516" s="1502"/>
      <c r="UMY516" s="1502"/>
      <c r="UMZ516" s="1502"/>
      <c r="UNA516" s="1502"/>
      <c r="UNB516" s="1502"/>
      <c r="UNC516" s="1502"/>
      <c r="UND516" s="1502"/>
      <c r="UNE516" s="1502"/>
      <c r="UNF516" s="1502"/>
      <c r="UNG516" s="1502"/>
      <c r="UNH516" s="1502"/>
      <c r="UNI516" s="1502"/>
      <c r="UNJ516" s="1502"/>
      <c r="UNK516" s="1502"/>
      <c r="UNL516" s="1502"/>
      <c r="UNM516" s="1502"/>
      <c r="UNN516" s="1502"/>
      <c r="UNO516" s="1502"/>
      <c r="UNP516" s="1502"/>
      <c r="UNQ516" s="1502"/>
      <c r="UNR516" s="1502"/>
      <c r="UNS516" s="1502"/>
      <c r="UNT516" s="1502"/>
      <c r="UNU516" s="1502"/>
      <c r="UNV516" s="1502"/>
      <c r="UNW516" s="1502"/>
      <c r="UNX516" s="1502"/>
      <c r="UNY516" s="1502"/>
      <c r="UNZ516" s="1502"/>
      <c r="UOA516" s="1502"/>
      <c r="UOB516" s="1502"/>
      <c r="UOC516" s="1502"/>
      <c r="UOD516" s="1502"/>
      <c r="UOE516" s="1502"/>
      <c r="UOF516" s="1502"/>
      <c r="UOG516" s="1502"/>
      <c r="UOH516" s="1502"/>
      <c r="UOI516" s="1502"/>
      <c r="UOJ516" s="1502"/>
      <c r="UOK516" s="1502"/>
      <c r="UOL516" s="1502"/>
      <c r="UOM516" s="1502"/>
      <c r="UON516" s="1502"/>
      <c r="UOO516" s="1502"/>
      <c r="UOP516" s="1502"/>
      <c r="UOQ516" s="1502"/>
      <c r="UOR516" s="1502"/>
      <c r="UOS516" s="1502"/>
      <c r="UOT516" s="1502"/>
      <c r="UOU516" s="1502"/>
      <c r="UOV516" s="1502"/>
      <c r="UOW516" s="1502"/>
      <c r="UOX516" s="1502"/>
      <c r="UOY516" s="1502"/>
      <c r="UOZ516" s="1502"/>
      <c r="UPA516" s="1502"/>
      <c r="UPB516" s="1502"/>
      <c r="UPC516" s="1502"/>
      <c r="UPD516" s="1502"/>
      <c r="UPE516" s="1502"/>
      <c r="UPF516" s="1502"/>
      <c r="UPG516" s="1502"/>
      <c r="UPH516" s="1502"/>
      <c r="UPI516" s="1502"/>
      <c r="UPJ516" s="1502"/>
      <c r="UPK516" s="1502"/>
      <c r="UPL516" s="1502"/>
      <c r="UPM516" s="1502"/>
      <c r="UPN516" s="1502"/>
      <c r="UPO516" s="1502"/>
      <c r="UPP516" s="1502"/>
      <c r="UPQ516" s="1502"/>
      <c r="UPR516" s="1502"/>
      <c r="UPS516" s="1502"/>
      <c r="UPT516" s="1502"/>
      <c r="UPU516" s="1502"/>
      <c r="UPV516" s="1502"/>
      <c r="UPW516" s="1502"/>
      <c r="UPX516" s="1502"/>
      <c r="UPY516" s="1502"/>
      <c r="UPZ516" s="1502"/>
      <c r="UQA516" s="1502"/>
      <c r="UQB516" s="1502"/>
      <c r="UQC516" s="1502"/>
      <c r="UQD516" s="1502"/>
      <c r="UQE516" s="1502"/>
      <c r="UQF516" s="1502"/>
      <c r="UQG516" s="1502"/>
      <c r="UQH516" s="1502"/>
      <c r="UQI516" s="1502"/>
      <c r="UQJ516" s="1502"/>
      <c r="UQK516" s="1502"/>
      <c r="UQL516" s="1502"/>
      <c r="UQM516" s="1502"/>
      <c r="UQN516" s="1502"/>
      <c r="UQO516" s="1502"/>
      <c r="UQP516" s="1502"/>
      <c r="UQQ516" s="1502"/>
      <c r="UQR516" s="1502"/>
      <c r="UQS516" s="1502"/>
      <c r="UQT516" s="1502"/>
      <c r="UQU516" s="1502"/>
      <c r="UQV516" s="1502"/>
      <c r="UQW516" s="1502"/>
      <c r="UQX516" s="1502"/>
      <c r="UQY516" s="1502"/>
      <c r="UQZ516" s="1502"/>
      <c r="URA516" s="1502"/>
      <c r="URB516" s="1502"/>
      <c r="URC516" s="1502"/>
      <c r="URD516" s="1502"/>
      <c r="URE516" s="1502"/>
      <c r="URF516" s="1502"/>
      <c r="URG516" s="1502"/>
      <c r="URH516" s="1502"/>
      <c r="URI516" s="1502"/>
      <c r="URJ516" s="1502"/>
      <c r="URK516" s="1502"/>
      <c r="URL516" s="1502"/>
      <c r="URM516" s="1502"/>
      <c r="URN516" s="1502"/>
      <c r="URO516" s="1502"/>
      <c r="URP516" s="1502"/>
      <c r="URQ516" s="1502"/>
      <c r="URR516" s="1502"/>
      <c r="URS516" s="1502"/>
      <c r="URT516" s="1502"/>
      <c r="URU516" s="1502"/>
      <c r="URV516" s="1502"/>
      <c r="URW516" s="1502"/>
      <c r="URX516" s="1502"/>
      <c r="URY516" s="1502"/>
      <c r="URZ516" s="1502"/>
      <c r="USA516" s="1502"/>
      <c r="USB516" s="1502"/>
      <c r="USC516" s="1502"/>
      <c r="USD516" s="1502"/>
      <c r="USE516" s="1502"/>
      <c r="USF516" s="1502"/>
      <c r="USG516" s="1502"/>
      <c r="USH516" s="1502"/>
      <c r="USI516" s="1502"/>
      <c r="USJ516" s="1502"/>
      <c r="USK516" s="1502"/>
      <c r="USL516" s="1502"/>
      <c r="USM516" s="1502"/>
      <c r="USN516" s="1502"/>
      <c r="USO516" s="1502"/>
      <c r="USP516" s="1502"/>
      <c r="USQ516" s="1502"/>
      <c r="USR516" s="1502"/>
      <c r="USS516" s="1502"/>
      <c r="UST516" s="1502"/>
      <c r="USU516" s="1502"/>
      <c r="USV516" s="1502"/>
      <c r="USW516" s="1502"/>
      <c r="USX516" s="1502"/>
      <c r="USY516" s="1502"/>
      <c r="USZ516" s="1502"/>
      <c r="UTA516" s="1502"/>
      <c r="UTB516" s="1502"/>
      <c r="UTC516" s="1502"/>
      <c r="UTD516" s="1502"/>
      <c r="UTE516" s="1502"/>
      <c r="UTF516" s="1502"/>
      <c r="UTG516" s="1502"/>
      <c r="UTH516" s="1502"/>
      <c r="UTI516" s="1502"/>
      <c r="UTJ516" s="1502"/>
      <c r="UTK516" s="1502"/>
      <c r="UTL516" s="1502"/>
      <c r="UTM516" s="1502"/>
      <c r="UTN516" s="1502"/>
      <c r="UTO516" s="1502"/>
      <c r="UTP516" s="1502"/>
      <c r="UTQ516" s="1502"/>
      <c r="UTR516" s="1502"/>
      <c r="UTS516" s="1502"/>
      <c r="UTT516" s="1502"/>
      <c r="UTU516" s="1502"/>
      <c r="UTV516" s="1502"/>
      <c r="UTW516" s="1502"/>
      <c r="UTX516" s="1502"/>
      <c r="UTY516" s="1502"/>
      <c r="UTZ516" s="1502"/>
      <c r="UUA516" s="1502"/>
      <c r="UUB516" s="1502"/>
      <c r="UUC516" s="1502"/>
      <c r="UUD516" s="1502"/>
      <c r="UUE516" s="1502"/>
      <c r="UUF516" s="1502"/>
      <c r="UUG516" s="1502"/>
      <c r="UUH516" s="1502"/>
      <c r="UUI516" s="1502"/>
      <c r="UUJ516" s="1502"/>
      <c r="UUK516" s="1502"/>
      <c r="UUL516" s="1502"/>
      <c r="UUM516" s="1502"/>
      <c r="UUN516" s="1502"/>
      <c r="UUO516" s="1502"/>
      <c r="UUP516" s="1502"/>
      <c r="UUQ516" s="1502"/>
      <c r="UUR516" s="1502"/>
      <c r="UUS516" s="1502"/>
      <c r="UUT516" s="1502"/>
      <c r="UUU516" s="1502"/>
      <c r="UUV516" s="1502"/>
      <c r="UUW516" s="1502"/>
      <c r="UUX516" s="1502"/>
      <c r="UUY516" s="1502"/>
      <c r="UUZ516" s="1502"/>
      <c r="UVA516" s="1502"/>
      <c r="UVB516" s="1502"/>
      <c r="UVC516" s="1502"/>
      <c r="UVD516" s="1502"/>
      <c r="UVE516" s="1502"/>
      <c r="UVF516" s="1502"/>
      <c r="UVG516" s="1502"/>
      <c r="UVH516" s="1502"/>
      <c r="UVI516" s="1502"/>
      <c r="UVJ516" s="1502"/>
      <c r="UVK516" s="1502"/>
      <c r="UVL516" s="1502"/>
      <c r="UVM516" s="1502"/>
      <c r="UVN516" s="1502"/>
      <c r="UVO516" s="1502"/>
      <c r="UVP516" s="1502"/>
      <c r="UVQ516" s="1502"/>
      <c r="UVR516" s="1502"/>
      <c r="UVS516" s="1502"/>
      <c r="UVT516" s="1502"/>
      <c r="UVU516" s="1502"/>
      <c r="UVV516" s="1502"/>
      <c r="UVW516" s="1502"/>
      <c r="UVX516" s="1502"/>
      <c r="UVY516" s="1502"/>
      <c r="UVZ516" s="1502"/>
      <c r="UWA516" s="1502"/>
      <c r="UWB516" s="1502"/>
      <c r="UWC516" s="1502"/>
      <c r="UWD516" s="1502"/>
      <c r="UWE516" s="1502"/>
      <c r="UWF516" s="1502"/>
      <c r="UWG516" s="1502"/>
      <c r="UWH516" s="1502"/>
      <c r="UWI516" s="1502"/>
      <c r="UWJ516" s="1502"/>
      <c r="UWK516" s="1502"/>
      <c r="UWL516" s="1502"/>
      <c r="UWM516" s="1502"/>
      <c r="UWN516" s="1502"/>
      <c r="UWO516" s="1502"/>
      <c r="UWP516" s="1502"/>
      <c r="UWQ516" s="1502"/>
      <c r="UWR516" s="1502"/>
      <c r="UWS516" s="1502"/>
      <c r="UWT516" s="1502"/>
      <c r="UWU516" s="1502"/>
      <c r="UWV516" s="1502"/>
      <c r="UWW516" s="1502"/>
      <c r="UWX516" s="1502"/>
      <c r="UWY516" s="1502"/>
      <c r="UWZ516" s="1502"/>
      <c r="UXA516" s="1502"/>
      <c r="UXB516" s="1502"/>
      <c r="UXC516" s="1502"/>
      <c r="UXD516" s="1502"/>
      <c r="UXE516" s="1502"/>
      <c r="UXF516" s="1502"/>
      <c r="UXG516" s="1502"/>
      <c r="UXH516" s="1502"/>
      <c r="UXI516" s="1502"/>
      <c r="UXJ516" s="1502"/>
      <c r="UXK516" s="1502"/>
      <c r="UXL516" s="1502"/>
      <c r="UXM516" s="1502"/>
      <c r="UXN516" s="1502"/>
      <c r="UXO516" s="1502"/>
      <c r="UXP516" s="1502"/>
      <c r="UXQ516" s="1502"/>
      <c r="UXR516" s="1502"/>
      <c r="UXS516" s="1502"/>
      <c r="UXT516" s="1502"/>
      <c r="UXU516" s="1502"/>
      <c r="UXV516" s="1502"/>
      <c r="UXW516" s="1502"/>
      <c r="UXX516" s="1502"/>
      <c r="UXY516" s="1502"/>
      <c r="UXZ516" s="1502"/>
      <c r="UYA516" s="1502"/>
      <c r="UYB516" s="1502"/>
      <c r="UYC516" s="1502"/>
      <c r="UYD516" s="1502"/>
      <c r="UYE516" s="1502"/>
      <c r="UYF516" s="1502"/>
      <c r="UYG516" s="1502"/>
      <c r="UYH516" s="1502"/>
      <c r="UYI516" s="1502"/>
      <c r="UYJ516" s="1502"/>
      <c r="UYK516" s="1502"/>
      <c r="UYL516" s="1502"/>
      <c r="UYM516" s="1502"/>
      <c r="UYN516" s="1502"/>
      <c r="UYO516" s="1502"/>
      <c r="UYP516" s="1502"/>
      <c r="UYQ516" s="1502"/>
      <c r="UYR516" s="1502"/>
      <c r="UYS516" s="1502"/>
      <c r="UYT516" s="1502"/>
      <c r="UYU516" s="1502"/>
      <c r="UYV516" s="1502"/>
      <c r="UYW516" s="1502"/>
      <c r="UYX516" s="1502"/>
      <c r="UYY516" s="1502"/>
      <c r="UYZ516" s="1502"/>
      <c r="UZA516" s="1502"/>
      <c r="UZB516" s="1502"/>
      <c r="UZC516" s="1502"/>
      <c r="UZD516" s="1502"/>
      <c r="UZE516" s="1502"/>
      <c r="UZF516" s="1502"/>
      <c r="UZG516" s="1502"/>
      <c r="UZH516" s="1502"/>
      <c r="UZI516" s="1502"/>
      <c r="UZJ516" s="1502"/>
      <c r="UZK516" s="1502"/>
      <c r="UZL516" s="1502"/>
      <c r="UZM516" s="1502"/>
      <c r="UZN516" s="1502"/>
      <c r="UZO516" s="1502"/>
      <c r="UZP516" s="1502"/>
      <c r="UZQ516" s="1502"/>
      <c r="UZR516" s="1502"/>
      <c r="UZS516" s="1502"/>
      <c r="UZT516" s="1502"/>
      <c r="UZU516" s="1502"/>
      <c r="UZV516" s="1502"/>
      <c r="UZW516" s="1502"/>
      <c r="UZX516" s="1502"/>
      <c r="UZY516" s="1502"/>
      <c r="UZZ516" s="1502"/>
      <c r="VAA516" s="1502"/>
      <c r="VAB516" s="1502"/>
      <c r="VAC516" s="1502"/>
      <c r="VAD516" s="1502"/>
      <c r="VAE516" s="1502"/>
      <c r="VAF516" s="1502"/>
      <c r="VAG516" s="1502"/>
      <c r="VAH516" s="1502"/>
      <c r="VAI516" s="1502"/>
      <c r="VAJ516" s="1502"/>
      <c r="VAK516" s="1502"/>
      <c r="VAL516" s="1502"/>
      <c r="VAM516" s="1502"/>
      <c r="VAN516" s="1502"/>
      <c r="VAO516" s="1502"/>
      <c r="VAP516" s="1502"/>
      <c r="VAQ516" s="1502"/>
      <c r="VAR516" s="1502"/>
      <c r="VAS516" s="1502"/>
      <c r="VAT516" s="1502"/>
      <c r="VAU516" s="1502"/>
      <c r="VAV516" s="1502"/>
      <c r="VAW516" s="1502"/>
      <c r="VAX516" s="1502"/>
      <c r="VAY516" s="1502"/>
      <c r="VAZ516" s="1502"/>
      <c r="VBA516" s="1502"/>
      <c r="VBB516" s="1502"/>
      <c r="VBC516" s="1502"/>
      <c r="VBD516" s="1502"/>
      <c r="VBE516" s="1502"/>
      <c r="VBF516" s="1502"/>
      <c r="VBG516" s="1502"/>
      <c r="VBH516" s="1502"/>
      <c r="VBI516" s="1502"/>
      <c r="VBJ516" s="1502"/>
      <c r="VBK516" s="1502"/>
      <c r="VBL516" s="1502"/>
      <c r="VBM516" s="1502"/>
      <c r="VBN516" s="1502"/>
      <c r="VBO516" s="1502"/>
      <c r="VBP516" s="1502"/>
      <c r="VBQ516" s="1502"/>
      <c r="VBR516" s="1502"/>
      <c r="VBS516" s="1502"/>
      <c r="VBT516" s="1502"/>
      <c r="VBU516" s="1502"/>
      <c r="VBV516" s="1502"/>
      <c r="VBW516" s="1502"/>
      <c r="VBX516" s="1502"/>
      <c r="VBY516" s="1502"/>
      <c r="VBZ516" s="1502"/>
      <c r="VCA516" s="1502"/>
      <c r="VCB516" s="1502"/>
      <c r="VCC516" s="1502"/>
      <c r="VCD516" s="1502"/>
      <c r="VCE516" s="1502"/>
      <c r="VCF516" s="1502"/>
      <c r="VCG516" s="1502"/>
      <c r="VCH516" s="1502"/>
      <c r="VCI516" s="1502"/>
      <c r="VCJ516" s="1502"/>
      <c r="VCK516" s="1502"/>
      <c r="VCL516" s="1502"/>
      <c r="VCM516" s="1502"/>
      <c r="VCN516" s="1502"/>
      <c r="VCO516" s="1502"/>
      <c r="VCP516" s="1502"/>
      <c r="VCQ516" s="1502"/>
      <c r="VCR516" s="1502"/>
      <c r="VCS516" s="1502"/>
      <c r="VCT516" s="1502"/>
      <c r="VCU516" s="1502"/>
      <c r="VCV516" s="1502"/>
      <c r="VCW516" s="1502"/>
      <c r="VCX516" s="1502"/>
      <c r="VCY516" s="1502"/>
      <c r="VCZ516" s="1502"/>
      <c r="VDA516" s="1502"/>
      <c r="VDB516" s="1502"/>
      <c r="VDC516" s="1502"/>
      <c r="VDD516" s="1502"/>
      <c r="VDE516" s="1502"/>
      <c r="VDF516" s="1502"/>
      <c r="VDG516" s="1502"/>
      <c r="VDH516" s="1502"/>
      <c r="VDI516" s="1502"/>
      <c r="VDJ516" s="1502"/>
      <c r="VDK516" s="1502"/>
      <c r="VDL516" s="1502"/>
      <c r="VDM516" s="1502"/>
      <c r="VDN516" s="1502"/>
      <c r="VDO516" s="1502"/>
      <c r="VDP516" s="1502"/>
      <c r="VDQ516" s="1502"/>
      <c r="VDR516" s="1502"/>
      <c r="VDS516" s="1502"/>
      <c r="VDT516" s="1502"/>
      <c r="VDU516" s="1502"/>
      <c r="VDV516" s="1502"/>
      <c r="VDW516" s="1502"/>
      <c r="VDX516" s="1502"/>
      <c r="VDY516" s="1502"/>
      <c r="VDZ516" s="1502"/>
      <c r="VEA516" s="1502"/>
      <c r="VEB516" s="1502"/>
      <c r="VEC516" s="1502"/>
      <c r="VED516" s="1502"/>
      <c r="VEE516" s="1502"/>
      <c r="VEF516" s="1502"/>
      <c r="VEG516" s="1502"/>
      <c r="VEH516" s="1502"/>
      <c r="VEI516" s="1502"/>
      <c r="VEJ516" s="1502"/>
      <c r="VEK516" s="1502"/>
      <c r="VEL516" s="1502"/>
      <c r="VEM516" s="1502"/>
      <c r="VEN516" s="1502"/>
      <c r="VEO516" s="1502"/>
      <c r="VEP516" s="1502"/>
      <c r="VEQ516" s="1502"/>
      <c r="VER516" s="1502"/>
      <c r="VES516" s="1502"/>
      <c r="VET516" s="1502"/>
      <c r="VEU516" s="1502"/>
      <c r="VEV516" s="1502"/>
      <c r="VEW516" s="1502"/>
      <c r="VEX516" s="1502"/>
      <c r="VEY516" s="1502"/>
      <c r="VEZ516" s="1502"/>
      <c r="VFA516" s="1502"/>
      <c r="VFB516" s="1502"/>
      <c r="VFC516" s="1502"/>
      <c r="VFD516" s="1502"/>
      <c r="VFE516" s="1502"/>
      <c r="VFF516" s="1502"/>
      <c r="VFG516" s="1502"/>
      <c r="VFH516" s="1502"/>
      <c r="VFI516" s="1502"/>
      <c r="VFJ516" s="1502"/>
      <c r="VFK516" s="1502"/>
      <c r="VFL516" s="1502"/>
      <c r="VFM516" s="1502"/>
      <c r="VFN516" s="1502"/>
      <c r="VFO516" s="1502"/>
      <c r="VFP516" s="1502"/>
      <c r="VFQ516" s="1502"/>
      <c r="VFR516" s="1502"/>
      <c r="VFS516" s="1502"/>
      <c r="VFT516" s="1502"/>
      <c r="VFU516" s="1502"/>
      <c r="VFV516" s="1502"/>
      <c r="VFW516" s="1502"/>
      <c r="VFX516" s="1502"/>
      <c r="VFY516" s="1502"/>
      <c r="VFZ516" s="1502"/>
      <c r="VGA516" s="1502"/>
      <c r="VGB516" s="1502"/>
      <c r="VGC516" s="1502"/>
      <c r="VGD516" s="1502"/>
      <c r="VGE516" s="1502"/>
      <c r="VGF516" s="1502"/>
      <c r="VGG516" s="1502"/>
      <c r="VGH516" s="1502"/>
      <c r="VGI516" s="1502"/>
      <c r="VGJ516" s="1502"/>
      <c r="VGK516" s="1502"/>
      <c r="VGL516" s="1502"/>
      <c r="VGM516" s="1502"/>
      <c r="VGN516" s="1502"/>
      <c r="VGO516" s="1502"/>
      <c r="VGP516" s="1502"/>
      <c r="VGQ516" s="1502"/>
      <c r="VGR516" s="1502"/>
      <c r="VGS516" s="1502"/>
      <c r="VGT516" s="1502"/>
      <c r="VGU516" s="1502"/>
      <c r="VGV516" s="1502"/>
      <c r="VGW516" s="1502"/>
      <c r="VGX516" s="1502"/>
      <c r="VGY516" s="1502"/>
      <c r="VGZ516" s="1502"/>
      <c r="VHA516" s="1502"/>
      <c r="VHB516" s="1502"/>
      <c r="VHC516" s="1502"/>
      <c r="VHD516" s="1502"/>
      <c r="VHE516" s="1502"/>
      <c r="VHF516" s="1502"/>
      <c r="VHG516" s="1502"/>
      <c r="VHH516" s="1502"/>
      <c r="VHI516" s="1502"/>
      <c r="VHJ516" s="1502"/>
      <c r="VHK516" s="1502"/>
      <c r="VHL516" s="1502"/>
      <c r="VHM516" s="1502"/>
      <c r="VHN516" s="1502"/>
      <c r="VHO516" s="1502"/>
      <c r="VHP516" s="1502"/>
      <c r="VHQ516" s="1502"/>
      <c r="VHR516" s="1502"/>
      <c r="VHS516" s="1502"/>
      <c r="VHT516" s="1502"/>
      <c r="VHU516" s="1502"/>
      <c r="VHV516" s="1502"/>
      <c r="VHW516" s="1502"/>
      <c r="VHX516" s="1502"/>
      <c r="VHY516" s="1502"/>
      <c r="VHZ516" s="1502"/>
      <c r="VIA516" s="1502"/>
      <c r="VIB516" s="1502"/>
      <c r="VIC516" s="1502"/>
      <c r="VID516" s="1502"/>
      <c r="VIE516" s="1502"/>
      <c r="VIF516" s="1502"/>
      <c r="VIG516" s="1502"/>
      <c r="VIH516" s="1502"/>
      <c r="VII516" s="1502"/>
      <c r="VIJ516" s="1502"/>
      <c r="VIK516" s="1502"/>
      <c r="VIL516" s="1502"/>
      <c r="VIM516" s="1502"/>
      <c r="VIN516" s="1502"/>
      <c r="VIO516" s="1502"/>
      <c r="VIP516" s="1502"/>
      <c r="VIQ516" s="1502"/>
      <c r="VIR516" s="1502"/>
      <c r="VIS516" s="1502"/>
      <c r="VIT516" s="1502"/>
      <c r="VIU516" s="1502"/>
      <c r="VIV516" s="1502"/>
      <c r="VIW516" s="1502"/>
      <c r="VIX516" s="1502"/>
      <c r="VIY516" s="1502"/>
      <c r="VIZ516" s="1502"/>
      <c r="VJA516" s="1502"/>
      <c r="VJB516" s="1502"/>
      <c r="VJC516" s="1502"/>
      <c r="VJD516" s="1502"/>
      <c r="VJE516" s="1502"/>
      <c r="VJF516" s="1502"/>
      <c r="VJG516" s="1502"/>
      <c r="VJH516" s="1502"/>
      <c r="VJI516" s="1502"/>
      <c r="VJJ516" s="1502"/>
      <c r="VJK516" s="1502"/>
      <c r="VJL516" s="1502"/>
      <c r="VJM516" s="1502"/>
      <c r="VJN516" s="1502"/>
      <c r="VJO516" s="1502"/>
      <c r="VJP516" s="1502"/>
      <c r="VJQ516" s="1502"/>
      <c r="VJR516" s="1502"/>
      <c r="VJS516" s="1502"/>
      <c r="VJT516" s="1502"/>
      <c r="VJU516" s="1502"/>
      <c r="VJV516" s="1502"/>
      <c r="VJW516" s="1502"/>
      <c r="VJX516" s="1502"/>
      <c r="VJY516" s="1502"/>
      <c r="VJZ516" s="1502"/>
      <c r="VKA516" s="1502"/>
      <c r="VKB516" s="1502"/>
      <c r="VKC516" s="1502"/>
      <c r="VKD516" s="1502"/>
      <c r="VKE516" s="1502"/>
      <c r="VKF516" s="1502"/>
      <c r="VKG516" s="1502"/>
      <c r="VKH516" s="1502"/>
      <c r="VKI516" s="1502"/>
      <c r="VKJ516" s="1502"/>
      <c r="VKK516" s="1502"/>
      <c r="VKL516" s="1502"/>
      <c r="VKM516" s="1502"/>
      <c r="VKN516" s="1502"/>
      <c r="VKO516" s="1502"/>
      <c r="VKP516" s="1502"/>
      <c r="VKQ516" s="1502"/>
      <c r="VKR516" s="1502"/>
      <c r="VKS516" s="1502"/>
      <c r="VKT516" s="1502"/>
      <c r="VKU516" s="1502"/>
      <c r="VKV516" s="1502"/>
      <c r="VKW516" s="1502"/>
      <c r="VKX516" s="1502"/>
      <c r="VKY516" s="1502"/>
      <c r="VKZ516" s="1502"/>
      <c r="VLA516" s="1502"/>
      <c r="VLB516" s="1502"/>
      <c r="VLC516" s="1502"/>
      <c r="VLD516" s="1502"/>
      <c r="VLE516" s="1502"/>
      <c r="VLF516" s="1502"/>
      <c r="VLG516" s="1502"/>
      <c r="VLH516" s="1502"/>
      <c r="VLI516" s="1502"/>
      <c r="VLJ516" s="1502"/>
      <c r="VLK516" s="1502"/>
      <c r="VLL516" s="1502"/>
      <c r="VLM516" s="1502"/>
      <c r="VLN516" s="1502"/>
      <c r="VLO516" s="1502"/>
      <c r="VLP516" s="1502"/>
      <c r="VLQ516" s="1502"/>
      <c r="VLR516" s="1502"/>
      <c r="VLS516" s="1502"/>
      <c r="VLT516" s="1502"/>
      <c r="VLU516" s="1502"/>
      <c r="VLV516" s="1502"/>
      <c r="VLW516" s="1502"/>
      <c r="VLX516" s="1502"/>
      <c r="VLY516" s="1502"/>
      <c r="VLZ516" s="1502"/>
      <c r="VMA516" s="1502"/>
      <c r="VMB516" s="1502"/>
      <c r="VMC516" s="1502"/>
      <c r="VMD516" s="1502"/>
      <c r="VME516" s="1502"/>
      <c r="VMF516" s="1502"/>
      <c r="VMG516" s="1502"/>
      <c r="VMH516" s="1502"/>
      <c r="VMI516" s="1502"/>
      <c r="VMJ516" s="1502"/>
      <c r="VMK516" s="1502"/>
      <c r="VML516" s="1502"/>
      <c r="VMM516" s="1502"/>
      <c r="VMN516" s="1502"/>
      <c r="VMO516" s="1502"/>
      <c r="VMP516" s="1502"/>
      <c r="VMQ516" s="1502"/>
      <c r="VMR516" s="1502"/>
      <c r="VMS516" s="1502"/>
      <c r="VMT516" s="1502"/>
      <c r="VMU516" s="1502"/>
      <c r="VMV516" s="1502"/>
      <c r="VMW516" s="1502"/>
      <c r="VMX516" s="1502"/>
      <c r="VMY516" s="1502"/>
      <c r="VMZ516" s="1502"/>
      <c r="VNA516" s="1502"/>
      <c r="VNB516" s="1502"/>
      <c r="VNC516" s="1502"/>
      <c r="VND516" s="1502"/>
      <c r="VNE516" s="1502"/>
      <c r="VNF516" s="1502"/>
      <c r="VNG516" s="1502"/>
      <c r="VNH516" s="1502"/>
      <c r="VNI516" s="1502"/>
      <c r="VNJ516" s="1502"/>
      <c r="VNK516" s="1502"/>
      <c r="VNL516" s="1502"/>
      <c r="VNM516" s="1502"/>
      <c r="VNN516" s="1502"/>
      <c r="VNO516" s="1502"/>
      <c r="VNP516" s="1502"/>
      <c r="VNQ516" s="1502"/>
      <c r="VNR516" s="1502"/>
      <c r="VNS516" s="1502"/>
      <c r="VNT516" s="1502"/>
      <c r="VNU516" s="1502"/>
      <c r="VNV516" s="1502"/>
      <c r="VNW516" s="1502"/>
      <c r="VNX516" s="1502"/>
      <c r="VNY516" s="1502"/>
      <c r="VNZ516" s="1502"/>
      <c r="VOA516" s="1502"/>
      <c r="VOB516" s="1502"/>
      <c r="VOC516" s="1502"/>
      <c r="VOD516" s="1502"/>
      <c r="VOE516" s="1502"/>
      <c r="VOF516" s="1502"/>
      <c r="VOG516" s="1502"/>
      <c r="VOH516" s="1502"/>
      <c r="VOI516" s="1502"/>
      <c r="VOJ516" s="1502"/>
      <c r="VOK516" s="1502"/>
      <c r="VOL516" s="1502"/>
      <c r="VOM516" s="1502"/>
      <c r="VON516" s="1502"/>
      <c r="VOO516" s="1502"/>
      <c r="VOP516" s="1502"/>
      <c r="VOQ516" s="1502"/>
      <c r="VOR516" s="1502"/>
      <c r="VOS516" s="1502"/>
      <c r="VOT516" s="1502"/>
      <c r="VOU516" s="1502"/>
      <c r="VOV516" s="1502"/>
      <c r="VOW516" s="1502"/>
      <c r="VOX516" s="1502"/>
      <c r="VOY516" s="1502"/>
      <c r="VOZ516" s="1502"/>
      <c r="VPA516" s="1502"/>
      <c r="VPB516" s="1502"/>
      <c r="VPC516" s="1502"/>
      <c r="VPD516" s="1502"/>
      <c r="VPE516" s="1502"/>
      <c r="VPF516" s="1502"/>
      <c r="VPG516" s="1502"/>
      <c r="VPH516" s="1502"/>
      <c r="VPI516" s="1502"/>
      <c r="VPJ516" s="1502"/>
      <c r="VPK516" s="1502"/>
      <c r="VPL516" s="1502"/>
      <c r="VPM516" s="1502"/>
      <c r="VPN516" s="1502"/>
      <c r="VPO516" s="1502"/>
      <c r="VPP516" s="1502"/>
      <c r="VPQ516" s="1502"/>
      <c r="VPR516" s="1502"/>
      <c r="VPS516" s="1502"/>
      <c r="VPT516" s="1502"/>
      <c r="VPU516" s="1502"/>
      <c r="VPV516" s="1502"/>
      <c r="VPW516" s="1502"/>
      <c r="VPX516" s="1502"/>
      <c r="VPY516" s="1502"/>
      <c r="VPZ516" s="1502"/>
      <c r="VQA516" s="1502"/>
      <c r="VQB516" s="1502"/>
      <c r="VQC516" s="1502"/>
      <c r="VQD516" s="1502"/>
      <c r="VQE516" s="1502"/>
      <c r="VQF516" s="1502"/>
      <c r="VQG516" s="1502"/>
      <c r="VQH516" s="1502"/>
      <c r="VQI516" s="1502"/>
      <c r="VQJ516" s="1502"/>
      <c r="VQK516" s="1502"/>
      <c r="VQL516" s="1502"/>
      <c r="VQM516" s="1502"/>
      <c r="VQN516" s="1502"/>
      <c r="VQO516" s="1502"/>
      <c r="VQP516" s="1502"/>
      <c r="VQQ516" s="1502"/>
      <c r="VQR516" s="1502"/>
      <c r="VQS516" s="1502"/>
      <c r="VQT516" s="1502"/>
      <c r="VQU516" s="1502"/>
      <c r="VQV516" s="1502"/>
      <c r="VQW516" s="1502"/>
      <c r="VQX516" s="1502"/>
      <c r="VQY516" s="1502"/>
      <c r="VQZ516" s="1502"/>
      <c r="VRA516" s="1502"/>
      <c r="VRB516" s="1502"/>
      <c r="VRC516" s="1502"/>
      <c r="VRD516" s="1502"/>
      <c r="VRE516" s="1502"/>
      <c r="VRF516" s="1502"/>
      <c r="VRG516" s="1502"/>
      <c r="VRH516" s="1502"/>
      <c r="VRI516" s="1502"/>
      <c r="VRJ516" s="1502"/>
      <c r="VRK516" s="1502"/>
      <c r="VRL516" s="1502"/>
      <c r="VRM516" s="1502"/>
      <c r="VRN516" s="1502"/>
      <c r="VRO516" s="1502"/>
      <c r="VRP516" s="1502"/>
      <c r="VRQ516" s="1502"/>
      <c r="VRR516" s="1502"/>
      <c r="VRS516" s="1502"/>
      <c r="VRT516" s="1502"/>
      <c r="VRU516" s="1502"/>
      <c r="VRV516" s="1502"/>
      <c r="VRW516" s="1502"/>
      <c r="VRX516" s="1502"/>
      <c r="VRY516" s="1502"/>
      <c r="VRZ516" s="1502"/>
      <c r="VSA516" s="1502"/>
      <c r="VSB516" s="1502"/>
      <c r="VSC516" s="1502"/>
      <c r="VSD516" s="1502"/>
      <c r="VSE516" s="1502"/>
      <c r="VSF516" s="1502"/>
      <c r="VSG516" s="1502"/>
      <c r="VSH516" s="1502"/>
      <c r="VSI516" s="1502"/>
      <c r="VSJ516" s="1502"/>
      <c r="VSK516" s="1502"/>
      <c r="VSL516" s="1502"/>
      <c r="VSM516" s="1502"/>
      <c r="VSN516" s="1502"/>
      <c r="VSO516" s="1502"/>
      <c r="VSP516" s="1502"/>
      <c r="VSQ516" s="1502"/>
      <c r="VSR516" s="1502"/>
      <c r="VSS516" s="1502"/>
      <c r="VST516" s="1502"/>
      <c r="VSU516" s="1502"/>
      <c r="VSV516" s="1502"/>
      <c r="VSW516" s="1502"/>
      <c r="VSX516" s="1502"/>
      <c r="VSY516" s="1502"/>
      <c r="VSZ516" s="1502"/>
      <c r="VTA516" s="1502"/>
      <c r="VTB516" s="1502"/>
      <c r="VTC516" s="1502"/>
      <c r="VTD516" s="1502"/>
      <c r="VTE516" s="1502"/>
      <c r="VTF516" s="1502"/>
      <c r="VTG516" s="1502"/>
      <c r="VTH516" s="1502"/>
      <c r="VTI516" s="1502"/>
      <c r="VTJ516" s="1502"/>
      <c r="VTK516" s="1502"/>
      <c r="VTL516" s="1502"/>
      <c r="VTM516" s="1502"/>
      <c r="VTN516" s="1502"/>
      <c r="VTO516" s="1502"/>
      <c r="VTP516" s="1502"/>
      <c r="VTQ516" s="1502"/>
      <c r="VTR516" s="1502"/>
      <c r="VTS516" s="1502"/>
      <c r="VTT516" s="1502"/>
      <c r="VTU516" s="1502"/>
      <c r="VTV516" s="1502"/>
      <c r="VTW516" s="1502"/>
      <c r="VTX516" s="1502"/>
      <c r="VTY516" s="1502"/>
      <c r="VTZ516" s="1502"/>
      <c r="VUA516" s="1502"/>
      <c r="VUB516" s="1502"/>
      <c r="VUC516" s="1502"/>
      <c r="VUD516" s="1502"/>
      <c r="VUE516" s="1502"/>
      <c r="VUF516" s="1502"/>
      <c r="VUG516" s="1502"/>
      <c r="VUH516" s="1502"/>
      <c r="VUI516" s="1502"/>
      <c r="VUJ516" s="1502"/>
      <c r="VUK516" s="1502"/>
      <c r="VUL516" s="1502"/>
      <c r="VUM516" s="1502"/>
      <c r="VUN516" s="1502"/>
      <c r="VUO516" s="1502"/>
      <c r="VUP516" s="1502"/>
      <c r="VUQ516" s="1502"/>
      <c r="VUR516" s="1502"/>
      <c r="VUS516" s="1502"/>
      <c r="VUT516" s="1502"/>
      <c r="VUU516" s="1502"/>
      <c r="VUV516" s="1502"/>
      <c r="VUW516" s="1502"/>
      <c r="VUX516" s="1502"/>
      <c r="VUY516" s="1502"/>
      <c r="VUZ516" s="1502"/>
      <c r="VVA516" s="1502"/>
      <c r="VVB516" s="1502"/>
      <c r="VVC516" s="1502"/>
      <c r="VVD516" s="1502"/>
      <c r="VVE516" s="1502"/>
      <c r="VVF516" s="1502"/>
      <c r="VVG516" s="1502"/>
      <c r="VVH516" s="1502"/>
      <c r="VVI516" s="1502"/>
      <c r="VVJ516" s="1502"/>
      <c r="VVK516" s="1502"/>
      <c r="VVL516" s="1502"/>
      <c r="VVM516" s="1502"/>
      <c r="VVN516" s="1502"/>
      <c r="VVO516" s="1502"/>
      <c r="VVP516" s="1502"/>
      <c r="VVQ516" s="1502"/>
      <c r="VVR516" s="1502"/>
      <c r="VVS516" s="1502"/>
      <c r="VVT516" s="1502"/>
      <c r="VVU516" s="1502"/>
      <c r="VVV516" s="1502"/>
      <c r="VVW516" s="1502"/>
      <c r="VVX516" s="1502"/>
      <c r="VVY516" s="1502"/>
      <c r="VVZ516" s="1502"/>
      <c r="VWA516" s="1502"/>
      <c r="VWB516" s="1502"/>
      <c r="VWC516" s="1502"/>
      <c r="VWD516" s="1502"/>
      <c r="VWE516" s="1502"/>
      <c r="VWF516" s="1502"/>
      <c r="VWG516" s="1502"/>
      <c r="VWH516" s="1502"/>
      <c r="VWI516" s="1502"/>
      <c r="VWJ516" s="1502"/>
      <c r="VWK516" s="1502"/>
      <c r="VWL516" s="1502"/>
      <c r="VWM516" s="1502"/>
      <c r="VWN516" s="1502"/>
      <c r="VWO516" s="1502"/>
      <c r="VWP516" s="1502"/>
      <c r="VWQ516" s="1502"/>
      <c r="VWR516" s="1502"/>
      <c r="VWS516" s="1502"/>
      <c r="VWT516" s="1502"/>
      <c r="VWU516" s="1502"/>
      <c r="VWV516" s="1502"/>
      <c r="VWW516" s="1502"/>
      <c r="VWX516" s="1502"/>
      <c r="VWY516" s="1502"/>
      <c r="VWZ516" s="1502"/>
      <c r="VXA516" s="1502"/>
      <c r="VXB516" s="1502"/>
      <c r="VXC516" s="1502"/>
      <c r="VXD516" s="1502"/>
      <c r="VXE516" s="1502"/>
      <c r="VXF516" s="1502"/>
      <c r="VXG516" s="1502"/>
      <c r="VXH516" s="1502"/>
      <c r="VXI516" s="1502"/>
      <c r="VXJ516" s="1502"/>
      <c r="VXK516" s="1502"/>
      <c r="VXL516" s="1502"/>
      <c r="VXM516" s="1502"/>
      <c r="VXN516" s="1502"/>
      <c r="VXO516" s="1502"/>
      <c r="VXP516" s="1502"/>
      <c r="VXQ516" s="1502"/>
      <c r="VXR516" s="1502"/>
      <c r="VXS516" s="1502"/>
      <c r="VXT516" s="1502"/>
      <c r="VXU516" s="1502"/>
      <c r="VXV516" s="1502"/>
      <c r="VXW516" s="1502"/>
      <c r="VXX516" s="1502"/>
      <c r="VXY516" s="1502"/>
      <c r="VXZ516" s="1502"/>
      <c r="VYA516" s="1502"/>
      <c r="VYB516" s="1502"/>
      <c r="VYC516" s="1502"/>
      <c r="VYD516" s="1502"/>
      <c r="VYE516" s="1502"/>
      <c r="VYF516" s="1502"/>
      <c r="VYG516" s="1502"/>
      <c r="VYH516" s="1502"/>
      <c r="VYI516" s="1502"/>
      <c r="VYJ516" s="1502"/>
      <c r="VYK516" s="1502"/>
      <c r="VYL516" s="1502"/>
      <c r="VYM516" s="1502"/>
      <c r="VYN516" s="1502"/>
      <c r="VYO516" s="1502"/>
      <c r="VYP516" s="1502"/>
      <c r="VYQ516" s="1502"/>
      <c r="VYR516" s="1502"/>
      <c r="VYS516" s="1502"/>
      <c r="VYT516" s="1502"/>
      <c r="VYU516" s="1502"/>
      <c r="VYV516" s="1502"/>
      <c r="VYW516" s="1502"/>
      <c r="VYX516" s="1502"/>
      <c r="VYY516" s="1502"/>
      <c r="VYZ516" s="1502"/>
      <c r="VZA516" s="1502"/>
      <c r="VZB516" s="1502"/>
      <c r="VZC516" s="1502"/>
      <c r="VZD516" s="1502"/>
      <c r="VZE516" s="1502"/>
      <c r="VZF516" s="1502"/>
      <c r="VZG516" s="1502"/>
      <c r="VZH516" s="1502"/>
      <c r="VZI516" s="1502"/>
      <c r="VZJ516" s="1502"/>
      <c r="VZK516" s="1502"/>
      <c r="VZL516" s="1502"/>
      <c r="VZM516" s="1502"/>
      <c r="VZN516" s="1502"/>
      <c r="VZO516" s="1502"/>
      <c r="VZP516" s="1502"/>
      <c r="VZQ516" s="1502"/>
      <c r="VZR516" s="1502"/>
      <c r="VZS516" s="1502"/>
      <c r="VZT516" s="1502"/>
      <c r="VZU516" s="1502"/>
      <c r="VZV516" s="1502"/>
      <c r="VZW516" s="1502"/>
      <c r="VZX516" s="1502"/>
      <c r="VZY516" s="1502"/>
      <c r="VZZ516" s="1502"/>
      <c r="WAA516" s="1502"/>
      <c r="WAB516" s="1502"/>
      <c r="WAC516" s="1502"/>
      <c r="WAD516" s="1502"/>
      <c r="WAE516" s="1502"/>
      <c r="WAF516" s="1502"/>
      <c r="WAG516" s="1502"/>
      <c r="WAH516" s="1502"/>
      <c r="WAI516" s="1502"/>
      <c r="WAJ516" s="1502"/>
      <c r="WAK516" s="1502"/>
      <c r="WAL516" s="1502"/>
      <c r="WAM516" s="1502"/>
      <c r="WAN516" s="1502"/>
      <c r="WAO516" s="1502"/>
      <c r="WAP516" s="1502"/>
      <c r="WAQ516" s="1502"/>
      <c r="WAR516" s="1502"/>
      <c r="WAS516" s="1502"/>
      <c r="WAT516" s="1502"/>
      <c r="WAU516" s="1502"/>
      <c r="WAV516" s="1502"/>
      <c r="WAW516" s="1502"/>
      <c r="WAX516" s="1502"/>
      <c r="WAY516" s="1502"/>
      <c r="WAZ516" s="1502"/>
      <c r="WBA516" s="1502"/>
      <c r="WBB516" s="1502"/>
      <c r="WBC516" s="1502"/>
      <c r="WBD516" s="1502"/>
      <c r="WBE516" s="1502"/>
      <c r="WBF516" s="1502"/>
      <c r="WBG516" s="1502"/>
      <c r="WBH516" s="1502"/>
      <c r="WBI516" s="1502"/>
      <c r="WBJ516" s="1502"/>
      <c r="WBK516" s="1502"/>
      <c r="WBL516" s="1502"/>
      <c r="WBM516" s="1502"/>
      <c r="WBN516" s="1502"/>
      <c r="WBO516" s="1502"/>
      <c r="WBP516" s="1502"/>
      <c r="WBQ516" s="1502"/>
      <c r="WBR516" s="1502"/>
      <c r="WBS516" s="1502"/>
      <c r="WBT516" s="1502"/>
      <c r="WBU516" s="1502"/>
      <c r="WBV516" s="1502"/>
      <c r="WBW516" s="1502"/>
      <c r="WBX516" s="1502"/>
      <c r="WBY516" s="1502"/>
      <c r="WBZ516" s="1502"/>
      <c r="WCA516" s="1502"/>
      <c r="WCB516" s="1502"/>
      <c r="WCC516" s="1502"/>
      <c r="WCD516" s="1502"/>
      <c r="WCE516" s="1502"/>
      <c r="WCF516" s="1502"/>
      <c r="WCG516" s="1502"/>
      <c r="WCH516" s="1502"/>
      <c r="WCI516" s="1502"/>
      <c r="WCJ516" s="1502"/>
      <c r="WCK516" s="1502"/>
      <c r="WCL516" s="1502"/>
      <c r="WCM516" s="1502"/>
      <c r="WCN516" s="1502"/>
      <c r="WCO516" s="1502"/>
      <c r="WCP516" s="1502"/>
      <c r="WCQ516" s="1502"/>
      <c r="WCR516" s="1502"/>
      <c r="WCS516" s="1502"/>
      <c r="WCT516" s="1502"/>
      <c r="WCU516" s="1502"/>
      <c r="WCV516" s="1502"/>
      <c r="WCW516" s="1502"/>
      <c r="WCX516" s="1502"/>
      <c r="WCY516" s="1502"/>
      <c r="WCZ516" s="1502"/>
      <c r="WDA516" s="1502"/>
      <c r="WDB516" s="1502"/>
      <c r="WDC516" s="1502"/>
      <c r="WDD516" s="1502"/>
      <c r="WDE516" s="1502"/>
      <c r="WDF516" s="1502"/>
      <c r="WDG516" s="1502"/>
      <c r="WDH516" s="1502"/>
      <c r="WDI516" s="1502"/>
      <c r="WDJ516" s="1502"/>
      <c r="WDK516" s="1502"/>
      <c r="WDL516" s="1502"/>
      <c r="WDM516" s="1502"/>
      <c r="WDN516" s="1502"/>
      <c r="WDO516" s="1502"/>
      <c r="WDP516" s="1502"/>
      <c r="WDQ516" s="1502"/>
      <c r="WDR516" s="1502"/>
      <c r="WDS516" s="1502"/>
      <c r="WDT516" s="1502"/>
      <c r="WDU516" s="1502"/>
      <c r="WDV516" s="1502"/>
      <c r="WDW516" s="1502"/>
      <c r="WDX516" s="1502"/>
      <c r="WDY516" s="1502"/>
      <c r="WDZ516" s="1502"/>
      <c r="WEA516" s="1502"/>
      <c r="WEB516" s="1502"/>
      <c r="WEC516" s="1502"/>
      <c r="WED516" s="1502"/>
      <c r="WEE516" s="1502"/>
      <c r="WEF516" s="1502"/>
      <c r="WEG516" s="1502"/>
      <c r="WEH516" s="1502"/>
      <c r="WEI516" s="1502"/>
      <c r="WEJ516" s="1502"/>
      <c r="WEK516" s="1502"/>
      <c r="WEL516" s="1502"/>
      <c r="WEM516" s="1502"/>
      <c r="WEN516" s="1502"/>
      <c r="WEO516" s="1502"/>
      <c r="WEP516" s="1502"/>
      <c r="WEQ516" s="1502"/>
      <c r="WER516" s="1502"/>
      <c r="WES516" s="1502"/>
      <c r="WET516" s="1502"/>
      <c r="WEU516" s="1502"/>
      <c r="WEV516" s="1502"/>
      <c r="WEW516" s="1502"/>
      <c r="WEX516" s="1502"/>
      <c r="WEY516" s="1502"/>
      <c r="WEZ516" s="1502"/>
      <c r="WFA516" s="1502"/>
      <c r="WFB516" s="1502"/>
      <c r="WFC516" s="1502"/>
      <c r="WFD516" s="1502"/>
      <c r="WFE516" s="1502"/>
      <c r="WFF516" s="1502"/>
      <c r="WFG516" s="1502"/>
      <c r="WFH516" s="1502"/>
      <c r="WFI516" s="1502"/>
      <c r="WFJ516" s="1502"/>
      <c r="WFK516" s="1502"/>
      <c r="WFL516" s="1502"/>
      <c r="WFM516" s="1502"/>
      <c r="WFN516" s="1502"/>
      <c r="WFO516" s="1502"/>
      <c r="WFP516" s="1502"/>
      <c r="WFQ516" s="1502"/>
      <c r="WFR516" s="1502"/>
      <c r="WFS516" s="1502"/>
      <c r="WFT516" s="1502"/>
      <c r="WFU516" s="1502"/>
      <c r="WFV516" s="1502"/>
      <c r="WFW516" s="1502"/>
      <c r="WFX516" s="1502"/>
      <c r="WFY516" s="1502"/>
      <c r="WFZ516" s="1502"/>
      <c r="WGA516" s="1502"/>
      <c r="WGB516" s="1502"/>
      <c r="WGC516" s="1502"/>
      <c r="WGD516" s="1502"/>
      <c r="WGE516" s="1502"/>
      <c r="WGF516" s="1502"/>
      <c r="WGG516" s="1502"/>
      <c r="WGH516" s="1502"/>
      <c r="WGI516" s="1502"/>
      <c r="WGJ516" s="1502"/>
      <c r="WGK516" s="1502"/>
      <c r="WGL516" s="1502"/>
      <c r="WGM516" s="1502"/>
      <c r="WGN516" s="1502"/>
      <c r="WGO516" s="1502"/>
      <c r="WGP516" s="1502"/>
      <c r="WGQ516" s="1502"/>
      <c r="WGR516" s="1502"/>
      <c r="WGS516" s="1502"/>
      <c r="WGT516" s="1502"/>
      <c r="WGU516" s="1502"/>
      <c r="WGV516" s="1502"/>
      <c r="WGW516" s="1502"/>
      <c r="WGX516" s="1502"/>
      <c r="WGY516" s="1502"/>
      <c r="WGZ516" s="1502"/>
      <c r="WHA516" s="1502"/>
      <c r="WHB516" s="1502"/>
      <c r="WHC516" s="1502"/>
      <c r="WHD516" s="1502"/>
      <c r="WHE516" s="1502"/>
      <c r="WHF516" s="1502"/>
      <c r="WHG516" s="1502"/>
      <c r="WHH516" s="1502"/>
      <c r="WHI516" s="1502"/>
      <c r="WHJ516" s="1502"/>
      <c r="WHK516" s="1502"/>
      <c r="WHL516" s="1502"/>
      <c r="WHM516" s="1502"/>
      <c r="WHN516" s="1502"/>
      <c r="WHO516" s="1502"/>
      <c r="WHP516" s="1502"/>
      <c r="WHQ516" s="1502"/>
      <c r="WHR516" s="1502"/>
      <c r="WHS516" s="1502"/>
      <c r="WHT516" s="1502"/>
      <c r="WHU516" s="1502"/>
      <c r="WHV516" s="1502"/>
      <c r="WHW516" s="1502"/>
      <c r="WHX516" s="1502"/>
      <c r="WHY516" s="1502"/>
      <c r="WHZ516" s="1502"/>
      <c r="WIA516" s="1502"/>
      <c r="WIB516" s="1502"/>
      <c r="WIC516" s="1502"/>
      <c r="WID516" s="1502"/>
      <c r="WIE516" s="1502"/>
      <c r="WIF516" s="1502"/>
      <c r="WIG516" s="1502"/>
      <c r="WIH516" s="1502"/>
      <c r="WII516" s="1502"/>
      <c r="WIJ516" s="1502"/>
      <c r="WIK516" s="1502"/>
      <c r="WIL516" s="1502"/>
      <c r="WIM516" s="1502"/>
      <c r="WIN516" s="1502"/>
      <c r="WIO516" s="1502"/>
      <c r="WIP516" s="1502"/>
      <c r="WIQ516" s="1502"/>
      <c r="WIR516" s="1502"/>
      <c r="WIS516" s="1502"/>
      <c r="WIT516" s="1502"/>
      <c r="WIU516" s="1502"/>
      <c r="WIV516" s="1502"/>
      <c r="WIW516" s="1502"/>
      <c r="WIX516" s="1502"/>
      <c r="WIY516" s="1502"/>
      <c r="WIZ516" s="1502"/>
      <c r="WJA516" s="1502"/>
      <c r="WJB516" s="1502"/>
      <c r="WJC516" s="1502"/>
      <c r="WJD516" s="1502"/>
      <c r="WJE516" s="1502"/>
      <c r="WJF516" s="1502"/>
      <c r="WJG516" s="1502"/>
      <c r="WJH516" s="1502"/>
      <c r="WJI516" s="1502"/>
      <c r="WJJ516" s="1502"/>
      <c r="WJK516" s="1502"/>
      <c r="WJL516" s="1502"/>
      <c r="WJM516" s="1502"/>
      <c r="WJN516" s="1502"/>
      <c r="WJO516" s="1502"/>
      <c r="WJP516" s="1502"/>
      <c r="WJQ516" s="1502"/>
      <c r="WJR516" s="1502"/>
      <c r="WJS516" s="1502"/>
      <c r="WJT516" s="1502"/>
      <c r="WJU516" s="1502"/>
      <c r="WJV516" s="1502"/>
      <c r="WJW516" s="1502"/>
      <c r="WJX516" s="1502"/>
      <c r="WJY516" s="1502"/>
      <c r="WJZ516" s="1502"/>
      <c r="WKA516" s="1502"/>
      <c r="WKB516" s="1502"/>
      <c r="WKC516" s="1502"/>
      <c r="WKD516" s="1502"/>
      <c r="WKE516" s="1502"/>
      <c r="WKF516" s="1502"/>
      <c r="WKG516" s="1502"/>
      <c r="WKH516" s="1502"/>
      <c r="WKI516" s="1502"/>
      <c r="WKJ516" s="1502"/>
      <c r="WKK516" s="1502"/>
      <c r="WKL516" s="1502"/>
      <c r="WKM516" s="1502"/>
      <c r="WKN516" s="1502"/>
      <c r="WKO516" s="1502"/>
      <c r="WKP516" s="1502"/>
      <c r="WKQ516" s="1502"/>
      <c r="WKR516" s="1502"/>
      <c r="WKS516" s="1502"/>
      <c r="WKT516" s="1502"/>
      <c r="WKU516" s="1502"/>
      <c r="WKV516" s="1502"/>
      <c r="WKW516" s="1502"/>
      <c r="WKX516" s="1502"/>
      <c r="WKY516" s="1502"/>
      <c r="WKZ516" s="1502"/>
      <c r="WLA516" s="1502"/>
      <c r="WLB516" s="1502"/>
      <c r="WLC516" s="1502"/>
      <c r="WLD516" s="1502"/>
      <c r="WLE516" s="1502"/>
      <c r="WLF516" s="1502"/>
      <c r="WLG516" s="1502"/>
      <c r="WLH516" s="1502"/>
      <c r="WLI516" s="1502"/>
      <c r="WLJ516" s="1502"/>
      <c r="WLK516" s="1502"/>
      <c r="WLL516" s="1502"/>
      <c r="WLM516" s="1502"/>
      <c r="WLN516" s="1502"/>
      <c r="WLO516" s="1502"/>
      <c r="WLP516" s="1502"/>
      <c r="WLQ516" s="1502"/>
      <c r="WLR516" s="1502"/>
      <c r="WLS516" s="1502"/>
      <c r="WLT516" s="1502"/>
      <c r="WLU516" s="1502"/>
      <c r="WLV516" s="1502"/>
      <c r="WLW516" s="1502"/>
      <c r="WLX516" s="1502"/>
      <c r="WLY516" s="1502"/>
      <c r="WLZ516" s="1502"/>
      <c r="WMA516" s="1502"/>
      <c r="WMB516" s="1502"/>
      <c r="WMC516" s="1502"/>
      <c r="WMD516" s="1502"/>
      <c r="WME516" s="1502"/>
      <c r="WMF516" s="1502"/>
      <c r="WMG516" s="1502"/>
      <c r="WMH516" s="1502"/>
      <c r="WMI516" s="1502"/>
      <c r="WMJ516" s="1502"/>
      <c r="WMK516" s="1502"/>
      <c r="WML516" s="1502"/>
      <c r="WMM516" s="1502"/>
      <c r="WMN516" s="1502"/>
      <c r="WMO516" s="1502"/>
      <c r="WMP516" s="1502"/>
      <c r="WMQ516" s="1502"/>
      <c r="WMR516" s="1502"/>
      <c r="WMS516" s="1502"/>
      <c r="WMT516" s="1502"/>
      <c r="WMU516" s="1502"/>
      <c r="WMV516" s="1502"/>
      <c r="WMW516" s="1502"/>
      <c r="WMX516" s="1502"/>
      <c r="WMY516" s="1502"/>
      <c r="WMZ516" s="1502"/>
      <c r="WNA516" s="1502"/>
      <c r="WNB516" s="1502"/>
      <c r="WNC516" s="1502"/>
      <c r="WND516" s="1502"/>
      <c r="WNE516" s="1502"/>
      <c r="WNF516" s="1502"/>
      <c r="WNG516" s="1502"/>
      <c r="WNH516" s="1502"/>
      <c r="WNI516" s="1502"/>
      <c r="WNJ516" s="1502"/>
      <c r="WNK516" s="1502"/>
      <c r="WNL516" s="1502"/>
      <c r="WNM516" s="1502"/>
      <c r="WNN516" s="1502"/>
      <c r="WNO516" s="1502"/>
      <c r="WNP516" s="1502"/>
      <c r="WNQ516" s="1502"/>
      <c r="WNR516" s="1502"/>
      <c r="WNS516" s="1502"/>
      <c r="WNT516" s="1502"/>
      <c r="WNU516" s="1502"/>
      <c r="WNV516" s="1502"/>
      <c r="WNW516" s="1502"/>
      <c r="WNX516" s="1502"/>
      <c r="WNY516" s="1502"/>
      <c r="WNZ516" s="1502"/>
      <c r="WOA516" s="1502"/>
      <c r="WOB516" s="1502"/>
      <c r="WOC516" s="1502"/>
      <c r="WOD516" s="1502"/>
      <c r="WOE516" s="1502"/>
      <c r="WOF516" s="1502"/>
      <c r="WOG516" s="1502"/>
      <c r="WOH516" s="1502"/>
      <c r="WOI516" s="1502"/>
      <c r="WOJ516" s="1502"/>
      <c r="WOK516" s="1502"/>
      <c r="WOL516" s="1502"/>
      <c r="WOM516" s="1502"/>
      <c r="WON516" s="1502"/>
      <c r="WOO516" s="1502"/>
      <c r="WOP516" s="1502"/>
      <c r="WOQ516" s="1502"/>
      <c r="WOR516" s="1502"/>
      <c r="WOS516" s="1502"/>
      <c r="WOT516" s="1502"/>
      <c r="WOU516" s="1502"/>
      <c r="WOV516" s="1502"/>
      <c r="WOW516" s="1502"/>
      <c r="WOX516" s="1502"/>
      <c r="WOY516" s="1502"/>
      <c r="WOZ516" s="1502"/>
      <c r="WPA516" s="1502"/>
      <c r="WPB516" s="1502"/>
      <c r="WPC516" s="1502"/>
      <c r="WPD516" s="1502"/>
      <c r="WPE516" s="1502"/>
      <c r="WPF516" s="1502"/>
      <c r="WPG516" s="1502"/>
      <c r="WPH516" s="1502"/>
      <c r="WPI516" s="1502"/>
      <c r="WPJ516" s="1502"/>
      <c r="WPK516" s="1502"/>
      <c r="WPL516" s="1502"/>
      <c r="WPM516" s="1502"/>
      <c r="WPN516" s="1502"/>
      <c r="WPO516" s="1502"/>
      <c r="WPP516" s="1502"/>
      <c r="WPQ516" s="1502"/>
      <c r="WPR516" s="1502"/>
      <c r="WPS516" s="1502"/>
      <c r="WPT516" s="1502"/>
      <c r="WPU516" s="1502"/>
      <c r="WPV516" s="1502"/>
      <c r="WPW516" s="1502"/>
      <c r="WPX516" s="1502"/>
      <c r="WPY516" s="1502"/>
      <c r="WPZ516" s="1502"/>
      <c r="WQA516" s="1502"/>
      <c r="WQB516" s="1502"/>
      <c r="WQC516" s="1502"/>
      <c r="WQD516" s="1502"/>
      <c r="WQE516" s="1502"/>
      <c r="WQF516" s="1502"/>
      <c r="WQG516" s="1502"/>
      <c r="WQH516" s="1502"/>
      <c r="WQI516" s="1502"/>
      <c r="WQJ516" s="1502"/>
      <c r="WQK516" s="1502"/>
      <c r="WQL516" s="1502"/>
      <c r="WQM516" s="1502"/>
      <c r="WQN516" s="1502"/>
      <c r="WQO516" s="1502"/>
      <c r="WQP516" s="1502"/>
      <c r="WQQ516" s="1502"/>
      <c r="WQR516" s="1502"/>
      <c r="WQS516" s="1502"/>
      <c r="WQT516" s="1502"/>
      <c r="WQU516" s="1502"/>
      <c r="WQV516" s="1502"/>
      <c r="WQW516" s="1502"/>
      <c r="WQX516" s="1502"/>
      <c r="WQY516" s="1502"/>
      <c r="WQZ516" s="1502"/>
      <c r="WRA516" s="1502"/>
      <c r="WRB516" s="1502"/>
      <c r="WRC516" s="1502"/>
      <c r="WRD516" s="1502"/>
      <c r="WRE516" s="1502"/>
      <c r="WRF516" s="1502"/>
      <c r="WRG516" s="1502"/>
      <c r="WRH516" s="1502"/>
      <c r="WRI516" s="1502"/>
      <c r="WRJ516" s="1503"/>
      <c r="WRK516" s="1504"/>
      <c r="WRL516" s="1505"/>
      <c r="WRM516" s="1506"/>
      <c r="WRN516" s="1507"/>
      <c r="WRO516" s="1508"/>
      <c r="WRP516" s="1509"/>
      <c r="WRQ516" s="1510"/>
      <c r="WRR516" s="1509"/>
      <c r="WRS516" s="1511"/>
      <c r="WRT516" s="1512"/>
      <c r="WRU516" s="1508"/>
      <c r="WRV516" s="1508"/>
      <c r="WRW516" s="1508"/>
      <c r="WRX516" s="1502"/>
      <c r="WRY516" s="1502"/>
      <c r="WRZ516" s="1502"/>
      <c r="WSA516" s="1502"/>
      <c r="WSB516" s="1503"/>
      <c r="WSC516" s="1504"/>
      <c r="WSD516" s="1505"/>
      <c r="WSE516" s="1506"/>
      <c r="WSF516" s="1507"/>
      <c r="WSG516" s="1508"/>
      <c r="WSH516" s="1509"/>
      <c r="WSI516" s="1510"/>
      <c r="WSJ516" s="1509"/>
      <c r="WSK516" s="1511"/>
      <c r="WSL516" s="1512"/>
      <c r="WSM516" s="1508"/>
      <c r="WSN516" s="1508"/>
      <c r="WSO516" s="1508"/>
      <c r="WSP516" s="1502"/>
      <c r="WSQ516" s="1502"/>
      <c r="WSR516" s="1502"/>
      <c r="WSS516" s="1502"/>
      <c r="WST516" s="1503"/>
      <c r="WSU516" s="1504"/>
      <c r="WSV516" s="1505"/>
      <c r="WSW516" s="1506"/>
      <c r="WSX516" s="1507"/>
      <c r="WSY516" s="1508"/>
      <c r="WSZ516" s="1509"/>
      <c r="WTA516" s="1510"/>
      <c r="WTB516" s="1509"/>
      <c r="WTC516" s="1511"/>
      <c r="WTD516" s="1512"/>
      <c r="WTE516" s="1508"/>
      <c r="WTF516" s="1508"/>
      <c r="WTG516" s="1508"/>
      <c r="WTH516" s="1502"/>
      <c r="WTI516" s="1502"/>
      <c r="WTJ516" s="1502"/>
      <c r="WTK516" s="1502"/>
      <c r="WTL516" s="1503"/>
      <c r="WTM516" s="1504"/>
      <c r="WTN516" s="1505"/>
      <c r="WTO516" s="1506"/>
      <c r="WTP516" s="1507"/>
      <c r="WTQ516" s="1508"/>
      <c r="WTR516" s="1509"/>
      <c r="WTS516" s="1510"/>
      <c r="WTT516" s="1509"/>
      <c r="WTU516" s="1511"/>
      <c r="WTV516" s="1512"/>
      <c r="WTW516" s="1508"/>
      <c r="WTX516" s="1508"/>
      <c r="WTY516" s="1508"/>
      <c r="WTZ516" s="1502"/>
      <c r="WUA516" s="1502"/>
      <c r="WUB516" s="1502"/>
      <c r="WUC516" s="1502"/>
      <c r="WUD516" s="1503"/>
      <c r="WUE516" s="1504"/>
      <c r="WUF516" s="1505"/>
      <c r="WUG516" s="1506"/>
      <c r="WUH516" s="1507"/>
      <c r="WUI516" s="1508"/>
      <c r="WUJ516" s="1509"/>
      <c r="WUK516" s="1510"/>
      <c r="WUL516" s="1509"/>
      <c r="WUM516" s="1511"/>
      <c r="WUN516" s="1512"/>
      <c r="WUO516" s="1508"/>
      <c r="WUP516" s="1508"/>
      <c r="WUQ516" s="1508"/>
      <c r="WUR516" s="1502"/>
      <c r="WUS516" s="1502"/>
      <c r="WUT516" s="1502"/>
      <c r="WUU516" s="1502"/>
      <c r="WUV516" s="1503"/>
      <c r="WUW516" s="1504"/>
      <c r="WUX516" s="1505"/>
      <c r="WUY516" s="1506"/>
      <c r="WUZ516" s="1507"/>
      <c r="WVA516" s="1508"/>
      <c r="WVB516" s="1509"/>
      <c r="WVC516" s="1510"/>
      <c r="WVD516" s="1509"/>
      <c r="WVE516" s="1511"/>
      <c r="WVF516" s="1512"/>
      <c r="WVG516" s="1508"/>
      <c r="WVH516" s="1508"/>
      <c r="WVI516" s="1508"/>
      <c r="WVJ516" s="1502"/>
      <c r="WVK516" s="1502"/>
      <c r="WVL516" s="1502"/>
      <c r="WVM516" s="1502"/>
      <c r="WVN516" s="1503"/>
      <c r="WVO516" s="1504"/>
      <c r="WVP516" s="1505"/>
      <c r="WVQ516" s="1506"/>
      <c r="WVR516" s="1507"/>
      <c r="WVS516" s="1508"/>
      <c r="WVT516" s="1509"/>
      <c r="WVU516" s="1510"/>
      <c r="WVV516" s="1509"/>
      <c r="WVW516" s="1511"/>
      <c r="WVX516" s="1512"/>
      <c r="WVY516" s="1508"/>
      <c r="WVZ516" s="1508"/>
      <c r="WWA516" s="1508"/>
      <c r="WWB516" s="1502"/>
      <c r="WWC516" s="1502"/>
      <c r="WWD516" s="1502"/>
      <c r="WWE516" s="1502"/>
      <c r="WWF516" s="1503"/>
      <c r="WWG516" s="1504"/>
      <c r="WWH516" s="1505"/>
      <c r="WWI516" s="1506"/>
      <c r="WWJ516" s="1507"/>
      <c r="WWK516" s="1508"/>
      <c r="WWL516" s="1509"/>
      <c r="WWM516" s="1510"/>
      <c r="WWN516" s="1509"/>
      <c r="WWO516" s="1511"/>
      <c r="WWP516" s="1512"/>
      <c r="WWQ516" s="1508"/>
      <c r="WWR516" s="1508"/>
      <c r="WWS516" s="1508"/>
      <c r="WWT516" s="1502"/>
      <c r="WWU516" s="1502"/>
      <c r="WWV516" s="1502"/>
      <c r="WWW516" s="1502"/>
      <c r="WWX516" s="1503"/>
      <c r="WWY516" s="1504"/>
      <c r="WWZ516" s="1505"/>
      <c r="WXA516" s="1506"/>
      <c r="WXB516" s="1507"/>
      <c r="WXC516" s="1508"/>
      <c r="WXD516" s="1509"/>
      <c r="WXE516" s="1510"/>
      <c r="WXF516" s="1509"/>
      <c r="WXG516" s="1511"/>
      <c r="WXH516" s="1512"/>
      <c r="WXI516" s="1508"/>
      <c r="WXJ516" s="1508"/>
      <c r="WXK516" s="1508"/>
      <c r="WXL516" s="1502"/>
      <c r="WXM516" s="1502"/>
      <c r="WXN516" s="1502"/>
      <c r="WXO516" s="1502"/>
      <c r="WXP516" s="1503"/>
      <c r="WXQ516" s="1504"/>
      <c r="WXR516" s="1505"/>
      <c r="WXS516" s="1506"/>
      <c r="WXT516" s="1507"/>
      <c r="WXU516" s="1508"/>
      <c r="WXV516" s="1509"/>
      <c r="WXW516" s="1510"/>
      <c r="WXX516" s="1509"/>
      <c r="WXY516" s="1511"/>
      <c r="WXZ516" s="1512"/>
      <c r="WYA516" s="1508"/>
      <c r="WYB516" s="1508"/>
      <c r="WYC516" s="1508"/>
      <c r="WYD516" s="1502"/>
      <c r="WYE516" s="1502"/>
      <c r="WYF516" s="1502"/>
      <c r="WYG516" s="1502"/>
      <c r="WYH516" s="1503"/>
      <c r="WYI516" s="1504"/>
      <c r="WYJ516" s="1505"/>
      <c r="WYK516" s="1506"/>
      <c r="WYL516" s="1507"/>
      <c r="WYM516" s="1508"/>
      <c r="WYN516" s="1509"/>
      <c r="WYO516" s="1510"/>
      <c r="WYP516" s="1509"/>
      <c r="WYQ516" s="1511"/>
      <c r="WYR516" s="1512"/>
      <c r="WYS516" s="1508"/>
      <c r="WYT516" s="1508"/>
      <c r="WYU516" s="1508"/>
      <c r="WYV516" s="1502"/>
      <c r="WYW516" s="1502"/>
      <c r="WYX516" s="1502"/>
      <c r="WYY516" s="1502"/>
      <c r="WYZ516" s="1503"/>
      <c r="WZA516" s="1504"/>
      <c r="WZB516" s="1505"/>
      <c r="WZC516" s="1506"/>
      <c r="WZD516" s="1507"/>
      <c r="WZE516" s="1508"/>
      <c r="WZF516" s="1509"/>
      <c r="WZG516" s="1510"/>
      <c r="WZH516" s="1509"/>
      <c r="WZI516" s="1511"/>
      <c r="WZJ516" s="1512"/>
      <c r="WZK516" s="1508"/>
      <c r="WZL516" s="1508"/>
      <c r="WZM516" s="1508"/>
      <c r="WZN516" s="1502"/>
      <c r="WZO516" s="1502"/>
      <c r="WZP516" s="1502"/>
      <c r="WZQ516" s="1502"/>
      <c r="WZR516" s="1503"/>
      <c r="WZS516" s="1504"/>
      <c r="WZT516" s="1505"/>
      <c r="WZU516" s="1506"/>
      <c r="WZV516" s="1507"/>
      <c r="WZW516" s="1508"/>
      <c r="WZX516" s="1509"/>
      <c r="WZY516" s="1510"/>
      <c r="WZZ516" s="1509"/>
      <c r="XAA516" s="1511"/>
      <c r="XAB516" s="1512"/>
      <c r="XAC516" s="1508"/>
      <c r="XAD516" s="1508"/>
      <c r="XAE516" s="1508"/>
      <c r="XAF516" s="1502"/>
      <c r="XAG516" s="1502"/>
      <c r="XAH516" s="1502"/>
      <c r="XAI516" s="1502"/>
      <c r="XAJ516" s="1503"/>
      <c r="XAK516" s="1504"/>
      <c r="XAL516" s="1505"/>
      <c r="XAM516" s="1506"/>
      <c r="XAN516" s="1507"/>
      <c r="XAO516" s="1508"/>
      <c r="XAP516" s="1509"/>
      <c r="XAQ516" s="1510"/>
      <c r="XAR516" s="1509"/>
      <c r="XAS516" s="1511"/>
      <c r="XAT516" s="1512"/>
      <c r="XAU516" s="1508"/>
      <c r="XAV516" s="1508"/>
      <c r="XAW516" s="1508"/>
      <c r="XAX516" s="1502"/>
      <c r="XAY516" s="1502"/>
      <c r="XAZ516" s="1502"/>
      <c r="XBA516" s="1502"/>
      <c r="XBB516" s="1503"/>
      <c r="XBC516" s="1504"/>
      <c r="XBD516" s="1505"/>
      <c r="XBE516" s="1506"/>
      <c r="XBF516" s="1507"/>
      <c r="XBG516" s="1508"/>
      <c r="XBH516" s="1509"/>
      <c r="XBI516" s="1510"/>
      <c r="XBJ516" s="1509"/>
      <c r="XBK516" s="1511"/>
      <c r="XBL516" s="1512"/>
      <c r="XBM516" s="1508"/>
      <c r="XBN516" s="1508"/>
      <c r="XBO516" s="1508"/>
      <c r="XBP516" s="1502"/>
      <c r="XBQ516" s="1502"/>
      <c r="XBR516" s="1502"/>
      <c r="XBS516" s="1502"/>
      <c r="XBT516" s="1503"/>
      <c r="XBU516" s="1504"/>
      <c r="XBV516" s="1505"/>
      <c r="XBW516" s="1506"/>
      <c r="XBX516" s="1507"/>
      <c r="XBY516" s="1508"/>
      <c r="XBZ516" s="1509"/>
      <c r="XCA516" s="1510"/>
      <c r="XCB516" s="1509"/>
      <c r="XCC516" s="1511"/>
      <c r="XCD516" s="1512"/>
      <c r="XCE516" s="1508"/>
      <c r="XCF516" s="1508"/>
      <c r="XCG516" s="1508"/>
      <c r="XCH516" s="1502"/>
      <c r="XCI516" s="1502"/>
      <c r="XCJ516" s="1502"/>
      <c r="XCK516" s="1502"/>
      <c r="XCL516" s="1503"/>
      <c r="XCM516" s="1504"/>
      <c r="XCN516" s="1505"/>
      <c r="XCO516" s="1506"/>
      <c r="XCP516" s="1507"/>
      <c r="XCQ516" s="1508"/>
      <c r="XCR516" s="1509"/>
      <c r="XCS516" s="1510"/>
      <c r="XCT516" s="1509"/>
      <c r="XCU516" s="1511"/>
      <c r="XCV516" s="1512"/>
      <c r="XCW516" s="1508"/>
      <c r="XCX516" s="1508"/>
      <c r="XCY516" s="1508"/>
      <c r="XCZ516" s="1502"/>
      <c r="XDA516" s="1502"/>
      <c r="XDB516" s="1502"/>
      <c r="XDC516" s="1502"/>
      <c r="XDD516" s="1503"/>
      <c r="XDE516" s="1504"/>
      <c r="XDF516" s="1505"/>
      <c r="XDG516" s="1506"/>
      <c r="XDH516" s="1507"/>
      <c r="XDI516" s="1508"/>
      <c r="XDJ516" s="1509"/>
      <c r="XDK516" s="1510"/>
      <c r="XDL516" s="1509"/>
      <c r="XDM516" s="1511"/>
      <c r="XDN516" s="1512"/>
      <c r="XDO516" s="1508"/>
      <c r="XDP516" s="1508"/>
      <c r="XDQ516" s="1508"/>
      <c r="XDR516" s="1502"/>
      <c r="XDS516" s="1502"/>
      <c r="XDT516" s="1502"/>
      <c r="XDU516" s="1502"/>
      <c r="XDV516" s="1503"/>
      <c r="XDW516" s="1504"/>
      <c r="XDX516" s="1505"/>
      <c r="XDY516" s="1506"/>
      <c r="XDZ516" s="1507"/>
      <c r="XEA516" s="1508"/>
      <c r="XEB516" s="1509"/>
      <c r="XEC516" s="1510"/>
      <c r="XED516" s="1509"/>
      <c r="XEE516" s="1511"/>
      <c r="XEF516" s="1512"/>
      <c r="XEG516" s="1508"/>
      <c r="XEH516" s="1508"/>
      <c r="XEI516" s="1508"/>
      <c r="XEJ516" s="1502"/>
      <c r="XEK516" s="1502"/>
      <c r="XEL516" s="1502"/>
      <c r="XEM516" s="1502"/>
      <c r="XEN516" s="1503"/>
      <c r="XEO516" s="1504"/>
      <c r="XEP516" s="1505"/>
      <c r="XEQ516" s="1506"/>
      <c r="XER516" s="1507"/>
      <c r="XES516" s="1508"/>
      <c r="XET516" s="1509"/>
      <c r="XEU516" s="1510"/>
      <c r="XEV516" s="1509"/>
      <c r="XEW516" s="1511"/>
      <c r="XEX516" s="1512"/>
      <c r="XEY516" s="1508"/>
      <c r="XEZ516" s="1508"/>
      <c r="XFA516" s="1508"/>
    </row>
    <row r="517" spans="1:16381" s="1414" customFormat="1" ht="28.8" x14ac:dyDescent="0.3">
      <c r="A517" s="1358" t="s">
        <v>264</v>
      </c>
      <c r="B517" s="1359" t="s">
        <v>280</v>
      </c>
      <c r="C517" s="1360" t="s">
        <v>3851</v>
      </c>
      <c r="D517" s="1361" t="s">
        <v>34</v>
      </c>
      <c r="E517" s="1362" t="s">
        <v>282</v>
      </c>
      <c r="F517" s="1368" t="s">
        <v>285</v>
      </c>
      <c r="G517" s="1363">
        <v>1.1022000000000001</v>
      </c>
      <c r="H517" s="1364">
        <v>26678.01</v>
      </c>
      <c r="I517" s="1365" t="s">
        <v>267</v>
      </c>
      <c r="J517" s="1364">
        <v>26678.01</v>
      </c>
      <c r="K517" s="1366">
        <v>0</v>
      </c>
      <c r="L517" s="1367">
        <v>0</v>
      </c>
      <c r="M517" s="1363" t="s">
        <v>55</v>
      </c>
      <c r="N517" s="1363" t="s">
        <v>3852</v>
      </c>
      <c r="O517" s="1363" t="s">
        <v>3853</v>
      </c>
      <c r="P517" s="1358" t="s">
        <v>40</v>
      </c>
      <c r="Q517" s="1358"/>
      <c r="R517" s="1358" t="s">
        <v>64</v>
      </c>
      <c r="S517" s="1358"/>
      <c r="T517" s="1358"/>
      <c r="U517" s="1358"/>
      <c r="V517" s="1358" t="s">
        <v>40</v>
      </c>
      <c r="W517" s="1358"/>
      <c r="X517" s="1358" t="s">
        <v>40</v>
      </c>
      <c r="Y517" s="1358"/>
      <c r="Z517" s="1358" t="s">
        <v>64</v>
      </c>
      <c r="AA517" s="1358"/>
      <c r="AB517" s="1358" t="s">
        <v>40</v>
      </c>
      <c r="AC517" s="1358"/>
      <c r="AD517" s="1358"/>
      <c r="AE517" s="1598">
        <v>46203</v>
      </c>
      <c r="AF517" s="1358" t="s">
        <v>247</v>
      </c>
      <c r="AG517" s="1358">
        <v>2023</v>
      </c>
      <c r="AH517" s="1364">
        <v>132005.47</v>
      </c>
      <c r="AI517" s="1564">
        <v>1810904226739</v>
      </c>
      <c r="AJ517" s="1358"/>
      <c r="AK517" s="1358" t="s">
        <v>43</v>
      </c>
      <c r="AL517" s="1358" t="s">
        <v>41</v>
      </c>
      <c r="AM517" s="1358">
        <v>0</v>
      </c>
      <c r="AN517" s="1358" t="s">
        <v>40</v>
      </c>
      <c r="AO517" s="1358"/>
      <c r="AP517" s="1358"/>
      <c r="AQ517" s="1358"/>
      <c r="AR517" s="1358"/>
      <c r="AS517" s="1358"/>
      <c r="AT517" s="1358"/>
      <c r="AU517" s="1358"/>
      <c r="AV517" s="1358"/>
      <c r="AW517" s="1358"/>
      <c r="AX517" s="1358"/>
      <c r="AY517" s="1358"/>
      <c r="AZ517" s="1358"/>
      <c r="BA517" s="1358"/>
      <c r="BB517" s="1358"/>
      <c r="BC517" s="1358"/>
      <c r="BD517" s="1358"/>
      <c r="BE517" s="1358"/>
      <c r="BF517" s="1358"/>
      <c r="BG517" s="1358"/>
      <c r="BH517" s="1358"/>
      <c r="BI517" s="1358"/>
      <c r="BJ517" s="1358"/>
      <c r="BK517" s="1358"/>
      <c r="BL517" s="1358"/>
      <c r="BM517" s="1358"/>
      <c r="BN517" s="1358"/>
      <c r="BO517" s="1358"/>
      <c r="BP517" s="1358"/>
      <c r="BQ517" s="1358"/>
      <c r="BR517" s="1358"/>
      <c r="BS517" s="1358"/>
      <c r="BT517" s="1358"/>
      <c r="BU517" s="1358"/>
      <c r="BV517" s="1358"/>
      <c r="BW517" s="1358"/>
      <c r="BX517" s="1358"/>
      <c r="BY517" s="1358"/>
      <c r="BZ517" s="1358"/>
      <c r="CA517" s="1358"/>
      <c r="CB517" s="1358"/>
      <c r="CC517" s="1358"/>
      <c r="CD517" s="1358"/>
      <c r="CE517" s="1358"/>
      <c r="CF517" s="1358"/>
      <c r="CG517" s="1358"/>
      <c r="CH517" s="1358"/>
      <c r="CI517" s="1358"/>
      <c r="CJ517" s="1358"/>
      <c r="CK517" s="1358"/>
      <c r="CL517" s="1358"/>
      <c r="CM517" s="1358"/>
      <c r="CN517" s="1358"/>
      <c r="CO517" s="1358"/>
      <c r="CP517" s="1358"/>
      <c r="CQ517" s="1358"/>
      <c r="CR517" s="1358"/>
      <c r="CS517" s="1358"/>
      <c r="CT517" s="1358"/>
      <c r="CU517" s="1358"/>
      <c r="CV517" s="1358"/>
      <c r="CW517" s="1358"/>
      <c r="CX517" s="1358"/>
      <c r="CY517" s="1358"/>
      <c r="CZ517" s="1358"/>
      <c r="DA517" s="1358"/>
      <c r="DB517" s="1358"/>
      <c r="DC517" s="1358"/>
      <c r="DD517" s="1358"/>
      <c r="DE517" s="1358"/>
      <c r="DF517" s="1358"/>
      <c r="DG517" s="1358"/>
      <c r="DH517" s="1358"/>
      <c r="DI517" s="1358"/>
      <c r="DJ517" s="1358"/>
      <c r="DK517" s="1358"/>
      <c r="DL517" s="1358"/>
      <c r="DM517" s="1358"/>
      <c r="DN517" s="1358"/>
      <c r="DO517" s="1358"/>
      <c r="DP517" s="1358"/>
      <c r="DQ517" s="1358"/>
      <c r="DR517" s="1358"/>
      <c r="DS517" s="1358"/>
      <c r="DT517" s="1358"/>
      <c r="DU517" s="1358"/>
      <c r="DV517" s="1358"/>
      <c r="DW517" s="1358"/>
      <c r="DX517" s="1358"/>
      <c r="DY517" s="1358"/>
      <c r="DZ517" s="1358"/>
      <c r="EA517" s="1358"/>
      <c r="EB517" s="1358"/>
      <c r="EC517" s="1358"/>
      <c r="ED517" s="1358"/>
      <c r="EE517" s="1358"/>
      <c r="EF517" s="1358"/>
      <c r="EG517" s="1358"/>
      <c r="EH517" s="1358"/>
      <c r="EI517" s="1358"/>
      <c r="EJ517" s="1358"/>
      <c r="EK517" s="1358"/>
      <c r="EL517" s="1358"/>
      <c r="EM517" s="1358"/>
      <c r="EN517" s="1358"/>
      <c r="EO517" s="1358"/>
      <c r="EP517" s="1358"/>
      <c r="EQ517" s="1358"/>
      <c r="ER517" s="1358"/>
      <c r="ES517" s="1358"/>
      <c r="ET517" s="1358"/>
      <c r="EU517" s="1358"/>
      <c r="EV517" s="1358"/>
      <c r="EW517" s="1358"/>
      <c r="EX517" s="1358"/>
      <c r="EY517" s="1358"/>
      <c r="EZ517" s="1358"/>
      <c r="FA517" s="1358"/>
      <c r="FB517" s="1358"/>
      <c r="FC517" s="1358"/>
      <c r="FD517" s="1358"/>
      <c r="FE517" s="1358"/>
      <c r="FF517" s="1358"/>
      <c r="FG517" s="1358"/>
      <c r="FH517" s="1358"/>
      <c r="FI517" s="1358"/>
      <c r="FJ517" s="1358"/>
      <c r="FK517" s="1358"/>
      <c r="FL517" s="1358"/>
      <c r="FM517" s="1358"/>
      <c r="FN517" s="1358"/>
      <c r="FO517" s="1358"/>
      <c r="FP517" s="1358"/>
      <c r="FQ517" s="1358"/>
      <c r="FR517" s="1358"/>
      <c r="FS517" s="1358"/>
      <c r="FT517" s="1358"/>
      <c r="FU517" s="1358"/>
      <c r="FV517" s="1358"/>
      <c r="FW517" s="1358"/>
      <c r="FX517" s="1358"/>
      <c r="FY517" s="1358"/>
      <c r="FZ517" s="1358"/>
      <c r="GA517" s="1358"/>
      <c r="GB517" s="1358"/>
      <c r="GC517" s="1358"/>
      <c r="GD517" s="1358"/>
      <c r="GE517" s="1358"/>
      <c r="GF517" s="1358"/>
      <c r="GG517" s="1358"/>
      <c r="GH517" s="1358"/>
      <c r="GI517" s="1358"/>
      <c r="GJ517" s="1358"/>
      <c r="GK517" s="1358"/>
      <c r="GL517" s="1358"/>
      <c r="GM517" s="1358"/>
      <c r="GN517" s="1358"/>
      <c r="GO517" s="1358"/>
      <c r="GP517" s="1358"/>
      <c r="GQ517" s="1358"/>
      <c r="GR517" s="1358"/>
      <c r="GS517" s="1358"/>
      <c r="GT517" s="1358"/>
      <c r="GU517" s="1358"/>
      <c r="GV517" s="1358"/>
      <c r="GW517" s="1358"/>
      <c r="GX517" s="1358"/>
      <c r="GY517" s="1358"/>
      <c r="GZ517" s="1358"/>
      <c r="HA517" s="1358"/>
      <c r="HB517" s="1358"/>
      <c r="HC517" s="1358"/>
      <c r="HD517" s="1358"/>
      <c r="HE517" s="1358"/>
      <c r="HF517" s="1358"/>
      <c r="HG517" s="1358"/>
      <c r="HH517" s="1358"/>
      <c r="HI517" s="1358"/>
      <c r="HJ517" s="1358"/>
      <c r="HK517" s="1358"/>
      <c r="HL517" s="1358"/>
      <c r="HM517" s="1358"/>
      <c r="HN517" s="1358"/>
      <c r="HO517" s="1358"/>
      <c r="HP517" s="1358"/>
      <c r="HQ517" s="1358"/>
      <c r="HR517" s="1358"/>
      <c r="HS517" s="1358"/>
      <c r="HT517" s="1358"/>
      <c r="HU517" s="1358"/>
      <c r="HV517" s="1358"/>
      <c r="HW517" s="1358"/>
      <c r="HX517" s="1358"/>
      <c r="HY517" s="1358"/>
      <c r="HZ517" s="1358"/>
      <c r="IA517" s="1358"/>
      <c r="IB517" s="1358"/>
      <c r="IC517" s="1358"/>
      <c r="ID517" s="1358"/>
      <c r="IE517" s="1358"/>
      <c r="IF517" s="1358"/>
      <c r="IG517" s="1358"/>
      <c r="IH517" s="1358"/>
      <c r="II517" s="1358"/>
      <c r="IJ517" s="1358"/>
      <c r="IK517" s="1358"/>
      <c r="IL517" s="1358"/>
      <c r="IM517" s="1358"/>
      <c r="IN517" s="1358"/>
      <c r="IO517" s="1358"/>
      <c r="IP517" s="1358"/>
      <c r="IQ517" s="1358"/>
      <c r="IR517" s="1358"/>
      <c r="IS517" s="1358"/>
      <c r="IT517" s="1358"/>
      <c r="IU517" s="1358"/>
      <c r="IV517" s="1358"/>
      <c r="IW517" s="1358"/>
      <c r="IX517" s="1358"/>
      <c r="IY517" s="1358"/>
      <c r="IZ517" s="1358"/>
      <c r="JA517" s="1358"/>
      <c r="JB517" s="1358"/>
      <c r="JC517" s="1358"/>
      <c r="JD517" s="1358"/>
      <c r="JE517" s="1358"/>
      <c r="JF517" s="1358"/>
      <c r="JG517" s="1358"/>
      <c r="JH517" s="1358"/>
      <c r="JI517" s="1358"/>
      <c r="JJ517" s="1358"/>
      <c r="JK517" s="1358"/>
      <c r="JL517" s="1358"/>
      <c r="JM517" s="1358"/>
      <c r="JN517" s="1358"/>
      <c r="JO517" s="1358"/>
      <c r="JP517" s="1358"/>
      <c r="JQ517" s="1358"/>
      <c r="JR517" s="1358"/>
      <c r="JS517" s="1358"/>
      <c r="JT517" s="1358"/>
      <c r="JU517" s="1358"/>
      <c r="JV517" s="1358"/>
      <c r="JW517" s="1358"/>
      <c r="JX517" s="1358"/>
      <c r="JY517" s="1358"/>
      <c r="JZ517" s="1358"/>
      <c r="KA517" s="1358"/>
      <c r="KB517" s="1358"/>
      <c r="KC517" s="1358"/>
      <c r="KD517" s="1358"/>
      <c r="KE517" s="1358"/>
      <c r="KF517" s="1358"/>
      <c r="KG517" s="1358"/>
      <c r="KH517" s="1358"/>
      <c r="KI517" s="1358"/>
      <c r="KJ517" s="1358"/>
      <c r="KK517" s="1358"/>
      <c r="KL517" s="1358"/>
      <c r="KM517" s="1358"/>
      <c r="KN517" s="1358"/>
      <c r="KO517" s="1358"/>
      <c r="KP517" s="1358"/>
      <c r="KQ517" s="1358"/>
      <c r="KR517" s="1358"/>
      <c r="KS517" s="1358"/>
      <c r="KT517" s="1358"/>
      <c r="KU517" s="1358"/>
      <c r="KV517" s="1358"/>
      <c r="KW517" s="1358"/>
      <c r="KX517" s="1358"/>
      <c r="KY517" s="1358"/>
      <c r="KZ517" s="1358"/>
      <c r="LA517" s="1358"/>
      <c r="LB517" s="1358"/>
      <c r="LC517" s="1358"/>
      <c r="LD517" s="1358"/>
      <c r="LE517" s="1358"/>
      <c r="LF517" s="1358"/>
      <c r="LG517" s="1358"/>
      <c r="LH517" s="1358"/>
      <c r="LI517" s="1358"/>
      <c r="LJ517" s="1358"/>
      <c r="LK517" s="1358"/>
      <c r="LL517" s="1358"/>
      <c r="LM517" s="1358"/>
      <c r="LN517" s="1358"/>
      <c r="LO517" s="1358"/>
      <c r="LP517" s="1358"/>
      <c r="LQ517" s="1358"/>
      <c r="LR517" s="1358"/>
      <c r="LS517" s="1358"/>
      <c r="LT517" s="1358"/>
      <c r="LU517" s="1358"/>
      <c r="LV517" s="1358"/>
      <c r="LW517" s="1358"/>
      <c r="LX517" s="1358"/>
      <c r="LY517" s="1358"/>
      <c r="LZ517" s="1358"/>
      <c r="MA517" s="1358"/>
      <c r="MB517" s="1358"/>
      <c r="MC517" s="1358"/>
      <c r="MD517" s="1358"/>
      <c r="ME517" s="1358"/>
      <c r="MF517" s="1358"/>
      <c r="MG517" s="1358"/>
      <c r="MH517" s="1358"/>
      <c r="MI517" s="1358"/>
      <c r="MJ517" s="1358"/>
      <c r="MK517" s="1358"/>
      <c r="ML517" s="1358"/>
      <c r="MM517" s="1358"/>
      <c r="MN517" s="1358"/>
      <c r="MO517" s="1358"/>
      <c r="MP517" s="1358"/>
      <c r="MQ517" s="1358"/>
      <c r="MR517" s="1358"/>
      <c r="MS517" s="1358"/>
      <c r="MT517" s="1358"/>
      <c r="MU517" s="1358"/>
      <c r="MV517" s="1358"/>
      <c r="MW517" s="1358"/>
      <c r="MX517" s="1358"/>
      <c r="MY517" s="1358"/>
      <c r="MZ517" s="1358"/>
      <c r="NA517" s="1358"/>
      <c r="NB517" s="1358"/>
      <c r="NC517" s="1358"/>
      <c r="ND517" s="1358"/>
      <c r="NE517" s="1358"/>
      <c r="NF517" s="1358"/>
      <c r="NG517" s="1358"/>
      <c r="NH517" s="1358"/>
      <c r="NI517" s="1358"/>
      <c r="NJ517" s="1358"/>
      <c r="NK517" s="1358"/>
      <c r="NL517" s="1358"/>
      <c r="NM517" s="1358"/>
      <c r="NN517" s="1358"/>
      <c r="NO517" s="1358"/>
      <c r="NP517" s="1358"/>
      <c r="NQ517" s="1358"/>
      <c r="NR517" s="1358"/>
      <c r="NS517" s="1358"/>
      <c r="NT517" s="1358"/>
      <c r="NU517" s="1358"/>
      <c r="NV517" s="1358"/>
      <c r="NW517" s="1358"/>
      <c r="NX517" s="1358"/>
      <c r="NY517" s="1358"/>
      <c r="NZ517" s="1358"/>
      <c r="OA517" s="1358"/>
      <c r="OB517" s="1358"/>
      <c r="OC517" s="1358"/>
      <c r="OD517" s="1358"/>
      <c r="OE517" s="1358"/>
      <c r="OF517" s="1358"/>
      <c r="OG517" s="1358"/>
      <c r="OH517" s="1358"/>
      <c r="OI517" s="1358"/>
      <c r="OJ517" s="1358"/>
      <c r="OK517" s="1358"/>
      <c r="OL517" s="1358"/>
      <c r="OM517" s="1358"/>
      <c r="ON517" s="1358"/>
      <c r="OO517" s="1358"/>
      <c r="OP517" s="1358"/>
      <c r="OQ517" s="1358"/>
      <c r="OR517" s="1358"/>
      <c r="OS517" s="1358"/>
      <c r="OT517" s="1358"/>
      <c r="OU517" s="1358"/>
      <c r="OV517" s="1358"/>
      <c r="OW517" s="1358"/>
      <c r="OX517" s="1358"/>
      <c r="OY517" s="1358"/>
      <c r="OZ517" s="1358"/>
      <c r="PA517" s="1358"/>
      <c r="PB517" s="1358"/>
      <c r="PC517" s="1358"/>
      <c r="PD517" s="1358"/>
      <c r="PE517" s="1358"/>
      <c r="PF517" s="1358"/>
      <c r="PG517" s="1358"/>
      <c r="PH517" s="1358"/>
      <c r="PI517" s="1358"/>
      <c r="PJ517" s="1358"/>
      <c r="PK517" s="1358"/>
      <c r="PL517" s="1358"/>
      <c r="PM517" s="1358"/>
      <c r="PN517" s="1358"/>
      <c r="PO517" s="1358"/>
      <c r="PP517" s="1358"/>
      <c r="PQ517" s="1358"/>
      <c r="PR517" s="1358"/>
      <c r="PS517" s="1358"/>
      <c r="PT517" s="1358"/>
      <c r="PU517" s="1358"/>
      <c r="PV517" s="1358"/>
      <c r="PW517" s="1358"/>
      <c r="PX517" s="1358"/>
      <c r="PY517" s="1358"/>
      <c r="PZ517" s="1358"/>
      <c r="QA517" s="1358"/>
      <c r="QB517" s="1358"/>
      <c r="QC517" s="1358"/>
      <c r="QD517" s="1358"/>
      <c r="QE517" s="1358"/>
      <c r="QF517" s="1358"/>
      <c r="QG517" s="1358"/>
      <c r="QH517" s="1358"/>
      <c r="QI517" s="1358"/>
      <c r="QJ517" s="1358"/>
      <c r="QK517" s="1358"/>
      <c r="QL517" s="1358"/>
      <c r="QM517" s="1358"/>
      <c r="QN517" s="1358"/>
      <c r="QO517" s="1358"/>
      <c r="QP517" s="1358"/>
      <c r="QQ517" s="1358"/>
      <c r="QR517" s="1358"/>
      <c r="QS517" s="1358"/>
      <c r="QT517" s="1358"/>
      <c r="QU517" s="1358"/>
      <c r="QV517" s="1358"/>
      <c r="QW517" s="1358"/>
      <c r="QX517" s="1358"/>
      <c r="QY517" s="1358"/>
      <c r="QZ517" s="1358"/>
      <c r="RA517" s="1358"/>
      <c r="RB517" s="1358"/>
      <c r="RC517" s="1358"/>
      <c r="RD517" s="1358"/>
      <c r="RE517" s="1358"/>
      <c r="RF517" s="1358"/>
      <c r="RG517" s="1358"/>
      <c r="RH517" s="1358"/>
      <c r="RI517" s="1358"/>
      <c r="RJ517" s="1358"/>
      <c r="RK517" s="1358"/>
      <c r="RL517" s="1358"/>
      <c r="RM517" s="1358"/>
      <c r="RN517" s="1358"/>
      <c r="RO517" s="1358"/>
      <c r="RP517" s="1358"/>
      <c r="RQ517" s="1358"/>
      <c r="RR517" s="1358"/>
      <c r="RS517" s="1358"/>
      <c r="RT517" s="1358"/>
      <c r="RU517" s="1358"/>
      <c r="RV517" s="1358"/>
      <c r="RW517" s="1358"/>
      <c r="RX517" s="1358"/>
      <c r="RY517" s="1358"/>
      <c r="RZ517" s="1358"/>
      <c r="SA517" s="1358"/>
      <c r="SB517" s="1358"/>
      <c r="SC517" s="1358"/>
      <c r="SD517" s="1358"/>
      <c r="SE517" s="1358"/>
      <c r="SF517" s="1358"/>
      <c r="SG517" s="1358"/>
      <c r="SH517" s="1358"/>
      <c r="SI517" s="1358"/>
      <c r="SJ517" s="1358"/>
      <c r="SK517" s="1358"/>
      <c r="SL517" s="1358"/>
      <c r="SM517" s="1358"/>
      <c r="SN517" s="1358"/>
      <c r="SO517" s="1358"/>
      <c r="SP517" s="1358"/>
      <c r="SQ517" s="1358"/>
      <c r="SR517" s="1358"/>
      <c r="SS517" s="1358"/>
      <c r="ST517" s="1358"/>
      <c r="SU517" s="1358"/>
      <c r="SV517" s="1358"/>
      <c r="SW517" s="1358"/>
      <c r="SX517" s="1358"/>
      <c r="SY517" s="1358"/>
      <c r="SZ517" s="1358"/>
      <c r="TA517" s="1358"/>
      <c r="TB517" s="1358"/>
      <c r="TC517" s="1358"/>
      <c r="TD517" s="1358"/>
      <c r="TE517" s="1358"/>
      <c r="TF517" s="1358"/>
      <c r="TG517" s="1358"/>
      <c r="TH517" s="1358"/>
      <c r="TI517" s="1358"/>
      <c r="TJ517" s="1358"/>
      <c r="TK517" s="1358"/>
      <c r="TL517" s="1358"/>
      <c r="TM517" s="1358"/>
      <c r="TN517" s="1358"/>
      <c r="TO517" s="1358"/>
      <c r="TP517" s="1358"/>
      <c r="TQ517" s="1358"/>
      <c r="TR517" s="1358"/>
      <c r="TS517" s="1358"/>
      <c r="TT517" s="1358"/>
      <c r="TU517" s="1358"/>
      <c r="TV517" s="1358"/>
      <c r="TW517" s="1358"/>
      <c r="TX517" s="1358"/>
      <c r="TY517" s="1358"/>
      <c r="TZ517" s="1358"/>
      <c r="UA517" s="1358"/>
      <c r="UB517" s="1358"/>
      <c r="UC517" s="1358"/>
      <c r="UD517" s="1358"/>
      <c r="UE517" s="1358"/>
      <c r="UF517" s="1358"/>
      <c r="UG517" s="1358"/>
      <c r="UH517" s="1358"/>
      <c r="UI517" s="1358"/>
      <c r="UJ517" s="1358"/>
      <c r="UK517" s="1358"/>
      <c r="UL517" s="1358"/>
      <c r="UM517" s="1358"/>
      <c r="UN517" s="1358"/>
      <c r="UO517" s="1358"/>
      <c r="UP517" s="1358"/>
      <c r="UQ517" s="1358"/>
      <c r="UR517" s="1358"/>
      <c r="US517" s="1358"/>
      <c r="UT517" s="1358"/>
      <c r="UU517" s="1358"/>
      <c r="UV517" s="1358"/>
      <c r="UW517" s="1358"/>
      <c r="UX517" s="1358"/>
      <c r="UY517" s="1358"/>
      <c r="UZ517" s="1358"/>
      <c r="VA517" s="1358"/>
      <c r="VB517" s="1358"/>
      <c r="VC517" s="1358"/>
      <c r="VD517" s="1358"/>
      <c r="VE517" s="1358"/>
      <c r="VF517" s="1358"/>
      <c r="VG517" s="1358"/>
      <c r="VH517" s="1358"/>
      <c r="VI517" s="1358"/>
      <c r="VJ517" s="1358"/>
      <c r="VK517" s="1358"/>
      <c r="VL517" s="1358"/>
      <c r="VM517" s="1358"/>
      <c r="VN517" s="1358"/>
      <c r="VO517" s="1358"/>
      <c r="VP517" s="1358"/>
      <c r="VQ517" s="1358"/>
      <c r="VR517" s="1358"/>
      <c r="VS517" s="1358"/>
      <c r="VT517" s="1358"/>
      <c r="VU517" s="1358"/>
      <c r="VV517" s="1358"/>
      <c r="VW517" s="1358"/>
      <c r="VX517" s="1358"/>
      <c r="VY517" s="1358"/>
      <c r="VZ517" s="1358"/>
      <c r="WA517" s="1358"/>
      <c r="WB517" s="1358"/>
      <c r="WC517" s="1358"/>
      <c r="WD517" s="1358"/>
      <c r="WE517" s="1358"/>
      <c r="WF517" s="1358"/>
      <c r="WG517" s="1358"/>
      <c r="WH517" s="1358"/>
      <c r="WI517" s="1358"/>
      <c r="WJ517" s="1358"/>
      <c r="WK517" s="1358"/>
      <c r="WL517" s="1358"/>
      <c r="WM517" s="1358"/>
      <c r="WN517" s="1358"/>
      <c r="WO517" s="1358"/>
      <c r="WP517" s="1358"/>
      <c r="WQ517" s="1358"/>
      <c r="WR517" s="1358"/>
      <c r="WS517" s="1358"/>
      <c r="WT517" s="1358"/>
      <c r="WU517" s="1358"/>
      <c r="WV517" s="1358"/>
      <c r="WW517" s="1358"/>
      <c r="WX517" s="1358"/>
      <c r="WY517" s="1358"/>
      <c r="WZ517" s="1358"/>
      <c r="XA517" s="1358"/>
      <c r="XB517" s="1358"/>
      <c r="XC517" s="1358"/>
      <c r="XD517" s="1358"/>
      <c r="XE517" s="1358"/>
      <c r="XF517" s="1358"/>
      <c r="XG517" s="1358"/>
      <c r="XH517" s="1358"/>
      <c r="XI517" s="1358"/>
      <c r="XJ517" s="1358"/>
      <c r="XK517" s="1358"/>
      <c r="XL517" s="1358"/>
      <c r="XM517" s="1358"/>
      <c r="XN517" s="1358"/>
      <c r="XO517" s="1358"/>
      <c r="XP517" s="1358"/>
      <c r="XQ517" s="1358"/>
      <c r="XR517" s="1358"/>
      <c r="XS517" s="1358"/>
      <c r="XT517" s="1358"/>
      <c r="XU517" s="1358"/>
      <c r="XV517" s="1358"/>
      <c r="XW517" s="1358"/>
      <c r="XX517" s="1358"/>
      <c r="XY517" s="1358"/>
      <c r="XZ517" s="1358"/>
      <c r="YA517" s="1358"/>
      <c r="YB517" s="1358"/>
      <c r="YC517" s="1358"/>
      <c r="YD517" s="1358"/>
      <c r="YE517" s="1358"/>
      <c r="YF517" s="1358"/>
      <c r="YG517" s="1358"/>
      <c r="YH517" s="1358"/>
      <c r="YI517" s="1358"/>
      <c r="YJ517" s="1358"/>
      <c r="YK517" s="1358"/>
      <c r="YL517" s="1358"/>
      <c r="YM517" s="1358"/>
      <c r="YN517" s="1358"/>
      <c r="YO517" s="1358"/>
      <c r="YP517" s="1358"/>
      <c r="YQ517" s="1358"/>
      <c r="YR517" s="1358"/>
      <c r="YS517" s="1358"/>
      <c r="YT517" s="1358"/>
      <c r="YU517" s="1358"/>
      <c r="YV517" s="1358"/>
      <c r="YW517" s="1358"/>
      <c r="YX517" s="1358"/>
      <c r="YY517" s="1358"/>
      <c r="YZ517" s="1358"/>
      <c r="ZA517" s="1358"/>
      <c r="ZB517" s="1358"/>
      <c r="ZC517" s="1358"/>
      <c r="ZD517" s="1358"/>
      <c r="ZE517" s="1358"/>
      <c r="ZF517" s="1358"/>
      <c r="ZG517" s="1358"/>
      <c r="ZH517" s="1358"/>
      <c r="ZI517" s="1358"/>
      <c r="ZJ517" s="1358"/>
      <c r="ZK517" s="1358"/>
      <c r="ZL517" s="1358"/>
      <c r="ZM517" s="1358"/>
      <c r="ZN517" s="1358"/>
      <c r="ZO517" s="1358"/>
      <c r="ZP517" s="1358"/>
      <c r="ZQ517" s="1358"/>
      <c r="ZR517" s="1358"/>
      <c r="ZS517" s="1358"/>
      <c r="ZT517" s="1358"/>
      <c r="ZU517" s="1358"/>
      <c r="ZV517" s="1358"/>
      <c r="ZW517" s="1358"/>
      <c r="ZX517" s="1358"/>
      <c r="ZY517" s="1358"/>
      <c r="ZZ517" s="1358"/>
      <c r="AAA517" s="1358"/>
      <c r="AAB517" s="1358"/>
      <c r="AAC517" s="1358"/>
      <c r="AAD517" s="1358"/>
      <c r="AAE517" s="1358"/>
      <c r="AAF517" s="1358"/>
      <c r="AAG517" s="1358"/>
      <c r="AAH517" s="1358"/>
      <c r="AAI517" s="1358"/>
      <c r="AAJ517" s="1358"/>
      <c r="AAK517" s="1358"/>
      <c r="AAL517" s="1358"/>
      <c r="AAM517" s="1358"/>
      <c r="AAN517" s="1358"/>
      <c r="AAO517" s="1358"/>
      <c r="AAP517" s="1358"/>
      <c r="AAQ517" s="1358"/>
      <c r="AAR517" s="1358"/>
      <c r="AAS517" s="1358"/>
      <c r="AAT517" s="1358"/>
      <c r="AAU517" s="1358"/>
      <c r="AAV517" s="1358"/>
      <c r="AAW517" s="1358"/>
      <c r="AAX517" s="1358"/>
      <c r="AAY517" s="1358"/>
      <c r="AAZ517" s="1358"/>
      <c r="ABA517" s="1358"/>
      <c r="ABB517" s="1358"/>
      <c r="ABC517" s="1358"/>
      <c r="ABD517" s="1358"/>
      <c r="ABE517" s="1358"/>
      <c r="ABF517" s="1358"/>
      <c r="ABG517" s="1358"/>
      <c r="ABH517" s="1358"/>
      <c r="ABI517" s="1358"/>
      <c r="ABJ517" s="1358"/>
      <c r="ABK517" s="1358"/>
      <c r="ABL517" s="1358"/>
      <c r="ABM517" s="1358"/>
      <c r="ABN517" s="1358"/>
      <c r="ABO517" s="1358"/>
      <c r="ABP517" s="1358"/>
      <c r="ABQ517" s="1358"/>
      <c r="ABR517" s="1358"/>
      <c r="ABS517" s="1358"/>
      <c r="ABT517" s="1358"/>
      <c r="ABU517" s="1358"/>
      <c r="ABV517" s="1358"/>
      <c r="ABW517" s="1358"/>
      <c r="ABX517" s="1358"/>
      <c r="ABY517" s="1358"/>
      <c r="ABZ517" s="1358"/>
      <c r="ACA517" s="1358"/>
      <c r="ACB517" s="1358"/>
      <c r="ACC517" s="1358"/>
      <c r="ACD517" s="1358"/>
      <c r="ACE517" s="1358"/>
      <c r="ACF517" s="1358"/>
      <c r="ACG517" s="1358"/>
      <c r="ACH517" s="1358"/>
      <c r="ACI517" s="1358"/>
      <c r="ACJ517" s="1358"/>
      <c r="ACK517" s="1358"/>
      <c r="ACL517" s="1358"/>
      <c r="ACM517" s="1358"/>
      <c r="ACN517" s="1358"/>
      <c r="ACO517" s="1358"/>
      <c r="ACP517" s="1358"/>
      <c r="ACQ517" s="1358"/>
      <c r="ACR517" s="1358"/>
      <c r="ACS517" s="1358"/>
      <c r="ACT517" s="1358"/>
      <c r="ACU517" s="1358"/>
      <c r="ACV517" s="1358"/>
      <c r="ACW517" s="1358"/>
      <c r="ACX517" s="1358"/>
      <c r="ACY517" s="1358"/>
      <c r="ACZ517" s="1358"/>
      <c r="ADA517" s="1358"/>
      <c r="ADB517" s="1358"/>
      <c r="ADC517" s="1358"/>
      <c r="ADD517" s="1358"/>
      <c r="ADE517" s="1358"/>
      <c r="ADF517" s="1358"/>
      <c r="ADG517" s="1358"/>
      <c r="ADH517" s="1358"/>
      <c r="ADI517" s="1358"/>
      <c r="ADJ517" s="1358"/>
      <c r="ADK517" s="1358"/>
      <c r="ADL517" s="1358"/>
      <c r="ADM517" s="1358"/>
      <c r="ADN517" s="1358"/>
      <c r="ADO517" s="1358"/>
      <c r="ADP517" s="1358"/>
      <c r="ADQ517" s="1358"/>
      <c r="ADR517" s="1358"/>
      <c r="ADS517" s="1358"/>
      <c r="ADT517" s="1358"/>
      <c r="ADU517" s="1358"/>
      <c r="ADV517" s="1358"/>
      <c r="ADW517" s="1358"/>
      <c r="ADX517" s="1358"/>
      <c r="ADY517" s="1358"/>
      <c r="ADZ517" s="1358"/>
      <c r="AEA517" s="1358"/>
      <c r="AEB517" s="1358"/>
      <c r="AEC517" s="1358"/>
      <c r="AED517" s="1358"/>
      <c r="AEE517" s="1358"/>
      <c r="AEF517" s="1358"/>
      <c r="AEG517" s="1358"/>
      <c r="AEH517" s="1358"/>
      <c r="AEI517" s="1358"/>
      <c r="AEJ517" s="1358"/>
      <c r="AEK517" s="1358"/>
      <c r="AEL517" s="1358"/>
      <c r="AEM517" s="1358"/>
      <c r="AEN517" s="1358"/>
      <c r="AEO517" s="1358"/>
      <c r="AEP517" s="1358"/>
      <c r="AEQ517" s="1358"/>
      <c r="AER517" s="1358"/>
      <c r="AES517" s="1358"/>
      <c r="AET517" s="1358"/>
      <c r="AEU517" s="1358"/>
      <c r="AEV517" s="1358"/>
      <c r="AEW517" s="1358"/>
      <c r="AEX517" s="1358"/>
      <c r="AEY517" s="1358"/>
      <c r="AEZ517" s="1358"/>
      <c r="AFA517" s="1358"/>
      <c r="AFB517" s="1358"/>
      <c r="AFC517" s="1358"/>
      <c r="AFD517" s="1358"/>
      <c r="AFE517" s="1358"/>
      <c r="AFF517" s="1358"/>
      <c r="AFG517" s="1358"/>
      <c r="AFH517" s="1358"/>
      <c r="AFI517" s="1358"/>
      <c r="AFJ517" s="1358"/>
      <c r="AFK517" s="1358"/>
      <c r="AFL517" s="1358"/>
      <c r="AFM517" s="1358"/>
      <c r="AFN517" s="1358"/>
      <c r="AFO517" s="1358"/>
      <c r="AFP517" s="1358"/>
      <c r="AFQ517" s="1358"/>
      <c r="AFR517" s="1358"/>
      <c r="AFS517" s="1358"/>
      <c r="AFT517" s="1358"/>
      <c r="AFU517" s="1358"/>
      <c r="AFV517" s="1358"/>
      <c r="AFW517" s="1358"/>
      <c r="AFX517" s="1358"/>
      <c r="AFY517" s="1358"/>
      <c r="AFZ517" s="1358"/>
      <c r="AGA517" s="1358"/>
      <c r="AGB517" s="1358"/>
      <c r="AGC517" s="1358"/>
      <c r="AGD517" s="1358"/>
      <c r="AGE517" s="1358"/>
      <c r="AGF517" s="1358"/>
      <c r="AGG517" s="1358"/>
      <c r="AGH517" s="1358"/>
      <c r="AGI517" s="1358"/>
      <c r="AGJ517" s="1358"/>
      <c r="AGK517" s="1358"/>
      <c r="AGL517" s="1358"/>
      <c r="AGM517" s="1358"/>
      <c r="AGN517" s="1358"/>
      <c r="AGO517" s="1358"/>
      <c r="AGP517" s="1358"/>
      <c r="AGQ517" s="1358"/>
      <c r="AGR517" s="1358"/>
      <c r="AGS517" s="1358"/>
      <c r="AGT517" s="1358"/>
      <c r="AGU517" s="1358"/>
      <c r="AGV517" s="1358"/>
      <c r="AGW517" s="1358"/>
      <c r="AGX517" s="1358"/>
      <c r="AGY517" s="1358"/>
      <c r="AGZ517" s="1358"/>
      <c r="AHA517" s="1358"/>
      <c r="AHB517" s="1358"/>
      <c r="AHC517" s="1358"/>
      <c r="AHD517" s="1358"/>
      <c r="AHE517" s="1358"/>
      <c r="AHF517" s="1358"/>
      <c r="AHG517" s="1358"/>
      <c r="AHH517" s="1358"/>
      <c r="AHI517" s="1358"/>
      <c r="AHJ517" s="1358"/>
      <c r="AHK517" s="1358"/>
      <c r="AHL517" s="1358"/>
      <c r="AHM517" s="1358"/>
      <c r="AHN517" s="1358"/>
      <c r="AHO517" s="1358"/>
      <c r="AHP517" s="1358"/>
      <c r="AHQ517" s="1358"/>
      <c r="AHR517" s="1358"/>
      <c r="AHS517" s="1358"/>
      <c r="AHT517" s="1358"/>
      <c r="AHU517" s="1358"/>
      <c r="AHV517" s="1358"/>
      <c r="AHW517" s="1358"/>
      <c r="AHX517" s="1358"/>
      <c r="AHY517" s="1358"/>
      <c r="AHZ517" s="1358"/>
      <c r="AIA517" s="1358"/>
      <c r="AIB517" s="1358"/>
      <c r="AIC517" s="1358"/>
      <c r="AID517" s="1358"/>
      <c r="AIE517" s="1358"/>
      <c r="AIF517" s="1358"/>
      <c r="AIG517" s="1358"/>
      <c r="AIH517" s="1358"/>
      <c r="AII517" s="1358"/>
      <c r="AIJ517" s="1358"/>
      <c r="AIK517" s="1358"/>
      <c r="AIL517" s="1358"/>
      <c r="AIM517" s="1358"/>
      <c r="AIN517" s="1358"/>
      <c r="AIO517" s="1358"/>
      <c r="AIP517" s="1358"/>
      <c r="AIQ517" s="1358"/>
      <c r="AIR517" s="1358"/>
      <c r="AIS517" s="1358"/>
      <c r="AIT517" s="1358"/>
      <c r="AIU517" s="1358"/>
      <c r="AIV517" s="1358"/>
      <c r="AIW517" s="1358"/>
      <c r="AIX517" s="1358"/>
      <c r="AIY517" s="1358"/>
      <c r="AIZ517" s="1358"/>
      <c r="AJA517" s="1358"/>
      <c r="AJB517" s="1358"/>
      <c r="AJC517" s="1358"/>
      <c r="AJD517" s="1358"/>
      <c r="AJE517" s="1358"/>
      <c r="AJF517" s="1358"/>
      <c r="AJG517" s="1358"/>
      <c r="AJH517" s="1358"/>
      <c r="AJI517" s="1358"/>
      <c r="AJJ517" s="1358"/>
      <c r="AJK517" s="1358"/>
      <c r="AJL517" s="1358"/>
      <c r="AJM517" s="1358"/>
      <c r="AJN517" s="1358"/>
      <c r="AJO517" s="1358"/>
      <c r="AJP517" s="1358"/>
      <c r="AJQ517" s="1358"/>
      <c r="AJR517" s="1358"/>
      <c r="AJS517" s="1358"/>
      <c r="AJT517" s="1358"/>
      <c r="AJU517" s="1358"/>
      <c r="AJV517" s="1358"/>
      <c r="AJW517" s="1358"/>
      <c r="AJX517" s="1358"/>
      <c r="AJY517" s="1358"/>
      <c r="AJZ517" s="1358"/>
      <c r="AKA517" s="1358"/>
      <c r="AKB517" s="1358"/>
      <c r="AKC517" s="1358"/>
      <c r="AKD517" s="1358"/>
      <c r="AKE517" s="1358"/>
      <c r="AKF517" s="1358"/>
      <c r="AKG517" s="1358"/>
      <c r="AKH517" s="1358"/>
      <c r="AKI517" s="1358"/>
      <c r="AKJ517" s="1358"/>
      <c r="AKK517" s="1358"/>
      <c r="AKL517" s="1358"/>
      <c r="AKM517" s="1358"/>
      <c r="AKN517" s="1358"/>
      <c r="AKO517" s="1358"/>
      <c r="AKP517" s="1358"/>
      <c r="AKQ517" s="1358"/>
      <c r="AKR517" s="1358"/>
      <c r="AKS517" s="1358"/>
      <c r="AKT517" s="1358"/>
      <c r="AKU517" s="1358"/>
      <c r="AKV517" s="1358"/>
      <c r="AKW517" s="1358"/>
      <c r="AKX517" s="1358"/>
      <c r="AKY517" s="1358"/>
      <c r="AKZ517" s="1358"/>
      <c r="ALA517" s="1358"/>
      <c r="ALB517" s="1358"/>
      <c r="ALC517" s="1358"/>
      <c r="ALD517" s="1358"/>
      <c r="ALE517" s="1358"/>
      <c r="ALF517" s="1358"/>
      <c r="ALG517" s="1358"/>
      <c r="ALH517" s="1358"/>
      <c r="ALI517" s="1358"/>
      <c r="ALJ517" s="1358"/>
      <c r="ALK517" s="1358"/>
      <c r="ALL517" s="1358"/>
      <c r="ALM517" s="1358"/>
      <c r="ALN517" s="1358"/>
      <c r="ALO517" s="1358"/>
      <c r="ALP517" s="1358"/>
      <c r="ALQ517" s="1358"/>
      <c r="ALR517" s="1358"/>
      <c r="ALS517" s="1358"/>
      <c r="ALT517" s="1358"/>
      <c r="ALU517" s="1358"/>
      <c r="ALV517" s="1358"/>
      <c r="ALW517" s="1358"/>
      <c r="ALX517" s="1358"/>
      <c r="ALY517" s="1358"/>
      <c r="ALZ517" s="1358"/>
      <c r="AMA517" s="1358"/>
      <c r="AMB517" s="1358"/>
      <c r="AMC517" s="1358"/>
      <c r="AMD517" s="1358"/>
      <c r="AME517" s="1358"/>
      <c r="AMF517" s="1358"/>
      <c r="AMG517" s="1358"/>
      <c r="AMH517" s="1358"/>
      <c r="AMI517" s="1358"/>
      <c r="AMJ517" s="1358"/>
      <c r="AMK517" s="1358"/>
      <c r="AML517" s="1358"/>
      <c r="AMM517" s="1358"/>
      <c r="AMN517" s="1358"/>
      <c r="AMO517" s="1358"/>
      <c r="AMP517" s="1358"/>
      <c r="AMQ517" s="1358"/>
      <c r="AMR517" s="1358"/>
      <c r="AMS517" s="1358"/>
      <c r="AMT517" s="1358"/>
      <c r="AMU517" s="1358"/>
      <c r="AMV517" s="1358"/>
      <c r="AMW517" s="1358"/>
      <c r="AMX517" s="1358"/>
      <c r="AMY517" s="1358"/>
      <c r="AMZ517" s="1358"/>
      <c r="ANA517" s="1358"/>
      <c r="ANB517" s="1358"/>
      <c r="ANC517" s="1358"/>
      <c r="AND517" s="1358"/>
      <c r="ANE517" s="1358"/>
      <c r="ANF517" s="1358"/>
      <c r="ANG517" s="1358"/>
      <c r="ANH517" s="1358"/>
      <c r="ANI517" s="1358"/>
      <c r="ANJ517" s="1358"/>
      <c r="ANK517" s="1358"/>
      <c r="ANL517" s="1358"/>
      <c r="ANM517" s="1358"/>
      <c r="ANN517" s="1358"/>
      <c r="ANO517" s="1358"/>
      <c r="ANP517" s="1358"/>
      <c r="ANQ517" s="1358"/>
      <c r="ANR517" s="1358"/>
      <c r="ANS517" s="1358"/>
      <c r="ANT517" s="1358"/>
      <c r="ANU517" s="1358"/>
      <c r="ANV517" s="1358"/>
      <c r="ANW517" s="1358"/>
      <c r="ANX517" s="1358"/>
      <c r="ANY517" s="1358"/>
      <c r="ANZ517" s="1358"/>
      <c r="AOA517" s="1358"/>
      <c r="AOB517" s="1358"/>
      <c r="AOC517" s="1358"/>
      <c r="AOD517" s="1358"/>
      <c r="AOE517" s="1358"/>
      <c r="AOF517" s="1358"/>
      <c r="AOG517" s="1358"/>
      <c r="AOH517" s="1358"/>
      <c r="AOI517" s="1358"/>
      <c r="AOJ517" s="1358"/>
      <c r="AOK517" s="1358"/>
      <c r="AOL517" s="1358"/>
      <c r="AOM517" s="1358"/>
      <c r="AON517" s="1358"/>
      <c r="AOO517" s="1358"/>
      <c r="AOP517" s="1358"/>
      <c r="AOQ517" s="1358"/>
      <c r="AOR517" s="1358"/>
      <c r="AOS517" s="1358"/>
      <c r="AOT517" s="1358"/>
      <c r="AOU517" s="1358"/>
      <c r="AOV517" s="1358"/>
      <c r="AOW517" s="1358"/>
      <c r="AOX517" s="1358"/>
      <c r="AOY517" s="1358"/>
      <c r="AOZ517" s="1358"/>
      <c r="APA517" s="1358"/>
      <c r="APB517" s="1358"/>
      <c r="APC517" s="1358"/>
      <c r="APD517" s="1358"/>
      <c r="APE517" s="1358"/>
      <c r="APF517" s="1358"/>
      <c r="APG517" s="1358"/>
      <c r="APH517" s="1358"/>
      <c r="API517" s="1358"/>
      <c r="APJ517" s="1358"/>
      <c r="APK517" s="1358"/>
      <c r="APL517" s="1358"/>
      <c r="APM517" s="1358"/>
      <c r="APN517" s="1358"/>
      <c r="APO517" s="1358"/>
      <c r="APP517" s="1358"/>
      <c r="APQ517" s="1358"/>
      <c r="APR517" s="1358"/>
      <c r="APS517" s="1358"/>
      <c r="APT517" s="1358"/>
      <c r="APU517" s="1358"/>
      <c r="APV517" s="1358"/>
      <c r="APW517" s="1358"/>
      <c r="APX517" s="1358"/>
      <c r="APY517" s="1358"/>
      <c r="APZ517" s="1358"/>
      <c r="AQA517" s="1358"/>
      <c r="AQB517" s="1358"/>
      <c r="AQC517" s="1358"/>
      <c r="AQD517" s="1358"/>
      <c r="AQE517" s="1358"/>
      <c r="AQF517" s="1358"/>
      <c r="AQG517" s="1358"/>
      <c r="AQH517" s="1358"/>
      <c r="AQI517" s="1358"/>
      <c r="AQJ517" s="1358"/>
      <c r="AQK517" s="1358"/>
      <c r="AQL517" s="1358"/>
      <c r="AQM517" s="1358"/>
      <c r="AQN517" s="1358"/>
      <c r="AQO517" s="1358"/>
      <c r="AQP517" s="1358"/>
      <c r="AQQ517" s="1358"/>
      <c r="AQR517" s="1358"/>
      <c r="AQS517" s="1358"/>
      <c r="AQT517" s="1358"/>
      <c r="AQU517" s="1358"/>
      <c r="AQV517" s="1358"/>
      <c r="AQW517" s="1358"/>
      <c r="AQX517" s="1358"/>
      <c r="AQY517" s="1358"/>
      <c r="AQZ517" s="1358"/>
      <c r="ARA517" s="1358"/>
      <c r="ARB517" s="1358"/>
      <c r="ARC517" s="1358"/>
      <c r="ARD517" s="1358"/>
      <c r="ARE517" s="1358"/>
      <c r="ARF517" s="1358"/>
      <c r="ARG517" s="1358"/>
      <c r="ARH517" s="1358"/>
      <c r="ARI517" s="1358"/>
      <c r="ARJ517" s="1358"/>
      <c r="ARK517" s="1358"/>
      <c r="ARL517" s="1358"/>
      <c r="ARM517" s="1358"/>
      <c r="ARN517" s="1358"/>
      <c r="ARO517" s="1358"/>
      <c r="ARP517" s="1358"/>
      <c r="ARQ517" s="1358"/>
      <c r="ARR517" s="1358"/>
      <c r="ARS517" s="1358"/>
      <c r="ART517" s="1358"/>
      <c r="ARU517" s="1358"/>
      <c r="ARV517" s="1358"/>
      <c r="ARW517" s="1358"/>
      <c r="ARX517" s="1358"/>
      <c r="ARY517" s="1358"/>
      <c r="ARZ517" s="1358"/>
      <c r="ASA517" s="1358"/>
      <c r="ASB517" s="1358"/>
      <c r="ASC517" s="1358"/>
      <c r="ASD517" s="1358"/>
      <c r="ASE517" s="1358"/>
      <c r="ASF517" s="1358"/>
      <c r="ASG517" s="1358"/>
      <c r="ASH517" s="1358"/>
      <c r="ASI517" s="1358"/>
      <c r="ASJ517" s="1358"/>
      <c r="ASK517" s="1358"/>
      <c r="ASL517" s="1358"/>
      <c r="ASM517" s="1358"/>
      <c r="ASN517" s="1358"/>
      <c r="ASO517" s="1358"/>
      <c r="ASP517" s="1358"/>
      <c r="ASQ517" s="1358"/>
      <c r="ASR517" s="1358"/>
      <c r="ASS517" s="1358"/>
      <c r="AST517" s="1358"/>
      <c r="ASU517" s="1358"/>
      <c r="ASV517" s="1358"/>
      <c r="ASW517" s="1358"/>
      <c r="ASX517" s="1358"/>
      <c r="ASY517" s="1358"/>
      <c r="ASZ517" s="1358"/>
      <c r="ATA517" s="1358"/>
      <c r="ATB517" s="1358"/>
      <c r="ATC517" s="1358"/>
      <c r="ATD517" s="1358"/>
      <c r="ATE517" s="1358"/>
      <c r="ATF517" s="1358"/>
      <c r="ATG517" s="1358"/>
      <c r="ATH517" s="1358"/>
      <c r="ATI517" s="1358"/>
      <c r="ATJ517" s="1358"/>
      <c r="ATK517" s="1358"/>
      <c r="ATL517" s="1358"/>
      <c r="ATM517" s="1358"/>
      <c r="ATN517" s="1358"/>
      <c r="ATO517" s="1358"/>
      <c r="ATP517" s="1358"/>
      <c r="ATQ517" s="1358"/>
      <c r="ATR517" s="1358"/>
      <c r="ATS517" s="1358"/>
      <c r="ATT517" s="1358"/>
      <c r="ATU517" s="1358"/>
      <c r="ATV517" s="1358"/>
      <c r="ATW517" s="1358"/>
      <c r="ATX517" s="1358"/>
      <c r="ATY517" s="1358"/>
      <c r="ATZ517" s="1358"/>
      <c r="AUA517" s="1358"/>
      <c r="AUB517" s="1358"/>
      <c r="AUC517" s="1358"/>
      <c r="AUD517" s="1358"/>
      <c r="AUE517" s="1358"/>
      <c r="AUF517" s="1358"/>
      <c r="AUG517" s="1358"/>
      <c r="AUH517" s="1358"/>
      <c r="AUI517" s="1358"/>
      <c r="AUJ517" s="1358"/>
      <c r="AUK517" s="1358"/>
      <c r="AUL517" s="1358"/>
      <c r="AUM517" s="1358"/>
      <c r="AUN517" s="1358"/>
      <c r="AUO517" s="1358"/>
      <c r="AUP517" s="1358"/>
      <c r="AUQ517" s="1358"/>
      <c r="AUR517" s="1358"/>
      <c r="AUS517" s="1358"/>
      <c r="AUT517" s="1358"/>
      <c r="AUU517" s="1358"/>
      <c r="AUV517" s="1358"/>
      <c r="AUW517" s="1358"/>
      <c r="AUX517" s="1358"/>
      <c r="AUY517" s="1358"/>
      <c r="AUZ517" s="1358"/>
      <c r="AVA517" s="1358"/>
      <c r="AVB517" s="1358"/>
      <c r="AVC517" s="1358"/>
      <c r="AVD517" s="1358"/>
      <c r="AVE517" s="1358"/>
      <c r="AVF517" s="1358"/>
      <c r="AVG517" s="1358"/>
      <c r="AVH517" s="1358"/>
      <c r="AVI517" s="1358"/>
      <c r="AVJ517" s="1358"/>
      <c r="AVK517" s="1358"/>
      <c r="AVL517" s="1358"/>
      <c r="AVM517" s="1358"/>
      <c r="AVN517" s="1358"/>
      <c r="AVO517" s="1358"/>
      <c r="AVP517" s="1358"/>
      <c r="AVQ517" s="1358"/>
      <c r="AVR517" s="1358"/>
      <c r="AVS517" s="1358"/>
      <c r="AVT517" s="1358"/>
      <c r="AVU517" s="1358"/>
      <c r="AVV517" s="1358"/>
      <c r="AVW517" s="1358"/>
      <c r="AVX517" s="1358"/>
      <c r="AVY517" s="1358"/>
      <c r="AVZ517" s="1358"/>
      <c r="AWA517" s="1358"/>
      <c r="AWB517" s="1358"/>
      <c r="AWC517" s="1358"/>
      <c r="AWD517" s="1358"/>
      <c r="AWE517" s="1358"/>
      <c r="AWF517" s="1358"/>
      <c r="AWG517" s="1358"/>
      <c r="AWH517" s="1358"/>
      <c r="AWI517" s="1358"/>
      <c r="AWJ517" s="1358"/>
      <c r="AWK517" s="1358"/>
      <c r="AWL517" s="1358"/>
      <c r="AWM517" s="1358"/>
      <c r="AWN517" s="1358"/>
      <c r="AWO517" s="1358"/>
      <c r="AWP517" s="1358"/>
      <c r="AWQ517" s="1358"/>
      <c r="AWR517" s="1358"/>
      <c r="AWS517" s="1358"/>
      <c r="AWT517" s="1358"/>
      <c r="AWU517" s="1358"/>
      <c r="AWV517" s="1358"/>
      <c r="AWW517" s="1358"/>
      <c r="AWX517" s="1358"/>
      <c r="AWY517" s="1358"/>
      <c r="AWZ517" s="1358"/>
      <c r="AXA517" s="1358"/>
      <c r="AXB517" s="1358"/>
      <c r="AXC517" s="1358"/>
      <c r="AXD517" s="1358"/>
      <c r="AXE517" s="1358"/>
      <c r="AXF517" s="1358"/>
      <c r="AXG517" s="1358"/>
      <c r="AXH517" s="1358"/>
      <c r="AXI517" s="1358"/>
      <c r="AXJ517" s="1358"/>
      <c r="AXK517" s="1358"/>
      <c r="AXL517" s="1358"/>
      <c r="AXM517" s="1358"/>
      <c r="AXN517" s="1358"/>
      <c r="AXO517" s="1358"/>
      <c r="AXP517" s="1358"/>
      <c r="AXQ517" s="1358"/>
      <c r="AXR517" s="1358"/>
      <c r="AXS517" s="1358"/>
      <c r="AXT517" s="1358"/>
      <c r="AXU517" s="1358"/>
      <c r="AXV517" s="1358"/>
      <c r="AXW517" s="1358"/>
      <c r="AXX517" s="1358"/>
      <c r="AXY517" s="1358"/>
      <c r="AXZ517" s="1358"/>
      <c r="AYA517" s="1358"/>
      <c r="AYB517" s="1358"/>
      <c r="AYC517" s="1358"/>
      <c r="AYD517" s="1358"/>
      <c r="AYE517" s="1358"/>
      <c r="AYF517" s="1358"/>
      <c r="AYG517" s="1358"/>
      <c r="AYH517" s="1358"/>
      <c r="AYI517" s="1358"/>
      <c r="AYJ517" s="1358"/>
      <c r="AYK517" s="1358"/>
      <c r="AYL517" s="1358"/>
      <c r="AYM517" s="1358"/>
      <c r="AYN517" s="1358"/>
      <c r="AYO517" s="1358"/>
      <c r="AYP517" s="1358"/>
      <c r="AYQ517" s="1358"/>
      <c r="AYR517" s="1358"/>
      <c r="AYS517" s="1358"/>
      <c r="AYT517" s="1358"/>
      <c r="AYU517" s="1358"/>
      <c r="AYV517" s="1358"/>
      <c r="AYW517" s="1358"/>
      <c r="AYX517" s="1358"/>
      <c r="AYY517" s="1358"/>
      <c r="AYZ517" s="1358"/>
      <c r="AZA517" s="1358"/>
      <c r="AZB517" s="1358"/>
      <c r="AZC517" s="1358"/>
      <c r="AZD517" s="1358"/>
      <c r="AZE517" s="1358"/>
      <c r="AZF517" s="1358"/>
      <c r="AZG517" s="1358"/>
      <c r="AZH517" s="1358"/>
      <c r="AZI517" s="1358"/>
      <c r="AZJ517" s="1358"/>
      <c r="AZK517" s="1358"/>
      <c r="AZL517" s="1358"/>
      <c r="AZM517" s="1358"/>
      <c r="AZN517" s="1358"/>
      <c r="AZO517" s="1358"/>
      <c r="AZP517" s="1358"/>
      <c r="AZQ517" s="1358"/>
      <c r="AZR517" s="1358"/>
      <c r="AZS517" s="1358"/>
      <c r="AZT517" s="1358"/>
      <c r="AZU517" s="1358"/>
      <c r="AZV517" s="1358"/>
      <c r="AZW517" s="1358"/>
      <c r="AZX517" s="1358"/>
      <c r="AZY517" s="1358"/>
      <c r="AZZ517" s="1358"/>
      <c r="BAA517" s="1358"/>
      <c r="BAB517" s="1358"/>
      <c r="BAC517" s="1358"/>
      <c r="BAD517" s="1358"/>
      <c r="BAE517" s="1358"/>
      <c r="BAF517" s="1358"/>
      <c r="BAG517" s="1358"/>
      <c r="BAH517" s="1358"/>
      <c r="BAI517" s="1358"/>
      <c r="BAJ517" s="1358"/>
      <c r="BAK517" s="1358"/>
      <c r="BAL517" s="1358"/>
      <c r="BAM517" s="1358"/>
      <c r="BAN517" s="1358"/>
      <c r="BAO517" s="1358"/>
      <c r="BAP517" s="1358"/>
      <c r="BAQ517" s="1358"/>
      <c r="BAR517" s="1358"/>
      <c r="BAS517" s="1358"/>
      <c r="BAT517" s="1358"/>
      <c r="BAU517" s="1358"/>
      <c r="BAV517" s="1358"/>
      <c r="BAW517" s="1358"/>
      <c r="BAX517" s="1358"/>
      <c r="BAY517" s="1358"/>
      <c r="BAZ517" s="1358"/>
      <c r="BBA517" s="1358"/>
      <c r="BBB517" s="1358"/>
      <c r="BBC517" s="1358"/>
      <c r="BBD517" s="1358"/>
      <c r="BBE517" s="1358"/>
      <c r="BBF517" s="1358"/>
      <c r="BBG517" s="1358"/>
      <c r="BBH517" s="1358"/>
      <c r="BBI517" s="1358"/>
      <c r="BBJ517" s="1358"/>
      <c r="BBK517" s="1358"/>
      <c r="BBL517" s="1358"/>
      <c r="BBM517" s="1358"/>
      <c r="BBN517" s="1358"/>
      <c r="BBO517" s="1358"/>
      <c r="BBP517" s="1358"/>
      <c r="BBQ517" s="1358"/>
      <c r="BBR517" s="1358"/>
      <c r="BBS517" s="1358"/>
      <c r="BBT517" s="1358"/>
      <c r="BBU517" s="1358"/>
      <c r="BBV517" s="1358"/>
      <c r="BBW517" s="1358"/>
      <c r="BBX517" s="1358"/>
      <c r="BBY517" s="1358"/>
      <c r="BBZ517" s="1358"/>
      <c r="BCA517" s="1358"/>
      <c r="BCB517" s="1358"/>
      <c r="BCC517" s="1358"/>
      <c r="BCD517" s="1358"/>
      <c r="BCE517" s="1358"/>
      <c r="BCF517" s="1358"/>
      <c r="BCG517" s="1358"/>
      <c r="BCH517" s="1358"/>
      <c r="BCI517" s="1358"/>
      <c r="BCJ517" s="1358"/>
      <c r="BCK517" s="1358"/>
      <c r="BCL517" s="1358"/>
      <c r="BCM517" s="1358"/>
      <c r="BCN517" s="1358"/>
      <c r="BCO517" s="1358"/>
      <c r="BCP517" s="1358"/>
      <c r="BCQ517" s="1358"/>
      <c r="BCR517" s="1358"/>
      <c r="BCS517" s="1358"/>
      <c r="BCT517" s="1358"/>
      <c r="BCU517" s="1358"/>
      <c r="BCV517" s="1358"/>
      <c r="BCW517" s="1358"/>
      <c r="BCX517" s="1358"/>
      <c r="BCY517" s="1358"/>
      <c r="BCZ517" s="1358"/>
      <c r="BDA517" s="1358"/>
      <c r="BDB517" s="1358"/>
      <c r="BDC517" s="1358"/>
      <c r="BDD517" s="1358"/>
      <c r="BDE517" s="1358"/>
      <c r="BDF517" s="1358"/>
      <c r="BDG517" s="1358"/>
      <c r="BDH517" s="1358"/>
      <c r="BDI517" s="1358"/>
      <c r="BDJ517" s="1358"/>
      <c r="BDK517" s="1358"/>
      <c r="BDL517" s="1358"/>
      <c r="BDM517" s="1358"/>
      <c r="BDN517" s="1358"/>
      <c r="BDO517" s="1358"/>
      <c r="BDP517" s="1358"/>
      <c r="BDQ517" s="1358"/>
      <c r="BDR517" s="1358"/>
      <c r="BDS517" s="1358"/>
      <c r="BDT517" s="1358"/>
      <c r="BDU517" s="1358"/>
      <c r="BDV517" s="1358"/>
      <c r="BDW517" s="1358"/>
      <c r="BDX517" s="1358"/>
      <c r="BDY517" s="1358"/>
      <c r="BDZ517" s="1358"/>
      <c r="BEA517" s="1358"/>
      <c r="BEB517" s="1358"/>
      <c r="BEC517" s="1358"/>
      <c r="BED517" s="1358"/>
      <c r="BEE517" s="1358"/>
      <c r="BEF517" s="1358"/>
      <c r="BEG517" s="1358"/>
      <c r="BEH517" s="1358"/>
      <c r="BEI517" s="1358"/>
      <c r="BEJ517" s="1358"/>
      <c r="BEK517" s="1358"/>
      <c r="BEL517" s="1358"/>
      <c r="BEM517" s="1358"/>
      <c r="BEN517" s="1358"/>
      <c r="BEO517" s="1358"/>
      <c r="BEP517" s="1358"/>
      <c r="BEQ517" s="1358"/>
      <c r="BER517" s="1358"/>
      <c r="BES517" s="1358"/>
      <c r="BET517" s="1358"/>
      <c r="BEU517" s="1358"/>
      <c r="BEV517" s="1358"/>
      <c r="BEW517" s="1358"/>
      <c r="BEX517" s="1358"/>
      <c r="BEY517" s="1358"/>
      <c r="BEZ517" s="1358"/>
      <c r="BFA517" s="1358"/>
      <c r="BFB517" s="1358"/>
      <c r="BFC517" s="1358"/>
      <c r="BFD517" s="1358"/>
      <c r="BFE517" s="1358"/>
      <c r="BFF517" s="1358"/>
      <c r="BFG517" s="1358"/>
      <c r="BFH517" s="1358"/>
      <c r="BFI517" s="1358"/>
      <c r="BFJ517" s="1358"/>
      <c r="BFK517" s="1358"/>
      <c r="BFL517" s="1358"/>
      <c r="BFM517" s="1358"/>
      <c r="BFN517" s="1358"/>
      <c r="BFO517" s="1358"/>
      <c r="BFP517" s="1358"/>
      <c r="BFQ517" s="1358"/>
      <c r="BFR517" s="1358"/>
      <c r="BFS517" s="1358"/>
      <c r="BFT517" s="1358"/>
      <c r="BFU517" s="1358"/>
      <c r="BFV517" s="1358"/>
      <c r="BFW517" s="1358"/>
      <c r="BFX517" s="1358"/>
      <c r="BFY517" s="1358"/>
      <c r="BFZ517" s="1358"/>
      <c r="BGA517" s="1358"/>
      <c r="BGB517" s="1358"/>
      <c r="BGC517" s="1358"/>
      <c r="BGD517" s="1358"/>
      <c r="BGE517" s="1358"/>
      <c r="BGF517" s="1358"/>
      <c r="BGG517" s="1358"/>
      <c r="BGH517" s="1358"/>
      <c r="BGI517" s="1358"/>
      <c r="BGJ517" s="1358"/>
      <c r="BGK517" s="1358"/>
      <c r="BGL517" s="1358"/>
      <c r="BGM517" s="1358"/>
      <c r="BGN517" s="1358"/>
      <c r="BGO517" s="1358"/>
      <c r="BGP517" s="1358"/>
      <c r="BGQ517" s="1358"/>
      <c r="BGR517" s="1358"/>
      <c r="BGS517" s="1358"/>
      <c r="BGT517" s="1358"/>
      <c r="BGU517" s="1358"/>
      <c r="BGV517" s="1358"/>
      <c r="BGW517" s="1358"/>
      <c r="BGX517" s="1358"/>
      <c r="BGY517" s="1358"/>
      <c r="BGZ517" s="1358"/>
      <c r="BHA517" s="1358"/>
      <c r="BHB517" s="1358"/>
      <c r="BHC517" s="1358"/>
      <c r="BHD517" s="1358"/>
      <c r="BHE517" s="1358"/>
      <c r="BHF517" s="1358"/>
      <c r="BHG517" s="1358"/>
      <c r="BHH517" s="1358"/>
      <c r="BHI517" s="1358"/>
      <c r="BHJ517" s="1358"/>
      <c r="BHK517" s="1358"/>
      <c r="BHL517" s="1358"/>
      <c r="BHM517" s="1358"/>
      <c r="BHN517" s="1358"/>
      <c r="BHO517" s="1358"/>
      <c r="BHP517" s="1358"/>
      <c r="BHQ517" s="1358"/>
      <c r="BHR517" s="1358"/>
      <c r="BHS517" s="1358"/>
      <c r="BHT517" s="1358"/>
      <c r="BHU517" s="1358"/>
      <c r="BHV517" s="1358"/>
      <c r="BHW517" s="1358"/>
      <c r="BHX517" s="1358"/>
      <c r="BHY517" s="1358"/>
      <c r="BHZ517" s="1358"/>
      <c r="BIA517" s="1358"/>
      <c r="BIB517" s="1358"/>
      <c r="BIC517" s="1358"/>
      <c r="BID517" s="1358"/>
      <c r="BIE517" s="1358"/>
      <c r="BIF517" s="1358"/>
      <c r="BIG517" s="1358"/>
      <c r="BIH517" s="1358"/>
      <c r="BII517" s="1358"/>
      <c r="BIJ517" s="1358"/>
      <c r="BIK517" s="1358"/>
      <c r="BIL517" s="1358"/>
      <c r="BIM517" s="1358"/>
      <c r="BIN517" s="1358"/>
      <c r="BIO517" s="1358"/>
      <c r="BIP517" s="1358"/>
      <c r="BIQ517" s="1358"/>
      <c r="BIR517" s="1358"/>
      <c r="BIS517" s="1358"/>
      <c r="BIT517" s="1358"/>
      <c r="BIU517" s="1358"/>
      <c r="BIV517" s="1358"/>
      <c r="BIW517" s="1358"/>
      <c r="BIX517" s="1358"/>
      <c r="BIY517" s="1358"/>
      <c r="BIZ517" s="1358"/>
      <c r="BJA517" s="1358"/>
      <c r="BJB517" s="1358"/>
      <c r="BJC517" s="1358"/>
      <c r="BJD517" s="1358"/>
      <c r="BJE517" s="1358"/>
      <c r="BJF517" s="1358"/>
      <c r="BJG517" s="1358"/>
      <c r="BJH517" s="1358"/>
      <c r="BJI517" s="1358"/>
      <c r="BJJ517" s="1358"/>
      <c r="BJK517" s="1358"/>
      <c r="BJL517" s="1358"/>
      <c r="BJM517" s="1358"/>
      <c r="BJN517" s="1358"/>
      <c r="BJO517" s="1358"/>
      <c r="BJP517" s="1358"/>
      <c r="BJQ517" s="1358"/>
      <c r="BJR517" s="1358"/>
      <c r="BJS517" s="1358"/>
      <c r="BJT517" s="1358"/>
      <c r="BJU517" s="1358"/>
      <c r="BJV517" s="1358"/>
      <c r="BJW517" s="1358"/>
      <c r="BJX517" s="1358"/>
      <c r="BJY517" s="1358"/>
      <c r="BJZ517" s="1358"/>
      <c r="BKA517" s="1358"/>
      <c r="BKB517" s="1358"/>
      <c r="BKC517" s="1358"/>
      <c r="BKD517" s="1358"/>
      <c r="BKE517" s="1358"/>
      <c r="BKF517" s="1358"/>
      <c r="BKG517" s="1358"/>
      <c r="BKH517" s="1358"/>
      <c r="BKI517" s="1358"/>
      <c r="BKJ517" s="1358"/>
      <c r="BKK517" s="1358"/>
      <c r="BKL517" s="1358"/>
      <c r="BKM517" s="1358"/>
      <c r="BKN517" s="1358"/>
      <c r="BKO517" s="1358"/>
      <c r="BKP517" s="1358"/>
      <c r="BKQ517" s="1358"/>
      <c r="BKR517" s="1358"/>
      <c r="BKS517" s="1358"/>
      <c r="BKT517" s="1358"/>
      <c r="BKU517" s="1358"/>
      <c r="BKV517" s="1358"/>
      <c r="BKW517" s="1358"/>
      <c r="BKX517" s="1358"/>
      <c r="BKY517" s="1358"/>
      <c r="BKZ517" s="1358"/>
      <c r="BLA517" s="1358"/>
      <c r="BLB517" s="1358"/>
      <c r="BLC517" s="1358"/>
      <c r="BLD517" s="1358"/>
      <c r="BLE517" s="1358"/>
      <c r="BLF517" s="1358"/>
      <c r="BLG517" s="1358"/>
      <c r="BLH517" s="1358"/>
      <c r="BLI517" s="1358"/>
      <c r="BLJ517" s="1358"/>
      <c r="BLK517" s="1358"/>
      <c r="BLL517" s="1358"/>
      <c r="BLM517" s="1358"/>
      <c r="BLN517" s="1358"/>
      <c r="BLO517" s="1358"/>
      <c r="BLP517" s="1358"/>
      <c r="BLQ517" s="1358"/>
      <c r="BLR517" s="1358"/>
      <c r="BLS517" s="1358"/>
      <c r="BLT517" s="1358"/>
      <c r="BLU517" s="1358"/>
      <c r="BLV517" s="1358"/>
      <c r="BLW517" s="1358"/>
      <c r="BLX517" s="1358"/>
      <c r="BLY517" s="1358"/>
      <c r="BLZ517" s="1358"/>
      <c r="BMA517" s="1358"/>
      <c r="BMB517" s="1358"/>
      <c r="BMC517" s="1358"/>
      <c r="BMD517" s="1358"/>
      <c r="BME517" s="1358"/>
      <c r="BMF517" s="1358"/>
      <c r="BMG517" s="1358"/>
      <c r="BMH517" s="1358"/>
      <c r="BMI517" s="1358"/>
      <c r="BMJ517" s="1358"/>
      <c r="BMK517" s="1358"/>
      <c r="BML517" s="1358"/>
      <c r="BMM517" s="1358"/>
      <c r="BMN517" s="1358"/>
      <c r="BMO517" s="1358"/>
      <c r="BMP517" s="1358"/>
      <c r="BMQ517" s="1358"/>
      <c r="BMR517" s="1358"/>
      <c r="BMS517" s="1358"/>
      <c r="BMT517" s="1358"/>
      <c r="BMU517" s="1358"/>
      <c r="BMV517" s="1358"/>
      <c r="BMW517" s="1358"/>
      <c r="BMX517" s="1358"/>
      <c r="BMY517" s="1358"/>
      <c r="BMZ517" s="1358"/>
      <c r="BNA517" s="1358"/>
      <c r="BNB517" s="1358"/>
      <c r="BNC517" s="1358"/>
      <c r="BND517" s="1358"/>
      <c r="BNE517" s="1358"/>
      <c r="BNF517" s="1358"/>
      <c r="BNG517" s="1358"/>
      <c r="BNH517" s="1358"/>
      <c r="BNI517" s="1358"/>
      <c r="BNJ517" s="1358"/>
      <c r="BNK517" s="1358"/>
      <c r="BNL517" s="1358"/>
      <c r="BNM517" s="1358"/>
      <c r="BNN517" s="1358"/>
      <c r="BNO517" s="1358"/>
      <c r="BNP517" s="1358"/>
      <c r="BNQ517" s="1358"/>
      <c r="BNR517" s="1358"/>
      <c r="BNS517" s="1358"/>
      <c r="BNT517" s="1358"/>
      <c r="BNU517" s="1358"/>
      <c r="BNV517" s="1358"/>
      <c r="BNW517" s="1358"/>
      <c r="BNX517" s="1358"/>
      <c r="BNY517" s="1358"/>
      <c r="BNZ517" s="1358"/>
      <c r="BOA517" s="1358"/>
      <c r="BOB517" s="1358"/>
      <c r="BOC517" s="1358"/>
      <c r="BOD517" s="1358"/>
      <c r="BOE517" s="1358"/>
      <c r="BOF517" s="1358"/>
      <c r="BOG517" s="1358"/>
      <c r="BOH517" s="1358"/>
      <c r="BOI517" s="1358"/>
      <c r="BOJ517" s="1358"/>
      <c r="BOK517" s="1358"/>
      <c r="BOL517" s="1358"/>
      <c r="BOM517" s="1358"/>
      <c r="BON517" s="1358"/>
      <c r="BOO517" s="1358"/>
      <c r="BOP517" s="1358"/>
      <c r="BOQ517" s="1358"/>
      <c r="BOR517" s="1358"/>
      <c r="BOS517" s="1358"/>
      <c r="BOT517" s="1358"/>
      <c r="BOU517" s="1358"/>
      <c r="BOV517" s="1358"/>
      <c r="BOW517" s="1358"/>
      <c r="BOX517" s="1358"/>
      <c r="BOY517" s="1358"/>
      <c r="BOZ517" s="1358"/>
      <c r="BPA517" s="1358"/>
      <c r="BPB517" s="1358"/>
      <c r="BPC517" s="1358"/>
      <c r="BPD517" s="1358"/>
      <c r="BPE517" s="1358"/>
      <c r="BPF517" s="1358"/>
      <c r="BPG517" s="1358"/>
      <c r="BPH517" s="1358"/>
      <c r="BPI517" s="1358"/>
      <c r="BPJ517" s="1358"/>
      <c r="BPK517" s="1358"/>
      <c r="BPL517" s="1358"/>
      <c r="BPM517" s="1358"/>
      <c r="BPN517" s="1358"/>
      <c r="BPO517" s="1358"/>
      <c r="BPP517" s="1358"/>
      <c r="BPQ517" s="1358"/>
      <c r="BPR517" s="1358"/>
      <c r="BPS517" s="1358"/>
      <c r="BPT517" s="1358"/>
      <c r="BPU517" s="1358"/>
      <c r="BPV517" s="1358"/>
      <c r="BPW517" s="1358"/>
      <c r="BPX517" s="1358"/>
      <c r="BPY517" s="1358"/>
      <c r="BPZ517" s="1358"/>
      <c r="BQA517" s="1358"/>
      <c r="BQB517" s="1358"/>
      <c r="BQC517" s="1358"/>
      <c r="BQD517" s="1358"/>
      <c r="BQE517" s="1358"/>
      <c r="BQF517" s="1358"/>
      <c r="BQG517" s="1358"/>
      <c r="BQH517" s="1358"/>
      <c r="BQI517" s="1358"/>
      <c r="BQJ517" s="1358"/>
      <c r="BQK517" s="1358"/>
      <c r="BQL517" s="1358"/>
      <c r="BQM517" s="1358"/>
      <c r="BQN517" s="1358"/>
      <c r="BQO517" s="1358"/>
      <c r="BQP517" s="1358"/>
      <c r="BQQ517" s="1358"/>
      <c r="BQR517" s="1358"/>
      <c r="BQS517" s="1358"/>
      <c r="BQT517" s="1358"/>
      <c r="BQU517" s="1358"/>
      <c r="BQV517" s="1358"/>
      <c r="BQW517" s="1358"/>
      <c r="BQX517" s="1358"/>
      <c r="BQY517" s="1358"/>
      <c r="BQZ517" s="1358"/>
      <c r="BRA517" s="1358"/>
      <c r="BRB517" s="1358"/>
      <c r="BRC517" s="1358"/>
      <c r="BRD517" s="1358"/>
      <c r="BRE517" s="1358"/>
      <c r="BRF517" s="1358"/>
      <c r="BRG517" s="1358"/>
      <c r="BRH517" s="1358"/>
      <c r="BRI517" s="1358"/>
      <c r="BRJ517" s="1358"/>
      <c r="BRK517" s="1358"/>
      <c r="BRL517" s="1358"/>
      <c r="BRM517" s="1358"/>
      <c r="BRN517" s="1358"/>
      <c r="BRO517" s="1358"/>
      <c r="BRP517" s="1358"/>
      <c r="BRQ517" s="1358"/>
      <c r="BRR517" s="1358"/>
      <c r="BRS517" s="1358"/>
      <c r="BRT517" s="1358"/>
      <c r="BRU517" s="1358"/>
      <c r="BRV517" s="1358"/>
      <c r="BRW517" s="1358"/>
      <c r="BRX517" s="1358"/>
      <c r="BRY517" s="1358"/>
      <c r="BRZ517" s="1358"/>
      <c r="BSA517" s="1358"/>
      <c r="BSB517" s="1358"/>
      <c r="BSC517" s="1358"/>
      <c r="BSD517" s="1358"/>
      <c r="BSE517" s="1358"/>
      <c r="BSF517" s="1358"/>
      <c r="BSG517" s="1358"/>
      <c r="BSH517" s="1358"/>
      <c r="BSI517" s="1358"/>
      <c r="BSJ517" s="1358"/>
      <c r="BSK517" s="1358"/>
      <c r="BSL517" s="1358"/>
      <c r="BSM517" s="1358"/>
      <c r="BSN517" s="1358"/>
      <c r="BSO517" s="1358"/>
      <c r="BSP517" s="1358"/>
      <c r="BSQ517" s="1358"/>
      <c r="BSR517" s="1358"/>
      <c r="BSS517" s="1358"/>
      <c r="BST517" s="1358"/>
      <c r="BSU517" s="1358"/>
      <c r="BSV517" s="1358"/>
      <c r="BSW517" s="1358"/>
      <c r="BSX517" s="1358"/>
      <c r="BSY517" s="1358"/>
      <c r="BSZ517" s="1358"/>
      <c r="BTA517" s="1358"/>
      <c r="BTB517" s="1358"/>
      <c r="BTC517" s="1358"/>
      <c r="BTD517" s="1358"/>
      <c r="BTE517" s="1358"/>
      <c r="BTF517" s="1358"/>
      <c r="BTG517" s="1358"/>
      <c r="BTH517" s="1358"/>
      <c r="BTI517" s="1358"/>
      <c r="BTJ517" s="1358"/>
      <c r="BTK517" s="1358"/>
      <c r="BTL517" s="1358"/>
      <c r="BTM517" s="1358"/>
      <c r="BTN517" s="1358"/>
      <c r="BTO517" s="1358"/>
      <c r="BTP517" s="1358"/>
      <c r="BTQ517" s="1358"/>
      <c r="BTR517" s="1358"/>
      <c r="BTS517" s="1358"/>
      <c r="BTT517" s="1358"/>
      <c r="BTU517" s="1358"/>
      <c r="BTV517" s="1358"/>
      <c r="BTW517" s="1358"/>
      <c r="BTX517" s="1358"/>
      <c r="BTY517" s="1358"/>
      <c r="BTZ517" s="1358"/>
      <c r="BUA517" s="1358"/>
      <c r="BUB517" s="1358"/>
      <c r="BUC517" s="1358"/>
      <c r="BUD517" s="1358"/>
      <c r="BUE517" s="1358"/>
      <c r="BUF517" s="1358"/>
      <c r="BUG517" s="1358"/>
      <c r="BUH517" s="1358"/>
      <c r="BUI517" s="1358"/>
      <c r="BUJ517" s="1358"/>
      <c r="BUK517" s="1358"/>
      <c r="BUL517" s="1358"/>
      <c r="BUM517" s="1358"/>
      <c r="BUN517" s="1358"/>
      <c r="BUO517" s="1358"/>
      <c r="BUP517" s="1358"/>
      <c r="BUQ517" s="1358"/>
      <c r="BUR517" s="1358"/>
      <c r="BUS517" s="1358"/>
      <c r="BUT517" s="1358"/>
      <c r="BUU517" s="1358"/>
      <c r="BUV517" s="1358"/>
      <c r="BUW517" s="1358"/>
      <c r="BUX517" s="1358"/>
      <c r="BUY517" s="1358"/>
      <c r="BUZ517" s="1358"/>
      <c r="BVA517" s="1358"/>
      <c r="BVB517" s="1358"/>
      <c r="BVC517" s="1358"/>
      <c r="BVD517" s="1358"/>
      <c r="BVE517" s="1358"/>
      <c r="BVF517" s="1358"/>
      <c r="BVG517" s="1358"/>
      <c r="BVH517" s="1358"/>
      <c r="BVI517" s="1358"/>
      <c r="BVJ517" s="1358"/>
      <c r="BVK517" s="1358"/>
      <c r="BVL517" s="1358"/>
      <c r="BVM517" s="1358"/>
      <c r="BVN517" s="1358"/>
      <c r="BVO517" s="1358"/>
      <c r="BVP517" s="1358"/>
      <c r="BVQ517" s="1358"/>
      <c r="BVR517" s="1358"/>
      <c r="BVS517" s="1358"/>
      <c r="BVT517" s="1358"/>
      <c r="BVU517" s="1358"/>
      <c r="BVV517" s="1358"/>
      <c r="BVW517" s="1358"/>
      <c r="BVX517" s="1358"/>
      <c r="BVY517" s="1358"/>
      <c r="BVZ517" s="1358"/>
      <c r="BWA517" s="1358"/>
      <c r="BWB517" s="1358"/>
      <c r="BWC517" s="1358"/>
      <c r="BWD517" s="1358"/>
      <c r="BWE517" s="1358"/>
      <c r="BWF517" s="1358"/>
      <c r="BWG517" s="1358"/>
      <c r="BWH517" s="1358"/>
      <c r="BWI517" s="1358"/>
      <c r="BWJ517" s="1358"/>
      <c r="BWK517" s="1358"/>
      <c r="BWL517" s="1358"/>
      <c r="BWM517" s="1358"/>
      <c r="BWN517" s="1358"/>
      <c r="BWO517" s="1358"/>
      <c r="BWP517" s="1358"/>
      <c r="BWQ517" s="1358"/>
      <c r="BWR517" s="1358"/>
      <c r="BWS517" s="1358"/>
      <c r="BWT517" s="1358"/>
      <c r="BWU517" s="1358"/>
      <c r="BWV517" s="1358"/>
      <c r="BWW517" s="1358"/>
      <c r="BWX517" s="1358"/>
      <c r="BWY517" s="1358"/>
      <c r="BWZ517" s="1358"/>
      <c r="BXA517" s="1358"/>
      <c r="BXB517" s="1358"/>
      <c r="BXC517" s="1358"/>
      <c r="BXD517" s="1358"/>
      <c r="BXE517" s="1358"/>
      <c r="BXF517" s="1358"/>
      <c r="BXG517" s="1358"/>
      <c r="BXH517" s="1358"/>
      <c r="BXI517" s="1358"/>
      <c r="BXJ517" s="1358"/>
      <c r="BXK517" s="1358"/>
      <c r="BXL517" s="1358"/>
      <c r="BXM517" s="1358"/>
      <c r="BXN517" s="1358"/>
      <c r="BXO517" s="1358"/>
      <c r="BXP517" s="1358"/>
      <c r="BXQ517" s="1358"/>
      <c r="BXR517" s="1358"/>
      <c r="BXS517" s="1358"/>
      <c r="BXT517" s="1358"/>
      <c r="BXU517" s="1358"/>
      <c r="BXV517" s="1358"/>
      <c r="BXW517" s="1358"/>
      <c r="BXX517" s="1358"/>
      <c r="BXY517" s="1358"/>
      <c r="BXZ517" s="1358"/>
      <c r="BYA517" s="1358"/>
      <c r="BYB517" s="1358"/>
      <c r="BYC517" s="1358"/>
      <c r="BYD517" s="1358"/>
      <c r="BYE517" s="1358"/>
      <c r="BYF517" s="1358"/>
      <c r="BYG517" s="1358"/>
      <c r="BYH517" s="1358"/>
      <c r="BYI517" s="1358"/>
      <c r="BYJ517" s="1358"/>
      <c r="BYK517" s="1358"/>
      <c r="BYL517" s="1358"/>
      <c r="BYM517" s="1358"/>
      <c r="BYN517" s="1358"/>
      <c r="BYO517" s="1358"/>
      <c r="BYP517" s="1358"/>
      <c r="BYQ517" s="1358"/>
      <c r="BYR517" s="1358"/>
      <c r="BYS517" s="1358"/>
      <c r="BYT517" s="1358"/>
      <c r="BYU517" s="1358"/>
      <c r="BYV517" s="1358"/>
      <c r="BYW517" s="1358"/>
      <c r="BYX517" s="1358"/>
      <c r="BYY517" s="1358"/>
      <c r="BYZ517" s="1358"/>
      <c r="BZA517" s="1358"/>
      <c r="BZB517" s="1358"/>
      <c r="BZC517" s="1358"/>
      <c r="BZD517" s="1358"/>
      <c r="BZE517" s="1358"/>
      <c r="BZF517" s="1358"/>
      <c r="BZG517" s="1358"/>
      <c r="BZH517" s="1358"/>
      <c r="BZI517" s="1358"/>
      <c r="BZJ517" s="1358"/>
      <c r="BZK517" s="1358"/>
      <c r="BZL517" s="1358"/>
      <c r="BZM517" s="1358"/>
      <c r="BZN517" s="1358"/>
      <c r="BZO517" s="1358"/>
      <c r="BZP517" s="1358"/>
      <c r="BZQ517" s="1358"/>
      <c r="BZR517" s="1358"/>
      <c r="BZS517" s="1358"/>
      <c r="BZT517" s="1358"/>
      <c r="BZU517" s="1358"/>
      <c r="BZV517" s="1358"/>
      <c r="BZW517" s="1358"/>
      <c r="BZX517" s="1358"/>
      <c r="BZY517" s="1358"/>
      <c r="BZZ517" s="1358"/>
      <c r="CAA517" s="1358"/>
      <c r="CAB517" s="1358"/>
      <c r="CAC517" s="1358"/>
      <c r="CAD517" s="1358"/>
      <c r="CAE517" s="1358"/>
      <c r="CAF517" s="1358"/>
      <c r="CAG517" s="1358"/>
      <c r="CAH517" s="1358"/>
      <c r="CAI517" s="1358"/>
      <c r="CAJ517" s="1358"/>
      <c r="CAK517" s="1358"/>
      <c r="CAL517" s="1358"/>
      <c r="CAM517" s="1358"/>
      <c r="CAN517" s="1358"/>
      <c r="CAO517" s="1358"/>
      <c r="CAP517" s="1358"/>
      <c r="CAQ517" s="1358"/>
      <c r="CAR517" s="1358"/>
      <c r="CAS517" s="1358"/>
      <c r="CAT517" s="1358"/>
      <c r="CAU517" s="1358"/>
      <c r="CAV517" s="1358"/>
      <c r="CAW517" s="1358"/>
      <c r="CAX517" s="1358"/>
      <c r="CAY517" s="1358"/>
      <c r="CAZ517" s="1358"/>
      <c r="CBA517" s="1358"/>
      <c r="CBB517" s="1358"/>
      <c r="CBC517" s="1358"/>
      <c r="CBD517" s="1358"/>
      <c r="CBE517" s="1358"/>
      <c r="CBF517" s="1358"/>
      <c r="CBG517" s="1358"/>
      <c r="CBH517" s="1358"/>
      <c r="CBI517" s="1358"/>
      <c r="CBJ517" s="1358"/>
      <c r="CBK517" s="1358"/>
      <c r="CBL517" s="1358"/>
      <c r="CBM517" s="1358"/>
      <c r="CBN517" s="1358"/>
      <c r="CBO517" s="1358"/>
      <c r="CBP517" s="1358"/>
      <c r="CBQ517" s="1358"/>
      <c r="CBR517" s="1358"/>
      <c r="CBS517" s="1358"/>
      <c r="CBT517" s="1358"/>
      <c r="CBU517" s="1358"/>
      <c r="CBV517" s="1358"/>
      <c r="CBW517" s="1358"/>
      <c r="CBX517" s="1358"/>
      <c r="CBY517" s="1358"/>
      <c r="CBZ517" s="1358"/>
      <c r="CCA517" s="1358"/>
      <c r="CCB517" s="1358"/>
      <c r="CCC517" s="1358"/>
      <c r="CCD517" s="1358"/>
      <c r="CCE517" s="1358"/>
      <c r="CCF517" s="1358"/>
      <c r="CCG517" s="1358"/>
      <c r="CCH517" s="1358"/>
      <c r="CCI517" s="1358"/>
      <c r="CCJ517" s="1358"/>
      <c r="CCK517" s="1358"/>
      <c r="CCL517" s="1358"/>
      <c r="CCM517" s="1358"/>
      <c r="CCN517" s="1358"/>
      <c r="CCO517" s="1358"/>
      <c r="CCP517" s="1358"/>
      <c r="CCQ517" s="1358"/>
      <c r="CCR517" s="1358"/>
      <c r="CCS517" s="1358"/>
      <c r="CCT517" s="1358"/>
      <c r="CCU517" s="1358"/>
      <c r="CCV517" s="1358"/>
      <c r="CCW517" s="1358"/>
      <c r="CCX517" s="1358"/>
      <c r="CCY517" s="1358"/>
      <c r="CCZ517" s="1358"/>
      <c r="CDA517" s="1358"/>
      <c r="CDB517" s="1358"/>
      <c r="CDC517" s="1358"/>
      <c r="CDD517" s="1358"/>
      <c r="CDE517" s="1358"/>
      <c r="CDF517" s="1358"/>
      <c r="CDG517" s="1358"/>
      <c r="CDH517" s="1358"/>
      <c r="CDI517" s="1358"/>
      <c r="CDJ517" s="1358"/>
      <c r="CDK517" s="1358"/>
      <c r="CDL517" s="1358"/>
      <c r="CDM517" s="1358"/>
      <c r="CDN517" s="1358"/>
      <c r="CDO517" s="1358"/>
      <c r="CDP517" s="1358"/>
      <c r="CDQ517" s="1358"/>
      <c r="CDR517" s="1358"/>
      <c r="CDS517" s="1358"/>
      <c r="CDT517" s="1358"/>
      <c r="CDU517" s="1358"/>
      <c r="CDV517" s="1358"/>
      <c r="CDW517" s="1358"/>
      <c r="CDX517" s="1358"/>
      <c r="CDY517" s="1358"/>
      <c r="CDZ517" s="1358"/>
      <c r="CEA517" s="1358"/>
      <c r="CEB517" s="1358"/>
      <c r="CEC517" s="1358"/>
      <c r="CED517" s="1358"/>
      <c r="CEE517" s="1358"/>
      <c r="CEF517" s="1358"/>
      <c r="CEG517" s="1358"/>
      <c r="CEH517" s="1358"/>
      <c r="CEI517" s="1358"/>
      <c r="CEJ517" s="1358"/>
      <c r="CEK517" s="1358"/>
      <c r="CEL517" s="1358"/>
      <c r="CEM517" s="1358"/>
      <c r="CEN517" s="1358"/>
      <c r="CEO517" s="1358"/>
      <c r="CEP517" s="1358"/>
      <c r="CEQ517" s="1358"/>
      <c r="CER517" s="1358"/>
      <c r="CES517" s="1358"/>
      <c r="CET517" s="1358"/>
      <c r="CEU517" s="1358"/>
      <c r="CEV517" s="1358"/>
      <c r="CEW517" s="1358"/>
      <c r="CEX517" s="1358"/>
      <c r="CEY517" s="1358"/>
      <c r="CEZ517" s="1358"/>
      <c r="CFA517" s="1358"/>
      <c r="CFB517" s="1358"/>
      <c r="CFC517" s="1358"/>
      <c r="CFD517" s="1358"/>
      <c r="CFE517" s="1358"/>
      <c r="CFF517" s="1358"/>
      <c r="CFG517" s="1358"/>
      <c r="CFH517" s="1358"/>
      <c r="CFI517" s="1358"/>
      <c r="CFJ517" s="1358"/>
      <c r="CFK517" s="1358"/>
      <c r="CFL517" s="1358"/>
      <c r="CFM517" s="1358"/>
      <c r="CFN517" s="1358"/>
      <c r="CFO517" s="1358"/>
      <c r="CFP517" s="1358"/>
      <c r="CFQ517" s="1358"/>
      <c r="CFR517" s="1358"/>
      <c r="CFS517" s="1358"/>
      <c r="CFT517" s="1358"/>
      <c r="CFU517" s="1358"/>
      <c r="CFV517" s="1358"/>
      <c r="CFW517" s="1358"/>
      <c r="CFX517" s="1358"/>
      <c r="CFY517" s="1358"/>
      <c r="CFZ517" s="1358"/>
      <c r="CGA517" s="1358"/>
      <c r="CGB517" s="1358"/>
      <c r="CGC517" s="1358"/>
      <c r="CGD517" s="1358"/>
      <c r="CGE517" s="1358"/>
      <c r="CGF517" s="1358"/>
      <c r="CGG517" s="1358"/>
      <c r="CGH517" s="1358"/>
      <c r="CGI517" s="1358"/>
      <c r="CGJ517" s="1358"/>
      <c r="CGK517" s="1358"/>
      <c r="CGL517" s="1358"/>
      <c r="CGM517" s="1358"/>
      <c r="CGN517" s="1358"/>
      <c r="CGO517" s="1358"/>
      <c r="CGP517" s="1358"/>
      <c r="CGQ517" s="1358"/>
      <c r="CGR517" s="1358"/>
      <c r="CGS517" s="1358"/>
      <c r="CGT517" s="1358"/>
      <c r="CGU517" s="1358"/>
      <c r="CGV517" s="1358"/>
      <c r="CGW517" s="1358"/>
      <c r="CGX517" s="1358"/>
      <c r="CGY517" s="1358"/>
      <c r="CGZ517" s="1358"/>
      <c r="CHA517" s="1358"/>
      <c r="CHB517" s="1358"/>
      <c r="CHC517" s="1358"/>
      <c r="CHD517" s="1358"/>
      <c r="CHE517" s="1358"/>
      <c r="CHF517" s="1358"/>
      <c r="CHG517" s="1358"/>
      <c r="CHH517" s="1358"/>
      <c r="CHI517" s="1358"/>
      <c r="CHJ517" s="1358"/>
      <c r="CHK517" s="1358"/>
      <c r="CHL517" s="1358"/>
      <c r="CHM517" s="1358"/>
      <c r="CHN517" s="1358"/>
      <c r="CHO517" s="1358"/>
      <c r="CHP517" s="1358"/>
      <c r="CHQ517" s="1358"/>
      <c r="CHR517" s="1358"/>
      <c r="CHS517" s="1358"/>
      <c r="CHT517" s="1358"/>
      <c r="CHU517" s="1358"/>
      <c r="CHV517" s="1358"/>
      <c r="CHW517" s="1358"/>
      <c r="CHX517" s="1358"/>
      <c r="CHY517" s="1358"/>
      <c r="CHZ517" s="1358"/>
      <c r="CIA517" s="1358"/>
      <c r="CIB517" s="1358"/>
      <c r="CIC517" s="1358"/>
      <c r="CID517" s="1358"/>
      <c r="CIE517" s="1358"/>
      <c r="CIF517" s="1358"/>
      <c r="CIG517" s="1358"/>
      <c r="CIH517" s="1358"/>
      <c r="CII517" s="1358"/>
      <c r="CIJ517" s="1358"/>
      <c r="CIK517" s="1358"/>
      <c r="CIL517" s="1358"/>
      <c r="CIM517" s="1358"/>
      <c r="CIN517" s="1358"/>
      <c r="CIO517" s="1358"/>
      <c r="CIP517" s="1358"/>
      <c r="CIQ517" s="1358"/>
      <c r="CIR517" s="1358"/>
      <c r="CIS517" s="1358"/>
      <c r="CIT517" s="1358"/>
      <c r="CIU517" s="1358"/>
      <c r="CIV517" s="1358"/>
      <c r="CIW517" s="1358"/>
      <c r="CIX517" s="1358"/>
      <c r="CIY517" s="1358"/>
      <c r="CIZ517" s="1358"/>
      <c r="CJA517" s="1358"/>
      <c r="CJB517" s="1358"/>
      <c r="CJC517" s="1358"/>
      <c r="CJD517" s="1358"/>
      <c r="CJE517" s="1358"/>
      <c r="CJF517" s="1358"/>
      <c r="CJG517" s="1358"/>
      <c r="CJH517" s="1358"/>
      <c r="CJI517" s="1358"/>
      <c r="CJJ517" s="1358"/>
      <c r="CJK517" s="1358"/>
      <c r="CJL517" s="1358"/>
      <c r="CJM517" s="1358"/>
      <c r="CJN517" s="1358"/>
      <c r="CJO517" s="1358"/>
      <c r="CJP517" s="1358"/>
      <c r="CJQ517" s="1358"/>
      <c r="CJR517" s="1358"/>
      <c r="CJS517" s="1358"/>
      <c r="CJT517" s="1358"/>
      <c r="CJU517" s="1358"/>
      <c r="CJV517" s="1358"/>
      <c r="CJW517" s="1358"/>
      <c r="CJX517" s="1358"/>
      <c r="CJY517" s="1358"/>
      <c r="CJZ517" s="1358"/>
      <c r="CKA517" s="1358"/>
      <c r="CKB517" s="1358"/>
      <c r="CKC517" s="1358"/>
      <c r="CKD517" s="1358"/>
      <c r="CKE517" s="1358"/>
      <c r="CKF517" s="1358"/>
      <c r="CKG517" s="1358"/>
      <c r="CKH517" s="1358"/>
      <c r="CKI517" s="1358"/>
      <c r="CKJ517" s="1358"/>
      <c r="CKK517" s="1358"/>
      <c r="CKL517" s="1358"/>
      <c r="CKM517" s="1358"/>
      <c r="CKN517" s="1358"/>
      <c r="CKO517" s="1358"/>
      <c r="CKP517" s="1358"/>
      <c r="CKQ517" s="1358"/>
      <c r="CKR517" s="1358"/>
      <c r="CKS517" s="1358"/>
      <c r="CKT517" s="1358"/>
      <c r="CKU517" s="1358"/>
      <c r="CKV517" s="1358"/>
      <c r="CKW517" s="1358"/>
      <c r="CKX517" s="1358"/>
      <c r="CKY517" s="1358"/>
      <c r="CKZ517" s="1358"/>
      <c r="CLA517" s="1358"/>
      <c r="CLB517" s="1358"/>
      <c r="CLC517" s="1358"/>
      <c r="CLD517" s="1358"/>
      <c r="CLE517" s="1358"/>
      <c r="CLF517" s="1358"/>
      <c r="CLG517" s="1358"/>
      <c r="CLH517" s="1358"/>
      <c r="CLI517" s="1358"/>
      <c r="CLJ517" s="1358"/>
      <c r="CLK517" s="1358"/>
      <c r="CLL517" s="1358"/>
      <c r="CLM517" s="1358"/>
      <c r="CLN517" s="1358"/>
      <c r="CLO517" s="1358"/>
      <c r="CLP517" s="1358"/>
      <c r="CLQ517" s="1358"/>
      <c r="CLR517" s="1358"/>
      <c r="CLS517" s="1358"/>
      <c r="CLT517" s="1358"/>
      <c r="CLU517" s="1358"/>
      <c r="CLV517" s="1358"/>
      <c r="CLW517" s="1358"/>
      <c r="CLX517" s="1358"/>
      <c r="CLY517" s="1358"/>
      <c r="CLZ517" s="1358"/>
      <c r="CMA517" s="1358"/>
      <c r="CMB517" s="1358"/>
      <c r="CMC517" s="1358"/>
      <c r="CMD517" s="1358"/>
      <c r="CME517" s="1358"/>
      <c r="CMF517" s="1358"/>
      <c r="CMG517" s="1358"/>
      <c r="CMH517" s="1358"/>
      <c r="CMI517" s="1358"/>
      <c r="CMJ517" s="1358"/>
      <c r="CMK517" s="1358"/>
      <c r="CML517" s="1358"/>
      <c r="CMM517" s="1358"/>
      <c r="CMN517" s="1358"/>
      <c r="CMO517" s="1358"/>
      <c r="CMP517" s="1358"/>
      <c r="CMQ517" s="1358"/>
      <c r="CMR517" s="1358"/>
      <c r="CMS517" s="1358"/>
      <c r="CMT517" s="1358"/>
      <c r="CMU517" s="1358"/>
      <c r="CMV517" s="1358"/>
      <c r="CMW517" s="1358"/>
      <c r="CMX517" s="1358"/>
      <c r="CMY517" s="1358"/>
      <c r="CMZ517" s="1358"/>
      <c r="CNA517" s="1358"/>
      <c r="CNB517" s="1358"/>
      <c r="CNC517" s="1358"/>
      <c r="CND517" s="1358"/>
      <c r="CNE517" s="1358"/>
      <c r="CNF517" s="1358"/>
      <c r="CNG517" s="1358"/>
      <c r="CNH517" s="1358"/>
      <c r="CNI517" s="1358"/>
      <c r="CNJ517" s="1358"/>
      <c r="CNK517" s="1358"/>
      <c r="CNL517" s="1358"/>
      <c r="CNM517" s="1358"/>
      <c r="CNN517" s="1358"/>
      <c r="CNO517" s="1358"/>
      <c r="CNP517" s="1358"/>
      <c r="CNQ517" s="1358"/>
      <c r="CNR517" s="1358"/>
      <c r="CNS517" s="1358"/>
      <c r="CNT517" s="1358"/>
      <c r="CNU517" s="1358"/>
      <c r="CNV517" s="1358"/>
      <c r="CNW517" s="1358"/>
      <c r="CNX517" s="1358"/>
      <c r="CNY517" s="1358"/>
      <c r="CNZ517" s="1358"/>
      <c r="COA517" s="1358"/>
      <c r="COB517" s="1358"/>
      <c r="COC517" s="1358"/>
      <c r="COD517" s="1358"/>
      <c r="COE517" s="1358"/>
      <c r="COF517" s="1358"/>
      <c r="COG517" s="1358"/>
      <c r="COH517" s="1358"/>
      <c r="COI517" s="1358"/>
      <c r="COJ517" s="1358"/>
      <c r="COK517" s="1358"/>
      <c r="COL517" s="1358"/>
      <c r="COM517" s="1358"/>
      <c r="CON517" s="1358"/>
      <c r="COO517" s="1358"/>
      <c r="COP517" s="1358"/>
      <c r="COQ517" s="1358"/>
      <c r="COR517" s="1358"/>
      <c r="COS517" s="1358"/>
      <c r="COT517" s="1358"/>
      <c r="COU517" s="1358"/>
      <c r="COV517" s="1358"/>
      <c r="COW517" s="1358"/>
      <c r="COX517" s="1358"/>
      <c r="COY517" s="1358"/>
      <c r="COZ517" s="1358"/>
      <c r="CPA517" s="1358"/>
      <c r="CPB517" s="1358"/>
      <c r="CPC517" s="1358"/>
      <c r="CPD517" s="1358"/>
      <c r="CPE517" s="1358"/>
      <c r="CPF517" s="1358"/>
      <c r="CPG517" s="1358"/>
      <c r="CPH517" s="1358"/>
      <c r="CPI517" s="1358"/>
      <c r="CPJ517" s="1358"/>
      <c r="CPK517" s="1358"/>
      <c r="CPL517" s="1358"/>
      <c r="CPM517" s="1358"/>
      <c r="CPN517" s="1358"/>
      <c r="CPO517" s="1358"/>
      <c r="CPP517" s="1358"/>
      <c r="CPQ517" s="1358"/>
      <c r="CPR517" s="1358"/>
      <c r="CPS517" s="1358"/>
      <c r="CPT517" s="1358"/>
      <c r="CPU517" s="1358"/>
      <c r="CPV517" s="1358"/>
      <c r="CPW517" s="1358"/>
      <c r="CPX517" s="1358"/>
      <c r="CPY517" s="1358"/>
      <c r="CPZ517" s="1358"/>
      <c r="CQA517" s="1358"/>
      <c r="CQB517" s="1358"/>
      <c r="CQC517" s="1358"/>
      <c r="CQD517" s="1358"/>
      <c r="CQE517" s="1358"/>
      <c r="CQF517" s="1358"/>
      <c r="CQG517" s="1358"/>
      <c r="CQH517" s="1358"/>
      <c r="CQI517" s="1358"/>
      <c r="CQJ517" s="1358"/>
      <c r="CQK517" s="1358"/>
      <c r="CQL517" s="1358"/>
      <c r="CQM517" s="1358"/>
      <c r="CQN517" s="1358"/>
      <c r="CQO517" s="1358"/>
      <c r="CQP517" s="1358"/>
      <c r="CQQ517" s="1358"/>
      <c r="CQR517" s="1358"/>
      <c r="CQS517" s="1358"/>
      <c r="CQT517" s="1358"/>
      <c r="CQU517" s="1358"/>
      <c r="CQV517" s="1358"/>
      <c r="CQW517" s="1358"/>
      <c r="CQX517" s="1358"/>
      <c r="CQY517" s="1358"/>
      <c r="CQZ517" s="1358"/>
      <c r="CRA517" s="1358"/>
      <c r="CRB517" s="1358"/>
      <c r="CRC517" s="1358"/>
      <c r="CRD517" s="1358"/>
      <c r="CRE517" s="1358"/>
      <c r="CRF517" s="1358"/>
      <c r="CRG517" s="1358"/>
      <c r="CRH517" s="1358"/>
      <c r="CRI517" s="1358"/>
      <c r="CRJ517" s="1358"/>
      <c r="CRK517" s="1358"/>
      <c r="CRL517" s="1358"/>
      <c r="CRM517" s="1358"/>
      <c r="CRN517" s="1358"/>
      <c r="CRO517" s="1358"/>
      <c r="CRP517" s="1358"/>
      <c r="CRQ517" s="1358"/>
      <c r="CRR517" s="1358"/>
      <c r="CRS517" s="1358"/>
      <c r="CRT517" s="1358"/>
      <c r="CRU517" s="1358"/>
      <c r="CRV517" s="1358"/>
      <c r="CRW517" s="1358"/>
      <c r="CRX517" s="1358"/>
      <c r="CRY517" s="1358"/>
      <c r="CRZ517" s="1358"/>
      <c r="CSA517" s="1358"/>
      <c r="CSB517" s="1358"/>
      <c r="CSC517" s="1358"/>
      <c r="CSD517" s="1358"/>
      <c r="CSE517" s="1358"/>
      <c r="CSF517" s="1358"/>
      <c r="CSG517" s="1358"/>
      <c r="CSH517" s="1358"/>
      <c r="CSI517" s="1358"/>
      <c r="CSJ517" s="1358"/>
      <c r="CSK517" s="1358"/>
      <c r="CSL517" s="1358"/>
      <c r="CSM517" s="1358"/>
      <c r="CSN517" s="1358"/>
      <c r="CSO517" s="1358"/>
      <c r="CSP517" s="1358"/>
      <c r="CSQ517" s="1358"/>
      <c r="CSR517" s="1358"/>
      <c r="CSS517" s="1358"/>
      <c r="CST517" s="1358"/>
      <c r="CSU517" s="1358"/>
      <c r="CSV517" s="1358"/>
      <c r="CSW517" s="1358"/>
      <c r="CSX517" s="1358"/>
      <c r="CSY517" s="1358"/>
      <c r="CSZ517" s="1358"/>
      <c r="CTA517" s="1358"/>
      <c r="CTB517" s="1358"/>
      <c r="CTC517" s="1358"/>
      <c r="CTD517" s="1358"/>
      <c r="CTE517" s="1358"/>
      <c r="CTF517" s="1358"/>
      <c r="CTG517" s="1358"/>
      <c r="CTH517" s="1358"/>
      <c r="CTI517" s="1358"/>
      <c r="CTJ517" s="1358"/>
      <c r="CTK517" s="1358"/>
      <c r="CTL517" s="1358"/>
      <c r="CTM517" s="1358"/>
      <c r="CTN517" s="1358"/>
      <c r="CTO517" s="1358"/>
      <c r="CTP517" s="1358"/>
      <c r="CTQ517" s="1358"/>
      <c r="CTR517" s="1358"/>
      <c r="CTS517" s="1358"/>
      <c r="CTT517" s="1358"/>
      <c r="CTU517" s="1358"/>
      <c r="CTV517" s="1358"/>
      <c r="CTW517" s="1358"/>
      <c r="CTX517" s="1358"/>
      <c r="CTY517" s="1358"/>
      <c r="CTZ517" s="1358"/>
      <c r="CUA517" s="1358"/>
      <c r="CUB517" s="1358"/>
      <c r="CUC517" s="1358"/>
      <c r="CUD517" s="1358"/>
      <c r="CUE517" s="1358"/>
      <c r="CUF517" s="1358"/>
      <c r="CUG517" s="1358"/>
      <c r="CUH517" s="1358"/>
      <c r="CUI517" s="1358"/>
      <c r="CUJ517" s="1358"/>
      <c r="CUK517" s="1358"/>
      <c r="CUL517" s="1358"/>
      <c r="CUM517" s="1358"/>
      <c r="CUN517" s="1358"/>
      <c r="CUO517" s="1358"/>
      <c r="CUP517" s="1358"/>
      <c r="CUQ517" s="1358"/>
      <c r="CUR517" s="1358"/>
      <c r="CUS517" s="1358"/>
      <c r="CUT517" s="1358"/>
      <c r="CUU517" s="1358"/>
      <c r="CUV517" s="1358"/>
      <c r="CUW517" s="1358"/>
      <c r="CUX517" s="1358"/>
      <c r="CUY517" s="1358"/>
      <c r="CUZ517" s="1358"/>
      <c r="CVA517" s="1358"/>
      <c r="CVB517" s="1358"/>
      <c r="CVC517" s="1358"/>
      <c r="CVD517" s="1358"/>
      <c r="CVE517" s="1358"/>
      <c r="CVF517" s="1358"/>
      <c r="CVG517" s="1358"/>
      <c r="CVH517" s="1358"/>
      <c r="CVI517" s="1358"/>
      <c r="CVJ517" s="1358"/>
      <c r="CVK517" s="1358"/>
      <c r="CVL517" s="1358"/>
      <c r="CVM517" s="1358"/>
      <c r="CVN517" s="1358"/>
      <c r="CVO517" s="1358"/>
      <c r="CVP517" s="1358"/>
      <c r="CVQ517" s="1358"/>
      <c r="CVR517" s="1358"/>
      <c r="CVS517" s="1358"/>
      <c r="CVT517" s="1358"/>
      <c r="CVU517" s="1358"/>
      <c r="CVV517" s="1358"/>
      <c r="CVW517" s="1358"/>
      <c r="CVX517" s="1358"/>
      <c r="CVY517" s="1358"/>
      <c r="CVZ517" s="1358"/>
      <c r="CWA517" s="1358"/>
      <c r="CWB517" s="1358"/>
      <c r="CWC517" s="1358"/>
      <c r="CWD517" s="1358"/>
      <c r="CWE517" s="1358"/>
      <c r="CWF517" s="1358"/>
      <c r="CWG517" s="1358"/>
      <c r="CWH517" s="1358"/>
      <c r="CWI517" s="1358"/>
      <c r="CWJ517" s="1358"/>
      <c r="CWK517" s="1358"/>
      <c r="CWL517" s="1358"/>
      <c r="CWM517" s="1358"/>
      <c r="CWN517" s="1358"/>
      <c r="CWO517" s="1358"/>
      <c r="CWP517" s="1358"/>
      <c r="CWQ517" s="1358"/>
      <c r="CWR517" s="1358"/>
      <c r="CWS517" s="1358"/>
      <c r="CWT517" s="1358"/>
      <c r="CWU517" s="1358"/>
      <c r="CWV517" s="1358"/>
      <c r="CWW517" s="1358"/>
      <c r="CWX517" s="1358"/>
      <c r="CWY517" s="1358"/>
      <c r="CWZ517" s="1358"/>
      <c r="CXA517" s="1358"/>
      <c r="CXB517" s="1358"/>
      <c r="CXC517" s="1358"/>
      <c r="CXD517" s="1358"/>
      <c r="CXE517" s="1358"/>
      <c r="CXF517" s="1358"/>
      <c r="CXG517" s="1358"/>
      <c r="CXH517" s="1358"/>
      <c r="CXI517" s="1358"/>
      <c r="CXJ517" s="1358"/>
      <c r="CXK517" s="1358"/>
      <c r="CXL517" s="1358"/>
      <c r="CXM517" s="1358"/>
      <c r="CXN517" s="1358"/>
      <c r="CXO517" s="1358"/>
      <c r="CXP517" s="1358"/>
      <c r="CXQ517" s="1358"/>
      <c r="CXR517" s="1358"/>
      <c r="CXS517" s="1358"/>
      <c r="CXT517" s="1358"/>
      <c r="CXU517" s="1358"/>
      <c r="CXV517" s="1358"/>
      <c r="CXW517" s="1358"/>
      <c r="CXX517" s="1358"/>
      <c r="CXY517" s="1358"/>
      <c r="CXZ517" s="1358"/>
      <c r="CYA517" s="1358"/>
      <c r="CYB517" s="1358"/>
      <c r="CYC517" s="1358"/>
      <c r="CYD517" s="1358"/>
      <c r="CYE517" s="1358"/>
      <c r="CYF517" s="1358"/>
      <c r="CYG517" s="1358"/>
      <c r="CYH517" s="1358"/>
      <c r="CYI517" s="1358"/>
      <c r="CYJ517" s="1358"/>
      <c r="CYK517" s="1358"/>
      <c r="CYL517" s="1358"/>
      <c r="CYM517" s="1358"/>
      <c r="CYN517" s="1358"/>
      <c r="CYO517" s="1358"/>
      <c r="CYP517" s="1358"/>
      <c r="CYQ517" s="1358"/>
      <c r="CYR517" s="1358"/>
      <c r="CYS517" s="1358"/>
      <c r="CYT517" s="1358"/>
      <c r="CYU517" s="1358"/>
      <c r="CYV517" s="1358"/>
      <c r="CYW517" s="1358"/>
      <c r="CYX517" s="1358"/>
      <c r="CYY517" s="1358"/>
      <c r="CYZ517" s="1358"/>
      <c r="CZA517" s="1358"/>
      <c r="CZB517" s="1358"/>
      <c r="CZC517" s="1358"/>
      <c r="CZD517" s="1358"/>
      <c r="CZE517" s="1358"/>
      <c r="CZF517" s="1358"/>
      <c r="CZG517" s="1358"/>
      <c r="CZH517" s="1358"/>
      <c r="CZI517" s="1358"/>
      <c r="CZJ517" s="1358"/>
      <c r="CZK517" s="1358"/>
      <c r="CZL517" s="1358"/>
      <c r="CZM517" s="1358"/>
      <c r="CZN517" s="1358"/>
      <c r="CZO517" s="1358"/>
      <c r="CZP517" s="1358"/>
      <c r="CZQ517" s="1358"/>
      <c r="CZR517" s="1358"/>
      <c r="CZS517" s="1358"/>
      <c r="CZT517" s="1358"/>
      <c r="CZU517" s="1358"/>
      <c r="CZV517" s="1358"/>
      <c r="CZW517" s="1358"/>
      <c r="CZX517" s="1358"/>
      <c r="CZY517" s="1358"/>
      <c r="CZZ517" s="1358"/>
      <c r="DAA517" s="1358"/>
      <c r="DAB517" s="1358"/>
      <c r="DAC517" s="1358"/>
      <c r="DAD517" s="1358"/>
      <c r="DAE517" s="1358"/>
      <c r="DAF517" s="1358"/>
      <c r="DAG517" s="1358"/>
      <c r="DAH517" s="1358"/>
      <c r="DAI517" s="1358"/>
      <c r="DAJ517" s="1358"/>
      <c r="DAK517" s="1358"/>
      <c r="DAL517" s="1358"/>
      <c r="DAM517" s="1358"/>
      <c r="DAN517" s="1358"/>
      <c r="DAO517" s="1358"/>
      <c r="DAP517" s="1358"/>
      <c r="DAQ517" s="1358"/>
      <c r="DAR517" s="1358"/>
      <c r="DAS517" s="1358"/>
      <c r="DAT517" s="1358"/>
      <c r="DAU517" s="1358"/>
      <c r="DAV517" s="1358"/>
      <c r="DAW517" s="1358"/>
      <c r="DAX517" s="1358"/>
      <c r="DAY517" s="1358"/>
      <c r="DAZ517" s="1358"/>
      <c r="DBA517" s="1358"/>
      <c r="DBB517" s="1358"/>
      <c r="DBC517" s="1358"/>
      <c r="DBD517" s="1358"/>
      <c r="DBE517" s="1358"/>
      <c r="DBF517" s="1358"/>
      <c r="DBG517" s="1358"/>
      <c r="DBH517" s="1358"/>
      <c r="DBI517" s="1358"/>
      <c r="DBJ517" s="1358"/>
      <c r="DBK517" s="1358"/>
      <c r="DBL517" s="1358"/>
      <c r="DBM517" s="1358"/>
      <c r="DBN517" s="1358"/>
      <c r="DBO517" s="1358"/>
      <c r="DBP517" s="1358"/>
      <c r="DBQ517" s="1358"/>
      <c r="DBR517" s="1358"/>
      <c r="DBS517" s="1358"/>
      <c r="DBT517" s="1358"/>
      <c r="DBU517" s="1358"/>
      <c r="DBV517" s="1358"/>
      <c r="DBW517" s="1358"/>
      <c r="DBX517" s="1358"/>
      <c r="DBY517" s="1358"/>
      <c r="DBZ517" s="1358"/>
      <c r="DCA517" s="1358"/>
      <c r="DCB517" s="1358"/>
      <c r="DCC517" s="1358"/>
      <c r="DCD517" s="1358"/>
      <c r="DCE517" s="1358"/>
      <c r="DCF517" s="1358"/>
      <c r="DCG517" s="1358"/>
      <c r="DCH517" s="1358"/>
      <c r="DCI517" s="1358"/>
      <c r="DCJ517" s="1358"/>
      <c r="DCK517" s="1358"/>
      <c r="DCL517" s="1358"/>
      <c r="DCM517" s="1358"/>
      <c r="DCN517" s="1358"/>
      <c r="DCO517" s="1358"/>
      <c r="DCP517" s="1358"/>
      <c r="DCQ517" s="1358"/>
      <c r="DCR517" s="1358"/>
      <c r="DCS517" s="1358"/>
      <c r="DCT517" s="1358"/>
      <c r="DCU517" s="1358"/>
      <c r="DCV517" s="1358"/>
      <c r="DCW517" s="1358"/>
      <c r="DCX517" s="1358"/>
      <c r="DCY517" s="1358"/>
      <c r="DCZ517" s="1358"/>
      <c r="DDA517" s="1358"/>
      <c r="DDB517" s="1358"/>
      <c r="DDC517" s="1358"/>
      <c r="DDD517" s="1358"/>
      <c r="DDE517" s="1358"/>
      <c r="DDF517" s="1358"/>
      <c r="DDG517" s="1358"/>
      <c r="DDH517" s="1358"/>
      <c r="DDI517" s="1358"/>
      <c r="DDJ517" s="1358"/>
      <c r="DDK517" s="1358"/>
      <c r="DDL517" s="1358"/>
      <c r="DDM517" s="1358"/>
      <c r="DDN517" s="1358"/>
      <c r="DDO517" s="1358"/>
      <c r="DDP517" s="1358"/>
      <c r="DDQ517" s="1358"/>
      <c r="DDR517" s="1358"/>
      <c r="DDS517" s="1358"/>
      <c r="DDT517" s="1358"/>
      <c r="DDU517" s="1358"/>
      <c r="DDV517" s="1358"/>
      <c r="DDW517" s="1358"/>
      <c r="DDX517" s="1358"/>
      <c r="DDY517" s="1358"/>
      <c r="DDZ517" s="1358"/>
      <c r="DEA517" s="1358"/>
      <c r="DEB517" s="1358"/>
      <c r="DEC517" s="1358"/>
      <c r="DED517" s="1358"/>
      <c r="DEE517" s="1358"/>
      <c r="DEF517" s="1358"/>
      <c r="DEG517" s="1358"/>
      <c r="DEH517" s="1358"/>
      <c r="DEI517" s="1358"/>
      <c r="DEJ517" s="1358"/>
      <c r="DEK517" s="1358"/>
      <c r="DEL517" s="1358"/>
      <c r="DEM517" s="1358"/>
      <c r="DEN517" s="1358"/>
      <c r="DEO517" s="1358"/>
      <c r="DEP517" s="1358"/>
      <c r="DEQ517" s="1358"/>
      <c r="DER517" s="1358"/>
      <c r="DES517" s="1358"/>
      <c r="DET517" s="1358"/>
      <c r="DEU517" s="1358"/>
      <c r="DEV517" s="1358"/>
      <c r="DEW517" s="1358"/>
      <c r="DEX517" s="1358"/>
      <c r="DEY517" s="1358"/>
      <c r="DEZ517" s="1358"/>
      <c r="DFA517" s="1358"/>
      <c r="DFB517" s="1358"/>
      <c r="DFC517" s="1358"/>
      <c r="DFD517" s="1358"/>
      <c r="DFE517" s="1358"/>
      <c r="DFF517" s="1358"/>
      <c r="DFG517" s="1358"/>
      <c r="DFH517" s="1358"/>
      <c r="DFI517" s="1358"/>
      <c r="DFJ517" s="1358"/>
      <c r="DFK517" s="1358"/>
      <c r="DFL517" s="1358"/>
      <c r="DFM517" s="1358"/>
      <c r="DFN517" s="1358"/>
      <c r="DFO517" s="1358"/>
      <c r="DFP517" s="1358"/>
      <c r="DFQ517" s="1358"/>
      <c r="DFR517" s="1358"/>
      <c r="DFS517" s="1358"/>
      <c r="DFT517" s="1358"/>
      <c r="DFU517" s="1358"/>
      <c r="DFV517" s="1358"/>
      <c r="DFW517" s="1358"/>
      <c r="DFX517" s="1358"/>
      <c r="DFY517" s="1358"/>
      <c r="DFZ517" s="1358"/>
      <c r="DGA517" s="1358"/>
      <c r="DGB517" s="1358"/>
      <c r="DGC517" s="1358"/>
      <c r="DGD517" s="1358"/>
      <c r="DGE517" s="1358"/>
      <c r="DGF517" s="1358"/>
      <c r="DGG517" s="1358"/>
      <c r="DGH517" s="1358"/>
      <c r="DGI517" s="1358"/>
      <c r="DGJ517" s="1358"/>
      <c r="DGK517" s="1358"/>
      <c r="DGL517" s="1358"/>
      <c r="DGM517" s="1358"/>
      <c r="DGN517" s="1358"/>
      <c r="DGO517" s="1358"/>
      <c r="DGP517" s="1358"/>
      <c r="DGQ517" s="1358"/>
      <c r="DGR517" s="1358"/>
      <c r="DGS517" s="1358"/>
      <c r="DGT517" s="1358"/>
      <c r="DGU517" s="1358"/>
      <c r="DGV517" s="1358"/>
      <c r="DGW517" s="1358"/>
      <c r="DGX517" s="1358"/>
      <c r="DGY517" s="1358"/>
      <c r="DGZ517" s="1358"/>
      <c r="DHA517" s="1358"/>
      <c r="DHB517" s="1358"/>
      <c r="DHC517" s="1358"/>
      <c r="DHD517" s="1358"/>
      <c r="DHE517" s="1358"/>
      <c r="DHF517" s="1358"/>
      <c r="DHG517" s="1358"/>
      <c r="DHH517" s="1358"/>
      <c r="DHI517" s="1358"/>
      <c r="DHJ517" s="1358"/>
      <c r="DHK517" s="1358"/>
      <c r="DHL517" s="1358"/>
      <c r="DHM517" s="1358"/>
      <c r="DHN517" s="1358"/>
      <c r="DHO517" s="1358"/>
      <c r="DHP517" s="1358"/>
      <c r="DHQ517" s="1358"/>
      <c r="DHR517" s="1358"/>
      <c r="DHS517" s="1358"/>
      <c r="DHT517" s="1358"/>
      <c r="DHU517" s="1358"/>
      <c r="DHV517" s="1358"/>
      <c r="DHW517" s="1358"/>
      <c r="DHX517" s="1358"/>
      <c r="DHY517" s="1358"/>
      <c r="DHZ517" s="1358"/>
      <c r="DIA517" s="1358"/>
      <c r="DIB517" s="1358"/>
      <c r="DIC517" s="1358"/>
      <c r="DID517" s="1358"/>
      <c r="DIE517" s="1358"/>
      <c r="DIF517" s="1358"/>
      <c r="DIG517" s="1358"/>
      <c r="DIH517" s="1358"/>
      <c r="DII517" s="1358"/>
      <c r="DIJ517" s="1358"/>
      <c r="DIK517" s="1358"/>
      <c r="DIL517" s="1358"/>
      <c r="DIM517" s="1358"/>
      <c r="DIN517" s="1358"/>
      <c r="DIO517" s="1358"/>
      <c r="DIP517" s="1358"/>
      <c r="DIQ517" s="1358"/>
      <c r="DIR517" s="1358"/>
      <c r="DIS517" s="1358"/>
      <c r="DIT517" s="1358"/>
      <c r="DIU517" s="1358"/>
      <c r="DIV517" s="1358"/>
      <c r="DIW517" s="1358"/>
      <c r="DIX517" s="1358"/>
      <c r="DIY517" s="1358"/>
      <c r="DIZ517" s="1358"/>
      <c r="DJA517" s="1358"/>
      <c r="DJB517" s="1358"/>
      <c r="DJC517" s="1358"/>
      <c r="DJD517" s="1358"/>
      <c r="DJE517" s="1358"/>
      <c r="DJF517" s="1358"/>
      <c r="DJG517" s="1358"/>
      <c r="DJH517" s="1358"/>
      <c r="DJI517" s="1358"/>
      <c r="DJJ517" s="1358"/>
      <c r="DJK517" s="1358"/>
      <c r="DJL517" s="1358"/>
      <c r="DJM517" s="1358"/>
      <c r="DJN517" s="1358"/>
      <c r="DJO517" s="1358"/>
      <c r="DJP517" s="1358"/>
      <c r="DJQ517" s="1358"/>
      <c r="DJR517" s="1358"/>
      <c r="DJS517" s="1358"/>
      <c r="DJT517" s="1358"/>
      <c r="DJU517" s="1358"/>
      <c r="DJV517" s="1358"/>
      <c r="DJW517" s="1358"/>
      <c r="DJX517" s="1358"/>
      <c r="DJY517" s="1358"/>
      <c r="DJZ517" s="1358"/>
      <c r="DKA517" s="1358"/>
      <c r="DKB517" s="1358"/>
      <c r="DKC517" s="1358"/>
      <c r="DKD517" s="1358"/>
      <c r="DKE517" s="1358"/>
      <c r="DKF517" s="1358"/>
      <c r="DKG517" s="1358"/>
      <c r="DKH517" s="1358"/>
      <c r="DKI517" s="1358"/>
      <c r="DKJ517" s="1358"/>
      <c r="DKK517" s="1358"/>
      <c r="DKL517" s="1358"/>
      <c r="DKM517" s="1358"/>
      <c r="DKN517" s="1358"/>
      <c r="DKO517" s="1358"/>
      <c r="DKP517" s="1358"/>
      <c r="DKQ517" s="1358"/>
      <c r="DKR517" s="1358"/>
      <c r="DKS517" s="1358"/>
      <c r="DKT517" s="1358"/>
      <c r="DKU517" s="1358"/>
      <c r="DKV517" s="1358"/>
      <c r="DKW517" s="1358"/>
      <c r="DKX517" s="1358"/>
      <c r="DKY517" s="1358"/>
      <c r="DKZ517" s="1358"/>
      <c r="DLA517" s="1358"/>
      <c r="DLB517" s="1358"/>
      <c r="DLC517" s="1358"/>
      <c r="DLD517" s="1358"/>
      <c r="DLE517" s="1358"/>
      <c r="DLF517" s="1358"/>
      <c r="DLG517" s="1358"/>
      <c r="DLH517" s="1358"/>
      <c r="DLI517" s="1358"/>
      <c r="DLJ517" s="1358"/>
      <c r="DLK517" s="1358"/>
      <c r="DLL517" s="1358"/>
      <c r="DLM517" s="1358"/>
      <c r="DLN517" s="1358"/>
      <c r="DLO517" s="1358"/>
      <c r="DLP517" s="1358"/>
      <c r="DLQ517" s="1358"/>
      <c r="DLR517" s="1358"/>
      <c r="DLS517" s="1358"/>
      <c r="DLT517" s="1358"/>
      <c r="DLU517" s="1358"/>
      <c r="DLV517" s="1358"/>
      <c r="DLW517" s="1358"/>
      <c r="DLX517" s="1358"/>
      <c r="DLY517" s="1358"/>
      <c r="DLZ517" s="1358"/>
      <c r="DMA517" s="1358"/>
      <c r="DMB517" s="1358"/>
      <c r="DMC517" s="1358"/>
      <c r="DMD517" s="1358"/>
      <c r="DME517" s="1358"/>
      <c r="DMF517" s="1358"/>
      <c r="DMG517" s="1358"/>
      <c r="DMH517" s="1358"/>
      <c r="DMI517" s="1358"/>
      <c r="DMJ517" s="1358"/>
      <c r="DMK517" s="1358"/>
      <c r="DML517" s="1358"/>
      <c r="DMM517" s="1358"/>
      <c r="DMN517" s="1358"/>
      <c r="DMO517" s="1358"/>
      <c r="DMP517" s="1358"/>
      <c r="DMQ517" s="1358"/>
      <c r="DMR517" s="1358"/>
      <c r="DMS517" s="1358"/>
      <c r="DMT517" s="1358"/>
      <c r="DMU517" s="1358"/>
      <c r="DMV517" s="1358"/>
      <c r="DMW517" s="1358"/>
      <c r="DMX517" s="1358"/>
      <c r="DMY517" s="1358"/>
      <c r="DMZ517" s="1358"/>
      <c r="DNA517" s="1358"/>
      <c r="DNB517" s="1358"/>
      <c r="DNC517" s="1358"/>
      <c r="DND517" s="1358"/>
      <c r="DNE517" s="1358"/>
      <c r="DNF517" s="1358"/>
      <c r="DNG517" s="1358"/>
      <c r="DNH517" s="1358"/>
      <c r="DNI517" s="1358"/>
      <c r="DNJ517" s="1358"/>
      <c r="DNK517" s="1358"/>
      <c r="DNL517" s="1358"/>
      <c r="DNM517" s="1358"/>
      <c r="DNN517" s="1358"/>
      <c r="DNO517" s="1358"/>
      <c r="DNP517" s="1358"/>
      <c r="DNQ517" s="1358"/>
      <c r="DNR517" s="1358"/>
      <c r="DNS517" s="1358"/>
      <c r="DNT517" s="1358"/>
      <c r="DNU517" s="1358"/>
      <c r="DNV517" s="1358"/>
      <c r="DNW517" s="1358"/>
      <c r="DNX517" s="1358"/>
      <c r="DNY517" s="1358"/>
      <c r="DNZ517" s="1358"/>
      <c r="DOA517" s="1358"/>
      <c r="DOB517" s="1358"/>
      <c r="DOC517" s="1358"/>
      <c r="DOD517" s="1358"/>
      <c r="DOE517" s="1358"/>
      <c r="DOF517" s="1358"/>
      <c r="DOG517" s="1358"/>
      <c r="DOH517" s="1358"/>
      <c r="DOI517" s="1358"/>
      <c r="DOJ517" s="1358"/>
      <c r="DOK517" s="1358"/>
      <c r="DOL517" s="1358"/>
      <c r="DOM517" s="1358"/>
      <c r="DON517" s="1358"/>
      <c r="DOO517" s="1358"/>
      <c r="DOP517" s="1358"/>
      <c r="DOQ517" s="1358"/>
      <c r="DOR517" s="1358"/>
      <c r="DOS517" s="1358"/>
      <c r="DOT517" s="1358"/>
      <c r="DOU517" s="1358"/>
      <c r="DOV517" s="1358"/>
      <c r="DOW517" s="1358"/>
      <c r="DOX517" s="1358"/>
      <c r="DOY517" s="1358"/>
      <c r="DOZ517" s="1358"/>
      <c r="DPA517" s="1358"/>
      <c r="DPB517" s="1358"/>
      <c r="DPC517" s="1358"/>
      <c r="DPD517" s="1358"/>
      <c r="DPE517" s="1358"/>
      <c r="DPF517" s="1358"/>
      <c r="DPG517" s="1358"/>
      <c r="DPH517" s="1358"/>
      <c r="DPI517" s="1358"/>
      <c r="DPJ517" s="1358"/>
      <c r="DPK517" s="1358"/>
      <c r="DPL517" s="1358"/>
      <c r="DPM517" s="1358"/>
      <c r="DPN517" s="1358"/>
      <c r="DPO517" s="1358"/>
      <c r="DPP517" s="1358"/>
      <c r="DPQ517" s="1358"/>
      <c r="DPR517" s="1358"/>
      <c r="DPS517" s="1358"/>
      <c r="DPT517" s="1358"/>
      <c r="DPU517" s="1358"/>
      <c r="DPV517" s="1358"/>
      <c r="DPW517" s="1358"/>
      <c r="DPX517" s="1358"/>
      <c r="DPY517" s="1358"/>
      <c r="DPZ517" s="1358"/>
      <c r="DQA517" s="1358"/>
      <c r="DQB517" s="1358"/>
      <c r="DQC517" s="1358"/>
      <c r="DQD517" s="1358"/>
      <c r="DQE517" s="1358"/>
      <c r="DQF517" s="1358"/>
      <c r="DQG517" s="1358"/>
      <c r="DQH517" s="1358"/>
      <c r="DQI517" s="1358"/>
      <c r="DQJ517" s="1358"/>
      <c r="DQK517" s="1358"/>
      <c r="DQL517" s="1358"/>
      <c r="DQM517" s="1358"/>
      <c r="DQN517" s="1358"/>
      <c r="DQO517" s="1358"/>
      <c r="DQP517" s="1358"/>
      <c r="DQQ517" s="1358"/>
      <c r="DQR517" s="1358"/>
      <c r="DQS517" s="1358"/>
      <c r="DQT517" s="1358"/>
      <c r="DQU517" s="1358"/>
      <c r="DQV517" s="1358"/>
      <c r="DQW517" s="1358"/>
      <c r="DQX517" s="1358"/>
      <c r="DQY517" s="1358"/>
      <c r="DQZ517" s="1358"/>
      <c r="DRA517" s="1358"/>
      <c r="DRB517" s="1358"/>
      <c r="DRC517" s="1358"/>
      <c r="DRD517" s="1358"/>
      <c r="DRE517" s="1358"/>
      <c r="DRF517" s="1358"/>
      <c r="DRG517" s="1358"/>
      <c r="DRH517" s="1358"/>
      <c r="DRI517" s="1358"/>
      <c r="DRJ517" s="1358"/>
      <c r="DRK517" s="1358"/>
      <c r="DRL517" s="1358"/>
      <c r="DRM517" s="1358"/>
      <c r="DRN517" s="1358"/>
      <c r="DRO517" s="1358"/>
      <c r="DRP517" s="1358"/>
      <c r="DRQ517" s="1358"/>
      <c r="DRR517" s="1358"/>
      <c r="DRS517" s="1358"/>
      <c r="DRT517" s="1358"/>
      <c r="DRU517" s="1358"/>
      <c r="DRV517" s="1358"/>
      <c r="DRW517" s="1358"/>
      <c r="DRX517" s="1358"/>
      <c r="DRY517" s="1358"/>
      <c r="DRZ517" s="1358"/>
      <c r="DSA517" s="1358"/>
      <c r="DSB517" s="1358"/>
      <c r="DSC517" s="1358"/>
      <c r="DSD517" s="1358"/>
      <c r="DSE517" s="1358"/>
      <c r="DSF517" s="1358"/>
      <c r="DSG517" s="1358"/>
      <c r="DSH517" s="1358"/>
      <c r="DSI517" s="1358"/>
      <c r="DSJ517" s="1358"/>
      <c r="DSK517" s="1358"/>
      <c r="DSL517" s="1358"/>
      <c r="DSM517" s="1358"/>
      <c r="DSN517" s="1358"/>
      <c r="DSO517" s="1358"/>
      <c r="DSP517" s="1358"/>
      <c r="DSQ517" s="1358"/>
      <c r="DSR517" s="1358"/>
      <c r="DSS517" s="1358"/>
      <c r="DST517" s="1358"/>
      <c r="DSU517" s="1358"/>
      <c r="DSV517" s="1358"/>
      <c r="DSW517" s="1358"/>
      <c r="DSX517" s="1358"/>
      <c r="DSY517" s="1358"/>
      <c r="DSZ517" s="1358"/>
      <c r="DTA517" s="1358"/>
      <c r="DTB517" s="1358"/>
      <c r="DTC517" s="1358"/>
      <c r="DTD517" s="1358"/>
      <c r="DTE517" s="1358"/>
      <c r="DTF517" s="1358"/>
      <c r="DTG517" s="1358"/>
      <c r="DTH517" s="1358"/>
      <c r="DTI517" s="1358"/>
      <c r="DTJ517" s="1358"/>
      <c r="DTK517" s="1358"/>
      <c r="DTL517" s="1358"/>
      <c r="DTM517" s="1358"/>
      <c r="DTN517" s="1358"/>
      <c r="DTO517" s="1358"/>
      <c r="DTP517" s="1358"/>
      <c r="DTQ517" s="1358"/>
      <c r="DTR517" s="1358"/>
      <c r="DTS517" s="1358"/>
      <c r="DTT517" s="1358"/>
      <c r="DTU517" s="1358"/>
      <c r="DTV517" s="1358"/>
      <c r="DTW517" s="1358"/>
      <c r="DTX517" s="1358"/>
      <c r="DTY517" s="1358"/>
      <c r="DTZ517" s="1358"/>
      <c r="DUA517" s="1358"/>
      <c r="DUB517" s="1358"/>
      <c r="DUC517" s="1358"/>
      <c r="DUD517" s="1358"/>
      <c r="DUE517" s="1358"/>
      <c r="DUF517" s="1358"/>
      <c r="DUG517" s="1358"/>
      <c r="DUH517" s="1358"/>
      <c r="DUI517" s="1358"/>
      <c r="DUJ517" s="1358"/>
      <c r="DUK517" s="1358"/>
      <c r="DUL517" s="1358"/>
      <c r="DUM517" s="1358"/>
      <c r="DUN517" s="1358"/>
      <c r="DUO517" s="1358"/>
      <c r="DUP517" s="1358"/>
      <c r="DUQ517" s="1358"/>
      <c r="DUR517" s="1358"/>
      <c r="DUS517" s="1358"/>
      <c r="DUT517" s="1358"/>
      <c r="DUU517" s="1358"/>
      <c r="DUV517" s="1358"/>
      <c r="DUW517" s="1358"/>
      <c r="DUX517" s="1358"/>
      <c r="DUY517" s="1358"/>
      <c r="DUZ517" s="1358"/>
      <c r="DVA517" s="1358"/>
      <c r="DVB517" s="1358"/>
      <c r="DVC517" s="1358"/>
      <c r="DVD517" s="1358"/>
      <c r="DVE517" s="1358"/>
      <c r="DVF517" s="1358"/>
      <c r="DVG517" s="1358"/>
      <c r="DVH517" s="1358"/>
      <c r="DVI517" s="1358"/>
      <c r="DVJ517" s="1358"/>
      <c r="DVK517" s="1358"/>
      <c r="DVL517" s="1358"/>
      <c r="DVM517" s="1358"/>
      <c r="DVN517" s="1358"/>
      <c r="DVO517" s="1358"/>
      <c r="DVP517" s="1358"/>
      <c r="DVQ517" s="1358"/>
      <c r="DVR517" s="1358"/>
      <c r="DVS517" s="1358"/>
      <c r="DVT517" s="1358"/>
      <c r="DVU517" s="1358"/>
      <c r="DVV517" s="1358"/>
      <c r="DVW517" s="1358"/>
      <c r="DVX517" s="1358"/>
      <c r="DVY517" s="1358"/>
      <c r="DVZ517" s="1358"/>
      <c r="DWA517" s="1358"/>
      <c r="DWB517" s="1358"/>
      <c r="DWC517" s="1358"/>
      <c r="DWD517" s="1358"/>
      <c r="DWE517" s="1358"/>
      <c r="DWF517" s="1358"/>
      <c r="DWG517" s="1358"/>
      <c r="DWH517" s="1358"/>
      <c r="DWI517" s="1358"/>
      <c r="DWJ517" s="1358"/>
      <c r="DWK517" s="1358"/>
      <c r="DWL517" s="1358"/>
      <c r="DWM517" s="1358"/>
      <c r="DWN517" s="1358"/>
      <c r="DWO517" s="1358"/>
      <c r="DWP517" s="1358"/>
      <c r="DWQ517" s="1358"/>
      <c r="DWR517" s="1358"/>
      <c r="DWS517" s="1358"/>
      <c r="DWT517" s="1358"/>
      <c r="DWU517" s="1358"/>
      <c r="DWV517" s="1358"/>
      <c r="DWW517" s="1358"/>
      <c r="DWX517" s="1358"/>
      <c r="DWY517" s="1358"/>
      <c r="DWZ517" s="1358"/>
      <c r="DXA517" s="1358"/>
      <c r="DXB517" s="1358"/>
      <c r="DXC517" s="1358"/>
      <c r="DXD517" s="1358"/>
      <c r="DXE517" s="1358"/>
      <c r="DXF517" s="1358"/>
      <c r="DXG517" s="1358"/>
      <c r="DXH517" s="1358"/>
      <c r="DXI517" s="1358"/>
      <c r="DXJ517" s="1358"/>
      <c r="DXK517" s="1358"/>
      <c r="DXL517" s="1358"/>
      <c r="DXM517" s="1358"/>
      <c r="DXN517" s="1358"/>
      <c r="DXO517" s="1358"/>
      <c r="DXP517" s="1358"/>
      <c r="DXQ517" s="1358"/>
      <c r="DXR517" s="1358"/>
      <c r="DXS517" s="1358"/>
      <c r="DXT517" s="1358"/>
      <c r="DXU517" s="1358"/>
      <c r="DXV517" s="1358"/>
      <c r="DXW517" s="1358"/>
      <c r="DXX517" s="1358"/>
      <c r="DXY517" s="1358"/>
      <c r="DXZ517" s="1358"/>
      <c r="DYA517" s="1358"/>
      <c r="DYB517" s="1358"/>
      <c r="DYC517" s="1358"/>
      <c r="DYD517" s="1358"/>
      <c r="DYE517" s="1358"/>
      <c r="DYF517" s="1358"/>
      <c r="DYG517" s="1358"/>
      <c r="DYH517" s="1358"/>
      <c r="DYI517" s="1358"/>
      <c r="DYJ517" s="1358"/>
      <c r="DYK517" s="1358"/>
      <c r="DYL517" s="1358"/>
      <c r="DYM517" s="1358"/>
      <c r="DYN517" s="1358"/>
      <c r="DYO517" s="1358"/>
      <c r="DYP517" s="1358"/>
      <c r="DYQ517" s="1358"/>
      <c r="DYR517" s="1358"/>
      <c r="DYS517" s="1358"/>
      <c r="DYT517" s="1358"/>
      <c r="DYU517" s="1358"/>
      <c r="DYV517" s="1358"/>
      <c r="DYW517" s="1358"/>
      <c r="DYX517" s="1358"/>
      <c r="DYY517" s="1358"/>
      <c r="DYZ517" s="1358"/>
      <c r="DZA517" s="1358"/>
      <c r="DZB517" s="1358"/>
      <c r="DZC517" s="1358"/>
      <c r="DZD517" s="1358"/>
      <c r="DZE517" s="1358"/>
      <c r="DZF517" s="1358"/>
      <c r="DZG517" s="1358"/>
      <c r="DZH517" s="1358"/>
      <c r="DZI517" s="1358"/>
      <c r="DZJ517" s="1358"/>
      <c r="DZK517" s="1358"/>
      <c r="DZL517" s="1358"/>
      <c r="DZM517" s="1358"/>
      <c r="DZN517" s="1358"/>
      <c r="DZO517" s="1358"/>
      <c r="DZP517" s="1358"/>
      <c r="DZQ517" s="1358"/>
      <c r="DZR517" s="1358"/>
      <c r="DZS517" s="1358"/>
      <c r="DZT517" s="1358"/>
      <c r="DZU517" s="1358"/>
      <c r="DZV517" s="1358"/>
      <c r="DZW517" s="1358"/>
      <c r="DZX517" s="1358"/>
      <c r="DZY517" s="1358"/>
      <c r="DZZ517" s="1358"/>
      <c r="EAA517" s="1358"/>
      <c r="EAB517" s="1358"/>
      <c r="EAC517" s="1358"/>
      <c r="EAD517" s="1358"/>
      <c r="EAE517" s="1358"/>
      <c r="EAF517" s="1358"/>
      <c r="EAG517" s="1358"/>
      <c r="EAH517" s="1358"/>
      <c r="EAI517" s="1358"/>
      <c r="EAJ517" s="1358"/>
      <c r="EAK517" s="1358"/>
      <c r="EAL517" s="1358"/>
      <c r="EAM517" s="1358"/>
      <c r="EAN517" s="1358"/>
      <c r="EAO517" s="1358"/>
      <c r="EAP517" s="1358"/>
      <c r="EAQ517" s="1358"/>
      <c r="EAR517" s="1358"/>
      <c r="EAS517" s="1358"/>
      <c r="EAT517" s="1358"/>
      <c r="EAU517" s="1358"/>
      <c r="EAV517" s="1358"/>
      <c r="EAW517" s="1358"/>
      <c r="EAX517" s="1358"/>
      <c r="EAY517" s="1358"/>
      <c r="EAZ517" s="1358"/>
      <c r="EBA517" s="1358"/>
      <c r="EBB517" s="1358"/>
      <c r="EBC517" s="1358"/>
      <c r="EBD517" s="1358"/>
      <c r="EBE517" s="1358"/>
      <c r="EBF517" s="1358"/>
      <c r="EBG517" s="1358"/>
      <c r="EBH517" s="1358"/>
      <c r="EBI517" s="1358"/>
      <c r="EBJ517" s="1358"/>
      <c r="EBK517" s="1358"/>
      <c r="EBL517" s="1358"/>
      <c r="EBM517" s="1358"/>
      <c r="EBN517" s="1358"/>
      <c r="EBO517" s="1358"/>
      <c r="EBP517" s="1358"/>
      <c r="EBQ517" s="1358"/>
      <c r="EBR517" s="1358"/>
      <c r="EBS517" s="1358"/>
      <c r="EBT517" s="1358"/>
      <c r="EBU517" s="1358"/>
      <c r="EBV517" s="1358"/>
      <c r="EBW517" s="1358"/>
      <c r="EBX517" s="1358"/>
      <c r="EBY517" s="1358"/>
      <c r="EBZ517" s="1358"/>
      <c r="ECA517" s="1358"/>
      <c r="ECB517" s="1358"/>
      <c r="ECC517" s="1358"/>
      <c r="ECD517" s="1358"/>
      <c r="ECE517" s="1358"/>
      <c r="ECF517" s="1358"/>
      <c r="ECG517" s="1358"/>
      <c r="ECH517" s="1358"/>
      <c r="ECI517" s="1358"/>
      <c r="ECJ517" s="1358"/>
      <c r="ECK517" s="1358"/>
      <c r="ECL517" s="1358"/>
      <c r="ECM517" s="1358"/>
      <c r="ECN517" s="1358"/>
      <c r="ECO517" s="1358"/>
      <c r="ECP517" s="1358"/>
      <c r="ECQ517" s="1358"/>
      <c r="ECR517" s="1358"/>
      <c r="ECS517" s="1358"/>
      <c r="ECT517" s="1358"/>
      <c r="ECU517" s="1358"/>
      <c r="ECV517" s="1358"/>
      <c r="ECW517" s="1358"/>
      <c r="ECX517" s="1358"/>
      <c r="ECY517" s="1358"/>
      <c r="ECZ517" s="1358"/>
      <c r="EDA517" s="1358"/>
      <c r="EDB517" s="1358"/>
      <c r="EDC517" s="1358"/>
      <c r="EDD517" s="1358"/>
      <c r="EDE517" s="1358"/>
      <c r="EDF517" s="1358"/>
      <c r="EDG517" s="1358"/>
      <c r="EDH517" s="1358"/>
      <c r="EDI517" s="1358"/>
      <c r="EDJ517" s="1358"/>
      <c r="EDK517" s="1358"/>
      <c r="EDL517" s="1358"/>
      <c r="EDM517" s="1358"/>
      <c r="EDN517" s="1358"/>
      <c r="EDO517" s="1358"/>
      <c r="EDP517" s="1358"/>
      <c r="EDQ517" s="1358"/>
      <c r="EDR517" s="1358"/>
      <c r="EDS517" s="1358"/>
      <c r="EDT517" s="1358"/>
      <c r="EDU517" s="1358"/>
      <c r="EDV517" s="1358"/>
      <c r="EDW517" s="1358"/>
      <c r="EDX517" s="1358"/>
      <c r="EDY517" s="1358"/>
      <c r="EDZ517" s="1358"/>
      <c r="EEA517" s="1358"/>
      <c r="EEB517" s="1358"/>
      <c r="EEC517" s="1358"/>
      <c r="EED517" s="1358"/>
      <c r="EEE517" s="1358"/>
      <c r="EEF517" s="1358"/>
      <c r="EEG517" s="1358"/>
      <c r="EEH517" s="1358"/>
      <c r="EEI517" s="1358"/>
      <c r="EEJ517" s="1358"/>
      <c r="EEK517" s="1358"/>
      <c r="EEL517" s="1358"/>
      <c r="EEM517" s="1358"/>
      <c r="EEN517" s="1358"/>
      <c r="EEO517" s="1358"/>
      <c r="EEP517" s="1358"/>
      <c r="EEQ517" s="1358"/>
      <c r="EER517" s="1358"/>
      <c r="EES517" s="1358"/>
      <c r="EET517" s="1358"/>
      <c r="EEU517" s="1358"/>
      <c r="EEV517" s="1358"/>
      <c r="EEW517" s="1358"/>
      <c r="EEX517" s="1358"/>
      <c r="EEY517" s="1358"/>
      <c r="EEZ517" s="1358"/>
      <c r="EFA517" s="1358"/>
      <c r="EFB517" s="1358"/>
      <c r="EFC517" s="1358"/>
      <c r="EFD517" s="1358"/>
      <c r="EFE517" s="1358"/>
      <c r="EFF517" s="1358"/>
      <c r="EFG517" s="1358"/>
      <c r="EFH517" s="1358"/>
      <c r="EFI517" s="1358"/>
      <c r="EFJ517" s="1358"/>
      <c r="EFK517" s="1358"/>
      <c r="EFL517" s="1358"/>
      <c r="EFM517" s="1358"/>
      <c r="EFN517" s="1358"/>
      <c r="EFO517" s="1358"/>
      <c r="EFP517" s="1358"/>
      <c r="EFQ517" s="1358"/>
      <c r="EFR517" s="1358"/>
      <c r="EFS517" s="1358"/>
      <c r="EFT517" s="1358"/>
      <c r="EFU517" s="1358"/>
      <c r="EFV517" s="1358"/>
      <c r="EFW517" s="1358"/>
      <c r="EFX517" s="1358"/>
      <c r="EFY517" s="1358"/>
      <c r="EFZ517" s="1358"/>
      <c r="EGA517" s="1358"/>
      <c r="EGB517" s="1358"/>
      <c r="EGC517" s="1358"/>
      <c r="EGD517" s="1358"/>
      <c r="EGE517" s="1358"/>
      <c r="EGF517" s="1358"/>
      <c r="EGG517" s="1358"/>
      <c r="EGH517" s="1358"/>
      <c r="EGI517" s="1358"/>
      <c r="EGJ517" s="1358"/>
      <c r="EGK517" s="1358"/>
      <c r="EGL517" s="1358"/>
      <c r="EGM517" s="1358"/>
      <c r="EGN517" s="1358"/>
      <c r="EGO517" s="1358"/>
      <c r="EGP517" s="1358"/>
      <c r="EGQ517" s="1358"/>
      <c r="EGR517" s="1358"/>
      <c r="EGS517" s="1358"/>
      <c r="EGT517" s="1358"/>
      <c r="EGU517" s="1358"/>
      <c r="EGV517" s="1358"/>
      <c r="EGW517" s="1358"/>
      <c r="EGX517" s="1358"/>
      <c r="EGY517" s="1358"/>
      <c r="EGZ517" s="1358"/>
      <c r="EHA517" s="1358"/>
      <c r="EHB517" s="1358"/>
      <c r="EHC517" s="1358"/>
      <c r="EHD517" s="1358"/>
      <c r="EHE517" s="1358"/>
      <c r="EHF517" s="1358"/>
      <c r="EHG517" s="1358"/>
      <c r="EHH517" s="1358"/>
      <c r="EHI517" s="1358"/>
      <c r="EHJ517" s="1358"/>
      <c r="EHK517" s="1358"/>
      <c r="EHL517" s="1358"/>
      <c r="EHM517" s="1358"/>
      <c r="EHN517" s="1358"/>
      <c r="EHO517" s="1358"/>
      <c r="EHP517" s="1358"/>
      <c r="EHQ517" s="1358"/>
      <c r="EHR517" s="1358"/>
      <c r="EHS517" s="1358"/>
      <c r="EHT517" s="1358"/>
      <c r="EHU517" s="1358"/>
      <c r="EHV517" s="1358"/>
      <c r="EHW517" s="1358"/>
      <c r="EHX517" s="1358"/>
      <c r="EHY517" s="1358"/>
      <c r="EHZ517" s="1358"/>
      <c r="EIA517" s="1358"/>
      <c r="EIB517" s="1358"/>
      <c r="EIC517" s="1358"/>
      <c r="EID517" s="1358"/>
      <c r="EIE517" s="1358"/>
      <c r="EIF517" s="1358"/>
      <c r="EIG517" s="1358"/>
      <c r="EIH517" s="1358"/>
      <c r="EII517" s="1358"/>
      <c r="EIJ517" s="1358"/>
      <c r="EIK517" s="1358"/>
      <c r="EIL517" s="1358"/>
      <c r="EIM517" s="1358"/>
      <c r="EIN517" s="1358"/>
      <c r="EIO517" s="1358"/>
      <c r="EIP517" s="1358"/>
      <c r="EIQ517" s="1358"/>
      <c r="EIR517" s="1358"/>
      <c r="EIS517" s="1358"/>
      <c r="EIT517" s="1358"/>
      <c r="EIU517" s="1358"/>
      <c r="EIV517" s="1358"/>
      <c r="EIW517" s="1358"/>
      <c r="EIX517" s="1358"/>
      <c r="EIY517" s="1358"/>
      <c r="EIZ517" s="1358"/>
      <c r="EJA517" s="1358"/>
      <c r="EJB517" s="1358"/>
      <c r="EJC517" s="1358"/>
      <c r="EJD517" s="1358"/>
      <c r="EJE517" s="1358"/>
      <c r="EJF517" s="1358"/>
      <c r="EJG517" s="1358"/>
      <c r="EJH517" s="1358"/>
      <c r="EJI517" s="1358"/>
      <c r="EJJ517" s="1358"/>
      <c r="EJK517" s="1358"/>
      <c r="EJL517" s="1358"/>
      <c r="EJM517" s="1358"/>
      <c r="EJN517" s="1358"/>
      <c r="EJO517" s="1358"/>
      <c r="EJP517" s="1358"/>
      <c r="EJQ517" s="1358"/>
      <c r="EJR517" s="1358"/>
      <c r="EJS517" s="1358"/>
      <c r="EJT517" s="1358"/>
      <c r="EJU517" s="1358"/>
      <c r="EJV517" s="1358"/>
      <c r="EJW517" s="1358"/>
      <c r="EJX517" s="1358"/>
      <c r="EJY517" s="1358"/>
      <c r="EJZ517" s="1358"/>
      <c r="EKA517" s="1358"/>
      <c r="EKB517" s="1358"/>
      <c r="EKC517" s="1358"/>
      <c r="EKD517" s="1358"/>
      <c r="EKE517" s="1358"/>
      <c r="EKF517" s="1358"/>
      <c r="EKG517" s="1358"/>
      <c r="EKH517" s="1358"/>
      <c r="EKI517" s="1358"/>
      <c r="EKJ517" s="1358"/>
      <c r="EKK517" s="1358"/>
      <c r="EKL517" s="1358"/>
      <c r="EKM517" s="1358"/>
      <c r="EKN517" s="1358"/>
      <c r="EKO517" s="1358"/>
      <c r="EKP517" s="1358"/>
      <c r="EKQ517" s="1358"/>
      <c r="EKR517" s="1358"/>
      <c r="EKS517" s="1358"/>
      <c r="EKT517" s="1358"/>
      <c r="EKU517" s="1358"/>
      <c r="EKV517" s="1358"/>
      <c r="EKW517" s="1358"/>
      <c r="EKX517" s="1358"/>
      <c r="EKY517" s="1358"/>
      <c r="EKZ517" s="1358"/>
      <c r="ELA517" s="1358"/>
      <c r="ELB517" s="1358"/>
      <c r="ELC517" s="1358"/>
      <c r="ELD517" s="1358"/>
      <c r="ELE517" s="1358"/>
      <c r="ELF517" s="1358"/>
      <c r="ELG517" s="1358"/>
      <c r="ELH517" s="1358"/>
      <c r="ELI517" s="1358"/>
      <c r="ELJ517" s="1358"/>
      <c r="ELK517" s="1358"/>
      <c r="ELL517" s="1358"/>
      <c r="ELM517" s="1358"/>
      <c r="ELN517" s="1358"/>
      <c r="ELO517" s="1358"/>
      <c r="ELP517" s="1358"/>
      <c r="ELQ517" s="1358"/>
      <c r="ELR517" s="1358"/>
      <c r="ELS517" s="1358"/>
      <c r="ELT517" s="1358"/>
      <c r="ELU517" s="1358"/>
      <c r="ELV517" s="1358"/>
      <c r="ELW517" s="1358"/>
      <c r="ELX517" s="1358"/>
      <c r="ELY517" s="1358"/>
      <c r="ELZ517" s="1358"/>
      <c r="EMA517" s="1358"/>
      <c r="EMB517" s="1358"/>
      <c r="EMC517" s="1358"/>
      <c r="EMD517" s="1358"/>
      <c r="EME517" s="1358"/>
      <c r="EMF517" s="1358"/>
      <c r="EMG517" s="1358"/>
      <c r="EMH517" s="1358"/>
      <c r="EMI517" s="1358"/>
      <c r="EMJ517" s="1358"/>
      <c r="EMK517" s="1358"/>
      <c r="EML517" s="1358"/>
      <c r="EMM517" s="1358"/>
      <c r="EMN517" s="1358"/>
      <c r="EMO517" s="1358"/>
      <c r="EMP517" s="1358"/>
      <c r="EMQ517" s="1358"/>
      <c r="EMR517" s="1358"/>
      <c r="EMS517" s="1358"/>
      <c r="EMT517" s="1358"/>
      <c r="EMU517" s="1358"/>
      <c r="EMV517" s="1358"/>
      <c r="EMW517" s="1358"/>
      <c r="EMX517" s="1358"/>
      <c r="EMY517" s="1358"/>
      <c r="EMZ517" s="1358"/>
      <c r="ENA517" s="1358"/>
      <c r="ENB517" s="1358"/>
      <c r="ENC517" s="1358"/>
      <c r="END517" s="1358"/>
      <c r="ENE517" s="1358"/>
      <c r="ENF517" s="1358"/>
      <c r="ENG517" s="1358"/>
      <c r="ENH517" s="1358"/>
      <c r="ENI517" s="1358"/>
      <c r="ENJ517" s="1358"/>
      <c r="ENK517" s="1358"/>
      <c r="ENL517" s="1358"/>
      <c r="ENM517" s="1358"/>
      <c r="ENN517" s="1358"/>
      <c r="ENO517" s="1358"/>
      <c r="ENP517" s="1358"/>
      <c r="ENQ517" s="1358"/>
      <c r="ENR517" s="1358"/>
      <c r="ENS517" s="1358"/>
      <c r="ENT517" s="1358"/>
      <c r="ENU517" s="1358"/>
      <c r="ENV517" s="1358"/>
      <c r="ENW517" s="1358"/>
      <c r="ENX517" s="1358"/>
      <c r="ENY517" s="1358"/>
      <c r="ENZ517" s="1358"/>
      <c r="EOA517" s="1358"/>
      <c r="EOB517" s="1358"/>
      <c r="EOC517" s="1358"/>
      <c r="EOD517" s="1358"/>
      <c r="EOE517" s="1358"/>
      <c r="EOF517" s="1358"/>
      <c r="EOG517" s="1358"/>
      <c r="EOH517" s="1358"/>
      <c r="EOI517" s="1358"/>
      <c r="EOJ517" s="1358"/>
      <c r="EOK517" s="1358"/>
      <c r="EOL517" s="1358"/>
      <c r="EOM517" s="1358"/>
      <c r="EON517" s="1358"/>
      <c r="EOO517" s="1358"/>
      <c r="EOP517" s="1358"/>
      <c r="EOQ517" s="1358"/>
      <c r="EOR517" s="1358"/>
      <c r="EOS517" s="1358"/>
      <c r="EOT517" s="1358"/>
      <c r="EOU517" s="1358"/>
      <c r="EOV517" s="1358"/>
      <c r="EOW517" s="1358"/>
      <c r="EOX517" s="1358"/>
      <c r="EOY517" s="1358"/>
      <c r="EOZ517" s="1358"/>
      <c r="EPA517" s="1358"/>
      <c r="EPB517" s="1358"/>
      <c r="EPC517" s="1358"/>
      <c r="EPD517" s="1358"/>
      <c r="EPE517" s="1358"/>
      <c r="EPF517" s="1358"/>
      <c r="EPG517" s="1358"/>
      <c r="EPH517" s="1358"/>
      <c r="EPI517" s="1358"/>
      <c r="EPJ517" s="1358"/>
      <c r="EPK517" s="1358"/>
      <c r="EPL517" s="1358"/>
      <c r="EPM517" s="1358"/>
      <c r="EPN517" s="1358"/>
      <c r="EPO517" s="1358"/>
      <c r="EPP517" s="1358"/>
      <c r="EPQ517" s="1358"/>
      <c r="EPR517" s="1358"/>
      <c r="EPS517" s="1358"/>
      <c r="EPT517" s="1358"/>
      <c r="EPU517" s="1358"/>
      <c r="EPV517" s="1358"/>
      <c r="EPW517" s="1358"/>
      <c r="EPX517" s="1358"/>
      <c r="EPY517" s="1358"/>
      <c r="EPZ517" s="1358"/>
      <c r="EQA517" s="1358"/>
      <c r="EQB517" s="1358"/>
      <c r="EQC517" s="1358"/>
      <c r="EQD517" s="1358"/>
      <c r="EQE517" s="1358"/>
      <c r="EQF517" s="1358"/>
      <c r="EQG517" s="1358"/>
      <c r="EQH517" s="1358"/>
      <c r="EQI517" s="1358"/>
      <c r="EQJ517" s="1358"/>
      <c r="EQK517" s="1358"/>
      <c r="EQL517" s="1358"/>
      <c r="EQM517" s="1358"/>
      <c r="EQN517" s="1358"/>
      <c r="EQO517" s="1358"/>
      <c r="EQP517" s="1358"/>
      <c r="EQQ517" s="1358"/>
      <c r="EQR517" s="1358"/>
      <c r="EQS517" s="1358"/>
      <c r="EQT517" s="1358"/>
      <c r="EQU517" s="1358"/>
      <c r="EQV517" s="1358"/>
      <c r="EQW517" s="1358"/>
      <c r="EQX517" s="1358"/>
      <c r="EQY517" s="1358"/>
      <c r="EQZ517" s="1358"/>
      <c r="ERA517" s="1358"/>
      <c r="ERB517" s="1358"/>
      <c r="ERC517" s="1358"/>
      <c r="ERD517" s="1358"/>
      <c r="ERE517" s="1358"/>
      <c r="ERF517" s="1358"/>
      <c r="ERG517" s="1358"/>
      <c r="ERH517" s="1358"/>
      <c r="ERI517" s="1358"/>
      <c r="ERJ517" s="1358"/>
      <c r="ERK517" s="1358"/>
      <c r="ERL517" s="1358"/>
      <c r="ERM517" s="1358"/>
      <c r="ERN517" s="1358"/>
      <c r="ERO517" s="1358"/>
      <c r="ERP517" s="1358"/>
      <c r="ERQ517" s="1358"/>
      <c r="ERR517" s="1358"/>
      <c r="ERS517" s="1358"/>
      <c r="ERT517" s="1358"/>
      <c r="ERU517" s="1358"/>
      <c r="ERV517" s="1358"/>
      <c r="ERW517" s="1358"/>
      <c r="ERX517" s="1358"/>
      <c r="ERY517" s="1358"/>
      <c r="ERZ517" s="1358"/>
      <c r="ESA517" s="1358"/>
      <c r="ESB517" s="1358"/>
      <c r="ESC517" s="1358"/>
      <c r="ESD517" s="1358"/>
      <c r="ESE517" s="1358"/>
      <c r="ESF517" s="1358"/>
      <c r="ESG517" s="1358"/>
      <c r="ESH517" s="1358"/>
      <c r="ESI517" s="1358"/>
      <c r="ESJ517" s="1358"/>
      <c r="ESK517" s="1358"/>
      <c r="ESL517" s="1358"/>
      <c r="ESM517" s="1358"/>
      <c r="ESN517" s="1358"/>
      <c r="ESO517" s="1358"/>
      <c r="ESP517" s="1358"/>
      <c r="ESQ517" s="1358"/>
      <c r="ESR517" s="1358"/>
      <c r="ESS517" s="1358"/>
      <c r="EST517" s="1358"/>
      <c r="ESU517" s="1358"/>
      <c r="ESV517" s="1358"/>
      <c r="ESW517" s="1358"/>
      <c r="ESX517" s="1358"/>
      <c r="ESY517" s="1358"/>
      <c r="ESZ517" s="1358"/>
      <c r="ETA517" s="1358"/>
      <c r="ETB517" s="1358"/>
      <c r="ETC517" s="1358"/>
      <c r="ETD517" s="1358"/>
      <c r="ETE517" s="1358"/>
      <c r="ETF517" s="1358"/>
      <c r="ETG517" s="1358"/>
      <c r="ETH517" s="1358"/>
      <c r="ETI517" s="1358"/>
      <c r="ETJ517" s="1358"/>
      <c r="ETK517" s="1358"/>
      <c r="ETL517" s="1358"/>
      <c r="ETM517" s="1358"/>
      <c r="ETN517" s="1358"/>
      <c r="ETO517" s="1358"/>
      <c r="ETP517" s="1358"/>
      <c r="ETQ517" s="1358"/>
      <c r="ETR517" s="1358"/>
      <c r="ETS517" s="1358"/>
      <c r="ETT517" s="1358"/>
      <c r="ETU517" s="1358"/>
      <c r="ETV517" s="1358"/>
      <c r="ETW517" s="1358"/>
      <c r="ETX517" s="1358"/>
      <c r="ETY517" s="1358"/>
      <c r="ETZ517" s="1358"/>
      <c r="EUA517" s="1358"/>
      <c r="EUB517" s="1358"/>
      <c r="EUC517" s="1358"/>
      <c r="EUD517" s="1358"/>
      <c r="EUE517" s="1358"/>
      <c r="EUF517" s="1358"/>
      <c r="EUG517" s="1358"/>
      <c r="EUH517" s="1358"/>
      <c r="EUI517" s="1358"/>
      <c r="EUJ517" s="1358"/>
      <c r="EUK517" s="1358"/>
      <c r="EUL517" s="1358"/>
      <c r="EUM517" s="1358"/>
      <c r="EUN517" s="1358"/>
      <c r="EUO517" s="1358"/>
      <c r="EUP517" s="1358"/>
      <c r="EUQ517" s="1358"/>
      <c r="EUR517" s="1358"/>
      <c r="EUS517" s="1358"/>
      <c r="EUT517" s="1358"/>
      <c r="EUU517" s="1358"/>
      <c r="EUV517" s="1358"/>
      <c r="EUW517" s="1358"/>
      <c r="EUX517" s="1358"/>
      <c r="EUY517" s="1358"/>
      <c r="EUZ517" s="1358"/>
      <c r="EVA517" s="1358"/>
      <c r="EVB517" s="1358"/>
      <c r="EVC517" s="1358"/>
      <c r="EVD517" s="1358"/>
      <c r="EVE517" s="1358"/>
      <c r="EVF517" s="1358"/>
      <c r="EVG517" s="1358"/>
      <c r="EVH517" s="1358"/>
      <c r="EVI517" s="1358"/>
      <c r="EVJ517" s="1358"/>
      <c r="EVK517" s="1358"/>
      <c r="EVL517" s="1358"/>
      <c r="EVM517" s="1358"/>
      <c r="EVN517" s="1358"/>
      <c r="EVO517" s="1358"/>
      <c r="EVP517" s="1358"/>
      <c r="EVQ517" s="1358"/>
      <c r="EVR517" s="1358"/>
      <c r="EVS517" s="1358"/>
      <c r="EVT517" s="1358"/>
      <c r="EVU517" s="1358"/>
      <c r="EVV517" s="1358"/>
      <c r="EVW517" s="1358"/>
      <c r="EVX517" s="1358"/>
      <c r="EVY517" s="1358"/>
      <c r="EVZ517" s="1358"/>
      <c r="EWA517" s="1358"/>
      <c r="EWB517" s="1358"/>
      <c r="EWC517" s="1358"/>
      <c r="EWD517" s="1358"/>
      <c r="EWE517" s="1358"/>
      <c r="EWF517" s="1358"/>
      <c r="EWG517" s="1358"/>
      <c r="EWH517" s="1358"/>
      <c r="EWI517" s="1358"/>
      <c r="EWJ517" s="1358"/>
      <c r="EWK517" s="1358"/>
      <c r="EWL517" s="1358"/>
      <c r="EWM517" s="1358"/>
      <c r="EWN517" s="1358"/>
      <c r="EWO517" s="1358"/>
      <c r="EWP517" s="1358"/>
      <c r="EWQ517" s="1358"/>
      <c r="EWR517" s="1358"/>
      <c r="EWS517" s="1358"/>
      <c r="EWT517" s="1358"/>
      <c r="EWU517" s="1358"/>
      <c r="EWV517" s="1358"/>
      <c r="EWW517" s="1358"/>
      <c r="EWX517" s="1358"/>
      <c r="EWY517" s="1358"/>
      <c r="EWZ517" s="1358"/>
      <c r="EXA517" s="1358"/>
      <c r="EXB517" s="1358"/>
      <c r="EXC517" s="1358"/>
      <c r="EXD517" s="1358"/>
      <c r="EXE517" s="1358"/>
      <c r="EXF517" s="1358"/>
      <c r="EXG517" s="1358"/>
      <c r="EXH517" s="1358"/>
      <c r="EXI517" s="1358"/>
      <c r="EXJ517" s="1358"/>
      <c r="EXK517" s="1358"/>
      <c r="EXL517" s="1358"/>
      <c r="EXM517" s="1358"/>
      <c r="EXN517" s="1358"/>
      <c r="EXO517" s="1358"/>
      <c r="EXP517" s="1358"/>
      <c r="EXQ517" s="1358"/>
      <c r="EXR517" s="1358"/>
      <c r="EXS517" s="1358"/>
      <c r="EXT517" s="1358"/>
      <c r="EXU517" s="1358"/>
      <c r="EXV517" s="1358"/>
      <c r="EXW517" s="1358"/>
      <c r="EXX517" s="1358"/>
      <c r="EXY517" s="1358"/>
      <c r="EXZ517" s="1358"/>
      <c r="EYA517" s="1358"/>
      <c r="EYB517" s="1358"/>
      <c r="EYC517" s="1358"/>
      <c r="EYD517" s="1358"/>
      <c r="EYE517" s="1358"/>
      <c r="EYF517" s="1358"/>
      <c r="EYG517" s="1358"/>
      <c r="EYH517" s="1358"/>
      <c r="EYI517" s="1358"/>
      <c r="EYJ517" s="1358"/>
      <c r="EYK517" s="1358"/>
      <c r="EYL517" s="1358"/>
      <c r="EYM517" s="1358"/>
      <c r="EYN517" s="1358"/>
      <c r="EYO517" s="1358"/>
      <c r="EYP517" s="1358"/>
      <c r="EYQ517" s="1358"/>
      <c r="EYR517" s="1358"/>
      <c r="EYS517" s="1358"/>
      <c r="EYT517" s="1358"/>
      <c r="EYU517" s="1358"/>
      <c r="EYV517" s="1358"/>
      <c r="EYW517" s="1358"/>
      <c r="EYX517" s="1358"/>
      <c r="EYY517" s="1358"/>
      <c r="EYZ517" s="1358"/>
      <c r="EZA517" s="1358"/>
      <c r="EZB517" s="1358"/>
      <c r="EZC517" s="1358"/>
      <c r="EZD517" s="1358"/>
      <c r="EZE517" s="1358"/>
      <c r="EZF517" s="1358"/>
      <c r="EZG517" s="1358"/>
      <c r="EZH517" s="1358"/>
      <c r="EZI517" s="1358"/>
      <c r="EZJ517" s="1358"/>
      <c r="EZK517" s="1358"/>
      <c r="EZL517" s="1358"/>
      <c r="EZM517" s="1358"/>
      <c r="EZN517" s="1358"/>
      <c r="EZO517" s="1358"/>
      <c r="EZP517" s="1358"/>
      <c r="EZQ517" s="1358"/>
      <c r="EZR517" s="1358"/>
      <c r="EZS517" s="1358"/>
      <c r="EZT517" s="1358"/>
      <c r="EZU517" s="1358"/>
      <c r="EZV517" s="1358"/>
      <c r="EZW517" s="1358"/>
      <c r="EZX517" s="1358"/>
      <c r="EZY517" s="1358"/>
      <c r="EZZ517" s="1358"/>
      <c r="FAA517" s="1358"/>
      <c r="FAB517" s="1358"/>
      <c r="FAC517" s="1358"/>
      <c r="FAD517" s="1358"/>
      <c r="FAE517" s="1358"/>
      <c r="FAF517" s="1358"/>
      <c r="FAG517" s="1358"/>
      <c r="FAH517" s="1358"/>
      <c r="FAI517" s="1358"/>
      <c r="FAJ517" s="1358"/>
      <c r="FAK517" s="1358"/>
      <c r="FAL517" s="1358"/>
      <c r="FAM517" s="1358"/>
      <c r="FAN517" s="1358"/>
      <c r="FAO517" s="1358"/>
      <c r="FAP517" s="1358"/>
      <c r="FAQ517" s="1358"/>
      <c r="FAR517" s="1358"/>
      <c r="FAS517" s="1358"/>
      <c r="FAT517" s="1358"/>
      <c r="FAU517" s="1358"/>
      <c r="FAV517" s="1358"/>
      <c r="FAW517" s="1358"/>
      <c r="FAX517" s="1358"/>
      <c r="FAY517" s="1358"/>
      <c r="FAZ517" s="1358"/>
      <c r="FBA517" s="1358"/>
      <c r="FBB517" s="1358"/>
      <c r="FBC517" s="1358"/>
      <c r="FBD517" s="1358"/>
      <c r="FBE517" s="1358"/>
      <c r="FBF517" s="1358"/>
      <c r="FBG517" s="1358"/>
      <c r="FBH517" s="1358"/>
      <c r="FBI517" s="1358"/>
      <c r="FBJ517" s="1358"/>
      <c r="FBK517" s="1358"/>
      <c r="FBL517" s="1358"/>
      <c r="FBM517" s="1358"/>
      <c r="FBN517" s="1358"/>
      <c r="FBO517" s="1358"/>
      <c r="FBP517" s="1358"/>
      <c r="FBQ517" s="1358"/>
      <c r="FBR517" s="1358"/>
      <c r="FBS517" s="1358"/>
      <c r="FBT517" s="1358"/>
      <c r="FBU517" s="1358"/>
      <c r="FBV517" s="1358"/>
      <c r="FBW517" s="1358"/>
      <c r="FBX517" s="1358"/>
      <c r="FBY517" s="1358"/>
      <c r="FBZ517" s="1358"/>
      <c r="FCA517" s="1358"/>
      <c r="FCB517" s="1358"/>
      <c r="FCC517" s="1358"/>
      <c r="FCD517" s="1358"/>
      <c r="FCE517" s="1358"/>
      <c r="FCF517" s="1358"/>
      <c r="FCG517" s="1358"/>
      <c r="FCH517" s="1358"/>
      <c r="FCI517" s="1358"/>
      <c r="FCJ517" s="1358"/>
      <c r="FCK517" s="1358"/>
      <c r="FCL517" s="1358"/>
      <c r="FCM517" s="1358"/>
      <c r="FCN517" s="1358"/>
      <c r="FCO517" s="1358"/>
      <c r="FCP517" s="1358"/>
      <c r="FCQ517" s="1358"/>
      <c r="FCR517" s="1358"/>
      <c r="FCS517" s="1358"/>
      <c r="FCT517" s="1358"/>
      <c r="FCU517" s="1358"/>
      <c r="FCV517" s="1358"/>
      <c r="FCW517" s="1358"/>
      <c r="FCX517" s="1358"/>
      <c r="FCY517" s="1358"/>
      <c r="FCZ517" s="1358"/>
      <c r="FDA517" s="1358"/>
      <c r="FDB517" s="1358"/>
      <c r="FDC517" s="1358"/>
      <c r="FDD517" s="1358"/>
      <c r="FDE517" s="1358"/>
      <c r="FDF517" s="1358"/>
      <c r="FDG517" s="1358"/>
      <c r="FDH517" s="1358"/>
      <c r="FDI517" s="1358"/>
      <c r="FDJ517" s="1358"/>
      <c r="FDK517" s="1358"/>
      <c r="FDL517" s="1358"/>
      <c r="FDM517" s="1358"/>
      <c r="FDN517" s="1358"/>
      <c r="FDO517" s="1358"/>
      <c r="FDP517" s="1358"/>
      <c r="FDQ517" s="1358"/>
      <c r="FDR517" s="1358"/>
      <c r="FDS517" s="1358"/>
      <c r="FDT517" s="1358"/>
      <c r="FDU517" s="1358"/>
      <c r="FDV517" s="1358"/>
      <c r="FDW517" s="1358"/>
      <c r="FDX517" s="1358"/>
      <c r="FDY517" s="1358"/>
      <c r="FDZ517" s="1358"/>
      <c r="FEA517" s="1358"/>
      <c r="FEB517" s="1358"/>
      <c r="FEC517" s="1358"/>
      <c r="FED517" s="1358"/>
      <c r="FEE517" s="1358"/>
      <c r="FEF517" s="1358"/>
      <c r="FEG517" s="1358"/>
      <c r="FEH517" s="1358"/>
      <c r="FEI517" s="1358"/>
      <c r="FEJ517" s="1358"/>
      <c r="FEK517" s="1358"/>
      <c r="FEL517" s="1358"/>
      <c r="FEM517" s="1358"/>
      <c r="FEN517" s="1358"/>
      <c r="FEO517" s="1358"/>
      <c r="FEP517" s="1358"/>
      <c r="FEQ517" s="1358"/>
      <c r="FER517" s="1358"/>
      <c r="FES517" s="1358"/>
      <c r="FET517" s="1358"/>
      <c r="FEU517" s="1358"/>
      <c r="FEV517" s="1358"/>
      <c r="FEW517" s="1358"/>
      <c r="FEX517" s="1358"/>
      <c r="FEY517" s="1358"/>
      <c r="FEZ517" s="1358"/>
      <c r="FFA517" s="1358"/>
      <c r="FFB517" s="1358"/>
      <c r="FFC517" s="1358"/>
      <c r="FFD517" s="1358"/>
      <c r="FFE517" s="1358"/>
      <c r="FFF517" s="1358"/>
      <c r="FFG517" s="1358"/>
      <c r="FFH517" s="1358"/>
      <c r="FFI517" s="1358"/>
      <c r="FFJ517" s="1358"/>
      <c r="FFK517" s="1358"/>
      <c r="FFL517" s="1358"/>
      <c r="FFM517" s="1358"/>
      <c r="FFN517" s="1358"/>
      <c r="FFO517" s="1358"/>
      <c r="FFP517" s="1358"/>
      <c r="FFQ517" s="1358"/>
      <c r="FFR517" s="1358"/>
      <c r="FFS517" s="1358"/>
      <c r="FFT517" s="1358"/>
      <c r="FFU517" s="1358"/>
      <c r="FFV517" s="1358"/>
      <c r="FFW517" s="1358"/>
      <c r="FFX517" s="1358"/>
      <c r="FFY517" s="1358"/>
      <c r="FFZ517" s="1358"/>
      <c r="FGA517" s="1358"/>
      <c r="FGB517" s="1358"/>
      <c r="FGC517" s="1358"/>
      <c r="FGD517" s="1358"/>
      <c r="FGE517" s="1358"/>
      <c r="FGF517" s="1358"/>
      <c r="FGG517" s="1358"/>
      <c r="FGH517" s="1358"/>
      <c r="FGI517" s="1358"/>
      <c r="FGJ517" s="1358"/>
      <c r="FGK517" s="1358"/>
      <c r="FGL517" s="1358"/>
      <c r="FGM517" s="1358"/>
      <c r="FGN517" s="1358"/>
      <c r="FGO517" s="1358"/>
      <c r="FGP517" s="1358"/>
      <c r="FGQ517" s="1358"/>
      <c r="FGR517" s="1358"/>
      <c r="FGS517" s="1358"/>
      <c r="FGT517" s="1358"/>
      <c r="FGU517" s="1358"/>
      <c r="FGV517" s="1358"/>
      <c r="FGW517" s="1358"/>
      <c r="FGX517" s="1358"/>
      <c r="FGY517" s="1358"/>
      <c r="FGZ517" s="1358"/>
      <c r="FHA517" s="1358"/>
      <c r="FHB517" s="1358"/>
      <c r="FHC517" s="1358"/>
      <c r="FHD517" s="1358"/>
      <c r="FHE517" s="1358"/>
      <c r="FHF517" s="1358"/>
      <c r="FHG517" s="1358"/>
      <c r="FHH517" s="1358"/>
      <c r="FHI517" s="1358"/>
      <c r="FHJ517" s="1358"/>
      <c r="FHK517" s="1358"/>
      <c r="FHL517" s="1358"/>
      <c r="FHM517" s="1358"/>
      <c r="FHN517" s="1358"/>
      <c r="FHO517" s="1358"/>
      <c r="FHP517" s="1358"/>
      <c r="FHQ517" s="1358"/>
      <c r="FHR517" s="1358"/>
      <c r="FHS517" s="1358"/>
      <c r="FHT517" s="1358"/>
      <c r="FHU517" s="1358"/>
      <c r="FHV517" s="1358"/>
      <c r="FHW517" s="1358"/>
      <c r="FHX517" s="1358"/>
      <c r="FHY517" s="1358"/>
      <c r="FHZ517" s="1358"/>
      <c r="FIA517" s="1358"/>
      <c r="FIB517" s="1358"/>
      <c r="FIC517" s="1358"/>
      <c r="FID517" s="1358"/>
      <c r="FIE517" s="1358"/>
      <c r="FIF517" s="1358"/>
      <c r="FIG517" s="1358"/>
      <c r="FIH517" s="1358"/>
      <c r="FII517" s="1358"/>
      <c r="FIJ517" s="1358"/>
      <c r="FIK517" s="1358"/>
      <c r="FIL517" s="1358"/>
      <c r="FIM517" s="1358"/>
      <c r="FIN517" s="1358"/>
      <c r="FIO517" s="1358"/>
      <c r="FIP517" s="1358"/>
      <c r="FIQ517" s="1358"/>
      <c r="FIR517" s="1358"/>
      <c r="FIS517" s="1358"/>
      <c r="FIT517" s="1358"/>
      <c r="FIU517" s="1358"/>
      <c r="FIV517" s="1358"/>
      <c r="FIW517" s="1358"/>
      <c r="FIX517" s="1358"/>
      <c r="FIY517" s="1358"/>
      <c r="FIZ517" s="1358"/>
      <c r="FJA517" s="1358"/>
      <c r="FJB517" s="1358"/>
      <c r="FJC517" s="1358"/>
      <c r="FJD517" s="1358"/>
      <c r="FJE517" s="1358"/>
      <c r="FJF517" s="1358"/>
      <c r="FJG517" s="1358"/>
      <c r="FJH517" s="1358"/>
      <c r="FJI517" s="1358"/>
      <c r="FJJ517" s="1358"/>
      <c r="FJK517" s="1358"/>
      <c r="FJL517" s="1358"/>
      <c r="FJM517" s="1358"/>
      <c r="FJN517" s="1358"/>
      <c r="FJO517" s="1358"/>
      <c r="FJP517" s="1358"/>
      <c r="FJQ517" s="1358"/>
      <c r="FJR517" s="1358"/>
      <c r="FJS517" s="1358"/>
      <c r="FJT517" s="1358"/>
      <c r="FJU517" s="1358"/>
      <c r="FJV517" s="1358"/>
      <c r="FJW517" s="1358"/>
      <c r="FJX517" s="1358"/>
      <c r="FJY517" s="1358"/>
      <c r="FJZ517" s="1358"/>
      <c r="FKA517" s="1358"/>
      <c r="FKB517" s="1358"/>
      <c r="FKC517" s="1358"/>
      <c r="FKD517" s="1358"/>
      <c r="FKE517" s="1358"/>
      <c r="FKF517" s="1358"/>
      <c r="FKG517" s="1358"/>
      <c r="FKH517" s="1358"/>
      <c r="FKI517" s="1358"/>
      <c r="FKJ517" s="1358"/>
      <c r="FKK517" s="1358"/>
      <c r="FKL517" s="1358"/>
      <c r="FKM517" s="1358"/>
      <c r="FKN517" s="1358"/>
      <c r="FKO517" s="1358"/>
      <c r="FKP517" s="1358"/>
      <c r="FKQ517" s="1358"/>
      <c r="FKR517" s="1358"/>
      <c r="FKS517" s="1358"/>
      <c r="FKT517" s="1358"/>
      <c r="FKU517" s="1358"/>
      <c r="FKV517" s="1358"/>
      <c r="FKW517" s="1358"/>
      <c r="FKX517" s="1358"/>
      <c r="FKY517" s="1358"/>
      <c r="FKZ517" s="1358"/>
      <c r="FLA517" s="1358"/>
      <c r="FLB517" s="1358"/>
      <c r="FLC517" s="1358"/>
      <c r="FLD517" s="1358"/>
      <c r="FLE517" s="1358"/>
      <c r="FLF517" s="1358"/>
      <c r="FLG517" s="1358"/>
      <c r="FLH517" s="1358"/>
      <c r="FLI517" s="1358"/>
      <c r="FLJ517" s="1358"/>
      <c r="FLK517" s="1358"/>
      <c r="FLL517" s="1358"/>
      <c r="FLM517" s="1358"/>
      <c r="FLN517" s="1358"/>
      <c r="FLO517" s="1358"/>
      <c r="FLP517" s="1358"/>
      <c r="FLQ517" s="1358"/>
      <c r="FLR517" s="1358"/>
      <c r="FLS517" s="1358"/>
      <c r="FLT517" s="1358"/>
      <c r="FLU517" s="1358"/>
      <c r="FLV517" s="1358"/>
      <c r="FLW517" s="1358"/>
      <c r="FLX517" s="1358"/>
      <c r="FLY517" s="1358"/>
      <c r="FLZ517" s="1358"/>
      <c r="FMA517" s="1358"/>
      <c r="FMB517" s="1358"/>
      <c r="FMC517" s="1358"/>
      <c r="FMD517" s="1358"/>
      <c r="FME517" s="1358"/>
      <c r="FMF517" s="1358"/>
      <c r="FMG517" s="1358"/>
      <c r="FMH517" s="1358"/>
      <c r="FMI517" s="1358"/>
      <c r="FMJ517" s="1358"/>
      <c r="FMK517" s="1358"/>
      <c r="FML517" s="1358"/>
      <c r="FMM517" s="1358"/>
      <c r="FMN517" s="1358"/>
      <c r="FMO517" s="1358"/>
      <c r="FMP517" s="1358"/>
      <c r="FMQ517" s="1358"/>
      <c r="FMR517" s="1358"/>
      <c r="FMS517" s="1358"/>
      <c r="FMT517" s="1358"/>
      <c r="FMU517" s="1358"/>
      <c r="FMV517" s="1358"/>
      <c r="FMW517" s="1358"/>
      <c r="FMX517" s="1358"/>
      <c r="FMY517" s="1358"/>
      <c r="FMZ517" s="1358"/>
      <c r="FNA517" s="1358"/>
      <c r="FNB517" s="1358"/>
      <c r="FNC517" s="1358"/>
      <c r="FND517" s="1358"/>
      <c r="FNE517" s="1358"/>
      <c r="FNF517" s="1358"/>
      <c r="FNG517" s="1358"/>
      <c r="FNH517" s="1358"/>
      <c r="FNI517" s="1358"/>
      <c r="FNJ517" s="1358"/>
      <c r="FNK517" s="1358"/>
      <c r="FNL517" s="1358"/>
      <c r="FNM517" s="1358"/>
      <c r="FNN517" s="1358"/>
      <c r="FNO517" s="1358"/>
      <c r="FNP517" s="1358"/>
      <c r="FNQ517" s="1358"/>
      <c r="FNR517" s="1358"/>
      <c r="FNS517" s="1358"/>
      <c r="FNT517" s="1358"/>
      <c r="FNU517" s="1358"/>
      <c r="FNV517" s="1358"/>
      <c r="FNW517" s="1358"/>
      <c r="FNX517" s="1358"/>
      <c r="FNY517" s="1358"/>
      <c r="FNZ517" s="1358"/>
      <c r="FOA517" s="1358"/>
      <c r="FOB517" s="1358"/>
      <c r="FOC517" s="1358"/>
      <c r="FOD517" s="1358"/>
      <c r="FOE517" s="1358"/>
      <c r="FOF517" s="1358"/>
      <c r="FOG517" s="1358"/>
      <c r="FOH517" s="1358"/>
      <c r="FOI517" s="1358"/>
      <c r="FOJ517" s="1358"/>
      <c r="FOK517" s="1358"/>
      <c r="FOL517" s="1358"/>
      <c r="FOM517" s="1358"/>
      <c r="FON517" s="1358"/>
      <c r="FOO517" s="1358"/>
      <c r="FOP517" s="1358"/>
      <c r="FOQ517" s="1358"/>
      <c r="FOR517" s="1358"/>
      <c r="FOS517" s="1358"/>
      <c r="FOT517" s="1358"/>
      <c r="FOU517" s="1358"/>
      <c r="FOV517" s="1358"/>
      <c r="FOW517" s="1358"/>
      <c r="FOX517" s="1358"/>
      <c r="FOY517" s="1358"/>
      <c r="FOZ517" s="1358"/>
      <c r="FPA517" s="1358"/>
      <c r="FPB517" s="1358"/>
      <c r="FPC517" s="1358"/>
      <c r="FPD517" s="1358"/>
      <c r="FPE517" s="1358"/>
      <c r="FPF517" s="1358"/>
      <c r="FPG517" s="1358"/>
      <c r="FPH517" s="1358"/>
      <c r="FPI517" s="1358"/>
      <c r="FPJ517" s="1358"/>
      <c r="FPK517" s="1358"/>
      <c r="FPL517" s="1358"/>
      <c r="FPM517" s="1358"/>
      <c r="FPN517" s="1358"/>
      <c r="FPO517" s="1358"/>
      <c r="FPP517" s="1358"/>
      <c r="FPQ517" s="1358"/>
      <c r="FPR517" s="1358"/>
      <c r="FPS517" s="1358"/>
      <c r="FPT517" s="1358"/>
      <c r="FPU517" s="1358"/>
      <c r="FPV517" s="1358"/>
      <c r="FPW517" s="1358"/>
      <c r="FPX517" s="1358"/>
      <c r="FPY517" s="1358"/>
      <c r="FPZ517" s="1358"/>
      <c r="FQA517" s="1358"/>
      <c r="FQB517" s="1358"/>
      <c r="FQC517" s="1358"/>
      <c r="FQD517" s="1358"/>
      <c r="FQE517" s="1358"/>
      <c r="FQF517" s="1358"/>
      <c r="FQG517" s="1358"/>
      <c r="FQH517" s="1358"/>
      <c r="FQI517" s="1358"/>
      <c r="FQJ517" s="1358"/>
      <c r="FQK517" s="1358"/>
      <c r="FQL517" s="1358"/>
      <c r="FQM517" s="1358"/>
      <c r="FQN517" s="1358"/>
      <c r="FQO517" s="1358"/>
      <c r="FQP517" s="1358"/>
      <c r="FQQ517" s="1358"/>
      <c r="FQR517" s="1358"/>
      <c r="FQS517" s="1358"/>
      <c r="FQT517" s="1358"/>
      <c r="FQU517" s="1358"/>
      <c r="FQV517" s="1358"/>
      <c r="FQW517" s="1358"/>
      <c r="FQX517" s="1358"/>
      <c r="FQY517" s="1358"/>
      <c r="FQZ517" s="1358"/>
      <c r="FRA517" s="1358"/>
      <c r="FRB517" s="1358"/>
      <c r="FRC517" s="1358"/>
      <c r="FRD517" s="1358"/>
      <c r="FRE517" s="1358"/>
      <c r="FRF517" s="1358"/>
      <c r="FRG517" s="1358"/>
      <c r="FRH517" s="1358"/>
      <c r="FRI517" s="1358"/>
      <c r="FRJ517" s="1358"/>
      <c r="FRK517" s="1358"/>
      <c r="FRL517" s="1358"/>
      <c r="FRM517" s="1358"/>
      <c r="FRN517" s="1358"/>
      <c r="FRO517" s="1358"/>
      <c r="FRP517" s="1358"/>
      <c r="FRQ517" s="1358"/>
      <c r="FRR517" s="1358"/>
      <c r="FRS517" s="1358"/>
      <c r="FRT517" s="1358"/>
      <c r="FRU517" s="1358"/>
      <c r="FRV517" s="1358"/>
      <c r="FRW517" s="1358"/>
      <c r="FRX517" s="1358"/>
      <c r="FRY517" s="1358"/>
      <c r="FRZ517" s="1358"/>
      <c r="FSA517" s="1358"/>
      <c r="FSB517" s="1358"/>
      <c r="FSC517" s="1358"/>
      <c r="FSD517" s="1358"/>
      <c r="FSE517" s="1358"/>
      <c r="FSF517" s="1358"/>
      <c r="FSG517" s="1358"/>
      <c r="FSH517" s="1358"/>
      <c r="FSI517" s="1358"/>
      <c r="FSJ517" s="1358"/>
      <c r="FSK517" s="1358"/>
      <c r="FSL517" s="1358"/>
      <c r="FSM517" s="1358"/>
      <c r="FSN517" s="1358"/>
      <c r="FSO517" s="1358"/>
      <c r="FSP517" s="1358"/>
      <c r="FSQ517" s="1358"/>
      <c r="FSR517" s="1358"/>
      <c r="FSS517" s="1358"/>
      <c r="FST517" s="1358"/>
      <c r="FSU517" s="1358"/>
      <c r="FSV517" s="1358"/>
      <c r="FSW517" s="1358"/>
      <c r="FSX517" s="1358"/>
      <c r="FSY517" s="1358"/>
      <c r="FSZ517" s="1358"/>
      <c r="FTA517" s="1358"/>
      <c r="FTB517" s="1358"/>
      <c r="FTC517" s="1358"/>
      <c r="FTD517" s="1358"/>
      <c r="FTE517" s="1358"/>
      <c r="FTF517" s="1358"/>
      <c r="FTG517" s="1358"/>
      <c r="FTH517" s="1358"/>
      <c r="FTI517" s="1358"/>
      <c r="FTJ517" s="1358"/>
      <c r="FTK517" s="1358"/>
      <c r="FTL517" s="1358"/>
      <c r="FTM517" s="1358"/>
      <c r="FTN517" s="1358"/>
      <c r="FTO517" s="1358"/>
      <c r="FTP517" s="1358"/>
      <c r="FTQ517" s="1358"/>
      <c r="FTR517" s="1358"/>
      <c r="FTS517" s="1358"/>
      <c r="FTT517" s="1358"/>
      <c r="FTU517" s="1358"/>
      <c r="FTV517" s="1358"/>
      <c r="FTW517" s="1358"/>
      <c r="FTX517" s="1358"/>
      <c r="FTY517" s="1358"/>
      <c r="FTZ517" s="1358"/>
      <c r="FUA517" s="1358"/>
      <c r="FUB517" s="1358"/>
      <c r="FUC517" s="1358"/>
      <c r="FUD517" s="1358"/>
      <c r="FUE517" s="1358"/>
      <c r="FUF517" s="1358"/>
      <c r="FUG517" s="1358"/>
      <c r="FUH517" s="1358"/>
      <c r="FUI517" s="1358"/>
      <c r="FUJ517" s="1358"/>
      <c r="FUK517" s="1358"/>
      <c r="FUL517" s="1358"/>
      <c r="FUM517" s="1358"/>
      <c r="FUN517" s="1358"/>
      <c r="FUO517" s="1358"/>
      <c r="FUP517" s="1358"/>
      <c r="FUQ517" s="1358"/>
      <c r="FUR517" s="1358"/>
      <c r="FUS517" s="1358"/>
      <c r="FUT517" s="1358"/>
      <c r="FUU517" s="1358"/>
      <c r="FUV517" s="1358"/>
      <c r="FUW517" s="1358"/>
      <c r="FUX517" s="1358"/>
      <c r="FUY517" s="1358"/>
      <c r="FUZ517" s="1358"/>
      <c r="FVA517" s="1358"/>
      <c r="FVB517" s="1358"/>
      <c r="FVC517" s="1358"/>
      <c r="FVD517" s="1358"/>
      <c r="FVE517" s="1358"/>
      <c r="FVF517" s="1358"/>
      <c r="FVG517" s="1358"/>
      <c r="FVH517" s="1358"/>
      <c r="FVI517" s="1358"/>
      <c r="FVJ517" s="1358"/>
      <c r="FVK517" s="1358"/>
      <c r="FVL517" s="1358"/>
      <c r="FVM517" s="1358"/>
      <c r="FVN517" s="1358"/>
      <c r="FVO517" s="1358"/>
      <c r="FVP517" s="1358"/>
      <c r="FVQ517" s="1358"/>
      <c r="FVR517" s="1358"/>
      <c r="FVS517" s="1358"/>
      <c r="FVT517" s="1358"/>
      <c r="FVU517" s="1358"/>
      <c r="FVV517" s="1358"/>
      <c r="FVW517" s="1358"/>
      <c r="FVX517" s="1358"/>
      <c r="FVY517" s="1358"/>
      <c r="FVZ517" s="1358"/>
      <c r="FWA517" s="1358"/>
      <c r="FWB517" s="1358"/>
      <c r="FWC517" s="1358"/>
      <c r="FWD517" s="1358"/>
      <c r="FWE517" s="1358"/>
      <c r="FWF517" s="1358"/>
      <c r="FWG517" s="1358"/>
      <c r="FWH517" s="1358"/>
      <c r="FWI517" s="1358"/>
      <c r="FWJ517" s="1358"/>
      <c r="FWK517" s="1358"/>
      <c r="FWL517" s="1358"/>
      <c r="FWM517" s="1358"/>
      <c r="FWN517" s="1358"/>
      <c r="FWO517" s="1358"/>
      <c r="FWP517" s="1358"/>
      <c r="FWQ517" s="1358"/>
      <c r="FWR517" s="1358"/>
      <c r="FWS517" s="1358"/>
      <c r="FWT517" s="1358"/>
      <c r="FWU517" s="1358"/>
      <c r="FWV517" s="1358"/>
      <c r="FWW517" s="1358"/>
      <c r="FWX517" s="1358"/>
      <c r="FWY517" s="1358"/>
      <c r="FWZ517" s="1358"/>
      <c r="FXA517" s="1358"/>
      <c r="FXB517" s="1358"/>
      <c r="FXC517" s="1358"/>
      <c r="FXD517" s="1358"/>
      <c r="FXE517" s="1358"/>
      <c r="FXF517" s="1358"/>
      <c r="FXG517" s="1358"/>
      <c r="FXH517" s="1358"/>
      <c r="FXI517" s="1358"/>
      <c r="FXJ517" s="1358"/>
      <c r="FXK517" s="1358"/>
      <c r="FXL517" s="1358"/>
      <c r="FXM517" s="1358"/>
      <c r="FXN517" s="1358"/>
      <c r="FXO517" s="1358"/>
      <c r="FXP517" s="1358"/>
      <c r="FXQ517" s="1358"/>
      <c r="FXR517" s="1358"/>
      <c r="FXS517" s="1358"/>
      <c r="FXT517" s="1358"/>
      <c r="FXU517" s="1358"/>
      <c r="FXV517" s="1358"/>
      <c r="FXW517" s="1358"/>
      <c r="FXX517" s="1358"/>
      <c r="FXY517" s="1358"/>
      <c r="FXZ517" s="1358"/>
      <c r="FYA517" s="1358"/>
      <c r="FYB517" s="1358"/>
      <c r="FYC517" s="1358"/>
      <c r="FYD517" s="1358"/>
      <c r="FYE517" s="1358"/>
      <c r="FYF517" s="1358"/>
      <c r="FYG517" s="1358"/>
      <c r="FYH517" s="1358"/>
      <c r="FYI517" s="1358"/>
      <c r="FYJ517" s="1358"/>
      <c r="FYK517" s="1358"/>
      <c r="FYL517" s="1358"/>
      <c r="FYM517" s="1358"/>
      <c r="FYN517" s="1358"/>
      <c r="FYO517" s="1358"/>
      <c r="FYP517" s="1358"/>
      <c r="FYQ517" s="1358"/>
      <c r="FYR517" s="1358"/>
      <c r="FYS517" s="1358"/>
      <c r="FYT517" s="1358"/>
      <c r="FYU517" s="1358"/>
      <c r="FYV517" s="1358"/>
      <c r="FYW517" s="1358"/>
      <c r="FYX517" s="1358"/>
      <c r="FYY517" s="1358"/>
      <c r="FYZ517" s="1358"/>
      <c r="FZA517" s="1358"/>
      <c r="FZB517" s="1358"/>
      <c r="FZC517" s="1358"/>
      <c r="FZD517" s="1358"/>
      <c r="FZE517" s="1358"/>
      <c r="FZF517" s="1358"/>
      <c r="FZG517" s="1358"/>
      <c r="FZH517" s="1358"/>
      <c r="FZI517" s="1358"/>
      <c r="FZJ517" s="1358"/>
      <c r="FZK517" s="1358"/>
      <c r="FZL517" s="1358"/>
      <c r="FZM517" s="1358"/>
      <c r="FZN517" s="1358"/>
      <c r="FZO517" s="1358"/>
      <c r="FZP517" s="1358"/>
      <c r="FZQ517" s="1358"/>
      <c r="FZR517" s="1358"/>
      <c r="FZS517" s="1358"/>
      <c r="FZT517" s="1358"/>
      <c r="FZU517" s="1358"/>
      <c r="FZV517" s="1358"/>
      <c r="FZW517" s="1358"/>
      <c r="FZX517" s="1358"/>
      <c r="FZY517" s="1358"/>
      <c r="FZZ517" s="1358"/>
      <c r="GAA517" s="1358"/>
      <c r="GAB517" s="1358"/>
      <c r="GAC517" s="1358"/>
      <c r="GAD517" s="1358"/>
      <c r="GAE517" s="1358"/>
      <c r="GAF517" s="1358"/>
      <c r="GAG517" s="1358"/>
      <c r="GAH517" s="1358"/>
      <c r="GAI517" s="1358"/>
      <c r="GAJ517" s="1358"/>
      <c r="GAK517" s="1358"/>
      <c r="GAL517" s="1358"/>
      <c r="GAM517" s="1358"/>
      <c r="GAN517" s="1358"/>
      <c r="GAO517" s="1358"/>
      <c r="GAP517" s="1358"/>
      <c r="GAQ517" s="1358"/>
      <c r="GAR517" s="1358"/>
      <c r="GAS517" s="1358"/>
      <c r="GAT517" s="1358"/>
      <c r="GAU517" s="1358"/>
      <c r="GAV517" s="1358"/>
      <c r="GAW517" s="1358"/>
      <c r="GAX517" s="1358"/>
      <c r="GAY517" s="1358"/>
      <c r="GAZ517" s="1358"/>
      <c r="GBA517" s="1358"/>
      <c r="GBB517" s="1358"/>
      <c r="GBC517" s="1358"/>
      <c r="GBD517" s="1358"/>
      <c r="GBE517" s="1358"/>
      <c r="GBF517" s="1358"/>
      <c r="GBG517" s="1358"/>
      <c r="GBH517" s="1358"/>
      <c r="GBI517" s="1358"/>
      <c r="GBJ517" s="1358"/>
      <c r="GBK517" s="1358"/>
      <c r="GBL517" s="1358"/>
      <c r="GBM517" s="1358"/>
      <c r="GBN517" s="1358"/>
      <c r="GBO517" s="1358"/>
      <c r="GBP517" s="1358"/>
      <c r="GBQ517" s="1358"/>
      <c r="GBR517" s="1358"/>
      <c r="GBS517" s="1358"/>
      <c r="GBT517" s="1358"/>
      <c r="GBU517" s="1358"/>
      <c r="GBV517" s="1358"/>
      <c r="GBW517" s="1358"/>
      <c r="GBX517" s="1358"/>
      <c r="GBY517" s="1358"/>
      <c r="GBZ517" s="1358"/>
      <c r="GCA517" s="1358"/>
      <c r="GCB517" s="1358"/>
      <c r="GCC517" s="1358"/>
      <c r="GCD517" s="1358"/>
      <c r="GCE517" s="1358"/>
      <c r="GCF517" s="1358"/>
      <c r="GCG517" s="1358"/>
      <c r="GCH517" s="1358"/>
      <c r="GCI517" s="1358"/>
      <c r="GCJ517" s="1358"/>
      <c r="GCK517" s="1358"/>
      <c r="GCL517" s="1358"/>
      <c r="GCM517" s="1358"/>
      <c r="GCN517" s="1358"/>
      <c r="GCO517" s="1358"/>
      <c r="GCP517" s="1358"/>
      <c r="GCQ517" s="1358"/>
      <c r="GCR517" s="1358"/>
      <c r="GCS517" s="1358"/>
      <c r="GCT517" s="1358"/>
      <c r="GCU517" s="1358"/>
      <c r="GCV517" s="1358"/>
      <c r="GCW517" s="1358"/>
      <c r="GCX517" s="1358"/>
      <c r="GCY517" s="1358"/>
      <c r="GCZ517" s="1358"/>
      <c r="GDA517" s="1358"/>
      <c r="GDB517" s="1358"/>
      <c r="GDC517" s="1358"/>
      <c r="GDD517" s="1358"/>
      <c r="GDE517" s="1358"/>
      <c r="GDF517" s="1358"/>
      <c r="GDG517" s="1358"/>
      <c r="GDH517" s="1358"/>
      <c r="GDI517" s="1358"/>
      <c r="GDJ517" s="1358"/>
      <c r="GDK517" s="1358"/>
      <c r="GDL517" s="1358"/>
      <c r="GDM517" s="1358"/>
      <c r="GDN517" s="1358"/>
      <c r="GDO517" s="1358"/>
      <c r="GDP517" s="1358"/>
      <c r="GDQ517" s="1358"/>
      <c r="GDR517" s="1358"/>
      <c r="GDS517" s="1358"/>
      <c r="GDT517" s="1358"/>
      <c r="GDU517" s="1358"/>
      <c r="GDV517" s="1358"/>
      <c r="GDW517" s="1358"/>
      <c r="GDX517" s="1358"/>
      <c r="GDY517" s="1358"/>
      <c r="GDZ517" s="1358"/>
      <c r="GEA517" s="1358"/>
      <c r="GEB517" s="1358"/>
      <c r="GEC517" s="1358"/>
      <c r="GED517" s="1358"/>
      <c r="GEE517" s="1358"/>
      <c r="GEF517" s="1358"/>
      <c r="GEG517" s="1358"/>
      <c r="GEH517" s="1358"/>
      <c r="GEI517" s="1358"/>
      <c r="GEJ517" s="1358"/>
      <c r="GEK517" s="1358"/>
      <c r="GEL517" s="1358"/>
      <c r="GEM517" s="1358"/>
      <c r="GEN517" s="1358"/>
      <c r="GEO517" s="1358"/>
      <c r="GEP517" s="1358"/>
      <c r="GEQ517" s="1358"/>
      <c r="GER517" s="1358"/>
      <c r="GES517" s="1358"/>
      <c r="GET517" s="1358"/>
      <c r="GEU517" s="1358"/>
      <c r="GEV517" s="1358"/>
      <c r="GEW517" s="1358"/>
      <c r="GEX517" s="1358"/>
      <c r="GEY517" s="1358"/>
      <c r="GEZ517" s="1358"/>
      <c r="GFA517" s="1358"/>
      <c r="GFB517" s="1358"/>
      <c r="GFC517" s="1358"/>
      <c r="GFD517" s="1358"/>
      <c r="GFE517" s="1358"/>
      <c r="GFF517" s="1358"/>
      <c r="GFG517" s="1358"/>
      <c r="GFH517" s="1358"/>
      <c r="GFI517" s="1358"/>
      <c r="GFJ517" s="1358"/>
      <c r="GFK517" s="1358"/>
      <c r="GFL517" s="1358"/>
      <c r="GFM517" s="1358"/>
      <c r="GFN517" s="1358"/>
      <c r="GFO517" s="1358"/>
      <c r="GFP517" s="1358"/>
      <c r="GFQ517" s="1358"/>
      <c r="GFR517" s="1358"/>
      <c r="GFS517" s="1358"/>
      <c r="GFT517" s="1358"/>
      <c r="GFU517" s="1358"/>
      <c r="GFV517" s="1358"/>
      <c r="GFW517" s="1358"/>
      <c r="GFX517" s="1358"/>
      <c r="GFY517" s="1358"/>
      <c r="GFZ517" s="1358"/>
      <c r="GGA517" s="1358"/>
      <c r="GGB517" s="1358"/>
      <c r="GGC517" s="1358"/>
      <c r="GGD517" s="1358"/>
      <c r="GGE517" s="1358"/>
      <c r="GGF517" s="1358"/>
      <c r="GGG517" s="1358"/>
      <c r="GGH517" s="1358"/>
      <c r="GGI517" s="1358"/>
      <c r="GGJ517" s="1358"/>
      <c r="GGK517" s="1358"/>
      <c r="GGL517" s="1358"/>
      <c r="GGM517" s="1358"/>
      <c r="GGN517" s="1358"/>
      <c r="GGO517" s="1358"/>
      <c r="GGP517" s="1358"/>
      <c r="GGQ517" s="1358"/>
      <c r="GGR517" s="1358"/>
      <c r="GGS517" s="1358"/>
      <c r="GGT517" s="1358"/>
      <c r="GGU517" s="1358"/>
      <c r="GGV517" s="1358"/>
      <c r="GGW517" s="1358"/>
      <c r="GGX517" s="1358"/>
      <c r="GGY517" s="1358"/>
      <c r="GGZ517" s="1358"/>
      <c r="GHA517" s="1358"/>
      <c r="GHB517" s="1358"/>
      <c r="GHC517" s="1358"/>
      <c r="GHD517" s="1358"/>
      <c r="GHE517" s="1358"/>
      <c r="GHF517" s="1358"/>
      <c r="GHG517" s="1358"/>
      <c r="GHH517" s="1358"/>
      <c r="GHI517" s="1358"/>
      <c r="GHJ517" s="1358"/>
      <c r="GHK517" s="1358"/>
      <c r="GHL517" s="1358"/>
      <c r="GHM517" s="1358"/>
      <c r="GHN517" s="1358"/>
      <c r="GHO517" s="1358"/>
      <c r="GHP517" s="1358"/>
      <c r="GHQ517" s="1358"/>
      <c r="GHR517" s="1358"/>
      <c r="GHS517" s="1358"/>
      <c r="GHT517" s="1358"/>
      <c r="GHU517" s="1358"/>
      <c r="GHV517" s="1358"/>
      <c r="GHW517" s="1358"/>
      <c r="GHX517" s="1358"/>
      <c r="GHY517" s="1358"/>
      <c r="GHZ517" s="1358"/>
      <c r="GIA517" s="1358"/>
      <c r="GIB517" s="1358"/>
      <c r="GIC517" s="1358"/>
      <c r="GID517" s="1358"/>
      <c r="GIE517" s="1358"/>
      <c r="GIF517" s="1358"/>
      <c r="GIG517" s="1358"/>
      <c r="GIH517" s="1358"/>
      <c r="GII517" s="1358"/>
      <c r="GIJ517" s="1358"/>
      <c r="GIK517" s="1358"/>
      <c r="GIL517" s="1358"/>
      <c r="GIM517" s="1358"/>
      <c r="GIN517" s="1358"/>
      <c r="GIO517" s="1358"/>
      <c r="GIP517" s="1358"/>
      <c r="GIQ517" s="1358"/>
      <c r="GIR517" s="1358"/>
      <c r="GIS517" s="1358"/>
      <c r="GIT517" s="1358"/>
      <c r="GIU517" s="1358"/>
      <c r="GIV517" s="1358"/>
      <c r="GIW517" s="1358"/>
      <c r="GIX517" s="1358"/>
      <c r="GIY517" s="1358"/>
      <c r="GIZ517" s="1358"/>
      <c r="GJA517" s="1358"/>
      <c r="GJB517" s="1358"/>
      <c r="GJC517" s="1358"/>
      <c r="GJD517" s="1358"/>
      <c r="GJE517" s="1358"/>
      <c r="GJF517" s="1358"/>
      <c r="GJG517" s="1358"/>
      <c r="GJH517" s="1358"/>
      <c r="GJI517" s="1358"/>
      <c r="GJJ517" s="1358"/>
      <c r="GJK517" s="1358"/>
      <c r="GJL517" s="1358"/>
      <c r="GJM517" s="1358"/>
      <c r="GJN517" s="1358"/>
      <c r="GJO517" s="1358"/>
      <c r="GJP517" s="1358"/>
      <c r="GJQ517" s="1358"/>
      <c r="GJR517" s="1358"/>
      <c r="GJS517" s="1358"/>
      <c r="GJT517" s="1358"/>
      <c r="GJU517" s="1358"/>
      <c r="GJV517" s="1358"/>
      <c r="GJW517" s="1358"/>
      <c r="GJX517" s="1358"/>
      <c r="GJY517" s="1358"/>
      <c r="GJZ517" s="1358"/>
      <c r="GKA517" s="1358"/>
      <c r="GKB517" s="1358"/>
      <c r="GKC517" s="1358"/>
      <c r="GKD517" s="1358"/>
      <c r="GKE517" s="1358"/>
      <c r="GKF517" s="1358"/>
      <c r="GKG517" s="1358"/>
      <c r="GKH517" s="1358"/>
      <c r="GKI517" s="1358"/>
      <c r="GKJ517" s="1358"/>
      <c r="GKK517" s="1358"/>
      <c r="GKL517" s="1358"/>
      <c r="GKM517" s="1358"/>
      <c r="GKN517" s="1358"/>
      <c r="GKO517" s="1358"/>
      <c r="GKP517" s="1358"/>
      <c r="GKQ517" s="1358"/>
      <c r="GKR517" s="1358"/>
      <c r="GKS517" s="1358"/>
      <c r="GKT517" s="1358"/>
      <c r="GKU517" s="1358"/>
      <c r="GKV517" s="1358"/>
      <c r="GKW517" s="1358"/>
      <c r="GKX517" s="1358"/>
      <c r="GKY517" s="1358"/>
      <c r="GKZ517" s="1358"/>
      <c r="GLA517" s="1358"/>
      <c r="GLB517" s="1358"/>
      <c r="GLC517" s="1358"/>
      <c r="GLD517" s="1358"/>
      <c r="GLE517" s="1358"/>
      <c r="GLF517" s="1358"/>
      <c r="GLG517" s="1358"/>
      <c r="GLH517" s="1358"/>
      <c r="GLI517" s="1358"/>
      <c r="GLJ517" s="1358"/>
      <c r="GLK517" s="1358"/>
      <c r="GLL517" s="1358"/>
      <c r="GLM517" s="1358"/>
      <c r="GLN517" s="1358"/>
      <c r="GLO517" s="1358"/>
      <c r="GLP517" s="1358"/>
      <c r="GLQ517" s="1358"/>
      <c r="GLR517" s="1358"/>
      <c r="GLS517" s="1358"/>
      <c r="GLT517" s="1358"/>
      <c r="GLU517" s="1358"/>
      <c r="GLV517" s="1358"/>
      <c r="GLW517" s="1358"/>
      <c r="GLX517" s="1358"/>
      <c r="GLY517" s="1358"/>
      <c r="GLZ517" s="1358"/>
      <c r="GMA517" s="1358"/>
      <c r="GMB517" s="1358"/>
      <c r="GMC517" s="1358"/>
      <c r="GMD517" s="1358"/>
      <c r="GME517" s="1358"/>
      <c r="GMF517" s="1358"/>
      <c r="GMG517" s="1358"/>
      <c r="GMH517" s="1358"/>
      <c r="GMI517" s="1358"/>
      <c r="GMJ517" s="1358"/>
      <c r="GMK517" s="1358"/>
      <c r="GML517" s="1358"/>
      <c r="GMM517" s="1358"/>
      <c r="GMN517" s="1358"/>
      <c r="GMO517" s="1358"/>
      <c r="GMP517" s="1358"/>
      <c r="GMQ517" s="1358"/>
      <c r="GMR517" s="1358"/>
      <c r="GMS517" s="1358"/>
      <c r="GMT517" s="1358"/>
      <c r="GMU517" s="1358"/>
      <c r="GMV517" s="1358"/>
      <c r="GMW517" s="1358"/>
      <c r="GMX517" s="1358"/>
      <c r="GMY517" s="1358"/>
      <c r="GMZ517" s="1358"/>
      <c r="GNA517" s="1358"/>
      <c r="GNB517" s="1358"/>
      <c r="GNC517" s="1358"/>
      <c r="GND517" s="1358"/>
      <c r="GNE517" s="1358"/>
      <c r="GNF517" s="1358"/>
      <c r="GNG517" s="1358"/>
      <c r="GNH517" s="1358"/>
      <c r="GNI517" s="1358"/>
      <c r="GNJ517" s="1358"/>
      <c r="GNK517" s="1358"/>
      <c r="GNL517" s="1358"/>
      <c r="GNM517" s="1358"/>
      <c r="GNN517" s="1358"/>
      <c r="GNO517" s="1358"/>
      <c r="GNP517" s="1358"/>
      <c r="GNQ517" s="1358"/>
      <c r="GNR517" s="1358"/>
      <c r="GNS517" s="1358"/>
      <c r="GNT517" s="1358"/>
      <c r="GNU517" s="1358"/>
      <c r="GNV517" s="1358"/>
      <c r="GNW517" s="1358"/>
      <c r="GNX517" s="1358"/>
      <c r="GNY517" s="1358"/>
      <c r="GNZ517" s="1358"/>
      <c r="GOA517" s="1358"/>
      <c r="GOB517" s="1358"/>
      <c r="GOC517" s="1358"/>
      <c r="GOD517" s="1358"/>
      <c r="GOE517" s="1358"/>
      <c r="GOF517" s="1358"/>
      <c r="GOG517" s="1358"/>
      <c r="GOH517" s="1358"/>
      <c r="GOI517" s="1358"/>
      <c r="GOJ517" s="1358"/>
      <c r="GOK517" s="1358"/>
      <c r="GOL517" s="1358"/>
      <c r="GOM517" s="1358"/>
      <c r="GON517" s="1358"/>
      <c r="GOO517" s="1358"/>
      <c r="GOP517" s="1358"/>
      <c r="GOQ517" s="1358"/>
      <c r="GOR517" s="1358"/>
      <c r="GOS517" s="1358"/>
      <c r="GOT517" s="1358"/>
      <c r="GOU517" s="1358"/>
      <c r="GOV517" s="1358"/>
      <c r="GOW517" s="1358"/>
      <c r="GOX517" s="1358"/>
      <c r="GOY517" s="1358"/>
      <c r="GOZ517" s="1358"/>
      <c r="GPA517" s="1358"/>
      <c r="GPB517" s="1358"/>
      <c r="GPC517" s="1358"/>
      <c r="GPD517" s="1358"/>
      <c r="GPE517" s="1358"/>
      <c r="GPF517" s="1358"/>
      <c r="GPG517" s="1358"/>
      <c r="GPH517" s="1358"/>
      <c r="GPI517" s="1358"/>
      <c r="GPJ517" s="1358"/>
      <c r="GPK517" s="1358"/>
      <c r="GPL517" s="1358"/>
      <c r="GPM517" s="1358"/>
      <c r="GPN517" s="1358"/>
      <c r="GPO517" s="1358"/>
      <c r="GPP517" s="1358"/>
      <c r="GPQ517" s="1358"/>
      <c r="GPR517" s="1358"/>
      <c r="GPS517" s="1358"/>
      <c r="GPT517" s="1358"/>
      <c r="GPU517" s="1358"/>
      <c r="GPV517" s="1358"/>
      <c r="GPW517" s="1358"/>
      <c r="GPX517" s="1358"/>
      <c r="GPY517" s="1358"/>
      <c r="GPZ517" s="1358"/>
      <c r="GQA517" s="1358"/>
      <c r="GQB517" s="1358"/>
      <c r="GQC517" s="1358"/>
      <c r="GQD517" s="1358"/>
      <c r="GQE517" s="1358"/>
      <c r="GQF517" s="1358"/>
      <c r="GQG517" s="1358"/>
      <c r="GQH517" s="1358"/>
      <c r="GQI517" s="1358"/>
      <c r="GQJ517" s="1358"/>
      <c r="GQK517" s="1358"/>
      <c r="GQL517" s="1358"/>
      <c r="GQM517" s="1358"/>
      <c r="GQN517" s="1358"/>
      <c r="GQO517" s="1358"/>
      <c r="GQP517" s="1358"/>
      <c r="GQQ517" s="1358"/>
      <c r="GQR517" s="1358"/>
      <c r="GQS517" s="1358"/>
      <c r="GQT517" s="1358"/>
      <c r="GQU517" s="1358"/>
      <c r="GQV517" s="1358"/>
      <c r="GQW517" s="1358"/>
      <c r="GQX517" s="1358"/>
      <c r="GQY517" s="1358"/>
      <c r="GQZ517" s="1358"/>
      <c r="GRA517" s="1358"/>
      <c r="GRB517" s="1358"/>
      <c r="GRC517" s="1358"/>
      <c r="GRD517" s="1358"/>
      <c r="GRE517" s="1358"/>
      <c r="GRF517" s="1358"/>
      <c r="GRG517" s="1358"/>
      <c r="GRH517" s="1358"/>
      <c r="GRI517" s="1358"/>
      <c r="GRJ517" s="1358"/>
      <c r="GRK517" s="1358"/>
      <c r="GRL517" s="1358"/>
      <c r="GRM517" s="1358"/>
      <c r="GRN517" s="1358"/>
      <c r="GRO517" s="1358"/>
      <c r="GRP517" s="1358"/>
      <c r="GRQ517" s="1358"/>
      <c r="GRR517" s="1358"/>
      <c r="GRS517" s="1358"/>
      <c r="GRT517" s="1358"/>
      <c r="GRU517" s="1358"/>
      <c r="GRV517" s="1358"/>
      <c r="GRW517" s="1358"/>
      <c r="GRX517" s="1358"/>
      <c r="GRY517" s="1358"/>
      <c r="GRZ517" s="1358"/>
      <c r="GSA517" s="1358"/>
      <c r="GSB517" s="1358"/>
      <c r="GSC517" s="1358"/>
      <c r="GSD517" s="1358"/>
      <c r="GSE517" s="1358"/>
      <c r="GSF517" s="1358"/>
      <c r="GSG517" s="1358"/>
      <c r="GSH517" s="1358"/>
      <c r="GSI517" s="1358"/>
      <c r="GSJ517" s="1358"/>
      <c r="GSK517" s="1358"/>
      <c r="GSL517" s="1358"/>
      <c r="GSM517" s="1358"/>
      <c r="GSN517" s="1358"/>
      <c r="GSO517" s="1358"/>
      <c r="GSP517" s="1358"/>
      <c r="GSQ517" s="1358"/>
      <c r="GSR517" s="1358"/>
      <c r="GSS517" s="1358"/>
      <c r="GST517" s="1358"/>
      <c r="GSU517" s="1358"/>
      <c r="GSV517" s="1358"/>
      <c r="GSW517" s="1358"/>
      <c r="GSX517" s="1358"/>
      <c r="GSY517" s="1358"/>
      <c r="GSZ517" s="1358"/>
      <c r="GTA517" s="1358"/>
      <c r="GTB517" s="1358"/>
      <c r="GTC517" s="1358"/>
      <c r="GTD517" s="1358"/>
      <c r="GTE517" s="1358"/>
      <c r="GTF517" s="1358"/>
      <c r="GTG517" s="1358"/>
      <c r="GTH517" s="1358"/>
      <c r="GTI517" s="1358"/>
      <c r="GTJ517" s="1358"/>
      <c r="GTK517" s="1358"/>
      <c r="GTL517" s="1358"/>
      <c r="GTM517" s="1358"/>
      <c r="GTN517" s="1358"/>
      <c r="GTO517" s="1358"/>
      <c r="GTP517" s="1358"/>
      <c r="GTQ517" s="1358"/>
      <c r="GTR517" s="1358"/>
      <c r="GTS517" s="1358"/>
      <c r="GTT517" s="1358"/>
      <c r="GTU517" s="1358"/>
      <c r="GTV517" s="1358"/>
      <c r="GTW517" s="1358"/>
      <c r="GTX517" s="1358"/>
      <c r="GTY517" s="1358"/>
      <c r="GTZ517" s="1358"/>
      <c r="GUA517" s="1358"/>
      <c r="GUB517" s="1358"/>
      <c r="GUC517" s="1358"/>
      <c r="GUD517" s="1358"/>
      <c r="GUE517" s="1358"/>
      <c r="GUF517" s="1358"/>
      <c r="GUG517" s="1358"/>
      <c r="GUH517" s="1358"/>
      <c r="GUI517" s="1358"/>
      <c r="GUJ517" s="1358"/>
      <c r="GUK517" s="1358"/>
      <c r="GUL517" s="1358"/>
      <c r="GUM517" s="1358"/>
      <c r="GUN517" s="1358"/>
      <c r="GUO517" s="1358"/>
      <c r="GUP517" s="1358"/>
      <c r="GUQ517" s="1358"/>
      <c r="GUR517" s="1358"/>
      <c r="GUS517" s="1358"/>
      <c r="GUT517" s="1358"/>
      <c r="GUU517" s="1358"/>
      <c r="GUV517" s="1358"/>
      <c r="GUW517" s="1358"/>
      <c r="GUX517" s="1358"/>
      <c r="GUY517" s="1358"/>
      <c r="GUZ517" s="1358"/>
      <c r="GVA517" s="1358"/>
      <c r="GVB517" s="1358"/>
      <c r="GVC517" s="1358"/>
      <c r="GVD517" s="1358"/>
      <c r="GVE517" s="1358"/>
      <c r="GVF517" s="1358"/>
      <c r="GVG517" s="1358"/>
      <c r="GVH517" s="1358"/>
      <c r="GVI517" s="1358"/>
      <c r="GVJ517" s="1358"/>
      <c r="GVK517" s="1358"/>
      <c r="GVL517" s="1358"/>
      <c r="GVM517" s="1358"/>
      <c r="GVN517" s="1358"/>
      <c r="GVO517" s="1358"/>
      <c r="GVP517" s="1358"/>
      <c r="GVQ517" s="1358"/>
      <c r="GVR517" s="1358"/>
      <c r="GVS517" s="1358"/>
      <c r="GVT517" s="1358"/>
      <c r="GVU517" s="1358"/>
      <c r="GVV517" s="1358"/>
      <c r="GVW517" s="1358"/>
      <c r="GVX517" s="1358"/>
      <c r="GVY517" s="1358"/>
      <c r="GVZ517" s="1358"/>
      <c r="GWA517" s="1358"/>
      <c r="GWB517" s="1358"/>
      <c r="GWC517" s="1358"/>
      <c r="GWD517" s="1358"/>
      <c r="GWE517" s="1358"/>
      <c r="GWF517" s="1358"/>
      <c r="GWG517" s="1358"/>
      <c r="GWH517" s="1358"/>
      <c r="GWI517" s="1358"/>
      <c r="GWJ517" s="1358"/>
      <c r="GWK517" s="1358"/>
      <c r="GWL517" s="1358"/>
      <c r="GWM517" s="1358"/>
      <c r="GWN517" s="1358"/>
      <c r="GWO517" s="1358"/>
      <c r="GWP517" s="1358"/>
      <c r="GWQ517" s="1358"/>
      <c r="GWR517" s="1358"/>
      <c r="GWS517" s="1358"/>
      <c r="GWT517" s="1358"/>
      <c r="GWU517" s="1358"/>
      <c r="GWV517" s="1358"/>
      <c r="GWW517" s="1358"/>
      <c r="GWX517" s="1358"/>
      <c r="GWY517" s="1358"/>
      <c r="GWZ517" s="1358"/>
      <c r="GXA517" s="1358"/>
      <c r="GXB517" s="1358"/>
      <c r="GXC517" s="1358"/>
      <c r="GXD517" s="1358"/>
      <c r="GXE517" s="1358"/>
      <c r="GXF517" s="1358"/>
      <c r="GXG517" s="1358"/>
      <c r="GXH517" s="1358"/>
      <c r="GXI517" s="1358"/>
      <c r="GXJ517" s="1358"/>
      <c r="GXK517" s="1358"/>
      <c r="GXL517" s="1358"/>
      <c r="GXM517" s="1358"/>
      <c r="GXN517" s="1358"/>
      <c r="GXO517" s="1358"/>
      <c r="GXP517" s="1358"/>
      <c r="GXQ517" s="1358"/>
      <c r="GXR517" s="1358"/>
      <c r="GXS517" s="1358"/>
      <c r="GXT517" s="1358"/>
      <c r="GXU517" s="1358"/>
      <c r="GXV517" s="1358"/>
      <c r="GXW517" s="1358"/>
      <c r="GXX517" s="1358"/>
      <c r="GXY517" s="1358"/>
      <c r="GXZ517" s="1358"/>
      <c r="GYA517" s="1358"/>
      <c r="GYB517" s="1358"/>
      <c r="GYC517" s="1358"/>
      <c r="GYD517" s="1358"/>
      <c r="GYE517" s="1358"/>
      <c r="GYF517" s="1358"/>
      <c r="GYG517" s="1358"/>
      <c r="GYH517" s="1358"/>
      <c r="GYI517" s="1358"/>
      <c r="GYJ517" s="1358"/>
      <c r="GYK517" s="1358"/>
      <c r="GYL517" s="1358"/>
      <c r="GYM517" s="1358"/>
      <c r="GYN517" s="1358"/>
      <c r="GYO517" s="1358"/>
      <c r="GYP517" s="1358"/>
      <c r="GYQ517" s="1358"/>
      <c r="GYR517" s="1358"/>
      <c r="GYS517" s="1358"/>
      <c r="GYT517" s="1358"/>
      <c r="GYU517" s="1358"/>
      <c r="GYV517" s="1358"/>
      <c r="GYW517" s="1358"/>
      <c r="GYX517" s="1358"/>
      <c r="GYY517" s="1358"/>
      <c r="GYZ517" s="1358"/>
      <c r="GZA517" s="1358"/>
      <c r="GZB517" s="1358"/>
      <c r="GZC517" s="1358"/>
      <c r="GZD517" s="1358"/>
      <c r="GZE517" s="1358"/>
      <c r="GZF517" s="1358"/>
      <c r="GZG517" s="1358"/>
      <c r="GZH517" s="1358"/>
      <c r="GZI517" s="1358"/>
      <c r="GZJ517" s="1358"/>
      <c r="GZK517" s="1358"/>
      <c r="GZL517" s="1358"/>
      <c r="GZM517" s="1358"/>
      <c r="GZN517" s="1358"/>
      <c r="GZO517" s="1358"/>
      <c r="GZP517" s="1358"/>
      <c r="GZQ517" s="1358"/>
      <c r="GZR517" s="1358"/>
      <c r="GZS517" s="1358"/>
      <c r="GZT517" s="1358"/>
      <c r="GZU517" s="1358"/>
      <c r="GZV517" s="1358"/>
      <c r="GZW517" s="1358"/>
      <c r="GZX517" s="1358"/>
      <c r="GZY517" s="1358"/>
      <c r="GZZ517" s="1358"/>
      <c r="HAA517" s="1358"/>
      <c r="HAB517" s="1358"/>
      <c r="HAC517" s="1358"/>
      <c r="HAD517" s="1358"/>
      <c r="HAE517" s="1358"/>
      <c r="HAF517" s="1358"/>
      <c r="HAG517" s="1358"/>
      <c r="HAH517" s="1358"/>
      <c r="HAI517" s="1358"/>
      <c r="HAJ517" s="1358"/>
      <c r="HAK517" s="1358"/>
      <c r="HAL517" s="1358"/>
      <c r="HAM517" s="1358"/>
      <c r="HAN517" s="1358"/>
      <c r="HAO517" s="1358"/>
      <c r="HAP517" s="1358"/>
      <c r="HAQ517" s="1358"/>
      <c r="HAR517" s="1358"/>
      <c r="HAS517" s="1358"/>
      <c r="HAT517" s="1358"/>
      <c r="HAU517" s="1358"/>
      <c r="HAV517" s="1358"/>
      <c r="HAW517" s="1358"/>
      <c r="HAX517" s="1358"/>
      <c r="HAY517" s="1358"/>
      <c r="HAZ517" s="1358"/>
      <c r="HBA517" s="1358"/>
      <c r="HBB517" s="1358"/>
      <c r="HBC517" s="1358"/>
      <c r="HBD517" s="1358"/>
      <c r="HBE517" s="1358"/>
      <c r="HBF517" s="1358"/>
      <c r="HBG517" s="1358"/>
      <c r="HBH517" s="1358"/>
      <c r="HBI517" s="1358"/>
      <c r="HBJ517" s="1358"/>
      <c r="HBK517" s="1358"/>
      <c r="HBL517" s="1358"/>
      <c r="HBM517" s="1358"/>
      <c r="HBN517" s="1358"/>
      <c r="HBO517" s="1358"/>
      <c r="HBP517" s="1358"/>
      <c r="HBQ517" s="1358"/>
      <c r="HBR517" s="1358"/>
      <c r="HBS517" s="1358"/>
      <c r="HBT517" s="1358"/>
      <c r="HBU517" s="1358"/>
      <c r="HBV517" s="1358"/>
      <c r="HBW517" s="1358"/>
      <c r="HBX517" s="1358"/>
      <c r="HBY517" s="1358"/>
      <c r="HBZ517" s="1358"/>
      <c r="HCA517" s="1358"/>
      <c r="HCB517" s="1358"/>
      <c r="HCC517" s="1358"/>
      <c r="HCD517" s="1358"/>
      <c r="HCE517" s="1358"/>
      <c r="HCF517" s="1358"/>
      <c r="HCG517" s="1358"/>
      <c r="HCH517" s="1358"/>
      <c r="HCI517" s="1358"/>
      <c r="HCJ517" s="1358"/>
      <c r="HCK517" s="1358"/>
      <c r="HCL517" s="1358"/>
      <c r="HCM517" s="1358"/>
      <c r="HCN517" s="1358"/>
      <c r="HCO517" s="1358"/>
      <c r="HCP517" s="1358"/>
      <c r="HCQ517" s="1358"/>
      <c r="HCR517" s="1358"/>
      <c r="HCS517" s="1358"/>
      <c r="HCT517" s="1358"/>
      <c r="HCU517" s="1358"/>
      <c r="HCV517" s="1358"/>
      <c r="HCW517" s="1358"/>
      <c r="HCX517" s="1358"/>
      <c r="HCY517" s="1358"/>
      <c r="HCZ517" s="1358"/>
      <c r="HDA517" s="1358"/>
      <c r="HDB517" s="1358"/>
      <c r="HDC517" s="1358"/>
      <c r="HDD517" s="1358"/>
      <c r="HDE517" s="1358"/>
      <c r="HDF517" s="1358"/>
      <c r="HDG517" s="1358"/>
      <c r="HDH517" s="1358"/>
      <c r="HDI517" s="1358"/>
      <c r="HDJ517" s="1358"/>
      <c r="HDK517" s="1358"/>
      <c r="HDL517" s="1358"/>
      <c r="HDM517" s="1358"/>
      <c r="HDN517" s="1358"/>
      <c r="HDO517" s="1358"/>
      <c r="HDP517" s="1358"/>
      <c r="HDQ517" s="1358"/>
      <c r="HDR517" s="1358"/>
      <c r="HDS517" s="1358"/>
      <c r="HDT517" s="1358"/>
      <c r="HDU517" s="1358"/>
      <c r="HDV517" s="1358"/>
      <c r="HDW517" s="1358"/>
      <c r="HDX517" s="1358"/>
      <c r="HDY517" s="1358"/>
      <c r="HDZ517" s="1358"/>
      <c r="HEA517" s="1358"/>
      <c r="HEB517" s="1358"/>
      <c r="HEC517" s="1358"/>
      <c r="HED517" s="1358"/>
      <c r="HEE517" s="1358"/>
      <c r="HEF517" s="1358"/>
      <c r="HEG517" s="1358"/>
      <c r="HEH517" s="1358"/>
      <c r="HEI517" s="1358"/>
      <c r="HEJ517" s="1358"/>
      <c r="HEK517" s="1358"/>
      <c r="HEL517" s="1358"/>
      <c r="HEM517" s="1358"/>
      <c r="HEN517" s="1358"/>
      <c r="HEO517" s="1358"/>
      <c r="HEP517" s="1358"/>
      <c r="HEQ517" s="1358"/>
      <c r="HER517" s="1358"/>
      <c r="HES517" s="1358"/>
      <c r="HET517" s="1358"/>
      <c r="HEU517" s="1358"/>
      <c r="HEV517" s="1358"/>
      <c r="HEW517" s="1358"/>
      <c r="HEX517" s="1358"/>
      <c r="HEY517" s="1358"/>
      <c r="HEZ517" s="1358"/>
      <c r="HFA517" s="1358"/>
      <c r="HFB517" s="1358"/>
      <c r="HFC517" s="1358"/>
      <c r="HFD517" s="1358"/>
      <c r="HFE517" s="1358"/>
      <c r="HFF517" s="1358"/>
      <c r="HFG517" s="1358"/>
      <c r="HFH517" s="1358"/>
      <c r="HFI517" s="1358"/>
      <c r="HFJ517" s="1358"/>
      <c r="HFK517" s="1358"/>
      <c r="HFL517" s="1358"/>
      <c r="HFM517" s="1358"/>
      <c r="HFN517" s="1358"/>
      <c r="HFO517" s="1358"/>
      <c r="HFP517" s="1358"/>
      <c r="HFQ517" s="1358"/>
      <c r="HFR517" s="1358"/>
      <c r="HFS517" s="1358"/>
      <c r="HFT517" s="1358"/>
      <c r="HFU517" s="1358"/>
      <c r="HFV517" s="1358"/>
      <c r="HFW517" s="1358"/>
      <c r="HFX517" s="1358"/>
      <c r="HFY517" s="1358"/>
      <c r="HFZ517" s="1358"/>
      <c r="HGA517" s="1358"/>
      <c r="HGB517" s="1358"/>
      <c r="HGC517" s="1358"/>
      <c r="HGD517" s="1358"/>
      <c r="HGE517" s="1358"/>
      <c r="HGF517" s="1358"/>
      <c r="HGG517" s="1358"/>
      <c r="HGH517" s="1358"/>
      <c r="HGI517" s="1358"/>
      <c r="HGJ517" s="1358"/>
      <c r="HGK517" s="1358"/>
      <c r="HGL517" s="1358"/>
      <c r="HGM517" s="1358"/>
      <c r="HGN517" s="1358"/>
      <c r="HGO517" s="1358"/>
      <c r="HGP517" s="1358"/>
      <c r="HGQ517" s="1358"/>
      <c r="HGR517" s="1358"/>
      <c r="HGS517" s="1358"/>
      <c r="HGT517" s="1358"/>
      <c r="HGU517" s="1358"/>
      <c r="HGV517" s="1358"/>
      <c r="HGW517" s="1358"/>
      <c r="HGX517" s="1358"/>
      <c r="HGY517" s="1358"/>
      <c r="HGZ517" s="1358"/>
      <c r="HHA517" s="1358"/>
      <c r="HHB517" s="1358"/>
      <c r="HHC517" s="1358"/>
      <c r="HHD517" s="1358"/>
      <c r="HHE517" s="1358"/>
      <c r="HHF517" s="1358"/>
      <c r="HHG517" s="1358"/>
      <c r="HHH517" s="1358"/>
      <c r="HHI517" s="1358"/>
      <c r="HHJ517" s="1358"/>
      <c r="HHK517" s="1358"/>
      <c r="HHL517" s="1358"/>
      <c r="HHM517" s="1358"/>
      <c r="HHN517" s="1358"/>
      <c r="HHO517" s="1358"/>
      <c r="HHP517" s="1358"/>
      <c r="HHQ517" s="1358"/>
      <c r="HHR517" s="1358"/>
      <c r="HHS517" s="1358"/>
      <c r="HHT517" s="1358"/>
      <c r="HHU517" s="1358"/>
      <c r="HHV517" s="1358"/>
      <c r="HHW517" s="1358"/>
      <c r="HHX517" s="1358"/>
      <c r="HHY517" s="1358"/>
      <c r="HHZ517" s="1358"/>
      <c r="HIA517" s="1358"/>
      <c r="HIB517" s="1358"/>
      <c r="HIC517" s="1358"/>
      <c r="HID517" s="1358"/>
      <c r="HIE517" s="1358"/>
      <c r="HIF517" s="1358"/>
      <c r="HIG517" s="1358"/>
      <c r="HIH517" s="1358"/>
      <c r="HII517" s="1358"/>
      <c r="HIJ517" s="1358"/>
      <c r="HIK517" s="1358"/>
      <c r="HIL517" s="1358"/>
      <c r="HIM517" s="1358"/>
      <c r="HIN517" s="1358"/>
      <c r="HIO517" s="1358"/>
      <c r="HIP517" s="1358"/>
      <c r="HIQ517" s="1358"/>
      <c r="HIR517" s="1358"/>
      <c r="HIS517" s="1358"/>
      <c r="HIT517" s="1358"/>
      <c r="HIU517" s="1358"/>
      <c r="HIV517" s="1358"/>
      <c r="HIW517" s="1358"/>
      <c r="HIX517" s="1358"/>
      <c r="HIY517" s="1358"/>
      <c r="HIZ517" s="1358"/>
      <c r="HJA517" s="1358"/>
      <c r="HJB517" s="1358"/>
      <c r="HJC517" s="1358"/>
      <c r="HJD517" s="1358"/>
      <c r="HJE517" s="1358"/>
      <c r="HJF517" s="1358"/>
      <c r="HJG517" s="1358"/>
      <c r="HJH517" s="1358"/>
      <c r="HJI517" s="1358"/>
      <c r="HJJ517" s="1358"/>
      <c r="HJK517" s="1358"/>
      <c r="HJL517" s="1358"/>
      <c r="HJM517" s="1358"/>
      <c r="HJN517" s="1358"/>
      <c r="HJO517" s="1358"/>
      <c r="HJP517" s="1358"/>
      <c r="HJQ517" s="1358"/>
      <c r="HJR517" s="1358"/>
      <c r="HJS517" s="1358"/>
      <c r="HJT517" s="1358"/>
      <c r="HJU517" s="1358"/>
      <c r="HJV517" s="1358"/>
      <c r="HJW517" s="1358"/>
      <c r="HJX517" s="1358"/>
      <c r="HJY517" s="1358"/>
      <c r="HJZ517" s="1358"/>
      <c r="HKA517" s="1358"/>
      <c r="HKB517" s="1358"/>
      <c r="HKC517" s="1358"/>
      <c r="HKD517" s="1358"/>
      <c r="HKE517" s="1358"/>
      <c r="HKF517" s="1358"/>
      <c r="HKG517" s="1358"/>
      <c r="HKH517" s="1358"/>
      <c r="HKI517" s="1358"/>
      <c r="HKJ517" s="1358"/>
      <c r="HKK517" s="1358"/>
      <c r="HKL517" s="1358"/>
      <c r="HKM517" s="1358"/>
      <c r="HKN517" s="1358"/>
      <c r="HKO517" s="1358"/>
      <c r="HKP517" s="1358"/>
      <c r="HKQ517" s="1358"/>
      <c r="HKR517" s="1358"/>
      <c r="HKS517" s="1358"/>
      <c r="HKT517" s="1358"/>
      <c r="HKU517" s="1358"/>
      <c r="HKV517" s="1358"/>
      <c r="HKW517" s="1358"/>
      <c r="HKX517" s="1358"/>
      <c r="HKY517" s="1358"/>
      <c r="HKZ517" s="1358"/>
      <c r="HLA517" s="1358"/>
      <c r="HLB517" s="1358"/>
      <c r="HLC517" s="1358"/>
      <c r="HLD517" s="1358"/>
      <c r="HLE517" s="1358"/>
      <c r="HLF517" s="1358"/>
      <c r="HLG517" s="1358"/>
      <c r="HLH517" s="1358"/>
      <c r="HLI517" s="1358"/>
      <c r="HLJ517" s="1358"/>
      <c r="HLK517" s="1358"/>
      <c r="HLL517" s="1358"/>
      <c r="HLM517" s="1358"/>
      <c r="HLN517" s="1358"/>
      <c r="HLO517" s="1358"/>
      <c r="HLP517" s="1358"/>
      <c r="HLQ517" s="1358"/>
      <c r="HLR517" s="1358"/>
      <c r="HLS517" s="1358"/>
      <c r="HLT517" s="1358"/>
      <c r="HLU517" s="1358"/>
      <c r="HLV517" s="1358"/>
      <c r="HLW517" s="1358"/>
      <c r="HLX517" s="1358"/>
      <c r="HLY517" s="1358"/>
      <c r="HLZ517" s="1358"/>
      <c r="HMA517" s="1358"/>
      <c r="HMB517" s="1358"/>
      <c r="HMC517" s="1358"/>
      <c r="HMD517" s="1358"/>
      <c r="HME517" s="1358"/>
      <c r="HMF517" s="1358"/>
      <c r="HMG517" s="1358"/>
      <c r="HMH517" s="1358"/>
      <c r="HMI517" s="1358"/>
      <c r="HMJ517" s="1358"/>
      <c r="HMK517" s="1358"/>
      <c r="HML517" s="1358"/>
      <c r="HMM517" s="1358"/>
      <c r="HMN517" s="1358"/>
      <c r="HMO517" s="1358"/>
      <c r="HMP517" s="1358"/>
      <c r="HMQ517" s="1358"/>
      <c r="HMR517" s="1358"/>
      <c r="HMS517" s="1358"/>
      <c r="HMT517" s="1358"/>
      <c r="HMU517" s="1358"/>
      <c r="HMV517" s="1358"/>
      <c r="HMW517" s="1358"/>
      <c r="HMX517" s="1358"/>
      <c r="HMY517" s="1358"/>
      <c r="HMZ517" s="1358"/>
      <c r="HNA517" s="1358"/>
      <c r="HNB517" s="1358"/>
      <c r="HNC517" s="1358"/>
      <c r="HND517" s="1358"/>
      <c r="HNE517" s="1358"/>
      <c r="HNF517" s="1358"/>
      <c r="HNG517" s="1358"/>
      <c r="HNH517" s="1358"/>
      <c r="HNI517" s="1358"/>
      <c r="HNJ517" s="1358"/>
      <c r="HNK517" s="1358"/>
      <c r="HNL517" s="1358"/>
      <c r="HNM517" s="1358"/>
      <c r="HNN517" s="1358"/>
      <c r="HNO517" s="1358"/>
      <c r="HNP517" s="1358"/>
      <c r="HNQ517" s="1358"/>
      <c r="HNR517" s="1358"/>
      <c r="HNS517" s="1358"/>
      <c r="HNT517" s="1358"/>
      <c r="HNU517" s="1358"/>
      <c r="HNV517" s="1358"/>
      <c r="HNW517" s="1358"/>
      <c r="HNX517" s="1358"/>
      <c r="HNY517" s="1358"/>
      <c r="HNZ517" s="1358"/>
      <c r="HOA517" s="1358"/>
      <c r="HOB517" s="1358"/>
      <c r="HOC517" s="1358"/>
      <c r="HOD517" s="1358"/>
      <c r="HOE517" s="1358"/>
      <c r="HOF517" s="1358"/>
      <c r="HOG517" s="1358"/>
      <c r="HOH517" s="1358"/>
      <c r="HOI517" s="1358"/>
      <c r="HOJ517" s="1358"/>
      <c r="HOK517" s="1358"/>
      <c r="HOL517" s="1358"/>
      <c r="HOM517" s="1358"/>
      <c r="HON517" s="1358"/>
      <c r="HOO517" s="1358"/>
      <c r="HOP517" s="1358"/>
      <c r="HOQ517" s="1358"/>
      <c r="HOR517" s="1358"/>
      <c r="HOS517" s="1358"/>
      <c r="HOT517" s="1358"/>
      <c r="HOU517" s="1358"/>
      <c r="HOV517" s="1358"/>
      <c r="HOW517" s="1358"/>
      <c r="HOX517" s="1358"/>
      <c r="HOY517" s="1358"/>
      <c r="HOZ517" s="1358"/>
      <c r="HPA517" s="1358"/>
      <c r="HPB517" s="1358"/>
      <c r="HPC517" s="1358"/>
      <c r="HPD517" s="1358"/>
      <c r="HPE517" s="1358"/>
      <c r="HPF517" s="1358"/>
      <c r="HPG517" s="1358"/>
      <c r="HPH517" s="1358"/>
      <c r="HPI517" s="1358"/>
      <c r="HPJ517" s="1358"/>
      <c r="HPK517" s="1358"/>
      <c r="HPL517" s="1358"/>
      <c r="HPM517" s="1358"/>
      <c r="HPN517" s="1358"/>
      <c r="HPO517" s="1358"/>
      <c r="HPP517" s="1358"/>
      <c r="HPQ517" s="1358"/>
      <c r="HPR517" s="1358"/>
      <c r="HPS517" s="1358"/>
      <c r="HPT517" s="1358"/>
      <c r="HPU517" s="1358"/>
      <c r="HPV517" s="1358"/>
      <c r="HPW517" s="1358"/>
      <c r="HPX517" s="1358"/>
      <c r="HPY517" s="1358"/>
      <c r="HPZ517" s="1358"/>
      <c r="HQA517" s="1358"/>
      <c r="HQB517" s="1358"/>
      <c r="HQC517" s="1358"/>
      <c r="HQD517" s="1358"/>
      <c r="HQE517" s="1358"/>
      <c r="HQF517" s="1358"/>
      <c r="HQG517" s="1358"/>
      <c r="HQH517" s="1358"/>
      <c r="HQI517" s="1358"/>
      <c r="HQJ517" s="1358"/>
      <c r="HQK517" s="1358"/>
      <c r="HQL517" s="1358"/>
      <c r="HQM517" s="1358"/>
      <c r="HQN517" s="1358"/>
      <c r="HQO517" s="1358"/>
      <c r="HQP517" s="1358"/>
      <c r="HQQ517" s="1358"/>
      <c r="HQR517" s="1358"/>
      <c r="HQS517" s="1358"/>
      <c r="HQT517" s="1358"/>
      <c r="HQU517" s="1358"/>
      <c r="HQV517" s="1358"/>
      <c r="HQW517" s="1358"/>
      <c r="HQX517" s="1358"/>
      <c r="HQY517" s="1358"/>
      <c r="HQZ517" s="1358"/>
      <c r="HRA517" s="1358"/>
      <c r="HRB517" s="1358"/>
      <c r="HRC517" s="1358"/>
      <c r="HRD517" s="1358"/>
      <c r="HRE517" s="1358"/>
      <c r="HRF517" s="1358"/>
      <c r="HRG517" s="1358"/>
      <c r="HRH517" s="1358"/>
      <c r="HRI517" s="1358"/>
      <c r="HRJ517" s="1358"/>
      <c r="HRK517" s="1358"/>
      <c r="HRL517" s="1358"/>
      <c r="HRM517" s="1358"/>
      <c r="HRN517" s="1358"/>
      <c r="HRO517" s="1358"/>
      <c r="HRP517" s="1358"/>
      <c r="HRQ517" s="1358"/>
      <c r="HRR517" s="1358"/>
      <c r="HRS517" s="1358"/>
      <c r="HRT517" s="1358"/>
      <c r="HRU517" s="1358"/>
      <c r="HRV517" s="1358"/>
      <c r="HRW517" s="1358"/>
      <c r="HRX517" s="1358"/>
      <c r="HRY517" s="1358"/>
      <c r="HRZ517" s="1358"/>
      <c r="HSA517" s="1358"/>
      <c r="HSB517" s="1358"/>
      <c r="HSC517" s="1358"/>
      <c r="HSD517" s="1358"/>
      <c r="HSE517" s="1358"/>
      <c r="HSF517" s="1358"/>
      <c r="HSG517" s="1358"/>
      <c r="HSH517" s="1358"/>
      <c r="HSI517" s="1358"/>
      <c r="HSJ517" s="1358"/>
      <c r="HSK517" s="1358"/>
      <c r="HSL517" s="1358"/>
      <c r="HSM517" s="1358"/>
      <c r="HSN517" s="1358"/>
      <c r="HSO517" s="1358"/>
      <c r="HSP517" s="1358"/>
      <c r="HSQ517" s="1358"/>
      <c r="HSR517" s="1358"/>
      <c r="HSS517" s="1358"/>
      <c r="HST517" s="1358"/>
      <c r="HSU517" s="1358"/>
      <c r="HSV517" s="1358"/>
      <c r="HSW517" s="1358"/>
      <c r="HSX517" s="1358"/>
      <c r="HSY517" s="1358"/>
      <c r="HSZ517" s="1358"/>
      <c r="HTA517" s="1358"/>
      <c r="HTB517" s="1358"/>
      <c r="HTC517" s="1358"/>
      <c r="HTD517" s="1358"/>
      <c r="HTE517" s="1358"/>
      <c r="HTF517" s="1358"/>
      <c r="HTG517" s="1358"/>
      <c r="HTH517" s="1358"/>
      <c r="HTI517" s="1358"/>
      <c r="HTJ517" s="1358"/>
      <c r="HTK517" s="1358"/>
      <c r="HTL517" s="1358"/>
      <c r="HTM517" s="1358"/>
      <c r="HTN517" s="1358"/>
      <c r="HTO517" s="1358"/>
      <c r="HTP517" s="1358"/>
      <c r="HTQ517" s="1358"/>
      <c r="HTR517" s="1358"/>
      <c r="HTS517" s="1358"/>
      <c r="HTT517" s="1358"/>
      <c r="HTU517" s="1358"/>
      <c r="HTV517" s="1358"/>
      <c r="HTW517" s="1358"/>
      <c r="HTX517" s="1358"/>
      <c r="HTY517" s="1358"/>
      <c r="HTZ517" s="1358"/>
      <c r="HUA517" s="1358"/>
      <c r="HUB517" s="1358"/>
      <c r="HUC517" s="1358"/>
      <c r="HUD517" s="1358"/>
      <c r="HUE517" s="1358"/>
      <c r="HUF517" s="1358"/>
      <c r="HUG517" s="1358"/>
      <c r="HUH517" s="1358"/>
      <c r="HUI517" s="1358"/>
      <c r="HUJ517" s="1358"/>
      <c r="HUK517" s="1358"/>
      <c r="HUL517" s="1358"/>
      <c r="HUM517" s="1358"/>
      <c r="HUN517" s="1358"/>
      <c r="HUO517" s="1358"/>
      <c r="HUP517" s="1358"/>
      <c r="HUQ517" s="1358"/>
      <c r="HUR517" s="1358"/>
      <c r="HUS517" s="1358"/>
      <c r="HUT517" s="1358"/>
      <c r="HUU517" s="1358"/>
      <c r="HUV517" s="1358"/>
      <c r="HUW517" s="1358"/>
      <c r="HUX517" s="1358"/>
      <c r="HUY517" s="1358"/>
      <c r="HUZ517" s="1358"/>
      <c r="HVA517" s="1358"/>
      <c r="HVB517" s="1358"/>
      <c r="HVC517" s="1358"/>
      <c r="HVD517" s="1358"/>
      <c r="HVE517" s="1358"/>
      <c r="HVF517" s="1358"/>
      <c r="HVG517" s="1358"/>
      <c r="HVH517" s="1358"/>
      <c r="HVI517" s="1358"/>
      <c r="HVJ517" s="1358"/>
      <c r="HVK517" s="1358"/>
      <c r="HVL517" s="1358"/>
      <c r="HVM517" s="1358"/>
      <c r="HVN517" s="1358"/>
      <c r="HVO517" s="1358"/>
      <c r="HVP517" s="1358"/>
      <c r="HVQ517" s="1358"/>
      <c r="HVR517" s="1358"/>
      <c r="HVS517" s="1358"/>
      <c r="HVT517" s="1358"/>
      <c r="HVU517" s="1358"/>
      <c r="HVV517" s="1358"/>
      <c r="HVW517" s="1358"/>
      <c r="HVX517" s="1358"/>
      <c r="HVY517" s="1358"/>
      <c r="HVZ517" s="1358"/>
      <c r="HWA517" s="1358"/>
      <c r="HWB517" s="1358"/>
      <c r="HWC517" s="1358"/>
      <c r="HWD517" s="1358"/>
      <c r="HWE517" s="1358"/>
      <c r="HWF517" s="1358"/>
      <c r="HWG517" s="1358"/>
      <c r="HWH517" s="1358"/>
      <c r="HWI517" s="1358"/>
      <c r="HWJ517" s="1358"/>
      <c r="HWK517" s="1358"/>
      <c r="HWL517" s="1358"/>
      <c r="HWM517" s="1358"/>
      <c r="HWN517" s="1358"/>
      <c r="HWO517" s="1358"/>
      <c r="HWP517" s="1358"/>
      <c r="HWQ517" s="1358"/>
      <c r="HWR517" s="1358"/>
      <c r="HWS517" s="1358"/>
      <c r="HWT517" s="1358"/>
      <c r="HWU517" s="1358"/>
      <c r="HWV517" s="1358"/>
      <c r="HWW517" s="1358"/>
      <c r="HWX517" s="1358"/>
      <c r="HWY517" s="1358"/>
      <c r="HWZ517" s="1358"/>
      <c r="HXA517" s="1358"/>
      <c r="HXB517" s="1358"/>
      <c r="HXC517" s="1358"/>
      <c r="HXD517" s="1358"/>
      <c r="HXE517" s="1358"/>
      <c r="HXF517" s="1358"/>
      <c r="HXG517" s="1358"/>
      <c r="HXH517" s="1358"/>
      <c r="HXI517" s="1358"/>
      <c r="HXJ517" s="1358"/>
      <c r="HXK517" s="1358"/>
      <c r="HXL517" s="1358"/>
      <c r="HXM517" s="1358"/>
      <c r="HXN517" s="1358"/>
      <c r="HXO517" s="1358"/>
      <c r="HXP517" s="1358"/>
      <c r="HXQ517" s="1358"/>
      <c r="HXR517" s="1358"/>
      <c r="HXS517" s="1358"/>
      <c r="HXT517" s="1358"/>
      <c r="HXU517" s="1358"/>
      <c r="HXV517" s="1358"/>
      <c r="HXW517" s="1358"/>
      <c r="HXX517" s="1358"/>
      <c r="HXY517" s="1358"/>
      <c r="HXZ517" s="1358"/>
      <c r="HYA517" s="1358"/>
      <c r="HYB517" s="1358"/>
      <c r="HYC517" s="1358"/>
      <c r="HYD517" s="1358"/>
      <c r="HYE517" s="1358"/>
      <c r="HYF517" s="1358"/>
      <c r="HYG517" s="1358"/>
      <c r="HYH517" s="1358"/>
      <c r="HYI517" s="1358"/>
      <c r="HYJ517" s="1358"/>
      <c r="HYK517" s="1358"/>
      <c r="HYL517" s="1358"/>
      <c r="HYM517" s="1358"/>
      <c r="HYN517" s="1358"/>
      <c r="HYO517" s="1358"/>
      <c r="HYP517" s="1358"/>
      <c r="HYQ517" s="1358"/>
      <c r="HYR517" s="1358"/>
      <c r="HYS517" s="1358"/>
      <c r="HYT517" s="1358"/>
      <c r="HYU517" s="1358"/>
      <c r="HYV517" s="1358"/>
      <c r="HYW517" s="1358"/>
      <c r="HYX517" s="1358"/>
      <c r="HYY517" s="1358"/>
      <c r="HYZ517" s="1358"/>
      <c r="HZA517" s="1358"/>
      <c r="HZB517" s="1358"/>
      <c r="HZC517" s="1358"/>
      <c r="HZD517" s="1358"/>
      <c r="HZE517" s="1358"/>
      <c r="HZF517" s="1358"/>
      <c r="HZG517" s="1358"/>
      <c r="HZH517" s="1358"/>
      <c r="HZI517" s="1358"/>
      <c r="HZJ517" s="1358"/>
      <c r="HZK517" s="1358"/>
      <c r="HZL517" s="1358"/>
      <c r="HZM517" s="1358"/>
      <c r="HZN517" s="1358"/>
      <c r="HZO517" s="1358"/>
      <c r="HZP517" s="1358"/>
      <c r="HZQ517" s="1358"/>
      <c r="HZR517" s="1358"/>
      <c r="HZS517" s="1358"/>
      <c r="HZT517" s="1358"/>
      <c r="HZU517" s="1358"/>
      <c r="HZV517" s="1358"/>
      <c r="HZW517" s="1358"/>
      <c r="HZX517" s="1358"/>
      <c r="HZY517" s="1358"/>
      <c r="HZZ517" s="1358"/>
      <c r="IAA517" s="1358"/>
      <c r="IAB517" s="1358"/>
      <c r="IAC517" s="1358"/>
      <c r="IAD517" s="1358"/>
      <c r="IAE517" s="1358"/>
      <c r="IAF517" s="1358"/>
      <c r="IAG517" s="1358"/>
      <c r="IAH517" s="1358"/>
      <c r="IAI517" s="1358"/>
      <c r="IAJ517" s="1358"/>
      <c r="IAK517" s="1358"/>
      <c r="IAL517" s="1358"/>
      <c r="IAM517" s="1358"/>
      <c r="IAN517" s="1358"/>
      <c r="IAO517" s="1358"/>
      <c r="IAP517" s="1358"/>
      <c r="IAQ517" s="1358"/>
      <c r="IAR517" s="1358"/>
      <c r="IAS517" s="1358"/>
      <c r="IAT517" s="1358"/>
      <c r="IAU517" s="1358"/>
      <c r="IAV517" s="1358"/>
      <c r="IAW517" s="1358"/>
      <c r="IAX517" s="1358"/>
      <c r="IAY517" s="1358"/>
      <c r="IAZ517" s="1358"/>
      <c r="IBA517" s="1358"/>
      <c r="IBB517" s="1358"/>
      <c r="IBC517" s="1358"/>
      <c r="IBD517" s="1358"/>
      <c r="IBE517" s="1358"/>
      <c r="IBF517" s="1358"/>
      <c r="IBG517" s="1358"/>
      <c r="IBH517" s="1358"/>
      <c r="IBI517" s="1358"/>
      <c r="IBJ517" s="1358"/>
      <c r="IBK517" s="1358"/>
      <c r="IBL517" s="1358"/>
      <c r="IBM517" s="1358"/>
      <c r="IBN517" s="1358"/>
      <c r="IBO517" s="1358"/>
      <c r="IBP517" s="1358"/>
      <c r="IBQ517" s="1358"/>
      <c r="IBR517" s="1358"/>
      <c r="IBS517" s="1358"/>
      <c r="IBT517" s="1358"/>
      <c r="IBU517" s="1358"/>
      <c r="IBV517" s="1358"/>
      <c r="IBW517" s="1358"/>
      <c r="IBX517" s="1358"/>
      <c r="IBY517" s="1358"/>
      <c r="IBZ517" s="1358"/>
      <c r="ICA517" s="1358"/>
      <c r="ICB517" s="1358"/>
      <c r="ICC517" s="1358"/>
      <c r="ICD517" s="1358"/>
      <c r="ICE517" s="1358"/>
      <c r="ICF517" s="1358"/>
      <c r="ICG517" s="1358"/>
      <c r="ICH517" s="1358"/>
      <c r="ICI517" s="1358"/>
      <c r="ICJ517" s="1358"/>
      <c r="ICK517" s="1358"/>
      <c r="ICL517" s="1358"/>
      <c r="ICM517" s="1358"/>
      <c r="ICN517" s="1358"/>
      <c r="ICO517" s="1358"/>
      <c r="ICP517" s="1358"/>
      <c r="ICQ517" s="1358"/>
      <c r="ICR517" s="1358"/>
      <c r="ICS517" s="1358"/>
      <c r="ICT517" s="1358"/>
      <c r="ICU517" s="1358"/>
      <c r="ICV517" s="1358"/>
      <c r="ICW517" s="1358"/>
      <c r="ICX517" s="1358"/>
      <c r="ICY517" s="1358"/>
      <c r="ICZ517" s="1358"/>
      <c r="IDA517" s="1358"/>
      <c r="IDB517" s="1358"/>
      <c r="IDC517" s="1358"/>
      <c r="IDD517" s="1358"/>
      <c r="IDE517" s="1358"/>
      <c r="IDF517" s="1358"/>
      <c r="IDG517" s="1358"/>
      <c r="IDH517" s="1358"/>
      <c r="IDI517" s="1358"/>
      <c r="IDJ517" s="1358"/>
      <c r="IDK517" s="1358"/>
      <c r="IDL517" s="1358"/>
      <c r="IDM517" s="1358"/>
      <c r="IDN517" s="1358"/>
      <c r="IDO517" s="1358"/>
      <c r="IDP517" s="1358"/>
      <c r="IDQ517" s="1358"/>
      <c r="IDR517" s="1358"/>
      <c r="IDS517" s="1358"/>
      <c r="IDT517" s="1358"/>
      <c r="IDU517" s="1358"/>
      <c r="IDV517" s="1358"/>
      <c r="IDW517" s="1358"/>
      <c r="IDX517" s="1358"/>
      <c r="IDY517" s="1358"/>
      <c r="IDZ517" s="1358"/>
      <c r="IEA517" s="1358"/>
      <c r="IEB517" s="1358"/>
      <c r="IEC517" s="1358"/>
      <c r="IED517" s="1358"/>
      <c r="IEE517" s="1358"/>
      <c r="IEF517" s="1358"/>
      <c r="IEG517" s="1358"/>
      <c r="IEH517" s="1358"/>
      <c r="IEI517" s="1358"/>
      <c r="IEJ517" s="1358"/>
      <c r="IEK517" s="1358"/>
      <c r="IEL517" s="1358"/>
      <c r="IEM517" s="1358"/>
      <c r="IEN517" s="1358"/>
      <c r="IEO517" s="1358"/>
      <c r="IEP517" s="1358"/>
      <c r="IEQ517" s="1358"/>
      <c r="IER517" s="1358"/>
      <c r="IES517" s="1358"/>
      <c r="IET517" s="1358"/>
      <c r="IEU517" s="1358"/>
      <c r="IEV517" s="1358"/>
      <c r="IEW517" s="1358"/>
      <c r="IEX517" s="1358"/>
      <c r="IEY517" s="1358"/>
      <c r="IEZ517" s="1358"/>
      <c r="IFA517" s="1358"/>
      <c r="IFB517" s="1358"/>
      <c r="IFC517" s="1358"/>
      <c r="IFD517" s="1358"/>
      <c r="IFE517" s="1358"/>
      <c r="IFF517" s="1358"/>
      <c r="IFG517" s="1358"/>
      <c r="IFH517" s="1358"/>
      <c r="IFI517" s="1358"/>
      <c r="IFJ517" s="1358"/>
      <c r="IFK517" s="1358"/>
      <c r="IFL517" s="1358"/>
      <c r="IFM517" s="1358"/>
      <c r="IFN517" s="1358"/>
      <c r="IFO517" s="1358"/>
      <c r="IFP517" s="1358"/>
      <c r="IFQ517" s="1358"/>
      <c r="IFR517" s="1358"/>
      <c r="IFS517" s="1358"/>
      <c r="IFT517" s="1358"/>
      <c r="IFU517" s="1358"/>
      <c r="IFV517" s="1358"/>
      <c r="IFW517" s="1358"/>
      <c r="IFX517" s="1358"/>
      <c r="IFY517" s="1358"/>
      <c r="IFZ517" s="1358"/>
      <c r="IGA517" s="1358"/>
      <c r="IGB517" s="1358"/>
      <c r="IGC517" s="1358"/>
      <c r="IGD517" s="1358"/>
      <c r="IGE517" s="1358"/>
      <c r="IGF517" s="1358"/>
      <c r="IGG517" s="1358"/>
      <c r="IGH517" s="1358"/>
      <c r="IGI517" s="1358"/>
      <c r="IGJ517" s="1358"/>
      <c r="IGK517" s="1358"/>
      <c r="IGL517" s="1358"/>
      <c r="IGM517" s="1358"/>
      <c r="IGN517" s="1358"/>
      <c r="IGO517" s="1358"/>
      <c r="IGP517" s="1358"/>
      <c r="IGQ517" s="1358"/>
      <c r="IGR517" s="1358"/>
      <c r="IGS517" s="1358"/>
      <c r="IGT517" s="1358"/>
      <c r="IGU517" s="1358"/>
      <c r="IGV517" s="1358"/>
      <c r="IGW517" s="1358"/>
      <c r="IGX517" s="1358"/>
      <c r="IGY517" s="1358"/>
      <c r="IGZ517" s="1358"/>
      <c r="IHA517" s="1358"/>
      <c r="IHB517" s="1358"/>
      <c r="IHC517" s="1358"/>
      <c r="IHD517" s="1358"/>
      <c r="IHE517" s="1358"/>
      <c r="IHF517" s="1358"/>
      <c r="IHG517" s="1358"/>
      <c r="IHH517" s="1358"/>
      <c r="IHI517" s="1358"/>
      <c r="IHJ517" s="1358"/>
      <c r="IHK517" s="1358"/>
      <c r="IHL517" s="1358"/>
      <c r="IHM517" s="1358"/>
      <c r="IHN517" s="1358"/>
      <c r="IHO517" s="1358"/>
      <c r="IHP517" s="1358"/>
      <c r="IHQ517" s="1358"/>
      <c r="IHR517" s="1358"/>
      <c r="IHS517" s="1358"/>
      <c r="IHT517" s="1358"/>
      <c r="IHU517" s="1358"/>
      <c r="IHV517" s="1358"/>
      <c r="IHW517" s="1358"/>
      <c r="IHX517" s="1358"/>
      <c r="IHY517" s="1358"/>
      <c r="IHZ517" s="1358"/>
      <c r="IIA517" s="1358"/>
      <c r="IIB517" s="1358"/>
      <c r="IIC517" s="1358"/>
      <c r="IID517" s="1358"/>
      <c r="IIE517" s="1358"/>
      <c r="IIF517" s="1358"/>
      <c r="IIG517" s="1358"/>
      <c r="IIH517" s="1358"/>
      <c r="III517" s="1358"/>
      <c r="IIJ517" s="1358"/>
      <c r="IIK517" s="1358"/>
      <c r="IIL517" s="1358"/>
      <c r="IIM517" s="1358"/>
      <c r="IIN517" s="1358"/>
      <c r="IIO517" s="1358"/>
      <c r="IIP517" s="1358"/>
      <c r="IIQ517" s="1358"/>
      <c r="IIR517" s="1358"/>
      <c r="IIS517" s="1358"/>
      <c r="IIT517" s="1358"/>
      <c r="IIU517" s="1358"/>
      <c r="IIV517" s="1358"/>
      <c r="IIW517" s="1358"/>
      <c r="IIX517" s="1358"/>
      <c r="IIY517" s="1358"/>
      <c r="IIZ517" s="1358"/>
      <c r="IJA517" s="1358"/>
      <c r="IJB517" s="1358"/>
      <c r="IJC517" s="1358"/>
      <c r="IJD517" s="1358"/>
      <c r="IJE517" s="1358"/>
      <c r="IJF517" s="1358"/>
      <c r="IJG517" s="1358"/>
      <c r="IJH517" s="1358"/>
      <c r="IJI517" s="1358"/>
      <c r="IJJ517" s="1358"/>
      <c r="IJK517" s="1358"/>
      <c r="IJL517" s="1358"/>
      <c r="IJM517" s="1358"/>
      <c r="IJN517" s="1358"/>
      <c r="IJO517" s="1358"/>
      <c r="IJP517" s="1358"/>
      <c r="IJQ517" s="1358"/>
      <c r="IJR517" s="1358"/>
      <c r="IJS517" s="1358"/>
      <c r="IJT517" s="1358"/>
      <c r="IJU517" s="1358"/>
      <c r="IJV517" s="1358"/>
      <c r="IJW517" s="1358"/>
      <c r="IJX517" s="1358"/>
      <c r="IJY517" s="1358"/>
      <c r="IJZ517" s="1358"/>
      <c r="IKA517" s="1358"/>
      <c r="IKB517" s="1358"/>
      <c r="IKC517" s="1358"/>
      <c r="IKD517" s="1358"/>
      <c r="IKE517" s="1358"/>
      <c r="IKF517" s="1358"/>
      <c r="IKG517" s="1358"/>
      <c r="IKH517" s="1358"/>
      <c r="IKI517" s="1358"/>
      <c r="IKJ517" s="1358"/>
      <c r="IKK517" s="1358"/>
      <c r="IKL517" s="1358"/>
      <c r="IKM517" s="1358"/>
      <c r="IKN517" s="1358"/>
      <c r="IKO517" s="1358"/>
      <c r="IKP517" s="1358"/>
      <c r="IKQ517" s="1358"/>
      <c r="IKR517" s="1358"/>
      <c r="IKS517" s="1358"/>
      <c r="IKT517" s="1358"/>
      <c r="IKU517" s="1358"/>
      <c r="IKV517" s="1358"/>
      <c r="IKW517" s="1358"/>
      <c r="IKX517" s="1358"/>
      <c r="IKY517" s="1358"/>
      <c r="IKZ517" s="1358"/>
      <c r="ILA517" s="1358"/>
      <c r="ILB517" s="1358"/>
      <c r="ILC517" s="1358"/>
      <c r="ILD517" s="1358"/>
      <c r="ILE517" s="1358"/>
      <c r="ILF517" s="1358"/>
      <c r="ILG517" s="1358"/>
      <c r="ILH517" s="1358"/>
      <c r="ILI517" s="1358"/>
      <c r="ILJ517" s="1358"/>
      <c r="ILK517" s="1358"/>
      <c r="ILL517" s="1358"/>
      <c r="ILM517" s="1358"/>
      <c r="ILN517" s="1358"/>
      <c r="ILO517" s="1358"/>
      <c r="ILP517" s="1358"/>
      <c r="ILQ517" s="1358"/>
      <c r="ILR517" s="1358"/>
      <c r="ILS517" s="1358"/>
      <c r="ILT517" s="1358"/>
      <c r="ILU517" s="1358"/>
      <c r="ILV517" s="1358"/>
      <c r="ILW517" s="1358"/>
      <c r="ILX517" s="1358"/>
      <c r="ILY517" s="1358"/>
      <c r="ILZ517" s="1358"/>
      <c r="IMA517" s="1358"/>
      <c r="IMB517" s="1358"/>
      <c r="IMC517" s="1358"/>
      <c r="IMD517" s="1358"/>
      <c r="IME517" s="1358"/>
      <c r="IMF517" s="1358"/>
      <c r="IMG517" s="1358"/>
      <c r="IMH517" s="1358"/>
      <c r="IMI517" s="1358"/>
      <c r="IMJ517" s="1358"/>
      <c r="IMK517" s="1358"/>
      <c r="IML517" s="1358"/>
      <c r="IMM517" s="1358"/>
      <c r="IMN517" s="1358"/>
      <c r="IMO517" s="1358"/>
      <c r="IMP517" s="1358"/>
      <c r="IMQ517" s="1358"/>
      <c r="IMR517" s="1358"/>
      <c r="IMS517" s="1358"/>
      <c r="IMT517" s="1358"/>
      <c r="IMU517" s="1358"/>
      <c r="IMV517" s="1358"/>
      <c r="IMW517" s="1358"/>
      <c r="IMX517" s="1358"/>
      <c r="IMY517" s="1358"/>
      <c r="IMZ517" s="1358"/>
      <c r="INA517" s="1358"/>
      <c r="INB517" s="1358"/>
      <c r="INC517" s="1358"/>
      <c r="IND517" s="1358"/>
      <c r="INE517" s="1358"/>
      <c r="INF517" s="1358"/>
      <c r="ING517" s="1358"/>
      <c r="INH517" s="1358"/>
      <c r="INI517" s="1358"/>
      <c r="INJ517" s="1358"/>
      <c r="INK517" s="1358"/>
      <c r="INL517" s="1358"/>
      <c r="INM517" s="1358"/>
      <c r="INN517" s="1358"/>
      <c r="INO517" s="1358"/>
      <c r="INP517" s="1358"/>
      <c r="INQ517" s="1358"/>
      <c r="INR517" s="1358"/>
      <c r="INS517" s="1358"/>
      <c r="INT517" s="1358"/>
      <c r="INU517" s="1358"/>
      <c r="INV517" s="1358"/>
      <c r="INW517" s="1358"/>
      <c r="INX517" s="1358"/>
      <c r="INY517" s="1358"/>
      <c r="INZ517" s="1358"/>
      <c r="IOA517" s="1358"/>
      <c r="IOB517" s="1358"/>
      <c r="IOC517" s="1358"/>
      <c r="IOD517" s="1358"/>
      <c r="IOE517" s="1358"/>
      <c r="IOF517" s="1358"/>
      <c r="IOG517" s="1358"/>
      <c r="IOH517" s="1358"/>
      <c r="IOI517" s="1358"/>
      <c r="IOJ517" s="1358"/>
      <c r="IOK517" s="1358"/>
      <c r="IOL517" s="1358"/>
      <c r="IOM517" s="1358"/>
      <c r="ION517" s="1358"/>
      <c r="IOO517" s="1358"/>
      <c r="IOP517" s="1358"/>
      <c r="IOQ517" s="1358"/>
      <c r="IOR517" s="1358"/>
      <c r="IOS517" s="1358"/>
      <c r="IOT517" s="1358"/>
      <c r="IOU517" s="1358"/>
      <c r="IOV517" s="1358"/>
      <c r="IOW517" s="1358"/>
      <c r="IOX517" s="1358"/>
      <c r="IOY517" s="1358"/>
      <c r="IOZ517" s="1358"/>
      <c r="IPA517" s="1358"/>
      <c r="IPB517" s="1358"/>
      <c r="IPC517" s="1358"/>
      <c r="IPD517" s="1358"/>
      <c r="IPE517" s="1358"/>
      <c r="IPF517" s="1358"/>
      <c r="IPG517" s="1358"/>
      <c r="IPH517" s="1358"/>
      <c r="IPI517" s="1358"/>
      <c r="IPJ517" s="1358"/>
      <c r="IPK517" s="1358"/>
      <c r="IPL517" s="1358"/>
      <c r="IPM517" s="1358"/>
      <c r="IPN517" s="1358"/>
      <c r="IPO517" s="1358"/>
      <c r="IPP517" s="1358"/>
      <c r="IPQ517" s="1358"/>
      <c r="IPR517" s="1358"/>
      <c r="IPS517" s="1358"/>
      <c r="IPT517" s="1358"/>
      <c r="IPU517" s="1358"/>
      <c r="IPV517" s="1358"/>
      <c r="IPW517" s="1358"/>
      <c r="IPX517" s="1358"/>
      <c r="IPY517" s="1358"/>
      <c r="IPZ517" s="1358"/>
      <c r="IQA517" s="1358"/>
      <c r="IQB517" s="1358"/>
      <c r="IQC517" s="1358"/>
      <c r="IQD517" s="1358"/>
      <c r="IQE517" s="1358"/>
      <c r="IQF517" s="1358"/>
      <c r="IQG517" s="1358"/>
      <c r="IQH517" s="1358"/>
      <c r="IQI517" s="1358"/>
      <c r="IQJ517" s="1358"/>
      <c r="IQK517" s="1358"/>
      <c r="IQL517" s="1358"/>
      <c r="IQM517" s="1358"/>
      <c r="IQN517" s="1358"/>
      <c r="IQO517" s="1358"/>
      <c r="IQP517" s="1358"/>
      <c r="IQQ517" s="1358"/>
      <c r="IQR517" s="1358"/>
      <c r="IQS517" s="1358"/>
      <c r="IQT517" s="1358"/>
      <c r="IQU517" s="1358"/>
      <c r="IQV517" s="1358"/>
      <c r="IQW517" s="1358"/>
      <c r="IQX517" s="1358"/>
      <c r="IQY517" s="1358"/>
      <c r="IQZ517" s="1358"/>
      <c r="IRA517" s="1358"/>
      <c r="IRB517" s="1358"/>
      <c r="IRC517" s="1358"/>
      <c r="IRD517" s="1358"/>
      <c r="IRE517" s="1358"/>
      <c r="IRF517" s="1358"/>
      <c r="IRG517" s="1358"/>
      <c r="IRH517" s="1358"/>
      <c r="IRI517" s="1358"/>
      <c r="IRJ517" s="1358"/>
      <c r="IRK517" s="1358"/>
      <c r="IRL517" s="1358"/>
      <c r="IRM517" s="1358"/>
      <c r="IRN517" s="1358"/>
      <c r="IRO517" s="1358"/>
      <c r="IRP517" s="1358"/>
      <c r="IRQ517" s="1358"/>
      <c r="IRR517" s="1358"/>
      <c r="IRS517" s="1358"/>
      <c r="IRT517" s="1358"/>
      <c r="IRU517" s="1358"/>
      <c r="IRV517" s="1358"/>
      <c r="IRW517" s="1358"/>
      <c r="IRX517" s="1358"/>
      <c r="IRY517" s="1358"/>
      <c r="IRZ517" s="1358"/>
      <c r="ISA517" s="1358"/>
      <c r="ISB517" s="1358"/>
      <c r="ISC517" s="1358"/>
      <c r="ISD517" s="1358"/>
      <c r="ISE517" s="1358"/>
      <c r="ISF517" s="1358"/>
      <c r="ISG517" s="1358"/>
      <c r="ISH517" s="1358"/>
      <c r="ISI517" s="1358"/>
      <c r="ISJ517" s="1358"/>
      <c r="ISK517" s="1358"/>
      <c r="ISL517" s="1358"/>
      <c r="ISM517" s="1358"/>
      <c r="ISN517" s="1358"/>
      <c r="ISO517" s="1358"/>
      <c r="ISP517" s="1358"/>
      <c r="ISQ517" s="1358"/>
      <c r="ISR517" s="1358"/>
      <c r="ISS517" s="1358"/>
      <c r="IST517" s="1358"/>
      <c r="ISU517" s="1358"/>
      <c r="ISV517" s="1358"/>
      <c r="ISW517" s="1358"/>
      <c r="ISX517" s="1358"/>
      <c r="ISY517" s="1358"/>
      <c r="ISZ517" s="1358"/>
      <c r="ITA517" s="1358"/>
      <c r="ITB517" s="1358"/>
      <c r="ITC517" s="1358"/>
      <c r="ITD517" s="1358"/>
      <c r="ITE517" s="1358"/>
      <c r="ITF517" s="1358"/>
      <c r="ITG517" s="1358"/>
      <c r="ITH517" s="1358"/>
      <c r="ITI517" s="1358"/>
      <c r="ITJ517" s="1358"/>
      <c r="ITK517" s="1358"/>
      <c r="ITL517" s="1358"/>
      <c r="ITM517" s="1358"/>
      <c r="ITN517" s="1358"/>
      <c r="ITO517" s="1358"/>
      <c r="ITP517" s="1358"/>
      <c r="ITQ517" s="1358"/>
      <c r="ITR517" s="1358"/>
      <c r="ITS517" s="1358"/>
      <c r="ITT517" s="1358"/>
      <c r="ITU517" s="1358"/>
      <c r="ITV517" s="1358"/>
      <c r="ITW517" s="1358"/>
      <c r="ITX517" s="1358"/>
      <c r="ITY517" s="1358"/>
      <c r="ITZ517" s="1358"/>
      <c r="IUA517" s="1358"/>
      <c r="IUB517" s="1358"/>
      <c r="IUC517" s="1358"/>
      <c r="IUD517" s="1358"/>
      <c r="IUE517" s="1358"/>
      <c r="IUF517" s="1358"/>
      <c r="IUG517" s="1358"/>
      <c r="IUH517" s="1358"/>
      <c r="IUI517" s="1358"/>
      <c r="IUJ517" s="1358"/>
      <c r="IUK517" s="1358"/>
      <c r="IUL517" s="1358"/>
      <c r="IUM517" s="1358"/>
      <c r="IUN517" s="1358"/>
      <c r="IUO517" s="1358"/>
      <c r="IUP517" s="1358"/>
      <c r="IUQ517" s="1358"/>
      <c r="IUR517" s="1358"/>
      <c r="IUS517" s="1358"/>
      <c r="IUT517" s="1358"/>
      <c r="IUU517" s="1358"/>
      <c r="IUV517" s="1358"/>
      <c r="IUW517" s="1358"/>
      <c r="IUX517" s="1358"/>
      <c r="IUY517" s="1358"/>
      <c r="IUZ517" s="1358"/>
      <c r="IVA517" s="1358"/>
      <c r="IVB517" s="1358"/>
      <c r="IVC517" s="1358"/>
      <c r="IVD517" s="1358"/>
      <c r="IVE517" s="1358"/>
      <c r="IVF517" s="1358"/>
      <c r="IVG517" s="1358"/>
      <c r="IVH517" s="1358"/>
      <c r="IVI517" s="1358"/>
      <c r="IVJ517" s="1358"/>
      <c r="IVK517" s="1358"/>
      <c r="IVL517" s="1358"/>
      <c r="IVM517" s="1358"/>
      <c r="IVN517" s="1358"/>
      <c r="IVO517" s="1358"/>
      <c r="IVP517" s="1358"/>
      <c r="IVQ517" s="1358"/>
      <c r="IVR517" s="1358"/>
      <c r="IVS517" s="1358"/>
      <c r="IVT517" s="1358"/>
      <c r="IVU517" s="1358"/>
      <c r="IVV517" s="1358"/>
      <c r="IVW517" s="1358"/>
      <c r="IVX517" s="1358"/>
      <c r="IVY517" s="1358"/>
      <c r="IVZ517" s="1358"/>
      <c r="IWA517" s="1358"/>
      <c r="IWB517" s="1358"/>
      <c r="IWC517" s="1358"/>
      <c r="IWD517" s="1358"/>
      <c r="IWE517" s="1358"/>
      <c r="IWF517" s="1358"/>
      <c r="IWG517" s="1358"/>
      <c r="IWH517" s="1358"/>
      <c r="IWI517" s="1358"/>
      <c r="IWJ517" s="1358"/>
      <c r="IWK517" s="1358"/>
      <c r="IWL517" s="1358"/>
      <c r="IWM517" s="1358"/>
      <c r="IWN517" s="1358"/>
      <c r="IWO517" s="1358"/>
      <c r="IWP517" s="1358"/>
      <c r="IWQ517" s="1358"/>
      <c r="IWR517" s="1358"/>
      <c r="IWS517" s="1358"/>
      <c r="IWT517" s="1358"/>
      <c r="IWU517" s="1358"/>
      <c r="IWV517" s="1358"/>
      <c r="IWW517" s="1358"/>
      <c r="IWX517" s="1358"/>
      <c r="IWY517" s="1358"/>
      <c r="IWZ517" s="1358"/>
      <c r="IXA517" s="1358"/>
      <c r="IXB517" s="1358"/>
      <c r="IXC517" s="1358"/>
      <c r="IXD517" s="1358"/>
      <c r="IXE517" s="1358"/>
      <c r="IXF517" s="1358"/>
      <c r="IXG517" s="1358"/>
      <c r="IXH517" s="1358"/>
      <c r="IXI517" s="1358"/>
      <c r="IXJ517" s="1358"/>
      <c r="IXK517" s="1358"/>
      <c r="IXL517" s="1358"/>
      <c r="IXM517" s="1358"/>
      <c r="IXN517" s="1358"/>
      <c r="IXO517" s="1358"/>
      <c r="IXP517" s="1358"/>
      <c r="IXQ517" s="1358"/>
      <c r="IXR517" s="1358"/>
      <c r="IXS517" s="1358"/>
      <c r="IXT517" s="1358"/>
      <c r="IXU517" s="1358"/>
      <c r="IXV517" s="1358"/>
      <c r="IXW517" s="1358"/>
      <c r="IXX517" s="1358"/>
      <c r="IXY517" s="1358"/>
      <c r="IXZ517" s="1358"/>
      <c r="IYA517" s="1358"/>
      <c r="IYB517" s="1358"/>
      <c r="IYC517" s="1358"/>
      <c r="IYD517" s="1358"/>
      <c r="IYE517" s="1358"/>
      <c r="IYF517" s="1358"/>
      <c r="IYG517" s="1358"/>
      <c r="IYH517" s="1358"/>
      <c r="IYI517" s="1358"/>
      <c r="IYJ517" s="1358"/>
      <c r="IYK517" s="1358"/>
      <c r="IYL517" s="1358"/>
      <c r="IYM517" s="1358"/>
      <c r="IYN517" s="1358"/>
      <c r="IYO517" s="1358"/>
      <c r="IYP517" s="1358"/>
      <c r="IYQ517" s="1358"/>
      <c r="IYR517" s="1358"/>
      <c r="IYS517" s="1358"/>
      <c r="IYT517" s="1358"/>
      <c r="IYU517" s="1358"/>
      <c r="IYV517" s="1358"/>
      <c r="IYW517" s="1358"/>
      <c r="IYX517" s="1358"/>
      <c r="IYY517" s="1358"/>
      <c r="IYZ517" s="1358"/>
      <c r="IZA517" s="1358"/>
      <c r="IZB517" s="1358"/>
      <c r="IZC517" s="1358"/>
      <c r="IZD517" s="1358"/>
      <c r="IZE517" s="1358"/>
      <c r="IZF517" s="1358"/>
      <c r="IZG517" s="1358"/>
      <c r="IZH517" s="1358"/>
      <c r="IZI517" s="1358"/>
      <c r="IZJ517" s="1358"/>
      <c r="IZK517" s="1358"/>
      <c r="IZL517" s="1358"/>
      <c r="IZM517" s="1358"/>
      <c r="IZN517" s="1358"/>
      <c r="IZO517" s="1358"/>
      <c r="IZP517" s="1358"/>
      <c r="IZQ517" s="1358"/>
      <c r="IZR517" s="1358"/>
      <c r="IZS517" s="1358"/>
      <c r="IZT517" s="1358"/>
      <c r="IZU517" s="1358"/>
      <c r="IZV517" s="1358"/>
      <c r="IZW517" s="1358"/>
      <c r="IZX517" s="1358"/>
      <c r="IZY517" s="1358"/>
      <c r="IZZ517" s="1358"/>
      <c r="JAA517" s="1358"/>
      <c r="JAB517" s="1358"/>
      <c r="JAC517" s="1358"/>
      <c r="JAD517" s="1358"/>
      <c r="JAE517" s="1358"/>
      <c r="JAF517" s="1358"/>
      <c r="JAG517" s="1358"/>
      <c r="JAH517" s="1358"/>
      <c r="JAI517" s="1358"/>
      <c r="JAJ517" s="1358"/>
      <c r="JAK517" s="1358"/>
      <c r="JAL517" s="1358"/>
      <c r="JAM517" s="1358"/>
      <c r="JAN517" s="1358"/>
      <c r="JAO517" s="1358"/>
      <c r="JAP517" s="1358"/>
      <c r="JAQ517" s="1358"/>
      <c r="JAR517" s="1358"/>
      <c r="JAS517" s="1358"/>
      <c r="JAT517" s="1358"/>
      <c r="JAU517" s="1358"/>
      <c r="JAV517" s="1358"/>
      <c r="JAW517" s="1358"/>
      <c r="JAX517" s="1358"/>
      <c r="JAY517" s="1358"/>
      <c r="JAZ517" s="1358"/>
      <c r="JBA517" s="1358"/>
      <c r="JBB517" s="1358"/>
      <c r="JBC517" s="1358"/>
      <c r="JBD517" s="1358"/>
      <c r="JBE517" s="1358"/>
      <c r="JBF517" s="1358"/>
      <c r="JBG517" s="1358"/>
      <c r="JBH517" s="1358"/>
      <c r="JBI517" s="1358"/>
      <c r="JBJ517" s="1358"/>
      <c r="JBK517" s="1358"/>
      <c r="JBL517" s="1358"/>
      <c r="JBM517" s="1358"/>
      <c r="JBN517" s="1358"/>
      <c r="JBO517" s="1358"/>
      <c r="JBP517" s="1358"/>
      <c r="JBQ517" s="1358"/>
      <c r="JBR517" s="1358"/>
      <c r="JBS517" s="1358"/>
      <c r="JBT517" s="1358"/>
      <c r="JBU517" s="1358"/>
      <c r="JBV517" s="1358"/>
      <c r="JBW517" s="1358"/>
      <c r="JBX517" s="1358"/>
      <c r="JBY517" s="1358"/>
      <c r="JBZ517" s="1358"/>
      <c r="JCA517" s="1358"/>
      <c r="JCB517" s="1358"/>
      <c r="JCC517" s="1358"/>
      <c r="JCD517" s="1358"/>
      <c r="JCE517" s="1358"/>
      <c r="JCF517" s="1358"/>
      <c r="JCG517" s="1358"/>
      <c r="JCH517" s="1358"/>
      <c r="JCI517" s="1358"/>
      <c r="JCJ517" s="1358"/>
      <c r="JCK517" s="1358"/>
      <c r="JCL517" s="1358"/>
      <c r="JCM517" s="1358"/>
      <c r="JCN517" s="1358"/>
      <c r="JCO517" s="1358"/>
      <c r="JCP517" s="1358"/>
      <c r="JCQ517" s="1358"/>
      <c r="JCR517" s="1358"/>
      <c r="JCS517" s="1358"/>
      <c r="JCT517" s="1358"/>
      <c r="JCU517" s="1358"/>
      <c r="JCV517" s="1358"/>
      <c r="JCW517" s="1358"/>
      <c r="JCX517" s="1358"/>
      <c r="JCY517" s="1358"/>
      <c r="JCZ517" s="1358"/>
      <c r="JDA517" s="1358"/>
      <c r="JDB517" s="1358"/>
      <c r="JDC517" s="1358"/>
      <c r="JDD517" s="1358"/>
      <c r="JDE517" s="1358"/>
      <c r="JDF517" s="1358"/>
      <c r="JDG517" s="1358"/>
      <c r="JDH517" s="1358"/>
      <c r="JDI517" s="1358"/>
      <c r="JDJ517" s="1358"/>
      <c r="JDK517" s="1358"/>
      <c r="JDL517" s="1358"/>
      <c r="JDM517" s="1358"/>
      <c r="JDN517" s="1358"/>
      <c r="JDO517" s="1358"/>
      <c r="JDP517" s="1358"/>
      <c r="JDQ517" s="1358"/>
      <c r="JDR517" s="1358"/>
      <c r="JDS517" s="1358"/>
      <c r="JDT517" s="1358"/>
      <c r="JDU517" s="1358"/>
      <c r="JDV517" s="1358"/>
      <c r="JDW517" s="1358"/>
      <c r="JDX517" s="1358"/>
      <c r="JDY517" s="1358"/>
      <c r="JDZ517" s="1358"/>
      <c r="JEA517" s="1358"/>
      <c r="JEB517" s="1358"/>
      <c r="JEC517" s="1358"/>
      <c r="JED517" s="1358"/>
      <c r="JEE517" s="1358"/>
      <c r="JEF517" s="1358"/>
      <c r="JEG517" s="1358"/>
      <c r="JEH517" s="1358"/>
      <c r="JEI517" s="1358"/>
      <c r="JEJ517" s="1358"/>
      <c r="JEK517" s="1358"/>
      <c r="JEL517" s="1358"/>
      <c r="JEM517" s="1358"/>
      <c r="JEN517" s="1358"/>
      <c r="JEO517" s="1358"/>
      <c r="JEP517" s="1358"/>
      <c r="JEQ517" s="1358"/>
      <c r="JER517" s="1358"/>
      <c r="JES517" s="1358"/>
      <c r="JET517" s="1358"/>
      <c r="JEU517" s="1358"/>
      <c r="JEV517" s="1358"/>
      <c r="JEW517" s="1358"/>
      <c r="JEX517" s="1358"/>
      <c r="JEY517" s="1358"/>
      <c r="JEZ517" s="1358"/>
      <c r="JFA517" s="1358"/>
      <c r="JFB517" s="1358"/>
      <c r="JFC517" s="1358"/>
      <c r="JFD517" s="1358"/>
      <c r="JFE517" s="1358"/>
      <c r="JFF517" s="1358"/>
      <c r="JFG517" s="1358"/>
      <c r="JFH517" s="1358"/>
      <c r="JFI517" s="1358"/>
      <c r="JFJ517" s="1358"/>
      <c r="JFK517" s="1358"/>
      <c r="JFL517" s="1358"/>
      <c r="JFM517" s="1358"/>
      <c r="JFN517" s="1358"/>
      <c r="JFO517" s="1358"/>
      <c r="JFP517" s="1358"/>
      <c r="JFQ517" s="1358"/>
      <c r="JFR517" s="1358"/>
      <c r="JFS517" s="1358"/>
      <c r="JFT517" s="1358"/>
      <c r="JFU517" s="1358"/>
      <c r="JFV517" s="1358"/>
      <c r="JFW517" s="1358"/>
      <c r="JFX517" s="1358"/>
      <c r="JFY517" s="1358"/>
      <c r="JFZ517" s="1358"/>
      <c r="JGA517" s="1358"/>
      <c r="JGB517" s="1358"/>
      <c r="JGC517" s="1358"/>
      <c r="JGD517" s="1358"/>
      <c r="JGE517" s="1358"/>
      <c r="JGF517" s="1358"/>
      <c r="JGG517" s="1358"/>
      <c r="JGH517" s="1358"/>
      <c r="JGI517" s="1358"/>
      <c r="JGJ517" s="1358"/>
      <c r="JGK517" s="1358"/>
      <c r="JGL517" s="1358"/>
      <c r="JGM517" s="1358"/>
      <c r="JGN517" s="1358"/>
      <c r="JGO517" s="1358"/>
      <c r="JGP517" s="1358"/>
      <c r="JGQ517" s="1358"/>
      <c r="JGR517" s="1358"/>
      <c r="JGS517" s="1358"/>
      <c r="JGT517" s="1358"/>
      <c r="JGU517" s="1358"/>
      <c r="JGV517" s="1358"/>
      <c r="JGW517" s="1358"/>
      <c r="JGX517" s="1358"/>
      <c r="JGY517" s="1358"/>
      <c r="JGZ517" s="1358"/>
      <c r="JHA517" s="1358"/>
      <c r="JHB517" s="1358"/>
      <c r="JHC517" s="1358"/>
      <c r="JHD517" s="1358"/>
      <c r="JHE517" s="1358"/>
      <c r="JHF517" s="1358"/>
      <c r="JHG517" s="1358"/>
      <c r="JHH517" s="1358"/>
      <c r="JHI517" s="1358"/>
      <c r="JHJ517" s="1358"/>
      <c r="JHK517" s="1358"/>
      <c r="JHL517" s="1358"/>
      <c r="JHM517" s="1358"/>
      <c r="JHN517" s="1358"/>
      <c r="JHO517" s="1358"/>
      <c r="JHP517" s="1358"/>
      <c r="JHQ517" s="1358"/>
      <c r="JHR517" s="1358"/>
      <c r="JHS517" s="1358"/>
      <c r="JHT517" s="1358"/>
      <c r="JHU517" s="1358"/>
      <c r="JHV517" s="1358"/>
      <c r="JHW517" s="1358"/>
      <c r="JHX517" s="1358"/>
      <c r="JHY517" s="1358"/>
      <c r="JHZ517" s="1358"/>
      <c r="JIA517" s="1358"/>
      <c r="JIB517" s="1358"/>
      <c r="JIC517" s="1358"/>
      <c r="JID517" s="1358"/>
      <c r="JIE517" s="1358"/>
      <c r="JIF517" s="1358"/>
      <c r="JIG517" s="1358"/>
      <c r="JIH517" s="1358"/>
      <c r="JII517" s="1358"/>
      <c r="JIJ517" s="1358"/>
      <c r="JIK517" s="1358"/>
      <c r="JIL517" s="1358"/>
      <c r="JIM517" s="1358"/>
      <c r="JIN517" s="1358"/>
      <c r="JIO517" s="1358"/>
      <c r="JIP517" s="1358"/>
      <c r="JIQ517" s="1358"/>
      <c r="JIR517" s="1358"/>
      <c r="JIS517" s="1358"/>
      <c r="JIT517" s="1358"/>
      <c r="JIU517" s="1358"/>
      <c r="JIV517" s="1358"/>
      <c r="JIW517" s="1358"/>
      <c r="JIX517" s="1358"/>
      <c r="JIY517" s="1358"/>
      <c r="JIZ517" s="1358"/>
      <c r="JJA517" s="1358"/>
      <c r="JJB517" s="1358"/>
      <c r="JJC517" s="1358"/>
      <c r="JJD517" s="1358"/>
      <c r="JJE517" s="1358"/>
      <c r="JJF517" s="1358"/>
      <c r="JJG517" s="1358"/>
      <c r="JJH517" s="1358"/>
      <c r="JJI517" s="1358"/>
      <c r="JJJ517" s="1358"/>
      <c r="JJK517" s="1358"/>
      <c r="JJL517" s="1358"/>
      <c r="JJM517" s="1358"/>
      <c r="JJN517" s="1358"/>
      <c r="JJO517" s="1358"/>
      <c r="JJP517" s="1358"/>
      <c r="JJQ517" s="1358"/>
      <c r="JJR517" s="1358"/>
      <c r="JJS517" s="1358"/>
      <c r="JJT517" s="1358"/>
      <c r="JJU517" s="1358"/>
      <c r="JJV517" s="1358"/>
      <c r="JJW517" s="1358"/>
      <c r="JJX517" s="1358"/>
      <c r="JJY517" s="1358"/>
      <c r="JJZ517" s="1358"/>
      <c r="JKA517" s="1358"/>
      <c r="JKB517" s="1358"/>
      <c r="JKC517" s="1358"/>
      <c r="JKD517" s="1358"/>
      <c r="JKE517" s="1358"/>
      <c r="JKF517" s="1358"/>
      <c r="JKG517" s="1358"/>
      <c r="JKH517" s="1358"/>
      <c r="JKI517" s="1358"/>
      <c r="JKJ517" s="1358"/>
      <c r="JKK517" s="1358"/>
      <c r="JKL517" s="1358"/>
      <c r="JKM517" s="1358"/>
      <c r="JKN517" s="1358"/>
      <c r="JKO517" s="1358"/>
      <c r="JKP517" s="1358"/>
      <c r="JKQ517" s="1358"/>
      <c r="JKR517" s="1358"/>
      <c r="JKS517" s="1358"/>
      <c r="JKT517" s="1358"/>
      <c r="JKU517" s="1358"/>
      <c r="JKV517" s="1358"/>
      <c r="JKW517" s="1358"/>
      <c r="JKX517" s="1358"/>
      <c r="JKY517" s="1358"/>
      <c r="JKZ517" s="1358"/>
      <c r="JLA517" s="1358"/>
      <c r="JLB517" s="1358"/>
      <c r="JLC517" s="1358"/>
      <c r="JLD517" s="1358"/>
      <c r="JLE517" s="1358"/>
      <c r="JLF517" s="1358"/>
      <c r="JLG517" s="1358"/>
      <c r="JLH517" s="1358"/>
      <c r="JLI517" s="1358"/>
      <c r="JLJ517" s="1358"/>
      <c r="JLK517" s="1358"/>
      <c r="JLL517" s="1358"/>
      <c r="JLM517" s="1358"/>
      <c r="JLN517" s="1358"/>
      <c r="JLO517" s="1358"/>
      <c r="JLP517" s="1358"/>
      <c r="JLQ517" s="1358"/>
      <c r="JLR517" s="1358"/>
      <c r="JLS517" s="1358"/>
      <c r="JLT517" s="1358"/>
      <c r="JLU517" s="1358"/>
      <c r="JLV517" s="1358"/>
      <c r="JLW517" s="1358"/>
      <c r="JLX517" s="1358"/>
      <c r="JLY517" s="1358"/>
      <c r="JLZ517" s="1358"/>
      <c r="JMA517" s="1358"/>
      <c r="JMB517" s="1358"/>
      <c r="JMC517" s="1358"/>
      <c r="JMD517" s="1358"/>
      <c r="JME517" s="1358"/>
      <c r="JMF517" s="1358"/>
      <c r="JMG517" s="1358"/>
      <c r="JMH517" s="1358"/>
      <c r="JMI517" s="1358"/>
      <c r="JMJ517" s="1358"/>
      <c r="JMK517" s="1358"/>
      <c r="JML517" s="1358"/>
      <c r="JMM517" s="1358"/>
      <c r="JMN517" s="1358"/>
      <c r="JMO517" s="1358"/>
      <c r="JMP517" s="1358"/>
      <c r="JMQ517" s="1358"/>
      <c r="JMR517" s="1358"/>
      <c r="JMS517" s="1358"/>
      <c r="JMT517" s="1358"/>
      <c r="JMU517" s="1358"/>
      <c r="JMV517" s="1358"/>
      <c r="JMW517" s="1358"/>
      <c r="JMX517" s="1358"/>
      <c r="JMY517" s="1358"/>
      <c r="JMZ517" s="1358"/>
      <c r="JNA517" s="1358"/>
      <c r="JNB517" s="1358"/>
      <c r="JNC517" s="1358"/>
      <c r="JND517" s="1358"/>
      <c r="JNE517" s="1358"/>
      <c r="JNF517" s="1358"/>
      <c r="JNG517" s="1358"/>
      <c r="JNH517" s="1358"/>
      <c r="JNI517" s="1358"/>
      <c r="JNJ517" s="1358"/>
      <c r="JNK517" s="1358"/>
      <c r="JNL517" s="1358"/>
      <c r="JNM517" s="1358"/>
      <c r="JNN517" s="1358"/>
      <c r="JNO517" s="1358"/>
      <c r="JNP517" s="1358"/>
      <c r="JNQ517" s="1358"/>
      <c r="JNR517" s="1358"/>
      <c r="JNS517" s="1358"/>
      <c r="JNT517" s="1358"/>
      <c r="JNU517" s="1358"/>
      <c r="JNV517" s="1358"/>
      <c r="JNW517" s="1358"/>
      <c r="JNX517" s="1358"/>
      <c r="JNY517" s="1358"/>
      <c r="JNZ517" s="1358"/>
      <c r="JOA517" s="1358"/>
      <c r="JOB517" s="1358"/>
      <c r="JOC517" s="1358"/>
      <c r="JOD517" s="1358"/>
      <c r="JOE517" s="1358"/>
      <c r="JOF517" s="1358"/>
      <c r="JOG517" s="1358"/>
      <c r="JOH517" s="1358"/>
      <c r="JOI517" s="1358"/>
      <c r="JOJ517" s="1358"/>
      <c r="JOK517" s="1358"/>
      <c r="JOL517" s="1358"/>
      <c r="JOM517" s="1358"/>
      <c r="JON517" s="1358"/>
      <c r="JOO517" s="1358"/>
      <c r="JOP517" s="1358"/>
      <c r="JOQ517" s="1358"/>
      <c r="JOR517" s="1358"/>
      <c r="JOS517" s="1358"/>
      <c r="JOT517" s="1358"/>
      <c r="JOU517" s="1358"/>
      <c r="JOV517" s="1358"/>
      <c r="JOW517" s="1358"/>
      <c r="JOX517" s="1358"/>
      <c r="JOY517" s="1358"/>
      <c r="JOZ517" s="1358"/>
      <c r="JPA517" s="1358"/>
      <c r="JPB517" s="1358"/>
      <c r="JPC517" s="1358"/>
      <c r="JPD517" s="1358"/>
      <c r="JPE517" s="1358"/>
      <c r="JPF517" s="1358"/>
      <c r="JPG517" s="1358"/>
      <c r="JPH517" s="1358"/>
      <c r="JPI517" s="1358"/>
      <c r="JPJ517" s="1358"/>
      <c r="JPK517" s="1358"/>
      <c r="JPL517" s="1358"/>
      <c r="JPM517" s="1358"/>
      <c r="JPN517" s="1358"/>
      <c r="JPO517" s="1358"/>
      <c r="JPP517" s="1358"/>
      <c r="JPQ517" s="1358"/>
      <c r="JPR517" s="1358"/>
      <c r="JPS517" s="1358"/>
      <c r="JPT517" s="1358"/>
      <c r="JPU517" s="1358"/>
      <c r="JPV517" s="1358"/>
      <c r="JPW517" s="1358"/>
      <c r="JPX517" s="1358"/>
      <c r="JPY517" s="1358"/>
      <c r="JPZ517" s="1358"/>
      <c r="JQA517" s="1358"/>
      <c r="JQB517" s="1358"/>
      <c r="JQC517" s="1358"/>
      <c r="JQD517" s="1358"/>
      <c r="JQE517" s="1358"/>
      <c r="JQF517" s="1358"/>
      <c r="JQG517" s="1358"/>
      <c r="JQH517" s="1358"/>
      <c r="JQI517" s="1358"/>
      <c r="JQJ517" s="1358"/>
      <c r="JQK517" s="1358"/>
      <c r="JQL517" s="1358"/>
      <c r="JQM517" s="1358"/>
      <c r="JQN517" s="1358"/>
      <c r="JQO517" s="1358"/>
      <c r="JQP517" s="1358"/>
      <c r="JQQ517" s="1358"/>
      <c r="JQR517" s="1358"/>
      <c r="JQS517" s="1358"/>
      <c r="JQT517" s="1358"/>
      <c r="JQU517" s="1358"/>
      <c r="JQV517" s="1358"/>
      <c r="JQW517" s="1358"/>
      <c r="JQX517" s="1358"/>
      <c r="JQY517" s="1358"/>
      <c r="JQZ517" s="1358"/>
      <c r="JRA517" s="1358"/>
      <c r="JRB517" s="1358"/>
      <c r="JRC517" s="1358"/>
      <c r="JRD517" s="1358"/>
      <c r="JRE517" s="1358"/>
      <c r="JRF517" s="1358"/>
      <c r="JRG517" s="1358"/>
      <c r="JRH517" s="1358"/>
      <c r="JRI517" s="1358"/>
      <c r="JRJ517" s="1358"/>
      <c r="JRK517" s="1358"/>
      <c r="JRL517" s="1358"/>
      <c r="JRM517" s="1358"/>
      <c r="JRN517" s="1358"/>
      <c r="JRO517" s="1358"/>
      <c r="JRP517" s="1358"/>
      <c r="JRQ517" s="1358"/>
      <c r="JRR517" s="1358"/>
      <c r="JRS517" s="1358"/>
      <c r="JRT517" s="1358"/>
      <c r="JRU517" s="1358"/>
      <c r="JRV517" s="1358"/>
      <c r="JRW517" s="1358"/>
      <c r="JRX517" s="1358"/>
      <c r="JRY517" s="1358"/>
      <c r="JRZ517" s="1358"/>
      <c r="JSA517" s="1358"/>
      <c r="JSB517" s="1358"/>
      <c r="JSC517" s="1358"/>
      <c r="JSD517" s="1358"/>
      <c r="JSE517" s="1358"/>
      <c r="JSF517" s="1358"/>
      <c r="JSG517" s="1358"/>
      <c r="JSH517" s="1358"/>
      <c r="JSI517" s="1358"/>
      <c r="JSJ517" s="1358"/>
      <c r="JSK517" s="1358"/>
      <c r="JSL517" s="1358"/>
      <c r="JSM517" s="1358"/>
      <c r="JSN517" s="1358"/>
      <c r="JSO517" s="1358"/>
      <c r="JSP517" s="1358"/>
      <c r="JSQ517" s="1358"/>
      <c r="JSR517" s="1358"/>
      <c r="JSS517" s="1358"/>
      <c r="JST517" s="1358"/>
      <c r="JSU517" s="1358"/>
      <c r="JSV517" s="1358"/>
      <c r="JSW517" s="1358"/>
      <c r="JSX517" s="1358"/>
      <c r="JSY517" s="1358"/>
      <c r="JSZ517" s="1358"/>
      <c r="JTA517" s="1358"/>
      <c r="JTB517" s="1358"/>
      <c r="JTC517" s="1358"/>
      <c r="JTD517" s="1358"/>
      <c r="JTE517" s="1358"/>
      <c r="JTF517" s="1358"/>
      <c r="JTG517" s="1358"/>
      <c r="JTH517" s="1358"/>
      <c r="JTI517" s="1358"/>
      <c r="JTJ517" s="1358"/>
      <c r="JTK517" s="1358"/>
      <c r="JTL517" s="1358"/>
      <c r="JTM517" s="1358"/>
      <c r="JTN517" s="1358"/>
      <c r="JTO517" s="1358"/>
      <c r="JTP517" s="1358"/>
      <c r="JTQ517" s="1358"/>
      <c r="JTR517" s="1358"/>
      <c r="JTS517" s="1358"/>
      <c r="JTT517" s="1358"/>
      <c r="JTU517" s="1358"/>
      <c r="JTV517" s="1358"/>
      <c r="JTW517" s="1358"/>
      <c r="JTX517" s="1358"/>
      <c r="JTY517" s="1358"/>
      <c r="JTZ517" s="1358"/>
      <c r="JUA517" s="1358"/>
      <c r="JUB517" s="1358"/>
      <c r="JUC517" s="1358"/>
      <c r="JUD517" s="1358"/>
      <c r="JUE517" s="1358"/>
      <c r="JUF517" s="1358"/>
      <c r="JUG517" s="1358"/>
      <c r="JUH517" s="1358"/>
      <c r="JUI517" s="1358"/>
      <c r="JUJ517" s="1358"/>
      <c r="JUK517" s="1358"/>
      <c r="JUL517" s="1358"/>
      <c r="JUM517" s="1358"/>
      <c r="JUN517" s="1358"/>
      <c r="JUO517" s="1358"/>
      <c r="JUP517" s="1358"/>
      <c r="JUQ517" s="1358"/>
      <c r="JUR517" s="1358"/>
      <c r="JUS517" s="1358"/>
      <c r="JUT517" s="1358"/>
      <c r="JUU517" s="1358"/>
      <c r="JUV517" s="1358"/>
      <c r="JUW517" s="1358"/>
      <c r="JUX517" s="1358"/>
      <c r="JUY517" s="1358"/>
      <c r="JUZ517" s="1358"/>
      <c r="JVA517" s="1358"/>
      <c r="JVB517" s="1358"/>
      <c r="JVC517" s="1358"/>
      <c r="JVD517" s="1358"/>
      <c r="JVE517" s="1358"/>
      <c r="JVF517" s="1358"/>
      <c r="JVG517" s="1358"/>
      <c r="JVH517" s="1358"/>
      <c r="JVI517" s="1358"/>
      <c r="JVJ517" s="1358"/>
      <c r="JVK517" s="1358"/>
      <c r="JVL517" s="1358"/>
      <c r="JVM517" s="1358"/>
      <c r="JVN517" s="1358"/>
      <c r="JVO517" s="1358"/>
      <c r="JVP517" s="1358"/>
      <c r="JVQ517" s="1358"/>
      <c r="JVR517" s="1358"/>
      <c r="JVS517" s="1358"/>
      <c r="JVT517" s="1358"/>
      <c r="JVU517" s="1358"/>
      <c r="JVV517" s="1358"/>
      <c r="JVW517" s="1358"/>
      <c r="JVX517" s="1358"/>
      <c r="JVY517" s="1358"/>
      <c r="JVZ517" s="1358"/>
      <c r="JWA517" s="1358"/>
      <c r="JWB517" s="1358"/>
      <c r="JWC517" s="1358"/>
      <c r="JWD517" s="1358"/>
      <c r="JWE517" s="1358"/>
      <c r="JWF517" s="1358"/>
      <c r="JWG517" s="1358"/>
      <c r="JWH517" s="1358"/>
      <c r="JWI517" s="1358"/>
      <c r="JWJ517" s="1358"/>
      <c r="JWK517" s="1358"/>
      <c r="JWL517" s="1358"/>
      <c r="JWM517" s="1358"/>
      <c r="JWN517" s="1358"/>
      <c r="JWO517" s="1358"/>
      <c r="JWP517" s="1358"/>
      <c r="JWQ517" s="1358"/>
      <c r="JWR517" s="1358"/>
      <c r="JWS517" s="1358"/>
      <c r="JWT517" s="1358"/>
      <c r="JWU517" s="1358"/>
      <c r="JWV517" s="1358"/>
      <c r="JWW517" s="1358"/>
      <c r="JWX517" s="1358"/>
      <c r="JWY517" s="1358"/>
      <c r="JWZ517" s="1358"/>
      <c r="JXA517" s="1358"/>
      <c r="JXB517" s="1358"/>
      <c r="JXC517" s="1358"/>
      <c r="JXD517" s="1358"/>
      <c r="JXE517" s="1358"/>
      <c r="JXF517" s="1358"/>
      <c r="JXG517" s="1358"/>
      <c r="JXH517" s="1358"/>
      <c r="JXI517" s="1358"/>
      <c r="JXJ517" s="1358"/>
      <c r="JXK517" s="1358"/>
      <c r="JXL517" s="1358"/>
      <c r="JXM517" s="1358"/>
      <c r="JXN517" s="1358"/>
      <c r="JXO517" s="1358"/>
      <c r="JXP517" s="1358"/>
      <c r="JXQ517" s="1358"/>
      <c r="JXR517" s="1358"/>
      <c r="JXS517" s="1358"/>
      <c r="JXT517" s="1358"/>
      <c r="JXU517" s="1358"/>
      <c r="JXV517" s="1358"/>
      <c r="JXW517" s="1358"/>
      <c r="JXX517" s="1358"/>
      <c r="JXY517" s="1358"/>
      <c r="JXZ517" s="1358"/>
      <c r="JYA517" s="1358"/>
      <c r="JYB517" s="1358"/>
      <c r="JYC517" s="1358"/>
      <c r="JYD517" s="1358"/>
      <c r="JYE517" s="1358"/>
      <c r="JYF517" s="1358"/>
      <c r="JYG517" s="1358"/>
      <c r="JYH517" s="1358"/>
      <c r="JYI517" s="1358"/>
      <c r="JYJ517" s="1358"/>
      <c r="JYK517" s="1358"/>
      <c r="JYL517" s="1358"/>
      <c r="JYM517" s="1358"/>
      <c r="JYN517" s="1358"/>
      <c r="JYO517" s="1358"/>
      <c r="JYP517" s="1358"/>
      <c r="JYQ517" s="1358"/>
      <c r="JYR517" s="1358"/>
      <c r="JYS517" s="1358"/>
      <c r="JYT517" s="1358"/>
      <c r="JYU517" s="1358"/>
      <c r="JYV517" s="1358"/>
      <c r="JYW517" s="1358"/>
      <c r="JYX517" s="1358"/>
      <c r="JYY517" s="1358"/>
      <c r="JYZ517" s="1358"/>
      <c r="JZA517" s="1358"/>
      <c r="JZB517" s="1358"/>
      <c r="JZC517" s="1358"/>
      <c r="JZD517" s="1358"/>
      <c r="JZE517" s="1358"/>
      <c r="JZF517" s="1358"/>
      <c r="JZG517" s="1358"/>
      <c r="JZH517" s="1358"/>
      <c r="JZI517" s="1358"/>
      <c r="JZJ517" s="1358"/>
      <c r="JZK517" s="1358"/>
      <c r="JZL517" s="1358"/>
      <c r="JZM517" s="1358"/>
      <c r="JZN517" s="1358"/>
      <c r="JZO517" s="1358"/>
      <c r="JZP517" s="1358"/>
      <c r="JZQ517" s="1358"/>
      <c r="JZR517" s="1358"/>
      <c r="JZS517" s="1358"/>
      <c r="JZT517" s="1358"/>
      <c r="JZU517" s="1358"/>
      <c r="JZV517" s="1358"/>
      <c r="JZW517" s="1358"/>
      <c r="JZX517" s="1358"/>
      <c r="JZY517" s="1358"/>
      <c r="JZZ517" s="1358"/>
      <c r="KAA517" s="1358"/>
      <c r="KAB517" s="1358"/>
      <c r="KAC517" s="1358"/>
      <c r="KAD517" s="1358"/>
      <c r="KAE517" s="1358"/>
      <c r="KAF517" s="1358"/>
      <c r="KAG517" s="1358"/>
      <c r="KAH517" s="1358"/>
      <c r="KAI517" s="1358"/>
      <c r="KAJ517" s="1358"/>
      <c r="KAK517" s="1358"/>
      <c r="KAL517" s="1358"/>
      <c r="KAM517" s="1358"/>
      <c r="KAN517" s="1358"/>
      <c r="KAO517" s="1358"/>
      <c r="KAP517" s="1358"/>
      <c r="KAQ517" s="1358"/>
      <c r="KAR517" s="1358"/>
      <c r="KAS517" s="1358"/>
      <c r="KAT517" s="1358"/>
      <c r="KAU517" s="1358"/>
      <c r="KAV517" s="1358"/>
      <c r="KAW517" s="1358"/>
      <c r="KAX517" s="1358"/>
      <c r="KAY517" s="1358"/>
      <c r="KAZ517" s="1358"/>
      <c r="KBA517" s="1358"/>
      <c r="KBB517" s="1358"/>
      <c r="KBC517" s="1358"/>
      <c r="KBD517" s="1358"/>
      <c r="KBE517" s="1358"/>
      <c r="KBF517" s="1358"/>
      <c r="KBG517" s="1358"/>
      <c r="KBH517" s="1358"/>
      <c r="KBI517" s="1358"/>
      <c r="KBJ517" s="1358"/>
      <c r="KBK517" s="1358"/>
      <c r="KBL517" s="1358"/>
      <c r="KBM517" s="1358"/>
      <c r="KBN517" s="1358"/>
      <c r="KBO517" s="1358"/>
      <c r="KBP517" s="1358"/>
      <c r="KBQ517" s="1358"/>
      <c r="KBR517" s="1358"/>
      <c r="KBS517" s="1358"/>
      <c r="KBT517" s="1358"/>
      <c r="KBU517" s="1358"/>
      <c r="KBV517" s="1358"/>
      <c r="KBW517" s="1358"/>
      <c r="KBX517" s="1358"/>
      <c r="KBY517" s="1358"/>
      <c r="KBZ517" s="1358"/>
      <c r="KCA517" s="1358"/>
      <c r="KCB517" s="1358"/>
      <c r="KCC517" s="1358"/>
      <c r="KCD517" s="1358"/>
      <c r="KCE517" s="1358"/>
      <c r="KCF517" s="1358"/>
      <c r="KCG517" s="1358"/>
      <c r="KCH517" s="1358"/>
      <c r="KCI517" s="1358"/>
      <c r="KCJ517" s="1358"/>
      <c r="KCK517" s="1358"/>
      <c r="KCL517" s="1358"/>
      <c r="KCM517" s="1358"/>
      <c r="KCN517" s="1358"/>
      <c r="KCO517" s="1358"/>
      <c r="KCP517" s="1358"/>
      <c r="KCQ517" s="1358"/>
      <c r="KCR517" s="1358"/>
      <c r="KCS517" s="1358"/>
      <c r="KCT517" s="1358"/>
      <c r="KCU517" s="1358"/>
      <c r="KCV517" s="1358"/>
      <c r="KCW517" s="1358"/>
      <c r="KCX517" s="1358"/>
      <c r="KCY517" s="1358"/>
      <c r="KCZ517" s="1358"/>
      <c r="KDA517" s="1358"/>
      <c r="KDB517" s="1358"/>
      <c r="KDC517" s="1358"/>
      <c r="KDD517" s="1358"/>
      <c r="KDE517" s="1358"/>
      <c r="KDF517" s="1358"/>
      <c r="KDG517" s="1358"/>
      <c r="KDH517" s="1358"/>
      <c r="KDI517" s="1358"/>
      <c r="KDJ517" s="1358"/>
      <c r="KDK517" s="1358"/>
      <c r="KDL517" s="1358"/>
      <c r="KDM517" s="1358"/>
      <c r="KDN517" s="1358"/>
      <c r="KDO517" s="1358"/>
      <c r="KDP517" s="1358"/>
      <c r="KDQ517" s="1358"/>
      <c r="KDR517" s="1358"/>
      <c r="KDS517" s="1358"/>
      <c r="KDT517" s="1358"/>
      <c r="KDU517" s="1358"/>
      <c r="KDV517" s="1358"/>
      <c r="KDW517" s="1358"/>
      <c r="KDX517" s="1358"/>
      <c r="KDY517" s="1358"/>
      <c r="KDZ517" s="1358"/>
      <c r="KEA517" s="1358"/>
      <c r="KEB517" s="1358"/>
      <c r="KEC517" s="1358"/>
      <c r="KED517" s="1358"/>
      <c r="KEE517" s="1358"/>
      <c r="KEF517" s="1358"/>
      <c r="KEG517" s="1358"/>
      <c r="KEH517" s="1358"/>
      <c r="KEI517" s="1358"/>
      <c r="KEJ517" s="1358"/>
      <c r="KEK517" s="1358"/>
      <c r="KEL517" s="1358"/>
      <c r="KEM517" s="1358"/>
      <c r="KEN517" s="1358"/>
      <c r="KEO517" s="1358"/>
      <c r="KEP517" s="1358"/>
      <c r="KEQ517" s="1358"/>
      <c r="KER517" s="1358"/>
      <c r="KES517" s="1358"/>
      <c r="KET517" s="1358"/>
      <c r="KEU517" s="1358"/>
      <c r="KEV517" s="1358"/>
      <c r="KEW517" s="1358"/>
      <c r="KEX517" s="1358"/>
      <c r="KEY517" s="1358"/>
      <c r="KEZ517" s="1358"/>
      <c r="KFA517" s="1358"/>
      <c r="KFB517" s="1358"/>
      <c r="KFC517" s="1358"/>
      <c r="KFD517" s="1358"/>
      <c r="KFE517" s="1358"/>
      <c r="KFF517" s="1358"/>
      <c r="KFG517" s="1358"/>
      <c r="KFH517" s="1358"/>
      <c r="KFI517" s="1358"/>
      <c r="KFJ517" s="1358"/>
      <c r="KFK517" s="1358"/>
      <c r="KFL517" s="1358"/>
      <c r="KFM517" s="1358"/>
      <c r="KFN517" s="1358"/>
      <c r="KFO517" s="1358"/>
      <c r="KFP517" s="1358"/>
      <c r="KFQ517" s="1358"/>
      <c r="KFR517" s="1358"/>
      <c r="KFS517" s="1358"/>
      <c r="KFT517" s="1358"/>
      <c r="KFU517" s="1358"/>
      <c r="KFV517" s="1358"/>
      <c r="KFW517" s="1358"/>
      <c r="KFX517" s="1358"/>
      <c r="KFY517" s="1358"/>
      <c r="KFZ517" s="1358"/>
      <c r="KGA517" s="1358"/>
      <c r="KGB517" s="1358"/>
      <c r="KGC517" s="1358"/>
      <c r="KGD517" s="1358"/>
      <c r="KGE517" s="1358"/>
      <c r="KGF517" s="1358"/>
      <c r="KGG517" s="1358"/>
      <c r="KGH517" s="1358"/>
      <c r="KGI517" s="1358"/>
      <c r="KGJ517" s="1358"/>
      <c r="KGK517" s="1358"/>
      <c r="KGL517" s="1358"/>
      <c r="KGM517" s="1358"/>
      <c r="KGN517" s="1358"/>
      <c r="KGO517" s="1358"/>
      <c r="KGP517" s="1358"/>
      <c r="KGQ517" s="1358"/>
      <c r="KGR517" s="1358"/>
      <c r="KGS517" s="1358"/>
      <c r="KGT517" s="1358"/>
      <c r="KGU517" s="1358"/>
      <c r="KGV517" s="1358"/>
      <c r="KGW517" s="1358"/>
      <c r="KGX517" s="1358"/>
      <c r="KGY517" s="1358"/>
      <c r="KGZ517" s="1358"/>
      <c r="KHA517" s="1358"/>
      <c r="KHB517" s="1358"/>
      <c r="KHC517" s="1358"/>
      <c r="KHD517" s="1358"/>
      <c r="KHE517" s="1358"/>
      <c r="KHF517" s="1358"/>
      <c r="KHG517" s="1358"/>
      <c r="KHH517" s="1358"/>
      <c r="KHI517" s="1358"/>
      <c r="KHJ517" s="1358"/>
      <c r="KHK517" s="1358"/>
      <c r="KHL517" s="1358"/>
      <c r="KHM517" s="1358"/>
      <c r="KHN517" s="1358"/>
      <c r="KHO517" s="1358"/>
      <c r="KHP517" s="1358"/>
      <c r="KHQ517" s="1358"/>
      <c r="KHR517" s="1358"/>
      <c r="KHS517" s="1358"/>
      <c r="KHT517" s="1358"/>
      <c r="KHU517" s="1358"/>
      <c r="KHV517" s="1358"/>
      <c r="KHW517" s="1358"/>
      <c r="KHX517" s="1358"/>
      <c r="KHY517" s="1358"/>
      <c r="KHZ517" s="1358"/>
      <c r="KIA517" s="1358"/>
      <c r="KIB517" s="1358"/>
      <c r="KIC517" s="1358"/>
      <c r="KID517" s="1358"/>
      <c r="KIE517" s="1358"/>
      <c r="KIF517" s="1358"/>
      <c r="KIG517" s="1358"/>
      <c r="KIH517" s="1358"/>
      <c r="KII517" s="1358"/>
      <c r="KIJ517" s="1358"/>
      <c r="KIK517" s="1358"/>
      <c r="KIL517" s="1358"/>
      <c r="KIM517" s="1358"/>
      <c r="KIN517" s="1358"/>
      <c r="KIO517" s="1358"/>
      <c r="KIP517" s="1358"/>
      <c r="KIQ517" s="1358"/>
      <c r="KIR517" s="1358"/>
      <c r="KIS517" s="1358"/>
      <c r="KIT517" s="1358"/>
      <c r="KIU517" s="1358"/>
      <c r="KIV517" s="1358"/>
      <c r="KIW517" s="1358"/>
      <c r="KIX517" s="1358"/>
      <c r="KIY517" s="1358"/>
      <c r="KIZ517" s="1358"/>
      <c r="KJA517" s="1358"/>
      <c r="KJB517" s="1358"/>
      <c r="KJC517" s="1358"/>
      <c r="KJD517" s="1358"/>
      <c r="KJE517" s="1358"/>
      <c r="KJF517" s="1358"/>
      <c r="KJG517" s="1358"/>
      <c r="KJH517" s="1358"/>
      <c r="KJI517" s="1358"/>
      <c r="KJJ517" s="1358"/>
      <c r="KJK517" s="1358"/>
      <c r="KJL517" s="1358"/>
      <c r="KJM517" s="1358"/>
      <c r="KJN517" s="1358"/>
      <c r="KJO517" s="1358"/>
      <c r="KJP517" s="1358"/>
      <c r="KJQ517" s="1358"/>
      <c r="KJR517" s="1358"/>
      <c r="KJS517" s="1358"/>
      <c r="KJT517" s="1358"/>
      <c r="KJU517" s="1358"/>
      <c r="KJV517" s="1358"/>
      <c r="KJW517" s="1358"/>
      <c r="KJX517" s="1358"/>
      <c r="KJY517" s="1358"/>
      <c r="KJZ517" s="1358"/>
      <c r="KKA517" s="1358"/>
      <c r="KKB517" s="1358"/>
      <c r="KKC517" s="1358"/>
      <c r="KKD517" s="1358"/>
      <c r="KKE517" s="1358"/>
      <c r="KKF517" s="1358"/>
      <c r="KKG517" s="1358"/>
      <c r="KKH517" s="1358"/>
      <c r="KKI517" s="1358"/>
      <c r="KKJ517" s="1358"/>
      <c r="KKK517" s="1358"/>
      <c r="KKL517" s="1358"/>
      <c r="KKM517" s="1358"/>
      <c r="KKN517" s="1358"/>
      <c r="KKO517" s="1358"/>
      <c r="KKP517" s="1358"/>
      <c r="KKQ517" s="1358"/>
      <c r="KKR517" s="1358"/>
      <c r="KKS517" s="1358"/>
      <c r="KKT517" s="1358"/>
      <c r="KKU517" s="1358"/>
      <c r="KKV517" s="1358"/>
      <c r="KKW517" s="1358"/>
      <c r="KKX517" s="1358"/>
      <c r="KKY517" s="1358"/>
      <c r="KKZ517" s="1358"/>
      <c r="KLA517" s="1358"/>
      <c r="KLB517" s="1358"/>
      <c r="KLC517" s="1358"/>
      <c r="KLD517" s="1358"/>
      <c r="KLE517" s="1358"/>
      <c r="KLF517" s="1358"/>
      <c r="KLG517" s="1358"/>
      <c r="KLH517" s="1358"/>
      <c r="KLI517" s="1358"/>
      <c r="KLJ517" s="1358"/>
      <c r="KLK517" s="1358"/>
      <c r="KLL517" s="1358"/>
      <c r="KLM517" s="1358"/>
      <c r="KLN517" s="1358"/>
      <c r="KLO517" s="1358"/>
      <c r="KLP517" s="1358"/>
      <c r="KLQ517" s="1358"/>
      <c r="KLR517" s="1358"/>
      <c r="KLS517" s="1358"/>
      <c r="KLT517" s="1358"/>
      <c r="KLU517" s="1358"/>
      <c r="KLV517" s="1358"/>
      <c r="KLW517" s="1358"/>
      <c r="KLX517" s="1358"/>
      <c r="KLY517" s="1358"/>
      <c r="KLZ517" s="1358"/>
      <c r="KMA517" s="1358"/>
      <c r="KMB517" s="1358"/>
      <c r="KMC517" s="1358"/>
      <c r="KMD517" s="1358"/>
      <c r="KME517" s="1358"/>
      <c r="KMF517" s="1358"/>
      <c r="KMG517" s="1358"/>
      <c r="KMH517" s="1358"/>
      <c r="KMI517" s="1358"/>
      <c r="KMJ517" s="1358"/>
      <c r="KMK517" s="1358"/>
      <c r="KML517" s="1358"/>
      <c r="KMM517" s="1358"/>
      <c r="KMN517" s="1358"/>
      <c r="KMO517" s="1358"/>
      <c r="KMP517" s="1358"/>
      <c r="KMQ517" s="1358"/>
      <c r="KMR517" s="1358"/>
      <c r="KMS517" s="1358"/>
      <c r="KMT517" s="1358"/>
      <c r="KMU517" s="1358"/>
      <c r="KMV517" s="1358"/>
      <c r="KMW517" s="1358"/>
      <c r="KMX517" s="1358"/>
      <c r="KMY517" s="1358"/>
      <c r="KMZ517" s="1358"/>
      <c r="KNA517" s="1358"/>
      <c r="KNB517" s="1358"/>
      <c r="KNC517" s="1358"/>
      <c r="KND517" s="1358"/>
      <c r="KNE517" s="1358"/>
      <c r="KNF517" s="1358"/>
      <c r="KNG517" s="1358"/>
      <c r="KNH517" s="1358"/>
      <c r="KNI517" s="1358"/>
      <c r="KNJ517" s="1358"/>
      <c r="KNK517" s="1358"/>
      <c r="KNL517" s="1358"/>
      <c r="KNM517" s="1358"/>
      <c r="KNN517" s="1358"/>
      <c r="KNO517" s="1358"/>
      <c r="KNP517" s="1358"/>
      <c r="KNQ517" s="1358"/>
      <c r="KNR517" s="1358"/>
      <c r="KNS517" s="1358"/>
      <c r="KNT517" s="1358"/>
      <c r="KNU517" s="1358"/>
      <c r="KNV517" s="1358"/>
      <c r="KNW517" s="1358"/>
      <c r="KNX517" s="1358"/>
      <c r="KNY517" s="1358"/>
      <c r="KNZ517" s="1358"/>
      <c r="KOA517" s="1358"/>
      <c r="KOB517" s="1358"/>
      <c r="KOC517" s="1358"/>
      <c r="KOD517" s="1358"/>
      <c r="KOE517" s="1358"/>
      <c r="KOF517" s="1358"/>
      <c r="KOG517" s="1358"/>
      <c r="KOH517" s="1358"/>
      <c r="KOI517" s="1358"/>
      <c r="KOJ517" s="1358"/>
      <c r="KOK517" s="1358"/>
      <c r="KOL517" s="1358"/>
      <c r="KOM517" s="1358"/>
      <c r="KON517" s="1358"/>
      <c r="KOO517" s="1358"/>
      <c r="KOP517" s="1358"/>
      <c r="KOQ517" s="1358"/>
      <c r="KOR517" s="1358"/>
      <c r="KOS517" s="1358"/>
      <c r="KOT517" s="1358"/>
      <c r="KOU517" s="1358"/>
      <c r="KOV517" s="1358"/>
      <c r="KOW517" s="1358"/>
      <c r="KOX517" s="1358"/>
      <c r="KOY517" s="1358"/>
      <c r="KOZ517" s="1358"/>
      <c r="KPA517" s="1358"/>
      <c r="KPB517" s="1358"/>
      <c r="KPC517" s="1358"/>
      <c r="KPD517" s="1358"/>
      <c r="KPE517" s="1358"/>
      <c r="KPF517" s="1358"/>
      <c r="KPG517" s="1358"/>
      <c r="KPH517" s="1358"/>
      <c r="KPI517" s="1358"/>
      <c r="KPJ517" s="1358"/>
      <c r="KPK517" s="1358"/>
      <c r="KPL517" s="1358"/>
      <c r="KPM517" s="1358"/>
      <c r="KPN517" s="1358"/>
      <c r="KPO517" s="1358"/>
      <c r="KPP517" s="1358"/>
      <c r="KPQ517" s="1358"/>
      <c r="KPR517" s="1358"/>
      <c r="KPS517" s="1358"/>
      <c r="KPT517" s="1358"/>
      <c r="KPU517" s="1358"/>
      <c r="KPV517" s="1358"/>
      <c r="KPW517" s="1358"/>
      <c r="KPX517" s="1358"/>
      <c r="KPY517" s="1358"/>
      <c r="KPZ517" s="1358"/>
      <c r="KQA517" s="1358"/>
      <c r="KQB517" s="1358"/>
      <c r="KQC517" s="1358"/>
      <c r="KQD517" s="1358"/>
      <c r="KQE517" s="1358"/>
      <c r="KQF517" s="1358"/>
      <c r="KQG517" s="1358"/>
      <c r="KQH517" s="1358"/>
      <c r="KQI517" s="1358"/>
      <c r="KQJ517" s="1358"/>
      <c r="KQK517" s="1358"/>
      <c r="KQL517" s="1358"/>
      <c r="KQM517" s="1358"/>
      <c r="KQN517" s="1358"/>
      <c r="KQO517" s="1358"/>
      <c r="KQP517" s="1358"/>
      <c r="KQQ517" s="1358"/>
      <c r="KQR517" s="1358"/>
      <c r="KQS517" s="1358"/>
      <c r="KQT517" s="1358"/>
      <c r="KQU517" s="1358"/>
      <c r="KQV517" s="1358"/>
      <c r="KQW517" s="1358"/>
      <c r="KQX517" s="1358"/>
      <c r="KQY517" s="1358"/>
      <c r="KQZ517" s="1358"/>
      <c r="KRA517" s="1358"/>
      <c r="KRB517" s="1358"/>
      <c r="KRC517" s="1358"/>
      <c r="KRD517" s="1358"/>
      <c r="KRE517" s="1358"/>
      <c r="KRF517" s="1358"/>
      <c r="KRG517" s="1358"/>
      <c r="KRH517" s="1358"/>
      <c r="KRI517" s="1358"/>
      <c r="KRJ517" s="1358"/>
      <c r="KRK517" s="1358"/>
      <c r="KRL517" s="1358"/>
      <c r="KRM517" s="1358"/>
      <c r="KRN517" s="1358"/>
      <c r="KRO517" s="1358"/>
      <c r="KRP517" s="1358"/>
      <c r="KRQ517" s="1358"/>
      <c r="KRR517" s="1358"/>
      <c r="KRS517" s="1358"/>
      <c r="KRT517" s="1358"/>
      <c r="KRU517" s="1358"/>
      <c r="KRV517" s="1358"/>
      <c r="KRW517" s="1358"/>
      <c r="KRX517" s="1358"/>
      <c r="KRY517" s="1358"/>
      <c r="KRZ517" s="1358"/>
      <c r="KSA517" s="1358"/>
      <c r="KSB517" s="1358"/>
      <c r="KSC517" s="1358"/>
      <c r="KSD517" s="1358"/>
      <c r="KSE517" s="1358"/>
      <c r="KSF517" s="1358"/>
      <c r="KSG517" s="1358"/>
      <c r="KSH517" s="1358"/>
      <c r="KSI517" s="1358"/>
      <c r="KSJ517" s="1358"/>
      <c r="KSK517" s="1358"/>
      <c r="KSL517" s="1358"/>
      <c r="KSM517" s="1358"/>
      <c r="KSN517" s="1358"/>
      <c r="KSO517" s="1358"/>
      <c r="KSP517" s="1358"/>
      <c r="KSQ517" s="1358"/>
      <c r="KSR517" s="1358"/>
      <c r="KSS517" s="1358"/>
      <c r="KST517" s="1358"/>
      <c r="KSU517" s="1358"/>
      <c r="KSV517" s="1358"/>
      <c r="KSW517" s="1358"/>
      <c r="KSX517" s="1358"/>
      <c r="KSY517" s="1358"/>
      <c r="KSZ517" s="1358"/>
      <c r="KTA517" s="1358"/>
      <c r="KTB517" s="1358"/>
      <c r="KTC517" s="1358"/>
      <c r="KTD517" s="1358"/>
      <c r="KTE517" s="1358"/>
      <c r="KTF517" s="1358"/>
      <c r="KTG517" s="1358"/>
      <c r="KTH517" s="1358"/>
      <c r="KTI517" s="1358"/>
      <c r="KTJ517" s="1358"/>
      <c r="KTK517" s="1358"/>
      <c r="KTL517" s="1358"/>
      <c r="KTM517" s="1358"/>
      <c r="KTN517" s="1358"/>
      <c r="KTO517" s="1358"/>
      <c r="KTP517" s="1358"/>
      <c r="KTQ517" s="1358"/>
      <c r="KTR517" s="1358"/>
      <c r="KTS517" s="1358"/>
      <c r="KTT517" s="1358"/>
      <c r="KTU517" s="1358"/>
      <c r="KTV517" s="1358"/>
      <c r="KTW517" s="1358"/>
      <c r="KTX517" s="1358"/>
      <c r="KTY517" s="1358"/>
      <c r="KTZ517" s="1358"/>
      <c r="KUA517" s="1358"/>
      <c r="KUB517" s="1358"/>
      <c r="KUC517" s="1358"/>
      <c r="KUD517" s="1358"/>
      <c r="KUE517" s="1358"/>
      <c r="KUF517" s="1358"/>
      <c r="KUG517" s="1358"/>
      <c r="KUH517" s="1358"/>
      <c r="KUI517" s="1358"/>
      <c r="KUJ517" s="1358"/>
      <c r="KUK517" s="1358"/>
      <c r="KUL517" s="1358"/>
      <c r="KUM517" s="1358"/>
      <c r="KUN517" s="1358"/>
      <c r="KUO517" s="1358"/>
      <c r="KUP517" s="1358"/>
      <c r="KUQ517" s="1358"/>
      <c r="KUR517" s="1358"/>
      <c r="KUS517" s="1358"/>
      <c r="KUT517" s="1358"/>
      <c r="KUU517" s="1358"/>
      <c r="KUV517" s="1358"/>
      <c r="KUW517" s="1358"/>
      <c r="KUX517" s="1358"/>
      <c r="KUY517" s="1358"/>
      <c r="KUZ517" s="1358"/>
      <c r="KVA517" s="1358"/>
      <c r="KVB517" s="1358"/>
      <c r="KVC517" s="1358"/>
      <c r="KVD517" s="1358"/>
      <c r="KVE517" s="1358"/>
      <c r="KVF517" s="1358"/>
      <c r="KVG517" s="1358"/>
      <c r="KVH517" s="1358"/>
      <c r="KVI517" s="1358"/>
      <c r="KVJ517" s="1358"/>
      <c r="KVK517" s="1358"/>
      <c r="KVL517" s="1358"/>
      <c r="KVM517" s="1358"/>
      <c r="KVN517" s="1358"/>
      <c r="KVO517" s="1358"/>
      <c r="KVP517" s="1358"/>
      <c r="KVQ517" s="1358"/>
      <c r="KVR517" s="1358"/>
      <c r="KVS517" s="1358"/>
      <c r="KVT517" s="1358"/>
      <c r="KVU517" s="1358"/>
      <c r="KVV517" s="1358"/>
      <c r="KVW517" s="1358"/>
      <c r="KVX517" s="1358"/>
      <c r="KVY517" s="1358"/>
      <c r="KVZ517" s="1358"/>
      <c r="KWA517" s="1358"/>
      <c r="KWB517" s="1358"/>
      <c r="KWC517" s="1358"/>
      <c r="KWD517" s="1358"/>
      <c r="KWE517" s="1358"/>
      <c r="KWF517" s="1358"/>
      <c r="KWG517" s="1358"/>
      <c r="KWH517" s="1358"/>
      <c r="KWI517" s="1358"/>
      <c r="KWJ517" s="1358"/>
      <c r="KWK517" s="1358"/>
      <c r="KWL517" s="1358"/>
      <c r="KWM517" s="1358"/>
      <c r="KWN517" s="1358"/>
      <c r="KWO517" s="1358"/>
      <c r="KWP517" s="1358"/>
      <c r="KWQ517" s="1358"/>
      <c r="KWR517" s="1358"/>
      <c r="KWS517" s="1358"/>
      <c r="KWT517" s="1358"/>
      <c r="KWU517" s="1358"/>
      <c r="KWV517" s="1358"/>
      <c r="KWW517" s="1358"/>
      <c r="KWX517" s="1358"/>
      <c r="KWY517" s="1358"/>
      <c r="KWZ517" s="1358"/>
      <c r="KXA517" s="1358"/>
      <c r="KXB517" s="1358"/>
      <c r="KXC517" s="1358"/>
      <c r="KXD517" s="1358"/>
      <c r="KXE517" s="1358"/>
      <c r="KXF517" s="1358"/>
      <c r="KXG517" s="1358"/>
      <c r="KXH517" s="1358"/>
      <c r="KXI517" s="1358"/>
      <c r="KXJ517" s="1358"/>
      <c r="KXK517" s="1358"/>
      <c r="KXL517" s="1358"/>
      <c r="KXM517" s="1358"/>
      <c r="KXN517" s="1358"/>
      <c r="KXO517" s="1358"/>
      <c r="KXP517" s="1358"/>
      <c r="KXQ517" s="1358"/>
      <c r="KXR517" s="1358"/>
      <c r="KXS517" s="1358"/>
      <c r="KXT517" s="1358"/>
      <c r="KXU517" s="1358"/>
      <c r="KXV517" s="1358"/>
      <c r="KXW517" s="1358"/>
      <c r="KXX517" s="1358"/>
      <c r="KXY517" s="1358"/>
      <c r="KXZ517" s="1358"/>
      <c r="KYA517" s="1358"/>
      <c r="KYB517" s="1358"/>
      <c r="KYC517" s="1358"/>
      <c r="KYD517" s="1358"/>
      <c r="KYE517" s="1358"/>
      <c r="KYF517" s="1358"/>
      <c r="KYG517" s="1358"/>
      <c r="KYH517" s="1358"/>
      <c r="KYI517" s="1358"/>
      <c r="KYJ517" s="1358"/>
      <c r="KYK517" s="1358"/>
      <c r="KYL517" s="1358"/>
      <c r="KYM517" s="1358"/>
      <c r="KYN517" s="1358"/>
      <c r="KYO517" s="1358"/>
      <c r="KYP517" s="1358"/>
      <c r="KYQ517" s="1358"/>
      <c r="KYR517" s="1358"/>
      <c r="KYS517" s="1358"/>
      <c r="KYT517" s="1358"/>
      <c r="KYU517" s="1358"/>
      <c r="KYV517" s="1358"/>
      <c r="KYW517" s="1358"/>
      <c r="KYX517" s="1358"/>
      <c r="KYY517" s="1358"/>
      <c r="KYZ517" s="1358"/>
      <c r="KZA517" s="1358"/>
      <c r="KZB517" s="1358"/>
      <c r="KZC517" s="1358"/>
      <c r="KZD517" s="1358"/>
      <c r="KZE517" s="1358"/>
      <c r="KZF517" s="1358"/>
      <c r="KZG517" s="1358"/>
      <c r="KZH517" s="1358"/>
      <c r="KZI517" s="1358"/>
      <c r="KZJ517" s="1358"/>
      <c r="KZK517" s="1358"/>
      <c r="KZL517" s="1358"/>
      <c r="KZM517" s="1358"/>
      <c r="KZN517" s="1358"/>
      <c r="KZO517" s="1358"/>
      <c r="KZP517" s="1358"/>
      <c r="KZQ517" s="1358"/>
      <c r="KZR517" s="1358"/>
      <c r="KZS517" s="1358"/>
      <c r="KZT517" s="1358"/>
      <c r="KZU517" s="1358"/>
      <c r="KZV517" s="1358"/>
      <c r="KZW517" s="1358"/>
      <c r="KZX517" s="1358"/>
      <c r="KZY517" s="1358"/>
      <c r="KZZ517" s="1358"/>
      <c r="LAA517" s="1358"/>
      <c r="LAB517" s="1358"/>
      <c r="LAC517" s="1358"/>
      <c r="LAD517" s="1358"/>
      <c r="LAE517" s="1358"/>
      <c r="LAF517" s="1358"/>
      <c r="LAG517" s="1358"/>
      <c r="LAH517" s="1358"/>
      <c r="LAI517" s="1358"/>
      <c r="LAJ517" s="1358"/>
      <c r="LAK517" s="1358"/>
      <c r="LAL517" s="1358"/>
      <c r="LAM517" s="1358"/>
      <c r="LAN517" s="1358"/>
      <c r="LAO517" s="1358"/>
      <c r="LAP517" s="1358"/>
      <c r="LAQ517" s="1358"/>
      <c r="LAR517" s="1358"/>
      <c r="LAS517" s="1358"/>
      <c r="LAT517" s="1358"/>
      <c r="LAU517" s="1358"/>
      <c r="LAV517" s="1358"/>
      <c r="LAW517" s="1358"/>
      <c r="LAX517" s="1358"/>
      <c r="LAY517" s="1358"/>
      <c r="LAZ517" s="1358"/>
      <c r="LBA517" s="1358"/>
      <c r="LBB517" s="1358"/>
      <c r="LBC517" s="1358"/>
      <c r="LBD517" s="1358"/>
      <c r="LBE517" s="1358"/>
      <c r="LBF517" s="1358"/>
      <c r="LBG517" s="1358"/>
      <c r="LBH517" s="1358"/>
      <c r="LBI517" s="1358"/>
      <c r="LBJ517" s="1358"/>
      <c r="LBK517" s="1358"/>
      <c r="LBL517" s="1358"/>
      <c r="LBM517" s="1358"/>
      <c r="LBN517" s="1358"/>
      <c r="LBO517" s="1358"/>
      <c r="LBP517" s="1358"/>
      <c r="LBQ517" s="1358"/>
      <c r="LBR517" s="1358"/>
      <c r="LBS517" s="1358"/>
      <c r="LBT517" s="1358"/>
      <c r="LBU517" s="1358"/>
      <c r="LBV517" s="1358"/>
      <c r="LBW517" s="1358"/>
      <c r="LBX517" s="1358"/>
      <c r="LBY517" s="1358"/>
      <c r="LBZ517" s="1358"/>
      <c r="LCA517" s="1358"/>
      <c r="LCB517" s="1358"/>
      <c r="LCC517" s="1358"/>
      <c r="LCD517" s="1358"/>
      <c r="LCE517" s="1358"/>
      <c r="LCF517" s="1358"/>
      <c r="LCG517" s="1358"/>
      <c r="LCH517" s="1358"/>
      <c r="LCI517" s="1358"/>
      <c r="LCJ517" s="1358"/>
      <c r="LCK517" s="1358"/>
      <c r="LCL517" s="1358"/>
      <c r="LCM517" s="1358"/>
      <c r="LCN517" s="1358"/>
      <c r="LCO517" s="1358"/>
      <c r="LCP517" s="1358"/>
      <c r="LCQ517" s="1358"/>
      <c r="LCR517" s="1358"/>
      <c r="LCS517" s="1358"/>
      <c r="LCT517" s="1358"/>
      <c r="LCU517" s="1358"/>
      <c r="LCV517" s="1358"/>
      <c r="LCW517" s="1358"/>
      <c r="LCX517" s="1358"/>
      <c r="LCY517" s="1358"/>
      <c r="LCZ517" s="1358"/>
      <c r="LDA517" s="1358"/>
      <c r="LDB517" s="1358"/>
      <c r="LDC517" s="1358"/>
      <c r="LDD517" s="1358"/>
      <c r="LDE517" s="1358"/>
      <c r="LDF517" s="1358"/>
      <c r="LDG517" s="1358"/>
      <c r="LDH517" s="1358"/>
      <c r="LDI517" s="1358"/>
      <c r="LDJ517" s="1358"/>
      <c r="LDK517" s="1358"/>
      <c r="LDL517" s="1358"/>
      <c r="LDM517" s="1358"/>
      <c r="LDN517" s="1358"/>
      <c r="LDO517" s="1358"/>
      <c r="LDP517" s="1358"/>
      <c r="LDQ517" s="1358"/>
      <c r="LDR517" s="1358"/>
      <c r="LDS517" s="1358"/>
      <c r="LDT517" s="1358"/>
      <c r="LDU517" s="1358"/>
      <c r="LDV517" s="1358"/>
      <c r="LDW517" s="1358"/>
      <c r="LDX517" s="1358"/>
      <c r="LDY517" s="1358"/>
      <c r="LDZ517" s="1358"/>
      <c r="LEA517" s="1358"/>
      <c r="LEB517" s="1358"/>
      <c r="LEC517" s="1358"/>
      <c r="LED517" s="1358"/>
      <c r="LEE517" s="1358"/>
      <c r="LEF517" s="1358"/>
      <c r="LEG517" s="1358"/>
      <c r="LEH517" s="1358"/>
      <c r="LEI517" s="1358"/>
      <c r="LEJ517" s="1358"/>
      <c r="LEK517" s="1358"/>
      <c r="LEL517" s="1358"/>
      <c r="LEM517" s="1358"/>
      <c r="LEN517" s="1358"/>
      <c r="LEO517" s="1358"/>
      <c r="LEP517" s="1358"/>
      <c r="LEQ517" s="1358"/>
      <c r="LER517" s="1358"/>
      <c r="LES517" s="1358"/>
      <c r="LET517" s="1358"/>
      <c r="LEU517" s="1358"/>
      <c r="LEV517" s="1358"/>
      <c r="LEW517" s="1358"/>
      <c r="LEX517" s="1358"/>
      <c r="LEY517" s="1358"/>
      <c r="LEZ517" s="1358"/>
      <c r="LFA517" s="1358"/>
      <c r="LFB517" s="1358"/>
      <c r="LFC517" s="1358"/>
      <c r="LFD517" s="1358"/>
      <c r="LFE517" s="1358"/>
      <c r="LFF517" s="1358"/>
      <c r="LFG517" s="1358"/>
      <c r="LFH517" s="1358"/>
      <c r="LFI517" s="1358"/>
      <c r="LFJ517" s="1358"/>
      <c r="LFK517" s="1358"/>
      <c r="LFL517" s="1358"/>
      <c r="LFM517" s="1358"/>
      <c r="LFN517" s="1358"/>
      <c r="LFO517" s="1358"/>
      <c r="LFP517" s="1358"/>
      <c r="LFQ517" s="1358"/>
      <c r="LFR517" s="1358"/>
      <c r="LFS517" s="1358"/>
      <c r="LFT517" s="1358"/>
      <c r="LFU517" s="1358"/>
      <c r="LFV517" s="1358"/>
      <c r="LFW517" s="1358"/>
      <c r="LFX517" s="1358"/>
      <c r="LFY517" s="1358"/>
      <c r="LFZ517" s="1358"/>
      <c r="LGA517" s="1358"/>
      <c r="LGB517" s="1358"/>
      <c r="LGC517" s="1358"/>
      <c r="LGD517" s="1358"/>
      <c r="LGE517" s="1358"/>
      <c r="LGF517" s="1358"/>
      <c r="LGG517" s="1358"/>
      <c r="LGH517" s="1358"/>
      <c r="LGI517" s="1358"/>
      <c r="LGJ517" s="1358"/>
      <c r="LGK517" s="1358"/>
      <c r="LGL517" s="1358"/>
      <c r="LGM517" s="1358"/>
      <c r="LGN517" s="1358"/>
      <c r="LGO517" s="1358"/>
      <c r="LGP517" s="1358"/>
      <c r="LGQ517" s="1358"/>
      <c r="LGR517" s="1358"/>
      <c r="LGS517" s="1358"/>
      <c r="LGT517" s="1358"/>
      <c r="LGU517" s="1358"/>
      <c r="LGV517" s="1358"/>
      <c r="LGW517" s="1358"/>
      <c r="LGX517" s="1358"/>
      <c r="LGY517" s="1358"/>
      <c r="LGZ517" s="1358"/>
      <c r="LHA517" s="1358"/>
      <c r="LHB517" s="1358"/>
      <c r="LHC517" s="1358"/>
      <c r="LHD517" s="1358"/>
      <c r="LHE517" s="1358"/>
      <c r="LHF517" s="1358"/>
      <c r="LHG517" s="1358"/>
      <c r="LHH517" s="1358"/>
      <c r="LHI517" s="1358"/>
      <c r="LHJ517" s="1358"/>
      <c r="LHK517" s="1358"/>
      <c r="LHL517" s="1358"/>
      <c r="LHM517" s="1358"/>
      <c r="LHN517" s="1358"/>
      <c r="LHO517" s="1358"/>
      <c r="LHP517" s="1358"/>
      <c r="LHQ517" s="1358"/>
      <c r="LHR517" s="1358"/>
      <c r="LHS517" s="1358"/>
      <c r="LHT517" s="1358"/>
      <c r="LHU517" s="1358"/>
      <c r="LHV517" s="1358"/>
      <c r="LHW517" s="1358"/>
      <c r="LHX517" s="1358"/>
      <c r="LHY517" s="1358"/>
      <c r="LHZ517" s="1358"/>
      <c r="LIA517" s="1358"/>
      <c r="LIB517" s="1358"/>
      <c r="LIC517" s="1358"/>
      <c r="LID517" s="1358"/>
      <c r="LIE517" s="1358"/>
      <c r="LIF517" s="1358"/>
      <c r="LIG517" s="1358"/>
      <c r="LIH517" s="1358"/>
      <c r="LII517" s="1358"/>
      <c r="LIJ517" s="1358"/>
      <c r="LIK517" s="1358"/>
      <c r="LIL517" s="1358"/>
      <c r="LIM517" s="1358"/>
      <c r="LIN517" s="1358"/>
      <c r="LIO517" s="1358"/>
      <c r="LIP517" s="1358"/>
      <c r="LIQ517" s="1358"/>
      <c r="LIR517" s="1358"/>
      <c r="LIS517" s="1358"/>
      <c r="LIT517" s="1358"/>
      <c r="LIU517" s="1358"/>
      <c r="LIV517" s="1358"/>
      <c r="LIW517" s="1358"/>
      <c r="LIX517" s="1358"/>
      <c r="LIY517" s="1358"/>
      <c r="LIZ517" s="1358"/>
      <c r="LJA517" s="1358"/>
      <c r="LJB517" s="1358"/>
      <c r="LJC517" s="1358"/>
      <c r="LJD517" s="1358"/>
      <c r="LJE517" s="1358"/>
      <c r="LJF517" s="1358"/>
      <c r="LJG517" s="1358"/>
      <c r="LJH517" s="1358"/>
      <c r="LJI517" s="1358"/>
      <c r="LJJ517" s="1358"/>
      <c r="LJK517" s="1358"/>
      <c r="LJL517" s="1358"/>
      <c r="LJM517" s="1358"/>
      <c r="LJN517" s="1358"/>
      <c r="LJO517" s="1358"/>
      <c r="LJP517" s="1358"/>
      <c r="LJQ517" s="1358"/>
      <c r="LJR517" s="1358"/>
      <c r="LJS517" s="1358"/>
      <c r="LJT517" s="1358"/>
      <c r="LJU517" s="1358"/>
      <c r="LJV517" s="1358"/>
      <c r="LJW517" s="1358"/>
      <c r="LJX517" s="1358"/>
      <c r="LJY517" s="1358"/>
      <c r="LJZ517" s="1358"/>
      <c r="LKA517" s="1358"/>
      <c r="LKB517" s="1358"/>
      <c r="LKC517" s="1358"/>
      <c r="LKD517" s="1358"/>
      <c r="LKE517" s="1358"/>
      <c r="LKF517" s="1358"/>
      <c r="LKG517" s="1358"/>
      <c r="LKH517" s="1358"/>
      <c r="LKI517" s="1358"/>
      <c r="LKJ517" s="1358"/>
      <c r="LKK517" s="1358"/>
      <c r="LKL517" s="1358"/>
      <c r="LKM517" s="1358"/>
      <c r="LKN517" s="1358"/>
      <c r="LKO517" s="1358"/>
      <c r="LKP517" s="1358"/>
      <c r="LKQ517" s="1358"/>
      <c r="LKR517" s="1358"/>
      <c r="LKS517" s="1358"/>
      <c r="LKT517" s="1358"/>
      <c r="LKU517" s="1358"/>
      <c r="LKV517" s="1358"/>
      <c r="LKW517" s="1358"/>
      <c r="LKX517" s="1358"/>
      <c r="LKY517" s="1358"/>
      <c r="LKZ517" s="1358"/>
      <c r="LLA517" s="1358"/>
      <c r="LLB517" s="1358"/>
      <c r="LLC517" s="1358"/>
      <c r="LLD517" s="1358"/>
      <c r="LLE517" s="1358"/>
      <c r="LLF517" s="1358"/>
      <c r="LLG517" s="1358"/>
      <c r="LLH517" s="1358"/>
      <c r="LLI517" s="1358"/>
      <c r="LLJ517" s="1358"/>
      <c r="LLK517" s="1358"/>
      <c r="LLL517" s="1358"/>
      <c r="LLM517" s="1358"/>
      <c r="LLN517" s="1358"/>
      <c r="LLO517" s="1358"/>
      <c r="LLP517" s="1358"/>
      <c r="LLQ517" s="1358"/>
      <c r="LLR517" s="1358"/>
      <c r="LLS517" s="1358"/>
      <c r="LLT517" s="1358"/>
      <c r="LLU517" s="1358"/>
      <c r="LLV517" s="1358"/>
      <c r="LLW517" s="1358"/>
      <c r="LLX517" s="1358"/>
      <c r="LLY517" s="1358"/>
      <c r="LLZ517" s="1358"/>
      <c r="LMA517" s="1358"/>
      <c r="LMB517" s="1358"/>
      <c r="LMC517" s="1358"/>
      <c r="LMD517" s="1358"/>
      <c r="LME517" s="1358"/>
      <c r="LMF517" s="1358"/>
      <c r="LMG517" s="1358"/>
      <c r="LMH517" s="1358"/>
      <c r="LMI517" s="1358"/>
      <c r="LMJ517" s="1358"/>
      <c r="LMK517" s="1358"/>
      <c r="LML517" s="1358"/>
      <c r="LMM517" s="1358"/>
      <c r="LMN517" s="1358"/>
      <c r="LMO517" s="1358"/>
      <c r="LMP517" s="1358"/>
      <c r="LMQ517" s="1358"/>
      <c r="LMR517" s="1358"/>
      <c r="LMS517" s="1358"/>
      <c r="LMT517" s="1358"/>
      <c r="LMU517" s="1358"/>
      <c r="LMV517" s="1358"/>
      <c r="LMW517" s="1358"/>
      <c r="LMX517" s="1358"/>
      <c r="LMY517" s="1358"/>
      <c r="LMZ517" s="1358"/>
      <c r="LNA517" s="1358"/>
      <c r="LNB517" s="1358"/>
      <c r="LNC517" s="1358"/>
      <c r="LND517" s="1358"/>
      <c r="LNE517" s="1358"/>
      <c r="LNF517" s="1358"/>
      <c r="LNG517" s="1358"/>
      <c r="LNH517" s="1358"/>
      <c r="LNI517" s="1358"/>
      <c r="LNJ517" s="1358"/>
      <c r="LNK517" s="1358"/>
      <c r="LNL517" s="1358"/>
      <c r="LNM517" s="1358"/>
      <c r="LNN517" s="1358"/>
      <c r="LNO517" s="1358"/>
      <c r="LNP517" s="1358"/>
      <c r="LNQ517" s="1358"/>
      <c r="LNR517" s="1358"/>
      <c r="LNS517" s="1358"/>
      <c r="LNT517" s="1358"/>
      <c r="LNU517" s="1358"/>
      <c r="LNV517" s="1358"/>
      <c r="LNW517" s="1358"/>
      <c r="LNX517" s="1358"/>
      <c r="LNY517" s="1358"/>
      <c r="LNZ517" s="1358"/>
      <c r="LOA517" s="1358"/>
      <c r="LOB517" s="1358"/>
      <c r="LOC517" s="1358"/>
      <c r="LOD517" s="1358"/>
      <c r="LOE517" s="1358"/>
      <c r="LOF517" s="1358"/>
      <c r="LOG517" s="1358"/>
      <c r="LOH517" s="1358"/>
      <c r="LOI517" s="1358"/>
      <c r="LOJ517" s="1358"/>
      <c r="LOK517" s="1358"/>
      <c r="LOL517" s="1358"/>
      <c r="LOM517" s="1358"/>
      <c r="LON517" s="1358"/>
      <c r="LOO517" s="1358"/>
      <c r="LOP517" s="1358"/>
      <c r="LOQ517" s="1358"/>
      <c r="LOR517" s="1358"/>
      <c r="LOS517" s="1358"/>
      <c r="LOT517" s="1358"/>
      <c r="LOU517" s="1358"/>
      <c r="LOV517" s="1358"/>
      <c r="LOW517" s="1358"/>
      <c r="LOX517" s="1358"/>
      <c r="LOY517" s="1358"/>
      <c r="LOZ517" s="1358"/>
      <c r="LPA517" s="1358"/>
      <c r="LPB517" s="1358"/>
      <c r="LPC517" s="1358"/>
      <c r="LPD517" s="1358"/>
      <c r="LPE517" s="1358"/>
      <c r="LPF517" s="1358"/>
      <c r="LPG517" s="1358"/>
      <c r="LPH517" s="1358"/>
      <c r="LPI517" s="1358"/>
      <c r="LPJ517" s="1358"/>
      <c r="LPK517" s="1358"/>
      <c r="LPL517" s="1358"/>
      <c r="LPM517" s="1358"/>
      <c r="LPN517" s="1358"/>
      <c r="LPO517" s="1358"/>
      <c r="LPP517" s="1358"/>
      <c r="LPQ517" s="1358"/>
      <c r="LPR517" s="1358"/>
      <c r="LPS517" s="1358"/>
      <c r="LPT517" s="1358"/>
      <c r="LPU517" s="1358"/>
      <c r="LPV517" s="1358"/>
      <c r="LPW517" s="1358"/>
      <c r="LPX517" s="1358"/>
      <c r="LPY517" s="1358"/>
      <c r="LPZ517" s="1358"/>
      <c r="LQA517" s="1358"/>
      <c r="LQB517" s="1358"/>
      <c r="LQC517" s="1358"/>
      <c r="LQD517" s="1358"/>
      <c r="LQE517" s="1358"/>
      <c r="LQF517" s="1358"/>
      <c r="LQG517" s="1358"/>
      <c r="LQH517" s="1358"/>
      <c r="LQI517" s="1358"/>
      <c r="LQJ517" s="1358"/>
      <c r="LQK517" s="1358"/>
      <c r="LQL517" s="1358"/>
      <c r="LQM517" s="1358"/>
      <c r="LQN517" s="1358"/>
      <c r="LQO517" s="1358"/>
      <c r="LQP517" s="1358"/>
      <c r="LQQ517" s="1358"/>
      <c r="LQR517" s="1358"/>
      <c r="LQS517" s="1358"/>
      <c r="LQT517" s="1358"/>
      <c r="LQU517" s="1358"/>
      <c r="LQV517" s="1358"/>
      <c r="LQW517" s="1358"/>
      <c r="LQX517" s="1358"/>
      <c r="LQY517" s="1358"/>
      <c r="LQZ517" s="1358"/>
      <c r="LRA517" s="1358"/>
      <c r="LRB517" s="1358"/>
      <c r="LRC517" s="1358"/>
      <c r="LRD517" s="1358"/>
      <c r="LRE517" s="1358"/>
      <c r="LRF517" s="1358"/>
      <c r="LRG517" s="1358"/>
      <c r="LRH517" s="1358"/>
      <c r="LRI517" s="1358"/>
      <c r="LRJ517" s="1358"/>
      <c r="LRK517" s="1358"/>
      <c r="LRL517" s="1358"/>
      <c r="LRM517" s="1358"/>
      <c r="LRN517" s="1358"/>
      <c r="LRO517" s="1358"/>
      <c r="LRP517" s="1358"/>
      <c r="LRQ517" s="1358"/>
      <c r="LRR517" s="1358"/>
      <c r="LRS517" s="1358"/>
      <c r="LRT517" s="1358"/>
      <c r="LRU517" s="1358"/>
      <c r="LRV517" s="1358"/>
      <c r="LRW517" s="1358"/>
      <c r="LRX517" s="1358"/>
      <c r="LRY517" s="1358"/>
      <c r="LRZ517" s="1358"/>
      <c r="LSA517" s="1358"/>
      <c r="LSB517" s="1358"/>
      <c r="LSC517" s="1358"/>
      <c r="LSD517" s="1358"/>
      <c r="LSE517" s="1358"/>
      <c r="LSF517" s="1358"/>
      <c r="LSG517" s="1358"/>
      <c r="LSH517" s="1358"/>
      <c r="LSI517" s="1358"/>
      <c r="LSJ517" s="1358"/>
      <c r="LSK517" s="1358"/>
      <c r="LSL517" s="1358"/>
      <c r="LSM517" s="1358"/>
      <c r="LSN517" s="1358"/>
      <c r="LSO517" s="1358"/>
      <c r="LSP517" s="1358"/>
      <c r="LSQ517" s="1358"/>
      <c r="LSR517" s="1358"/>
      <c r="LSS517" s="1358"/>
      <c r="LST517" s="1358"/>
      <c r="LSU517" s="1358"/>
      <c r="LSV517" s="1358"/>
      <c r="LSW517" s="1358"/>
      <c r="LSX517" s="1358"/>
      <c r="LSY517" s="1358"/>
      <c r="LSZ517" s="1358"/>
      <c r="LTA517" s="1358"/>
      <c r="LTB517" s="1358"/>
      <c r="LTC517" s="1358"/>
      <c r="LTD517" s="1358"/>
      <c r="LTE517" s="1358"/>
      <c r="LTF517" s="1358"/>
      <c r="LTG517" s="1358"/>
      <c r="LTH517" s="1358"/>
      <c r="LTI517" s="1358"/>
      <c r="LTJ517" s="1358"/>
      <c r="LTK517" s="1358"/>
      <c r="LTL517" s="1358"/>
      <c r="LTM517" s="1358"/>
      <c r="LTN517" s="1358"/>
      <c r="LTO517" s="1358"/>
      <c r="LTP517" s="1358"/>
      <c r="LTQ517" s="1358"/>
      <c r="LTR517" s="1358"/>
      <c r="LTS517" s="1358"/>
      <c r="LTT517" s="1358"/>
      <c r="LTU517" s="1358"/>
      <c r="LTV517" s="1358"/>
      <c r="LTW517" s="1358"/>
      <c r="LTX517" s="1358"/>
      <c r="LTY517" s="1358"/>
      <c r="LTZ517" s="1358"/>
      <c r="LUA517" s="1358"/>
      <c r="LUB517" s="1358"/>
      <c r="LUC517" s="1358"/>
      <c r="LUD517" s="1358"/>
      <c r="LUE517" s="1358"/>
      <c r="LUF517" s="1358"/>
      <c r="LUG517" s="1358"/>
      <c r="LUH517" s="1358"/>
      <c r="LUI517" s="1358"/>
      <c r="LUJ517" s="1358"/>
      <c r="LUK517" s="1358"/>
      <c r="LUL517" s="1358"/>
      <c r="LUM517" s="1358"/>
      <c r="LUN517" s="1358"/>
      <c r="LUO517" s="1358"/>
      <c r="LUP517" s="1358"/>
      <c r="LUQ517" s="1358"/>
      <c r="LUR517" s="1358"/>
      <c r="LUS517" s="1358"/>
      <c r="LUT517" s="1358"/>
      <c r="LUU517" s="1358"/>
      <c r="LUV517" s="1358"/>
      <c r="LUW517" s="1358"/>
      <c r="LUX517" s="1358"/>
      <c r="LUY517" s="1358"/>
      <c r="LUZ517" s="1358"/>
      <c r="LVA517" s="1358"/>
      <c r="LVB517" s="1358"/>
      <c r="LVC517" s="1358"/>
      <c r="LVD517" s="1358"/>
      <c r="LVE517" s="1358"/>
      <c r="LVF517" s="1358"/>
      <c r="LVG517" s="1358"/>
      <c r="LVH517" s="1358"/>
      <c r="LVI517" s="1358"/>
      <c r="LVJ517" s="1358"/>
      <c r="LVK517" s="1358"/>
      <c r="LVL517" s="1358"/>
      <c r="LVM517" s="1358"/>
      <c r="LVN517" s="1358"/>
      <c r="LVO517" s="1358"/>
      <c r="LVP517" s="1358"/>
      <c r="LVQ517" s="1358"/>
      <c r="LVR517" s="1358"/>
      <c r="LVS517" s="1358"/>
      <c r="LVT517" s="1358"/>
      <c r="LVU517" s="1358"/>
      <c r="LVV517" s="1358"/>
      <c r="LVW517" s="1358"/>
      <c r="LVX517" s="1358"/>
      <c r="LVY517" s="1358"/>
      <c r="LVZ517" s="1358"/>
      <c r="LWA517" s="1358"/>
      <c r="LWB517" s="1358"/>
      <c r="LWC517" s="1358"/>
      <c r="LWD517" s="1358"/>
      <c r="LWE517" s="1358"/>
      <c r="LWF517" s="1358"/>
      <c r="LWG517" s="1358"/>
      <c r="LWH517" s="1358"/>
      <c r="LWI517" s="1358"/>
      <c r="LWJ517" s="1358"/>
      <c r="LWK517" s="1358"/>
      <c r="LWL517" s="1358"/>
      <c r="LWM517" s="1358"/>
      <c r="LWN517" s="1358"/>
      <c r="LWO517" s="1358"/>
      <c r="LWP517" s="1358"/>
      <c r="LWQ517" s="1358"/>
      <c r="LWR517" s="1358"/>
      <c r="LWS517" s="1358"/>
      <c r="LWT517" s="1358"/>
      <c r="LWU517" s="1358"/>
      <c r="LWV517" s="1358"/>
      <c r="LWW517" s="1358"/>
      <c r="LWX517" s="1358"/>
      <c r="LWY517" s="1358"/>
      <c r="LWZ517" s="1358"/>
      <c r="LXA517" s="1358"/>
      <c r="LXB517" s="1358"/>
      <c r="LXC517" s="1358"/>
      <c r="LXD517" s="1358"/>
      <c r="LXE517" s="1358"/>
      <c r="LXF517" s="1358"/>
      <c r="LXG517" s="1358"/>
      <c r="LXH517" s="1358"/>
      <c r="LXI517" s="1358"/>
      <c r="LXJ517" s="1358"/>
      <c r="LXK517" s="1358"/>
      <c r="LXL517" s="1358"/>
      <c r="LXM517" s="1358"/>
      <c r="LXN517" s="1358"/>
      <c r="LXO517" s="1358"/>
      <c r="LXP517" s="1358"/>
      <c r="LXQ517" s="1358"/>
      <c r="LXR517" s="1358"/>
      <c r="LXS517" s="1358"/>
      <c r="LXT517" s="1358"/>
      <c r="LXU517" s="1358"/>
      <c r="LXV517" s="1358"/>
      <c r="LXW517" s="1358"/>
      <c r="LXX517" s="1358"/>
      <c r="LXY517" s="1358"/>
      <c r="LXZ517" s="1358"/>
      <c r="LYA517" s="1358"/>
      <c r="LYB517" s="1358"/>
      <c r="LYC517" s="1358"/>
      <c r="LYD517" s="1358"/>
      <c r="LYE517" s="1358"/>
      <c r="LYF517" s="1358"/>
      <c r="LYG517" s="1358"/>
      <c r="LYH517" s="1358"/>
      <c r="LYI517" s="1358"/>
      <c r="LYJ517" s="1358"/>
      <c r="LYK517" s="1358"/>
      <c r="LYL517" s="1358"/>
      <c r="LYM517" s="1358"/>
      <c r="LYN517" s="1358"/>
      <c r="LYO517" s="1358"/>
      <c r="LYP517" s="1358"/>
      <c r="LYQ517" s="1358"/>
      <c r="LYR517" s="1358"/>
      <c r="LYS517" s="1358"/>
      <c r="LYT517" s="1358"/>
      <c r="LYU517" s="1358"/>
      <c r="LYV517" s="1358"/>
      <c r="LYW517" s="1358"/>
      <c r="LYX517" s="1358"/>
      <c r="LYY517" s="1358"/>
      <c r="LYZ517" s="1358"/>
      <c r="LZA517" s="1358"/>
      <c r="LZB517" s="1358"/>
      <c r="LZC517" s="1358"/>
      <c r="LZD517" s="1358"/>
      <c r="LZE517" s="1358"/>
      <c r="LZF517" s="1358"/>
      <c r="LZG517" s="1358"/>
      <c r="LZH517" s="1358"/>
      <c r="LZI517" s="1358"/>
      <c r="LZJ517" s="1358"/>
      <c r="LZK517" s="1358"/>
      <c r="LZL517" s="1358"/>
      <c r="LZM517" s="1358"/>
      <c r="LZN517" s="1358"/>
      <c r="LZO517" s="1358"/>
      <c r="LZP517" s="1358"/>
      <c r="LZQ517" s="1358"/>
      <c r="LZR517" s="1358"/>
      <c r="LZS517" s="1358"/>
      <c r="LZT517" s="1358"/>
      <c r="LZU517" s="1358"/>
      <c r="LZV517" s="1358"/>
      <c r="LZW517" s="1358"/>
      <c r="LZX517" s="1358"/>
      <c r="LZY517" s="1358"/>
      <c r="LZZ517" s="1358"/>
      <c r="MAA517" s="1358"/>
      <c r="MAB517" s="1358"/>
      <c r="MAC517" s="1358"/>
      <c r="MAD517" s="1358"/>
      <c r="MAE517" s="1358"/>
      <c r="MAF517" s="1358"/>
      <c r="MAG517" s="1358"/>
      <c r="MAH517" s="1358"/>
      <c r="MAI517" s="1358"/>
      <c r="MAJ517" s="1358"/>
      <c r="MAK517" s="1358"/>
      <c r="MAL517" s="1358"/>
      <c r="MAM517" s="1358"/>
      <c r="MAN517" s="1358"/>
      <c r="MAO517" s="1358"/>
      <c r="MAP517" s="1358"/>
      <c r="MAQ517" s="1358"/>
      <c r="MAR517" s="1358"/>
      <c r="MAS517" s="1358"/>
      <c r="MAT517" s="1358"/>
      <c r="MAU517" s="1358"/>
      <c r="MAV517" s="1358"/>
      <c r="MAW517" s="1358"/>
      <c r="MAX517" s="1358"/>
      <c r="MAY517" s="1358"/>
      <c r="MAZ517" s="1358"/>
      <c r="MBA517" s="1358"/>
      <c r="MBB517" s="1358"/>
      <c r="MBC517" s="1358"/>
      <c r="MBD517" s="1358"/>
      <c r="MBE517" s="1358"/>
      <c r="MBF517" s="1358"/>
      <c r="MBG517" s="1358"/>
      <c r="MBH517" s="1358"/>
      <c r="MBI517" s="1358"/>
      <c r="MBJ517" s="1358"/>
      <c r="MBK517" s="1358"/>
      <c r="MBL517" s="1358"/>
      <c r="MBM517" s="1358"/>
      <c r="MBN517" s="1358"/>
      <c r="MBO517" s="1358"/>
      <c r="MBP517" s="1358"/>
      <c r="MBQ517" s="1358"/>
      <c r="MBR517" s="1358"/>
      <c r="MBS517" s="1358"/>
      <c r="MBT517" s="1358"/>
      <c r="MBU517" s="1358"/>
      <c r="MBV517" s="1358"/>
      <c r="MBW517" s="1358"/>
      <c r="MBX517" s="1358"/>
      <c r="MBY517" s="1358"/>
      <c r="MBZ517" s="1358"/>
      <c r="MCA517" s="1358"/>
      <c r="MCB517" s="1358"/>
      <c r="MCC517" s="1358"/>
      <c r="MCD517" s="1358"/>
      <c r="MCE517" s="1358"/>
      <c r="MCF517" s="1358"/>
      <c r="MCG517" s="1358"/>
      <c r="MCH517" s="1358"/>
      <c r="MCI517" s="1358"/>
      <c r="MCJ517" s="1358"/>
      <c r="MCK517" s="1358"/>
      <c r="MCL517" s="1358"/>
      <c r="MCM517" s="1358"/>
      <c r="MCN517" s="1358"/>
      <c r="MCO517" s="1358"/>
      <c r="MCP517" s="1358"/>
      <c r="MCQ517" s="1358"/>
      <c r="MCR517" s="1358"/>
      <c r="MCS517" s="1358"/>
      <c r="MCT517" s="1358"/>
      <c r="MCU517" s="1358"/>
      <c r="MCV517" s="1358"/>
      <c r="MCW517" s="1358"/>
      <c r="MCX517" s="1358"/>
      <c r="MCY517" s="1358"/>
      <c r="MCZ517" s="1358"/>
      <c r="MDA517" s="1358"/>
      <c r="MDB517" s="1358"/>
      <c r="MDC517" s="1358"/>
      <c r="MDD517" s="1358"/>
      <c r="MDE517" s="1358"/>
      <c r="MDF517" s="1358"/>
      <c r="MDG517" s="1358"/>
      <c r="MDH517" s="1358"/>
      <c r="MDI517" s="1358"/>
      <c r="MDJ517" s="1358"/>
      <c r="MDK517" s="1358"/>
      <c r="MDL517" s="1358"/>
      <c r="MDM517" s="1358"/>
      <c r="MDN517" s="1358"/>
      <c r="MDO517" s="1358"/>
      <c r="MDP517" s="1358"/>
      <c r="MDQ517" s="1358"/>
      <c r="MDR517" s="1358"/>
      <c r="MDS517" s="1358"/>
      <c r="MDT517" s="1358"/>
      <c r="MDU517" s="1358"/>
      <c r="MDV517" s="1358"/>
      <c r="MDW517" s="1358"/>
      <c r="MDX517" s="1358"/>
      <c r="MDY517" s="1358"/>
      <c r="MDZ517" s="1358"/>
      <c r="MEA517" s="1358"/>
      <c r="MEB517" s="1358"/>
      <c r="MEC517" s="1358"/>
      <c r="MED517" s="1358"/>
      <c r="MEE517" s="1358"/>
      <c r="MEF517" s="1358"/>
      <c r="MEG517" s="1358"/>
      <c r="MEH517" s="1358"/>
      <c r="MEI517" s="1358"/>
      <c r="MEJ517" s="1358"/>
      <c r="MEK517" s="1358"/>
      <c r="MEL517" s="1358"/>
      <c r="MEM517" s="1358"/>
      <c r="MEN517" s="1358"/>
      <c r="MEO517" s="1358"/>
      <c r="MEP517" s="1358"/>
      <c r="MEQ517" s="1358"/>
      <c r="MER517" s="1358"/>
      <c r="MES517" s="1358"/>
      <c r="MET517" s="1358"/>
      <c r="MEU517" s="1358"/>
      <c r="MEV517" s="1358"/>
      <c r="MEW517" s="1358"/>
      <c r="MEX517" s="1358"/>
      <c r="MEY517" s="1358"/>
      <c r="MEZ517" s="1358"/>
      <c r="MFA517" s="1358"/>
      <c r="MFB517" s="1358"/>
      <c r="MFC517" s="1358"/>
      <c r="MFD517" s="1358"/>
      <c r="MFE517" s="1358"/>
      <c r="MFF517" s="1358"/>
      <c r="MFG517" s="1358"/>
      <c r="MFH517" s="1358"/>
      <c r="MFI517" s="1358"/>
      <c r="MFJ517" s="1358"/>
      <c r="MFK517" s="1358"/>
      <c r="MFL517" s="1358"/>
      <c r="MFM517" s="1358"/>
      <c r="MFN517" s="1358"/>
      <c r="MFO517" s="1358"/>
      <c r="MFP517" s="1358"/>
      <c r="MFQ517" s="1358"/>
      <c r="MFR517" s="1358"/>
      <c r="MFS517" s="1358"/>
      <c r="MFT517" s="1358"/>
      <c r="MFU517" s="1358"/>
      <c r="MFV517" s="1358"/>
      <c r="MFW517" s="1358"/>
      <c r="MFX517" s="1358"/>
      <c r="MFY517" s="1358"/>
      <c r="MFZ517" s="1358"/>
      <c r="MGA517" s="1358"/>
      <c r="MGB517" s="1358"/>
      <c r="MGC517" s="1358"/>
      <c r="MGD517" s="1358"/>
      <c r="MGE517" s="1358"/>
      <c r="MGF517" s="1358"/>
      <c r="MGG517" s="1358"/>
      <c r="MGH517" s="1358"/>
      <c r="MGI517" s="1358"/>
      <c r="MGJ517" s="1358"/>
      <c r="MGK517" s="1358"/>
      <c r="MGL517" s="1358"/>
      <c r="MGM517" s="1358"/>
      <c r="MGN517" s="1358"/>
      <c r="MGO517" s="1358"/>
      <c r="MGP517" s="1358"/>
      <c r="MGQ517" s="1358"/>
      <c r="MGR517" s="1358"/>
      <c r="MGS517" s="1358"/>
      <c r="MGT517" s="1358"/>
      <c r="MGU517" s="1358"/>
      <c r="MGV517" s="1358"/>
      <c r="MGW517" s="1358"/>
      <c r="MGX517" s="1358"/>
      <c r="MGY517" s="1358"/>
      <c r="MGZ517" s="1358"/>
      <c r="MHA517" s="1358"/>
      <c r="MHB517" s="1358"/>
      <c r="MHC517" s="1358"/>
      <c r="MHD517" s="1358"/>
      <c r="MHE517" s="1358"/>
      <c r="MHF517" s="1358"/>
      <c r="MHG517" s="1358"/>
      <c r="MHH517" s="1358"/>
      <c r="MHI517" s="1358"/>
      <c r="MHJ517" s="1358"/>
      <c r="MHK517" s="1358"/>
      <c r="MHL517" s="1358"/>
      <c r="MHM517" s="1358"/>
      <c r="MHN517" s="1358"/>
      <c r="MHO517" s="1358"/>
      <c r="MHP517" s="1358"/>
      <c r="MHQ517" s="1358"/>
      <c r="MHR517" s="1358"/>
      <c r="MHS517" s="1358"/>
      <c r="MHT517" s="1358"/>
      <c r="MHU517" s="1358"/>
      <c r="MHV517" s="1358"/>
      <c r="MHW517" s="1358"/>
      <c r="MHX517" s="1358"/>
      <c r="MHY517" s="1358"/>
      <c r="MHZ517" s="1358"/>
      <c r="MIA517" s="1358"/>
      <c r="MIB517" s="1358"/>
      <c r="MIC517" s="1358"/>
      <c r="MID517" s="1358"/>
      <c r="MIE517" s="1358"/>
      <c r="MIF517" s="1358"/>
      <c r="MIG517" s="1358"/>
      <c r="MIH517" s="1358"/>
      <c r="MII517" s="1358"/>
      <c r="MIJ517" s="1358"/>
      <c r="MIK517" s="1358"/>
      <c r="MIL517" s="1358"/>
      <c r="MIM517" s="1358"/>
      <c r="MIN517" s="1358"/>
      <c r="MIO517" s="1358"/>
      <c r="MIP517" s="1358"/>
      <c r="MIQ517" s="1358"/>
      <c r="MIR517" s="1358"/>
      <c r="MIS517" s="1358"/>
      <c r="MIT517" s="1358"/>
      <c r="MIU517" s="1358"/>
      <c r="MIV517" s="1358"/>
      <c r="MIW517" s="1358"/>
      <c r="MIX517" s="1358"/>
      <c r="MIY517" s="1358"/>
      <c r="MIZ517" s="1358"/>
      <c r="MJA517" s="1358"/>
      <c r="MJB517" s="1358"/>
      <c r="MJC517" s="1358"/>
      <c r="MJD517" s="1358"/>
      <c r="MJE517" s="1358"/>
      <c r="MJF517" s="1358"/>
      <c r="MJG517" s="1358"/>
      <c r="MJH517" s="1358"/>
      <c r="MJI517" s="1358"/>
      <c r="MJJ517" s="1358"/>
      <c r="MJK517" s="1358"/>
      <c r="MJL517" s="1358"/>
      <c r="MJM517" s="1358"/>
      <c r="MJN517" s="1358"/>
      <c r="MJO517" s="1358"/>
      <c r="MJP517" s="1358"/>
      <c r="MJQ517" s="1358"/>
      <c r="MJR517" s="1358"/>
      <c r="MJS517" s="1358"/>
      <c r="MJT517" s="1358"/>
      <c r="MJU517" s="1358"/>
      <c r="MJV517" s="1358"/>
      <c r="MJW517" s="1358"/>
      <c r="MJX517" s="1358"/>
      <c r="MJY517" s="1358"/>
      <c r="MJZ517" s="1358"/>
      <c r="MKA517" s="1358"/>
      <c r="MKB517" s="1358"/>
      <c r="MKC517" s="1358"/>
      <c r="MKD517" s="1358"/>
      <c r="MKE517" s="1358"/>
      <c r="MKF517" s="1358"/>
      <c r="MKG517" s="1358"/>
      <c r="MKH517" s="1358"/>
      <c r="MKI517" s="1358"/>
      <c r="MKJ517" s="1358"/>
      <c r="MKK517" s="1358"/>
      <c r="MKL517" s="1358"/>
      <c r="MKM517" s="1358"/>
      <c r="MKN517" s="1358"/>
      <c r="MKO517" s="1358"/>
      <c r="MKP517" s="1358"/>
      <c r="MKQ517" s="1358"/>
      <c r="MKR517" s="1358"/>
      <c r="MKS517" s="1358"/>
      <c r="MKT517" s="1358"/>
      <c r="MKU517" s="1358"/>
      <c r="MKV517" s="1358"/>
      <c r="MKW517" s="1358"/>
      <c r="MKX517" s="1358"/>
      <c r="MKY517" s="1358"/>
      <c r="MKZ517" s="1358"/>
      <c r="MLA517" s="1358"/>
      <c r="MLB517" s="1358"/>
      <c r="MLC517" s="1358"/>
      <c r="MLD517" s="1358"/>
      <c r="MLE517" s="1358"/>
      <c r="MLF517" s="1358"/>
      <c r="MLG517" s="1358"/>
      <c r="MLH517" s="1358"/>
      <c r="MLI517" s="1358"/>
      <c r="MLJ517" s="1358"/>
      <c r="MLK517" s="1358"/>
      <c r="MLL517" s="1358"/>
      <c r="MLM517" s="1358"/>
      <c r="MLN517" s="1358"/>
      <c r="MLO517" s="1358"/>
      <c r="MLP517" s="1358"/>
      <c r="MLQ517" s="1358"/>
      <c r="MLR517" s="1358"/>
      <c r="MLS517" s="1358"/>
      <c r="MLT517" s="1358"/>
      <c r="MLU517" s="1358"/>
      <c r="MLV517" s="1358"/>
      <c r="MLW517" s="1358"/>
      <c r="MLX517" s="1358"/>
      <c r="MLY517" s="1358"/>
      <c r="MLZ517" s="1358"/>
      <c r="MMA517" s="1358"/>
      <c r="MMB517" s="1358"/>
      <c r="MMC517" s="1358"/>
      <c r="MMD517" s="1358"/>
      <c r="MME517" s="1358"/>
      <c r="MMF517" s="1358"/>
      <c r="MMG517" s="1358"/>
      <c r="MMH517" s="1358"/>
      <c r="MMI517" s="1358"/>
      <c r="MMJ517" s="1358"/>
      <c r="MMK517" s="1358"/>
      <c r="MML517" s="1358"/>
      <c r="MMM517" s="1358"/>
      <c r="MMN517" s="1358"/>
      <c r="MMO517" s="1358"/>
      <c r="MMP517" s="1358"/>
      <c r="MMQ517" s="1358"/>
      <c r="MMR517" s="1358"/>
      <c r="MMS517" s="1358"/>
      <c r="MMT517" s="1358"/>
      <c r="MMU517" s="1358"/>
      <c r="MMV517" s="1358"/>
      <c r="MMW517" s="1358"/>
      <c r="MMX517" s="1358"/>
      <c r="MMY517" s="1358"/>
      <c r="MMZ517" s="1358"/>
      <c r="MNA517" s="1358"/>
      <c r="MNB517" s="1358"/>
      <c r="MNC517" s="1358"/>
      <c r="MND517" s="1358"/>
      <c r="MNE517" s="1358"/>
      <c r="MNF517" s="1358"/>
      <c r="MNG517" s="1358"/>
      <c r="MNH517" s="1358"/>
      <c r="MNI517" s="1358"/>
      <c r="MNJ517" s="1358"/>
      <c r="MNK517" s="1358"/>
      <c r="MNL517" s="1358"/>
      <c r="MNM517" s="1358"/>
      <c r="MNN517" s="1358"/>
      <c r="MNO517" s="1358"/>
      <c r="MNP517" s="1358"/>
      <c r="MNQ517" s="1358"/>
      <c r="MNR517" s="1358"/>
      <c r="MNS517" s="1358"/>
      <c r="MNT517" s="1358"/>
      <c r="MNU517" s="1358"/>
      <c r="MNV517" s="1358"/>
      <c r="MNW517" s="1358"/>
      <c r="MNX517" s="1358"/>
      <c r="MNY517" s="1358"/>
      <c r="MNZ517" s="1358"/>
      <c r="MOA517" s="1358"/>
      <c r="MOB517" s="1358"/>
      <c r="MOC517" s="1358"/>
      <c r="MOD517" s="1358"/>
      <c r="MOE517" s="1358"/>
      <c r="MOF517" s="1358"/>
      <c r="MOG517" s="1358"/>
      <c r="MOH517" s="1358"/>
      <c r="MOI517" s="1358"/>
      <c r="MOJ517" s="1358"/>
      <c r="MOK517" s="1358"/>
      <c r="MOL517" s="1358"/>
      <c r="MOM517" s="1358"/>
      <c r="MON517" s="1358"/>
      <c r="MOO517" s="1358"/>
      <c r="MOP517" s="1358"/>
      <c r="MOQ517" s="1358"/>
      <c r="MOR517" s="1358"/>
      <c r="MOS517" s="1358"/>
      <c r="MOT517" s="1358"/>
      <c r="MOU517" s="1358"/>
      <c r="MOV517" s="1358"/>
      <c r="MOW517" s="1358"/>
      <c r="MOX517" s="1358"/>
      <c r="MOY517" s="1358"/>
      <c r="MOZ517" s="1358"/>
      <c r="MPA517" s="1358"/>
      <c r="MPB517" s="1358"/>
      <c r="MPC517" s="1358"/>
      <c r="MPD517" s="1358"/>
      <c r="MPE517" s="1358"/>
      <c r="MPF517" s="1358"/>
      <c r="MPG517" s="1358"/>
      <c r="MPH517" s="1358"/>
      <c r="MPI517" s="1358"/>
      <c r="MPJ517" s="1358"/>
      <c r="MPK517" s="1358"/>
      <c r="MPL517" s="1358"/>
      <c r="MPM517" s="1358"/>
      <c r="MPN517" s="1358"/>
      <c r="MPO517" s="1358"/>
      <c r="MPP517" s="1358"/>
      <c r="MPQ517" s="1358"/>
      <c r="MPR517" s="1358"/>
      <c r="MPS517" s="1358"/>
      <c r="MPT517" s="1358"/>
      <c r="MPU517" s="1358"/>
      <c r="MPV517" s="1358"/>
      <c r="MPW517" s="1358"/>
      <c r="MPX517" s="1358"/>
      <c r="MPY517" s="1358"/>
      <c r="MPZ517" s="1358"/>
      <c r="MQA517" s="1358"/>
      <c r="MQB517" s="1358"/>
      <c r="MQC517" s="1358"/>
      <c r="MQD517" s="1358"/>
      <c r="MQE517" s="1358"/>
      <c r="MQF517" s="1358"/>
      <c r="MQG517" s="1358"/>
      <c r="MQH517" s="1358"/>
      <c r="MQI517" s="1358"/>
      <c r="MQJ517" s="1358"/>
      <c r="MQK517" s="1358"/>
      <c r="MQL517" s="1358"/>
      <c r="MQM517" s="1358"/>
      <c r="MQN517" s="1358"/>
      <c r="MQO517" s="1358"/>
      <c r="MQP517" s="1358"/>
      <c r="MQQ517" s="1358"/>
      <c r="MQR517" s="1358"/>
      <c r="MQS517" s="1358"/>
      <c r="MQT517" s="1358"/>
      <c r="MQU517" s="1358"/>
      <c r="MQV517" s="1358"/>
      <c r="MQW517" s="1358"/>
      <c r="MQX517" s="1358"/>
      <c r="MQY517" s="1358"/>
      <c r="MQZ517" s="1358"/>
      <c r="MRA517" s="1358"/>
      <c r="MRB517" s="1358"/>
      <c r="MRC517" s="1358"/>
      <c r="MRD517" s="1358"/>
      <c r="MRE517" s="1358"/>
      <c r="MRF517" s="1358"/>
      <c r="MRG517" s="1358"/>
      <c r="MRH517" s="1358"/>
      <c r="MRI517" s="1358"/>
      <c r="MRJ517" s="1358"/>
      <c r="MRK517" s="1358"/>
      <c r="MRL517" s="1358"/>
      <c r="MRM517" s="1358"/>
      <c r="MRN517" s="1358"/>
      <c r="MRO517" s="1358"/>
      <c r="MRP517" s="1358"/>
      <c r="MRQ517" s="1358"/>
      <c r="MRR517" s="1358"/>
      <c r="MRS517" s="1358"/>
      <c r="MRT517" s="1358"/>
      <c r="MRU517" s="1358"/>
      <c r="MRV517" s="1358"/>
      <c r="MRW517" s="1358"/>
      <c r="MRX517" s="1358"/>
      <c r="MRY517" s="1358"/>
      <c r="MRZ517" s="1358"/>
      <c r="MSA517" s="1358"/>
      <c r="MSB517" s="1358"/>
      <c r="MSC517" s="1358"/>
      <c r="MSD517" s="1358"/>
      <c r="MSE517" s="1358"/>
      <c r="MSF517" s="1358"/>
      <c r="MSG517" s="1358"/>
      <c r="MSH517" s="1358"/>
      <c r="MSI517" s="1358"/>
      <c r="MSJ517" s="1358"/>
      <c r="MSK517" s="1358"/>
      <c r="MSL517" s="1358"/>
      <c r="MSM517" s="1358"/>
      <c r="MSN517" s="1358"/>
      <c r="MSO517" s="1358"/>
      <c r="MSP517" s="1358"/>
      <c r="MSQ517" s="1358"/>
      <c r="MSR517" s="1358"/>
      <c r="MSS517" s="1358"/>
      <c r="MST517" s="1358"/>
      <c r="MSU517" s="1358"/>
      <c r="MSV517" s="1358"/>
      <c r="MSW517" s="1358"/>
      <c r="MSX517" s="1358"/>
      <c r="MSY517" s="1358"/>
      <c r="MSZ517" s="1358"/>
      <c r="MTA517" s="1358"/>
      <c r="MTB517" s="1358"/>
      <c r="MTC517" s="1358"/>
      <c r="MTD517" s="1358"/>
      <c r="MTE517" s="1358"/>
      <c r="MTF517" s="1358"/>
      <c r="MTG517" s="1358"/>
      <c r="MTH517" s="1358"/>
      <c r="MTI517" s="1358"/>
      <c r="MTJ517" s="1358"/>
      <c r="MTK517" s="1358"/>
      <c r="MTL517" s="1358"/>
      <c r="MTM517" s="1358"/>
      <c r="MTN517" s="1358"/>
      <c r="MTO517" s="1358"/>
      <c r="MTP517" s="1358"/>
      <c r="MTQ517" s="1358"/>
      <c r="MTR517" s="1358"/>
      <c r="MTS517" s="1358"/>
      <c r="MTT517" s="1358"/>
      <c r="MTU517" s="1358"/>
      <c r="MTV517" s="1358"/>
      <c r="MTW517" s="1358"/>
      <c r="MTX517" s="1358"/>
      <c r="MTY517" s="1358"/>
      <c r="MTZ517" s="1358"/>
      <c r="MUA517" s="1358"/>
      <c r="MUB517" s="1358"/>
      <c r="MUC517" s="1358"/>
      <c r="MUD517" s="1358"/>
      <c r="MUE517" s="1358"/>
      <c r="MUF517" s="1358"/>
      <c r="MUG517" s="1358"/>
      <c r="MUH517" s="1358"/>
      <c r="MUI517" s="1358"/>
      <c r="MUJ517" s="1358"/>
      <c r="MUK517" s="1358"/>
      <c r="MUL517" s="1358"/>
      <c r="MUM517" s="1358"/>
      <c r="MUN517" s="1358"/>
      <c r="MUO517" s="1358"/>
      <c r="MUP517" s="1358"/>
      <c r="MUQ517" s="1358"/>
      <c r="MUR517" s="1358"/>
      <c r="MUS517" s="1358"/>
      <c r="MUT517" s="1358"/>
      <c r="MUU517" s="1358"/>
      <c r="MUV517" s="1358"/>
      <c r="MUW517" s="1358"/>
      <c r="MUX517" s="1358"/>
      <c r="MUY517" s="1358"/>
      <c r="MUZ517" s="1358"/>
      <c r="MVA517" s="1358"/>
      <c r="MVB517" s="1358"/>
      <c r="MVC517" s="1358"/>
      <c r="MVD517" s="1358"/>
      <c r="MVE517" s="1358"/>
      <c r="MVF517" s="1358"/>
      <c r="MVG517" s="1358"/>
      <c r="MVH517" s="1358"/>
      <c r="MVI517" s="1358"/>
      <c r="MVJ517" s="1358"/>
      <c r="MVK517" s="1358"/>
      <c r="MVL517" s="1358"/>
      <c r="MVM517" s="1358"/>
      <c r="MVN517" s="1358"/>
      <c r="MVO517" s="1358"/>
      <c r="MVP517" s="1358"/>
      <c r="MVQ517" s="1358"/>
      <c r="MVR517" s="1358"/>
      <c r="MVS517" s="1358"/>
      <c r="MVT517" s="1358"/>
      <c r="MVU517" s="1358"/>
      <c r="MVV517" s="1358"/>
      <c r="MVW517" s="1358"/>
      <c r="MVX517" s="1358"/>
      <c r="MVY517" s="1358"/>
      <c r="MVZ517" s="1358"/>
      <c r="MWA517" s="1358"/>
      <c r="MWB517" s="1358"/>
      <c r="MWC517" s="1358"/>
      <c r="MWD517" s="1358"/>
      <c r="MWE517" s="1358"/>
      <c r="MWF517" s="1358"/>
      <c r="MWG517" s="1358"/>
      <c r="MWH517" s="1358"/>
      <c r="MWI517" s="1358"/>
      <c r="MWJ517" s="1358"/>
      <c r="MWK517" s="1358"/>
      <c r="MWL517" s="1358"/>
      <c r="MWM517" s="1358"/>
      <c r="MWN517" s="1358"/>
      <c r="MWO517" s="1358"/>
      <c r="MWP517" s="1358"/>
      <c r="MWQ517" s="1358"/>
      <c r="MWR517" s="1358"/>
      <c r="MWS517" s="1358"/>
      <c r="MWT517" s="1358"/>
      <c r="MWU517" s="1358"/>
      <c r="MWV517" s="1358"/>
      <c r="MWW517" s="1358"/>
      <c r="MWX517" s="1358"/>
      <c r="MWY517" s="1358"/>
      <c r="MWZ517" s="1358"/>
      <c r="MXA517" s="1358"/>
      <c r="MXB517" s="1358"/>
      <c r="MXC517" s="1358"/>
      <c r="MXD517" s="1358"/>
      <c r="MXE517" s="1358"/>
      <c r="MXF517" s="1358"/>
      <c r="MXG517" s="1358"/>
      <c r="MXH517" s="1358"/>
      <c r="MXI517" s="1358"/>
      <c r="MXJ517" s="1358"/>
      <c r="MXK517" s="1358"/>
      <c r="MXL517" s="1358"/>
      <c r="MXM517" s="1358"/>
      <c r="MXN517" s="1358"/>
      <c r="MXO517" s="1358"/>
      <c r="MXP517" s="1358"/>
      <c r="MXQ517" s="1358"/>
      <c r="MXR517" s="1358"/>
      <c r="MXS517" s="1358"/>
      <c r="MXT517" s="1358"/>
      <c r="MXU517" s="1358"/>
      <c r="MXV517" s="1358"/>
      <c r="MXW517" s="1358"/>
      <c r="MXX517" s="1358"/>
      <c r="MXY517" s="1358"/>
      <c r="MXZ517" s="1358"/>
      <c r="MYA517" s="1358"/>
      <c r="MYB517" s="1358"/>
      <c r="MYC517" s="1358"/>
      <c r="MYD517" s="1358"/>
      <c r="MYE517" s="1358"/>
      <c r="MYF517" s="1358"/>
      <c r="MYG517" s="1358"/>
      <c r="MYH517" s="1358"/>
      <c r="MYI517" s="1358"/>
      <c r="MYJ517" s="1358"/>
      <c r="MYK517" s="1358"/>
      <c r="MYL517" s="1358"/>
      <c r="MYM517" s="1358"/>
      <c r="MYN517" s="1358"/>
      <c r="MYO517" s="1358"/>
      <c r="MYP517" s="1358"/>
      <c r="MYQ517" s="1358"/>
      <c r="MYR517" s="1358"/>
      <c r="MYS517" s="1358"/>
      <c r="MYT517" s="1358"/>
      <c r="MYU517" s="1358"/>
      <c r="MYV517" s="1358"/>
      <c r="MYW517" s="1358"/>
      <c r="MYX517" s="1358"/>
      <c r="MYY517" s="1358"/>
      <c r="MYZ517" s="1358"/>
      <c r="MZA517" s="1358"/>
      <c r="MZB517" s="1358"/>
      <c r="MZC517" s="1358"/>
      <c r="MZD517" s="1358"/>
      <c r="MZE517" s="1358"/>
      <c r="MZF517" s="1358"/>
      <c r="MZG517" s="1358"/>
      <c r="MZH517" s="1358"/>
      <c r="MZI517" s="1358"/>
      <c r="MZJ517" s="1358"/>
      <c r="MZK517" s="1358"/>
      <c r="MZL517" s="1358"/>
      <c r="MZM517" s="1358"/>
      <c r="MZN517" s="1358"/>
      <c r="MZO517" s="1358"/>
      <c r="MZP517" s="1358"/>
      <c r="MZQ517" s="1358"/>
      <c r="MZR517" s="1358"/>
      <c r="MZS517" s="1358"/>
      <c r="MZT517" s="1358"/>
      <c r="MZU517" s="1358"/>
      <c r="MZV517" s="1358"/>
      <c r="MZW517" s="1358"/>
      <c r="MZX517" s="1358"/>
      <c r="MZY517" s="1358"/>
      <c r="MZZ517" s="1358"/>
      <c r="NAA517" s="1358"/>
      <c r="NAB517" s="1358"/>
      <c r="NAC517" s="1358"/>
      <c r="NAD517" s="1358"/>
      <c r="NAE517" s="1358"/>
      <c r="NAF517" s="1358"/>
      <c r="NAG517" s="1358"/>
      <c r="NAH517" s="1358"/>
      <c r="NAI517" s="1358"/>
      <c r="NAJ517" s="1358"/>
      <c r="NAK517" s="1358"/>
      <c r="NAL517" s="1358"/>
      <c r="NAM517" s="1358"/>
      <c r="NAN517" s="1358"/>
      <c r="NAO517" s="1358"/>
      <c r="NAP517" s="1358"/>
      <c r="NAQ517" s="1358"/>
      <c r="NAR517" s="1358"/>
      <c r="NAS517" s="1358"/>
      <c r="NAT517" s="1358"/>
      <c r="NAU517" s="1358"/>
      <c r="NAV517" s="1358"/>
      <c r="NAW517" s="1358"/>
      <c r="NAX517" s="1358"/>
      <c r="NAY517" s="1358"/>
      <c r="NAZ517" s="1358"/>
      <c r="NBA517" s="1358"/>
      <c r="NBB517" s="1358"/>
      <c r="NBC517" s="1358"/>
      <c r="NBD517" s="1358"/>
      <c r="NBE517" s="1358"/>
      <c r="NBF517" s="1358"/>
      <c r="NBG517" s="1358"/>
      <c r="NBH517" s="1358"/>
      <c r="NBI517" s="1358"/>
      <c r="NBJ517" s="1358"/>
      <c r="NBK517" s="1358"/>
      <c r="NBL517" s="1358"/>
      <c r="NBM517" s="1358"/>
      <c r="NBN517" s="1358"/>
      <c r="NBO517" s="1358"/>
      <c r="NBP517" s="1358"/>
      <c r="NBQ517" s="1358"/>
      <c r="NBR517" s="1358"/>
      <c r="NBS517" s="1358"/>
      <c r="NBT517" s="1358"/>
      <c r="NBU517" s="1358"/>
      <c r="NBV517" s="1358"/>
      <c r="NBW517" s="1358"/>
      <c r="NBX517" s="1358"/>
      <c r="NBY517" s="1358"/>
      <c r="NBZ517" s="1358"/>
      <c r="NCA517" s="1358"/>
      <c r="NCB517" s="1358"/>
      <c r="NCC517" s="1358"/>
      <c r="NCD517" s="1358"/>
      <c r="NCE517" s="1358"/>
      <c r="NCF517" s="1358"/>
      <c r="NCG517" s="1358"/>
      <c r="NCH517" s="1358"/>
      <c r="NCI517" s="1358"/>
      <c r="NCJ517" s="1358"/>
      <c r="NCK517" s="1358"/>
      <c r="NCL517" s="1358"/>
      <c r="NCM517" s="1358"/>
      <c r="NCN517" s="1358"/>
      <c r="NCO517" s="1358"/>
      <c r="NCP517" s="1358"/>
      <c r="NCQ517" s="1358"/>
      <c r="NCR517" s="1358"/>
      <c r="NCS517" s="1358"/>
      <c r="NCT517" s="1358"/>
      <c r="NCU517" s="1358"/>
      <c r="NCV517" s="1358"/>
      <c r="NCW517" s="1358"/>
      <c r="NCX517" s="1358"/>
      <c r="NCY517" s="1358"/>
      <c r="NCZ517" s="1358"/>
      <c r="NDA517" s="1358"/>
      <c r="NDB517" s="1358"/>
      <c r="NDC517" s="1358"/>
      <c r="NDD517" s="1358"/>
      <c r="NDE517" s="1358"/>
      <c r="NDF517" s="1358"/>
      <c r="NDG517" s="1358"/>
      <c r="NDH517" s="1358"/>
      <c r="NDI517" s="1358"/>
      <c r="NDJ517" s="1358"/>
      <c r="NDK517" s="1358"/>
      <c r="NDL517" s="1358"/>
      <c r="NDM517" s="1358"/>
      <c r="NDN517" s="1358"/>
      <c r="NDO517" s="1358"/>
      <c r="NDP517" s="1358"/>
      <c r="NDQ517" s="1358"/>
      <c r="NDR517" s="1358"/>
      <c r="NDS517" s="1358"/>
      <c r="NDT517" s="1358"/>
      <c r="NDU517" s="1358"/>
      <c r="NDV517" s="1358"/>
      <c r="NDW517" s="1358"/>
      <c r="NDX517" s="1358"/>
      <c r="NDY517" s="1358"/>
      <c r="NDZ517" s="1358"/>
      <c r="NEA517" s="1358"/>
      <c r="NEB517" s="1358"/>
      <c r="NEC517" s="1358"/>
      <c r="NED517" s="1358"/>
      <c r="NEE517" s="1358"/>
      <c r="NEF517" s="1358"/>
      <c r="NEG517" s="1358"/>
      <c r="NEH517" s="1358"/>
      <c r="NEI517" s="1358"/>
      <c r="NEJ517" s="1358"/>
      <c r="NEK517" s="1358"/>
      <c r="NEL517" s="1358"/>
      <c r="NEM517" s="1358"/>
      <c r="NEN517" s="1358"/>
      <c r="NEO517" s="1358"/>
      <c r="NEP517" s="1358"/>
      <c r="NEQ517" s="1358"/>
      <c r="NER517" s="1358"/>
      <c r="NES517" s="1358"/>
      <c r="NET517" s="1358"/>
      <c r="NEU517" s="1358"/>
      <c r="NEV517" s="1358"/>
      <c r="NEW517" s="1358"/>
      <c r="NEX517" s="1358"/>
      <c r="NEY517" s="1358"/>
      <c r="NEZ517" s="1358"/>
      <c r="NFA517" s="1358"/>
      <c r="NFB517" s="1358"/>
      <c r="NFC517" s="1358"/>
      <c r="NFD517" s="1358"/>
      <c r="NFE517" s="1358"/>
      <c r="NFF517" s="1358"/>
      <c r="NFG517" s="1358"/>
      <c r="NFH517" s="1358"/>
      <c r="NFI517" s="1358"/>
      <c r="NFJ517" s="1358"/>
      <c r="NFK517" s="1358"/>
      <c r="NFL517" s="1358"/>
      <c r="NFM517" s="1358"/>
      <c r="NFN517" s="1358"/>
      <c r="NFO517" s="1358"/>
      <c r="NFP517" s="1358"/>
      <c r="NFQ517" s="1358"/>
      <c r="NFR517" s="1358"/>
      <c r="NFS517" s="1358"/>
      <c r="NFT517" s="1358"/>
      <c r="NFU517" s="1358"/>
      <c r="NFV517" s="1358"/>
      <c r="NFW517" s="1358"/>
      <c r="NFX517" s="1358"/>
      <c r="NFY517" s="1358"/>
      <c r="NFZ517" s="1358"/>
      <c r="NGA517" s="1358"/>
      <c r="NGB517" s="1358"/>
      <c r="NGC517" s="1358"/>
      <c r="NGD517" s="1358"/>
      <c r="NGE517" s="1358"/>
      <c r="NGF517" s="1358"/>
      <c r="NGG517" s="1358"/>
      <c r="NGH517" s="1358"/>
      <c r="NGI517" s="1358"/>
      <c r="NGJ517" s="1358"/>
      <c r="NGK517" s="1358"/>
      <c r="NGL517" s="1358"/>
      <c r="NGM517" s="1358"/>
      <c r="NGN517" s="1358"/>
      <c r="NGO517" s="1358"/>
      <c r="NGP517" s="1358"/>
      <c r="NGQ517" s="1358"/>
      <c r="NGR517" s="1358"/>
      <c r="NGS517" s="1358"/>
      <c r="NGT517" s="1358"/>
      <c r="NGU517" s="1358"/>
      <c r="NGV517" s="1358"/>
      <c r="NGW517" s="1358"/>
      <c r="NGX517" s="1358"/>
      <c r="NGY517" s="1358"/>
      <c r="NGZ517" s="1358"/>
      <c r="NHA517" s="1358"/>
      <c r="NHB517" s="1358"/>
      <c r="NHC517" s="1358"/>
      <c r="NHD517" s="1358"/>
      <c r="NHE517" s="1358"/>
      <c r="NHF517" s="1358"/>
      <c r="NHG517" s="1358"/>
      <c r="NHH517" s="1358"/>
      <c r="NHI517" s="1358"/>
      <c r="NHJ517" s="1358"/>
      <c r="NHK517" s="1358"/>
      <c r="NHL517" s="1358"/>
      <c r="NHM517" s="1358"/>
      <c r="NHN517" s="1358"/>
      <c r="NHO517" s="1358"/>
      <c r="NHP517" s="1358"/>
      <c r="NHQ517" s="1358"/>
      <c r="NHR517" s="1358"/>
      <c r="NHS517" s="1358"/>
      <c r="NHT517" s="1358"/>
      <c r="NHU517" s="1358"/>
      <c r="NHV517" s="1358"/>
      <c r="NHW517" s="1358"/>
      <c r="NHX517" s="1358"/>
      <c r="NHY517" s="1358"/>
      <c r="NHZ517" s="1358"/>
      <c r="NIA517" s="1358"/>
      <c r="NIB517" s="1358"/>
      <c r="NIC517" s="1358"/>
      <c r="NID517" s="1358"/>
      <c r="NIE517" s="1358"/>
      <c r="NIF517" s="1358"/>
      <c r="NIG517" s="1358"/>
      <c r="NIH517" s="1358"/>
      <c r="NII517" s="1358"/>
      <c r="NIJ517" s="1358"/>
      <c r="NIK517" s="1358"/>
      <c r="NIL517" s="1358"/>
      <c r="NIM517" s="1358"/>
      <c r="NIN517" s="1358"/>
      <c r="NIO517" s="1358"/>
      <c r="NIP517" s="1358"/>
      <c r="NIQ517" s="1358"/>
      <c r="NIR517" s="1358"/>
      <c r="NIS517" s="1358"/>
      <c r="NIT517" s="1358"/>
      <c r="NIU517" s="1358"/>
      <c r="NIV517" s="1358"/>
      <c r="NIW517" s="1358"/>
      <c r="NIX517" s="1358"/>
      <c r="NIY517" s="1358"/>
      <c r="NIZ517" s="1358"/>
      <c r="NJA517" s="1358"/>
      <c r="NJB517" s="1358"/>
      <c r="NJC517" s="1358"/>
      <c r="NJD517" s="1358"/>
      <c r="NJE517" s="1358"/>
      <c r="NJF517" s="1358"/>
      <c r="NJG517" s="1358"/>
      <c r="NJH517" s="1358"/>
      <c r="NJI517" s="1358"/>
      <c r="NJJ517" s="1358"/>
      <c r="NJK517" s="1358"/>
      <c r="NJL517" s="1358"/>
      <c r="NJM517" s="1358"/>
      <c r="NJN517" s="1358"/>
      <c r="NJO517" s="1358"/>
      <c r="NJP517" s="1358"/>
      <c r="NJQ517" s="1358"/>
      <c r="NJR517" s="1358"/>
      <c r="NJS517" s="1358"/>
      <c r="NJT517" s="1358"/>
      <c r="NJU517" s="1358"/>
      <c r="NJV517" s="1358"/>
      <c r="NJW517" s="1358"/>
      <c r="NJX517" s="1358"/>
      <c r="NJY517" s="1358"/>
      <c r="NJZ517" s="1358"/>
      <c r="NKA517" s="1358"/>
      <c r="NKB517" s="1358"/>
      <c r="NKC517" s="1358"/>
      <c r="NKD517" s="1358"/>
      <c r="NKE517" s="1358"/>
      <c r="NKF517" s="1358"/>
      <c r="NKG517" s="1358"/>
      <c r="NKH517" s="1358"/>
      <c r="NKI517" s="1358"/>
      <c r="NKJ517" s="1358"/>
      <c r="NKK517" s="1358"/>
      <c r="NKL517" s="1358"/>
      <c r="NKM517" s="1358"/>
      <c r="NKN517" s="1358"/>
      <c r="NKO517" s="1358"/>
      <c r="NKP517" s="1358"/>
      <c r="NKQ517" s="1358"/>
      <c r="NKR517" s="1358"/>
      <c r="NKS517" s="1358"/>
      <c r="NKT517" s="1358"/>
      <c r="NKU517" s="1358"/>
      <c r="NKV517" s="1358"/>
      <c r="NKW517" s="1358"/>
      <c r="NKX517" s="1358"/>
      <c r="NKY517" s="1358"/>
      <c r="NKZ517" s="1358"/>
      <c r="NLA517" s="1358"/>
      <c r="NLB517" s="1358"/>
      <c r="NLC517" s="1358"/>
      <c r="NLD517" s="1358"/>
      <c r="NLE517" s="1358"/>
      <c r="NLF517" s="1358"/>
      <c r="NLG517" s="1358"/>
      <c r="NLH517" s="1358"/>
      <c r="NLI517" s="1358"/>
      <c r="NLJ517" s="1358"/>
      <c r="NLK517" s="1358"/>
      <c r="NLL517" s="1358"/>
      <c r="NLM517" s="1358"/>
      <c r="NLN517" s="1358"/>
      <c r="NLO517" s="1358"/>
      <c r="NLP517" s="1358"/>
      <c r="NLQ517" s="1358"/>
      <c r="NLR517" s="1358"/>
      <c r="NLS517" s="1358"/>
      <c r="NLT517" s="1358"/>
      <c r="NLU517" s="1358"/>
      <c r="NLV517" s="1358"/>
      <c r="NLW517" s="1358"/>
      <c r="NLX517" s="1358"/>
      <c r="NLY517" s="1358"/>
      <c r="NLZ517" s="1358"/>
      <c r="NMA517" s="1358"/>
      <c r="NMB517" s="1358"/>
      <c r="NMC517" s="1358"/>
      <c r="NMD517" s="1358"/>
      <c r="NME517" s="1358"/>
      <c r="NMF517" s="1358"/>
      <c r="NMG517" s="1358"/>
      <c r="NMH517" s="1358"/>
      <c r="NMI517" s="1358"/>
      <c r="NMJ517" s="1358"/>
      <c r="NMK517" s="1358"/>
      <c r="NML517" s="1358"/>
      <c r="NMM517" s="1358"/>
      <c r="NMN517" s="1358"/>
      <c r="NMO517" s="1358"/>
      <c r="NMP517" s="1358"/>
      <c r="NMQ517" s="1358"/>
      <c r="NMR517" s="1358"/>
      <c r="NMS517" s="1358"/>
      <c r="NMT517" s="1358"/>
      <c r="NMU517" s="1358"/>
      <c r="NMV517" s="1358"/>
      <c r="NMW517" s="1358"/>
      <c r="NMX517" s="1358"/>
      <c r="NMY517" s="1358"/>
      <c r="NMZ517" s="1358"/>
      <c r="NNA517" s="1358"/>
      <c r="NNB517" s="1358"/>
      <c r="NNC517" s="1358"/>
      <c r="NND517" s="1358"/>
      <c r="NNE517" s="1358"/>
      <c r="NNF517" s="1358"/>
      <c r="NNG517" s="1358"/>
      <c r="NNH517" s="1358"/>
      <c r="NNI517" s="1358"/>
      <c r="NNJ517" s="1358"/>
      <c r="NNK517" s="1358"/>
      <c r="NNL517" s="1358"/>
      <c r="NNM517" s="1358"/>
      <c r="NNN517" s="1358"/>
      <c r="NNO517" s="1358"/>
      <c r="NNP517" s="1358"/>
      <c r="NNQ517" s="1358"/>
      <c r="NNR517" s="1358"/>
      <c r="NNS517" s="1358"/>
      <c r="NNT517" s="1358"/>
      <c r="NNU517" s="1358"/>
      <c r="NNV517" s="1358"/>
      <c r="NNW517" s="1358"/>
      <c r="NNX517" s="1358"/>
      <c r="NNY517" s="1358"/>
      <c r="NNZ517" s="1358"/>
      <c r="NOA517" s="1358"/>
      <c r="NOB517" s="1358"/>
      <c r="NOC517" s="1358"/>
      <c r="NOD517" s="1358"/>
      <c r="NOE517" s="1358"/>
      <c r="NOF517" s="1358"/>
      <c r="NOG517" s="1358"/>
      <c r="NOH517" s="1358"/>
      <c r="NOI517" s="1358"/>
      <c r="NOJ517" s="1358"/>
      <c r="NOK517" s="1358"/>
      <c r="NOL517" s="1358"/>
      <c r="NOM517" s="1358"/>
      <c r="NON517" s="1358"/>
      <c r="NOO517" s="1358"/>
      <c r="NOP517" s="1358"/>
      <c r="NOQ517" s="1358"/>
      <c r="NOR517" s="1358"/>
      <c r="NOS517" s="1358"/>
      <c r="NOT517" s="1358"/>
      <c r="NOU517" s="1358"/>
      <c r="NOV517" s="1358"/>
      <c r="NOW517" s="1358"/>
      <c r="NOX517" s="1358"/>
      <c r="NOY517" s="1358"/>
      <c r="NOZ517" s="1358"/>
      <c r="NPA517" s="1358"/>
      <c r="NPB517" s="1358"/>
      <c r="NPC517" s="1358"/>
      <c r="NPD517" s="1358"/>
      <c r="NPE517" s="1358"/>
      <c r="NPF517" s="1358"/>
      <c r="NPG517" s="1358"/>
      <c r="NPH517" s="1358"/>
      <c r="NPI517" s="1358"/>
      <c r="NPJ517" s="1358"/>
      <c r="NPK517" s="1358"/>
      <c r="NPL517" s="1358"/>
      <c r="NPM517" s="1358"/>
      <c r="NPN517" s="1358"/>
      <c r="NPO517" s="1358"/>
      <c r="NPP517" s="1358"/>
      <c r="NPQ517" s="1358"/>
      <c r="NPR517" s="1358"/>
      <c r="NPS517" s="1358"/>
      <c r="NPT517" s="1358"/>
      <c r="NPU517" s="1358"/>
      <c r="NPV517" s="1358"/>
      <c r="NPW517" s="1358"/>
      <c r="NPX517" s="1358"/>
      <c r="NPY517" s="1358"/>
      <c r="NPZ517" s="1358"/>
      <c r="NQA517" s="1358"/>
      <c r="NQB517" s="1358"/>
      <c r="NQC517" s="1358"/>
      <c r="NQD517" s="1358"/>
      <c r="NQE517" s="1358"/>
      <c r="NQF517" s="1358"/>
      <c r="NQG517" s="1358"/>
      <c r="NQH517" s="1358"/>
      <c r="NQI517" s="1358"/>
      <c r="NQJ517" s="1358"/>
      <c r="NQK517" s="1358"/>
      <c r="NQL517" s="1358"/>
      <c r="NQM517" s="1358"/>
      <c r="NQN517" s="1358"/>
      <c r="NQO517" s="1358"/>
      <c r="NQP517" s="1358"/>
      <c r="NQQ517" s="1358"/>
      <c r="NQR517" s="1358"/>
      <c r="NQS517" s="1358"/>
      <c r="NQT517" s="1358"/>
      <c r="NQU517" s="1358"/>
      <c r="NQV517" s="1358"/>
      <c r="NQW517" s="1358"/>
      <c r="NQX517" s="1358"/>
      <c r="NQY517" s="1358"/>
      <c r="NQZ517" s="1358"/>
      <c r="NRA517" s="1358"/>
      <c r="NRB517" s="1358"/>
      <c r="NRC517" s="1358"/>
      <c r="NRD517" s="1358"/>
      <c r="NRE517" s="1358"/>
      <c r="NRF517" s="1358"/>
      <c r="NRG517" s="1358"/>
      <c r="NRH517" s="1358"/>
      <c r="NRI517" s="1358"/>
      <c r="NRJ517" s="1358"/>
      <c r="NRK517" s="1358"/>
      <c r="NRL517" s="1358"/>
      <c r="NRM517" s="1358"/>
      <c r="NRN517" s="1358"/>
      <c r="NRO517" s="1358"/>
      <c r="NRP517" s="1358"/>
      <c r="NRQ517" s="1358"/>
      <c r="NRR517" s="1358"/>
      <c r="NRS517" s="1358"/>
      <c r="NRT517" s="1358"/>
      <c r="NRU517" s="1358"/>
      <c r="NRV517" s="1358"/>
      <c r="NRW517" s="1358"/>
      <c r="NRX517" s="1358"/>
      <c r="NRY517" s="1358"/>
      <c r="NRZ517" s="1358"/>
      <c r="NSA517" s="1358"/>
      <c r="NSB517" s="1358"/>
      <c r="NSC517" s="1358"/>
      <c r="NSD517" s="1358"/>
      <c r="NSE517" s="1358"/>
      <c r="NSF517" s="1358"/>
      <c r="NSG517" s="1358"/>
      <c r="NSH517" s="1358"/>
      <c r="NSI517" s="1358"/>
      <c r="NSJ517" s="1358"/>
      <c r="NSK517" s="1358"/>
      <c r="NSL517" s="1358"/>
      <c r="NSM517" s="1358"/>
      <c r="NSN517" s="1358"/>
      <c r="NSO517" s="1358"/>
      <c r="NSP517" s="1358"/>
      <c r="NSQ517" s="1358"/>
      <c r="NSR517" s="1358"/>
      <c r="NSS517" s="1358"/>
      <c r="NST517" s="1358"/>
      <c r="NSU517" s="1358"/>
      <c r="NSV517" s="1358"/>
      <c r="NSW517" s="1358"/>
      <c r="NSX517" s="1358"/>
      <c r="NSY517" s="1358"/>
      <c r="NSZ517" s="1358"/>
      <c r="NTA517" s="1358"/>
      <c r="NTB517" s="1358"/>
      <c r="NTC517" s="1358"/>
      <c r="NTD517" s="1358"/>
      <c r="NTE517" s="1358"/>
      <c r="NTF517" s="1358"/>
      <c r="NTG517" s="1358"/>
      <c r="NTH517" s="1358"/>
      <c r="NTI517" s="1358"/>
      <c r="NTJ517" s="1358"/>
      <c r="NTK517" s="1358"/>
      <c r="NTL517" s="1358"/>
      <c r="NTM517" s="1358"/>
      <c r="NTN517" s="1358"/>
      <c r="NTO517" s="1358"/>
      <c r="NTP517" s="1358"/>
      <c r="NTQ517" s="1358"/>
      <c r="NTR517" s="1358"/>
      <c r="NTS517" s="1358"/>
      <c r="NTT517" s="1358"/>
      <c r="NTU517" s="1358"/>
      <c r="NTV517" s="1358"/>
      <c r="NTW517" s="1358"/>
      <c r="NTX517" s="1358"/>
      <c r="NTY517" s="1358"/>
      <c r="NTZ517" s="1358"/>
      <c r="NUA517" s="1358"/>
      <c r="NUB517" s="1358"/>
      <c r="NUC517" s="1358"/>
      <c r="NUD517" s="1358"/>
      <c r="NUE517" s="1358"/>
      <c r="NUF517" s="1358"/>
      <c r="NUG517" s="1358"/>
      <c r="NUH517" s="1358"/>
      <c r="NUI517" s="1358"/>
      <c r="NUJ517" s="1358"/>
      <c r="NUK517" s="1358"/>
      <c r="NUL517" s="1358"/>
      <c r="NUM517" s="1358"/>
      <c r="NUN517" s="1358"/>
      <c r="NUO517" s="1358"/>
      <c r="NUP517" s="1358"/>
      <c r="NUQ517" s="1358"/>
      <c r="NUR517" s="1358"/>
      <c r="NUS517" s="1358"/>
      <c r="NUT517" s="1358"/>
      <c r="NUU517" s="1358"/>
      <c r="NUV517" s="1358"/>
      <c r="NUW517" s="1358"/>
      <c r="NUX517" s="1358"/>
      <c r="NUY517" s="1358"/>
      <c r="NUZ517" s="1358"/>
      <c r="NVA517" s="1358"/>
      <c r="NVB517" s="1358"/>
      <c r="NVC517" s="1358"/>
      <c r="NVD517" s="1358"/>
      <c r="NVE517" s="1358"/>
      <c r="NVF517" s="1358"/>
      <c r="NVG517" s="1358"/>
      <c r="NVH517" s="1358"/>
      <c r="NVI517" s="1358"/>
      <c r="NVJ517" s="1358"/>
      <c r="NVK517" s="1358"/>
      <c r="NVL517" s="1358"/>
      <c r="NVM517" s="1358"/>
      <c r="NVN517" s="1358"/>
      <c r="NVO517" s="1358"/>
      <c r="NVP517" s="1358"/>
      <c r="NVQ517" s="1358"/>
      <c r="NVR517" s="1358"/>
      <c r="NVS517" s="1358"/>
      <c r="NVT517" s="1358"/>
      <c r="NVU517" s="1358"/>
      <c r="NVV517" s="1358"/>
      <c r="NVW517" s="1358"/>
      <c r="NVX517" s="1358"/>
      <c r="NVY517" s="1358"/>
      <c r="NVZ517" s="1358"/>
      <c r="NWA517" s="1358"/>
      <c r="NWB517" s="1358"/>
      <c r="NWC517" s="1358"/>
      <c r="NWD517" s="1358"/>
      <c r="NWE517" s="1358"/>
      <c r="NWF517" s="1358"/>
      <c r="NWG517" s="1358"/>
      <c r="NWH517" s="1358"/>
      <c r="NWI517" s="1358"/>
      <c r="NWJ517" s="1358"/>
      <c r="NWK517" s="1358"/>
      <c r="NWL517" s="1358"/>
      <c r="NWM517" s="1358"/>
      <c r="NWN517" s="1358"/>
      <c r="NWO517" s="1358"/>
      <c r="NWP517" s="1358"/>
      <c r="NWQ517" s="1358"/>
      <c r="NWR517" s="1358"/>
      <c r="NWS517" s="1358"/>
      <c r="NWT517" s="1358"/>
      <c r="NWU517" s="1358"/>
      <c r="NWV517" s="1358"/>
      <c r="NWW517" s="1358"/>
      <c r="NWX517" s="1358"/>
      <c r="NWY517" s="1358"/>
      <c r="NWZ517" s="1358"/>
      <c r="NXA517" s="1358"/>
      <c r="NXB517" s="1358"/>
      <c r="NXC517" s="1358"/>
      <c r="NXD517" s="1358"/>
      <c r="NXE517" s="1358"/>
      <c r="NXF517" s="1358"/>
      <c r="NXG517" s="1358"/>
      <c r="NXH517" s="1358"/>
      <c r="NXI517" s="1358"/>
      <c r="NXJ517" s="1358"/>
      <c r="NXK517" s="1358"/>
      <c r="NXL517" s="1358"/>
      <c r="NXM517" s="1358"/>
      <c r="NXN517" s="1358"/>
      <c r="NXO517" s="1358"/>
      <c r="NXP517" s="1358"/>
      <c r="NXQ517" s="1358"/>
      <c r="NXR517" s="1358"/>
      <c r="NXS517" s="1358"/>
      <c r="NXT517" s="1358"/>
      <c r="NXU517" s="1358"/>
      <c r="NXV517" s="1358"/>
      <c r="NXW517" s="1358"/>
      <c r="NXX517" s="1358"/>
      <c r="NXY517" s="1358"/>
      <c r="NXZ517" s="1358"/>
      <c r="NYA517" s="1358"/>
      <c r="NYB517" s="1358"/>
      <c r="NYC517" s="1358"/>
      <c r="NYD517" s="1358"/>
      <c r="NYE517" s="1358"/>
      <c r="NYF517" s="1358"/>
      <c r="NYG517" s="1358"/>
      <c r="NYH517" s="1358"/>
      <c r="NYI517" s="1358"/>
      <c r="NYJ517" s="1358"/>
      <c r="NYK517" s="1358"/>
      <c r="NYL517" s="1358"/>
      <c r="NYM517" s="1358"/>
      <c r="NYN517" s="1358"/>
      <c r="NYO517" s="1358"/>
      <c r="NYP517" s="1358"/>
      <c r="NYQ517" s="1358"/>
      <c r="NYR517" s="1358"/>
      <c r="NYS517" s="1358"/>
      <c r="NYT517" s="1358"/>
      <c r="NYU517" s="1358"/>
      <c r="NYV517" s="1358"/>
      <c r="NYW517" s="1358"/>
      <c r="NYX517" s="1358"/>
      <c r="NYY517" s="1358"/>
      <c r="NYZ517" s="1358"/>
      <c r="NZA517" s="1358"/>
      <c r="NZB517" s="1358"/>
      <c r="NZC517" s="1358"/>
      <c r="NZD517" s="1358"/>
      <c r="NZE517" s="1358"/>
      <c r="NZF517" s="1358"/>
      <c r="NZG517" s="1358"/>
      <c r="NZH517" s="1358"/>
      <c r="NZI517" s="1358"/>
      <c r="NZJ517" s="1358"/>
      <c r="NZK517" s="1358"/>
      <c r="NZL517" s="1358"/>
      <c r="NZM517" s="1358"/>
      <c r="NZN517" s="1358"/>
      <c r="NZO517" s="1358"/>
      <c r="NZP517" s="1358"/>
      <c r="NZQ517" s="1358"/>
      <c r="NZR517" s="1358"/>
      <c r="NZS517" s="1358"/>
      <c r="NZT517" s="1358"/>
      <c r="NZU517" s="1358"/>
      <c r="NZV517" s="1358"/>
      <c r="NZW517" s="1358"/>
      <c r="NZX517" s="1358"/>
      <c r="NZY517" s="1358"/>
      <c r="NZZ517" s="1358"/>
      <c r="OAA517" s="1358"/>
      <c r="OAB517" s="1358"/>
      <c r="OAC517" s="1358"/>
      <c r="OAD517" s="1358"/>
      <c r="OAE517" s="1358"/>
      <c r="OAF517" s="1358"/>
      <c r="OAG517" s="1358"/>
      <c r="OAH517" s="1358"/>
      <c r="OAI517" s="1358"/>
      <c r="OAJ517" s="1358"/>
      <c r="OAK517" s="1358"/>
      <c r="OAL517" s="1358"/>
      <c r="OAM517" s="1358"/>
      <c r="OAN517" s="1358"/>
      <c r="OAO517" s="1358"/>
      <c r="OAP517" s="1358"/>
      <c r="OAQ517" s="1358"/>
      <c r="OAR517" s="1358"/>
      <c r="OAS517" s="1358"/>
      <c r="OAT517" s="1358"/>
      <c r="OAU517" s="1358"/>
      <c r="OAV517" s="1358"/>
      <c r="OAW517" s="1358"/>
      <c r="OAX517" s="1358"/>
      <c r="OAY517" s="1358"/>
      <c r="OAZ517" s="1358"/>
      <c r="OBA517" s="1358"/>
      <c r="OBB517" s="1358"/>
      <c r="OBC517" s="1358"/>
      <c r="OBD517" s="1358"/>
      <c r="OBE517" s="1358"/>
      <c r="OBF517" s="1358"/>
      <c r="OBG517" s="1358"/>
      <c r="OBH517" s="1358"/>
      <c r="OBI517" s="1358"/>
      <c r="OBJ517" s="1358"/>
      <c r="OBK517" s="1358"/>
      <c r="OBL517" s="1358"/>
      <c r="OBM517" s="1358"/>
      <c r="OBN517" s="1358"/>
      <c r="OBO517" s="1358"/>
      <c r="OBP517" s="1358"/>
      <c r="OBQ517" s="1358"/>
      <c r="OBR517" s="1358"/>
      <c r="OBS517" s="1358"/>
      <c r="OBT517" s="1358"/>
      <c r="OBU517" s="1358"/>
      <c r="OBV517" s="1358"/>
      <c r="OBW517" s="1358"/>
      <c r="OBX517" s="1358"/>
      <c r="OBY517" s="1358"/>
      <c r="OBZ517" s="1358"/>
      <c r="OCA517" s="1358"/>
      <c r="OCB517" s="1358"/>
      <c r="OCC517" s="1358"/>
      <c r="OCD517" s="1358"/>
      <c r="OCE517" s="1358"/>
      <c r="OCF517" s="1358"/>
      <c r="OCG517" s="1358"/>
      <c r="OCH517" s="1358"/>
      <c r="OCI517" s="1358"/>
      <c r="OCJ517" s="1358"/>
      <c r="OCK517" s="1358"/>
      <c r="OCL517" s="1358"/>
      <c r="OCM517" s="1358"/>
      <c r="OCN517" s="1358"/>
      <c r="OCO517" s="1358"/>
      <c r="OCP517" s="1358"/>
      <c r="OCQ517" s="1358"/>
      <c r="OCR517" s="1358"/>
      <c r="OCS517" s="1358"/>
      <c r="OCT517" s="1358"/>
      <c r="OCU517" s="1358"/>
      <c r="OCV517" s="1358"/>
      <c r="OCW517" s="1358"/>
      <c r="OCX517" s="1358"/>
      <c r="OCY517" s="1358"/>
      <c r="OCZ517" s="1358"/>
      <c r="ODA517" s="1358"/>
      <c r="ODB517" s="1358"/>
      <c r="ODC517" s="1358"/>
      <c r="ODD517" s="1358"/>
      <c r="ODE517" s="1358"/>
      <c r="ODF517" s="1358"/>
      <c r="ODG517" s="1358"/>
      <c r="ODH517" s="1358"/>
      <c r="ODI517" s="1358"/>
      <c r="ODJ517" s="1358"/>
      <c r="ODK517" s="1358"/>
      <c r="ODL517" s="1358"/>
      <c r="ODM517" s="1358"/>
      <c r="ODN517" s="1358"/>
      <c r="ODO517" s="1358"/>
      <c r="ODP517" s="1358"/>
      <c r="ODQ517" s="1358"/>
      <c r="ODR517" s="1358"/>
      <c r="ODS517" s="1358"/>
      <c r="ODT517" s="1358"/>
      <c r="ODU517" s="1358"/>
      <c r="ODV517" s="1358"/>
      <c r="ODW517" s="1358"/>
      <c r="ODX517" s="1358"/>
      <c r="ODY517" s="1358"/>
      <c r="ODZ517" s="1358"/>
      <c r="OEA517" s="1358"/>
      <c r="OEB517" s="1358"/>
      <c r="OEC517" s="1358"/>
      <c r="OED517" s="1358"/>
      <c r="OEE517" s="1358"/>
      <c r="OEF517" s="1358"/>
      <c r="OEG517" s="1358"/>
      <c r="OEH517" s="1358"/>
      <c r="OEI517" s="1358"/>
      <c r="OEJ517" s="1358"/>
      <c r="OEK517" s="1358"/>
      <c r="OEL517" s="1358"/>
      <c r="OEM517" s="1358"/>
      <c r="OEN517" s="1358"/>
      <c r="OEO517" s="1358"/>
      <c r="OEP517" s="1358"/>
      <c r="OEQ517" s="1358"/>
      <c r="OER517" s="1358"/>
      <c r="OES517" s="1358"/>
      <c r="OET517" s="1358"/>
      <c r="OEU517" s="1358"/>
      <c r="OEV517" s="1358"/>
      <c r="OEW517" s="1358"/>
      <c r="OEX517" s="1358"/>
      <c r="OEY517" s="1358"/>
      <c r="OEZ517" s="1358"/>
      <c r="OFA517" s="1358"/>
      <c r="OFB517" s="1358"/>
      <c r="OFC517" s="1358"/>
      <c r="OFD517" s="1358"/>
      <c r="OFE517" s="1358"/>
      <c r="OFF517" s="1358"/>
      <c r="OFG517" s="1358"/>
      <c r="OFH517" s="1358"/>
      <c r="OFI517" s="1358"/>
      <c r="OFJ517" s="1358"/>
      <c r="OFK517" s="1358"/>
      <c r="OFL517" s="1358"/>
      <c r="OFM517" s="1358"/>
      <c r="OFN517" s="1358"/>
      <c r="OFO517" s="1358"/>
      <c r="OFP517" s="1358"/>
      <c r="OFQ517" s="1358"/>
      <c r="OFR517" s="1358"/>
      <c r="OFS517" s="1358"/>
      <c r="OFT517" s="1358"/>
      <c r="OFU517" s="1358"/>
      <c r="OFV517" s="1358"/>
      <c r="OFW517" s="1358"/>
      <c r="OFX517" s="1358"/>
      <c r="OFY517" s="1358"/>
      <c r="OFZ517" s="1358"/>
      <c r="OGA517" s="1358"/>
      <c r="OGB517" s="1358"/>
      <c r="OGC517" s="1358"/>
      <c r="OGD517" s="1358"/>
      <c r="OGE517" s="1358"/>
      <c r="OGF517" s="1358"/>
      <c r="OGG517" s="1358"/>
      <c r="OGH517" s="1358"/>
      <c r="OGI517" s="1358"/>
      <c r="OGJ517" s="1358"/>
      <c r="OGK517" s="1358"/>
      <c r="OGL517" s="1358"/>
      <c r="OGM517" s="1358"/>
      <c r="OGN517" s="1358"/>
      <c r="OGO517" s="1358"/>
      <c r="OGP517" s="1358"/>
      <c r="OGQ517" s="1358"/>
      <c r="OGR517" s="1358"/>
      <c r="OGS517" s="1358"/>
      <c r="OGT517" s="1358"/>
      <c r="OGU517" s="1358"/>
      <c r="OGV517" s="1358"/>
      <c r="OGW517" s="1358"/>
      <c r="OGX517" s="1358"/>
      <c r="OGY517" s="1358"/>
      <c r="OGZ517" s="1358"/>
      <c r="OHA517" s="1358"/>
      <c r="OHB517" s="1358"/>
      <c r="OHC517" s="1358"/>
      <c r="OHD517" s="1358"/>
      <c r="OHE517" s="1358"/>
      <c r="OHF517" s="1358"/>
      <c r="OHG517" s="1358"/>
      <c r="OHH517" s="1358"/>
      <c r="OHI517" s="1358"/>
      <c r="OHJ517" s="1358"/>
      <c r="OHK517" s="1358"/>
      <c r="OHL517" s="1358"/>
      <c r="OHM517" s="1358"/>
      <c r="OHN517" s="1358"/>
      <c r="OHO517" s="1358"/>
      <c r="OHP517" s="1358"/>
      <c r="OHQ517" s="1358"/>
      <c r="OHR517" s="1358"/>
      <c r="OHS517" s="1358"/>
      <c r="OHT517" s="1358"/>
      <c r="OHU517" s="1358"/>
      <c r="OHV517" s="1358"/>
      <c r="OHW517" s="1358"/>
      <c r="OHX517" s="1358"/>
      <c r="OHY517" s="1358"/>
      <c r="OHZ517" s="1358"/>
      <c r="OIA517" s="1358"/>
      <c r="OIB517" s="1358"/>
      <c r="OIC517" s="1358"/>
      <c r="OID517" s="1358"/>
      <c r="OIE517" s="1358"/>
      <c r="OIF517" s="1358"/>
      <c r="OIG517" s="1358"/>
      <c r="OIH517" s="1358"/>
      <c r="OII517" s="1358"/>
      <c r="OIJ517" s="1358"/>
      <c r="OIK517" s="1358"/>
      <c r="OIL517" s="1358"/>
      <c r="OIM517" s="1358"/>
      <c r="OIN517" s="1358"/>
      <c r="OIO517" s="1358"/>
      <c r="OIP517" s="1358"/>
      <c r="OIQ517" s="1358"/>
      <c r="OIR517" s="1358"/>
      <c r="OIS517" s="1358"/>
      <c r="OIT517" s="1358"/>
      <c r="OIU517" s="1358"/>
      <c r="OIV517" s="1358"/>
      <c r="OIW517" s="1358"/>
      <c r="OIX517" s="1358"/>
      <c r="OIY517" s="1358"/>
      <c r="OIZ517" s="1358"/>
      <c r="OJA517" s="1358"/>
      <c r="OJB517" s="1358"/>
      <c r="OJC517" s="1358"/>
      <c r="OJD517" s="1358"/>
      <c r="OJE517" s="1358"/>
      <c r="OJF517" s="1358"/>
      <c r="OJG517" s="1358"/>
      <c r="OJH517" s="1358"/>
      <c r="OJI517" s="1358"/>
      <c r="OJJ517" s="1358"/>
      <c r="OJK517" s="1358"/>
      <c r="OJL517" s="1358"/>
      <c r="OJM517" s="1358"/>
      <c r="OJN517" s="1358"/>
      <c r="OJO517" s="1358"/>
      <c r="OJP517" s="1358"/>
      <c r="OJQ517" s="1358"/>
      <c r="OJR517" s="1358"/>
      <c r="OJS517" s="1358"/>
      <c r="OJT517" s="1358"/>
      <c r="OJU517" s="1358"/>
      <c r="OJV517" s="1358"/>
      <c r="OJW517" s="1358"/>
      <c r="OJX517" s="1358"/>
      <c r="OJY517" s="1358"/>
      <c r="OJZ517" s="1358"/>
      <c r="OKA517" s="1358"/>
      <c r="OKB517" s="1358"/>
      <c r="OKC517" s="1358"/>
      <c r="OKD517" s="1358"/>
      <c r="OKE517" s="1358"/>
      <c r="OKF517" s="1358"/>
      <c r="OKG517" s="1358"/>
      <c r="OKH517" s="1358"/>
      <c r="OKI517" s="1358"/>
      <c r="OKJ517" s="1358"/>
      <c r="OKK517" s="1358"/>
      <c r="OKL517" s="1358"/>
      <c r="OKM517" s="1358"/>
      <c r="OKN517" s="1358"/>
      <c r="OKO517" s="1358"/>
      <c r="OKP517" s="1358"/>
      <c r="OKQ517" s="1358"/>
      <c r="OKR517" s="1358"/>
      <c r="OKS517" s="1358"/>
      <c r="OKT517" s="1358"/>
      <c r="OKU517" s="1358"/>
      <c r="OKV517" s="1358"/>
      <c r="OKW517" s="1358"/>
      <c r="OKX517" s="1358"/>
      <c r="OKY517" s="1358"/>
      <c r="OKZ517" s="1358"/>
      <c r="OLA517" s="1358"/>
      <c r="OLB517" s="1358"/>
      <c r="OLC517" s="1358"/>
      <c r="OLD517" s="1358"/>
      <c r="OLE517" s="1358"/>
      <c r="OLF517" s="1358"/>
      <c r="OLG517" s="1358"/>
      <c r="OLH517" s="1358"/>
      <c r="OLI517" s="1358"/>
      <c r="OLJ517" s="1358"/>
      <c r="OLK517" s="1358"/>
      <c r="OLL517" s="1358"/>
      <c r="OLM517" s="1358"/>
      <c r="OLN517" s="1358"/>
      <c r="OLO517" s="1358"/>
      <c r="OLP517" s="1358"/>
      <c r="OLQ517" s="1358"/>
      <c r="OLR517" s="1358"/>
      <c r="OLS517" s="1358"/>
      <c r="OLT517" s="1358"/>
      <c r="OLU517" s="1358"/>
      <c r="OLV517" s="1358"/>
      <c r="OLW517" s="1358"/>
      <c r="OLX517" s="1358"/>
      <c r="OLY517" s="1358"/>
      <c r="OLZ517" s="1358"/>
      <c r="OMA517" s="1358"/>
      <c r="OMB517" s="1358"/>
      <c r="OMC517" s="1358"/>
      <c r="OMD517" s="1358"/>
      <c r="OME517" s="1358"/>
      <c r="OMF517" s="1358"/>
      <c r="OMG517" s="1358"/>
      <c r="OMH517" s="1358"/>
      <c r="OMI517" s="1358"/>
      <c r="OMJ517" s="1358"/>
      <c r="OMK517" s="1358"/>
      <c r="OML517" s="1358"/>
      <c r="OMM517" s="1358"/>
      <c r="OMN517" s="1358"/>
      <c r="OMO517" s="1358"/>
      <c r="OMP517" s="1358"/>
      <c r="OMQ517" s="1358"/>
      <c r="OMR517" s="1358"/>
      <c r="OMS517" s="1358"/>
      <c r="OMT517" s="1358"/>
      <c r="OMU517" s="1358"/>
      <c r="OMV517" s="1358"/>
      <c r="OMW517" s="1358"/>
      <c r="OMX517" s="1358"/>
      <c r="OMY517" s="1358"/>
      <c r="OMZ517" s="1358"/>
      <c r="ONA517" s="1358"/>
      <c r="ONB517" s="1358"/>
      <c r="ONC517" s="1358"/>
      <c r="OND517" s="1358"/>
      <c r="ONE517" s="1358"/>
      <c r="ONF517" s="1358"/>
      <c r="ONG517" s="1358"/>
      <c r="ONH517" s="1358"/>
      <c r="ONI517" s="1358"/>
      <c r="ONJ517" s="1358"/>
      <c r="ONK517" s="1358"/>
      <c r="ONL517" s="1358"/>
      <c r="ONM517" s="1358"/>
      <c r="ONN517" s="1358"/>
      <c r="ONO517" s="1358"/>
      <c r="ONP517" s="1358"/>
      <c r="ONQ517" s="1358"/>
      <c r="ONR517" s="1358"/>
      <c r="ONS517" s="1358"/>
      <c r="ONT517" s="1358"/>
      <c r="ONU517" s="1358"/>
      <c r="ONV517" s="1358"/>
      <c r="ONW517" s="1358"/>
      <c r="ONX517" s="1358"/>
      <c r="ONY517" s="1358"/>
      <c r="ONZ517" s="1358"/>
      <c r="OOA517" s="1358"/>
      <c r="OOB517" s="1358"/>
      <c r="OOC517" s="1358"/>
      <c r="OOD517" s="1358"/>
      <c r="OOE517" s="1358"/>
      <c r="OOF517" s="1358"/>
      <c r="OOG517" s="1358"/>
      <c r="OOH517" s="1358"/>
      <c r="OOI517" s="1358"/>
      <c r="OOJ517" s="1358"/>
      <c r="OOK517" s="1358"/>
      <c r="OOL517" s="1358"/>
      <c r="OOM517" s="1358"/>
      <c r="OON517" s="1358"/>
      <c r="OOO517" s="1358"/>
      <c r="OOP517" s="1358"/>
      <c r="OOQ517" s="1358"/>
      <c r="OOR517" s="1358"/>
      <c r="OOS517" s="1358"/>
      <c r="OOT517" s="1358"/>
      <c r="OOU517" s="1358"/>
      <c r="OOV517" s="1358"/>
      <c r="OOW517" s="1358"/>
      <c r="OOX517" s="1358"/>
      <c r="OOY517" s="1358"/>
      <c r="OOZ517" s="1358"/>
      <c r="OPA517" s="1358"/>
      <c r="OPB517" s="1358"/>
      <c r="OPC517" s="1358"/>
      <c r="OPD517" s="1358"/>
      <c r="OPE517" s="1358"/>
      <c r="OPF517" s="1358"/>
      <c r="OPG517" s="1358"/>
      <c r="OPH517" s="1358"/>
      <c r="OPI517" s="1358"/>
      <c r="OPJ517" s="1358"/>
      <c r="OPK517" s="1358"/>
      <c r="OPL517" s="1358"/>
      <c r="OPM517" s="1358"/>
      <c r="OPN517" s="1358"/>
      <c r="OPO517" s="1358"/>
      <c r="OPP517" s="1358"/>
      <c r="OPQ517" s="1358"/>
      <c r="OPR517" s="1358"/>
      <c r="OPS517" s="1358"/>
      <c r="OPT517" s="1358"/>
      <c r="OPU517" s="1358"/>
      <c r="OPV517" s="1358"/>
      <c r="OPW517" s="1358"/>
      <c r="OPX517" s="1358"/>
      <c r="OPY517" s="1358"/>
      <c r="OPZ517" s="1358"/>
      <c r="OQA517" s="1358"/>
      <c r="OQB517" s="1358"/>
      <c r="OQC517" s="1358"/>
      <c r="OQD517" s="1358"/>
      <c r="OQE517" s="1358"/>
      <c r="OQF517" s="1358"/>
      <c r="OQG517" s="1358"/>
      <c r="OQH517" s="1358"/>
      <c r="OQI517" s="1358"/>
      <c r="OQJ517" s="1358"/>
      <c r="OQK517" s="1358"/>
      <c r="OQL517" s="1358"/>
      <c r="OQM517" s="1358"/>
      <c r="OQN517" s="1358"/>
      <c r="OQO517" s="1358"/>
      <c r="OQP517" s="1358"/>
      <c r="OQQ517" s="1358"/>
      <c r="OQR517" s="1358"/>
      <c r="OQS517" s="1358"/>
      <c r="OQT517" s="1358"/>
      <c r="OQU517" s="1358"/>
      <c r="OQV517" s="1358"/>
      <c r="OQW517" s="1358"/>
      <c r="OQX517" s="1358"/>
      <c r="OQY517" s="1358"/>
      <c r="OQZ517" s="1358"/>
      <c r="ORA517" s="1358"/>
      <c r="ORB517" s="1358"/>
      <c r="ORC517" s="1358"/>
      <c r="ORD517" s="1358"/>
      <c r="ORE517" s="1358"/>
      <c r="ORF517" s="1358"/>
      <c r="ORG517" s="1358"/>
      <c r="ORH517" s="1358"/>
      <c r="ORI517" s="1358"/>
      <c r="ORJ517" s="1358"/>
      <c r="ORK517" s="1358"/>
      <c r="ORL517" s="1358"/>
      <c r="ORM517" s="1358"/>
      <c r="ORN517" s="1358"/>
      <c r="ORO517" s="1358"/>
      <c r="ORP517" s="1358"/>
      <c r="ORQ517" s="1358"/>
      <c r="ORR517" s="1358"/>
      <c r="ORS517" s="1358"/>
      <c r="ORT517" s="1358"/>
      <c r="ORU517" s="1358"/>
      <c r="ORV517" s="1358"/>
      <c r="ORW517" s="1358"/>
      <c r="ORX517" s="1358"/>
      <c r="ORY517" s="1358"/>
      <c r="ORZ517" s="1358"/>
      <c r="OSA517" s="1358"/>
      <c r="OSB517" s="1358"/>
      <c r="OSC517" s="1358"/>
      <c r="OSD517" s="1358"/>
      <c r="OSE517" s="1358"/>
      <c r="OSF517" s="1358"/>
      <c r="OSG517" s="1358"/>
      <c r="OSH517" s="1358"/>
      <c r="OSI517" s="1358"/>
      <c r="OSJ517" s="1358"/>
      <c r="OSK517" s="1358"/>
      <c r="OSL517" s="1358"/>
      <c r="OSM517" s="1358"/>
      <c r="OSN517" s="1358"/>
      <c r="OSO517" s="1358"/>
      <c r="OSP517" s="1358"/>
      <c r="OSQ517" s="1358"/>
      <c r="OSR517" s="1358"/>
      <c r="OSS517" s="1358"/>
      <c r="OST517" s="1358"/>
      <c r="OSU517" s="1358"/>
      <c r="OSV517" s="1358"/>
      <c r="OSW517" s="1358"/>
      <c r="OSX517" s="1358"/>
      <c r="OSY517" s="1358"/>
      <c r="OSZ517" s="1358"/>
      <c r="OTA517" s="1358"/>
      <c r="OTB517" s="1358"/>
      <c r="OTC517" s="1358"/>
      <c r="OTD517" s="1358"/>
      <c r="OTE517" s="1358"/>
      <c r="OTF517" s="1358"/>
      <c r="OTG517" s="1358"/>
      <c r="OTH517" s="1358"/>
      <c r="OTI517" s="1358"/>
      <c r="OTJ517" s="1358"/>
      <c r="OTK517" s="1358"/>
      <c r="OTL517" s="1358"/>
      <c r="OTM517" s="1358"/>
      <c r="OTN517" s="1358"/>
      <c r="OTO517" s="1358"/>
      <c r="OTP517" s="1358"/>
      <c r="OTQ517" s="1358"/>
      <c r="OTR517" s="1358"/>
      <c r="OTS517" s="1358"/>
      <c r="OTT517" s="1358"/>
      <c r="OTU517" s="1358"/>
      <c r="OTV517" s="1358"/>
      <c r="OTW517" s="1358"/>
      <c r="OTX517" s="1358"/>
      <c r="OTY517" s="1358"/>
      <c r="OTZ517" s="1358"/>
      <c r="OUA517" s="1358"/>
      <c r="OUB517" s="1358"/>
      <c r="OUC517" s="1358"/>
      <c r="OUD517" s="1358"/>
      <c r="OUE517" s="1358"/>
      <c r="OUF517" s="1358"/>
      <c r="OUG517" s="1358"/>
      <c r="OUH517" s="1358"/>
      <c r="OUI517" s="1358"/>
      <c r="OUJ517" s="1358"/>
      <c r="OUK517" s="1358"/>
      <c r="OUL517" s="1358"/>
      <c r="OUM517" s="1358"/>
      <c r="OUN517" s="1358"/>
      <c r="OUO517" s="1358"/>
      <c r="OUP517" s="1358"/>
      <c r="OUQ517" s="1358"/>
      <c r="OUR517" s="1358"/>
      <c r="OUS517" s="1358"/>
      <c r="OUT517" s="1358"/>
      <c r="OUU517" s="1358"/>
      <c r="OUV517" s="1358"/>
      <c r="OUW517" s="1358"/>
      <c r="OUX517" s="1358"/>
      <c r="OUY517" s="1358"/>
      <c r="OUZ517" s="1358"/>
      <c r="OVA517" s="1358"/>
      <c r="OVB517" s="1358"/>
      <c r="OVC517" s="1358"/>
      <c r="OVD517" s="1358"/>
      <c r="OVE517" s="1358"/>
      <c r="OVF517" s="1358"/>
      <c r="OVG517" s="1358"/>
      <c r="OVH517" s="1358"/>
      <c r="OVI517" s="1358"/>
      <c r="OVJ517" s="1358"/>
      <c r="OVK517" s="1358"/>
      <c r="OVL517" s="1358"/>
      <c r="OVM517" s="1358"/>
      <c r="OVN517" s="1358"/>
      <c r="OVO517" s="1358"/>
      <c r="OVP517" s="1358"/>
      <c r="OVQ517" s="1358"/>
      <c r="OVR517" s="1358"/>
      <c r="OVS517" s="1358"/>
      <c r="OVT517" s="1358"/>
      <c r="OVU517" s="1358"/>
      <c r="OVV517" s="1358"/>
      <c r="OVW517" s="1358"/>
      <c r="OVX517" s="1358"/>
      <c r="OVY517" s="1358"/>
      <c r="OVZ517" s="1358"/>
      <c r="OWA517" s="1358"/>
      <c r="OWB517" s="1358"/>
      <c r="OWC517" s="1358"/>
      <c r="OWD517" s="1358"/>
      <c r="OWE517" s="1358"/>
      <c r="OWF517" s="1358"/>
      <c r="OWG517" s="1358"/>
      <c r="OWH517" s="1358"/>
      <c r="OWI517" s="1358"/>
      <c r="OWJ517" s="1358"/>
      <c r="OWK517" s="1358"/>
      <c r="OWL517" s="1358"/>
      <c r="OWM517" s="1358"/>
      <c r="OWN517" s="1358"/>
      <c r="OWO517" s="1358"/>
      <c r="OWP517" s="1358"/>
      <c r="OWQ517" s="1358"/>
      <c r="OWR517" s="1358"/>
      <c r="OWS517" s="1358"/>
      <c r="OWT517" s="1358"/>
      <c r="OWU517" s="1358"/>
      <c r="OWV517" s="1358"/>
      <c r="OWW517" s="1358"/>
      <c r="OWX517" s="1358"/>
      <c r="OWY517" s="1358"/>
      <c r="OWZ517" s="1358"/>
      <c r="OXA517" s="1358"/>
      <c r="OXB517" s="1358"/>
      <c r="OXC517" s="1358"/>
      <c r="OXD517" s="1358"/>
      <c r="OXE517" s="1358"/>
      <c r="OXF517" s="1358"/>
      <c r="OXG517" s="1358"/>
      <c r="OXH517" s="1358"/>
      <c r="OXI517" s="1358"/>
      <c r="OXJ517" s="1358"/>
      <c r="OXK517" s="1358"/>
      <c r="OXL517" s="1358"/>
      <c r="OXM517" s="1358"/>
      <c r="OXN517" s="1358"/>
      <c r="OXO517" s="1358"/>
      <c r="OXP517" s="1358"/>
      <c r="OXQ517" s="1358"/>
      <c r="OXR517" s="1358"/>
      <c r="OXS517" s="1358"/>
      <c r="OXT517" s="1358"/>
      <c r="OXU517" s="1358"/>
      <c r="OXV517" s="1358"/>
      <c r="OXW517" s="1358"/>
      <c r="OXX517" s="1358"/>
      <c r="OXY517" s="1358"/>
      <c r="OXZ517" s="1358"/>
      <c r="OYA517" s="1358"/>
      <c r="OYB517" s="1358"/>
      <c r="OYC517" s="1358"/>
      <c r="OYD517" s="1358"/>
      <c r="OYE517" s="1358"/>
      <c r="OYF517" s="1358"/>
      <c r="OYG517" s="1358"/>
      <c r="OYH517" s="1358"/>
      <c r="OYI517" s="1358"/>
      <c r="OYJ517" s="1358"/>
      <c r="OYK517" s="1358"/>
      <c r="OYL517" s="1358"/>
      <c r="OYM517" s="1358"/>
      <c r="OYN517" s="1358"/>
      <c r="OYO517" s="1358"/>
      <c r="OYP517" s="1358"/>
      <c r="OYQ517" s="1358"/>
      <c r="OYR517" s="1358"/>
      <c r="OYS517" s="1358"/>
      <c r="OYT517" s="1358"/>
      <c r="OYU517" s="1358"/>
      <c r="OYV517" s="1358"/>
      <c r="OYW517" s="1358"/>
      <c r="OYX517" s="1358"/>
      <c r="OYY517" s="1358"/>
      <c r="OYZ517" s="1358"/>
      <c r="OZA517" s="1358"/>
      <c r="OZB517" s="1358"/>
      <c r="OZC517" s="1358"/>
      <c r="OZD517" s="1358"/>
      <c r="OZE517" s="1358"/>
      <c r="OZF517" s="1358"/>
      <c r="OZG517" s="1358"/>
      <c r="OZH517" s="1358"/>
      <c r="OZI517" s="1358"/>
      <c r="OZJ517" s="1358"/>
      <c r="OZK517" s="1358"/>
      <c r="OZL517" s="1358"/>
      <c r="OZM517" s="1358"/>
      <c r="OZN517" s="1358"/>
      <c r="OZO517" s="1358"/>
      <c r="OZP517" s="1358"/>
      <c r="OZQ517" s="1358"/>
      <c r="OZR517" s="1358"/>
      <c r="OZS517" s="1358"/>
      <c r="OZT517" s="1358"/>
      <c r="OZU517" s="1358"/>
      <c r="OZV517" s="1358"/>
      <c r="OZW517" s="1358"/>
      <c r="OZX517" s="1358"/>
      <c r="OZY517" s="1358"/>
      <c r="OZZ517" s="1358"/>
      <c r="PAA517" s="1358"/>
      <c r="PAB517" s="1358"/>
      <c r="PAC517" s="1358"/>
      <c r="PAD517" s="1358"/>
      <c r="PAE517" s="1358"/>
      <c r="PAF517" s="1358"/>
      <c r="PAG517" s="1358"/>
      <c r="PAH517" s="1358"/>
      <c r="PAI517" s="1358"/>
      <c r="PAJ517" s="1358"/>
      <c r="PAK517" s="1358"/>
      <c r="PAL517" s="1358"/>
      <c r="PAM517" s="1358"/>
      <c r="PAN517" s="1358"/>
      <c r="PAO517" s="1358"/>
      <c r="PAP517" s="1358"/>
      <c r="PAQ517" s="1358"/>
      <c r="PAR517" s="1358"/>
      <c r="PAS517" s="1358"/>
      <c r="PAT517" s="1358"/>
      <c r="PAU517" s="1358"/>
      <c r="PAV517" s="1358"/>
      <c r="PAW517" s="1358"/>
      <c r="PAX517" s="1358"/>
      <c r="PAY517" s="1358"/>
      <c r="PAZ517" s="1358"/>
      <c r="PBA517" s="1358"/>
      <c r="PBB517" s="1358"/>
      <c r="PBC517" s="1358"/>
      <c r="PBD517" s="1358"/>
      <c r="PBE517" s="1358"/>
      <c r="PBF517" s="1358"/>
      <c r="PBG517" s="1358"/>
      <c r="PBH517" s="1358"/>
      <c r="PBI517" s="1358"/>
      <c r="PBJ517" s="1358"/>
      <c r="PBK517" s="1358"/>
      <c r="PBL517" s="1358"/>
      <c r="PBM517" s="1358"/>
      <c r="PBN517" s="1358"/>
      <c r="PBO517" s="1358"/>
      <c r="PBP517" s="1358"/>
      <c r="PBQ517" s="1358"/>
      <c r="PBR517" s="1358"/>
      <c r="PBS517" s="1358"/>
      <c r="PBT517" s="1358"/>
      <c r="PBU517" s="1358"/>
      <c r="PBV517" s="1358"/>
      <c r="PBW517" s="1358"/>
      <c r="PBX517" s="1358"/>
      <c r="PBY517" s="1358"/>
      <c r="PBZ517" s="1358"/>
      <c r="PCA517" s="1358"/>
      <c r="PCB517" s="1358"/>
      <c r="PCC517" s="1358"/>
      <c r="PCD517" s="1358"/>
      <c r="PCE517" s="1358"/>
      <c r="PCF517" s="1358"/>
      <c r="PCG517" s="1358"/>
      <c r="PCH517" s="1358"/>
      <c r="PCI517" s="1358"/>
      <c r="PCJ517" s="1358"/>
      <c r="PCK517" s="1358"/>
      <c r="PCL517" s="1358"/>
      <c r="PCM517" s="1358"/>
      <c r="PCN517" s="1358"/>
      <c r="PCO517" s="1358"/>
      <c r="PCP517" s="1358"/>
      <c r="PCQ517" s="1358"/>
      <c r="PCR517" s="1358"/>
      <c r="PCS517" s="1358"/>
      <c r="PCT517" s="1358"/>
      <c r="PCU517" s="1358"/>
      <c r="PCV517" s="1358"/>
      <c r="PCW517" s="1358"/>
      <c r="PCX517" s="1358"/>
      <c r="PCY517" s="1358"/>
      <c r="PCZ517" s="1358"/>
      <c r="PDA517" s="1358"/>
      <c r="PDB517" s="1358"/>
      <c r="PDC517" s="1358"/>
      <c r="PDD517" s="1358"/>
      <c r="PDE517" s="1358"/>
      <c r="PDF517" s="1358"/>
      <c r="PDG517" s="1358"/>
      <c r="PDH517" s="1358"/>
      <c r="PDI517" s="1358"/>
      <c r="PDJ517" s="1358"/>
      <c r="PDK517" s="1358"/>
      <c r="PDL517" s="1358"/>
      <c r="PDM517" s="1358"/>
      <c r="PDN517" s="1358"/>
      <c r="PDO517" s="1358"/>
      <c r="PDP517" s="1358"/>
      <c r="PDQ517" s="1358"/>
      <c r="PDR517" s="1358"/>
      <c r="PDS517" s="1358"/>
      <c r="PDT517" s="1358"/>
      <c r="PDU517" s="1358"/>
      <c r="PDV517" s="1358"/>
      <c r="PDW517" s="1358"/>
      <c r="PDX517" s="1358"/>
      <c r="PDY517" s="1358"/>
      <c r="PDZ517" s="1358"/>
      <c r="PEA517" s="1358"/>
      <c r="PEB517" s="1358"/>
      <c r="PEC517" s="1358"/>
      <c r="PED517" s="1358"/>
      <c r="PEE517" s="1358"/>
      <c r="PEF517" s="1358"/>
      <c r="PEG517" s="1358"/>
      <c r="PEH517" s="1358"/>
      <c r="PEI517" s="1358"/>
      <c r="PEJ517" s="1358"/>
      <c r="PEK517" s="1358"/>
      <c r="PEL517" s="1358"/>
      <c r="PEM517" s="1358"/>
      <c r="PEN517" s="1358"/>
      <c r="PEO517" s="1358"/>
      <c r="PEP517" s="1358"/>
      <c r="PEQ517" s="1358"/>
      <c r="PER517" s="1358"/>
      <c r="PES517" s="1358"/>
      <c r="PET517" s="1358"/>
      <c r="PEU517" s="1358"/>
      <c r="PEV517" s="1358"/>
      <c r="PEW517" s="1358"/>
      <c r="PEX517" s="1358"/>
      <c r="PEY517" s="1358"/>
      <c r="PEZ517" s="1358"/>
      <c r="PFA517" s="1358"/>
      <c r="PFB517" s="1358"/>
      <c r="PFC517" s="1358"/>
      <c r="PFD517" s="1358"/>
      <c r="PFE517" s="1358"/>
      <c r="PFF517" s="1358"/>
      <c r="PFG517" s="1358"/>
      <c r="PFH517" s="1358"/>
      <c r="PFI517" s="1358"/>
      <c r="PFJ517" s="1358"/>
      <c r="PFK517" s="1358"/>
      <c r="PFL517" s="1358"/>
      <c r="PFM517" s="1358"/>
      <c r="PFN517" s="1358"/>
      <c r="PFO517" s="1358"/>
      <c r="PFP517" s="1358"/>
      <c r="PFQ517" s="1358"/>
      <c r="PFR517" s="1358"/>
      <c r="PFS517" s="1358"/>
      <c r="PFT517" s="1358"/>
      <c r="PFU517" s="1358"/>
      <c r="PFV517" s="1358"/>
      <c r="PFW517" s="1358"/>
      <c r="PFX517" s="1358"/>
      <c r="PFY517" s="1358"/>
      <c r="PFZ517" s="1358"/>
      <c r="PGA517" s="1358"/>
      <c r="PGB517" s="1358"/>
      <c r="PGC517" s="1358"/>
      <c r="PGD517" s="1358"/>
      <c r="PGE517" s="1358"/>
      <c r="PGF517" s="1358"/>
      <c r="PGG517" s="1358"/>
      <c r="PGH517" s="1358"/>
      <c r="PGI517" s="1358"/>
      <c r="PGJ517" s="1358"/>
      <c r="PGK517" s="1358"/>
      <c r="PGL517" s="1358"/>
      <c r="PGM517" s="1358"/>
      <c r="PGN517" s="1358"/>
      <c r="PGO517" s="1358"/>
      <c r="PGP517" s="1358"/>
      <c r="PGQ517" s="1358"/>
      <c r="PGR517" s="1358"/>
      <c r="PGS517" s="1358"/>
      <c r="PGT517" s="1358"/>
      <c r="PGU517" s="1358"/>
      <c r="PGV517" s="1358"/>
      <c r="PGW517" s="1358"/>
      <c r="PGX517" s="1358"/>
      <c r="PGY517" s="1358"/>
      <c r="PGZ517" s="1358"/>
      <c r="PHA517" s="1358"/>
      <c r="PHB517" s="1358"/>
      <c r="PHC517" s="1358"/>
      <c r="PHD517" s="1358"/>
      <c r="PHE517" s="1358"/>
      <c r="PHF517" s="1358"/>
      <c r="PHG517" s="1358"/>
      <c r="PHH517" s="1358"/>
      <c r="PHI517" s="1358"/>
      <c r="PHJ517" s="1358"/>
      <c r="PHK517" s="1358"/>
      <c r="PHL517" s="1358"/>
      <c r="PHM517" s="1358"/>
      <c r="PHN517" s="1358"/>
      <c r="PHO517" s="1358"/>
      <c r="PHP517" s="1358"/>
      <c r="PHQ517" s="1358"/>
      <c r="PHR517" s="1358"/>
      <c r="PHS517" s="1358"/>
      <c r="PHT517" s="1358"/>
      <c r="PHU517" s="1358"/>
      <c r="PHV517" s="1358"/>
      <c r="PHW517" s="1358"/>
      <c r="PHX517" s="1358"/>
      <c r="PHY517" s="1358"/>
      <c r="PHZ517" s="1358"/>
      <c r="PIA517" s="1358"/>
      <c r="PIB517" s="1358"/>
      <c r="PIC517" s="1358"/>
      <c r="PID517" s="1358"/>
      <c r="PIE517" s="1358"/>
      <c r="PIF517" s="1358"/>
      <c r="PIG517" s="1358"/>
      <c r="PIH517" s="1358"/>
      <c r="PII517" s="1358"/>
      <c r="PIJ517" s="1358"/>
      <c r="PIK517" s="1358"/>
      <c r="PIL517" s="1358"/>
      <c r="PIM517" s="1358"/>
      <c r="PIN517" s="1358"/>
      <c r="PIO517" s="1358"/>
      <c r="PIP517" s="1358"/>
      <c r="PIQ517" s="1358"/>
      <c r="PIR517" s="1358"/>
      <c r="PIS517" s="1358"/>
      <c r="PIT517" s="1358"/>
      <c r="PIU517" s="1358"/>
      <c r="PIV517" s="1358"/>
      <c r="PIW517" s="1358"/>
      <c r="PIX517" s="1358"/>
      <c r="PIY517" s="1358"/>
      <c r="PIZ517" s="1358"/>
      <c r="PJA517" s="1358"/>
      <c r="PJB517" s="1358"/>
      <c r="PJC517" s="1358"/>
      <c r="PJD517" s="1358"/>
      <c r="PJE517" s="1358"/>
      <c r="PJF517" s="1358"/>
      <c r="PJG517" s="1358"/>
      <c r="PJH517" s="1358"/>
      <c r="PJI517" s="1358"/>
      <c r="PJJ517" s="1358"/>
      <c r="PJK517" s="1358"/>
      <c r="PJL517" s="1358"/>
      <c r="PJM517" s="1358"/>
      <c r="PJN517" s="1358"/>
      <c r="PJO517" s="1358"/>
      <c r="PJP517" s="1358"/>
      <c r="PJQ517" s="1358"/>
      <c r="PJR517" s="1358"/>
      <c r="PJS517" s="1358"/>
      <c r="PJT517" s="1358"/>
      <c r="PJU517" s="1358"/>
      <c r="PJV517" s="1358"/>
      <c r="PJW517" s="1358"/>
      <c r="PJX517" s="1358"/>
      <c r="PJY517" s="1358"/>
      <c r="PJZ517" s="1358"/>
      <c r="PKA517" s="1358"/>
      <c r="PKB517" s="1358"/>
      <c r="PKC517" s="1358"/>
      <c r="PKD517" s="1358"/>
      <c r="PKE517" s="1358"/>
      <c r="PKF517" s="1358"/>
      <c r="PKG517" s="1358"/>
      <c r="PKH517" s="1358"/>
      <c r="PKI517" s="1358"/>
      <c r="PKJ517" s="1358"/>
      <c r="PKK517" s="1358"/>
      <c r="PKL517" s="1358"/>
      <c r="PKM517" s="1358"/>
      <c r="PKN517" s="1358"/>
      <c r="PKO517" s="1358"/>
      <c r="PKP517" s="1358"/>
      <c r="PKQ517" s="1358"/>
      <c r="PKR517" s="1358"/>
      <c r="PKS517" s="1358"/>
      <c r="PKT517" s="1358"/>
      <c r="PKU517" s="1358"/>
      <c r="PKV517" s="1358"/>
      <c r="PKW517" s="1358"/>
      <c r="PKX517" s="1358"/>
      <c r="PKY517" s="1358"/>
      <c r="PKZ517" s="1358"/>
      <c r="PLA517" s="1358"/>
      <c r="PLB517" s="1358"/>
      <c r="PLC517" s="1358"/>
      <c r="PLD517" s="1358"/>
      <c r="PLE517" s="1358"/>
      <c r="PLF517" s="1358"/>
      <c r="PLG517" s="1358"/>
      <c r="PLH517" s="1358"/>
      <c r="PLI517" s="1358"/>
      <c r="PLJ517" s="1358"/>
      <c r="PLK517" s="1358"/>
      <c r="PLL517" s="1358"/>
      <c r="PLM517" s="1358"/>
      <c r="PLN517" s="1358"/>
      <c r="PLO517" s="1358"/>
      <c r="PLP517" s="1358"/>
      <c r="PLQ517" s="1358"/>
      <c r="PLR517" s="1358"/>
      <c r="PLS517" s="1358"/>
      <c r="PLT517" s="1358"/>
      <c r="PLU517" s="1358"/>
      <c r="PLV517" s="1358"/>
      <c r="PLW517" s="1358"/>
      <c r="PLX517" s="1358"/>
      <c r="PLY517" s="1358"/>
      <c r="PLZ517" s="1358"/>
      <c r="PMA517" s="1358"/>
      <c r="PMB517" s="1358"/>
      <c r="PMC517" s="1358"/>
      <c r="PMD517" s="1358"/>
      <c r="PME517" s="1358"/>
      <c r="PMF517" s="1358"/>
      <c r="PMG517" s="1358"/>
      <c r="PMH517" s="1358"/>
      <c r="PMI517" s="1358"/>
      <c r="PMJ517" s="1358"/>
      <c r="PMK517" s="1358"/>
      <c r="PML517" s="1358"/>
      <c r="PMM517" s="1358"/>
      <c r="PMN517" s="1358"/>
      <c r="PMO517" s="1358"/>
      <c r="PMP517" s="1358"/>
      <c r="PMQ517" s="1358"/>
      <c r="PMR517" s="1358"/>
      <c r="PMS517" s="1358"/>
      <c r="PMT517" s="1358"/>
      <c r="PMU517" s="1358"/>
      <c r="PMV517" s="1358"/>
      <c r="PMW517" s="1358"/>
      <c r="PMX517" s="1358"/>
      <c r="PMY517" s="1358"/>
      <c r="PMZ517" s="1358"/>
      <c r="PNA517" s="1358"/>
      <c r="PNB517" s="1358"/>
      <c r="PNC517" s="1358"/>
      <c r="PND517" s="1358"/>
      <c r="PNE517" s="1358"/>
      <c r="PNF517" s="1358"/>
      <c r="PNG517" s="1358"/>
      <c r="PNH517" s="1358"/>
      <c r="PNI517" s="1358"/>
      <c r="PNJ517" s="1358"/>
      <c r="PNK517" s="1358"/>
      <c r="PNL517" s="1358"/>
      <c r="PNM517" s="1358"/>
      <c r="PNN517" s="1358"/>
      <c r="PNO517" s="1358"/>
      <c r="PNP517" s="1358"/>
      <c r="PNQ517" s="1358"/>
      <c r="PNR517" s="1358"/>
      <c r="PNS517" s="1358"/>
      <c r="PNT517" s="1358"/>
      <c r="PNU517" s="1358"/>
      <c r="PNV517" s="1358"/>
      <c r="PNW517" s="1358"/>
      <c r="PNX517" s="1358"/>
      <c r="PNY517" s="1358"/>
      <c r="PNZ517" s="1358"/>
      <c r="POA517" s="1358"/>
      <c r="POB517" s="1358"/>
      <c r="POC517" s="1358"/>
      <c r="POD517" s="1358"/>
      <c r="POE517" s="1358"/>
      <c r="POF517" s="1358"/>
      <c r="POG517" s="1358"/>
      <c r="POH517" s="1358"/>
      <c r="POI517" s="1358"/>
      <c r="POJ517" s="1358"/>
      <c r="POK517" s="1358"/>
      <c r="POL517" s="1358"/>
      <c r="POM517" s="1358"/>
      <c r="PON517" s="1358"/>
      <c r="POO517" s="1358"/>
      <c r="POP517" s="1358"/>
      <c r="POQ517" s="1358"/>
      <c r="POR517" s="1358"/>
      <c r="POS517" s="1358"/>
      <c r="POT517" s="1358"/>
      <c r="POU517" s="1358"/>
      <c r="POV517" s="1358"/>
      <c r="POW517" s="1358"/>
      <c r="POX517" s="1358"/>
      <c r="POY517" s="1358"/>
      <c r="POZ517" s="1358"/>
      <c r="PPA517" s="1358"/>
      <c r="PPB517" s="1358"/>
      <c r="PPC517" s="1358"/>
      <c r="PPD517" s="1358"/>
      <c r="PPE517" s="1358"/>
      <c r="PPF517" s="1358"/>
      <c r="PPG517" s="1358"/>
      <c r="PPH517" s="1358"/>
      <c r="PPI517" s="1358"/>
      <c r="PPJ517" s="1358"/>
      <c r="PPK517" s="1358"/>
      <c r="PPL517" s="1358"/>
      <c r="PPM517" s="1358"/>
      <c r="PPN517" s="1358"/>
      <c r="PPO517" s="1358"/>
      <c r="PPP517" s="1358"/>
      <c r="PPQ517" s="1358"/>
      <c r="PPR517" s="1358"/>
      <c r="PPS517" s="1358"/>
      <c r="PPT517" s="1358"/>
      <c r="PPU517" s="1358"/>
      <c r="PPV517" s="1358"/>
      <c r="PPW517" s="1358"/>
      <c r="PPX517" s="1358"/>
      <c r="PPY517" s="1358"/>
      <c r="PPZ517" s="1358"/>
      <c r="PQA517" s="1358"/>
      <c r="PQB517" s="1358"/>
      <c r="PQC517" s="1358"/>
      <c r="PQD517" s="1358"/>
      <c r="PQE517" s="1358"/>
      <c r="PQF517" s="1358"/>
      <c r="PQG517" s="1358"/>
      <c r="PQH517" s="1358"/>
      <c r="PQI517" s="1358"/>
      <c r="PQJ517" s="1358"/>
      <c r="PQK517" s="1358"/>
      <c r="PQL517" s="1358"/>
      <c r="PQM517" s="1358"/>
      <c r="PQN517" s="1358"/>
      <c r="PQO517" s="1358"/>
      <c r="PQP517" s="1358"/>
      <c r="PQQ517" s="1358"/>
      <c r="PQR517" s="1358"/>
      <c r="PQS517" s="1358"/>
      <c r="PQT517" s="1358"/>
      <c r="PQU517" s="1358"/>
      <c r="PQV517" s="1358"/>
      <c r="PQW517" s="1358"/>
      <c r="PQX517" s="1358"/>
      <c r="PQY517" s="1358"/>
      <c r="PQZ517" s="1358"/>
      <c r="PRA517" s="1358"/>
      <c r="PRB517" s="1358"/>
      <c r="PRC517" s="1358"/>
      <c r="PRD517" s="1358"/>
      <c r="PRE517" s="1358"/>
      <c r="PRF517" s="1358"/>
      <c r="PRG517" s="1358"/>
      <c r="PRH517" s="1358"/>
      <c r="PRI517" s="1358"/>
      <c r="PRJ517" s="1358"/>
      <c r="PRK517" s="1358"/>
      <c r="PRL517" s="1358"/>
      <c r="PRM517" s="1358"/>
      <c r="PRN517" s="1358"/>
      <c r="PRO517" s="1358"/>
      <c r="PRP517" s="1358"/>
      <c r="PRQ517" s="1358"/>
      <c r="PRR517" s="1358"/>
      <c r="PRS517" s="1358"/>
      <c r="PRT517" s="1358"/>
      <c r="PRU517" s="1358"/>
      <c r="PRV517" s="1358"/>
      <c r="PRW517" s="1358"/>
      <c r="PRX517" s="1358"/>
      <c r="PRY517" s="1358"/>
      <c r="PRZ517" s="1358"/>
      <c r="PSA517" s="1358"/>
      <c r="PSB517" s="1358"/>
      <c r="PSC517" s="1358"/>
      <c r="PSD517" s="1358"/>
      <c r="PSE517" s="1358"/>
      <c r="PSF517" s="1358"/>
      <c r="PSG517" s="1358"/>
      <c r="PSH517" s="1358"/>
      <c r="PSI517" s="1358"/>
      <c r="PSJ517" s="1358"/>
      <c r="PSK517" s="1358"/>
      <c r="PSL517" s="1358"/>
      <c r="PSM517" s="1358"/>
      <c r="PSN517" s="1358"/>
      <c r="PSO517" s="1358"/>
      <c r="PSP517" s="1358"/>
      <c r="PSQ517" s="1358"/>
      <c r="PSR517" s="1358"/>
      <c r="PSS517" s="1358"/>
      <c r="PST517" s="1358"/>
      <c r="PSU517" s="1358"/>
      <c r="PSV517" s="1358"/>
      <c r="PSW517" s="1358"/>
      <c r="PSX517" s="1358"/>
      <c r="PSY517" s="1358"/>
      <c r="PSZ517" s="1358"/>
      <c r="PTA517" s="1358"/>
      <c r="PTB517" s="1358"/>
      <c r="PTC517" s="1358"/>
      <c r="PTD517" s="1358"/>
      <c r="PTE517" s="1358"/>
      <c r="PTF517" s="1358"/>
      <c r="PTG517" s="1358"/>
      <c r="PTH517" s="1358"/>
      <c r="PTI517" s="1358"/>
      <c r="PTJ517" s="1358"/>
      <c r="PTK517" s="1358"/>
      <c r="PTL517" s="1358"/>
      <c r="PTM517" s="1358"/>
      <c r="PTN517" s="1358"/>
      <c r="PTO517" s="1358"/>
      <c r="PTP517" s="1358"/>
      <c r="PTQ517" s="1358"/>
      <c r="PTR517" s="1358"/>
      <c r="PTS517" s="1358"/>
      <c r="PTT517" s="1358"/>
      <c r="PTU517" s="1358"/>
      <c r="PTV517" s="1358"/>
      <c r="PTW517" s="1358"/>
      <c r="PTX517" s="1358"/>
      <c r="PTY517" s="1358"/>
      <c r="PTZ517" s="1358"/>
      <c r="PUA517" s="1358"/>
      <c r="PUB517" s="1358"/>
      <c r="PUC517" s="1358"/>
      <c r="PUD517" s="1358"/>
      <c r="PUE517" s="1358"/>
      <c r="PUF517" s="1358"/>
      <c r="PUG517" s="1358"/>
      <c r="PUH517" s="1358"/>
      <c r="PUI517" s="1358"/>
      <c r="PUJ517" s="1358"/>
      <c r="PUK517" s="1358"/>
      <c r="PUL517" s="1358"/>
      <c r="PUM517" s="1358"/>
      <c r="PUN517" s="1358"/>
      <c r="PUO517" s="1358"/>
      <c r="PUP517" s="1358"/>
      <c r="PUQ517" s="1358"/>
      <c r="PUR517" s="1358"/>
      <c r="PUS517" s="1358"/>
      <c r="PUT517" s="1358"/>
      <c r="PUU517" s="1358"/>
      <c r="PUV517" s="1358"/>
      <c r="PUW517" s="1358"/>
      <c r="PUX517" s="1358"/>
      <c r="PUY517" s="1358"/>
      <c r="PUZ517" s="1358"/>
      <c r="PVA517" s="1358"/>
      <c r="PVB517" s="1358"/>
      <c r="PVC517" s="1358"/>
      <c r="PVD517" s="1358"/>
      <c r="PVE517" s="1358"/>
      <c r="PVF517" s="1358"/>
      <c r="PVG517" s="1358"/>
      <c r="PVH517" s="1358"/>
      <c r="PVI517" s="1358"/>
      <c r="PVJ517" s="1358"/>
      <c r="PVK517" s="1358"/>
      <c r="PVL517" s="1358"/>
      <c r="PVM517" s="1358"/>
      <c r="PVN517" s="1358"/>
      <c r="PVO517" s="1358"/>
      <c r="PVP517" s="1358"/>
      <c r="PVQ517" s="1358"/>
      <c r="PVR517" s="1358"/>
      <c r="PVS517" s="1358"/>
      <c r="PVT517" s="1358"/>
      <c r="PVU517" s="1358"/>
      <c r="PVV517" s="1358"/>
      <c r="PVW517" s="1358"/>
      <c r="PVX517" s="1358"/>
      <c r="PVY517" s="1358"/>
      <c r="PVZ517" s="1358"/>
      <c r="PWA517" s="1358"/>
      <c r="PWB517" s="1358"/>
      <c r="PWC517" s="1358"/>
      <c r="PWD517" s="1358"/>
      <c r="PWE517" s="1358"/>
      <c r="PWF517" s="1358"/>
      <c r="PWG517" s="1358"/>
      <c r="PWH517" s="1358"/>
      <c r="PWI517" s="1358"/>
      <c r="PWJ517" s="1358"/>
      <c r="PWK517" s="1358"/>
      <c r="PWL517" s="1358"/>
      <c r="PWM517" s="1358"/>
      <c r="PWN517" s="1358"/>
      <c r="PWO517" s="1358"/>
      <c r="PWP517" s="1358"/>
      <c r="PWQ517" s="1358"/>
      <c r="PWR517" s="1358"/>
      <c r="PWS517" s="1358"/>
      <c r="PWT517" s="1358"/>
      <c r="PWU517" s="1358"/>
      <c r="PWV517" s="1358"/>
      <c r="PWW517" s="1358"/>
      <c r="PWX517" s="1358"/>
      <c r="PWY517" s="1358"/>
      <c r="PWZ517" s="1358"/>
      <c r="PXA517" s="1358"/>
      <c r="PXB517" s="1358"/>
      <c r="PXC517" s="1358"/>
      <c r="PXD517" s="1358"/>
      <c r="PXE517" s="1358"/>
      <c r="PXF517" s="1358"/>
      <c r="PXG517" s="1358"/>
      <c r="PXH517" s="1358"/>
      <c r="PXI517" s="1358"/>
      <c r="PXJ517" s="1358"/>
      <c r="PXK517" s="1358"/>
      <c r="PXL517" s="1358"/>
      <c r="PXM517" s="1358"/>
      <c r="PXN517" s="1358"/>
      <c r="PXO517" s="1358"/>
      <c r="PXP517" s="1358"/>
      <c r="PXQ517" s="1358"/>
      <c r="PXR517" s="1358"/>
      <c r="PXS517" s="1358"/>
      <c r="PXT517" s="1358"/>
      <c r="PXU517" s="1358"/>
      <c r="PXV517" s="1358"/>
      <c r="PXW517" s="1358"/>
      <c r="PXX517" s="1358"/>
      <c r="PXY517" s="1358"/>
      <c r="PXZ517" s="1358"/>
      <c r="PYA517" s="1358"/>
      <c r="PYB517" s="1358"/>
      <c r="PYC517" s="1358"/>
      <c r="PYD517" s="1358"/>
      <c r="PYE517" s="1358"/>
      <c r="PYF517" s="1358"/>
      <c r="PYG517" s="1358"/>
      <c r="PYH517" s="1358"/>
      <c r="PYI517" s="1358"/>
      <c r="PYJ517" s="1358"/>
      <c r="PYK517" s="1358"/>
      <c r="PYL517" s="1358"/>
      <c r="PYM517" s="1358"/>
      <c r="PYN517" s="1358"/>
      <c r="PYO517" s="1358"/>
      <c r="PYP517" s="1358"/>
      <c r="PYQ517" s="1358"/>
      <c r="PYR517" s="1358"/>
      <c r="PYS517" s="1358"/>
      <c r="PYT517" s="1358"/>
      <c r="PYU517" s="1358"/>
      <c r="PYV517" s="1358"/>
      <c r="PYW517" s="1358"/>
      <c r="PYX517" s="1358"/>
      <c r="PYY517" s="1358"/>
      <c r="PYZ517" s="1358"/>
      <c r="PZA517" s="1358"/>
      <c r="PZB517" s="1358"/>
      <c r="PZC517" s="1358"/>
      <c r="PZD517" s="1358"/>
      <c r="PZE517" s="1358"/>
      <c r="PZF517" s="1358"/>
      <c r="PZG517" s="1358"/>
      <c r="PZH517" s="1358"/>
      <c r="PZI517" s="1358"/>
      <c r="PZJ517" s="1358"/>
      <c r="PZK517" s="1358"/>
      <c r="PZL517" s="1358"/>
      <c r="PZM517" s="1358"/>
      <c r="PZN517" s="1358"/>
      <c r="PZO517" s="1358"/>
      <c r="PZP517" s="1358"/>
      <c r="PZQ517" s="1358"/>
      <c r="PZR517" s="1358"/>
      <c r="PZS517" s="1358"/>
      <c r="PZT517" s="1358"/>
      <c r="PZU517" s="1358"/>
      <c r="PZV517" s="1358"/>
      <c r="PZW517" s="1358"/>
      <c r="PZX517" s="1358"/>
      <c r="PZY517" s="1358"/>
      <c r="PZZ517" s="1358"/>
      <c r="QAA517" s="1358"/>
      <c r="QAB517" s="1358"/>
      <c r="QAC517" s="1358"/>
      <c r="QAD517" s="1358"/>
      <c r="QAE517" s="1358"/>
      <c r="QAF517" s="1358"/>
      <c r="QAG517" s="1358"/>
      <c r="QAH517" s="1358"/>
      <c r="QAI517" s="1358"/>
      <c r="QAJ517" s="1358"/>
      <c r="QAK517" s="1358"/>
      <c r="QAL517" s="1358"/>
      <c r="QAM517" s="1358"/>
      <c r="QAN517" s="1358"/>
      <c r="QAO517" s="1358"/>
      <c r="QAP517" s="1358"/>
      <c r="QAQ517" s="1358"/>
      <c r="QAR517" s="1358"/>
      <c r="QAS517" s="1358"/>
      <c r="QAT517" s="1358"/>
      <c r="QAU517" s="1358"/>
      <c r="QAV517" s="1358"/>
      <c r="QAW517" s="1358"/>
      <c r="QAX517" s="1358"/>
      <c r="QAY517" s="1358"/>
      <c r="QAZ517" s="1358"/>
      <c r="QBA517" s="1358"/>
      <c r="QBB517" s="1358"/>
      <c r="QBC517" s="1358"/>
      <c r="QBD517" s="1358"/>
      <c r="QBE517" s="1358"/>
      <c r="QBF517" s="1358"/>
      <c r="QBG517" s="1358"/>
      <c r="QBH517" s="1358"/>
      <c r="QBI517" s="1358"/>
      <c r="QBJ517" s="1358"/>
      <c r="QBK517" s="1358"/>
      <c r="QBL517" s="1358"/>
      <c r="QBM517" s="1358"/>
      <c r="QBN517" s="1358"/>
      <c r="QBO517" s="1358"/>
      <c r="QBP517" s="1358"/>
      <c r="QBQ517" s="1358"/>
      <c r="QBR517" s="1358"/>
      <c r="QBS517" s="1358"/>
      <c r="QBT517" s="1358"/>
      <c r="QBU517" s="1358"/>
      <c r="QBV517" s="1358"/>
      <c r="QBW517" s="1358"/>
      <c r="QBX517" s="1358"/>
      <c r="QBY517" s="1358"/>
      <c r="QBZ517" s="1358"/>
      <c r="QCA517" s="1358"/>
      <c r="QCB517" s="1358"/>
      <c r="QCC517" s="1358"/>
      <c r="QCD517" s="1358"/>
      <c r="QCE517" s="1358"/>
      <c r="QCF517" s="1358"/>
      <c r="QCG517" s="1358"/>
      <c r="QCH517" s="1358"/>
      <c r="QCI517" s="1358"/>
      <c r="QCJ517" s="1358"/>
      <c r="QCK517" s="1358"/>
      <c r="QCL517" s="1358"/>
      <c r="QCM517" s="1358"/>
      <c r="QCN517" s="1358"/>
      <c r="QCO517" s="1358"/>
      <c r="QCP517" s="1358"/>
      <c r="QCQ517" s="1358"/>
      <c r="QCR517" s="1358"/>
      <c r="QCS517" s="1358"/>
      <c r="QCT517" s="1358"/>
      <c r="QCU517" s="1358"/>
      <c r="QCV517" s="1358"/>
      <c r="QCW517" s="1358"/>
      <c r="QCX517" s="1358"/>
      <c r="QCY517" s="1358"/>
      <c r="QCZ517" s="1358"/>
      <c r="QDA517" s="1358"/>
      <c r="QDB517" s="1358"/>
      <c r="QDC517" s="1358"/>
      <c r="QDD517" s="1358"/>
      <c r="QDE517" s="1358"/>
      <c r="QDF517" s="1358"/>
      <c r="QDG517" s="1358"/>
      <c r="QDH517" s="1358"/>
      <c r="QDI517" s="1358"/>
      <c r="QDJ517" s="1358"/>
      <c r="QDK517" s="1358"/>
      <c r="QDL517" s="1358"/>
      <c r="QDM517" s="1358"/>
      <c r="QDN517" s="1358"/>
      <c r="QDO517" s="1358"/>
      <c r="QDP517" s="1358"/>
      <c r="QDQ517" s="1358"/>
      <c r="QDR517" s="1358"/>
      <c r="QDS517" s="1358"/>
      <c r="QDT517" s="1358"/>
      <c r="QDU517" s="1358"/>
      <c r="QDV517" s="1358"/>
      <c r="QDW517" s="1358"/>
      <c r="QDX517" s="1358"/>
      <c r="QDY517" s="1358"/>
      <c r="QDZ517" s="1358"/>
      <c r="QEA517" s="1358"/>
      <c r="QEB517" s="1358"/>
      <c r="QEC517" s="1358"/>
      <c r="QED517" s="1358"/>
      <c r="QEE517" s="1358"/>
      <c r="QEF517" s="1358"/>
      <c r="QEG517" s="1358"/>
      <c r="QEH517" s="1358"/>
      <c r="QEI517" s="1358"/>
      <c r="QEJ517" s="1358"/>
      <c r="QEK517" s="1358"/>
      <c r="QEL517" s="1358"/>
      <c r="QEM517" s="1358"/>
      <c r="QEN517" s="1358"/>
      <c r="QEO517" s="1358"/>
      <c r="QEP517" s="1358"/>
      <c r="QEQ517" s="1358"/>
      <c r="QER517" s="1358"/>
      <c r="QES517" s="1358"/>
      <c r="QET517" s="1358"/>
      <c r="QEU517" s="1358"/>
      <c r="QEV517" s="1358"/>
      <c r="QEW517" s="1358"/>
      <c r="QEX517" s="1358"/>
      <c r="QEY517" s="1358"/>
      <c r="QEZ517" s="1358"/>
      <c r="QFA517" s="1358"/>
      <c r="QFB517" s="1358"/>
      <c r="QFC517" s="1358"/>
      <c r="QFD517" s="1358"/>
      <c r="QFE517" s="1358"/>
      <c r="QFF517" s="1358"/>
      <c r="QFG517" s="1358"/>
      <c r="QFH517" s="1358"/>
      <c r="QFI517" s="1358"/>
      <c r="QFJ517" s="1358"/>
      <c r="QFK517" s="1358"/>
      <c r="QFL517" s="1358"/>
      <c r="QFM517" s="1358"/>
      <c r="QFN517" s="1358"/>
      <c r="QFO517" s="1358"/>
      <c r="QFP517" s="1358"/>
      <c r="QFQ517" s="1358"/>
      <c r="QFR517" s="1358"/>
      <c r="QFS517" s="1358"/>
      <c r="QFT517" s="1358"/>
      <c r="QFU517" s="1358"/>
      <c r="QFV517" s="1358"/>
      <c r="QFW517" s="1358"/>
      <c r="QFX517" s="1358"/>
      <c r="QFY517" s="1358"/>
      <c r="QFZ517" s="1358"/>
      <c r="QGA517" s="1358"/>
      <c r="QGB517" s="1358"/>
      <c r="QGC517" s="1358"/>
      <c r="QGD517" s="1358"/>
      <c r="QGE517" s="1358"/>
      <c r="QGF517" s="1358"/>
      <c r="QGG517" s="1358"/>
      <c r="QGH517" s="1358"/>
      <c r="QGI517" s="1358"/>
      <c r="QGJ517" s="1358"/>
      <c r="QGK517" s="1358"/>
      <c r="QGL517" s="1358"/>
      <c r="QGM517" s="1358"/>
      <c r="QGN517" s="1358"/>
      <c r="QGO517" s="1358"/>
      <c r="QGP517" s="1358"/>
      <c r="QGQ517" s="1358"/>
      <c r="QGR517" s="1358"/>
      <c r="QGS517" s="1358"/>
      <c r="QGT517" s="1358"/>
      <c r="QGU517" s="1358"/>
      <c r="QGV517" s="1358"/>
      <c r="QGW517" s="1358"/>
      <c r="QGX517" s="1358"/>
      <c r="QGY517" s="1358"/>
      <c r="QGZ517" s="1358"/>
      <c r="QHA517" s="1358"/>
      <c r="QHB517" s="1358"/>
      <c r="QHC517" s="1358"/>
      <c r="QHD517" s="1358"/>
      <c r="QHE517" s="1358"/>
      <c r="QHF517" s="1358"/>
      <c r="QHG517" s="1358"/>
      <c r="QHH517" s="1358"/>
      <c r="QHI517" s="1358"/>
      <c r="QHJ517" s="1358"/>
      <c r="QHK517" s="1358"/>
      <c r="QHL517" s="1358"/>
      <c r="QHM517" s="1358"/>
      <c r="QHN517" s="1358"/>
      <c r="QHO517" s="1358"/>
      <c r="QHP517" s="1358"/>
      <c r="QHQ517" s="1358"/>
      <c r="QHR517" s="1358"/>
      <c r="QHS517" s="1358"/>
      <c r="QHT517" s="1358"/>
      <c r="QHU517" s="1358"/>
      <c r="QHV517" s="1358"/>
      <c r="QHW517" s="1358"/>
      <c r="QHX517" s="1358"/>
      <c r="QHY517" s="1358"/>
      <c r="QHZ517" s="1358"/>
      <c r="QIA517" s="1358"/>
      <c r="QIB517" s="1358"/>
      <c r="QIC517" s="1358"/>
      <c r="QID517" s="1358"/>
      <c r="QIE517" s="1358"/>
      <c r="QIF517" s="1358"/>
      <c r="QIG517" s="1358"/>
      <c r="QIH517" s="1358"/>
      <c r="QII517" s="1358"/>
      <c r="QIJ517" s="1358"/>
      <c r="QIK517" s="1358"/>
      <c r="QIL517" s="1358"/>
      <c r="QIM517" s="1358"/>
      <c r="QIN517" s="1358"/>
      <c r="QIO517" s="1358"/>
      <c r="QIP517" s="1358"/>
      <c r="QIQ517" s="1358"/>
      <c r="QIR517" s="1358"/>
      <c r="QIS517" s="1358"/>
      <c r="QIT517" s="1358"/>
      <c r="QIU517" s="1358"/>
      <c r="QIV517" s="1358"/>
      <c r="QIW517" s="1358"/>
      <c r="QIX517" s="1358"/>
      <c r="QIY517" s="1358"/>
      <c r="QIZ517" s="1358"/>
      <c r="QJA517" s="1358"/>
      <c r="QJB517" s="1358"/>
      <c r="QJC517" s="1358"/>
      <c r="QJD517" s="1358"/>
      <c r="QJE517" s="1358"/>
      <c r="QJF517" s="1358"/>
      <c r="QJG517" s="1358"/>
      <c r="QJH517" s="1358"/>
      <c r="QJI517" s="1358"/>
      <c r="QJJ517" s="1358"/>
      <c r="QJK517" s="1358"/>
      <c r="QJL517" s="1358"/>
      <c r="QJM517" s="1358"/>
      <c r="QJN517" s="1358"/>
      <c r="QJO517" s="1358"/>
      <c r="QJP517" s="1358"/>
      <c r="QJQ517" s="1358"/>
      <c r="QJR517" s="1358"/>
      <c r="QJS517" s="1358"/>
      <c r="QJT517" s="1358"/>
      <c r="QJU517" s="1358"/>
      <c r="QJV517" s="1358"/>
      <c r="QJW517" s="1358"/>
      <c r="QJX517" s="1358"/>
      <c r="QJY517" s="1358"/>
      <c r="QJZ517" s="1358"/>
      <c r="QKA517" s="1358"/>
      <c r="QKB517" s="1358"/>
      <c r="QKC517" s="1358"/>
      <c r="QKD517" s="1358"/>
      <c r="QKE517" s="1358"/>
      <c r="QKF517" s="1358"/>
      <c r="QKG517" s="1358"/>
      <c r="QKH517" s="1358"/>
      <c r="QKI517" s="1358"/>
      <c r="QKJ517" s="1358"/>
      <c r="QKK517" s="1358"/>
      <c r="QKL517" s="1358"/>
      <c r="QKM517" s="1358"/>
      <c r="QKN517" s="1358"/>
      <c r="QKO517" s="1358"/>
      <c r="QKP517" s="1358"/>
      <c r="QKQ517" s="1358"/>
      <c r="QKR517" s="1358"/>
      <c r="QKS517" s="1358"/>
      <c r="QKT517" s="1358"/>
      <c r="QKU517" s="1358"/>
      <c r="QKV517" s="1358"/>
      <c r="QKW517" s="1358"/>
      <c r="QKX517" s="1358"/>
      <c r="QKY517" s="1358"/>
      <c r="QKZ517" s="1358"/>
      <c r="QLA517" s="1358"/>
      <c r="QLB517" s="1358"/>
      <c r="QLC517" s="1358"/>
      <c r="QLD517" s="1358"/>
      <c r="QLE517" s="1358"/>
      <c r="QLF517" s="1358"/>
      <c r="QLG517" s="1358"/>
      <c r="QLH517" s="1358"/>
      <c r="QLI517" s="1358"/>
      <c r="QLJ517" s="1358"/>
      <c r="QLK517" s="1358"/>
      <c r="QLL517" s="1358"/>
      <c r="QLM517" s="1358"/>
      <c r="QLN517" s="1358"/>
      <c r="QLO517" s="1358"/>
      <c r="QLP517" s="1358"/>
      <c r="QLQ517" s="1358"/>
      <c r="QLR517" s="1358"/>
      <c r="QLS517" s="1358"/>
      <c r="QLT517" s="1358"/>
      <c r="QLU517" s="1358"/>
      <c r="QLV517" s="1358"/>
      <c r="QLW517" s="1358"/>
      <c r="QLX517" s="1358"/>
      <c r="QLY517" s="1358"/>
      <c r="QLZ517" s="1358"/>
      <c r="QMA517" s="1358"/>
      <c r="QMB517" s="1358"/>
      <c r="QMC517" s="1358"/>
      <c r="QMD517" s="1358"/>
      <c r="QME517" s="1358"/>
      <c r="QMF517" s="1358"/>
      <c r="QMG517" s="1358"/>
      <c r="QMH517" s="1358"/>
      <c r="QMI517" s="1358"/>
      <c r="QMJ517" s="1358"/>
      <c r="QMK517" s="1358"/>
      <c r="QML517" s="1358"/>
      <c r="QMM517" s="1358"/>
      <c r="QMN517" s="1358"/>
      <c r="QMO517" s="1358"/>
      <c r="QMP517" s="1358"/>
      <c r="QMQ517" s="1358"/>
      <c r="QMR517" s="1358"/>
      <c r="QMS517" s="1358"/>
      <c r="QMT517" s="1358"/>
      <c r="QMU517" s="1358"/>
      <c r="QMV517" s="1358"/>
      <c r="QMW517" s="1358"/>
      <c r="QMX517" s="1358"/>
      <c r="QMY517" s="1358"/>
      <c r="QMZ517" s="1358"/>
      <c r="QNA517" s="1358"/>
      <c r="QNB517" s="1358"/>
      <c r="QNC517" s="1358"/>
      <c r="QND517" s="1358"/>
      <c r="QNE517" s="1358"/>
      <c r="QNF517" s="1358"/>
      <c r="QNG517" s="1358"/>
      <c r="QNH517" s="1358"/>
      <c r="QNI517" s="1358"/>
      <c r="QNJ517" s="1358"/>
      <c r="QNK517" s="1358"/>
      <c r="QNL517" s="1358"/>
      <c r="QNM517" s="1358"/>
      <c r="QNN517" s="1358"/>
      <c r="QNO517" s="1358"/>
      <c r="QNP517" s="1358"/>
      <c r="QNQ517" s="1358"/>
      <c r="QNR517" s="1358"/>
      <c r="QNS517" s="1358"/>
      <c r="QNT517" s="1358"/>
      <c r="QNU517" s="1358"/>
      <c r="QNV517" s="1358"/>
      <c r="QNW517" s="1358"/>
      <c r="QNX517" s="1358"/>
      <c r="QNY517" s="1358"/>
      <c r="QNZ517" s="1358"/>
      <c r="QOA517" s="1358"/>
      <c r="QOB517" s="1358"/>
      <c r="QOC517" s="1358"/>
      <c r="QOD517" s="1358"/>
      <c r="QOE517" s="1358"/>
      <c r="QOF517" s="1358"/>
      <c r="QOG517" s="1358"/>
      <c r="QOH517" s="1358"/>
      <c r="QOI517" s="1358"/>
      <c r="QOJ517" s="1358"/>
      <c r="QOK517" s="1358"/>
      <c r="QOL517" s="1358"/>
      <c r="QOM517" s="1358"/>
      <c r="QON517" s="1358"/>
      <c r="QOO517" s="1358"/>
      <c r="QOP517" s="1358"/>
      <c r="QOQ517" s="1358"/>
      <c r="QOR517" s="1358"/>
      <c r="QOS517" s="1358"/>
      <c r="QOT517" s="1358"/>
      <c r="QOU517" s="1358"/>
      <c r="QOV517" s="1358"/>
      <c r="QOW517" s="1358"/>
      <c r="QOX517" s="1358"/>
      <c r="QOY517" s="1358"/>
      <c r="QOZ517" s="1358"/>
      <c r="QPA517" s="1358"/>
      <c r="QPB517" s="1358"/>
      <c r="QPC517" s="1358"/>
      <c r="QPD517" s="1358"/>
      <c r="QPE517" s="1358"/>
      <c r="QPF517" s="1358"/>
      <c r="QPG517" s="1358"/>
      <c r="QPH517" s="1358"/>
      <c r="QPI517" s="1358"/>
      <c r="QPJ517" s="1358"/>
      <c r="QPK517" s="1358"/>
      <c r="QPL517" s="1358"/>
      <c r="QPM517" s="1358"/>
      <c r="QPN517" s="1358"/>
      <c r="QPO517" s="1358"/>
      <c r="QPP517" s="1358"/>
      <c r="QPQ517" s="1358"/>
      <c r="QPR517" s="1358"/>
      <c r="QPS517" s="1358"/>
      <c r="QPT517" s="1358"/>
      <c r="QPU517" s="1358"/>
      <c r="QPV517" s="1358"/>
      <c r="QPW517" s="1358"/>
      <c r="QPX517" s="1358"/>
      <c r="QPY517" s="1358"/>
      <c r="QPZ517" s="1358"/>
      <c r="QQA517" s="1358"/>
      <c r="QQB517" s="1358"/>
      <c r="QQC517" s="1358"/>
      <c r="QQD517" s="1358"/>
      <c r="QQE517" s="1358"/>
      <c r="QQF517" s="1358"/>
      <c r="QQG517" s="1358"/>
      <c r="QQH517" s="1358"/>
      <c r="QQI517" s="1358"/>
      <c r="QQJ517" s="1358"/>
      <c r="QQK517" s="1358"/>
      <c r="QQL517" s="1358"/>
      <c r="QQM517" s="1358"/>
      <c r="QQN517" s="1358"/>
      <c r="QQO517" s="1358"/>
      <c r="QQP517" s="1358"/>
      <c r="QQQ517" s="1358"/>
      <c r="QQR517" s="1358"/>
      <c r="QQS517" s="1358"/>
      <c r="QQT517" s="1358"/>
      <c r="QQU517" s="1358"/>
      <c r="QQV517" s="1358"/>
      <c r="QQW517" s="1358"/>
      <c r="QQX517" s="1358"/>
      <c r="QQY517" s="1358"/>
      <c r="QQZ517" s="1358"/>
      <c r="QRA517" s="1358"/>
      <c r="QRB517" s="1358"/>
      <c r="QRC517" s="1358"/>
      <c r="QRD517" s="1358"/>
      <c r="QRE517" s="1358"/>
      <c r="QRF517" s="1358"/>
      <c r="QRG517" s="1358"/>
      <c r="QRH517" s="1358"/>
      <c r="QRI517" s="1358"/>
      <c r="QRJ517" s="1358"/>
      <c r="QRK517" s="1358"/>
      <c r="QRL517" s="1358"/>
      <c r="QRM517" s="1358"/>
      <c r="QRN517" s="1358"/>
      <c r="QRO517" s="1358"/>
      <c r="QRP517" s="1358"/>
      <c r="QRQ517" s="1358"/>
      <c r="QRR517" s="1358"/>
      <c r="QRS517" s="1358"/>
      <c r="QRT517" s="1358"/>
      <c r="QRU517" s="1358"/>
      <c r="QRV517" s="1358"/>
      <c r="QRW517" s="1358"/>
      <c r="QRX517" s="1358"/>
      <c r="QRY517" s="1358"/>
      <c r="QRZ517" s="1358"/>
      <c r="QSA517" s="1358"/>
      <c r="QSB517" s="1358"/>
      <c r="QSC517" s="1358"/>
      <c r="QSD517" s="1358"/>
      <c r="QSE517" s="1358"/>
      <c r="QSF517" s="1358"/>
      <c r="QSG517" s="1358"/>
      <c r="QSH517" s="1358"/>
      <c r="QSI517" s="1358"/>
      <c r="QSJ517" s="1358"/>
      <c r="QSK517" s="1358"/>
      <c r="QSL517" s="1358"/>
      <c r="QSM517" s="1358"/>
      <c r="QSN517" s="1358"/>
      <c r="QSO517" s="1358"/>
      <c r="QSP517" s="1358"/>
      <c r="QSQ517" s="1358"/>
      <c r="QSR517" s="1358"/>
      <c r="QSS517" s="1358"/>
      <c r="QST517" s="1358"/>
      <c r="QSU517" s="1358"/>
      <c r="QSV517" s="1358"/>
      <c r="QSW517" s="1358"/>
      <c r="QSX517" s="1358"/>
      <c r="QSY517" s="1358"/>
      <c r="QSZ517" s="1358"/>
      <c r="QTA517" s="1358"/>
      <c r="QTB517" s="1358"/>
      <c r="QTC517" s="1358"/>
      <c r="QTD517" s="1358"/>
      <c r="QTE517" s="1358"/>
      <c r="QTF517" s="1358"/>
      <c r="QTG517" s="1358"/>
      <c r="QTH517" s="1358"/>
      <c r="QTI517" s="1358"/>
      <c r="QTJ517" s="1358"/>
      <c r="QTK517" s="1358"/>
      <c r="QTL517" s="1358"/>
      <c r="QTM517" s="1358"/>
      <c r="QTN517" s="1358"/>
      <c r="QTO517" s="1358"/>
      <c r="QTP517" s="1358"/>
      <c r="QTQ517" s="1358"/>
      <c r="QTR517" s="1358"/>
      <c r="QTS517" s="1358"/>
      <c r="QTT517" s="1358"/>
      <c r="QTU517" s="1358"/>
      <c r="QTV517" s="1358"/>
      <c r="QTW517" s="1358"/>
      <c r="QTX517" s="1358"/>
      <c r="QTY517" s="1358"/>
      <c r="QTZ517" s="1358"/>
      <c r="QUA517" s="1358"/>
      <c r="QUB517" s="1358"/>
      <c r="QUC517" s="1358"/>
      <c r="QUD517" s="1358"/>
      <c r="QUE517" s="1358"/>
      <c r="QUF517" s="1358"/>
      <c r="QUG517" s="1358"/>
      <c r="QUH517" s="1358"/>
      <c r="QUI517" s="1358"/>
      <c r="QUJ517" s="1358"/>
      <c r="QUK517" s="1358"/>
      <c r="QUL517" s="1358"/>
      <c r="QUM517" s="1358"/>
      <c r="QUN517" s="1358"/>
      <c r="QUO517" s="1358"/>
      <c r="QUP517" s="1358"/>
      <c r="QUQ517" s="1358"/>
      <c r="QUR517" s="1358"/>
      <c r="QUS517" s="1358"/>
      <c r="QUT517" s="1358"/>
      <c r="QUU517" s="1358"/>
      <c r="QUV517" s="1358"/>
      <c r="QUW517" s="1358"/>
      <c r="QUX517" s="1358"/>
      <c r="QUY517" s="1358"/>
      <c r="QUZ517" s="1358"/>
      <c r="QVA517" s="1358"/>
      <c r="QVB517" s="1358"/>
      <c r="QVC517" s="1358"/>
      <c r="QVD517" s="1358"/>
      <c r="QVE517" s="1358"/>
      <c r="QVF517" s="1358"/>
      <c r="QVG517" s="1358"/>
      <c r="QVH517" s="1358"/>
      <c r="QVI517" s="1358"/>
      <c r="QVJ517" s="1358"/>
      <c r="QVK517" s="1358"/>
      <c r="QVL517" s="1358"/>
      <c r="QVM517" s="1358"/>
      <c r="QVN517" s="1358"/>
      <c r="QVO517" s="1358"/>
      <c r="QVP517" s="1358"/>
      <c r="QVQ517" s="1358"/>
      <c r="QVR517" s="1358"/>
      <c r="QVS517" s="1358"/>
      <c r="QVT517" s="1358"/>
      <c r="QVU517" s="1358"/>
      <c r="QVV517" s="1358"/>
      <c r="QVW517" s="1358"/>
      <c r="QVX517" s="1358"/>
      <c r="QVY517" s="1358"/>
      <c r="QVZ517" s="1358"/>
      <c r="QWA517" s="1358"/>
      <c r="QWB517" s="1358"/>
      <c r="QWC517" s="1358"/>
      <c r="QWD517" s="1358"/>
      <c r="QWE517" s="1358"/>
      <c r="QWF517" s="1358"/>
      <c r="QWG517" s="1358"/>
      <c r="QWH517" s="1358"/>
      <c r="QWI517" s="1358"/>
      <c r="QWJ517" s="1358"/>
      <c r="QWK517" s="1358"/>
      <c r="QWL517" s="1358"/>
      <c r="QWM517" s="1358"/>
      <c r="QWN517" s="1358"/>
      <c r="QWO517" s="1358"/>
      <c r="QWP517" s="1358"/>
      <c r="QWQ517" s="1358"/>
      <c r="QWR517" s="1358"/>
      <c r="QWS517" s="1358"/>
      <c r="QWT517" s="1358"/>
      <c r="QWU517" s="1358"/>
      <c r="QWV517" s="1358"/>
      <c r="QWW517" s="1358"/>
      <c r="QWX517" s="1358"/>
      <c r="QWY517" s="1358"/>
      <c r="QWZ517" s="1358"/>
      <c r="QXA517" s="1358"/>
      <c r="QXB517" s="1358"/>
      <c r="QXC517" s="1358"/>
      <c r="QXD517" s="1358"/>
      <c r="QXE517" s="1358"/>
      <c r="QXF517" s="1358"/>
      <c r="QXG517" s="1358"/>
      <c r="QXH517" s="1358"/>
      <c r="QXI517" s="1358"/>
      <c r="QXJ517" s="1358"/>
      <c r="QXK517" s="1358"/>
      <c r="QXL517" s="1358"/>
      <c r="QXM517" s="1358"/>
      <c r="QXN517" s="1358"/>
      <c r="QXO517" s="1358"/>
      <c r="QXP517" s="1358"/>
      <c r="QXQ517" s="1358"/>
      <c r="QXR517" s="1358"/>
      <c r="QXS517" s="1358"/>
      <c r="QXT517" s="1358"/>
      <c r="QXU517" s="1358"/>
      <c r="QXV517" s="1358"/>
      <c r="QXW517" s="1358"/>
      <c r="QXX517" s="1358"/>
      <c r="QXY517" s="1358"/>
      <c r="QXZ517" s="1358"/>
      <c r="QYA517" s="1358"/>
      <c r="QYB517" s="1358"/>
      <c r="QYC517" s="1358"/>
      <c r="QYD517" s="1358"/>
      <c r="QYE517" s="1358"/>
      <c r="QYF517" s="1358"/>
      <c r="QYG517" s="1358"/>
      <c r="QYH517" s="1358"/>
      <c r="QYI517" s="1358"/>
      <c r="QYJ517" s="1358"/>
      <c r="QYK517" s="1358"/>
      <c r="QYL517" s="1358"/>
      <c r="QYM517" s="1358"/>
      <c r="QYN517" s="1358"/>
      <c r="QYO517" s="1358"/>
      <c r="QYP517" s="1358"/>
      <c r="QYQ517" s="1358"/>
      <c r="QYR517" s="1358"/>
      <c r="QYS517" s="1358"/>
      <c r="QYT517" s="1358"/>
      <c r="QYU517" s="1358"/>
      <c r="QYV517" s="1358"/>
      <c r="QYW517" s="1358"/>
      <c r="QYX517" s="1358"/>
      <c r="QYY517" s="1358"/>
      <c r="QYZ517" s="1358"/>
      <c r="QZA517" s="1358"/>
      <c r="QZB517" s="1358"/>
      <c r="QZC517" s="1358"/>
      <c r="QZD517" s="1358"/>
      <c r="QZE517" s="1358"/>
      <c r="QZF517" s="1358"/>
      <c r="QZG517" s="1358"/>
      <c r="QZH517" s="1358"/>
      <c r="QZI517" s="1358"/>
      <c r="QZJ517" s="1358"/>
      <c r="QZK517" s="1358"/>
      <c r="QZL517" s="1358"/>
      <c r="QZM517" s="1358"/>
      <c r="QZN517" s="1358"/>
      <c r="QZO517" s="1358"/>
      <c r="QZP517" s="1358"/>
      <c r="QZQ517" s="1358"/>
      <c r="QZR517" s="1358"/>
      <c r="QZS517" s="1358"/>
      <c r="QZT517" s="1358"/>
      <c r="QZU517" s="1358"/>
      <c r="QZV517" s="1358"/>
      <c r="QZW517" s="1358"/>
      <c r="QZX517" s="1358"/>
      <c r="QZY517" s="1358"/>
      <c r="QZZ517" s="1358"/>
      <c r="RAA517" s="1358"/>
      <c r="RAB517" s="1358"/>
      <c r="RAC517" s="1358"/>
      <c r="RAD517" s="1358"/>
      <c r="RAE517" s="1358"/>
      <c r="RAF517" s="1358"/>
      <c r="RAG517" s="1358"/>
      <c r="RAH517" s="1358"/>
      <c r="RAI517" s="1358"/>
      <c r="RAJ517" s="1358"/>
      <c r="RAK517" s="1358"/>
      <c r="RAL517" s="1358"/>
      <c r="RAM517" s="1358"/>
      <c r="RAN517" s="1358"/>
      <c r="RAO517" s="1358"/>
      <c r="RAP517" s="1358"/>
      <c r="RAQ517" s="1358"/>
      <c r="RAR517" s="1358"/>
      <c r="RAS517" s="1358"/>
      <c r="RAT517" s="1358"/>
      <c r="RAU517" s="1358"/>
      <c r="RAV517" s="1358"/>
      <c r="RAW517" s="1358"/>
      <c r="RAX517" s="1358"/>
      <c r="RAY517" s="1358"/>
      <c r="RAZ517" s="1358"/>
      <c r="RBA517" s="1358"/>
      <c r="RBB517" s="1358"/>
      <c r="RBC517" s="1358"/>
      <c r="RBD517" s="1358"/>
      <c r="RBE517" s="1358"/>
      <c r="RBF517" s="1358"/>
      <c r="RBG517" s="1358"/>
      <c r="RBH517" s="1358"/>
      <c r="RBI517" s="1358"/>
      <c r="RBJ517" s="1358"/>
      <c r="RBK517" s="1358"/>
      <c r="RBL517" s="1358"/>
      <c r="RBM517" s="1358"/>
      <c r="RBN517" s="1358"/>
      <c r="RBO517" s="1358"/>
      <c r="RBP517" s="1358"/>
      <c r="RBQ517" s="1358"/>
      <c r="RBR517" s="1358"/>
      <c r="RBS517" s="1358"/>
      <c r="RBT517" s="1358"/>
      <c r="RBU517" s="1358"/>
      <c r="RBV517" s="1358"/>
      <c r="RBW517" s="1358"/>
      <c r="RBX517" s="1358"/>
      <c r="RBY517" s="1358"/>
      <c r="RBZ517" s="1358"/>
      <c r="RCA517" s="1358"/>
      <c r="RCB517" s="1358"/>
      <c r="RCC517" s="1358"/>
      <c r="RCD517" s="1358"/>
      <c r="RCE517" s="1358"/>
      <c r="RCF517" s="1358"/>
      <c r="RCG517" s="1358"/>
      <c r="RCH517" s="1358"/>
      <c r="RCI517" s="1358"/>
      <c r="RCJ517" s="1358"/>
      <c r="RCK517" s="1358"/>
      <c r="RCL517" s="1358"/>
      <c r="RCM517" s="1358"/>
      <c r="RCN517" s="1358"/>
      <c r="RCO517" s="1358"/>
      <c r="RCP517" s="1358"/>
      <c r="RCQ517" s="1358"/>
      <c r="RCR517" s="1358"/>
      <c r="RCS517" s="1358"/>
      <c r="RCT517" s="1358"/>
      <c r="RCU517" s="1358"/>
      <c r="RCV517" s="1358"/>
      <c r="RCW517" s="1358"/>
      <c r="RCX517" s="1358"/>
      <c r="RCY517" s="1358"/>
      <c r="RCZ517" s="1358"/>
      <c r="RDA517" s="1358"/>
      <c r="RDB517" s="1358"/>
      <c r="RDC517" s="1358"/>
      <c r="RDD517" s="1358"/>
      <c r="RDE517" s="1358"/>
      <c r="RDF517" s="1358"/>
      <c r="RDG517" s="1358"/>
      <c r="RDH517" s="1358"/>
      <c r="RDI517" s="1358"/>
      <c r="RDJ517" s="1358"/>
      <c r="RDK517" s="1358"/>
      <c r="RDL517" s="1358"/>
      <c r="RDM517" s="1358"/>
      <c r="RDN517" s="1358"/>
      <c r="RDO517" s="1358"/>
      <c r="RDP517" s="1358"/>
      <c r="RDQ517" s="1358"/>
      <c r="RDR517" s="1358"/>
      <c r="RDS517" s="1358"/>
      <c r="RDT517" s="1358"/>
      <c r="RDU517" s="1358"/>
      <c r="RDV517" s="1358"/>
      <c r="RDW517" s="1358"/>
      <c r="RDX517" s="1358"/>
      <c r="RDY517" s="1358"/>
      <c r="RDZ517" s="1358"/>
      <c r="REA517" s="1358"/>
      <c r="REB517" s="1358"/>
      <c r="REC517" s="1358"/>
      <c r="RED517" s="1358"/>
      <c r="REE517" s="1358"/>
      <c r="REF517" s="1358"/>
      <c r="REG517" s="1358"/>
      <c r="REH517" s="1358"/>
      <c r="REI517" s="1358"/>
      <c r="REJ517" s="1358"/>
      <c r="REK517" s="1358"/>
      <c r="REL517" s="1358"/>
      <c r="REM517" s="1358"/>
      <c r="REN517" s="1358"/>
      <c r="REO517" s="1358"/>
      <c r="REP517" s="1358"/>
      <c r="REQ517" s="1358"/>
      <c r="RER517" s="1358"/>
      <c r="RES517" s="1358"/>
      <c r="RET517" s="1358"/>
      <c r="REU517" s="1358"/>
      <c r="REV517" s="1358"/>
      <c r="REW517" s="1358"/>
      <c r="REX517" s="1358"/>
      <c r="REY517" s="1358"/>
      <c r="REZ517" s="1358"/>
      <c r="RFA517" s="1358"/>
      <c r="RFB517" s="1358"/>
      <c r="RFC517" s="1358"/>
      <c r="RFD517" s="1358"/>
      <c r="RFE517" s="1358"/>
      <c r="RFF517" s="1358"/>
      <c r="RFG517" s="1358"/>
      <c r="RFH517" s="1358"/>
      <c r="RFI517" s="1358"/>
      <c r="RFJ517" s="1358"/>
      <c r="RFK517" s="1358"/>
      <c r="RFL517" s="1358"/>
      <c r="RFM517" s="1358"/>
      <c r="RFN517" s="1358"/>
      <c r="RFO517" s="1358"/>
      <c r="RFP517" s="1358"/>
      <c r="RFQ517" s="1358"/>
      <c r="RFR517" s="1358"/>
      <c r="RFS517" s="1358"/>
      <c r="RFT517" s="1358"/>
      <c r="RFU517" s="1358"/>
      <c r="RFV517" s="1358"/>
      <c r="RFW517" s="1358"/>
      <c r="RFX517" s="1358"/>
      <c r="RFY517" s="1358"/>
      <c r="RFZ517" s="1358"/>
      <c r="RGA517" s="1358"/>
      <c r="RGB517" s="1358"/>
      <c r="RGC517" s="1358"/>
      <c r="RGD517" s="1358"/>
      <c r="RGE517" s="1358"/>
      <c r="RGF517" s="1358"/>
      <c r="RGG517" s="1358"/>
      <c r="RGH517" s="1358"/>
      <c r="RGI517" s="1358"/>
      <c r="RGJ517" s="1358"/>
      <c r="RGK517" s="1358"/>
      <c r="RGL517" s="1358"/>
      <c r="RGM517" s="1358"/>
      <c r="RGN517" s="1358"/>
      <c r="RGO517" s="1358"/>
      <c r="RGP517" s="1358"/>
      <c r="RGQ517" s="1358"/>
      <c r="RGR517" s="1358"/>
      <c r="RGS517" s="1358"/>
      <c r="RGT517" s="1358"/>
      <c r="RGU517" s="1358"/>
      <c r="RGV517" s="1358"/>
      <c r="RGW517" s="1358"/>
      <c r="RGX517" s="1358"/>
      <c r="RGY517" s="1358"/>
      <c r="RGZ517" s="1358"/>
      <c r="RHA517" s="1358"/>
      <c r="RHB517" s="1358"/>
      <c r="RHC517" s="1358"/>
      <c r="RHD517" s="1358"/>
      <c r="RHE517" s="1358"/>
      <c r="RHF517" s="1358"/>
      <c r="RHG517" s="1358"/>
      <c r="RHH517" s="1358"/>
      <c r="RHI517" s="1358"/>
      <c r="RHJ517" s="1358"/>
      <c r="RHK517" s="1358"/>
      <c r="RHL517" s="1358"/>
      <c r="RHM517" s="1358"/>
      <c r="RHN517" s="1358"/>
      <c r="RHO517" s="1358"/>
      <c r="RHP517" s="1358"/>
      <c r="RHQ517" s="1358"/>
      <c r="RHR517" s="1358"/>
      <c r="RHS517" s="1358"/>
      <c r="RHT517" s="1358"/>
      <c r="RHU517" s="1358"/>
      <c r="RHV517" s="1358"/>
      <c r="RHW517" s="1358"/>
      <c r="RHX517" s="1358"/>
      <c r="RHY517" s="1358"/>
      <c r="RHZ517" s="1358"/>
      <c r="RIA517" s="1358"/>
      <c r="RIB517" s="1358"/>
      <c r="RIC517" s="1358"/>
      <c r="RID517" s="1358"/>
      <c r="RIE517" s="1358"/>
      <c r="RIF517" s="1358"/>
      <c r="RIG517" s="1358"/>
      <c r="RIH517" s="1358"/>
      <c r="RII517" s="1358"/>
      <c r="RIJ517" s="1358"/>
      <c r="RIK517" s="1358"/>
      <c r="RIL517" s="1358"/>
      <c r="RIM517" s="1358"/>
      <c r="RIN517" s="1358"/>
      <c r="RIO517" s="1358"/>
      <c r="RIP517" s="1358"/>
      <c r="RIQ517" s="1358"/>
      <c r="RIR517" s="1358"/>
      <c r="RIS517" s="1358"/>
      <c r="RIT517" s="1358"/>
      <c r="RIU517" s="1358"/>
      <c r="RIV517" s="1358"/>
      <c r="RIW517" s="1358"/>
      <c r="RIX517" s="1358"/>
      <c r="RIY517" s="1358"/>
      <c r="RIZ517" s="1358"/>
      <c r="RJA517" s="1358"/>
      <c r="RJB517" s="1358"/>
      <c r="RJC517" s="1358"/>
      <c r="RJD517" s="1358"/>
      <c r="RJE517" s="1358"/>
      <c r="RJF517" s="1358"/>
      <c r="RJG517" s="1358"/>
      <c r="RJH517" s="1358"/>
      <c r="RJI517" s="1358"/>
      <c r="RJJ517" s="1358"/>
      <c r="RJK517" s="1358"/>
      <c r="RJL517" s="1358"/>
      <c r="RJM517" s="1358"/>
      <c r="RJN517" s="1358"/>
      <c r="RJO517" s="1358"/>
      <c r="RJP517" s="1358"/>
      <c r="RJQ517" s="1358"/>
      <c r="RJR517" s="1358"/>
      <c r="RJS517" s="1358"/>
      <c r="RJT517" s="1358"/>
      <c r="RJU517" s="1358"/>
      <c r="RJV517" s="1358"/>
      <c r="RJW517" s="1358"/>
      <c r="RJX517" s="1358"/>
      <c r="RJY517" s="1358"/>
      <c r="RJZ517" s="1358"/>
      <c r="RKA517" s="1358"/>
      <c r="RKB517" s="1358"/>
      <c r="RKC517" s="1358"/>
      <c r="RKD517" s="1358"/>
      <c r="RKE517" s="1358"/>
      <c r="RKF517" s="1358"/>
      <c r="RKG517" s="1358"/>
      <c r="RKH517" s="1358"/>
      <c r="RKI517" s="1358"/>
      <c r="RKJ517" s="1358"/>
      <c r="RKK517" s="1358"/>
      <c r="RKL517" s="1358"/>
      <c r="RKM517" s="1358"/>
      <c r="RKN517" s="1358"/>
      <c r="RKO517" s="1358"/>
      <c r="RKP517" s="1358"/>
      <c r="RKQ517" s="1358"/>
      <c r="RKR517" s="1358"/>
      <c r="RKS517" s="1358"/>
      <c r="RKT517" s="1358"/>
      <c r="RKU517" s="1358"/>
      <c r="RKV517" s="1358"/>
      <c r="RKW517" s="1358"/>
      <c r="RKX517" s="1358"/>
      <c r="RKY517" s="1358"/>
      <c r="RKZ517" s="1358"/>
      <c r="RLA517" s="1358"/>
      <c r="RLB517" s="1358"/>
      <c r="RLC517" s="1358"/>
      <c r="RLD517" s="1358"/>
      <c r="RLE517" s="1358"/>
      <c r="RLF517" s="1358"/>
      <c r="RLG517" s="1358"/>
      <c r="RLH517" s="1358"/>
      <c r="RLI517" s="1358"/>
      <c r="RLJ517" s="1358"/>
      <c r="RLK517" s="1358"/>
      <c r="RLL517" s="1358"/>
      <c r="RLM517" s="1358"/>
      <c r="RLN517" s="1358"/>
      <c r="RLO517" s="1358"/>
      <c r="RLP517" s="1358"/>
      <c r="RLQ517" s="1358"/>
      <c r="RLR517" s="1358"/>
      <c r="RLS517" s="1358"/>
      <c r="RLT517" s="1358"/>
      <c r="RLU517" s="1358"/>
      <c r="RLV517" s="1358"/>
      <c r="RLW517" s="1358"/>
      <c r="RLX517" s="1358"/>
      <c r="RLY517" s="1358"/>
      <c r="RLZ517" s="1358"/>
      <c r="RMA517" s="1358"/>
      <c r="RMB517" s="1358"/>
      <c r="RMC517" s="1358"/>
      <c r="RMD517" s="1358"/>
      <c r="RME517" s="1358"/>
      <c r="RMF517" s="1358"/>
      <c r="RMG517" s="1358"/>
      <c r="RMH517" s="1358"/>
      <c r="RMI517" s="1358"/>
      <c r="RMJ517" s="1358"/>
      <c r="RMK517" s="1358"/>
      <c r="RML517" s="1358"/>
      <c r="RMM517" s="1358"/>
      <c r="RMN517" s="1358"/>
      <c r="RMO517" s="1358"/>
      <c r="RMP517" s="1358"/>
      <c r="RMQ517" s="1358"/>
      <c r="RMR517" s="1358"/>
      <c r="RMS517" s="1358"/>
      <c r="RMT517" s="1358"/>
      <c r="RMU517" s="1358"/>
      <c r="RMV517" s="1358"/>
      <c r="RMW517" s="1358"/>
      <c r="RMX517" s="1358"/>
      <c r="RMY517" s="1358"/>
      <c r="RMZ517" s="1358"/>
      <c r="RNA517" s="1358"/>
      <c r="RNB517" s="1358"/>
      <c r="RNC517" s="1358"/>
      <c r="RND517" s="1358"/>
      <c r="RNE517" s="1358"/>
      <c r="RNF517" s="1358"/>
      <c r="RNG517" s="1358"/>
      <c r="RNH517" s="1358"/>
      <c r="RNI517" s="1358"/>
      <c r="RNJ517" s="1358"/>
      <c r="RNK517" s="1358"/>
      <c r="RNL517" s="1358"/>
      <c r="RNM517" s="1358"/>
      <c r="RNN517" s="1358"/>
      <c r="RNO517" s="1358"/>
      <c r="RNP517" s="1358"/>
      <c r="RNQ517" s="1358"/>
      <c r="RNR517" s="1358"/>
      <c r="RNS517" s="1358"/>
      <c r="RNT517" s="1358"/>
      <c r="RNU517" s="1358"/>
      <c r="RNV517" s="1358"/>
      <c r="RNW517" s="1358"/>
      <c r="RNX517" s="1358"/>
      <c r="RNY517" s="1358"/>
      <c r="RNZ517" s="1358"/>
      <c r="ROA517" s="1358"/>
      <c r="ROB517" s="1358"/>
      <c r="ROC517" s="1358"/>
      <c r="ROD517" s="1358"/>
      <c r="ROE517" s="1358"/>
      <c r="ROF517" s="1358"/>
      <c r="ROG517" s="1358"/>
      <c r="ROH517" s="1358"/>
      <c r="ROI517" s="1358"/>
      <c r="ROJ517" s="1358"/>
      <c r="ROK517" s="1358"/>
      <c r="ROL517" s="1358"/>
      <c r="ROM517" s="1358"/>
      <c r="RON517" s="1358"/>
      <c r="ROO517" s="1358"/>
      <c r="ROP517" s="1358"/>
      <c r="ROQ517" s="1358"/>
      <c r="ROR517" s="1358"/>
      <c r="ROS517" s="1358"/>
      <c r="ROT517" s="1358"/>
      <c r="ROU517" s="1358"/>
      <c r="ROV517" s="1358"/>
      <c r="ROW517" s="1358"/>
      <c r="ROX517" s="1358"/>
      <c r="ROY517" s="1358"/>
      <c r="ROZ517" s="1358"/>
      <c r="RPA517" s="1358"/>
      <c r="RPB517" s="1358"/>
      <c r="RPC517" s="1358"/>
      <c r="RPD517" s="1358"/>
      <c r="RPE517" s="1358"/>
      <c r="RPF517" s="1358"/>
      <c r="RPG517" s="1358"/>
      <c r="RPH517" s="1358"/>
      <c r="RPI517" s="1358"/>
      <c r="RPJ517" s="1358"/>
      <c r="RPK517" s="1358"/>
      <c r="RPL517" s="1358"/>
      <c r="RPM517" s="1358"/>
      <c r="RPN517" s="1358"/>
      <c r="RPO517" s="1358"/>
      <c r="RPP517" s="1358"/>
      <c r="RPQ517" s="1358"/>
      <c r="RPR517" s="1358"/>
      <c r="RPS517" s="1358"/>
      <c r="RPT517" s="1358"/>
      <c r="RPU517" s="1358"/>
      <c r="RPV517" s="1358"/>
      <c r="RPW517" s="1358"/>
      <c r="RPX517" s="1358"/>
      <c r="RPY517" s="1358"/>
      <c r="RPZ517" s="1358"/>
      <c r="RQA517" s="1358"/>
      <c r="RQB517" s="1358"/>
      <c r="RQC517" s="1358"/>
      <c r="RQD517" s="1358"/>
      <c r="RQE517" s="1358"/>
      <c r="RQF517" s="1358"/>
      <c r="RQG517" s="1358"/>
      <c r="RQH517" s="1358"/>
      <c r="RQI517" s="1358"/>
      <c r="RQJ517" s="1358"/>
      <c r="RQK517" s="1358"/>
      <c r="RQL517" s="1358"/>
      <c r="RQM517" s="1358"/>
      <c r="RQN517" s="1358"/>
      <c r="RQO517" s="1358"/>
      <c r="RQP517" s="1358"/>
      <c r="RQQ517" s="1358"/>
      <c r="RQR517" s="1358"/>
      <c r="RQS517" s="1358"/>
      <c r="RQT517" s="1358"/>
      <c r="RQU517" s="1358"/>
      <c r="RQV517" s="1358"/>
      <c r="RQW517" s="1358"/>
      <c r="RQX517" s="1358"/>
      <c r="RQY517" s="1358"/>
      <c r="RQZ517" s="1358"/>
      <c r="RRA517" s="1358"/>
      <c r="RRB517" s="1358"/>
      <c r="RRC517" s="1358"/>
      <c r="RRD517" s="1358"/>
      <c r="RRE517" s="1358"/>
      <c r="RRF517" s="1358"/>
      <c r="RRG517" s="1358"/>
      <c r="RRH517" s="1358"/>
      <c r="RRI517" s="1358"/>
      <c r="RRJ517" s="1358"/>
      <c r="RRK517" s="1358"/>
      <c r="RRL517" s="1358"/>
      <c r="RRM517" s="1358"/>
      <c r="RRN517" s="1358"/>
      <c r="RRO517" s="1358"/>
      <c r="RRP517" s="1358"/>
      <c r="RRQ517" s="1358"/>
      <c r="RRR517" s="1358"/>
      <c r="RRS517" s="1358"/>
      <c r="RRT517" s="1358"/>
      <c r="RRU517" s="1358"/>
      <c r="RRV517" s="1358"/>
      <c r="RRW517" s="1358"/>
      <c r="RRX517" s="1358"/>
      <c r="RRY517" s="1358"/>
      <c r="RRZ517" s="1358"/>
      <c r="RSA517" s="1358"/>
      <c r="RSB517" s="1358"/>
      <c r="RSC517" s="1358"/>
      <c r="RSD517" s="1358"/>
      <c r="RSE517" s="1358"/>
      <c r="RSF517" s="1358"/>
      <c r="RSG517" s="1358"/>
      <c r="RSH517" s="1358"/>
      <c r="RSI517" s="1358"/>
      <c r="RSJ517" s="1358"/>
      <c r="RSK517" s="1358"/>
      <c r="RSL517" s="1358"/>
      <c r="RSM517" s="1358"/>
      <c r="RSN517" s="1358"/>
      <c r="RSO517" s="1358"/>
      <c r="RSP517" s="1358"/>
      <c r="RSQ517" s="1358"/>
      <c r="RSR517" s="1358"/>
      <c r="RSS517" s="1358"/>
      <c r="RST517" s="1358"/>
      <c r="RSU517" s="1358"/>
      <c r="RSV517" s="1358"/>
      <c r="RSW517" s="1358"/>
      <c r="RSX517" s="1358"/>
      <c r="RSY517" s="1358"/>
      <c r="RSZ517" s="1358"/>
      <c r="RTA517" s="1358"/>
      <c r="RTB517" s="1358"/>
      <c r="RTC517" s="1358"/>
      <c r="RTD517" s="1358"/>
      <c r="RTE517" s="1358"/>
      <c r="RTF517" s="1358"/>
      <c r="RTG517" s="1358"/>
      <c r="RTH517" s="1358"/>
      <c r="RTI517" s="1358"/>
      <c r="RTJ517" s="1358"/>
      <c r="RTK517" s="1358"/>
      <c r="RTL517" s="1358"/>
      <c r="RTM517" s="1358"/>
      <c r="RTN517" s="1358"/>
      <c r="RTO517" s="1358"/>
      <c r="RTP517" s="1358"/>
      <c r="RTQ517" s="1358"/>
      <c r="RTR517" s="1358"/>
      <c r="RTS517" s="1358"/>
      <c r="RTT517" s="1358"/>
      <c r="RTU517" s="1358"/>
      <c r="RTV517" s="1358"/>
      <c r="RTW517" s="1358"/>
      <c r="RTX517" s="1358"/>
      <c r="RTY517" s="1358"/>
      <c r="RTZ517" s="1358"/>
      <c r="RUA517" s="1358"/>
      <c r="RUB517" s="1358"/>
      <c r="RUC517" s="1358"/>
      <c r="RUD517" s="1358"/>
      <c r="RUE517" s="1358"/>
      <c r="RUF517" s="1358"/>
      <c r="RUG517" s="1358"/>
      <c r="RUH517" s="1358"/>
      <c r="RUI517" s="1358"/>
      <c r="RUJ517" s="1358"/>
      <c r="RUK517" s="1358"/>
      <c r="RUL517" s="1358"/>
      <c r="RUM517" s="1358"/>
      <c r="RUN517" s="1358"/>
      <c r="RUO517" s="1358"/>
      <c r="RUP517" s="1358"/>
      <c r="RUQ517" s="1358"/>
      <c r="RUR517" s="1358"/>
      <c r="RUS517" s="1358"/>
      <c r="RUT517" s="1358"/>
      <c r="RUU517" s="1358"/>
      <c r="RUV517" s="1358"/>
      <c r="RUW517" s="1358"/>
      <c r="RUX517" s="1358"/>
      <c r="RUY517" s="1358"/>
      <c r="RUZ517" s="1358"/>
      <c r="RVA517" s="1358"/>
      <c r="RVB517" s="1358"/>
      <c r="RVC517" s="1358"/>
      <c r="RVD517" s="1358"/>
      <c r="RVE517" s="1358"/>
      <c r="RVF517" s="1358"/>
      <c r="RVG517" s="1358"/>
      <c r="RVH517" s="1358"/>
      <c r="RVI517" s="1358"/>
      <c r="RVJ517" s="1358"/>
      <c r="RVK517" s="1358"/>
      <c r="RVL517" s="1358"/>
      <c r="RVM517" s="1358"/>
      <c r="RVN517" s="1358"/>
      <c r="RVO517" s="1358"/>
      <c r="RVP517" s="1358"/>
      <c r="RVQ517" s="1358"/>
      <c r="RVR517" s="1358"/>
      <c r="RVS517" s="1358"/>
      <c r="RVT517" s="1358"/>
      <c r="RVU517" s="1358"/>
      <c r="RVV517" s="1358"/>
      <c r="RVW517" s="1358"/>
      <c r="RVX517" s="1358"/>
      <c r="RVY517" s="1358"/>
      <c r="RVZ517" s="1358"/>
      <c r="RWA517" s="1358"/>
      <c r="RWB517" s="1358"/>
      <c r="RWC517" s="1358"/>
      <c r="RWD517" s="1358"/>
      <c r="RWE517" s="1358"/>
      <c r="RWF517" s="1358"/>
      <c r="RWG517" s="1358"/>
      <c r="RWH517" s="1358"/>
      <c r="RWI517" s="1358"/>
      <c r="RWJ517" s="1358"/>
      <c r="RWK517" s="1358"/>
      <c r="RWL517" s="1358"/>
      <c r="RWM517" s="1358"/>
      <c r="RWN517" s="1358"/>
      <c r="RWO517" s="1358"/>
      <c r="RWP517" s="1358"/>
      <c r="RWQ517" s="1358"/>
      <c r="RWR517" s="1358"/>
      <c r="RWS517" s="1358"/>
      <c r="RWT517" s="1358"/>
      <c r="RWU517" s="1358"/>
      <c r="RWV517" s="1358"/>
      <c r="RWW517" s="1358"/>
      <c r="RWX517" s="1358"/>
      <c r="RWY517" s="1358"/>
      <c r="RWZ517" s="1358"/>
      <c r="RXA517" s="1358"/>
      <c r="RXB517" s="1358"/>
      <c r="RXC517" s="1358"/>
      <c r="RXD517" s="1358"/>
      <c r="RXE517" s="1358"/>
      <c r="RXF517" s="1358"/>
      <c r="RXG517" s="1358"/>
      <c r="RXH517" s="1358"/>
      <c r="RXI517" s="1358"/>
      <c r="RXJ517" s="1358"/>
      <c r="RXK517" s="1358"/>
      <c r="RXL517" s="1358"/>
      <c r="RXM517" s="1358"/>
      <c r="RXN517" s="1358"/>
      <c r="RXO517" s="1358"/>
      <c r="RXP517" s="1358"/>
      <c r="RXQ517" s="1358"/>
      <c r="RXR517" s="1358"/>
      <c r="RXS517" s="1358"/>
      <c r="RXT517" s="1358"/>
      <c r="RXU517" s="1358"/>
      <c r="RXV517" s="1358"/>
      <c r="RXW517" s="1358"/>
      <c r="RXX517" s="1358"/>
      <c r="RXY517" s="1358"/>
      <c r="RXZ517" s="1358"/>
      <c r="RYA517" s="1358"/>
      <c r="RYB517" s="1358"/>
      <c r="RYC517" s="1358"/>
      <c r="RYD517" s="1358"/>
      <c r="RYE517" s="1358"/>
      <c r="RYF517" s="1358"/>
      <c r="RYG517" s="1358"/>
      <c r="RYH517" s="1358"/>
      <c r="RYI517" s="1358"/>
      <c r="RYJ517" s="1358"/>
      <c r="RYK517" s="1358"/>
      <c r="RYL517" s="1358"/>
      <c r="RYM517" s="1358"/>
      <c r="RYN517" s="1358"/>
      <c r="RYO517" s="1358"/>
      <c r="RYP517" s="1358"/>
      <c r="RYQ517" s="1358"/>
      <c r="RYR517" s="1358"/>
      <c r="RYS517" s="1358"/>
      <c r="RYT517" s="1358"/>
      <c r="RYU517" s="1358"/>
      <c r="RYV517" s="1358"/>
      <c r="RYW517" s="1358"/>
      <c r="RYX517" s="1358"/>
      <c r="RYY517" s="1358"/>
      <c r="RYZ517" s="1358"/>
      <c r="RZA517" s="1358"/>
      <c r="RZB517" s="1358"/>
      <c r="RZC517" s="1358"/>
      <c r="RZD517" s="1358"/>
      <c r="RZE517" s="1358"/>
      <c r="RZF517" s="1358"/>
      <c r="RZG517" s="1358"/>
      <c r="RZH517" s="1358"/>
      <c r="RZI517" s="1358"/>
      <c r="RZJ517" s="1358"/>
      <c r="RZK517" s="1358"/>
      <c r="RZL517" s="1358"/>
      <c r="RZM517" s="1358"/>
      <c r="RZN517" s="1358"/>
      <c r="RZO517" s="1358"/>
      <c r="RZP517" s="1358"/>
      <c r="RZQ517" s="1358"/>
      <c r="RZR517" s="1358"/>
      <c r="RZS517" s="1358"/>
      <c r="RZT517" s="1358"/>
      <c r="RZU517" s="1358"/>
      <c r="RZV517" s="1358"/>
      <c r="RZW517" s="1358"/>
      <c r="RZX517" s="1358"/>
      <c r="RZY517" s="1358"/>
      <c r="RZZ517" s="1358"/>
      <c r="SAA517" s="1358"/>
      <c r="SAB517" s="1358"/>
      <c r="SAC517" s="1358"/>
      <c r="SAD517" s="1358"/>
      <c r="SAE517" s="1358"/>
      <c r="SAF517" s="1358"/>
      <c r="SAG517" s="1358"/>
      <c r="SAH517" s="1358"/>
      <c r="SAI517" s="1358"/>
      <c r="SAJ517" s="1358"/>
      <c r="SAK517" s="1358"/>
      <c r="SAL517" s="1358"/>
      <c r="SAM517" s="1358"/>
      <c r="SAN517" s="1358"/>
      <c r="SAO517" s="1358"/>
      <c r="SAP517" s="1358"/>
      <c r="SAQ517" s="1358"/>
      <c r="SAR517" s="1358"/>
      <c r="SAS517" s="1358"/>
      <c r="SAT517" s="1358"/>
      <c r="SAU517" s="1358"/>
      <c r="SAV517" s="1358"/>
      <c r="SAW517" s="1358"/>
      <c r="SAX517" s="1358"/>
      <c r="SAY517" s="1358"/>
      <c r="SAZ517" s="1358"/>
      <c r="SBA517" s="1358"/>
      <c r="SBB517" s="1358"/>
      <c r="SBC517" s="1358"/>
      <c r="SBD517" s="1358"/>
      <c r="SBE517" s="1358"/>
      <c r="SBF517" s="1358"/>
      <c r="SBG517" s="1358"/>
      <c r="SBH517" s="1358"/>
      <c r="SBI517" s="1358"/>
      <c r="SBJ517" s="1358"/>
      <c r="SBK517" s="1358"/>
      <c r="SBL517" s="1358"/>
      <c r="SBM517" s="1358"/>
      <c r="SBN517" s="1358"/>
      <c r="SBO517" s="1358"/>
      <c r="SBP517" s="1358"/>
      <c r="SBQ517" s="1358"/>
      <c r="SBR517" s="1358"/>
      <c r="SBS517" s="1358"/>
      <c r="SBT517" s="1358"/>
      <c r="SBU517" s="1358"/>
      <c r="SBV517" s="1358"/>
      <c r="SBW517" s="1358"/>
      <c r="SBX517" s="1358"/>
      <c r="SBY517" s="1358"/>
      <c r="SBZ517" s="1358"/>
      <c r="SCA517" s="1358"/>
      <c r="SCB517" s="1358"/>
      <c r="SCC517" s="1358"/>
      <c r="SCD517" s="1358"/>
      <c r="SCE517" s="1358"/>
      <c r="SCF517" s="1358"/>
      <c r="SCG517" s="1358"/>
      <c r="SCH517" s="1358"/>
      <c r="SCI517" s="1358"/>
      <c r="SCJ517" s="1358"/>
      <c r="SCK517" s="1358"/>
      <c r="SCL517" s="1358"/>
      <c r="SCM517" s="1358"/>
      <c r="SCN517" s="1358"/>
      <c r="SCO517" s="1358"/>
      <c r="SCP517" s="1358"/>
      <c r="SCQ517" s="1358"/>
      <c r="SCR517" s="1358"/>
      <c r="SCS517" s="1358"/>
      <c r="SCT517" s="1358"/>
      <c r="SCU517" s="1358"/>
      <c r="SCV517" s="1358"/>
      <c r="SCW517" s="1358"/>
      <c r="SCX517" s="1358"/>
      <c r="SCY517" s="1358"/>
      <c r="SCZ517" s="1358"/>
      <c r="SDA517" s="1358"/>
      <c r="SDB517" s="1358"/>
      <c r="SDC517" s="1358"/>
      <c r="SDD517" s="1358"/>
      <c r="SDE517" s="1358"/>
      <c r="SDF517" s="1358"/>
      <c r="SDG517" s="1358"/>
      <c r="SDH517" s="1358"/>
      <c r="SDI517" s="1358"/>
      <c r="SDJ517" s="1358"/>
      <c r="SDK517" s="1358"/>
      <c r="SDL517" s="1358"/>
      <c r="SDM517" s="1358"/>
      <c r="SDN517" s="1358"/>
      <c r="SDO517" s="1358"/>
      <c r="SDP517" s="1358"/>
      <c r="SDQ517" s="1358"/>
      <c r="SDR517" s="1358"/>
      <c r="SDS517" s="1358"/>
      <c r="SDT517" s="1358"/>
      <c r="SDU517" s="1358"/>
      <c r="SDV517" s="1358"/>
      <c r="SDW517" s="1358"/>
      <c r="SDX517" s="1358"/>
      <c r="SDY517" s="1358"/>
      <c r="SDZ517" s="1358"/>
      <c r="SEA517" s="1358"/>
      <c r="SEB517" s="1358"/>
      <c r="SEC517" s="1358"/>
      <c r="SED517" s="1358"/>
      <c r="SEE517" s="1358"/>
      <c r="SEF517" s="1358"/>
      <c r="SEG517" s="1358"/>
      <c r="SEH517" s="1358"/>
      <c r="SEI517" s="1358"/>
      <c r="SEJ517" s="1358"/>
      <c r="SEK517" s="1358"/>
      <c r="SEL517" s="1358"/>
      <c r="SEM517" s="1358"/>
      <c r="SEN517" s="1358"/>
      <c r="SEO517" s="1358"/>
      <c r="SEP517" s="1358"/>
      <c r="SEQ517" s="1358"/>
      <c r="SER517" s="1358"/>
      <c r="SES517" s="1358"/>
      <c r="SET517" s="1358"/>
      <c r="SEU517" s="1358"/>
      <c r="SEV517" s="1358"/>
      <c r="SEW517" s="1358"/>
      <c r="SEX517" s="1358"/>
      <c r="SEY517" s="1358"/>
      <c r="SEZ517" s="1358"/>
      <c r="SFA517" s="1358"/>
      <c r="SFB517" s="1358"/>
      <c r="SFC517" s="1358"/>
      <c r="SFD517" s="1358"/>
      <c r="SFE517" s="1358"/>
      <c r="SFF517" s="1358"/>
      <c r="SFG517" s="1358"/>
      <c r="SFH517" s="1358"/>
      <c r="SFI517" s="1358"/>
      <c r="SFJ517" s="1358"/>
      <c r="SFK517" s="1358"/>
      <c r="SFL517" s="1358"/>
      <c r="SFM517" s="1358"/>
      <c r="SFN517" s="1358"/>
      <c r="SFO517" s="1358"/>
      <c r="SFP517" s="1358"/>
      <c r="SFQ517" s="1358"/>
      <c r="SFR517" s="1358"/>
      <c r="SFS517" s="1358"/>
      <c r="SFT517" s="1358"/>
      <c r="SFU517" s="1358"/>
      <c r="SFV517" s="1358"/>
      <c r="SFW517" s="1358"/>
      <c r="SFX517" s="1358"/>
      <c r="SFY517" s="1358"/>
      <c r="SFZ517" s="1358"/>
      <c r="SGA517" s="1358"/>
      <c r="SGB517" s="1358"/>
      <c r="SGC517" s="1358"/>
      <c r="SGD517" s="1358"/>
      <c r="SGE517" s="1358"/>
      <c r="SGF517" s="1358"/>
      <c r="SGG517" s="1358"/>
      <c r="SGH517" s="1358"/>
      <c r="SGI517" s="1358"/>
      <c r="SGJ517" s="1358"/>
      <c r="SGK517" s="1358"/>
      <c r="SGL517" s="1358"/>
      <c r="SGM517" s="1358"/>
      <c r="SGN517" s="1358"/>
      <c r="SGO517" s="1358"/>
      <c r="SGP517" s="1358"/>
      <c r="SGQ517" s="1358"/>
      <c r="SGR517" s="1358"/>
      <c r="SGS517" s="1358"/>
      <c r="SGT517" s="1358"/>
      <c r="SGU517" s="1358"/>
      <c r="SGV517" s="1358"/>
      <c r="SGW517" s="1358"/>
      <c r="SGX517" s="1358"/>
      <c r="SGY517" s="1358"/>
      <c r="SGZ517" s="1358"/>
      <c r="SHA517" s="1358"/>
      <c r="SHB517" s="1358"/>
      <c r="SHC517" s="1358"/>
      <c r="SHD517" s="1358"/>
      <c r="SHE517" s="1358"/>
      <c r="SHF517" s="1358"/>
      <c r="SHG517" s="1358"/>
      <c r="SHH517" s="1358"/>
      <c r="SHI517" s="1358"/>
      <c r="SHJ517" s="1358"/>
      <c r="SHK517" s="1358"/>
      <c r="SHL517" s="1358"/>
      <c r="SHM517" s="1358"/>
      <c r="SHN517" s="1358"/>
      <c r="SHO517" s="1358"/>
      <c r="SHP517" s="1358"/>
      <c r="SHQ517" s="1358"/>
      <c r="SHR517" s="1358"/>
      <c r="SHS517" s="1358"/>
      <c r="SHT517" s="1358"/>
      <c r="SHU517" s="1358"/>
      <c r="SHV517" s="1358"/>
      <c r="SHW517" s="1358"/>
      <c r="SHX517" s="1358"/>
      <c r="SHY517" s="1358"/>
      <c r="SHZ517" s="1358"/>
      <c r="SIA517" s="1358"/>
      <c r="SIB517" s="1358"/>
      <c r="SIC517" s="1358"/>
      <c r="SID517" s="1358"/>
      <c r="SIE517" s="1358"/>
      <c r="SIF517" s="1358"/>
      <c r="SIG517" s="1358"/>
      <c r="SIH517" s="1358"/>
      <c r="SII517" s="1358"/>
      <c r="SIJ517" s="1358"/>
      <c r="SIK517" s="1358"/>
      <c r="SIL517" s="1358"/>
      <c r="SIM517" s="1358"/>
      <c r="SIN517" s="1358"/>
      <c r="SIO517" s="1358"/>
      <c r="SIP517" s="1358"/>
      <c r="SIQ517" s="1358"/>
      <c r="SIR517" s="1358"/>
      <c r="SIS517" s="1358"/>
      <c r="SIT517" s="1358"/>
      <c r="SIU517" s="1358"/>
      <c r="SIV517" s="1358"/>
      <c r="SIW517" s="1358"/>
      <c r="SIX517" s="1358"/>
      <c r="SIY517" s="1358"/>
      <c r="SIZ517" s="1358"/>
      <c r="SJA517" s="1358"/>
      <c r="SJB517" s="1358"/>
      <c r="SJC517" s="1358"/>
      <c r="SJD517" s="1358"/>
      <c r="SJE517" s="1358"/>
      <c r="SJF517" s="1358"/>
      <c r="SJG517" s="1358"/>
      <c r="SJH517" s="1358"/>
      <c r="SJI517" s="1358"/>
      <c r="SJJ517" s="1358"/>
      <c r="SJK517" s="1358"/>
      <c r="SJL517" s="1358"/>
      <c r="SJM517" s="1358"/>
      <c r="SJN517" s="1358"/>
      <c r="SJO517" s="1358"/>
      <c r="SJP517" s="1358"/>
      <c r="SJQ517" s="1358"/>
      <c r="SJR517" s="1358"/>
      <c r="SJS517" s="1358"/>
      <c r="SJT517" s="1358"/>
      <c r="SJU517" s="1358"/>
      <c r="SJV517" s="1358"/>
      <c r="SJW517" s="1358"/>
      <c r="SJX517" s="1358"/>
      <c r="SJY517" s="1358"/>
      <c r="SJZ517" s="1358"/>
      <c r="SKA517" s="1358"/>
      <c r="SKB517" s="1358"/>
      <c r="SKC517" s="1358"/>
      <c r="SKD517" s="1358"/>
      <c r="SKE517" s="1358"/>
      <c r="SKF517" s="1358"/>
      <c r="SKG517" s="1358"/>
      <c r="SKH517" s="1358"/>
      <c r="SKI517" s="1358"/>
      <c r="SKJ517" s="1358"/>
      <c r="SKK517" s="1358"/>
      <c r="SKL517" s="1358"/>
      <c r="SKM517" s="1358"/>
      <c r="SKN517" s="1358"/>
      <c r="SKO517" s="1358"/>
      <c r="SKP517" s="1358"/>
      <c r="SKQ517" s="1358"/>
      <c r="SKR517" s="1358"/>
      <c r="SKS517" s="1358"/>
      <c r="SKT517" s="1358"/>
      <c r="SKU517" s="1358"/>
      <c r="SKV517" s="1358"/>
      <c r="SKW517" s="1358"/>
      <c r="SKX517" s="1358"/>
      <c r="SKY517" s="1358"/>
      <c r="SKZ517" s="1358"/>
      <c r="SLA517" s="1358"/>
      <c r="SLB517" s="1358"/>
      <c r="SLC517" s="1358"/>
      <c r="SLD517" s="1358"/>
      <c r="SLE517" s="1358"/>
      <c r="SLF517" s="1358"/>
      <c r="SLG517" s="1358"/>
      <c r="SLH517" s="1358"/>
      <c r="SLI517" s="1358"/>
      <c r="SLJ517" s="1358"/>
      <c r="SLK517" s="1358"/>
      <c r="SLL517" s="1358"/>
      <c r="SLM517" s="1358"/>
      <c r="SLN517" s="1358"/>
      <c r="SLO517" s="1358"/>
      <c r="SLP517" s="1358"/>
      <c r="SLQ517" s="1358"/>
      <c r="SLR517" s="1358"/>
      <c r="SLS517" s="1358"/>
      <c r="SLT517" s="1358"/>
      <c r="SLU517" s="1358"/>
      <c r="SLV517" s="1358"/>
      <c r="SLW517" s="1358"/>
      <c r="SLX517" s="1358"/>
      <c r="SLY517" s="1358"/>
      <c r="SLZ517" s="1358"/>
      <c r="SMA517" s="1358"/>
      <c r="SMB517" s="1358"/>
      <c r="SMC517" s="1358"/>
      <c r="SMD517" s="1358"/>
      <c r="SME517" s="1358"/>
      <c r="SMF517" s="1358"/>
      <c r="SMG517" s="1358"/>
      <c r="SMH517" s="1358"/>
      <c r="SMI517" s="1358"/>
      <c r="SMJ517" s="1358"/>
      <c r="SMK517" s="1358"/>
      <c r="SML517" s="1358"/>
      <c r="SMM517" s="1358"/>
      <c r="SMN517" s="1358"/>
      <c r="SMO517" s="1358"/>
      <c r="SMP517" s="1358"/>
      <c r="SMQ517" s="1358"/>
      <c r="SMR517" s="1358"/>
      <c r="SMS517" s="1358"/>
      <c r="SMT517" s="1358"/>
      <c r="SMU517" s="1358"/>
      <c r="SMV517" s="1358"/>
      <c r="SMW517" s="1358"/>
      <c r="SMX517" s="1358"/>
      <c r="SMY517" s="1358"/>
      <c r="SMZ517" s="1358"/>
      <c r="SNA517" s="1358"/>
      <c r="SNB517" s="1358"/>
      <c r="SNC517" s="1358"/>
      <c r="SND517" s="1358"/>
      <c r="SNE517" s="1358"/>
      <c r="SNF517" s="1358"/>
      <c r="SNG517" s="1358"/>
      <c r="SNH517" s="1358"/>
      <c r="SNI517" s="1358"/>
      <c r="SNJ517" s="1358"/>
      <c r="SNK517" s="1358"/>
      <c r="SNL517" s="1358"/>
      <c r="SNM517" s="1358"/>
      <c r="SNN517" s="1358"/>
      <c r="SNO517" s="1358"/>
      <c r="SNP517" s="1358"/>
      <c r="SNQ517" s="1358"/>
      <c r="SNR517" s="1358"/>
      <c r="SNS517" s="1358"/>
      <c r="SNT517" s="1358"/>
      <c r="SNU517" s="1358"/>
      <c r="SNV517" s="1358"/>
      <c r="SNW517" s="1358"/>
      <c r="SNX517" s="1358"/>
      <c r="SNY517" s="1358"/>
      <c r="SNZ517" s="1358"/>
      <c r="SOA517" s="1358"/>
      <c r="SOB517" s="1358"/>
      <c r="SOC517" s="1358"/>
      <c r="SOD517" s="1358"/>
      <c r="SOE517" s="1358"/>
      <c r="SOF517" s="1358"/>
      <c r="SOG517" s="1358"/>
      <c r="SOH517" s="1358"/>
      <c r="SOI517" s="1358"/>
      <c r="SOJ517" s="1358"/>
      <c r="SOK517" s="1358"/>
      <c r="SOL517" s="1358"/>
      <c r="SOM517" s="1358"/>
      <c r="SON517" s="1358"/>
      <c r="SOO517" s="1358"/>
      <c r="SOP517" s="1358"/>
      <c r="SOQ517" s="1358"/>
      <c r="SOR517" s="1358"/>
      <c r="SOS517" s="1358"/>
      <c r="SOT517" s="1358"/>
      <c r="SOU517" s="1358"/>
      <c r="SOV517" s="1358"/>
      <c r="SOW517" s="1358"/>
      <c r="SOX517" s="1358"/>
      <c r="SOY517" s="1358"/>
      <c r="SOZ517" s="1358"/>
      <c r="SPA517" s="1358"/>
      <c r="SPB517" s="1358"/>
      <c r="SPC517" s="1358"/>
      <c r="SPD517" s="1358"/>
      <c r="SPE517" s="1358"/>
      <c r="SPF517" s="1358"/>
      <c r="SPG517" s="1358"/>
      <c r="SPH517" s="1358"/>
      <c r="SPI517" s="1358"/>
      <c r="SPJ517" s="1358"/>
      <c r="SPK517" s="1358"/>
      <c r="SPL517" s="1358"/>
      <c r="SPM517" s="1358"/>
      <c r="SPN517" s="1358"/>
      <c r="SPO517" s="1358"/>
      <c r="SPP517" s="1358"/>
      <c r="SPQ517" s="1358"/>
      <c r="SPR517" s="1358"/>
      <c r="SPS517" s="1358"/>
      <c r="SPT517" s="1358"/>
      <c r="SPU517" s="1358"/>
      <c r="SPV517" s="1358"/>
      <c r="SPW517" s="1358"/>
      <c r="SPX517" s="1358"/>
      <c r="SPY517" s="1358"/>
      <c r="SPZ517" s="1358"/>
      <c r="SQA517" s="1358"/>
      <c r="SQB517" s="1358"/>
      <c r="SQC517" s="1358"/>
      <c r="SQD517" s="1358"/>
      <c r="SQE517" s="1358"/>
      <c r="SQF517" s="1358"/>
      <c r="SQG517" s="1358"/>
      <c r="SQH517" s="1358"/>
      <c r="SQI517" s="1358"/>
      <c r="SQJ517" s="1358"/>
      <c r="SQK517" s="1358"/>
      <c r="SQL517" s="1358"/>
      <c r="SQM517" s="1358"/>
      <c r="SQN517" s="1358"/>
      <c r="SQO517" s="1358"/>
      <c r="SQP517" s="1358"/>
      <c r="SQQ517" s="1358"/>
      <c r="SQR517" s="1358"/>
      <c r="SQS517" s="1358"/>
      <c r="SQT517" s="1358"/>
      <c r="SQU517" s="1358"/>
      <c r="SQV517" s="1358"/>
      <c r="SQW517" s="1358"/>
      <c r="SQX517" s="1358"/>
      <c r="SQY517" s="1358"/>
      <c r="SQZ517" s="1358"/>
      <c r="SRA517" s="1358"/>
      <c r="SRB517" s="1358"/>
      <c r="SRC517" s="1358"/>
      <c r="SRD517" s="1358"/>
      <c r="SRE517" s="1358"/>
      <c r="SRF517" s="1358"/>
      <c r="SRG517" s="1358"/>
      <c r="SRH517" s="1358"/>
      <c r="SRI517" s="1358"/>
      <c r="SRJ517" s="1358"/>
      <c r="SRK517" s="1358"/>
      <c r="SRL517" s="1358"/>
      <c r="SRM517" s="1358"/>
      <c r="SRN517" s="1358"/>
      <c r="SRO517" s="1358"/>
      <c r="SRP517" s="1358"/>
      <c r="SRQ517" s="1358"/>
      <c r="SRR517" s="1358"/>
      <c r="SRS517" s="1358"/>
      <c r="SRT517" s="1358"/>
      <c r="SRU517" s="1358"/>
      <c r="SRV517" s="1358"/>
      <c r="SRW517" s="1358"/>
      <c r="SRX517" s="1358"/>
      <c r="SRY517" s="1358"/>
      <c r="SRZ517" s="1358"/>
      <c r="SSA517" s="1358"/>
      <c r="SSB517" s="1358"/>
      <c r="SSC517" s="1358"/>
      <c r="SSD517" s="1358"/>
      <c r="SSE517" s="1358"/>
      <c r="SSF517" s="1358"/>
      <c r="SSG517" s="1358"/>
      <c r="SSH517" s="1358"/>
      <c r="SSI517" s="1358"/>
      <c r="SSJ517" s="1358"/>
      <c r="SSK517" s="1358"/>
      <c r="SSL517" s="1358"/>
      <c r="SSM517" s="1358"/>
      <c r="SSN517" s="1358"/>
      <c r="SSO517" s="1358"/>
      <c r="SSP517" s="1358"/>
      <c r="SSQ517" s="1358"/>
      <c r="SSR517" s="1358"/>
      <c r="SSS517" s="1358"/>
      <c r="SST517" s="1358"/>
      <c r="SSU517" s="1358"/>
      <c r="SSV517" s="1358"/>
      <c r="SSW517" s="1358"/>
      <c r="SSX517" s="1358"/>
      <c r="SSY517" s="1358"/>
      <c r="SSZ517" s="1358"/>
      <c r="STA517" s="1358"/>
      <c r="STB517" s="1358"/>
      <c r="STC517" s="1358"/>
      <c r="STD517" s="1358"/>
      <c r="STE517" s="1358"/>
      <c r="STF517" s="1358"/>
      <c r="STG517" s="1358"/>
      <c r="STH517" s="1358"/>
      <c r="STI517" s="1358"/>
      <c r="STJ517" s="1358"/>
      <c r="STK517" s="1358"/>
      <c r="STL517" s="1358"/>
      <c r="STM517" s="1358"/>
      <c r="STN517" s="1358"/>
      <c r="STO517" s="1358"/>
      <c r="STP517" s="1358"/>
      <c r="STQ517" s="1358"/>
      <c r="STR517" s="1358"/>
      <c r="STS517" s="1358"/>
      <c r="STT517" s="1358"/>
      <c r="STU517" s="1358"/>
      <c r="STV517" s="1358"/>
      <c r="STW517" s="1358"/>
      <c r="STX517" s="1358"/>
      <c r="STY517" s="1358"/>
      <c r="STZ517" s="1358"/>
      <c r="SUA517" s="1358"/>
      <c r="SUB517" s="1358"/>
      <c r="SUC517" s="1358"/>
      <c r="SUD517" s="1358"/>
      <c r="SUE517" s="1358"/>
      <c r="SUF517" s="1358"/>
      <c r="SUG517" s="1358"/>
      <c r="SUH517" s="1358"/>
      <c r="SUI517" s="1358"/>
      <c r="SUJ517" s="1358"/>
      <c r="SUK517" s="1358"/>
      <c r="SUL517" s="1358"/>
      <c r="SUM517" s="1358"/>
      <c r="SUN517" s="1358"/>
      <c r="SUO517" s="1358"/>
      <c r="SUP517" s="1358"/>
      <c r="SUQ517" s="1358"/>
      <c r="SUR517" s="1358"/>
      <c r="SUS517" s="1358"/>
      <c r="SUT517" s="1358"/>
      <c r="SUU517" s="1358"/>
      <c r="SUV517" s="1358"/>
      <c r="SUW517" s="1358"/>
      <c r="SUX517" s="1358"/>
      <c r="SUY517" s="1358"/>
      <c r="SUZ517" s="1358"/>
      <c r="SVA517" s="1358"/>
      <c r="SVB517" s="1358"/>
      <c r="SVC517" s="1358"/>
      <c r="SVD517" s="1358"/>
      <c r="SVE517" s="1358"/>
      <c r="SVF517" s="1358"/>
      <c r="SVG517" s="1358"/>
      <c r="SVH517" s="1358"/>
      <c r="SVI517" s="1358"/>
      <c r="SVJ517" s="1358"/>
      <c r="SVK517" s="1358"/>
      <c r="SVL517" s="1358"/>
      <c r="SVM517" s="1358"/>
      <c r="SVN517" s="1358"/>
      <c r="SVO517" s="1358"/>
      <c r="SVP517" s="1358"/>
      <c r="SVQ517" s="1358"/>
      <c r="SVR517" s="1358"/>
      <c r="SVS517" s="1358"/>
      <c r="SVT517" s="1358"/>
      <c r="SVU517" s="1358"/>
      <c r="SVV517" s="1358"/>
      <c r="SVW517" s="1358"/>
      <c r="SVX517" s="1358"/>
      <c r="SVY517" s="1358"/>
      <c r="SVZ517" s="1358"/>
      <c r="SWA517" s="1358"/>
      <c r="SWB517" s="1358"/>
      <c r="SWC517" s="1358"/>
      <c r="SWD517" s="1358"/>
      <c r="SWE517" s="1358"/>
      <c r="SWF517" s="1358"/>
      <c r="SWG517" s="1358"/>
      <c r="SWH517" s="1358"/>
      <c r="SWI517" s="1358"/>
      <c r="SWJ517" s="1358"/>
      <c r="SWK517" s="1358"/>
      <c r="SWL517" s="1358"/>
      <c r="SWM517" s="1358"/>
      <c r="SWN517" s="1358"/>
      <c r="SWO517" s="1358"/>
      <c r="SWP517" s="1358"/>
      <c r="SWQ517" s="1358"/>
      <c r="SWR517" s="1358"/>
      <c r="SWS517" s="1358"/>
      <c r="SWT517" s="1358"/>
      <c r="SWU517" s="1358"/>
      <c r="SWV517" s="1358"/>
      <c r="SWW517" s="1358"/>
      <c r="SWX517" s="1358"/>
      <c r="SWY517" s="1358"/>
      <c r="SWZ517" s="1358"/>
      <c r="SXA517" s="1358"/>
      <c r="SXB517" s="1358"/>
      <c r="SXC517" s="1358"/>
      <c r="SXD517" s="1358"/>
      <c r="SXE517" s="1358"/>
      <c r="SXF517" s="1358"/>
      <c r="SXG517" s="1358"/>
      <c r="SXH517" s="1358"/>
      <c r="SXI517" s="1358"/>
      <c r="SXJ517" s="1358"/>
      <c r="SXK517" s="1358"/>
      <c r="SXL517" s="1358"/>
      <c r="SXM517" s="1358"/>
      <c r="SXN517" s="1358"/>
      <c r="SXO517" s="1358"/>
      <c r="SXP517" s="1358"/>
      <c r="SXQ517" s="1358"/>
      <c r="SXR517" s="1358"/>
      <c r="SXS517" s="1358"/>
      <c r="SXT517" s="1358"/>
      <c r="SXU517" s="1358"/>
      <c r="SXV517" s="1358"/>
      <c r="SXW517" s="1358"/>
      <c r="SXX517" s="1358"/>
      <c r="SXY517" s="1358"/>
      <c r="SXZ517" s="1358"/>
      <c r="SYA517" s="1358"/>
      <c r="SYB517" s="1358"/>
      <c r="SYC517" s="1358"/>
      <c r="SYD517" s="1358"/>
      <c r="SYE517" s="1358"/>
      <c r="SYF517" s="1358"/>
      <c r="SYG517" s="1358"/>
      <c r="SYH517" s="1358"/>
      <c r="SYI517" s="1358"/>
      <c r="SYJ517" s="1358"/>
      <c r="SYK517" s="1358"/>
      <c r="SYL517" s="1358"/>
      <c r="SYM517" s="1358"/>
      <c r="SYN517" s="1358"/>
      <c r="SYO517" s="1358"/>
      <c r="SYP517" s="1358"/>
      <c r="SYQ517" s="1358"/>
      <c r="SYR517" s="1358"/>
      <c r="SYS517" s="1358"/>
      <c r="SYT517" s="1358"/>
      <c r="SYU517" s="1358"/>
      <c r="SYV517" s="1358"/>
      <c r="SYW517" s="1358"/>
      <c r="SYX517" s="1358"/>
      <c r="SYY517" s="1358"/>
      <c r="SYZ517" s="1358"/>
      <c r="SZA517" s="1358"/>
      <c r="SZB517" s="1358"/>
      <c r="SZC517" s="1358"/>
      <c r="SZD517" s="1358"/>
      <c r="SZE517" s="1358"/>
      <c r="SZF517" s="1358"/>
      <c r="SZG517" s="1358"/>
      <c r="SZH517" s="1358"/>
      <c r="SZI517" s="1358"/>
      <c r="SZJ517" s="1358"/>
      <c r="SZK517" s="1358"/>
      <c r="SZL517" s="1358"/>
      <c r="SZM517" s="1358"/>
      <c r="SZN517" s="1358"/>
      <c r="SZO517" s="1358"/>
      <c r="SZP517" s="1358"/>
      <c r="SZQ517" s="1358"/>
      <c r="SZR517" s="1358"/>
      <c r="SZS517" s="1358"/>
      <c r="SZT517" s="1358"/>
      <c r="SZU517" s="1358"/>
      <c r="SZV517" s="1358"/>
      <c r="SZW517" s="1358"/>
      <c r="SZX517" s="1358"/>
      <c r="SZY517" s="1358"/>
      <c r="SZZ517" s="1358"/>
      <c r="TAA517" s="1358"/>
      <c r="TAB517" s="1358"/>
      <c r="TAC517" s="1358"/>
      <c r="TAD517" s="1358"/>
      <c r="TAE517" s="1358"/>
      <c r="TAF517" s="1358"/>
      <c r="TAG517" s="1358"/>
      <c r="TAH517" s="1358"/>
      <c r="TAI517" s="1358"/>
      <c r="TAJ517" s="1358"/>
      <c r="TAK517" s="1358"/>
      <c r="TAL517" s="1358"/>
      <c r="TAM517" s="1358"/>
      <c r="TAN517" s="1358"/>
      <c r="TAO517" s="1358"/>
      <c r="TAP517" s="1358"/>
      <c r="TAQ517" s="1358"/>
      <c r="TAR517" s="1358"/>
      <c r="TAS517" s="1358"/>
      <c r="TAT517" s="1358"/>
      <c r="TAU517" s="1358"/>
      <c r="TAV517" s="1358"/>
      <c r="TAW517" s="1358"/>
      <c r="TAX517" s="1358"/>
      <c r="TAY517" s="1358"/>
      <c r="TAZ517" s="1358"/>
      <c r="TBA517" s="1358"/>
      <c r="TBB517" s="1358"/>
      <c r="TBC517" s="1358"/>
      <c r="TBD517" s="1358"/>
      <c r="TBE517" s="1358"/>
      <c r="TBF517" s="1358"/>
      <c r="TBG517" s="1358"/>
      <c r="TBH517" s="1358"/>
      <c r="TBI517" s="1358"/>
      <c r="TBJ517" s="1358"/>
      <c r="TBK517" s="1358"/>
      <c r="TBL517" s="1358"/>
      <c r="TBM517" s="1358"/>
      <c r="TBN517" s="1358"/>
      <c r="TBO517" s="1358"/>
      <c r="TBP517" s="1358"/>
      <c r="TBQ517" s="1358"/>
      <c r="TBR517" s="1358"/>
      <c r="TBS517" s="1358"/>
      <c r="TBT517" s="1358"/>
      <c r="TBU517" s="1358"/>
      <c r="TBV517" s="1358"/>
      <c r="TBW517" s="1358"/>
      <c r="TBX517" s="1358"/>
      <c r="TBY517" s="1358"/>
      <c r="TBZ517" s="1358"/>
      <c r="TCA517" s="1358"/>
      <c r="TCB517" s="1358"/>
      <c r="TCC517" s="1358"/>
      <c r="TCD517" s="1358"/>
      <c r="TCE517" s="1358"/>
      <c r="TCF517" s="1358"/>
      <c r="TCG517" s="1358"/>
      <c r="TCH517" s="1358"/>
      <c r="TCI517" s="1358"/>
      <c r="TCJ517" s="1358"/>
      <c r="TCK517" s="1358"/>
      <c r="TCL517" s="1358"/>
      <c r="TCM517" s="1358"/>
      <c r="TCN517" s="1358"/>
      <c r="TCO517" s="1358"/>
      <c r="TCP517" s="1358"/>
      <c r="TCQ517" s="1358"/>
      <c r="TCR517" s="1358"/>
      <c r="TCS517" s="1358"/>
      <c r="TCT517" s="1358"/>
      <c r="TCU517" s="1358"/>
      <c r="TCV517" s="1358"/>
      <c r="TCW517" s="1358"/>
      <c r="TCX517" s="1358"/>
      <c r="TCY517" s="1358"/>
      <c r="TCZ517" s="1358"/>
      <c r="TDA517" s="1358"/>
      <c r="TDB517" s="1358"/>
      <c r="TDC517" s="1358"/>
      <c r="TDD517" s="1358"/>
      <c r="TDE517" s="1358"/>
      <c r="TDF517" s="1358"/>
      <c r="TDG517" s="1358"/>
      <c r="TDH517" s="1358"/>
      <c r="TDI517" s="1358"/>
      <c r="TDJ517" s="1358"/>
      <c r="TDK517" s="1358"/>
      <c r="TDL517" s="1358"/>
      <c r="TDM517" s="1358"/>
      <c r="TDN517" s="1358"/>
      <c r="TDO517" s="1358"/>
      <c r="TDP517" s="1358"/>
      <c r="TDQ517" s="1358"/>
      <c r="TDR517" s="1358"/>
      <c r="TDS517" s="1358"/>
      <c r="TDT517" s="1358"/>
      <c r="TDU517" s="1358"/>
      <c r="TDV517" s="1358"/>
      <c r="TDW517" s="1358"/>
      <c r="TDX517" s="1358"/>
      <c r="TDY517" s="1358"/>
      <c r="TDZ517" s="1358"/>
      <c r="TEA517" s="1358"/>
      <c r="TEB517" s="1358"/>
      <c r="TEC517" s="1358"/>
      <c r="TED517" s="1358"/>
      <c r="TEE517" s="1358"/>
      <c r="TEF517" s="1358"/>
      <c r="TEG517" s="1358"/>
      <c r="TEH517" s="1358"/>
      <c r="TEI517" s="1358"/>
      <c r="TEJ517" s="1358"/>
      <c r="TEK517" s="1358"/>
      <c r="TEL517" s="1358"/>
      <c r="TEM517" s="1358"/>
      <c r="TEN517" s="1358"/>
      <c r="TEO517" s="1358"/>
      <c r="TEP517" s="1358"/>
      <c r="TEQ517" s="1358"/>
      <c r="TER517" s="1358"/>
      <c r="TES517" s="1358"/>
      <c r="TET517" s="1358"/>
      <c r="TEU517" s="1358"/>
      <c r="TEV517" s="1358"/>
      <c r="TEW517" s="1358"/>
      <c r="TEX517" s="1358"/>
      <c r="TEY517" s="1358"/>
      <c r="TEZ517" s="1358"/>
      <c r="TFA517" s="1358"/>
      <c r="TFB517" s="1358"/>
      <c r="TFC517" s="1358"/>
      <c r="TFD517" s="1358"/>
      <c r="TFE517" s="1358"/>
      <c r="TFF517" s="1358"/>
      <c r="TFG517" s="1358"/>
      <c r="TFH517" s="1358"/>
      <c r="TFI517" s="1358"/>
      <c r="TFJ517" s="1358"/>
      <c r="TFK517" s="1358"/>
      <c r="TFL517" s="1358"/>
      <c r="TFM517" s="1358"/>
      <c r="TFN517" s="1358"/>
      <c r="TFO517" s="1358"/>
      <c r="TFP517" s="1358"/>
      <c r="TFQ517" s="1358"/>
      <c r="TFR517" s="1358"/>
      <c r="TFS517" s="1358"/>
      <c r="TFT517" s="1358"/>
      <c r="TFU517" s="1358"/>
      <c r="TFV517" s="1358"/>
      <c r="TFW517" s="1358"/>
      <c r="TFX517" s="1358"/>
      <c r="TFY517" s="1358"/>
      <c r="TFZ517" s="1358"/>
      <c r="TGA517" s="1358"/>
      <c r="TGB517" s="1358"/>
      <c r="TGC517" s="1358"/>
      <c r="TGD517" s="1358"/>
      <c r="TGE517" s="1358"/>
      <c r="TGF517" s="1358"/>
      <c r="TGG517" s="1358"/>
      <c r="TGH517" s="1358"/>
      <c r="TGI517" s="1358"/>
      <c r="TGJ517" s="1358"/>
      <c r="TGK517" s="1358"/>
      <c r="TGL517" s="1358"/>
      <c r="TGM517" s="1358"/>
      <c r="TGN517" s="1358"/>
      <c r="TGO517" s="1358"/>
      <c r="TGP517" s="1358"/>
      <c r="TGQ517" s="1358"/>
      <c r="TGR517" s="1358"/>
      <c r="TGS517" s="1358"/>
      <c r="TGT517" s="1358"/>
      <c r="TGU517" s="1358"/>
      <c r="TGV517" s="1358"/>
      <c r="TGW517" s="1358"/>
      <c r="TGX517" s="1358"/>
      <c r="TGY517" s="1358"/>
      <c r="TGZ517" s="1358"/>
      <c r="THA517" s="1358"/>
      <c r="THB517" s="1358"/>
      <c r="THC517" s="1358"/>
      <c r="THD517" s="1358"/>
      <c r="THE517" s="1358"/>
      <c r="THF517" s="1358"/>
      <c r="THG517" s="1358"/>
      <c r="THH517" s="1358"/>
      <c r="THI517" s="1358"/>
      <c r="THJ517" s="1358"/>
      <c r="THK517" s="1358"/>
      <c r="THL517" s="1358"/>
      <c r="THM517" s="1358"/>
      <c r="THN517" s="1358"/>
      <c r="THO517" s="1358"/>
      <c r="THP517" s="1358"/>
      <c r="THQ517" s="1358"/>
      <c r="THR517" s="1358"/>
      <c r="THS517" s="1358"/>
      <c r="THT517" s="1358"/>
      <c r="THU517" s="1358"/>
      <c r="THV517" s="1358"/>
      <c r="THW517" s="1358"/>
      <c r="THX517" s="1358"/>
      <c r="THY517" s="1358"/>
      <c r="THZ517" s="1358"/>
      <c r="TIA517" s="1358"/>
      <c r="TIB517" s="1358"/>
      <c r="TIC517" s="1358"/>
      <c r="TID517" s="1358"/>
      <c r="TIE517" s="1358"/>
      <c r="TIF517" s="1358"/>
      <c r="TIG517" s="1358"/>
      <c r="TIH517" s="1358"/>
      <c r="TII517" s="1358"/>
      <c r="TIJ517" s="1358"/>
      <c r="TIK517" s="1358"/>
      <c r="TIL517" s="1358"/>
      <c r="TIM517" s="1358"/>
      <c r="TIN517" s="1358"/>
      <c r="TIO517" s="1358"/>
      <c r="TIP517" s="1358"/>
      <c r="TIQ517" s="1358"/>
      <c r="TIR517" s="1358"/>
      <c r="TIS517" s="1358"/>
      <c r="TIT517" s="1358"/>
      <c r="TIU517" s="1358"/>
      <c r="TIV517" s="1358"/>
      <c r="TIW517" s="1358"/>
      <c r="TIX517" s="1358"/>
      <c r="TIY517" s="1358"/>
      <c r="TIZ517" s="1358"/>
      <c r="TJA517" s="1358"/>
      <c r="TJB517" s="1358"/>
      <c r="TJC517" s="1358"/>
      <c r="TJD517" s="1358"/>
      <c r="TJE517" s="1358"/>
      <c r="TJF517" s="1358"/>
      <c r="TJG517" s="1358"/>
      <c r="TJH517" s="1358"/>
      <c r="TJI517" s="1358"/>
      <c r="TJJ517" s="1358"/>
      <c r="TJK517" s="1358"/>
      <c r="TJL517" s="1358"/>
      <c r="TJM517" s="1358"/>
      <c r="TJN517" s="1358"/>
      <c r="TJO517" s="1358"/>
      <c r="TJP517" s="1358"/>
      <c r="TJQ517" s="1358"/>
      <c r="TJR517" s="1358"/>
      <c r="TJS517" s="1358"/>
      <c r="TJT517" s="1358"/>
      <c r="TJU517" s="1358"/>
      <c r="TJV517" s="1358"/>
      <c r="TJW517" s="1358"/>
      <c r="TJX517" s="1358"/>
      <c r="TJY517" s="1358"/>
      <c r="TJZ517" s="1358"/>
      <c r="TKA517" s="1358"/>
      <c r="TKB517" s="1358"/>
      <c r="TKC517" s="1358"/>
      <c r="TKD517" s="1358"/>
      <c r="TKE517" s="1358"/>
      <c r="TKF517" s="1358"/>
      <c r="TKG517" s="1358"/>
      <c r="TKH517" s="1358"/>
      <c r="TKI517" s="1358"/>
      <c r="TKJ517" s="1358"/>
      <c r="TKK517" s="1358"/>
      <c r="TKL517" s="1358"/>
      <c r="TKM517" s="1358"/>
      <c r="TKN517" s="1358"/>
      <c r="TKO517" s="1358"/>
      <c r="TKP517" s="1358"/>
      <c r="TKQ517" s="1358"/>
      <c r="TKR517" s="1358"/>
      <c r="TKS517" s="1358"/>
      <c r="TKT517" s="1358"/>
      <c r="TKU517" s="1358"/>
      <c r="TKV517" s="1358"/>
      <c r="TKW517" s="1358"/>
      <c r="TKX517" s="1358"/>
      <c r="TKY517" s="1358"/>
      <c r="TKZ517" s="1358"/>
      <c r="TLA517" s="1358"/>
      <c r="TLB517" s="1358"/>
      <c r="TLC517" s="1358"/>
      <c r="TLD517" s="1358"/>
      <c r="TLE517" s="1358"/>
      <c r="TLF517" s="1358"/>
      <c r="TLG517" s="1358"/>
      <c r="TLH517" s="1358"/>
      <c r="TLI517" s="1358"/>
      <c r="TLJ517" s="1358"/>
      <c r="TLK517" s="1358"/>
      <c r="TLL517" s="1358"/>
      <c r="TLM517" s="1358"/>
      <c r="TLN517" s="1358"/>
      <c r="TLO517" s="1358"/>
      <c r="TLP517" s="1358"/>
      <c r="TLQ517" s="1358"/>
      <c r="TLR517" s="1358"/>
      <c r="TLS517" s="1358"/>
      <c r="TLT517" s="1358"/>
      <c r="TLU517" s="1358"/>
      <c r="TLV517" s="1358"/>
      <c r="TLW517" s="1358"/>
      <c r="TLX517" s="1358"/>
      <c r="TLY517" s="1358"/>
      <c r="TLZ517" s="1358"/>
      <c r="TMA517" s="1358"/>
      <c r="TMB517" s="1358"/>
      <c r="TMC517" s="1358"/>
      <c r="TMD517" s="1358"/>
      <c r="TME517" s="1358"/>
      <c r="TMF517" s="1358"/>
      <c r="TMG517" s="1358"/>
      <c r="TMH517" s="1358"/>
      <c r="TMI517" s="1358"/>
      <c r="TMJ517" s="1358"/>
      <c r="TMK517" s="1358"/>
      <c r="TML517" s="1358"/>
      <c r="TMM517" s="1358"/>
      <c r="TMN517" s="1358"/>
      <c r="TMO517" s="1358"/>
      <c r="TMP517" s="1358"/>
      <c r="TMQ517" s="1358"/>
      <c r="TMR517" s="1358"/>
      <c r="TMS517" s="1358"/>
      <c r="TMT517" s="1358"/>
      <c r="TMU517" s="1358"/>
      <c r="TMV517" s="1358"/>
      <c r="TMW517" s="1358"/>
      <c r="TMX517" s="1358"/>
      <c r="TMY517" s="1358"/>
      <c r="TMZ517" s="1358"/>
      <c r="TNA517" s="1358"/>
      <c r="TNB517" s="1358"/>
      <c r="TNC517" s="1358"/>
      <c r="TND517" s="1358"/>
      <c r="TNE517" s="1358"/>
      <c r="TNF517" s="1358"/>
      <c r="TNG517" s="1358"/>
      <c r="TNH517" s="1358"/>
      <c r="TNI517" s="1358"/>
      <c r="TNJ517" s="1358"/>
      <c r="TNK517" s="1358"/>
      <c r="TNL517" s="1358"/>
      <c r="TNM517" s="1358"/>
      <c r="TNN517" s="1358"/>
      <c r="TNO517" s="1358"/>
      <c r="TNP517" s="1358"/>
      <c r="TNQ517" s="1358"/>
      <c r="TNR517" s="1358"/>
      <c r="TNS517" s="1358"/>
      <c r="TNT517" s="1358"/>
      <c r="TNU517" s="1358"/>
      <c r="TNV517" s="1358"/>
      <c r="TNW517" s="1358"/>
      <c r="TNX517" s="1358"/>
      <c r="TNY517" s="1358"/>
      <c r="TNZ517" s="1358"/>
      <c r="TOA517" s="1358"/>
      <c r="TOB517" s="1358"/>
      <c r="TOC517" s="1358"/>
      <c r="TOD517" s="1358"/>
      <c r="TOE517" s="1358"/>
      <c r="TOF517" s="1358"/>
      <c r="TOG517" s="1358"/>
      <c r="TOH517" s="1358"/>
      <c r="TOI517" s="1358"/>
      <c r="TOJ517" s="1358"/>
      <c r="TOK517" s="1358"/>
      <c r="TOL517" s="1358"/>
      <c r="TOM517" s="1358"/>
      <c r="TON517" s="1358"/>
      <c r="TOO517" s="1358"/>
      <c r="TOP517" s="1358"/>
      <c r="TOQ517" s="1358"/>
      <c r="TOR517" s="1358"/>
      <c r="TOS517" s="1358"/>
      <c r="TOT517" s="1358"/>
      <c r="TOU517" s="1358"/>
      <c r="TOV517" s="1358"/>
      <c r="TOW517" s="1358"/>
      <c r="TOX517" s="1358"/>
      <c r="TOY517" s="1358"/>
      <c r="TOZ517" s="1358"/>
      <c r="TPA517" s="1358"/>
      <c r="TPB517" s="1358"/>
      <c r="TPC517" s="1358"/>
      <c r="TPD517" s="1358"/>
      <c r="TPE517" s="1358"/>
      <c r="TPF517" s="1358"/>
      <c r="TPG517" s="1358"/>
      <c r="TPH517" s="1358"/>
      <c r="TPI517" s="1358"/>
      <c r="TPJ517" s="1358"/>
      <c r="TPK517" s="1358"/>
      <c r="TPL517" s="1358"/>
      <c r="TPM517" s="1358"/>
      <c r="TPN517" s="1358"/>
      <c r="TPO517" s="1358"/>
      <c r="TPP517" s="1358"/>
      <c r="TPQ517" s="1358"/>
      <c r="TPR517" s="1358"/>
      <c r="TPS517" s="1358"/>
      <c r="TPT517" s="1358"/>
      <c r="TPU517" s="1358"/>
      <c r="TPV517" s="1358"/>
      <c r="TPW517" s="1358"/>
      <c r="TPX517" s="1358"/>
      <c r="TPY517" s="1358"/>
      <c r="TPZ517" s="1358"/>
      <c r="TQA517" s="1358"/>
      <c r="TQB517" s="1358"/>
      <c r="TQC517" s="1358"/>
      <c r="TQD517" s="1358"/>
      <c r="TQE517" s="1358"/>
      <c r="TQF517" s="1358"/>
      <c r="TQG517" s="1358"/>
      <c r="TQH517" s="1358"/>
      <c r="TQI517" s="1358"/>
      <c r="TQJ517" s="1358"/>
      <c r="TQK517" s="1358"/>
      <c r="TQL517" s="1358"/>
      <c r="TQM517" s="1358"/>
      <c r="TQN517" s="1358"/>
      <c r="TQO517" s="1358"/>
      <c r="TQP517" s="1358"/>
      <c r="TQQ517" s="1358"/>
      <c r="TQR517" s="1358"/>
      <c r="TQS517" s="1358"/>
      <c r="TQT517" s="1358"/>
      <c r="TQU517" s="1358"/>
      <c r="TQV517" s="1358"/>
      <c r="TQW517" s="1358"/>
      <c r="TQX517" s="1358"/>
      <c r="TQY517" s="1358"/>
      <c r="TQZ517" s="1358"/>
      <c r="TRA517" s="1358"/>
      <c r="TRB517" s="1358"/>
      <c r="TRC517" s="1358"/>
      <c r="TRD517" s="1358"/>
      <c r="TRE517" s="1358"/>
      <c r="TRF517" s="1358"/>
      <c r="TRG517" s="1358"/>
      <c r="TRH517" s="1358"/>
      <c r="TRI517" s="1358"/>
      <c r="TRJ517" s="1358"/>
      <c r="TRK517" s="1358"/>
      <c r="TRL517" s="1358"/>
      <c r="TRM517" s="1358"/>
      <c r="TRN517" s="1358"/>
      <c r="TRO517" s="1358"/>
      <c r="TRP517" s="1358"/>
      <c r="TRQ517" s="1358"/>
      <c r="TRR517" s="1358"/>
      <c r="TRS517" s="1358"/>
      <c r="TRT517" s="1358"/>
      <c r="TRU517" s="1358"/>
      <c r="TRV517" s="1358"/>
      <c r="TRW517" s="1358"/>
      <c r="TRX517" s="1358"/>
      <c r="TRY517" s="1358"/>
      <c r="TRZ517" s="1358"/>
      <c r="TSA517" s="1358"/>
      <c r="TSB517" s="1358"/>
      <c r="TSC517" s="1358"/>
      <c r="TSD517" s="1358"/>
      <c r="TSE517" s="1358"/>
      <c r="TSF517" s="1358"/>
      <c r="TSG517" s="1358"/>
      <c r="TSH517" s="1358"/>
      <c r="TSI517" s="1358"/>
      <c r="TSJ517" s="1358"/>
      <c r="TSK517" s="1358"/>
      <c r="TSL517" s="1358"/>
      <c r="TSM517" s="1358"/>
      <c r="TSN517" s="1358"/>
      <c r="TSO517" s="1358"/>
      <c r="TSP517" s="1358"/>
      <c r="TSQ517" s="1358"/>
      <c r="TSR517" s="1358"/>
      <c r="TSS517" s="1358"/>
      <c r="TST517" s="1358"/>
      <c r="TSU517" s="1358"/>
      <c r="TSV517" s="1358"/>
      <c r="TSW517" s="1358"/>
      <c r="TSX517" s="1358"/>
      <c r="TSY517" s="1358"/>
      <c r="TSZ517" s="1358"/>
      <c r="TTA517" s="1358"/>
      <c r="TTB517" s="1358"/>
      <c r="TTC517" s="1358"/>
      <c r="TTD517" s="1358"/>
      <c r="TTE517" s="1358"/>
      <c r="TTF517" s="1358"/>
      <c r="TTG517" s="1358"/>
      <c r="TTH517" s="1358"/>
      <c r="TTI517" s="1358"/>
      <c r="TTJ517" s="1358"/>
      <c r="TTK517" s="1358"/>
      <c r="TTL517" s="1358"/>
      <c r="TTM517" s="1358"/>
      <c r="TTN517" s="1358"/>
      <c r="TTO517" s="1358"/>
      <c r="TTP517" s="1358"/>
      <c r="TTQ517" s="1358"/>
      <c r="TTR517" s="1358"/>
      <c r="TTS517" s="1358"/>
      <c r="TTT517" s="1358"/>
      <c r="TTU517" s="1358"/>
      <c r="TTV517" s="1358"/>
      <c r="TTW517" s="1358"/>
      <c r="TTX517" s="1358"/>
      <c r="TTY517" s="1358"/>
      <c r="TTZ517" s="1358"/>
      <c r="TUA517" s="1358"/>
      <c r="TUB517" s="1358"/>
      <c r="TUC517" s="1358"/>
      <c r="TUD517" s="1358"/>
      <c r="TUE517" s="1358"/>
      <c r="TUF517" s="1358"/>
      <c r="TUG517" s="1358"/>
      <c r="TUH517" s="1358"/>
      <c r="TUI517" s="1358"/>
      <c r="TUJ517" s="1358"/>
      <c r="TUK517" s="1358"/>
      <c r="TUL517" s="1358"/>
      <c r="TUM517" s="1358"/>
      <c r="TUN517" s="1358"/>
      <c r="TUO517" s="1358"/>
      <c r="TUP517" s="1358"/>
      <c r="TUQ517" s="1358"/>
      <c r="TUR517" s="1358"/>
      <c r="TUS517" s="1358"/>
      <c r="TUT517" s="1358"/>
      <c r="TUU517" s="1358"/>
      <c r="TUV517" s="1358"/>
      <c r="TUW517" s="1358"/>
      <c r="TUX517" s="1358"/>
      <c r="TUY517" s="1358"/>
      <c r="TUZ517" s="1358"/>
      <c r="TVA517" s="1358"/>
      <c r="TVB517" s="1358"/>
      <c r="TVC517" s="1358"/>
      <c r="TVD517" s="1358"/>
      <c r="TVE517" s="1358"/>
      <c r="TVF517" s="1358"/>
      <c r="TVG517" s="1358"/>
      <c r="TVH517" s="1358"/>
      <c r="TVI517" s="1358"/>
      <c r="TVJ517" s="1358"/>
      <c r="TVK517" s="1358"/>
      <c r="TVL517" s="1358"/>
      <c r="TVM517" s="1358"/>
      <c r="TVN517" s="1358"/>
      <c r="TVO517" s="1358"/>
      <c r="TVP517" s="1358"/>
      <c r="TVQ517" s="1358"/>
      <c r="TVR517" s="1358"/>
      <c r="TVS517" s="1358"/>
      <c r="TVT517" s="1358"/>
      <c r="TVU517" s="1358"/>
      <c r="TVV517" s="1358"/>
      <c r="TVW517" s="1358"/>
      <c r="TVX517" s="1358"/>
      <c r="TVY517" s="1358"/>
      <c r="TVZ517" s="1358"/>
      <c r="TWA517" s="1358"/>
      <c r="TWB517" s="1358"/>
      <c r="TWC517" s="1358"/>
      <c r="TWD517" s="1358"/>
      <c r="TWE517" s="1358"/>
      <c r="TWF517" s="1358"/>
      <c r="TWG517" s="1358"/>
      <c r="TWH517" s="1358"/>
      <c r="TWI517" s="1358"/>
      <c r="TWJ517" s="1358"/>
      <c r="TWK517" s="1358"/>
      <c r="TWL517" s="1358"/>
      <c r="TWM517" s="1358"/>
      <c r="TWN517" s="1358"/>
      <c r="TWO517" s="1358"/>
      <c r="TWP517" s="1358"/>
      <c r="TWQ517" s="1358"/>
      <c r="TWR517" s="1358"/>
      <c r="TWS517" s="1358"/>
      <c r="TWT517" s="1358"/>
      <c r="TWU517" s="1358"/>
      <c r="TWV517" s="1358"/>
      <c r="TWW517" s="1358"/>
      <c r="TWX517" s="1358"/>
      <c r="TWY517" s="1358"/>
      <c r="TWZ517" s="1358"/>
      <c r="TXA517" s="1358"/>
      <c r="TXB517" s="1358"/>
      <c r="TXC517" s="1358"/>
      <c r="TXD517" s="1358"/>
      <c r="TXE517" s="1358"/>
      <c r="TXF517" s="1358"/>
      <c r="TXG517" s="1358"/>
      <c r="TXH517" s="1358"/>
      <c r="TXI517" s="1358"/>
      <c r="TXJ517" s="1358"/>
      <c r="TXK517" s="1358"/>
      <c r="TXL517" s="1358"/>
      <c r="TXM517" s="1358"/>
      <c r="TXN517" s="1358"/>
      <c r="TXO517" s="1358"/>
      <c r="TXP517" s="1358"/>
      <c r="TXQ517" s="1358"/>
      <c r="TXR517" s="1358"/>
      <c r="TXS517" s="1358"/>
      <c r="TXT517" s="1358"/>
      <c r="TXU517" s="1358"/>
      <c r="TXV517" s="1358"/>
      <c r="TXW517" s="1358"/>
      <c r="TXX517" s="1358"/>
      <c r="TXY517" s="1358"/>
      <c r="TXZ517" s="1358"/>
      <c r="TYA517" s="1358"/>
      <c r="TYB517" s="1358"/>
      <c r="TYC517" s="1358"/>
      <c r="TYD517" s="1358"/>
      <c r="TYE517" s="1358"/>
      <c r="TYF517" s="1358"/>
      <c r="TYG517" s="1358"/>
      <c r="TYH517" s="1358"/>
      <c r="TYI517" s="1358"/>
      <c r="TYJ517" s="1358"/>
      <c r="TYK517" s="1358"/>
      <c r="TYL517" s="1358"/>
      <c r="TYM517" s="1358"/>
      <c r="TYN517" s="1358"/>
      <c r="TYO517" s="1358"/>
      <c r="TYP517" s="1358"/>
      <c r="TYQ517" s="1358"/>
      <c r="TYR517" s="1358"/>
      <c r="TYS517" s="1358"/>
      <c r="TYT517" s="1358"/>
      <c r="TYU517" s="1358"/>
      <c r="TYV517" s="1358"/>
      <c r="TYW517" s="1358"/>
      <c r="TYX517" s="1358"/>
      <c r="TYY517" s="1358"/>
      <c r="TYZ517" s="1358"/>
      <c r="TZA517" s="1358"/>
      <c r="TZB517" s="1358"/>
      <c r="TZC517" s="1358"/>
      <c r="TZD517" s="1358"/>
      <c r="TZE517" s="1358"/>
      <c r="TZF517" s="1358"/>
      <c r="TZG517" s="1358"/>
      <c r="TZH517" s="1358"/>
      <c r="TZI517" s="1358"/>
      <c r="TZJ517" s="1358"/>
      <c r="TZK517" s="1358"/>
      <c r="TZL517" s="1358"/>
      <c r="TZM517" s="1358"/>
      <c r="TZN517" s="1358"/>
      <c r="TZO517" s="1358"/>
      <c r="TZP517" s="1358"/>
      <c r="TZQ517" s="1358"/>
      <c r="TZR517" s="1358"/>
      <c r="TZS517" s="1358"/>
      <c r="TZT517" s="1358"/>
      <c r="TZU517" s="1358"/>
      <c r="TZV517" s="1358"/>
      <c r="TZW517" s="1358"/>
      <c r="TZX517" s="1358"/>
      <c r="TZY517" s="1358"/>
      <c r="TZZ517" s="1358"/>
      <c r="UAA517" s="1358"/>
      <c r="UAB517" s="1358"/>
      <c r="UAC517" s="1358"/>
      <c r="UAD517" s="1358"/>
      <c r="UAE517" s="1358"/>
      <c r="UAF517" s="1358"/>
      <c r="UAG517" s="1358"/>
      <c r="UAH517" s="1358"/>
      <c r="UAI517" s="1358"/>
      <c r="UAJ517" s="1358"/>
      <c r="UAK517" s="1358"/>
      <c r="UAL517" s="1358"/>
      <c r="UAM517" s="1358"/>
      <c r="UAN517" s="1358"/>
      <c r="UAO517" s="1358"/>
      <c r="UAP517" s="1358"/>
      <c r="UAQ517" s="1358"/>
      <c r="UAR517" s="1358"/>
      <c r="UAS517" s="1358"/>
      <c r="UAT517" s="1358"/>
      <c r="UAU517" s="1358"/>
      <c r="UAV517" s="1358"/>
      <c r="UAW517" s="1358"/>
      <c r="UAX517" s="1358"/>
      <c r="UAY517" s="1358"/>
      <c r="UAZ517" s="1358"/>
      <c r="UBA517" s="1358"/>
      <c r="UBB517" s="1358"/>
      <c r="UBC517" s="1358"/>
      <c r="UBD517" s="1358"/>
      <c r="UBE517" s="1358"/>
      <c r="UBF517" s="1358"/>
      <c r="UBG517" s="1358"/>
      <c r="UBH517" s="1358"/>
      <c r="UBI517" s="1358"/>
      <c r="UBJ517" s="1358"/>
      <c r="UBK517" s="1358"/>
      <c r="UBL517" s="1358"/>
      <c r="UBM517" s="1358"/>
      <c r="UBN517" s="1358"/>
      <c r="UBO517" s="1358"/>
      <c r="UBP517" s="1358"/>
      <c r="UBQ517" s="1358"/>
      <c r="UBR517" s="1358"/>
      <c r="UBS517" s="1358"/>
      <c r="UBT517" s="1358"/>
      <c r="UBU517" s="1358"/>
      <c r="UBV517" s="1358"/>
      <c r="UBW517" s="1358"/>
      <c r="UBX517" s="1358"/>
      <c r="UBY517" s="1358"/>
      <c r="UBZ517" s="1358"/>
      <c r="UCA517" s="1358"/>
      <c r="UCB517" s="1358"/>
      <c r="UCC517" s="1358"/>
      <c r="UCD517" s="1358"/>
      <c r="UCE517" s="1358"/>
      <c r="UCF517" s="1358"/>
      <c r="UCG517" s="1358"/>
      <c r="UCH517" s="1358"/>
      <c r="UCI517" s="1358"/>
      <c r="UCJ517" s="1358"/>
      <c r="UCK517" s="1358"/>
      <c r="UCL517" s="1358"/>
      <c r="UCM517" s="1358"/>
      <c r="UCN517" s="1358"/>
      <c r="UCO517" s="1358"/>
      <c r="UCP517" s="1358"/>
      <c r="UCQ517" s="1358"/>
      <c r="UCR517" s="1358"/>
      <c r="UCS517" s="1358"/>
      <c r="UCT517" s="1358"/>
      <c r="UCU517" s="1358"/>
      <c r="UCV517" s="1358"/>
      <c r="UCW517" s="1358"/>
      <c r="UCX517" s="1358"/>
      <c r="UCY517" s="1358"/>
      <c r="UCZ517" s="1358"/>
      <c r="UDA517" s="1358"/>
      <c r="UDB517" s="1358"/>
      <c r="UDC517" s="1358"/>
      <c r="UDD517" s="1358"/>
      <c r="UDE517" s="1358"/>
      <c r="UDF517" s="1358"/>
      <c r="UDG517" s="1358"/>
      <c r="UDH517" s="1358"/>
      <c r="UDI517" s="1358"/>
      <c r="UDJ517" s="1358"/>
      <c r="UDK517" s="1358"/>
      <c r="UDL517" s="1358"/>
      <c r="UDM517" s="1358"/>
      <c r="UDN517" s="1358"/>
      <c r="UDO517" s="1358"/>
      <c r="UDP517" s="1358"/>
      <c r="UDQ517" s="1358"/>
      <c r="UDR517" s="1358"/>
      <c r="UDS517" s="1358"/>
      <c r="UDT517" s="1358"/>
      <c r="UDU517" s="1358"/>
      <c r="UDV517" s="1358"/>
      <c r="UDW517" s="1358"/>
      <c r="UDX517" s="1358"/>
      <c r="UDY517" s="1358"/>
      <c r="UDZ517" s="1358"/>
      <c r="UEA517" s="1358"/>
      <c r="UEB517" s="1358"/>
      <c r="UEC517" s="1358"/>
      <c r="UED517" s="1358"/>
      <c r="UEE517" s="1358"/>
      <c r="UEF517" s="1358"/>
      <c r="UEG517" s="1358"/>
      <c r="UEH517" s="1358"/>
      <c r="UEI517" s="1358"/>
      <c r="UEJ517" s="1358"/>
      <c r="UEK517" s="1358"/>
      <c r="UEL517" s="1358"/>
      <c r="UEM517" s="1358"/>
      <c r="UEN517" s="1358"/>
      <c r="UEO517" s="1358"/>
      <c r="UEP517" s="1358"/>
      <c r="UEQ517" s="1358"/>
      <c r="UER517" s="1358"/>
      <c r="UES517" s="1358"/>
      <c r="UET517" s="1358"/>
      <c r="UEU517" s="1358"/>
      <c r="UEV517" s="1358"/>
      <c r="UEW517" s="1358"/>
      <c r="UEX517" s="1358"/>
      <c r="UEY517" s="1358"/>
      <c r="UEZ517" s="1358"/>
      <c r="UFA517" s="1358"/>
      <c r="UFB517" s="1358"/>
      <c r="UFC517" s="1358"/>
      <c r="UFD517" s="1358"/>
      <c r="UFE517" s="1358"/>
      <c r="UFF517" s="1358"/>
      <c r="UFG517" s="1358"/>
      <c r="UFH517" s="1358"/>
      <c r="UFI517" s="1358"/>
      <c r="UFJ517" s="1358"/>
      <c r="UFK517" s="1358"/>
      <c r="UFL517" s="1358"/>
      <c r="UFM517" s="1358"/>
      <c r="UFN517" s="1358"/>
      <c r="UFO517" s="1358"/>
      <c r="UFP517" s="1358"/>
      <c r="UFQ517" s="1358"/>
      <c r="UFR517" s="1358"/>
      <c r="UFS517" s="1358"/>
      <c r="UFT517" s="1358"/>
      <c r="UFU517" s="1358"/>
      <c r="UFV517" s="1358"/>
      <c r="UFW517" s="1358"/>
      <c r="UFX517" s="1358"/>
      <c r="UFY517" s="1358"/>
      <c r="UFZ517" s="1358"/>
      <c r="UGA517" s="1358"/>
      <c r="UGB517" s="1358"/>
      <c r="UGC517" s="1358"/>
      <c r="UGD517" s="1358"/>
      <c r="UGE517" s="1358"/>
      <c r="UGF517" s="1358"/>
      <c r="UGG517" s="1358"/>
      <c r="UGH517" s="1358"/>
      <c r="UGI517" s="1358"/>
      <c r="UGJ517" s="1358"/>
      <c r="UGK517" s="1358"/>
      <c r="UGL517" s="1358"/>
      <c r="UGM517" s="1358"/>
      <c r="UGN517" s="1358"/>
      <c r="UGO517" s="1358"/>
      <c r="UGP517" s="1358"/>
      <c r="UGQ517" s="1358"/>
      <c r="UGR517" s="1358"/>
      <c r="UGS517" s="1358"/>
      <c r="UGT517" s="1358"/>
      <c r="UGU517" s="1358"/>
      <c r="UGV517" s="1358"/>
      <c r="UGW517" s="1358"/>
      <c r="UGX517" s="1358"/>
      <c r="UGY517" s="1358"/>
      <c r="UGZ517" s="1358"/>
      <c r="UHA517" s="1358"/>
      <c r="UHB517" s="1358"/>
      <c r="UHC517" s="1358"/>
      <c r="UHD517" s="1358"/>
      <c r="UHE517" s="1358"/>
      <c r="UHF517" s="1358"/>
      <c r="UHG517" s="1358"/>
      <c r="UHH517" s="1358"/>
      <c r="UHI517" s="1358"/>
      <c r="UHJ517" s="1358"/>
      <c r="UHK517" s="1358"/>
      <c r="UHL517" s="1358"/>
      <c r="UHM517" s="1358"/>
      <c r="UHN517" s="1358"/>
      <c r="UHO517" s="1358"/>
      <c r="UHP517" s="1358"/>
      <c r="UHQ517" s="1358"/>
      <c r="UHR517" s="1358"/>
      <c r="UHS517" s="1358"/>
      <c r="UHT517" s="1358"/>
      <c r="UHU517" s="1358"/>
      <c r="UHV517" s="1358"/>
      <c r="UHW517" s="1358"/>
      <c r="UHX517" s="1358"/>
      <c r="UHY517" s="1358"/>
      <c r="UHZ517" s="1358"/>
      <c r="UIA517" s="1358"/>
      <c r="UIB517" s="1358"/>
      <c r="UIC517" s="1358"/>
      <c r="UID517" s="1358"/>
      <c r="UIE517" s="1358"/>
      <c r="UIF517" s="1358"/>
      <c r="UIG517" s="1358"/>
      <c r="UIH517" s="1358"/>
      <c r="UII517" s="1358"/>
      <c r="UIJ517" s="1358"/>
      <c r="UIK517" s="1358"/>
      <c r="UIL517" s="1358"/>
      <c r="UIM517" s="1358"/>
      <c r="UIN517" s="1358"/>
      <c r="UIO517" s="1358"/>
      <c r="UIP517" s="1358"/>
      <c r="UIQ517" s="1358"/>
      <c r="UIR517" s="1358"/>
      <c r="UIS517" s="1358"/>
      <c r="UIT517" s="1358"/>
      <c r="UIU517" s="1358"/>
      <c r="UIV517" s="1358"/>
      <c r="UIW517" s="1358"/>
      <c r="UIX517" s="1358"/>
      <c r="UIY517" s="1358"/>
      <c r="UIZ517" s="1358"/>
      <c r="UJA517" s="1358"/>
      <c r="UJB517" s="1358"/>
      <c r="UJC517" s="1358"/>
      <c r="UJD517" s="1358"/>
      <c r="UJE517" s="1358"/>
      <c r="UJF517" s="1358"/>
      <c r="UJG517" s="1358"/>
      <c r="UJH517" s="1358"/>
      <c r="UJI517" s="1358"/>
      <c r="UJJ517" s="1358"/>
      <c r="UJK517" s="1358"/>
      <c r="UJL517" s="1358"/>
      <c r="UJM517" s="1358"/>
      <c r="UJN517" s="1358"/>
      <c r="UJO517" s="1358"/>
      <c r="UJP517" s="1358"/>
      <c r="UJQ517" s="1358"/>
      <c r="UJR517" s="1358"/>
      <c r="UJS517" s="1358"/>
      <c r="UJT517" s="1358"/>
      <c r="UJU517" s="1358"/>
      <c r="UJV517" s="1358"/>
      <c r="UJW517" s="1358"/>
      <c r="UJX517" s="1358"/>
      <c r="UJY517" s="1358"/>
      <c r="UJZ517" s="1358"/>
      <c r="UKA517" s="1358"/>
      <c r="UKB517" s="1358"/>
      <c r="UKC517" s="1358"/>
      <c r="UKD517" s="1358"/>
      <c r="UKE517" s="1358"/>
      <c r="UKF517" s="1358"/>
      <c r="UKG517" s="1358"/>
      <c r="UKH517" s="1358"/>
      <c r="UKI517" s="1358"/>
      <c r="UKJ517" s="1358"/>
      <c r="UKK517" s="1358"/>
      <c r="UKL517" s="1358"/>
      <c r="UKM517" s="1358"/>
      <c r="UKN517" s="1358"/>
      <c r="UKO517" s="1358"/>
      <c r="UKP517" s="1358"/>
      <c r="UKQ517" s="1358"/>
      <c r="UKR517" s="1358"/>
      <c r="UKS517" s="1358"/>
      <c r="UKT517" s="1358"/>
      <c r="UKU517" s="1358"/>
      <c r="UKV517" s="1358"/>
      <c r="UKW517" s="1358"/>
      <c r="UKX517" s="1358"/>
      <c r="UKY517" s="1358"/>
      <c r="UKZ517" s="1358"/>
      <c r="ULA517" s="1358"/>
      <c r="ULB517" s="1358"/>
      <c r="ULC517" s="1358"/>
      <c r="ULD517" s="1358"/>
      <c r="ULE517" s="1358"/>
      <c r="ULF517" s="1358"/>
      <c r="ULG517" s="1358"/>
      <c r="ULH517" s="1358"/>
      <c r="ULI517" s="1358"/>
      <c r="ULJ517" s="1358"/>
      <c r="ULK517" s="1358"/>
      <c r="ULL517" s="1358"/>
      <c r="ULM517" s="1358"/>
      <c r="ULN517" s="1358"/>
      <c r="ULO517" s="1358"/>
      <c r="ULP517" s="1358"/>
      <c r="ULQ517" s="1358"/>
      <c r="ULR517" s="1358"/>
      <c r="ULS517" s="1358"/>
      <c r="ULT517" s="1358"/>
      <c r="ULU517" s="1358"/>
      <c r="ULV517" s="1358"/>
      <c r="ULW517" s="1358"/>
      <c r="ULX517" s="1358"/>
      <c r="ULY517" s="1358"/>
      <c r="ULZ517" s="1358"/>
      <c r="UMA517" s="1358"/>
      <c r="UMB517" s="1358"/>
      <c r="UMC517" s="1358"/>
      <c r="UMD517" s="1358"/>
      <c r="UME517" s="1358"/>
      <c r="UMF517" s="1358"/>
      <c r="UMG517" s="1358"/>
      <c r="UMH517" s="1358"/>
      <c r="UMI517" s="1358"/>
      <c r="UMJ517" s="1358"/>
      <c r="UMK517" s="1358"/>
      <c r="UML517" s="1358"/>
      <c r="UMM517" s="1358"/>
      <c r="UMN517" s="1358"/>
      <c r="UMO517" s="1358"/>
      <c r="UMP517" s="1358"/>
      <c r="UMQ517" s="1358"/>
      <c r="UMR517" s="1358"/>
      <c r="UMS517" s="1358"/>
      <c r="UMT517" s="1358"/>
      <c r="UMU517" s="1358"/>
      <c r="UMV517" s="1358"/>
      <c r="UMW517" s="1358"/>
      <c r="UMX517" s="1358"/>
      <c r="UMY517" s="1358"/>
      <c r="UMZ517" s="1358"/>
      <c r="UNA517" s="1358"/>
      <c r="UNB517" s="1358"/>
      <c r="UNC517" s="1358"/>
      <c r="UND517" s="1358"/>
      <c r="UNE517" s="1358"/>
      <c r="UNF517" s="1358"/>
      <c r="UNG517" s="1358"/>
      <c r="UNH517" s="1358"/>
      <c r="UNI517" s="1358"/>
      <c r="UNJ517" s="1358"/>
      <c r="UNK517" s="1358"/>
      <c r="UNL517" s="1358"/>
      <c r="UNM517" s="1358"/>
      <c r="UNN517" s="1358"/>
      <c r="UNO517" s="1358"/>
      <c r="UNP517" s="1358"/>
      <c r="UNQ517" s="1358"/>
      <c r="UNR517" s="1358"/>
      <c r="UNS517" s="1358"/>
      <c r="UNT517" s="1358"/>
      <c r="UNU517" s="1358"/>
      <c r="UNV517" s="1358"/>
      <c r="UNW517" s="1358"/>
      <c r="UNX517" s="1358"/>
      <c r="UNY517" s="1358"/>
      <c r="UNZ517" s="1358"/>
      <c r="UOA517" s="1358"/>
      <c r="UOB517" s="1358"/>
      <c r="UOC517" s="1358"/>
      <c r="UOD517" s="1358"/>
      <c r="UOE517" s="1358"/>
      <c r="UOF517" s="1358"/>
      <c r="UOG517" s="1358"/>
      <c r="UOH517" s="1358"/>
      <c r="UOI517" s="1358"/>
      <c r="UOJ517" s="1358"/>
      <c r="UOK517" s="1358"/>
      <c r="UOL517" s="1358"/>
      <c r="UOM517" s="1358"/>
      <c r="UON517" s="1358"/>
      <c r="UOO517" s="1358"/>
      <c r="UOP517" s="1358"/>
      <c r="UOQ517" s="1358"/>
      <c r="UOR517" s="1358"/>
      <c r="UOS517" s="1358"/>
      <c r="UOT517" s="1358"/>
      <c r="UOU517" s="1358"/>
      <c r="UOV517" s="1358"/>
      <c r="UOW517" s="1358"/>
      <c r="UOX517" s="1358"/>
      <c r="UOY517" s="1358"/>
      <c r="UOZ517" s="1358"/>
      <c r="UPA517" s="1358"/>
      <c r="UPB517" s="1358"/>
      <c r="UPC517" s="1358"/>
      <c r="UPD517" s="1358"/>
      <c r="UPE517" s="1358"/>
      <c r="UPF517" s="1358"/>
      <c r="UPG517" s="1358"/>
      <c r="UPH517" s="1358"/>
      <c r="UPI517" s="1358"/>
      <c r="UPJ517" s="1358"/>
      <c r="UPK517" s="1358"/>
      <c r="UPL517" s="1358"/>
      <c r="UPM517" s="1358"/>
      <c r="UPN517" s="1358"/>
      <c r="UPO517" s="1358"/>
      <c r="UPP517" s="1358"/>
      <c r="UPQ517" s="1358"/>
      <c r="UPR517" s="1358"/>
      <c r="UPS517" s="1358"/>
      <c r="UPT517" s="1358"/>
      <c r="UPU517" s="1358"/>
      <c r="UPV517" s="1358"/>
      <c r="UPW517" s="1358"/>
      <c r="UPX517" s="1358"/>
      <c r="UPY517" s="1358"/>
      <c r="UPZ517" s="1358"/>
      <c r="UQA517" s="1358"/>
      <c r="UQB517" s="1358"/>
      <c r="UQC517" s="1358"/>
      <c r="UQD517" s="1358"/>
      <c r="UQE517" s="1358"/>
      <c r="UQF517" s="1358"/>
      <c r="UQG517" s="1358"/>
      <c r="UQH517" s="1358"/>
      <c r="UQI517" s="1358"/>
      <c r="UQJ517" s="1358"/>
      <c r="UQK517" s="1358"/>
      <c r="UQL517" s="1358"/>
      <c r="UQM517" s="1358"/>
      <c r="UQN517" s="1358"/>
      <c r="UQO517" s="1358"/>
      <c r="UQP517" s="1358"/>
      <c r="UQQ517" s="1358"/>
      <c r="UQR517" s="1358"/>
      <c r="UQS517" s="1358"/>
      <c r="UQT517" s="1358"/>
      <c r="UQU517" s="1358"/>
      <c r="UQV517" s="1358"/>
      <c r="UQW517" s="1358"/>
      <c r="UQX517" s="1358"/>
      <c r="UQY517" s="1358"/>
      <c r="UQZ517" s="1358"/>
      <c r="URA517" s="1358"/>
      <c r="URB517" s="1358"/>
      <c r="URC517" s="1358"/>
      <c r="URD517" s="1358"/>
      <c r="URE517" s="1358"/>
      <c r="URF517" s="1358"/>
      <c r="URG517" s="1358"/>
      <c r="URH517" s="1358"/>
      <c r="URI517" s="1358"/>
      <c r="URJ517" s="1358"/>
      <c r="URK517" s="1358"/>
      <c r="URL517" s="1358"/>
      <c r="URM517" s="1358"/>
      <c r="URN517" s="1358"/>
      <c r="URO517" s="1358"/>
      <c r="URP517" s="1358"/>
      <c r="URQ517" s="1358"/>
      <c r="URR517" s="1358"/>
      <c r="URS517" s="1358"/>
      <c r="URT517" s="1358"/>
      <c r="URU517" s="1358"/>
      <c r="URV517" s="1358"/>
      <c r="URW517" s="1358"/>
      <c r="URX517" s="1358"/>
      <c r="URY517" s="1358"/>
      <c r="URZ517" s="1358"/>
      <c r="USA517" s="1358"/>
      <c r="USB517" s="1358"/>
      <c r="USC517" s="1358"/>
      <c r="USD517" s="1358"/>
      <c r="USE517" s="1358"/>
      <c r="USF517" s="1358"/>
      <c r="USG517" s="1358"/>
      <c r="USH517" s="1358"/>
      <c r="USI517" s="1358"/>
      <c r="USJ517" s="1358"/>
      <c r="USK517" s="1358"/>
      <c r="USL517" s="1358"/>
      <c r="USM517" s="1358"/>
      <c r="USN517" s="1358"/>
      <c r="USO517" s="1358"/>
      <c r="USP517" s="1358"/>
      <c r="USQ517" s="1358"/>
      <c r="USR517" s="1358"/>
      <c r="USS517" s="1358"/>
      <c r="UST517" s="1358"/>
      <c r="USU517" s="1358"/>
      <c r="USV517" s="1358"/>
      <c r="USW517" s="1358"/>
      <c r="USX517" s="1358"/>
      <c r="USY517" s="1358"/>
      <c r="USZ517" s="1358"/>
      <c r="UTA517" s="1358"/>
      <c r="UTB517" s="1358"/>
      <c r="UTC517" s="1358"/>
      <c r="UTD517" s="1358"/>
      <c r="UTE517" s="1358"/>
      <c r="UTF517" s="1358"/>
      <c r="UTG517" s="1358"/>
      <c r="UTH517" s="1358"/>
      <c r="UTI517" s="1358"/>
      <c r="UTJ517" s="1358"/>
      <c r="UTK517" s="1358"/>
      <c r="UTL517" s="1358"/>
      <c r="UTM517" s="1358"/>
      <c r="UTN517" s="1358"/>
      <c r="UTO517" s="1358"/>
      <c r="UTP517" s="1358"/>
      <c r="UTQ517" s="1358"/>
      <c r="UTR517" s="1358"/>
      <c r="UTS517" s="1358"/>
      <c r="UTT517" s="1358"/>
      <c r="UTU517" s="1358"/>
      <c r="UTV517" s="1358"/>
      <c r="UTW517" s="1358"/>
      <c r="UTX517" s="1358"/>
      <c r="UTY517" s="1358"/>
      <c r="UTZ517" s="1358"/>
      <c r="UUA517" s="1358"/>
      <c r="UUB517" s="1358"/>
      <c r="UUC517" s="1358"/>
      <c r="UUD517" s="1358"/>
      <c r="UUE517" s="1358"/>
      <c r="UUF517" s="1358"/>
      <c r="UUG517" s="1358"/>
      <c r="UUH517" s="1358"/>
      <c r="UUI517" s="1358"/>
      <c r="UUJ517" s="1358"/>
      <c r="UUK517" s="1358"/>
      <c r="UUL517" s="1358"/>
      <c r="UUM517" s="1358"/>
      <c r="UUN517" s="1358"/>
      <c r="UUO517" s="1358"/>
      <c r="UUP517" s="1358"/>
      <c r="UUQ517" s="1358"/>
      <c r="UUR517" s="1358"/>
      <c r="UUS517" s="1358"/>
      <c r="UUT517" s="1358"/>
      <c r="UUU517" s="1358"/>
      <c r="UUV517" s="1358"/>
      <c r="UUW517" s="1358"/>
      <c r="UUX517" s="1358"/>
      <c r="UUY517" s="1358"/>
      <c r="UUZ517" s="1358"/>
      <c r="UVA517" s="1358"/>
      <c r="UVB517" s="1358"/>
      <c r="UVC517" s="1358"/>
      <c r="UVD517" s="1358"/>
      <c r="UVE517" s="1358"/>
      <c r="UVF517" s="1358"/>
      <c r="UVG517" s="1358"/>
      <c r="UVH517" s="1358"/>
      <c r="UVI517" s="1358"/>
      <c r="UVJ517" s="1358"/>
      <c r="UVK517" s="1358"/>
      <c r="UVL517" s="1358"/>
      <c r="UVM517" s="1358"/>
      <c r="UVN517" s="1358"/>
      <c r="UVO517" s="1358"/>
      <c r="UVP517" s="1358"/>
      <c r="UVQ517" s="1358"/>
      <c r="UVR517" s="1358"/>
      <c r="UVS517" s="1358"/>
      <c r="UVT517" s="1358"/>
      <c r="UVU517" s="1358"/>
      <c r="UVV517" s="1358"/>
      <c r="UVW517" s="1358"/>
      <c r="UVX517" s="1358"/>
      <c r="UVY517" s="1358"/>
      <c r="UVZ517" s="1358"/>
      <c r="UWA517" s="1358"/>
      <c r="UWB517" s="1358"/>
      <c r="UWC517" s="1358"/>
      <c r="UWD517" s="1358"/>
      <c r="UWE517" s="1358"/>
      <c r="UWF517" s="1358"/>
      <c r="UWG517" s="1358"/>
      <c r="UWH517" s="1358"/>
      <c r="UWI517" s="1358"/>
      <c r="UWJ517" s="1358"/>
      <c r="UWK517" s="1358"/>
      <c r="UWL517" s="1358"/>
      <c r="UWM517" s="1358"/>
      <c r="UWN517" s="1358"/>
      <c r="UWO517" s="1358"/>
      <c r="UWP517" s="1358"/>
      <c r="UWQ517" s="1358"/>
      <c r="UWR517" s="1358"/>
      <c r="UWS517" s="1358"/>
      <c r="UWT517" s="1358"/>
      <c r="UWU517" s="1358"/>
      <c r="UWV517" s="1358"/>
      <c r="UWW517" s="1358"/>
      <c r="UWX517" s="1358"/>
      <c r="UWY517" s="1358"/>
      <c r="UWZ517" s="1358"/>
      <c r="UXA517" s="1358"/>
      <c r="UXB517" s="1358"/>
      <c r="UXC517" s="1358"/>
      <c r="UXD517" s="1358"/>
      <c r="UXE517" s="1358"/>
      <c r="UXF517" s="1358"/>
      <c r="UXG517" s="1358"/>
      <c r="UXH517" s="1358"/>
      <c r="UXI517" s="1358"/>
      <c r="UXJ517" s="1358"/>
      <c r="UXK517" s="1358"/>
      <c r="UXL517" s="1358"/>
      <c r="UXM517" s="1358"/>
      <c r="UXN517" s="1358"/>
      <c r="UXO517" s="1358"/>
      <c r="UXP517" s="1358"/>
      <c r="UXQ517" s="1358"/>
      <c r="UXR517" s="1358"/>
      <c r="UXS517" s="1358"/>
      <c r="UXT517" s="1358"/>
      <c r="UXU517" s="1358"/>
      <c r="UXV517" s="1358"/>
      <c r="UXW517" s="1358"/>
      <c r="UXX517" s="1358"/>
      <c r="UXY517" s="1358"/>
      <c r="UXZ517" s="1358"/>
      <c r="UYA517" s="1358"/>
      <c r="UYB517" s="1358"/>
      <c r="UYC517" s="1358"/>
      <c r="UYD517" s="1358"/>
      <c r="UYE517" s="1358"/>
      <c r="UYF517" s="1358"/>
      <c r="UYG517" s="1358"/>
      <c r="UYH517" s="1358"/>
      <c r="UYI517" s="1358"/>
      <c r="UYJ517" s="1358"/>
      <c r="UYK517" s="1358"/>
      <c r="UYL517" s="1358"/>
      <c r="UYM517" s="1358"/>
      <c r="UYN517" s="1358"/>
      <c r="UYO517" s="1358"/>
      <c r="UYP517" s="1358"/>
      <c r="UYQ517" s="1358"/>
      <c r="UYR517" s="1358"/>
      <c r="UYS517" s="1358"/>
      <c r="UYT517" s="1358"/>
      <c r="UYU517" s="1358"/>
      <c r="UYV517" s="1358"/>
      <c r="UYW517" s="1358"/>
      <c r="UYX517" s="1358"/>
      <c r="UYY517" s="1358"/>
      <c r="UYZ517" s="1358"/>
      <c r="UZA517" s="1358"/>
      <c r="UZB517" s="1358"/>
      <c r="UZC517" s="1358"/>
      <c r="UZD517" s="1358"/>
      <c r="UZE517" s="1358"/>
      <c r="UZF517" s="1358"/>
      <c r="UZG517" s="1358"/>
      <c r="UZH517" s="1358"/>
      <c r="UZI517" s="1358"/>
      <c r="UZJ517" s="1358"/>
      <c r="UZK517" s="1358"/>
      <c r="UZL517" s="1358"/>
      <c r="UZM517" s="1358"/>
      <c r="UZN517" s="1358"/>
      <c r="UZO517" s="1358"/>
      <c r="UZP517" s="1358"/>
      <c r="UZQ517" s="1358"/>
      <c r="UZR517" s="1358"/>
      <c r="UZS517" s="1358"/>
      <c r="UZT517" s="1358"/>
      <c r="UZU517" s="1358"/>
      <c r="UZV517" s="1358"/>
      <c r="UZW517" s="1358"/>
      <c r="UZX517" s="1358"/>
      <c r="UZY517" s="1358"/>
      <c r="UZZ517" s="1358"/>
      <c r="VAA517" s="1358"/>
      <c r="VAB517" s="1358"/>
      <c r="VAC517" s="1358"/>
      <c r="VAD517" s="1358"/>
      <c r="VAE517" s="1358"/>
      <c r="VAF517" s="1358"/>
      <c r="VAG517" s="1358"/>
      <c r="VAH517" s="1358"/>
      <c r="VAI517" s="1358"/>
      <c r="VAJ517" s="1358"/>
      <c r="VAK517" s="1358"/>
      <c r="VAL517" s="1358"/>
      <c r="VAM517" s="1358"/>
      <c r="VAN517" s="1358"/>
      <c r="VAO517" s="1358"/>
      <c r="VAP517" s="1358"/>
      <c r="VAQ517" s="1358"/>
      <c r="VAR517" s="1358"/>
      <c r="VAS517" s="1358"/>
      <c r="VAT517" s="1358"/>
      <c r="VAU517" s="1358"/>
      <c r="VAV517" s="1358"/>
      <c r="VAW517" s="1358"/>
      <c r="VAX517" s="1358"/>
      <c r="VAY517" s="1358"/>
      <c r="VAZ517" s="1358"/>
      <c r="VBA517" s="1358"/>
      <c r="VBB517" s="1358"/>
      <c r="VBC517" s="1358"/>
      <c r="VBD517" s="1358"/>
      <c r="VBE517" s="1358"/>
      <c r="VBF517" s="1358"/>
      <c r="VBG517" s="1358"/>
      <c r="VBH517" s="1358"/>
      <c r="VBI517" s="1358"/>
      <c r="VBJ517" s="1358"/>
      <c r="VBK517" s="1358"/>
      <c r="VBL517" s="1358"/>
      <c r="VBM517" s="1358"/>
      <c r="VBN517" s="1358"/>
      <c r="VBO517" s="1358"/>
      <c r="VBP517" s="1358"/>
      <c r="VBQ517" s="1358"/>
      <c r="VBR517" s="1358"/>
      <c r="VBS517" s="1358"/>
      <c r="VBT517" s="1358"/>
      <c r="VBU517" s="1358"/>
      <c r="VBV517" s="1358"/>
      <c r="VBW517" s="1358"/>
      <c r="VBX517" s="1358"/>
      <c r="VBY517" s="1358"/>
      <c r="VBZ517" s="1358"/>
      <c r="VCA517" s="1358"/>
      <c r="VCB517" s="1358"/>
      <c r="VCC517" s="1358"/>
      <c r="VCD517" s="1358"/>
      <c r="VCE517" s="1358"/>
      <c r="VCF517" s="1358"/>
      <c r="VCG517" s="1358"/>
      <c r="VCH517" s="1358"/>
      <c r="VCI517" s="1358"/>
      <c r="VCJ517" s="1358"/>
      <c r="VCK517" s="1358"/>
      <c r="VCL517" s="1358"/>
      <c r="VCM517" s="1358"/>
      <c r="VCN517" s="1358"/>
      <c r="VCO517" s="1358"/>
      <c r="VCP517" s="1358"/>
      <c r="VCQ517" s="1358"/>
      <c r="VCR517" s="1358"/>
      <c r="VCS517" s="1358"/>
      <c r="VCT517" s="1358"/>
      <c r="VCU517" s="1358"/>
      <c r="VCV517" s="1358"/>
      <c r="VCW517" s="1358"/>
      <c r="VCX517" s="1358"/>
      <c r="VCY517" s="1358"/>
      <c r="VCZ517" s="1358"/>
      <c r="VDA517" s="1358"/>
      <c r="VDB517" s="1358"/>
      <c r="VDC517" s="1358"/>
      <c r="VDD517" s="1358"/>
      <c r="VDE517" s="1358"/>
      <c r="VDF517" s="1358"/>
      <c r="VDG517" s="1358"/>
      <c r="VDH517" s="1358"/>
      <c r="VDI517" s="1358"/>
      <c r="VDJ517" s="1358"/>
      <c r="VDK517" s="1358"/>
      <c r="VDL517" s="1358"/>
      <c r="VDM517" s="1358"/>
      <c r="VDN517" s="1358"/>
      <c r="VDO517" s="1358"/>
      <c r="VDP517" s="1358"/>
      <c r="VDQ517" s="1358"/>
      <c r="VDR517" s="1358"/>
      <c r="VDS517" s="1358"/>
      <c r="VDT517" s="1358"/>
      <c r="VDU517" s="1358"/>
      <c r="VDV517" s="1358"/>
      <c r="VDW517" s="1358"/>
      <c r="VDX517" s="1358"/>
      <c r="VDY517" s="1358"/>
      <c r="VDZ517" s="1358"/>
      <c r="VEA517" s="1358"/>
      <c r="VEB517" s="1358"/>
      <c r="VEC517" s="1358"/>
      <c r="VED517" s="1358"/>
      <c r="VEE517" s="1358"/>
      <c r="VEF517" s="1358"/>
      <c r="VEG517" s="1358"/>
      <c r="VEH517" s="1358"/>
      <c r="VEI517" s="1358"/>
      <c r="VEJ517" s="1358"/>
      <c r="VEK517" s="1358"/>
      <c r="VEL517" s="1358"/>
      <c r="VEM517" s="1358"/>
      <c r="VEN517" s="1358"/>
      <c r="VEO517" s="1358"/>
      <c r="VEP517" s="1358"/>
      <c r="VEQ517" s="1358"/>
      <c r="VER517" s="1358"/>
      <c r="VES517" s="1358"/>
      <c r="VET517" s="1358"/>
      <c r="VEU517" s="1358"/>
      <c r="VEV517" s="1358"/>
      <c r="VEW517" s="1358"/>
      <c r="VEX517" s="1358"/>
      <c r="VEY517" s="1358"/>
      <c r="VEZ517" s="1358"/>
      <c r="VFA517" s="1358"/>
      <c r="VFB517" s="1358"/>
      <c r="VFC517" s="1358"/>
      <c r="VFD517" s="1358"/>
      <c r="VFE517" s="1358"/>
      <c r="VFF517" s="1358"/>
      <c r="VFG517" s="1358"/>
      <c r="VFH517" s="1358"/>
      <c r="VFI517" s="1358"/>
      <c r="VFJ517" s="1358"/>
      <c r="VFK517" s="1358"/>
      <c r="VFL517" s="1358"/>
      <c r="VFM517" s="1358"/>
      <c r="VFN517" s="1358"/>
      <c r="VFO517" s="1358"/>
      <c r="VFP517" s="1358"/>
      <c r="VFQ517" s="1358"/>
      <c r="VFR517" s="1358"/>
      <c r="VFS517" s="1358"/>
      <c r="VFT517" s="1358"/>
      <c r="VFU517" s="1358"/>
      <c r="VFV517" s="1358"/>
      <c r="VFW517" s="1358"/>
      <c r="VFX517" s="1358"/>
      <c r="VFY517" s="1358"/>
      <c r="VFZ517" s="1358"/>
      <c r="VGA517" s="1358"/>
      <c r="VGB517" s="1358"/>
      <c r="VGC517" s="1358"/>
      <c r="VGD517" s="1358"/>
      <c r="VGE517" s="1358"/>
      <c r="VGF517" s="1358"/>
      <c r="VGG517" s="1358"/>
      <c r="VGH517" s="1358"/>
      <c r="VGI517" s="1358"/>
      <c r="VGJ517" s="1358"/>
      <c r="VGK517" s="1358"/>
      <c r="VGL517" s="1358"/>
      <c r="VGM517" s="1358"/>
      <c r="VGN517" s="1358"/>
      <c r="VGO517" s="1358"/>
      <c r="VGP517" s="1358"/>
      <c r="VGQ517" s="1358"/>
      <c r="VGR517" s="1358"/>
      <c r="VGS517" s="1358"/>
      <c r="VGT517" s="1358"/>
      <c r="VGU517" s="1358"/>
      <c r="VGV517" s="1358"/>
      <c r="VGW517" s="1358"/>
      <c r="VGX517" s="1358"/>
      <c r="VGY517" s="1358"/>
      <c r="VGZ517" s="1358"/>
      <c r="VHA517" s="1358"/>
      <c r="VHB517" s="1358"/>
      <c r="VHC517" s="1358"/>
      <c r="VHD517" s="1358"/>
      <c r="VHE517" s="1358"/>
      <c r="VHF517" s="1358"/>
      <c r="VHG517" s="1358"/>
      <c r="VHH517" s="1358"/>
      <c r="VHI517" s="1358"/>
      <c r="VHJ517" s="1358"/>
      <c r="VHK517" s="1358"/>
      <c r="VHL517" s="1358"/>
      <c r="VHM517" s="1358"/>
      <c r="VHN517" s="1358"/>
      <c r="VHO517" s="1358"/>
      <c r="VHP517" s="1358"/>
      <c r="VHQ517" s="1358"/>
      <c r="VHR517" s="1358"/>
      <c r="VHS517" s="1358"/>
      <c r="VHT517" s="1358"/>
      <c r="VHU517" s="1358"/>
      <c r="VHV517" s="1358"/>
      <c r="VHW517" s="1358"/>
      <c r="VHX517" s="1358"/>
      <c r="VHY517" s="1358"/>
      <c r="VHZ517" s="1358"/>
      <c r="VIA517" s="1358"/>
      <c r="VIB517" s="1358"/>
      <c r="VIC517" s="1358"/>
      <c r="VID517" s="1358"/>
      <c r="VIE517" s="1358"/>
      <c r="VIF517" s="1358"/>
      <c r="VIG517" s="1358"/>
      <c r="VIH517" s="1358"/>
      <c r="VII517" s="1358"/>
      <c r="VIJ517" s="1358"/>
      <c r="VIK517" s="1358"/>
      <c r="VIL517" s="1358"/>
      <c r="VIM517" s="1358"/>
      <c r="VIN517" s="1358"/>
      <c r="VIO517" s="1358"/>
      <c r="VIP517" s="1358"/>
      <c r="VIQ517" s="1358"/>
      <c r="VIR517" s="1358"/>
      <c r="VIS517" s="1358"/>
      <c r="VIT517" s="1358"/>
      <c r="VIU517" s="1358"/>
      <c r="VIV517" s="1358"/>
      <c r="VIW517" s="1358"/>
      <c r="VIX517" s="1358"/>
      <c r="VIY517" s="1358"/>
      <c r="VIZ517" s="1358"/>
      <c r="VJA517" s="1358"/>
      <c r="VJB517" s="1358"/>
      <c r="VJC517" s="1358"/>
      <c r="VJD517" s="1358"/>
      <c r="VJE517" s="1358"/>
      <c r="VJF517" s="1358"/>
      <c r="VJG517" s="1358"/>
      <c r="VJH517" s="1358"/>
      <c r="VJI517" s="1358"/>
      <c r="VJJ517" s="1358"/>
      <c r="VJK517" s="1358"/>
      <c r="VJL517" s="1358"/>
      <c r="VJM517" s="1358"/>
      <c r="VJN517" s="1358"/>
      <c r="VJO517" s="1358"/>
      <c r="VJP517" s="1358"/>
      <c r="VJQ517" s="1358"/>
      <c r="VJR517" s="1358"/>
      <c r="VJS517" s="1358"/>
      <c r="VJT517" s="1358"/>
      <c r="VJU517" s="1358"/>
      <c r="VJV517" s="1358"/>
      <c r="VJW517" s="1358"/>
      <c r="VJX517" s="1358"/>
      <c r="VJY517" s="1358"/>
      <c r="VJZ517" s="1358"/>
      <c r="VKA517" s="1358"/>
      <c r="VKB517" s="1358"/>
      <c r="VKC517" s="1358"/>
      <c r="VKD517" s="1358"/>
      <c r="VKE517" s="1358"/>
      <c r="VKF517" s="1358"/>
      <c r="VKG517" s="1358"/>
      <c r="VKH517" s="1358"/>
      <c r="VKI517" s="1358"/>
      <c r="VKJ517" s="1358"/>
      <c r="VKK517" s="1358"/>
      <c r="VKL517" s="1358"/>
      <c r="VKM517" s="1358"/>
      <c r="VKN517" s="1358"/>
      <c r="VKO517" s="1358"/>
      <c r="VKP517" s="1358"/>
      <c r="VKQ517" s="1358"/>
      <c r="VKR517" s="1358"/>
      <c r="VKS517" s="1358"/>
      <c r="VKT517" s="1358"/>
      <c r="VKU517" s="1358"/>
      <c r="VKV517" s="1358"/>
      <c r="VKW517" s="1358"/>
      <c r="VKX517" s="1358"/>
      <c r="VKY517" s="1358"/>
      <c r="VKZ517" s="1358"/>
      <c r="VLA517" s="1358"/>
      <c r="VLB517" s="1358"/>
      <c r="VLC517" s="1358"/>
      <c r="VLD517" s="1358"/>
      <c r="VLE517" s="1358"/>
      <c r="VLF517" s="1358"/>
      <c r="VLG517" s="1358"/>
      <c r="VLH517" s="1358"/>
      <c r="VLI517" s="1358"/>
      <c r="VLJ517" s="1358"/>
      <c r="VLK517" s="1358"/>
      <c r="VLL517" s="1358"/>
      <c r="VLM517" s="1358"/>
      <c r="VLN517" s="1358"/>
      <c r="VLO517" s="1358"/>
      <c r="VLP517" s="1358"/>
      <c r="VLQ517" s="1358"/>
      <c r="VLR517" s="1358"/>
      <c r="VLS517" s="1358"/>
      <c r="VLT517" s="1358"/>
      <c r="VLU517" s="1358"/>
      <c r="VLV517" s="1358"/>
      <c r="VLW517" s="1358"/>
      <c r="VLX517" s="1358"/>
      <c r="VLY517" s="1358"/>
      <c r="VLZ517" s="1358"/>
      <c r="VMA517" s="1358"/>
      <c r="VMB517" s="1358"/>
      <c r="VMC517" s="1358"/>
      <c r="VMD517" s="1358"/>
      <c r="VME517" s="1358"/>
      <c r="VMF517" s="1358"/>
      <c r="VMG517" s="1358"/>
      <c r="VMH517" s="1358"/>
      <c r="VMI517" s="1358"/>
      <c r="VMJ517" s="1358"/>
      <c r="VMK517" s="1358"/>
      <c r="VML517" s="1358"/>
      <c r="VMM517" s="1358"/>
      <c r="VMN517" s="1358"/>
      <c r="VMO517" s="1358"/>
      <c r="VMP517" s="1358"/>
      <c r="VMQ517" s="1358"/>
      <c r="VMR517" s="1358"/>
      <c r="VMS517" s="1358"/>
      <c r="VMT517" s="1358"/>
      <c r="VMU517" s="1358"/>
      <c r="VMV517" s="1358"/>
      <c r="VMW517" s="1358"/>
      <c r="VMX517" s="1358"/>
      <c r="VMY517" s="1358"/>
      <c r="VMZ517" s="1358"/>
      <c r="VNA517" s="1358"/>
      <c r="VNB517" s="1358"/>
      <c r="VNC517" s="1358"/>
      <c r="VND517" s="1358"/>
      <c r="VNE517" s="1358"/>
      <c r="VNF517" s="1358"/>
      <c r="VNG517" s="1358"/>
      <c r="VNH517" s="1358"/>
      <c r="VNI517" s="1358"/>
      <c r="VNJ517" s="1358"/>
      <c r="VNK517" s="1358"/>
      <c r="VNL517" s="1358"/>
      <c r="VNM517" s="1358"/>
      <c r="VNN517" s="1358"/>
      <c r="VNO517" s="1358"/>
      <c r="VNP517" s="1358"/>
      <c r="VNQ517" s="1358"/>
      <c r="VNR517" s="1358"/>
      <c r="VNS517" s="1358"/>
      <c r="VNT517" s="1358"/>
      <c r="VNU517" s="1358"/>
      <c r="VNV517" s="1358"/>
      <c r="VNW517" s="1358"/>
      <c r="VNX517" s="1358"/>
      <c r="VNY517" s="1358"/>
      <c r="VNZ517" s="1358"/>
      <c r="VOA517" s="1358"/>
      <c r="VOB517" s="1358"/>
      <c r="VOC517" s="1358"/>
      <c r="VOD517" s="1358"/>
      <c r="VOE517" s="1358"/>
      <c r="VOF517" s="1358"/>
      <c r="VOG517" s="1358"/>
      <c r="VOH517" s="1358"/>
      <c r="VOI517" s="1358"/>
      <c r="VOJ517" s="1358"/>
      <c r="VOK517" s="1358"/>
      <c r="VOL517" s="1358"/>
      <c r="VOM517" s="1358"/>
      <c r="VON517" s="1358"/>
      <c r="VOO517" s="1358"/>
      <c r="VOP517" s="1358"/>
      <c r="VOQ517" s="1358"/>
      <c r="VOR517" s="1358"/>
      <c r="VOS517" s="1358"/>
      <c r="VOT517" s="1358"/>
      <c r="VOU517" s="1358"/>
      <c r="VOV517" s="1358"/>
      <c r="VOW517" s="1358"/>
      <c r="VOX517" s="1358"/>
      <c r="VOY517" s="1358"/>
      <c r="VOZ517" s="1358"/>
      <c r="VPA517" s="1358"/>
      <c r="VPB517" s="1358"/>
      <c r="VPC517" s="1358"/>
      <c r="VPD517" s="1358"/>
      <c r="VPE517" s="1358"/>
      <c r="VPF517" s="1358"/>
      <c r="VPG517" s="1358"/>
      <c r="VPH517" s="1358"/>
      <c r="VPI517" s="1358"/>
      <c r="VPJ517" s="1358"/>
      <c r="VPK517" s="1358"/>
      <c r="VPL517" s="1358"/>
      <c r="VPM517" s="1358"/>
      <c r="VPN517" s="1358"/>
      <c r="VPO517" s="1358"/>
      <c r="VPP517" s="1358"/>
      <c r="VPQ517" s="1358"/>
      <c r="VPR517" s="1358"/>
      <c r="VPS517" s="1358"/>
      <c r="VPT517" s="1358"/>
      <c r="VPU517" s="1358"/>
      <c r="VPV517" s="1358"/>
      <c r="VPW517" s="1358"/>
      <c r="VPX517" s="1358"/>
      <c r="VPY517" s="1358"/>
      <c r="VPZ517" s="1358"/>
      <c r="VQA517" s="1358"/>
      <c r="VQB517" s="1358"/>
      <c r="VQC517" s="1358"/>
      <c r="VQD517" s="1358"/>
      <c r="VQE517" s="1358"/>
      <c r="VQF517" s="1358"/>
      <c r="VQG517" s="1358"/>
      <c r="VQH517" s="1358"/>
      <c r="VQI517" s="1358"/>
      <c r="VQJ517" s="1358"/>
      <c r="VQK517" s="1358"/>
      <c r="VQL517" s="1358"/>
      <c r="VQM517" s="1358"/>
      <c r="VQN517" s="1358"/>
      <c r="VQO517" s="1358"/>
      <c r="VQP517" s="1358"/>
      <c r="VQQ517" s="1358"/>
      <c r="VQR517" s="1358"/>
      <c r="VQS517" s="1358"/>
      <c r="VQT517" s="1358"/>
      <c r="VQU517" s="1358"/>
      <c r="VQV517" s="1358"/>
      <c r="VQW517" s="1358"/>
      <c r="VQX517" s="1358"/>
      <c r="VQY517" s="1358"/>
      <c r="VQZ517" s="1358"/>
      <c r="VRA517" s="1358"/>
      <c r="VRB517" s="1358"/>
      <c r="VRC517" s="1358"/>
      <c r="VRD517" s="1358"/>
      <c r="VRE517" s="1358"/>
      <c r="VRF517" s="1358"/>
      <c r="VRG517" s="1358"/>
      <c r="VRH517" s="1358"/>
      <c r="VRI517" s="1358"/>
      <c r="VRJ517" s="1358"/>
      <c r="VRK517" s="1358"/>
      <c r="VRL517" s="1358"/>
      <c r="VRM517" s="1358"/>
      <c r="VRN517" s="1358"/>
      <c r="VRO517" s="1358"/>
      <c r="VRP517" s="1358"/>
      <c r="VRQ517" s="1358"/>
      <c r="VRR517" s="1358"/>
      <c r="VRS517" s="1358"/>
      <c r="VRT517" s="1358"/>
      <c r="VRU517" s="1358"/>
      <c r="VRV517" s="1358"/>
      <c r="VRW517" s="1358"/>
      <c r="VRX517" s="1358"/>
      <c r="VRY517" s="1358"/>
      <c r="VRZ517" s="1358"/>
      <c r="VSA517" s="1358"/>
      <c r="VSB517" s="1358"/>
      <c r="VSC517" s="1358"/>
      <c r="VSD517" s="1358"/>
      <c r="VSE517" s="1358"/>
      <c r="VSF517" s="1358"/>
      <c r="VSG517" s="1358"/>
      <c r="VSH517" s="1358"/>
      <c r="VSI517" s="1358"/>
      <c r="VSJ517" s="1358"/>
      <c r="VSK517" s="1358"/>
      <c r="VSL517" s="1358"/>
      <c r="VSM517" s="1358"/>
      <c r="VSN517" s="1358"/>
      <c r="VSO517" s="1358"/>
      <c r="VSP517" s="1358"/>
      <c r="VSQ517" s="1358"/>
      <c r="VSR517" s="1358"/>
      <c r="VSS517" s="1358"/>
      <c r="VST517" s="1358"/>
      <c r="VSU517" s="1358"/>
      <c r="VSV517" s="1358"/>
      <c r="VSW517" s="1358"/>
      <c r="VSX517" s="1358"/>
      <c r="VSY517" s="1358"/>
      <c r="VSZ517" s="1358"/>
      <c r="VTA517" s="1358"/>
      <c r="VTB517" s="1358"/>
      <c r="VTC517" s="1358"/>
      <c r="VTD517" s="1358"/>
      <c r="VTE517" s="1358"/>
      <c r="VTF517" s="1358"/>
      <c r="VTG517" s="1358"/>
      <c r="VTH517" s="1358"/>
      <c r="VTI517" s="1358"/>
      <c r="VTJ517" s="1358"/>
      <c r="VTK517" s="1358"/>
      <c r="VTL517" s="1358"/>
      <c r="VTM517" s="1358"/>
      <c r="VTN517" s="1358"/>
      <c r="VTO517" s="1358"/>
      <c r="VTP517" s="1358"/>
      <c r="VTQ517" s="1358"/>
      <c r="VTR517" s="1358"/>
      <c r="VTS517" s="1358"/>
      <c r="VTT517" s="1358"/>
      <c r="VTU517" s="1358"/>
      <c r="VTV517" s="1358"/>
      <c r="VTW517" s="1358"/>
      <c r="VTX517" s="1358"/>
      <c r="VTY517" s="1358"/>
      <c r="VTZ517" s="1358"/>
      <c r="VUA517" s="1358"/>
      <c r="VUB517" s="1358"/>
      <c r="VUC517" s="1358"/>
      <c r="VUD517" s="1358"/>
      <c r="VUE517" s="1358"/>
      <c r="VUF517" s="1358"/>
      <c r="VUG517" s="1358"/>
      <c r="VUH517" s="1358"/>
      <c r="VUI517" s="1358"/>
      <c r="VUJ517" s="1358"/>
      <c r="VUK517" s="1358"/>
      <c r="VUL517" s="1358"/>
      <c r="VUM517" s="1358"/>
      <c r="VUN517" s="1358"/>
      <c r="VUO517" s="1358"/>
      <c r="VUP517" s="1358"/>
      <c r="VUQ517" s="1358"/>
      <c r="VUR517" s="1358"/>
      <c r="VUS517" s="1358"/>
      <c r="VUT517" s="1358"/>
      <c r="VUU517" s="1358"/>
      <c r="VUV517" s="1358"/>
      <c r="VUW517" s="1358"/>
      <c r="VUX517" s="1358"/>
      <c r="VUY517" s="1358"/>
      <c r="VUZ517" s="1358"/>
      <c r="VVA517" s="1358"/>
      <c r="VVB517" s="1358"/>
      <c r="VVC517" s="1358"/>
      <c r="VVD517" s="1358"/>
      <c r="VVE517" s="1358"/>
      <c r="VVF517" s="1358"/>
      <c r="VVG517" s="1358"/>
      <c r="VVH517" s="1358"/>
      <c r="VVI517" s="1358"/>
      <c r="VVJ517" s="1358"/>
      <c r="VVK517" s="1358"/>
      <c r="VVL517" s="1358"/>
      <c r="VVM517" s="1358"/>
      <c r="VVN517" s="1358"/>
      <c r="VVO517" s="1358"/>
      <c r="VVP517" s="1358"/>
      <c r="VVQ517" s="1358"/>
      <c r="VVR517" s="1358"/>
      <c r="VVS517" s="1358"/>
      <c r="VVT517" s="1358"/>
      <c r="VVU517" s="1358"/>
      <c r="VVV517" s="1358"/>
      <c r="VVW517" s="1358"/>
      <c r="VVX517" s="1358"/>
      <c r="VVY517" s="1358"/>
      <c r="VVZ517" s="1358"/>
      <c r="VWA517" s="1358"/>
      <c r="VWB517" s="1358"/>
      <c r="VWC517" s="1358"/>
      <c r="VWD517" s="1358"/>
      <c r="VWE517" s="1358"/>
      <c r="VWF517" s="1358"/>
      <c r="VWG517" s="1358"/>
      <c r="VWH517" s="1358"/>
      <c r="VWI517" s="1358"/>
      <c r="VWJ517" s="1358"/>
      <c r="VWK517" s="1358"/>
      <c r="VWL517" s="1358"/>
      <c r="VWM517" s="1358"/>
      <c r="VWN517" s="1358"/>
      <c r="VWO517" s="1358"/>
      <c r="VWP517" s="1358"/>
      <c r="VWQ517" s="1358"/>
      <c r="VWR517" s="1358"/>
      <c r="VWS517" s="1358"/>
      <c r="VWT517" s="1358"/>
      <c r="VWU517" s="1358"/>
      <c r="VWV517" s="1358"/>
      <c r="VWW517" s="1358"/>
      <c r="VWX517" s="1358"/>
      <c r="VWY517" s="1358"/>
      <c r="VWZ517" s="1358"/>
      <c r="VXA517" s="1358"/>
      <c r="VXB517" s="1358"/>
      <c r="VXC517" s="1358"/>
      <c r="VXD517" s="1358"/>
      <c r="VXE517" s="1358"/>
      <c r="VXF517" s="1358"/>
      <c r="VXG517" s="1358"/>
      <c r="VXH517" s="1358"/>
      <c r="VXI517" s="1358"/>
      <c r="VXJ517" s="1358"/>
      <c r="VXK517" s="1358"/>
      <c r="VXL517" s="1358"/>
      <c r="VXM517" s="1358"/>
      <c r="VXN517" s="1358"/>
      <c r="VXO517" s="1358"/>
      <c r="VXP517" s="1358"/>
      <c r="VXQ517" s="1358"/>
      <c r="VXR517" s="1358"/>
      <c r="VXS517" s="1358"/>
      <c r="VXT517" s="1358"/>
      <c r="VXU517" s="1358"/>
      <c r="VXV517" s="1358"/>
      <c r="VXW517" s="1358"/>
      <c r="VXX517" s="1358"/>
      <c r="VXY517" s="1358"/>
      <c r="VXZ517" s="1358"/>
      <c r="VYA517" s="1358"/>
      <c r="VYB517" s="1358"/>
      <c r="VYC517" s="1358"/>
      <c r="VYD517" s="1358"/>
      <c r="VYE517" s="1358"/>
      <c r="VYF517" s="1358"/>
      <c r="VYG517" s="1358"/>
      <c r="VYH517" s="1358"/>
      <c r="VYI517" s="1358"/>
      <c r="VYJ517" s="1358"/>
      <c r="VYK517" s="1358"/>
      <c r="VYL517" s="1358"/>
      <c r="VYM517" s="1358"/>
      <c r="VYN517" s="1358"/>
      <c r="VYO517" s="1358"/>
      <c r="VYP517" s="1358"/>
      <c r="VYQ517" s="1358"/>
      <c r="VYR517" s="1358"/>
      <c r="VYS517" s="1358"/>
      <c r="VYT517" s="1358"/>
      <c r="VYU517" s="1358"/>
      <c r="VYV517" s="1358"/>
      <c r="VYW517" s="1358"/>
      <c r="VYX517" s="1358"/>
      <c r="VYY517" s="1358"/>
      <c r="VYZ517" s="1358"/>
      <c r="VZA517" s="1358"/>
      <c r="VZB517" s="1358"/>
      <c r="VZC517" s="1358"/>
      <c r="VZD517" s="1358"/>
      <c r="VZE517" s="1358"/>
      <c r="VZF517" s="1358"/>
      <c r="VZG517" s="1358"/>
      <c r="VZH517" s="1358"/>
      <c r="VZI517" s="1358"/>
      <c r="VZJ517" s="1358"/>
      <c r="VZK517" s="1358"/>
      <c r="VZL517" s="1358"/>
      <c r="VZM517" s="1358"/>
      <c r="VZN517" s="1358"/>
      <c r="VZO517" s="1358"/>
      <c r="VZP517" s="1358"/>
      <c r="VZQ517" s="1358"/>
      <c r="VZR517" s="1358"/>
      <c r="VZS517" s="1358"/>
      <c r="VZT517" s="1358"/>
      <c r="VZU517" s="1358"/>
      <c r="VZV517" s="1358"/>
      <c r="VZW517" s="1358"/>
      <c r="VZX517" s="1358"/>
      <c r="VZY517" s="1358"/>
      <c r="VZZ517" s="1358"/>
      <c r="WAA517" s="1358"/>
      <c r="WAB517" s="1358"/>
      <c r="WAC517" s="1358"/>
      <c r="WAD517" s="1358"/>
      <c r="WAE517" s="1358"/>
      <c r="WAF517" s="1358"/>
      <c r="WAG517" s="1358"/>
      <c r="WAH517" s="1358"/>
      <c r="WAI517" s="1358"/>
      <c r="WAJ517" s="1358"/>
      <c r="WAK517" s="1358"/>
      <c r="WAL517" s="1358"/>
      <c r="WAM517" s="1358"/>
      <c r="WAN517" s="1358"/>
      <c r="WAO517" s="1358"/>
      <c r="WAP517" s="1358"/>
      <c r="WAQ517" s="1358"/>
      <c r="WAR517" s="1358"/>
      <c r="WAS517" s="1358"/>
      <c r="WAT517" s="1358"/>
      <c r="WAU517" s="1358"/>
      <c r="WAV517" s="1358"/>
      <c r="WAW517" s="1358"/>
      <c r="WAX517" s="1358"/>
      <c r="WAY517" s="1358"/>
      <c r="WAZ517" s="1358"/>
      <c r="WBA517" s="1358"/>
      <c r="WBB517" s="1358"/>
      <c r="WBC517" s="1358"/>
      <c r="WBD517" s="1358"/>
      <c r="WBE517" s="1358"/>
      <c r="WBF517" s="1358"/>
      <c r="WBG517" s="1358"/>
      <c r="WBH517" s="1358"/>
      <c r="WBI517" s="1358"/>
      <c r="WBJ517" s="1358"/>
      <c r="WBK517" s="1358"/>
      <c r="WBL517" s="1358"/>
      <c r="WBM517" s="1358"/>
      <c r="WBN517" s="1358"/>
      <c r="WBO517" s="1358"/>
      <c r="WBP517" s="1358"/>
      <c r="WBQ517" s="1358"/>
      <c r="WBR517" s="1358"/>
      <c r="WBS517" s="1358"/>
      <c r="WBT517" s="1358"/>
      <c r="WBU517" s="1358"/>
      <c r="WBV517" s="1358"/>
      <c r="WBW517" s="1358"/>
      <c r="WBX517" s="1358"/>
      <c r="WBY517" s="1358"/>
      <c r="WBZ517" s="1358"/>
      <c r="WCA517" s="1358"/>
      <c r="WCB517" s="1358"/>
      <c r="WCC517" s="1358"/>
      <c r="WCD517" s="1358"/>
      <c r="WCE517" s="1358"/>
      <c r="WCF517" s="1358"/>
      <c r="WCG517" s="1358"/>
      <c r="WCH517" s="1358"/>
      <c r="WCI517" s="1358"/>
      <c r="WCJ517" s="1358"/>
      <c r="WCK517" s="1358"/>
      <c r="WCL517" s="1358"/>
      <c r="WCM517" s="1358"/>
      <c r="WCN517" s="1358"/>
      <c r="WCO517" s="1358"/>
      <c r="WCP517" s="1358"/>
      <c r="WCQ517" s="1358"/>
      <c r="WCR517" s="1358"/>
      <c r="WCS517" s="1358"/>
      <c r="WCT517" s="1358"/>
      <c r="WCU517" s="1358"/>
      <c r="WCV517" s="1358"/>
      <c r="WCW517" s="1358"/>
      <c r="WCX517" s="1358"/>
      <c r="WCY517" s="1358"/>
      <c r="WCZ517" s="1358"/>
      <c r="WDA517" s="1358"/>
      <c r="WDB517" s="1358"/>
      <c r="WDC517" s="1358"/>
      <c r="WDD517" s="1358"/>
      <c r="WDE517" s="1358"/>
      <c r="WDF517" s="1358"/>
      <c r="WDG517" s="1358"/>
      <c r="WDH517" s="1358"/>
      <c r="WDI517" s="1358"/>
      <c r="WDJ517" s="1358"/>
      <c r="WDK517" s="1358"/>
      <c r="WDL517" s="1358"/>
      <c r="WDM517" s="1358"/>
      <c r="WDN517" s="1358"/>
      <c r="WDO517" s="1358"/>
      <c r="WDP517" s="1358"/>
      <c r="WDQ517" s="1358"/>
      <c r="WDR517" s="1358"/>
      <c r="WDS517" s="1358"/>
      <c r="WDT517" s="1358"/>
      <c r="WDU517" s="1358"/>
      <c r="WDV517" s="1358"/>
      <c r="WDW517" s="1358"/>
      <c r="WDX517" s="1358"/>
      <c r="WDY517" s="1358"/>
      <c r="WDZ517" s="1358"/>
      <c r="WEA517" s="1358"/>
      <c r="WEB517" s="1358"/>
      <c r="WEC517" s="1358"/>
      <c r="WED517" s="1358"/>
      <c r="WEE517" s="1358"/>
      <c r="WEF517" s="1358"/>
      <c r="WEG517" s="1358"/>
      <c r="WEH517" s="1358"/>
      <c r="WEI517" s="1358"/>
      <c r="WEJ517" s="1358"/>
      <c r="WEK517" s="1358"/>
      <c r="WEL517" s="1358"/>
      <c r="WEM517" s="1358"/>
      <c r="WEN517" s="1358"/>
      <c r="WEO517" s="1358"/>
      <c r="WEP517" s="1358"/>
      <c r="WEQ517" s="1358"/>
      <c r="WER517" s="1358"/>
      <c r="WES517" s="1358"/>
      <c r="WET517" s="1358"/>
      <c r="WEU517" s="1358"/>
      <c r="WEV517" s="1358"/>
      <c r="WEW517" s="1358"/>
      <c r="WEX517" s="1358"/>
      <c r="WEY517" s="1358"/>
      <c r="WEZ517" s="1358"/>
      <c r="WFA517" s="1358"/>
      <c r="WFB517" s="1358"/>
      <c r="WFC517" s="1358"/>
      <c r="WFD517" s="1358"/>
      <c r="WFE517" s="1358"/>
      <c r="WFF517" s="1358"/>
      <c r="WFG517" s="1358"/>
      <c r="WFH517" s="1358"/>
      <c r="WFI517" s="1358"/>
      <c r="WFJ517" s="1358"/>
      <c r="WFK517" s="1358"/>
      <c r="WFL517" s="1358"/>
      <c r="WFM517" s="1358"/>
      <c r="WFN517" s="1358"/>
      <c r="WFO517" s="1358"/>
      <c r="WFP517" s="1358"/>
      <c r="WFQ517" s="1358"/>
      <c r="WFR517" s="1358"/>
      <c r="WFS517" s="1358"/>
      <c r="WFT517" s="1358"/>
      <c r="WFU517" s="1358"/>
      <c r="WFV517" s="1358"/>
      <c r="WFW517" s="1358"/>
      <c r="WFX517" s="1358"/>
      <c r="WFY517" s="1358"/>
      <c r="WFZ517" s="1358"/>
      <c r="WGA517" s="1358"/>
      <c r="WGB517" s="1358"/>
      <c r="WGC517" s="1358"/>
      <c r="WGD517" s="1358"/>
      <c r="WGE517" s="1358"/>
      <c r="WGF517" s="1358"/>
      <c r="WGG517" s="1358"/>
      <c r="WGH517" s="1358"/>
      <c r="WGI517" s="1358"/>
      <c r="WGJ517" s="1358"/>
      <c r="WGK517" s="1358"/>
      <c r="WGL517" s="1358"/>
      <c r="WGM517" s="1358"/>
      <c r="WGN517" s="1358"/>
      <c r="WGO517" s="1358"/>
      <c r="WGP517" s="1358"/>
      <c r="WGQ517" s="1358"/>
      <c r="WGR517" s="1358"/>
      <c r="WGS517" s="1358"/>
      <c r="WGT517" s="1358"/>
      <c r="WGU517" s="1358"/>
      <c r="WGV517" s="1358"/>
      <c r="WGW517" s="1358"/>
      <c r="WGX517" s="1358"/>
      <c r="WGY517" s="1358"/>
      <c r="WGZ517" s="1358"/>
      <c r="WHA517" s="1358"/>
      <c r="WHB517" s="1358"/>
      <c r="WHC517" s="1358"/>
      <c r="WHD517" s="1358"/>
      <c r="WHE517" s="1358"/>
      <c r="WHF517" s="1358"/>
      <c r="WHG517" s="1358"/>
      <c r="WHH517" s="1358"/>
      <c r="WHI517" s="1358"/>
      <c r="WHJ517" s="1358"/>
      <c r="WHK517" s="1358"/>
      <c r="WHL517" s="1358"/>
      <c r="WHM517" s="1358"/>
      <c r="WHN517" s="1358"/>
      <c r="WHO517" s="1358"/>
      <c r="WHP517" s="1358"/>
      <c r="WHQ517" s="1358"/>
      <c r="WHR517" s="1358"/>
      <c r="WHS517" s="1358"/>
      <c r="WHT517" s="1358"/>
      <c r="WHU517" s="1358"/>
      <c r="WHV517" s="1358"/>
      <c r="WHW517" s="1358"/>
      <c r="WHX517" s="1358"/>
      <c r="WHY517" s="1358"/>
      <c r="WHZ517" s="1358"/>
      <c r="WIA517" s="1358"/>
      <c r="WIB517" s="1358"/>
      <c r="WIC517" s="1358"/>
      <c r="WID517" s="1358"/>
      <c r="WIE517" s="1358"/>
      <c r="WIF517" s="1358"/>
      <c r="WIG517" s="1358"/>
      <c r="WIH517" s="1358"/>
      <c r="WII517" s="1358"/>
      <c r="WIJ517" s="1358"/>
      <c r="WIK517" s="1358"/>
      <c r="WIL517" s="1358"/>
      <c r="WIM517" s="1358"/>
      <c r="WIN517" s="1358"/>
      <c r="WIO517" s="1358"/>
      <c r="WIP517" s="1358"/>
      <c r="WIQ517" s="1358"/>
      <c r="WIR517" s="1358"/>
      <c r="WIS517" s="1358"/>
      <c r="WIT517" s="1358"/>
      <c r="WIU517" s="1358"/>
      <c r="WIV517" s="1358"/>
      <c r="WIW517" s="1358"/>
      <c r="WIX517" s="1358"/>
      <c r="WIY517" s="1358"/>
      <c r="WIZ517" s="1358"/>
      <c r="WJA517" s="1358"/>
      <c r="WJB517" s="1358"/>
      <c r="WJC517" s="1358"/>
      <c r="WJD517" s="1358"/>
      <c r="WJE517" s="1358"/>
      <c r="WJF517" s="1358"/>
      <c r="WJG517" s="1358"/>
      <c r="WJH517" s="1358"/>
      <c r="WJI517" s="1358"/>
      <c r="WJJ517" s="1358"/>
      <c r="WJK517" s="1358"/>
      <c r="WJL517" s="1358"/>
      <c r="WJM517" s="1358"/>
      <c r="WJN517" s="1358"/>
      <c r="WJO517" s="1358"/>
      <c r="WJP517" s="1358"/>
      <c r="WJQ517" s="1358"/>
      <c r="WJR517" s="1358"/>
      <c r="WJS517" s="1358"/>
      <c r="WJT517" s="1358"/>
      <c r="WJU517" s="1358"/>
      <c r="WJV517" s="1358"/>
      <c r="WJW517" s="1358"/>
      <c r="WJX517" s="1358"/>
      <c r="WJY517" s="1358"/>
      <c r="WJZ517" s="1358"/>
      <c r="WKA517" s="1358"/>
      <c r="WKB517" s="1358"/>
      <c r="WKC517" s="1358"/>
      <c r="WKD517" s="1358"/>
      <c r="WKE517" s="1358"/>
      <c r="WKF517" s="1358"/>
      <c r="WKG517" s="1358"/>
      <c r="WKH517" s="1358"/>
      <c r="WKI517" s="1358"/>
      <c r="WKJ517" s="1358"/>
      <c r="WKK517" s="1358"/>
      <c r="WKL517" s="1358"/>
      <c r="WKM517" s="1358"/>
      <c r="WKN517" s="1358"/>
      <c r="WKO517" s="1358"/>
      <c r="WKP517" s="1358"/>
      <c r="WKQ517" s="1358"/>
      <c r="WKR517" s="1358"/>
      <c r="WKS517" s="1358"/>
      <c r="WKT517" s="1358"/>
      <c r="WKU517" s="1358"/>
      <c r="WKV517" s="1358"/>
      <c r="WKW517" s="1358"/>
      <c r="WKX517" s="1358"/>
      <c r="WKY517" s="1358"/>
      <c r="WKZ517" s="1358"/>
      <c r="WLA517" s="1358"/>
      <c r="WLB517" s="1358"/>
      <c r="WLC517" s="1358"/>
      <c r="WLD517" s="1358"/>
      <c r="WLE517" s="1358"/>
      <c r="WLF517" s="1358"/>
      <c r="WLG517" s="1358"/>
      <c r="WLH517" s="1358"/>
      <c r="WLI517" s="1358"/>
      <c r="WLJ517" s="1358"/>
      <c r="WLK517" s="1358"/>
      <c r="WLL517" s="1358"/>
      <c r="WLM517" s="1358"/>
      <c r="WLN517" s="1358"/>
      <c r="WLO517" s="1358"/>
      <c r="WLP517" s="1358"/>
      <c r="WLQ517" s="1358"/>
      <c r="WLR517" s="1358"/>
      <c r="WLS517" s="1358"/>
      <c r="WLT517" s="1358"/>
      <c r="WLU517" s="1358"/>
      <c r="WLV517" s="1358"/>
      <c r="WLW517" s="1358"/>
      <c r="WLX517" s="1358"/>
      <c r="WLY517" s="1358"/>
      <c r="WLZ517" s="1358"/>
      <c r="WMA517" s="1358"/>
      <c r="WMB517" s="1358"/>
      <c r="WMC517" s="1358"/>
      <c r="WMD517" s="1358"/>
      <c r="WME517" s="1358"/>
      <c r="WMF517" s="1358"/>
      <c r="WMG517" s="1358"/>
      <c r="WMH517" s="1358"/>
      <c r="WMI517" s="1358"/>
      <c r="WMJ517" s="1358"/>
      <c r="WMK517" s="1358"/>
      <c r="WML517" s="1358"/>
      <c r="WMM517" s="1358"/>
      <c r="WMN517" s="1358"/>
      <c r="WMO517" s="1358"/>
      <c r="WMP517" s="1358"/>
      <c r="WMQ517" s="1358"/>
      <c r="WMR517" s="1358"/>
      <c r="WMS517" s="1358"/>
      <c r="WMT517" s="1358"/>
      <c r="WMU517" s="1358"/>
      <c r="WMV517" s="1358"/>
      <c r="WMW517" s="1358"/>
      <c r="WMX517" s="1358"/>
      <c r="WMY517" s="1358"/>
      <c r="WMZ517" s="1358"/>
      <c r="WNA517" s="1358"/>
      <c r="WNB517" s="1358"/>
      <c r="WNC517" s="1358"/>
      <c r="WND517" s="1358"/>
      <c r="WNE517" s="1358"/>
      <c r="WNF517" s="1358"/>
      <c r="WNG517" s="1358"/>
      <c r="WNH517" s="1358"/>
      <c r="WNI517" s="1358"/>
      <c r="WNJ517" s="1358"/>
      <c r="WNK517" s="1358"/>
      <c r="WNL517" s="1358"/>
      <c r="WNM517" s="1358"/>
      <c r="WNN517" s="1358"/>
      <c r="WNO517" s="1358"/>
      <c r="WNP517" s="1358"/>
      <c r="WNQ517" s="1358"/>
      <c r="WNR517" s="1358"/>
      <c r="WNS517" s="1358"/>
      <c r="WNT517" s="1358"/>
      <c r="WNU517" s="1358"/>
      <c r="WNV517" s="1358"/>
      <c r="WNW517" s="1358"/>
      <c r="WNX517" s="1358"/>
      <c r="WNY517" s="1358"/>
      <c r="WNZ517" s="1358"/>
      <c r="WOA517" s="1358"/>
      <c r="WOB517" s="1358"/>
      <c r="WOC517" s="1358"/>
      <c r="WOD517" s="1358"/>
      <c r="WOE517" s="1358"/>
      <c r="WOF517" s="1358"/>
      <c r="WOG517" s="1358"/>
      <c r="WOH517" s="1358"/>
      <c r="WOI517" s="1358"/>
      <c r="WOJ517" s="1358"/>
      <c r="WOK517" s="1358"/>
      <c r="WOL517" s="1358"/>
      <c r="WOM517" s="1358"/>
      <c r="WON517" s="1358"/>
      <c r="WOO517" s="1358"/>
      <c r="WOP517" s="1358"/>
      <c r="WOQ517" s="1358"/>
      <c r="WOR517" s="1358"/>
      <c r="WOS517" s="1358"/>
      <c r="WOT517" s="1358"/>
      <c r="WOU517" s="1358"/>
      <c r="WOV517" s="1358"/>
      <c r="WOW517" s="1358"/>
      <c r="WOX517" s="1358"/>
      <c r="WOY517" s="1358"/>
      <c r="WOZ517" s="1358"/>
      <c r="WPA517" s="1358"/>
      <c r="WPB517" s="1358"/>
      <c r="WPC517" s="1358"/>
      <c r="WPD517" s="1358"/>
      <c r="WPE517" s="1358"/>
      <c r="WPF517" s="1358"/>
      <c r="WPG517" s="1358"/>
      <c r="WPH517" s="1358"/>
      <c r="WPI517" s="1358"/>
      <c r="WPJ517" s="1358"/>
      <c r="WPK517" s="1358"/>
      <c r="WPL517" s="1358"/>
      <c r="WPM517" s="1358"/>
      <c r="WPN517" s="1358"/>
      <c r="WPO517" s="1358"/>
      <c r="WPP517" s="1358"/>
      <c r="WPQ517" s="1358"/>
      <c r="WPR517" s="1358"/>
      <c r="WPS517" s="1358"/>
      <c r="WPT517" s="1358"/>
      <c r="WPU517" s="1358"/>
      <c r="WPV517" s="1358"/>
      <c r="WPW517" s="1358"/>
      <c r="WPX517" s="1358"/>
      <c r="WPY517" s="1358"/>
      <c r="WPZ517" s="1358"/>
      <c r="WQA517" s="1358"/>
      <c r="WQB517" s="1358"/>
      <c r="WQC517" s="1358"/>
      <c r="WQD517" s="1358"/>
      <c r="WQE517" s="1358"/>
      <c r="WQF517" s="1358"/>
      <c r="WQG517" s="1358"/>
      <c r="WQH517" s="1358"/>
      <c r="WQI517" s="1358"/>
      <c r="WQJ517" s="1358"/>
      <c r="WQK517" s="1358"/>
      <c r="WQL517" s="1358"/>
      <c r="WQM517" s="1358"/>
      <c r="WQN517" s="1358"/>
      <c r="WQO517" s="1358"/>
      <c r="WQP517" s="1358"/>
      <c r="WQQ517" s="1358"/>
      <c r="WQR517" s="1358"/>
      <c r="WQS517" s="1358"/>
      <c r="WQT517" s="1358"/>
      <c r="WQU517" s="1358"/>
      <c r="WQV517" s="1358"/>
      <c r="WQW517" s="1358"/>
      <c r="WQX517" s="1358"/>
      <c r="WQY517" s="1358"/>
      <c r="WQZ517" s="1358"/>
      <c r="WRA517" s="1358"/>
      <c r="WRB517" s="1358"/>
      <c r="WRC517" s="1358"/>
      <c r="WRD517" s="1358"/>
      <c r="WRE517" s="1358"/>
      <c r="WRF517" s="1358"/>
      <c r="WRG517" s="1358"/>
      <c r="WRH517" s="1358"/>
      <c r="WRI517" s="1358"/>
      <c r="WRJ517" s="1359"/>
      <c r="WRK517" s="1360"/>
      <c r="WRL517" s="1361"/>
      <c r="WRM517" s="1362"/>
      <c r="WRN517" s="1368"/>
      <c r="WRO517" s="1363"/>
      <c r="WRP517" s="1364"/>
      <c r="WRQ517" s="1365"/>
      <c r="WRR517" s="1364"/>
      <c r="WRS517" s="1366"/>
      <c r="WRT517" s="1367"/>
      <c r="WRU517" s="1363"/>
      <c r="WRV517" s="1363"/>
      <c r="WRW517" s="1363"/>
      <c r="WRX517" s="1358"/>
      <c r="WRY517" s="1358"/>
      <c r="WRZ517" s="1358"/>
      <c r="WSA517" s="1358"/>
      <c r="WSB517" s="1359"/>
      <c r="WSC517" s="1360"/>
      <c r="WSD517" s="1361"/>
      <c r="WSE517" s="1362"/>
      <c r="WSF517" s="1368"/>
      <c r="WSG517" s="1363"/>
      <c r="WSH517" s="1364"/>
      <c r="WSI517" s="1365"/>
      <c r="WSJ517" s="1364"/>
      <c r="WSK517" s="1366"/>
      <c r="WSL517" s="1367"/>
      <c r="WSM517" s="1363"/>
      <c r="WSN517" s="1363"/>
      <c r="WSO517" s="1363"/>
      <c r="WSP517" s="1358"/>
      <c r="WSQ517" s="1358"/>
      <c r="WSR517" s="1358"/>
      <c r="WSS517" s="1358"/>
      <c r="WST517" s="1359"/>
      <c r="WSU517" s="1360"/>
      <c r="WSV517" s="1361"/>
      <c r="WSW517" s="1362"/>
      <c r="WSX517" s="1368"/>
      <c r="WSY517" s="1363"/>
      <c r="WSZ517" s="1364"/>
      <c r="WTA517" s="1365"/>
      <c r="WTB517" s="1364"/>
      <c r="WTC517" s="1366"/>
      <c r="WTD517" s="1367"/>
      <c r="WTE517" s="1363"/>
      <c r="WTF517" s="1363"/>
      <c r="WTG517" s="1363"/>
      <c r="WTH517" s="1358"/>
      <c r="WTI517" s="1358"/>
      <c r="WTJ517" s="1358"/>
      <c r="WTK517" s="1358"/>
      <c r="WTL517" s="1359"/>
      <c r="WTM517" s="1360"/>
      <c r="WTN517" s="1361"/>
      <c r="WTO517" s="1362"/>
      <c r="WTP517" s="1368"/>
      <c r="WTQ517" s="1363"/>
      <c r="WTR517" s="1364"/>
      <c r="WTS517" s="1365"/>
      <c r="WTT517" s="1364"/>
      <c r="WTU517" s="1366"/>
      <c r="WTV517" s="1367"/>
      <c r="WTW517" s="1363"/>
      <c r="WTX517" s="1363"/>
      <c r="WTY517" s="1363"/>
      <c r="WTZ517" s="1358"/>
      <c r="WUA517" s="1358"/>
      <c r="WUB517" s="1358"/>
      <c r="WUC517" s="1358"/>
      <c r="WUD517" s="1359"/>
      <c r="WUE517" s="1360"/>
      <c r="WUF517" s="1361"/>
      <c r="WUG517" s="1362"/>
      <c r="WUH517" s="1368"/>
      <c r="WUI517" s="1363"/>
      <c r="WUJ517" s="1364"/>
      <c r="WUK517" s="1365"/>
      <c r="WUL517" s="1364"/>
      <c r="WUM517" s="1366"/>
      <c r="WUN517" s="1367"/>
      <c r="WUO517" s="1363"/>
      <c r="WUP517" s="1363"/>
      <c r="WUQ517" s="1363"/>
      <c r="WUR517" s="1358"/>
      <c r="WUS517" s="1358"/>
      <c r="WUT517" s="1358"/>
      <c r="WUU517" s="1358"/>
      <c r="WUV517" s="1359"/>
      <c r="WUW517" s="1360"/>
      <c r="WUX517" s="1361"/>
      <c r="WUY517" s="1362"/>
      <c r="WUZ517" s="1368"/>
      <c r="WVA517" s="1363"/>
      <c r="WVB517" s="1364"/>
      <c r="WVC517" s="1365"/>
      <c r="WVD517" s="1364"/>
      <c r="WVE517" s="1366"/>
      <c r="WVF517" s="1367"/>
      <c r="WVG517" s="1363"/>
      <c r="WVH517" s="1363"/>
      <c r="WVI517" s="1363"/>
      <c r="WVJ517" s="1358"/>
      <c r="WVK517" s="1358"/>
      <c r="WVL517" s="1358"/>
      <c r="WVM517" s="1358"/>
      <c r="WVN517" s="1359"/>
      <c r="WVO517" s="1360"/>
      <c r="WVP517" s="1361"/>
      <c r="WVQ517" s="1362"/>
      <c r="WVR517" s="1368"/>
      <c r="WVS517" s="1363"/>
      <c r="WVT517" s="1364"/>
      <c r="WVU517" s="1365"/>
      <c r="WVV517" s="1364"/>
      <c r="WVW517" s="1366"/>
      <c r="WVX517" s="1367"/>
      <c r="WVY517" s="1363"/>
      <c r="WVZ517" s="1363"/>
      <c r="WWA517" s="1363"/>
      <c r="WWB517" s="1358"/>
      <c r="WWC517" s="1358"/>
      <c r="WWD517" s="1358"/>
      <c r="WWE517" s="1358"/>
      <c r="WWF517" s="1359"/>
      <c r="WWG517" s="1360"/>
      <c r="WWH517" s="1361"/>
      <c r="WWI517" s="1362"/>
      <c r="WWJ517" s="1368"/>
      <c r="WWK517" s="1363"/>
      <c r="WWL517" s="1364"/>
      <c r="WWM517" s="1365"/>
      <c r="WWN517" s="1364"/>
      <c r="WWO517" s="1366"/>
      <c r="WWP517" s="1367"/>
      <c r="WWQ517" s="1363"/>
      <c r="WWR517" s="1363"/>
      <c r="WWS517" s="1363"/>
      <c r="WWT517" s="1358"/>
      <c r="WWU517" s="1358"/>
      <c r="WWV517" s="1358"/>
      <c r="WWW517" s="1358"/>
      <c r="WWX517" s="1359"/>
      <c r="WWY517" s="1360"/>
      <c r="WWZ517" s="1361"/>
      <c r="WXA517" s="1362"/>
      <c r="WXB517" s="1368"/>
      <c r="WXC517" s="1363"/>
      <c r="WXD517" s="1364"/>
      <c r="WXE517" s="1365"/>
      <c r="WXF517" s="1364"/>
      <c r="WXG517" s="1366"/>
      <c r="WXH517" s="1367"/>
      <c r="WXI517" s="1363"/>
      <c r="WXJ517" s="1363"/>
      <c r="WXK517" s="1363"/>
      <c r="WXL517" s="1358"/>
      <c r="WXM517" s="1358"/>
      <c r="WXN517" s="1358"/>
      <c r="WXO517" s="1358"/>
      <c r="WXP517" s="1359"/>
      <c r="WXQ517" s="1360"/>
      <c r="WXR517" s="1361"/>
      <c r="WXS517" s="1362"/>
      <c r="WXT517" s="1368"/>
      <c r="WXU517" s="1363"/>
      <c r="WXV517" s="1364"/>
      <c r="WXW517" s="1365"/>
      <c r="WXX517" s="1364"/>
      <c r="WXY517" s="1366"/>
      <c r="WXZ517" s="1367"/>
      <c r="WYA517" s="1363"/>
      <c r="WYB517" s="1363"/>
      <c r="WYC517" s="1363"/>
      <c r="WYD517" s="1358"/>
      <c r="WYE517" s="1358"/>
      <c r="WYF517" s="1358"/>
      <c r="WYG517" s="1358"/>
      <c r="WYH517" s="1359"/>
      <c r="WYI517" s="1360"/>
      <c r="WYJ517" s="1361"/>
      <c r="WYK517" s="1362"/>
      <c r="WYL517" s="1368"/>
      <c r="WYM517" s="1363"/>
      <c r="WYN517" s="1364"/>
      <c r="WYO517" s="1365"/>
      <c r="WYP517" s="1364"/>
      <c r="WYQ517" s="1366"/>
      <c r="WYR517" s="1367"/>
      <c r="WYS517" s="1363"/>
      <c r="WYT517" s="1363"/>
      <c r="WYU517" s="1363"/>
      <c r="WYV517" s="1358"/>
      <c r="WYW517" s="1358"/>
      <c r="WYX517" s="1358"/>
      <c r="WYY517" s="1358"/>
      <c r="WYZ517" s="1359"/>
      <c r="WZA517" s="1360"/>
      <c r="WZB517" s="1361"/>
      <c r="WZC517" s="1362"/>
      <c r="WZD517" s="1368"/>
      <c r="WZE517" s="1363"/>
      <c r="WZF517" s="1364"/>
      <c r="WZG517" s="1365"/>
      <c r="WZH517" s="1364"/>
      <c r="WZI517" s="1366"/>
      <c r="WZJ517" s="1367"/>
      <c r="WZK517" s="1363"/>
      <c r="WZL517" s="1363"/>
      <c r="WZM517" s="1363"/>
      <c r="WZN517" s="1358"/>
      <c r="WZO517" s="1358"/>
      <c r="WZP517" s="1358"/>
      <c r="WZQ517" s="1358"/>
      <c r="WZR517" s="1359"/>
      <c r="WZS517" s="1360"/>
      <c r="WZT517" s="1361"/>
      <c r="WZU517" s="1362"/>
      <c r="WZV517" s="1368"/>
      <c r="WZW517" s="1363"/>
      <c r="WZX517" s="1364"/>
      <c r="WZY517" s="1365"/>
      <c r="WZZ517" s="1364"/>
      <c r="XAA517" s="1366"/>
      <c r="XAB517" s="1367"/>
      <c r="XAC517" s="1363"/>
      <c r="XAD517" s="1363"/>
      <c r="XAE517" s="1363"/>
      <c r="XAF517" s="1358"/>
      <c r="XAG517" s="1358"/>
      <c r="XAH517" s="1358"/>
      <c r="XAI517" s="1358"/>
      <c r="XAJ517" s="1359"/>
      <c r="XAK517" s="1360"/>
      <c r="XAL517" s="1361"/>
      <c r="XAM517" s="1362"/>
      <c r="XAN517" s="1368"/>
      <c r="XAO517" s="1363"/>
      <c r="XAP517" s="1364"/>
      <c r="XAQ517" s="1365"/>
      <c r="XAR517" s="1364"/>
      <c r="XAS517" s="1366"/>
      <c r="XAT517" s="1367"/>
      <c r="XAU517" s="1363"/>
      <c r="XAV517" s="1363"/>
      <c r="XAW517" s="1363"/>
      <c r="XAX517" s="1358"/>
      <c r="XAY517" s="1358"/>
      <c r="XAZ517" s="1358"/>
      <c r="XBA517" s="1358"/>
      <c r="XBB517" s="1359"/>
      <c r="XBC517" s="1360"/>
      <c r="XBD517" s="1361"/>
      <c r="XBE517" s="1362"/>
      <c r="XBF517" s="1368"/>
      <c r="XBG517" s="1363"/>
      <c r="XBH517" s="1364"/>
      <c r="XBI517" s="1365"/>
      <c r="XBJ517" s="1364"/>
      <c r="XBK517" s="1366"/>
      <c r="XBL517" s="1367"/>
      <c r="XBM517" s="1363"/>
      <c r="XBN517" s="1363"/>
      <c r="XBO517" s="1363"/>
      <c r="XBP517" s="1358"/>
      <c r="XBQ517" s="1358"/>
      <c r="XBR517" s="1358"/>
      <c r="XBS517" s="1358"/>
      <c r="XBT517" s="1359"/>
      <c r="XBU517" s="1360"/>
      <c r="XBV517" s="1361"/>
      <c r="XBW517" s="1362"/>
      <c r="XBX517" s="1368"/>
      <c r="XBY517" s="1363"/>
      <c r="XBZ517" s="1364"/>
      <c r="XCA517" s="1365"/>
      <c r="XCB517" s="1364"/>
      <c r="XCC517" s="1366"/>
      <c r="XCD517" s="1367"/>
      <c r="XCE517" s="1363"/>
      <c r="XCF517" s="1363"/>
      <c r="XCG517" s="1363"/>
      <c r="XCH517" s="1358"/>
      <c r="XCI517" s="1358"/>
      <c r="XCJ517" s="1358"/>
      <c r="XCK517" s="1358"/>
      <c r="XCL517" s="1359"/>
      <c r="XCM517" s="1360"/>
      <c r="XCN517" s="1361"/>
      <c r="XCO517" s="1362"/>
      <c r="XCP517" s="1368"/>
      <c r="XCQ517" s="1363"/>
      <c r="XCR517" s="1364"/>
      <c r="XCS517" s="1365"/>
      <c r="XCT517" s="1364"/>
      <c r="XCU517" s="1366"/>
      <c r="XCV517" s="1367"/>
      <c r="XCW517" s="1363"/>
      <c r="XCX517" s="1363"/>
      <c r="XCY517" s="1363"/>
      <c r="XCZ517" s="1358"/>
      <c r="XDA517" s="1358"/>
      <c r="XDB517" s="1358"/>
      <c r="XDC517" s="1358"/>
      <c r="XDD517" s="1359"/>
      <c r="XDE517" s="1360"/>
      <c r="XDF517" s="1361"/>
      <c r="XDG517" s="1362"/>
      <c r="XDH517" s="1368"/>
      <c r="XDI517" s="1363"/>
      <c r="XDJ517" s="1364"/>
      <c r="XDK517" s="1365"/>
      <c r="XDL517" s="1364"/>
      <c r="XDM517" s="1366"/>
      <c r="XDN517" s="1367"/>
      <c r="XDO517" s="1363"/>
      <c r="XDP517" s="1363"/>
      <c r="XDQ517" s="1363"/>
      <c r="XDR517" s="1358"/>
      <c r="XDS517" s="1358"/>
      <c r="XDT517" s="1358"/>
      <c r="XDU517" s="1358"/>
      <c r="XDV517" s="1359"/>
      <c r="XDW517" s="1360"/>
      <c r="XDX517" s="1361"/>
      <c r="XDY517" s="1362"/>
      <c r="XDZ517" s="1368"/>
      <c r="XEA517" s="1363"/>
      <c r="XEB517" s="1364"/>
      <c r="XEC517" s="1365"/>
      <c r="XED517" s="1364"/>
      <c r="XEE517" s="1366"/>
      <c r="XEF517" s="1367"/>
      <c r="XEG517" s="1363"/>
      <c r="XEH517" s="1363"/>
      <c r="XEI517" s="1363"/>
      <c r="XEJ517" s="1358"/>
      <c r="XEK517" s="1358"/>
      <c r="XEL517" s="1358"/>
      <c r="XEM517" s="1358"/>
      <c r="XEN517" s="1359"/>
      <c r="XEO517" s="1360"/>
      <c r="XEP517" s="1361"/>
      <c r="XEQ517" s="1362"/>
      <c r="XER517" s="1368"/>
      <c r="XES517" s="1363"/>
      <c r="XET517" s="1364"/>
      <c r="XEU517" s="1365"/>
      <c r="XEV517" s="1364"/>
      <c r="XEW517" s="1366"/>
      <c r="XEX517" s="1367"/>
      <c r="XEY517" s="1363"/>
      <c r="XEZ517" s="1363"/>
      <c r="XFA517" s="1363"/>
    </row>
    <row r="518" spans="1:16381" s="1414" customFormat="1" ht="28.8" x14ac:dyDescent="0.3">
      <c r="A518" s="1358" t="s">
        <v>264</v>
      </c>
      <c r="B518" s="1359" t="s">
        <v>280</v>
      </c>
      <c r="C518" s="1360" t="s">
        <v>3854</v>
      </c>
      <c r="D518" s="1361" t="s">
        <v>34</v>
      </c>
      <c r="E518" s="1362" t="s">
        <v>282</v>
      </c>
      <c r="F518" s="1368" t="s">
        <v>285</v>
      </c>
      <c r="G518" s="1363">
        <v>1.01</v>
      </c>
      <c r="H518" s="1364">
        <v>25192.94</v>
      </c>
      <c r="I518" s="1365" t="s">
        <v>267</v>
      </c>
      <c r="J518" s="1364">
        <v>25192.94</v>
      </c>
      <c r="K518" s="1366">
        <v>0</v>
      </c>
      <c r="L518" s="1367">
        <v>0</v>
      </c>
      <c r="M518" s="1363" t="s">
        <v>73</v>
      </c>
      <c r="N518" s="1363" t="s">
        <v>609</v>
      </c>
      <c r="O518" s="1363" t="s">
        <v>3855</v>
      </c>
      <c r="P518" s="1358" t="s">
        <v>40</v>
      </c>
      <c r="Q518" s="1358"/>
      <c r="R518" s="1358" t="s">
        <v>64</v>
      </c>
      <c r="S518" s="1358"/>
      <c r="T518" s="1358"/>
      <c r="U518" s="1358"/>
      <c r="V518" s="1358" t="s">
        <v>40</v>
      </c>
      <c r="W518" s="1358"/>
      <c r="X518" s="1358" t="s">
        <v>40</v>
      </c>
      <c r="Y518" s="1358"/>
      <c r="Z518" s="1358" t="s">
        <v>64</v>
      </c>
      <c r="AA518" s="1358"/>
      <c r="AB518" s="1358" t="s">
        <v>40</v>
      </c>
      <c r="AC518" s="1358"/>
      <c r="AD518" s="1358"/>
      <c r="AE518" s="1598">
        <v>46203</v>
      </c>
      <c r="AF518" s="1358" t="s">
        <v>247</v>
      </c>
      <c r="AG518" s="1358">
        <v>2023</v>
      </c>
      <c r="AH518" s="1364">
        <v>124657.186414</v>
      </c>
      <c r="AI518" s="1564">
        <v>1590102054713</v>
      </c>
      <c r="AJ518" s="1358"/>
      <c r="AK518" s="1358" t="s">
        <v>43</v>
      </c>
      <c r="AL518" s="1358" t="s">
        <v>41</v>
      </c>
      <c r="AM518" s="1358">
        <v>0</v>
      </c>
      <c r="AN518" s="1358" t="s">
        <v>40</v>
      </c>
      <c r="AO518" s="1358"/>
      <c r="AP518" s="1358"/>
      <c r="AQ518" s="1358"/>
      <c r="AR518" s="1358"/>
      <c r="AS518" s="1358"/>
      <c r="AT518" s="1358"/>
      <c r="AU518" s="1358"/>
      <c r="AV518" s="1358"/>
      <c r="AW518" s="1358"/>
      <c r="AX518" s="1358"/>
      <c r="AY518" s="1358"/>
      <c r="AZ518" s="1358"/>
      <c r="BA518" s="1358"/>
      <c r="BB518" s="1358"/>
      <c r="BC518" s="1358"/>
      <c r="BD518" s="1358"/>
      <c r="BE518" s="1358"/>
      <c r="BF518" s="1358"/>
      <c r="BG518" s="1358"/>
      <c r="BH518" s="1358"/>
      <c r="BI518" s="1358"/>
      <c r="BJ518" s="1358"/>
      <c r="BK518" s="1358"/>
      <c r="BL518" s="1358"/>
      <c r="BM518" s="1358"/>
      <c r="BN518" s="1358"/>
      <c r="BO518" s="1358"/>
      <c r="BP518" s="1358"/>
      <c r="BQ518" s="1358"/>
      <c r="BR518" s="1358"/>
      <c r="BS518" s="1358"/>
      <c r="BT518" s="1358"/>
      <c r="BU518" s="1358"/>
      <c r="BV518" s="1358"/>
      <c r="BW518" s="1358"/>
      <c r="BX518" s="1358"/>
      <c r="BY518" s="1358"/>
      <c r="BZ518" s="1358"/>
      <c r="CA518" s="1358"/>
      <c r="CB518" s="1358"/>
      <c r="CC518" s="1358"/>
      <c r="CD518" s="1358"/>
      <c r="CE518" s="1358"/>
      <c r="CF518" s="1358"/>
      <c r="CG518" s="1358"/>
      <c r="CH518" s="1358"/>
      <c r="CI518" s="1358"/>
      <c r="CJ518" s="1358"/>
      <c r="CK518" s="1358"/>
      <c r="CL518" s="1358"/>
      <c r="CM518" s="1358"/>
      <c r="CN518" s="1358"/>
      <c r="CO518" s="1358"/>
      <c r="CP518" s="1358"/>
      <c r="CQ518" s="1358"/>
      <c r="CR518" s="1358"/>
      <c r="CS518" s="1358"/>
      <c r="CT518" s="1358"/>
      <c r="CU518" s="1358"/>
      <c r="CV518" s="1358"/>
      <c r="CW518" s="1358"/>
      <c r="CX518" s="1358"/>
      <c r="CY518" s="1358"/>
      <c r="CZ518" s="1358"/>
      <c r="DA518" s="1358"/>
      <c r="DB518" s="1358"/>
      <c r="DC518" s="1358"/>
      <c r="DD518" s="1358"/>
      <c r="DE518" s="1358"/>
      <c r="DF518" s="1358"/>
      <c r="DG518" s="1358"/>
      <c r="DH518" s="1358"/>
      <c r="DI518" s="1358"/>
      <c r="DJ518" s="1358"/>
      <c r="DK518" s="1358"/>
      <c r="DL518" s="1358"/>
      <c r="DM518" s="1358"/>
      <c r="DN518" s="1358"/>
      <c r="DO518" s="1358"/>
      <c r="DP518" s="1358"/>
      <c r="DQ518" s="1358"/>
      <c r="DR518" s="1358"/>
      <c r="DS518" s="1358"/>
      <c r="DT518" s="1358"/>
      <c r="DU518" s="1358"/>
      <c r="DV518" s="1358"/>
      <c r="DW518" s="1358"/>
      <c r="DX518" s="1358"/>
      <c r="DY518" s="1358"/>
      <c r="DZ518" s="1358"/>
      <c r="EA518" s="1358"/>
      <c r="EB518" s="1358"/>
      <c r="EC518" s="1358"/>
      <c r="ED518" s="1358"/>
      <c r="EE518" s="1358"/>
      <c r="EF518" s="1358"/>
      <c r="EG518" s="1358"/>
      <c r="EH518" s="1358"/>
      <c r="EI518" s="1358"/>
      <c r="EJ518" s="1358"/>
      <c r="EK518" s="1358"/>
      <c r="EL518" s="1358"/>
      <c r="EM518" s="1358"/>
      <c r="EN518" s="1358"/>
      <c r="EO518" s="1358"/>
      <c r="EP518" s="1358"/>
      <c r="EQ518" s="1358"/>
      <c r="ER518" s="1358"/>
      <c r="ES518" s="1358"/>
      <c r="ET518" s="1358"/>
      <c r="EU518" s="1358"/>
      <c r="EV518" s="1358"/>
      <c r="EW518" s="1358"/>
      <c r="EX518" s="1358"/>
      <c r="EY518" s="1358"/>
      <c r="EZ518" s="1358"/>
      <c r="FA518" s="1358"/>
      <c r="FB518" s="1358"/>
      <c r="FC518" s="1358"/>
      <c r="FD518" s="1358"/>
      <c r="FE518" s="1358"/>
      <c r="FF518" s="1358"/>
      <c r="FG518" s="1358"/>
      <c r="FH518" s="1358"/>
      <c r="FI518" s="1358"/>
      <c r="FJ518" s="1358"/>
      <c r="FK518" s="1358"/>
      <c r="FL518" s="1358"/>
      <c r="FM518" s="1358"/>
      <c r="FN518" s="1358"/>
      <c r="FO518" s="1358"/>
      <c r="FP518" s="1358"/>
      <c r="FQ518" s="1358"/>
      <c r="FR518" s="1358"/>
      <c r="FS518" s="1358"/>
      <c r="FT518" s="1358"/>
      <c r="FU518" s="1358"/>
      <c r="FV518" s="1358"/>
      <c r="FW518" s="1358"/>
      <c r="FX518" s="1358"/>
      <c r="FY518" s="1358"/>
      <c r="FZ518" s="1358"/>
      <c r="GA518" s="1358"/>
      <c r="GB518" s="1358"/>
      <c r="GC518" s="1358"/>
      <c r="GD518" s="1358"/>
      <c r="GE518" s="1358"/>
      <c r="GF518" s="1358"/>
      <c r="GG518" s="1358"/>
      <c r="GH518" s="1358"/>
      <c r="GI518" s="1358"/>
      <c r="GJ518" s="1358"/>
      <c r="GK518" s="1358"/>
      <c r="GL518" s="1358"/>
      <c r="GM518" s="1358"/>
      <c r="GN518" s="1358"/>
      <c r="GO518" s="1358"/>
      <c r="GP518" s="1358"/>
      <c r="GQ518" s="1358"/>
      <c r="GR518" s="1358"/>
      <c r="GS518" s="1358"/>
      <c r="GT518" s="1358"/>
      <c r="GU518" s="1358"/>
      <c r="GV518" s="1358"/>
      <c r="GW518" s="1358"/>
      <c r="GX518" s="1358"/>
      <c r="GY518" s="1358"/>
      <c r="GZ518" s="1358"/>
      <c r="HA518" s="1358"/>
      <c r="HB518" s="1358"/>
      <c r="HC518" s="1358"/>
      <c r="HD518" s="1358"/>
      <c r="HE518" s="1358"/>
      <c r="HF518" s="1358"/>
      <c r="HG518" s="1358"/>
      <c r="HH518" s="1358"/>
      <c r="HI518" s="1358"/>
      <c r="HJ518" s="1358"/>
      <c r="HK518" s="1358"/>
      <c r="HL518" s="1358"/>
      <c r="HM518" s="1358"/>
      <c r="HN518" s="1358"/>
      <c r="HO518" s="1358"/>
      <c r="HP518" s="1358"/>
      <c r="HQ518" s="1358"/>
      <c r="HR518" s="1358"/>
      <c r="HS518" s="1358"/>
      <c r="HT518" s="1358"/>
      <c r="HU518" s="1358"/>
      <c r="HV518" s="1358"/>
      <c r="HW518" s="1358"/>
      <c r="HX518" s="1358"/>
      <c r="HY518" s="1358"/>
      <c r="HZ518" s="1358"/>
      <c r="IA518" s="1358"/>
      <c r="IB518" s="1358"/>
      <c r="IC518" s="1358"/>
      <c r="ID518" s="1358"/>
      <c r="IE518" s="1358"/>
      <c r="IF518" s="1358"/>
      <c r="IG518" s="1358"/>
      <c r="IH518" s="1358"/>
      <c r="II518" s="1358"/>
      <c r="IJ518" s="1358"/>
      <c r="IK518" s="1358"/>
      <c r="IL518" s="1358"/>
      <c r="IM518" s="1358"/>
      <c r="IN518" s="1358"/>
      <c r="IO518" s="1358"/>
      <c r="IP518" s="1358"/>
      <c r="IQ518" s="1358"/>
      <c r="IR518" s="1358"/>
      <c r="IS518" s="1358"/>
      <c r="IT518" s="1358"/>
      <c r="IU518" s="1358"/>
      <c r="IV518" s="1358"/>
      <c r="IW518" s="1358"/>
      <c r="IX518" s="1358"/>
      <c r="IY518" s="1358"/>
      <c r="IZ518" s="1358"/>
      <c r="JA518" s="1358"/>
      <c r="JB518" s="1358"/>
      <c r="JC518" s="1358"/>
      <c r="JD518" s="1358"/>
      <c r="JE518" s="1358"/>
      <c r="JF518" s="1358"/>
      <c r="JG518" s="1358"/>
      <c r="JH518" s="1358"/>
      <c r="JI518" s="1358"/>
      <c r="JJ518" s="1358"/>
      <c r="JK518" s="1358"/>
      <c r="JL518" s="1358"/>
      <c r="JM518" s="1358"/>
      <c r="JN518" s="1358"/>
      <c r="JO518" s="1358"/>
      <c r="JP518" s="1358"/>
      <c r="JQ518" s="1358"/>
      <c r="JR518" s="1358"/>
      <c r="JS518" s="1358"/>
      <c r="JT518" s="1358"/>
      <c r="JU518" s="1358"/>
      <c r="JV518" s="1358"/>
      <c r="JW518" s="1358"/>
      <c r="JX518" s="1358"/>
      <c r="JY518" s="1358"/>
      <c r="JZ518" s="1358"/>
      <c r="KA518" s="1358"/>
      <c r="KB518" s="1358"/>
      <c r="KC518" s="1358"/>
      <c r="KD518" s="1358"/>
      <c r="KE518" s="1358"/>
      <c r="KF518" s="1358"/>
      <c r="KG518" s="1358"/>
      <c r="KH518" s="1358"/>
      <c r="KI518" s="1358"/>
      <c r="KJ518" s="1358"/>
      <c r="KK518" s="1358"/>
      <c r="KL518" s="1358"/>
      <c r="KM518" s="1358"/>
      <c r="KN518" s="1358"/>
      <c r="KO518" s="1358"/>
      <c r="KP518" s="1358"/>
      <c r="KQ518" s="1358"/>
      <c r="KR518" s="1358"/>
      <c r="KS518" s="1358"/>
      <c r="KT518" s="1358"/>
      <c r="KU518" s="1358"/>
      <c r="KV518" s="1358"/>
      <c r="KW518" s="1358"/>
      <c r="KX518" s="1358"/>
      <c r="KY518" s="1358"/>
      <c r="KZ518" s="1358"/>
      <c r="LA518" s="1358"/>
      <c r="LB518" s="1358"/>
      <c r="LC518" s="1358"/>
      <c r="LD518" s="1358"/>
      <c r="LE518" s="1358"/>
      <c r="LF518" s="1358"/>
      <c r="LG518" s="1358"/>
      <c r="LH518" s="1358"/>
      <c r="LI518" s="1358"/>
      <c r="LJ518" s="1358"/>
      <c r="LK518" s="1358"/>
      <c r="LL518" s="1358"/>
      <c r="LM518" s="1358"/>
      <c r="LN518" s="1358"/>
      <c r="LO518" s="1358"/>
      <c r="LP518" s="1358"/>
      <c r="LQ518" s="1358"/>
      <c r="LR518" s="1358"/>
      <c r="LS518" s="1358"/>
      <c r="LT518" s="1358"/>
      <c r="LU518" s="1358"/>
      <c r="LV518" s="1358"/>
      <c r="LW518" s="1358"/>
      <c r="LX518" s="1358"/>
      <c r="LY518" s="1358"/>
      <c r="LZ518" s="1358"/>
      <c r="MA518" s="1358"/>
      <c r="MB518" s="1358"/>
      <c r="MC518" s="1358"/>
      <c r="MD518" s="1358"/>
      <c r="ME518" s="1358"/>
      <c r="MF518" s="1358"/>
      <c r="MG518" s="1358"/>
      <c r="MH518" s="1358"/>
      <c r="MI518" s="1358"/>
      <c r="MJ518" s="1358"/>
      <c r="MK518" s="1358"/>
      <c r="ML518" s="1358"/>
      <c r="MM518" s="1358"/>
      <c r="MN518" s="1358"/>
      <c r="MO518" s="1358"/>
      <c r="MP518" s="1358"/>
      <c r="MQ518" s="1358"/>
      <c r="MR518" s="1358"/>
      <c r="MS518" s="1358"/>
      <c r="MT518" s="1358"/>
      <c r="MU518" s="1358"/>
      <c r="MV518" s="1358"/>
      <c r="MW518" s="1358"/>
      <c r="MX518" s="1358"/>
      <c r="MY518" s="1358"/>
      <c r="MZ518" s="1358"/>
      <c r="NA518" s="1358"/>
      <c r="NB518" s="1358"/>
      <c r="NC518" s="1358"/>
      <c r="ND518" s="1358"/>
      <c r="NE518" s="1358"/>
      <c r="NF518" s="1358"/>
      <c r="NG518" s="1358"/>
      <c r="NH518" s="1358"/>
      <c r="NI518" s="1358"/>
      <c r="NJ518" s="1358"/>
      <c r="NK518" s="1358"/>
      <c r="NL518" s="1358"/>
      <c r="NM518" s="1358"/>
      <c r="NN518" s="1358"/>
      <c r="NO518" s="1358"/>
      <c r="NP518" s="1358"/>
      <c r="NQ518" s="1358"/>
      <c r="NR518" s="1358"/>
      <c r="NS518" s="1358"/>
      <c r="NT518" s="1358"/>
      <c r="NU518" s="1358"/>
      <c r="NV518" s="1358"/>
      <c r="NW518" s="1358"/>
      <c r="NX518" s="1358"/>
      <c r="NY518" s="1358"/>
      <c r="NZ518" s="1358"/>
      <c r="OA518" s="1358"/>
      <c r="OB518" s="1358"/>
      <c r="OC518" s="1358"/>
      <c r="OD518" s="1358"/>
      <c r="OE518" s="1358"/>
      <c r="OF518" s="1358"/>
      <c r="OG518" s="1358"/>
      <c r="OH518" s="1358"/>
      <c r="OI518" s="1358"/>
      <c r="OJ518" s="1358"/>
      <c r="OK518" s="1358"/>
      <c r="OL518" s="1358"/>
      <c r="OM518" s="1358"/>
      <c r="ON518" s="1358"/>
      <c r="OO518" s="1358"/>
      <c r="OP518" s="1358"/>
      <c r="OQ518" s="1358"/>
      <c r="OR518" s="1358"/>
      <c r="OS518" s="1358"/>
      <c r="OT518" s="1358"/>
      <c r="OU518" s="1358"/>
      <c r="OV518" s="1358"/>
      <c r="OW518" s="1358"/>
      <c r="OX518" s="1358"/>
      <c r="OY518" s="1358"/>
      <c r="OZ518" s="1358"/>
      <c r="PA518" s="1358"/>
      <c r="PB518" s="1358"/>
      <c r="PC518" s="1358"/>
      <c r="PD518" s="1358"/>
      <c r="PE518" s="1358"/>
      <c r="PF518" s="1358"/>
      <c r="PG518" s="1358"/>
      <c r="PH518" s="1358"/>
      <c r="PI518" s="1358"/>
      <c r="PJ518" s="1358"/>
      <c r="PK518" s="1358"/>
      <c r="PL518" s="1358"/>
      <c r="PM518" s="1358"/>
      <c r="PN518" s="1358"/>
      <c r="PO518" s="1358"/>
      <c r="PP518" s="1358"/>
      <c r="PQ518" s="1358"/>
      <c r="PR518" s="1358"/>
      <c r="PS518" s="1358"/>
      <c r="PT518" s="1358"/>
      <c r="PU518" s="1358"/>
      <c r="PV518" s="1358"/>
      <c r="PW518" s="1358"/>
      <c r="PX518" s="1358"/>
      <c r="PY518" s="1358"/>
      <c r="PZ518" s="1358"/>
      <c r="QA518" s="1358"/>
      <c r="QB518" s="1358"/>
      <c r="QC518" s="1358"/>
      <c r="QD518" s="1358"/>
      <c r="QE518" s="1358"/>
      <c r="QF518" s="1358"/>
      <c r="QG518" s="1358"/>
      <c r="QH518" s="1358"/>
      <c r="QI518" s="1358"/>
      <c r="QJ518" s="1358"/>
      <c r="QK518" s="1358"/>
      <c r="QL518" s="1358"/>
      <c r="QM518" s="1358"/>
      <c r="QN518" s="1358"/>
      <c r="QO518" s="1358"/>
      <c r="QP518" s="1358"/>
      <c r="QQ518" s="1358"/>
      <c r="QR518" s="1358"/>
      <c r="QS518" s="1358"/>
      <c r="QT518" s="1358"/>
      <c r="QU518" s="1358"/>
      <c r="QV518" s="1358"/>
      <c r="QW518" s="1358"/>
      <c r="QX518" s="1358"/>
      <c r="QY518" s="1358"/>
      <c r="QZ518" s="1358"/>
      <c r="RA518" s="1358"/>
      <c r="RB518" s="1358"/>
      <c r="RC518" s="1358"/>
      <c r="RD518" s="1358"/>
      <c r="RE518" s="1358"/>
      <c r="RF518" s="1358"/>
      <c r="RG518" s="1358"/>
      <c r="RH518" s="1358"/>
      <c r="RI518" s="1358"/>
      <c r="RJ518" s="1358"/>
      <c r="RK518" s="1358"/>
      <c r="RL518" s="1358"/>
      <c r="RM518" s="1358"/>
      <c r="RN518" s="1358"/>
      <c r="RO518" s="1358"/>
      <c r="RP518" s="1358"/>
      <c r="RQ518" s="1358"/>
      <c r="RR518" s="1358"/>
      <c r="RS518" s="1358"/>
      <c r="RT518" s="1358"/>
      <c r="RU518" s="1358"/>
      <c r="RV518" s="1358"/>
      <c r="RW518" s="1358"/>
      <c r="RX518" s="1358"/>
      <c r="RY518" s="1358"/>
      <c r="RZ518" s="1358"/>
      <c r="SA518" s="1358"/>
      <c r="SB518" s="1358"/>
      <c r="SC518" s="1358"/>
      <c r="SD518" s="1358"/>
      <c r="SE518" s="1358"/>
      <c r="SF518" s="1358"/>
      <c r="SG518" s="1358"/>
      <c r="SH518" s="1358"/>
      <c r="SI518" s="1358"/>
      <c r="SJ518" s="1358"/>
      <c r="SK518" s="1358"/>
      <c r="SL518" s="1358"/>
      <c r="SM518" s="1358"/>
      <c r="SN518" s="1358"/>
      <c r="SO518" s="1358"/>
      <c r="SP518" s="1358"/>
      <c r="SQ518" s="1358"/>
      <c r="SR518" s="1358"/>
      <c r="SS518" s="1358"/>
      <c r="ST518" s="1358"/>
      <c r="SU518" s="1358"/>
      <c r="SV518" s="1358"/>
      <c r="SW518" s="1358"/>
      <c r="SX518" s="1358"/>
      <c r="SY518" s="1358"/>
      <c r="SZ518" s="1358"/>
      <c r="TA518" s="1358"/>
      <c r="TB518" s="1358"/>
      <c r="TC518" s="1358"/>
      <c r="TD518" s="1358"/>
      <c r="TE518" s="1358"/>
      <c r="TF518" s="1358"/>
      <c r="TG518" s="1358"/>
      <c r="TH518" s="1358"/>
      <c r="TI518" s="1358"/>
      <c r="TJ518" s="1358"/>
      <c r="TK518" s="1358"/>
      <c r="TL518" s="1358"/>
      <c r="TM518" s="1358"/>
      <c r="TN518" s="1358"/>
      <c r="TO518" s="1358"/>
      <c r="TP518" s="1358"/>
      <c r="TQ518" s="1358"/>
      <c r="TR518" s="1358"/>
      <c r="TS518" s="1358"/>
      <c r="TT518" s="1358"/>
      <c r="TU518" s="1358"/>
      <c r="TV518" s="1358"/>
      <c r="TW518" s="1358"/>
      <c r="TX518" s="1358"/>
      <c r="TY518" s="1358"/>
      <c r="TZ518" s="1358"/>
      <c r="UA518" s="1358"/>
      <c r="UB518" s="1358"/>
      <c r="UC518" s="1358"/>
      <c r="UD518" s="1358"/>
      <c r="UE518" s="1358"/>
      <c r="UF518" s="1358"/>
      <c r="UG518" s="1358"/>
      <c r="UH518" s="1358"/>
      <c r="UI518" s="1358"/>
      <c r="UJ518" s="1358"/>
      <c r="UK518" s="1358"/>
      <c r="UL518" s="1358"/>
      <c r="UM518" s="1358"/>
      <c r="UN518" s="1358"/>
      <c r="UO518" s="1358"/>
      <c r="UP518" s="1358"/>
      <c r="UQ518" s="1358"/>
      <c r="UR518" s="1358"/>
      <c r="US518" s="1358"/>
      <c r="UT518" s="1358"/>
      <c r="UU518" s="1358"/>
      <c r="UV518" s="1358"/>
      <c r="UW518" s="1358"/>
      <c r="UX518" s="1358"/>
      <c r="UY518" s="1358"/>
      <c r="UZ518" s="1358"/>
      <c r="VA518" s="1358"/>
      <c r="VB518" s="1358"/>
      <c r="VC518" s="1358"/>
      <c r="VD518" s="1358"/>
      <c r="VE518" s="1358"/>
      <c r="VF518" s="1358"/>
      <c r="VG518" s="1358"/>
      <c r="VH518" s="1358"/>
      <c r="VI518" s="1358"/>
      <c r="VJ518" s="1358"/>
      <c r="VK518" s="1358"/>
      <c r="VL518" s="1358"/>
      <c r="VM518" s="1358"/>
      <c r="VN518" s="1358"/>
      <c r="VO518" s="1358"/>
      <c r="VP518" s="1358"/>
      <c r="VQ518" s="1358"/>
      <c r="VR518" s="1358"/>
      <c r="VS518" s="1358"/>
      <c r="VT518" s="1358"/>
      <c r="VU518" s="1358"/>
      <c r="VV518" s="1358"/>
      <c r="VW518" s="1358"/>
      <c r="VX518" s="1358"/>
      <c r="VY518" s="1358"/>
      <c r="VZ518" s="1358"/>
      <c r="WA518" s="1358"/>
      <c r="WB518" s="1358"/>
      <c r="WC518" s="1358"/>
      <c r="WD518" s="1358"/>
      <c r="WE518" s="1358"/>
      <c r="WF518" s="1358"/>
      <c r="WG518" s="1358"/>
      <c r="WH518" s="1358"/>
      <c r="WI518" s="1358"/>
      <c r="WJ518" s="1358"/>
      <c r="WK518" s="1358"/>
      <c r="WL518" s="1358"/>
      <c r="WM518" s="1358"/>
      <c r="WN518" s="1358"/>
      <c r="WO518" s="1358"/>
      <c r="WP518" s="1358"/>
      <c r="WQ518" s="1358"/>
      <c r="WR518" s="1358"/>
      <c r="WS518" s="1358"/>
      <c r="WT518" s="1358"/>
      <c r="WU518" s="1358"/>
      <c r="WV518" s="1358"/>
      <c r="WW518" s="1358"/>
      <c r="WX518" s="1358"/>
      <c r="WY518" s="1358"/>
      <c r="WZ518" s="1358"/>
      <c r="XA518" s="1358"/>
      <c r="XB518" s="1358"/>
      <c r="XC518" s="1358"/>
      <c r="XD518" s="1358"/>
      <c r="XE518" s="1358"/>
      <c r="XF518" s="1358"/>
      <c r="XG518" s="1358"/>
      <c r="XH518" s="1358"/>
      <c r="XI518" s="1358"/>
      <c r="XJ518" s="1358"/>
      <c r="XK518" s="1358"/>
      <c r="XL518" s="1358"/>
      <c r="XM518" s="1358"/>
      <c r="XN518" s="1358"/>
      <c r="XO518" s="1358"/>
      <c r="XP518" s="1358"/>
      <c r="XQ518" s="1358"/>
      <c r="XR518" s="1358"/>
      <c r="XS518" s="1358"/>
      <c r="XT518" s="1358"/>
      <c r="XU518" s="1358"/>
      <c r="XV518" s="1358"/>
      <c r="XW518" s="1358"/>
      <c r="XX518" s="1358"/>
      <c r="XY518" s="1358"/>
      <c r="XZ518" s="1358"/>
      <c r="YA518" s="1358"/>
      <c r="YB518" s="1358"/>
      <c r="YC518" s="1358"/>
      <c r="YD518" s="1358"/>
      <c r="YE518" s="1358"/>
      <c r="YF518" s="1358"/>
      <c r="YG518" s="1358"/>
      <c r="YH518" s="1358"/>
      <c r="YI518" s="1358"/>
      <c r="YJ518" s="1358"/>
      <c r="YK518" s="1358"/>
      <c r="YL518" s="1358"/>
      <c r="YM518" s="1358"/>
      <c r="YN518" s="1358"/>
      <c r="YO518" s="1358"/>
      <c r="YP518" s="1358"/>
      <c r="YQ518" s="1358"/>
      <c r="YR518" s="1358"/>
      <c r="YS518" s="1358"/>
      <c r="YT518" s="1358"/>
      <c r="YU518" s="1358"/>
      <c r="YV518" s="1358"/>
      <c r="YW518" s="1358"/>
      <c r="YX518" s="1358"/>
      <c r="YY518" s="1358"/>
      <c r="YZ518" s="1358"/>
      <c r="ZA518" s="1358"/>
      <c r="ZB518" s="1358"/>
      <c r="ZC518" s="1358"/>
      <c r="ZD518" s="1358"/>
      <c r="ZE518" s="1358"/>
      <c r="ZF518" s="1358"/>
      <c r="ZG518" s="1358"/>
      <c r="ZH518" s="1358"/>
      <c r="ZI518" s="1358"/>
      <c r="ZJ518" s="1358"/>
      <c r="ZK518" s="1358"/>
      <c r="ZL518" s="1358"/>
      <c r="ZM518" s="1358"/>
      <c r="ZN518" s="1358"/>
      <c r="ZO518" s="1358"/>
      <c r="ZP518" s="1358"/>
      <c r="ZQ518" s="1358"/>
      <c r="ZR518" s="1358"/>
      <c r="ZS518" s="1358"/>
      <c r="ZT518" s="1358"/>
      <c r="ZU518" s="1358"/>
      <c r="ZV518" s="1358"/>
      <c r="ZW518" s="1358"/>
      <c r="ZX518" s="1358"/>
      <c r="ZY518" s="1358"/>
      <c r="ZZ518" s="1358"/>
      <c r="AAA518" s="1358"/>
      <c r="AAB518" s="1358"/>
      <c r="AAC518" s="1358"/>
      <c r="AAD518" s="1358"/>
      <c r="AAE518" s="1358"/>
      <c r="AAF518" s="1358"/>
      <c r="AAG518" s="1358"/>
      <c r="AAH518" s="1358"/>
      <c r="AAI518" s="1358"/>
      <c r="AAJ518" s="1358"/>
      <c r="AAK518" s="1358"/>
      <c r="AAL518" s="1358"/>
      <c r="AAM518" s="1358"/>
      <c r="AAN518" s="1358"/>
      <c r="AAO518" s="1358"/>
      <c r="AAP518" s="1358"/>
      <c r="AAQ518" s="1358"/>
      <c r="AAR518" s="1358"/>
      <c r="AAS518" s="1358"/>
      <c r="AAT518" s="1358"/>
      <c r="AAU518" s="1358"/>
      <c r="AAV518" s="1358"/>
      <c r="AAW518" s="1358"/>
      <c r="AAX518" s="1358"/>
      <c r="AAY518" s="1358"/>
      <c r="AAZ518" s="1358"/>
      <c r="ABA518" s="1358"/>
      <c r="ABB518" s="1358"/>
      <c r="ABC518" s="1358"/>
      <c r="ABD518" s="1358"/>
      <c r="ABE518" s="1358"/>
      <c r="ABF518" s="1358"/>
      <c r="ABG518" s="1358"/>
      <c r="ABH518" s="1358"/>
      <c r="ABI518" s="1358"/>
      <c r="ABJ518" s="1358"/>
      <c r="ABK518" s="1358"/>
      <c r="ABL518" s="1358"/>
      <c r="ABM518" s="1358"/>
      <c r="ABN518" s="1358"/>
      <c r="ABO518" s="1358"/>
      <c r="ABP518" s="1358"/>
      <c r="ABQ518" s="1358"/>
      <c r="ABR518" s="1358"/>
      <c r="ABS518" s="1358"/>
      <c r="ABT518" s="1358"/>
      <c r="ABU518" s="1358"/>
      <c r="ABV518" s="1358"/>
      <c r="ABW518" s="1358"/>
      <c r="ABX518" s="1358"/>
      <c r="ABY518" s="1358"/>
      <c r="ABZ518" s="1358"/>
      <c r="ACA518" s="1358"/>
      <c r="ACB518" s="1358"/>
      <c r="ACC518" s="1358"/>
      <c r="ACD518" s="1358"/>
      <c r="ACE518" s="1358"/>
      <c r="ACF518" s="1358"/>
      <c r="ACG518" s="1358"/>
      <c r="ACH518" s="1358"/>
      <c r="ACI518" s="1358"/>
      <c r="ACJ518" s="1358"/>
      <c r="ACK518" s="1358"/>
      <c r="ACL518" s="1358"/>
      <c r="ACM518" s="1358"/>
      <c r="ACN518" s="1358"/>
      <c r="ACO518" s="1358"/>
      <c r="ACP518" s="1358"/>
      <c r="ACQ518" s="1358"/>
      <c r="ACR518" s="1358"/>
      <c r="ACS518" s="1358"/>
      <c r="ACT518" s="1358"/>
      <c r="ACU518" s="1358"/>
      <c r="ACV518" s="1358"/>
      <c r="ACW518" s="1358"/>
      <c r="ACX518" s="1358"/>
      <c r="ACY518" s="1358"/>
      <c r="ACZ518" s="1358"/>
      <c r="ADA518" s="1358"/>
      <c r="ADB518" s="1358"/>
      <c r="ADC518" s="1358"/>
      <c r="ADD518" s="1358"/>
      <c r="ADE518" s="1358"/>
      <c r="ADF518" s="1358"/>
      <c r="ADG518" s="1358"/>
      <c r="ADH518" s="1358"/>
      <c r="ADI518" s="1358"/>
      <c r="ADJ518" s="1358"/>
      <c r="ADK518" s="1358"/>
      <c r="ADL518" s="1358"/>
      <c r="ADM518" s="1358"/>
      <c r="ADN518" s="1358"/>
      <c r="ADO518" s="1358"/>
      <c r="ADP518" s="1358"/>
      <c r="ADQ518" s="1358"/>
      <c r="ADR518" s="1358"/>
      <c r="ADS518" s="1358"/>
      <c r="ADT518" s="1358"/>
      <c r="ADU518" s="1358"/>
      <c r="ADV518" s="1358"/>
      <c r="ADW518" s="1358"/>
      <c r="ADX518" s="1358"/>
      <c r="ADY518" s="1358"/>
      <c r="ADZ518" s="1358"/>
      <c r="AEA518" s="1358"/>
      <c r="AEB518" s="1358"/>
      <c r="AEC518" s="1358"/>
      <c r="AED518" s="1358"/>
      <c r="AEE518" s="1358"/>
      <c r="AEF518" s="1358"/>
      <c r="AEG518" s="1358"/>
      <c r="AEH518" s="1358"/>
      <c r="AEI518" s="1358"/>
      <c r="AEJ518" s="1358"/>
      <c r="AEK518" s="1358"/>
      <c r="AEL518" s="1358"/>
      <c r="AEM518" s="1358"/>
      <c r="AEN518" s="1358"/>
      <c r="AEO518" s="1358"/>
      <c r="AEP518" s="1358"/>
      <c r="AEQ518" s="1358"/>
      <c r="AER518" s="1358"/>
      <c r="AES518" s="1358"/>
      <c r="AET518" s="1358"/>
      <c r="AEU518" s="1358"/>
      <c r="AEV518" s="1358"/>
      <c r="AEW518" s="1358"/>
      <c r="AEX518" s="1358"/>
      <c r="AEY518" s="1358"/>
      <c r="AEZ518" s="1358"/>
      <c r="AFA518" s="1358"/>
      <c r="AFB518" s="1358"/>
      <c r="AFC518" s="1358"/>
      <c r="AFD518" s="1358"/>
      <c r="AFE518" s="1358"/>
      <c r="AFF518" s="1358"/>
      <c r="AFG518" s="1358"/>
      <c r="AFH518" s="1358"/>
      <c r="AFI518" s="1358"/>
      <c r="AFJ518" s="1358"/>
      <c r="AFK518" s="1358"/>
      <c r="AFL518" s="1358"/>
      <c r="AFM518" s="1358"/>
      <c r="AFN518" s="1358"/>
      <c r="AFO518" s="1358"/>
      <c r="AFP518" s="1358"/>
      <c r="AFQ518" s="1358"/>
      <c r="AFR518" s="1358"/>
      <c r="AFS518" s="1358"/>
      <c r="AFT518" s="1358"/>
      <c r="AFU518" s="1358"/>
      <c r="AFV518" s="1358"/>
      <c r="AFW518" s="1358"/>
      <c r="AFX518" s="1358"/>
      <c r="AFY518" s="1358"/>
      <c r="AFZ518" s="1358"/>
      <c r="AGA518" s="1358"/>
      <c r="AGB518" s="1358"/>
      <c r="AGC518" s="1358"/>
      <c r="AGD518" s="1358"/>
      <c r="AGE518" s="1358"/>
      <c r="AGF518" s="1358"/>
      <c r="AGG518" s="1358"/>
      <c r="AGH518" s="1358"/>
      <c r="AGI518" s="1358"/>
      <c r="AGJ518" s="1358"/>
      <c r="AGK518" s="1358"/>
      <c r="AGL518" s="1358"/>
      <c r="AGM518" s="1358"/>
      <c r="AGN518" s="1358"/>
      <c r="AGO518" s="1358"/>
      <c r="AGP518" s="1358"/>
      <c r="AGQ518" s="1358"/>
      <c r="AGR518" s="1358"/>
      <c r="AGS518" s="1358"/>
      <c r="AGT518" s="1358"/>
      <c r="AGU518" s="1358"/>
      <c r="AGV518" s="1358"/>
      <c r="AGW518" s="1358"/>
      <c r="AGX518" s="1358"/>
      <c r="AGY518" s="1358"/>
      <c r="AGZ518" s="1358"/>
      <c r="AHA518" s="1358"/>
      <c r="AHB518" s="1358"/>
      <c r="AHC518" s="1358"/>
      <c r="AHD518" s="1358"/>
      <c r="AHE518" s="1358"/>
      <c r="AHF518" s="1358"/>
      <c r="AHG518" s="1358"/>
      <c r="AHH518" s="1358"/>
      <c r="AHI518" s="1358"/>
      <c r="AHJ518" s="1358"/>
      <c r="AHK518" s="1358"/>
      <c r="AHL518" s="1358"/>
      <c r="AHM518" s="1358"/>
      <c r="AHN518" s="1358"/>
      <c r="AHO518" s="1358"/>
      <c r="AHP518" s="1358"/>
      <c r="AHQ518" s="1358"/>
      <c r="AHR518" s="1358"/>
      <c r="AHS518" s="1358"/>
      <c r="AHT518" s="1358"/>
      <c r="AHU518" s="1358"/>
      <c r="AHV518" s="1358"/>
      <c r="AHW518" s="1358"/>
      <c r="AHX518" s="1358"/>
      <c r="AHY518" s="1358"/>
      <c r="AHZ518" s="1358"/>
      <c r="AIA518" s="1358"/>
      <c r="AIB518" s="1358"/>
      <c r="AIC518" s="1358"/>
      <c r="AID518" s="1358"/>
      <c r="AIE518" s="1358"/>
      <c r="AIF518" s="1358"/>
      <c r="AIG518" s="1358"/>
      <c r="AIH518" s="1358"/>
      <c r="AII518" s="1358"/>
      <c r="AIJ518" s="1358"/>
      <c r="AIK518" s="1358"/>
      <c r="AIL518" s="1358"/>
      <c r="AIM518" s="1358"/>
      <c r="AIN518" s="1358"/>
      <c r="AIO518" s="1358"/>
      <c r="AIP518" s="1358"/>
      <c r="AIQ518" s="1358"/>
      <c r="AIR518" s="1358"/>
      <c r="AIS518" s="1358"/>
      <c r="AIT518" s="1358"/>
      <c r="AIU518" s="1358"/>
      <c r="AIV518" s="1358"/>
      <c r="AIW518" s="1358"/>
      <c r="AIX518" s="1358"/>
      <c r="AIY518" s="1358"/>
      <c r="AIZ518" s="1358"/>
      <c r="AJA518" s="1358"/>
      <c r="AJB518" s="1358"/>
      <c r="AJC518" s="1358"/>
      <c r="AJD518" s="1358"/>
      <c r="AJE518" s="1358"/>
      <c r="AJF518" s="1358"/>
      <c r="AJG518" s="1358"/>
      <c r="AJH518" s="1358"/>
      <c r="AJI518" s="1358"/>
      <c r="AJJ518" s="1358"/>
      <c r="AJK518" s="1358"/>
      <c r="AJL518" s="1358"/>
      <c r="AJM518" s="1358"/>
      <c r="AJN518" s="1358"/>
      <c r="AJO518" s="1358"/>
      <c r="AJP518" s="1358"/>
      <c r="AJQ518" s="1358"/>
      <c r="AJR518" s="1358"/>
      <c r="AJS518" s="1358"/>
      <c r="AJT518" s="1358"/>
      <c r="AJU518" s="1358"/>
      <c r="AJV518" s="1358"/>
      <c r="AJW518" s="1358"/>
      <c r="AJX518" s="1358"/>
      <c r="AJY518" s="1358"/>
      <c r="AJZ518" s="1358"/>
      <c r="AKA518" s="1358"/>
      <c r="AKB518" s="1358"/>
      <c r="AKC518" s="1358"/>
      <c r="AKD518" s="1358"/>
      <c r="AKE518" s="1358"/>
      <c r="AKF518" s="1358"/>
      <c r="AKG518" s="1358"/>
      <c r="AKH518" s="1358"/>
      <c r="AKI518" s="1358"/>
      <c r="AKJ518" s="1358"/>
      <c r="AKK518" s="1358"/>
      <c r="AKL518" s="1358"/>
      <c r="AKM518" s="1358"/>
      <c r="AKN518" s="1358"/>
      <c r="AKO518" s="1358"/>
      <c r="AKP518" s="1358"/>
      <c r="AKQ518" s="1358"/>
      <c r="AKR518" s="1358"/>
      <c r="AKS518" s="1358"/>
      <c r="AKT518" s="1358"/>
      <c r="AKU518" s="1358"/>
      <c r="AKV518" s="1358"/>
      <c r="AKW518" s="1358"/>
      <c r="AKX518" s="1358"/>
      <c r="AKY518" s="1358"/>
      <c r="AKZ518" s="1358"/>
      <c r="ALA518" s="1358"/>
      <c r="ALB518" s="1358"/>
      <c r="ALC518" s="1358"/>
      <c r="ALD518" s="1358"/>
      <c r="ALE518" s="1358"/>
      <c r="ALF518" s="1358"/>
      <c r="ALG518" s="1358"/>
      <c r="ALH518" s="1358"/>
      <c r="ALI518" s="1358"/>
      <c r="ALJ518" s="1358"/>
      <c r="ALK518" s="1358"/>
      <c r="ALL518" s="1358"/>
      <c r="ALM518" s="1358"/>
      <c r="ALN518" s="1358"/>
      <c r="ALO518" s="1358"/>
      <c r="ALP518" s="1358"/>
      <c r="ALQ518" s="1358"/>
      <c r="ALR518" s="1358"/>
      <c r="ALS518" s="1358"/>
      <c r="ALT518" s="1358"/>
      <c r="ALU518" s="1358"/>
      <c r="ALV518" s="1358"/>
      <c r="ALW518" s="1358"/>
      <c r="ALX518" s="1358"/>
      <c r="ALY518" s="1358"/>
      <c r="ALZ518" s="1358"/>
      <c r="AMA518" s="1358"/>
      <c r="AMB518" s="1358"/>
      <c r="AMC518" s="1358"/>
      <c r="AMD518" s="1358"/>
      <c r="AME518" s="1358"/>
      <c r="AMF518" s="1358"/>
      <c r="AMG518" s="1358"/>
      <c r="AMH518" s="1358"/>
      <c r="AMI518" s="1358"/>
      <c r="AMJ518" s="1358"/>
      <c r="AMK518" s="1358"/>
      <c r="AML518" s="1358"/>
      <c r="AMM518" s="1358"/>
      <c r="AMN518" s="1358"/>
      <c r="AMO518" s="1358"/>
      <c r="AMP518" s="1358"/>
      <c r="AMQ518" s="1358"/>
      <c r="AMR518" s="1358"/>
      <c r="AMS518" s="1358"/>
      <c r="AMT518" s="1358"/>
      <c r="AMU518" s="1358"/>
      <c r="AMV518" s="1358"/>
      <c r="AMW518" s="1358"/>
      <c r="AMX518" s="1358"/>
      <c r="AMY518" s="1358"/>
      <c r="AMZ518" s="1358"/>
      <c r="ANA518" s="1358"/>
      <c r="ANB518" s="1358"/>
      <c r="ANC518" s="1358"/>
      <c r="AND518" s="1358"/>
      <c r="ANE518" s="1358"/>
      <c r="ANF518" s="1358"/>
      <c r="ANG518" s="1358"/>
      <c r="ANH518" s="1358"/>
      <c r="ANI518" s="1358"/>
      <c r="ANJ518" s="1358"/>
      <c r="ANK518" s="1358"/>
      <c r="ANL518" s="1358"/>
      <c r="ANM518" s="1358"/>
      <c r="ANN518" s="1358"/>
      <c r="ANO518" s="1358"/>
      <c r="ANP518" s="1358"/>
      <c r="ANQ518" s="1358"/>
      <c r="ANR518" s="1358"/>
      <c r="ANS518" s="1358"/>
      <c r="ANT518" s="1358"/>
      <c r="ANU518" s="1358"/>
      <c r="ANV518" s="1358"/>
      <c r="ANW518" s="1358"/>
      <c r="ANX518" s="1358"/>
      <c r="ANY518" s="1358"/>
      <c r="ANZ518" s="1358"/>
      <c r="AOA518" s="1358"/>
      <c r="AOB518" s="1358"/>
      <c r="AOC518" s="1358"/>
      <c r="AOD518" s="1358"/>
      <c r="AOE518" s="1358"/>
      <c r="AOF518" s="1358"/>
      <c r="AOG518" s="1358"/>
      <c r="AOH518" s="1358"/>
      <c r="AOI518" s="1358"/>
      <c r="AOJ518" s="1358"/>
      <c r="AOK518" s="1358"/>
      <c r="AOL518" s="1358"/>
      <c r="AOM518" s="1358"/>
      <c r="AON518" s="1358"/>
      <c r="AOO518" s="1358"/>
      <c r="AOP518" s="1358"/>
      <c r="AOQ518" s="1358"/>
      <c r="AOR518" s="1358"/>
      <c r="AOS518" s="1358"/>
      <c r="AOT518" s="1358"/>
      <c r="AOU518" s="1358"/>
      <c r="AOV518" s="1358"/>
      <c r="AOW518" s="1358"/>
      <c r="AOX518" s="1358"/>
      <c r="AOY518" s="1358"/>
      <c r="AOZ518" s="1358"/>
      <c r="APA518" s="1358"/>
      <c r="APB518" s="1358"/>
      <c r="APC518" s="1358"/>
      <c r="APD518" s="1358"/>
      <c r="APE518" s="1358"/>
      <c r="APF518" s="1358"/>
      <c r="APG518" s="1358"/>
      <c r="APH518" s="1358"/>
      <c r="API518" s="1358"/>
      <c r="APJ518" s="1358"/>
      <c r="APK518" s="1358"/>
      <c r="APL518" s="1358"/>
      <c r="APM518" s="1358"/>
      <c r="APN518" s="1358"/>
      <c r="APO518" s="1358"/>
      <c r="APP518" s="1358"/>
      <c r="APQ518" s="1358"/>
      <c r="APR518" s="1358"/>
      <c r="APS518" s="1358"/>
      <c r="APT518" s="1358"/>
      <c r="APU518" s="1358"/>
      <c r="APV518" s="1358"/>
      <c r="APW518" s="1358"/>
      <c r="APX518" s="1358"/>
      <c r="APY518" s="1358"/>
      <c r="APZ518" s="1358"/>
      <c r="AQA518" s="1358"/>
      <c r="AQB518" s="1358"/>
      <c r="AQC518" s="1358"/>
      <c r="AQD518" s="1358"/>
      <c r="AQE518" s="1358"/>
      <c r="AQF518" s="1358"/>
      <c r="AQG518" s="1358"/>
      <c r="AQH518" s="1358"/>
      <c r="AQI518" s="1358"/>
      <c r="AQJ518" s="1358"/>
      <c r="AQK518" s="1358"/>
      <c r="AQL518" s="1358"/>
      <c r="AQM518" s="1358"/>
      <c r="AQN518" s="1358"/>
      <c r="AQO518" s="1358"/>
      <c r="AQP518" s="1358"/>
      <c r="AQQ518" s="1358"/>
      <c r="AQR518" s="1358"/>
      <c r="AQS518" s="1358"/>
      <c r="AQT518" s="1358"/>
      <c r="AQU518" s="1358"/>
      <c r="AQV518" s="1358"/>
      <c r="AQW518" s="1358"/>
      <c r="AQX518" s="1358"/>
      <c r="AQY518" s="1358"/>
      <c r="AQZ518" s="1358"/>
      <c r="ARA518" s="1358"/>
      <c r="ARB518" s="1358"/>
      <c r="ARC518" s="1358"/>
      <c r="ARD518" s="1358"/>
      <c r="ARE518" s="1358"/>
      <c r="ARF518" s="1358"/>
      <c r="ARG518" s="1358"/>
      <c r="ARH518" s="1358"/>
      <c r="ARI518" s="1358"/>
      <c r="ARJ518" s="1358"/>
      <c r="ARK518" s="1358"/>
      <c r="ARL518" s="1358"/>
      <c r="ARM518" s="1358"/>
      <c r="ARN518" s="1358"/>
      <c r="ARO518" s="1358"/>
      <c r="ARP518" s="1358"/>
      <c r="ARQ518" s="1358"/>
      <c r="ARR518" s="1358"/>
      <c r="ARS518" s="1358"/>
      <c r="ART518" s="1358"/>
      <c r="ARU518" s="1358"/>
      <c r="ARV518" s="1358"/>
      <c r="ARW518" s="1358"/>
      <c r="ARX518" s="1358"/>
      <c r="ARY518" s="1358"/>
      <c r="ARZ518" s="1358"/>
      <c r="ASA518" s="1358"/>
      <c r="ASB518" s="1358"/>
      <c r="ASC518" s="1358"/>
      <c r="ASD518" s="1358"/>
      <c r="ASE518" s="1358"/>
      <c r="ASF518" s="1358"/>
      <c r="ASG518" s="1358"/>
      <c r="ASH518" s="1358"/>
      <c r="ASI518" s="1358"/>
      <c r="ASJ518" s="1358"/>
      <c r="ASK518" s="1358"/>
      <c r="ASL518" s="1358"/>
      <c r="ASM518" s="1358"/>
      <c r="ASN518" s="1358"/>
      <c r="ASO518" s="1358"/>
      <c r="ASP518" s="1358"/>
      <c r="ASQ518" s="1358"/>
      <c r="ASR518" s="1358"/>
      <c r="ASS518" s="1358"/>
      <c r="AST518" s="1358"/>
      <c r="ASU518" s="1358"/>
      <c r="ASV518" s="1358"/>
      <c r="ASW518" s="1358"/>
      <c r="ASX518" s="1358"/>
      <c r="ASY518" s="1358"/>
      <c r="ASZ518" s="1358"/>
      <c r="ATA518" s="1358"/>
      <c r="ATB518" s="1358"/>
      <c r="ATC518" s="1358"/>
      <c r="ATD518" s="1358"/>
      <c r="ATE518" s="1358"/>
      <c r="ATF518" s="1358"/>
      <c r="ATG518" s="1358"/>
      <c r="ATH518" s="1358"/>
      <c r="ATI518" s="1358"/>
      <c r="ATJ518" s="1358"/>
      <c r="ATK518" s="1358"/>
      <c r="ATL518" s="1358"/>
      <c r="ATM518" s="1358"/>
      <c r="ATN518" s="1358"/>
      <c r="ATO518" s="1358"/>
      <c r="ATP518" s="1358"/>
      <c r="ATQ518" s="1358"/>
      <c r="ATR518" s="1358"/>
      <c r="ATS518" s="1358"/>
      <c r="ATT518" s="1358"/>
      <c r="ATU518" s="1358"/>
      <c r="ATV518" s="1358"/>
      <c r="ATW518" s="1358"/>
      <c r="ATX518" s="1358"/>
      <c r="ATY518" s="1358"/>
      <c r="ATZ518" s="1358"/>
      <c r="AUA518" s="1358"/>
      <c r="AUB518" s="1358"/>
      <c r="AUC518" s="1358"/>
      <c r="AUD518" s="1358"/>
      <c r="AUE518" s="1358"/>
      <c r="AUF518" s="1358"/>
      <c r="AUG518" s="1358"/>
      <c r="AUH518" s="1358"/>
      <c r="AUI518" s="1358"/>
      <c r="AUJ518" s="1358"/>
      <c r="AUK518" s="1358"/>
      <c r="AUL518" s="1358"/>
      <c r="AUM518" s="1358"/>
      <c r="AUN518" s="1358"/>
      <c r="AUO518" s="1358"/>
      <c r="AUP518" s="1358"/>
      <c r="AUQ518" s="1358"/>
      <c r="AUR518" s="1358"/>
      <c r="AUS518" s="1358"/>
      <c r="AUT518" s="1358"/>
      <c r="AUU518" s="1358"/>
      <c r="AUV518" s="1358"/>
      <c r="AUW518" s="1358"/>
      <c r="AUX518" s="1358"/>
      <c r="AUY518" s="1358"/>
      <c r="AUZ518" s="1358"/>
      <c r="AVA518" s="1358"/>
      <c r="AVB518" s="1358"/>
      <c r="AVC518" s="1358"/>
      <c r="AVD518" s="1358"/>
      <c r="AVE518" s="1358"/>
      <c r="AVF518" s="1358"/>
      <c r="AVG518" s="1358"/>
      <c r="AVH518" s="1358"/>
      <c r="AVI518" s="1358"/>
      <c r="AVJ518" s="1358"/>
      <c r="AVK518" s="1358"/>
      <c r="AVL518" s="1358"/>
      <c r="AVM518" s="1358"/>
      <c r="AVN518" s="1358"/>
      <c r="AVO518" s="1358"/>
      <c r="AVP518" s="1358"/>
      <c r="AVQ518" s="1358"/>
      <c r="AVR518" s="1358"/>
      <c r="AVS518" s="1358"/>
      <c r="AVT518" s="1358"/>
      <c r="AVU518" s="1358"/>
      <c r="AVV518" s="1358"/>
      <c r="AVW518" s="1358"/>
      <c r="AVX518" s="1358"/>
      <c r="AVY518" s="1358"/>
      <c r="AVZ518" s="1358"/>
      <c r="AWA518" s="1358"/>
      <c r="AWB518" s="1358"/>
      <c r="AWC518" s="1358"/>
      <c r="AWD518" s="1358"/>
      <c r="AWE518" s="1358"/>
      <c r="AWF518" s="1358"/>
      <c r="AWG518" s="1358"/>
      <c r="AWH518" s="1358"/>
      <c r="AWI518" s="1358"/>
      <c r="AWJ518" s="1358"/>
      <c r="AWK518" s="1358"/>
      <c r="AWL518" s="1358"/>
      <c r="AWM518" s="1358"/>
      <c r="AWN518" s="1358"/>
      <c r="AWO518" s="1358"/>
      <c r="AWP518" s="1358"/>
      <c r="AWQ518" s="1358"/>
      <c r="AWR518" s="1358"/>
      <c r="AWS518" s="1358"/>
      <c r="AWT518" s="1358"/>
      <c r="AWU518" s="1358"/>
      <c r="AWV518" s="1358"/>
      <c r="AWW518" s="1358"/>
      <c r="AWX518" s="1358"/>
      <c r="AWY518" s="1358"/>
      <c r="AWZ518" s="1358"/>
      <c r="AXA518" s="1358"/>
      <c r="AXB518" s="1358"/>
      <c r="AXC518" s="1358"/>
      <c r="AXD518" s="1358"/>
      <c r="AXE518" s="1358"/>
      <c r="AXF518" s="1358"/>
      <c r="AXG518" s="1358"/>
      <c r="AXH518" s="1358"/>
      <c r="AXI518" s="1358"/>
      <c r="AXJ518" s="1358"/>
      <c r="AXK518" s="1358"/>
      <c r="AXL518" s="1358"/>
      <c r="AXM518" s="1358"/>
      <c r="AXN518" s="1358"/>
      <c r="AXO518" s="1358"/>
      <c r="AXP518" s="1358"/>
      <c r="AXQ518" s="1358"/>
      <c r="AXR518" s="1358"/>
      <c r="AXS518" s="1358"/>
      <c r="AXT518" s="1358"/>
      <c r="AXU518" s="1358"/>
      <c r="AXV518" s="1358"/>
      <c r="AXW518" s="1358"/>
      <c r="AXX518" s="1358"/>
      <c r="AXY518" s="1358"/>
      <c r="AXZ518" s="1358"/>
      <c r="AYA518" s="1358"/>
      <c r="AYB518" s="1358"/>
      <c r="AYC518" s="1358"/>
      <c r="AYD518" s="1358"/>
      <c r="AYE518" s="1358"/>
      <c r="AYF518" s="1358"/>
      <c r="AYG518" s="1358"/>
      <c r="AYH518" s="1358"/>
      <c r="AYI518" s="1358"/>
      <c r="AYJ518" s="1358"/>
      <c r="AYK518" s="1358"/>
      <c r="AYL518" s="1358"/>
      <c r="AYM518" s="1358"/>
      <c r="AYN518" s="1358"/>
      <c r="AYO518" s="1358"/>
      <c r="AYP518" s="1358"/>
      <c r="AYQ518" s="1358"/>
      <c r="AYR518" s="1358"/>
      <c r="AYS518" s="1358"/>
      <c r="AYT518" s="1358"/>
      <c r="AYU518" s="1358"/>
      <c r="AYV518" s="1358"/>
      <c r="AYW518" s="1358"/>
      <c r="AYX518" s="1358"/>
      <c r="AYY518" s="1358"/>
      <c r="AYZ518" s="1358"/>
      <c r="AZA518" s="1358"/>
      <c r="AZB518" s="1358"/>
      <c r="AZC518" s="1358"/>
      <c r="AZD518" s="1358"/>
      <c r="AZE518" s="1358"/>
      <c r="AZF518" s="1358"/>
      <c r="AZG518" s="1358"/>
      <c r="AZH518" s="1358"/>
      <c r="AZI518" s="1358"/>
      <c r="AZJ518" s="1358"/>
      <c r="AZK518" s="1358"/>
      <c r="AZL518" s="1358"/>
      <c r="AZM518" s="1358"/>
      <c r="AZN518" s="1358"/>
      <c r="AZO518" s="1358"/>
      <c r="AZP518" s="1358"/>
      <c r="AZQ518" s="1358"/>
      <c r="AZR518" s="1358"/>
      <c r="AZS518" s="1358"/>
      <c r="AZT518" s="1358"/>
      <c r="AZU518" s="1358"/>
      <c r="AZV518" s="1358"/>
      <c r="AZW518" s="1358"/>
      <c r="AZX518" s="1358"/>
      <c r="AZY518" s="1358"/>
      <c r="AZZ518" s="1358"/>
      <c r="BAA518" s="1358"/>
      <c r="BAB518" s="1358"/>
      <c r="BAC518" s="1358"/>
      <c r="BAD518" s="1358"/>
      <c r="BAE518" s="1358"/>
      <c r="BAF518" s="1358"/>
      <c r="BAG518" s="1358"/>
      <c r="BAH518" s="1358"/>
      <c r="BAI518" s="1358"/>
      <c r="BAJ518" s="1358"/>
      <c r="BAK518" s="1358"/>
      <c r="BAL518" s="1358"/>
      <c r="BAM518" s="1358"/>
      <c r="BAN518" s="1358"/>
      <c r="BAO518" s="1358"/>
      <c r="BAP518" s="1358"/>
      <c r="BAQ518" s="1358"/>
      <c r="BAR518" s="1358"/>
      <c r="BAS518" s="1358"/>
      <c r="BAT518" s="1358"/>
      <c r="BAU518" s="1358"/>
      <c r="BAV518" s="1358"/>
      <c r="BAW518" s="1358"/>
      <c r="BAX518" s="1358"/>
      <c r="BAY518" s="1358"/>
      <c r="BAZ518" s="1358"/>
      <c r="BBA518" s="1358"/>
      <c r="BBB518" s="1358"/>
      <c r="BBC518" s="1358"/>
      <c r="BBD518" s="1358"/>
      <c r="BBE518" s="1358"/>
      <c r="BBF518" s="1358"/>
      <c r="BBG518" s="1358"/>
      <c r="BBH518" s="1358"/>
      <c r="BBI518" s="1358"/>
      <c r="BBJ518" s="1358"/>
      <c r="BBK518" s="1358"/>
      <c r="BBL518" s="1358"/>
      <c r="BBM518" s="1358"/>
      <c r="BBN518" s="1358"/>
      <c r="BBO518" s="1358"/>
      <c r="BBP518" s="1358"/>
      <c r="BBQ518" s="1358"/>
      <c r="BBR518" s="1358"/>
      <c r="BBS518" s="1358"/>
      <c r="BBT518" s="1358"/>
      <c r="BBU518" s="1358"/>
      <c r="BBV518" s="1358"/>
      <c r="BBW518" s="1358"/>
      <c r="BBX518" s="1358"/>
      <c r="BBY518" s="1358"/>
      <c r="BBZ518" s="1358"/>
      <c r="BCA518" s="1358"/>
      <c r="BCB518" s="1358"/>
      <c r="BCC518" s="1358"/>
      <c r="BCD518" s="1358"/>
      <c r="BCE518" s="1358"/>
      <c r="BCF518" s="1358"/>
      <c r="BCG518" s="1358"/>
      <c r="BCH518" s="1358"/>
      <c r="BCI518" s="1358"/>
      <c r="BCJ518" s="1358"/>
      <c r="BCK518" s="1358"/>
      <c r="BCL518" s="1358"/>
      <c r="BCM518" s="1358"/>
      <c r="BCN518" s="1358"/>
      <c r="BCO518" s="1358"/>
      <c r="BCP518" s="1358"/>
      <c r="BCQ518" s="1358"/>
      <c r="BCR518" s="1358"/>
      <c r="BCS518" s="1358"/>
      <c r="BCT518" s="1358"/>
      <c r="BCU518" s="1358"/>
      <c r="BCV518" s="1358"/>
      <c r="BCW518" s="1358"/>
      <c r="BCX518" s="1358"/>
      <c r="BCY518" s="1358"/>
      <c r="BCZ518" s="1358"/>
      <c r="BDA518" s="1358"/>
      <c r="BDB518" s="1358"/>
      <c r="BDC518" s="1358"/>
      <c r="BDD518" s="1358"/>
      <c r="BDE518" s="1358"/>
      <c r="BDF518" s="1358"/>
      <c r="BDG518" s="1358"/>
      <c r="BDH518" s="1358"/>
      <c r="BDI518" s="1358"/>
      <c r="BDJ518" s="1358"/>
      <c r="BDK518" s="1358"/>
      <c r="BDL518" s="1358"/>
      <c r="BDM518" s="1358"/>
      <c r="BDN518" s="1358"/>
      <c r="BDO518" s="1358"/>
      <c r="BDP518" s="1358"/>
      <c r="BDQ518" s="1358"/>
      <c r="BDR518" s="1358"/>
      <c r="BDS518" s="1358"/>
      <c r="BDT518" s="1358"/>
      <c r="BDU518" s="1358"/>
      <c r="BDV518" s="1358"/>
      <c r="BDW518" s="1358"/>
      <c r="BDX518" s="1358"/>
      <c r="BDY518" s="1358"/>
      <c r="BDZ518" s="1358"/>
      <c r="BEA518" s="1358"/>
      <c r="BEB518" s="1358"/>
      <c r="BEC518" s="1358"/>
      <c r="BED518" s="1358"/>
      <c r="BEE518" s="1358"/>
      <c r="BEF518" s="1358"/>
      <c r="BEG518" s="1358"/>
      <c r="BEH518" s="1358"/>
      <c r="BEI518" s="1358"/>
      <c r="BEJ518" s="1358"/>
      <c r="BEK518" s="1358"/>
      <c r="BEL518" s="1358"/>
      <c r="BEM518" s="1358"/>
      <c r="BEN518" s="1358"/>
      <c r="BEO518" s="1358"/>
      <c r="BEP518" s="1358"/>
      <c r="BEQ518" s="1358"/>
      <c r="BER518" s="1358"/>
      <c r="BES518" s="1358"/>
      <c r="BET518" s="1358"/>
      <c r="BEU518" s="1358"/>
      <c r="BEV518" s="1358"/>
      <c r="BEW518" s="1358"/>
      <c r="BEX518" s="1358"/>
      <c r="BEY518" s="1358"/>
      <c r="BEZ518" s="1358"/>
      <c r="BFA518" s="1358"/>
      <c r="BFB518" s="1358"/>
      <c r="BFC518" s="1358"/>
      <c r="BFD518" s="1358"/>
      <c r="BFE518" s="1358"/>
      <c r="BFF518" s="1358"/>
      <c r="BFG518" s="1358"/>
      <c r="BFH518" s="1358"/>
      <c r="BFI518" s="1358"/>
      <c r="BFJ518" s="1358"/>
      <c r="BFK518" s="1358"/>
      <c r="BFL518" s="1358"/>
      <c r="BFM518" s="1358"/>
      <c r="BFN518" s="1358"/>
      <c r="BFO518" s="1358"/>
      <c r="BFP518" s="1358"/>
      <c r="BFQ518" s="1358"/>
      <c r="BFR518" s="1358"/>
      <c r="BFS518" s="1358"/>
      <c r="BFT518" s="1358"/>
      <c r="BFU518" s="1358"/>
      <c r="BFV518" s="1358"/>
      <c r="BFW518" s="1358"/>
      <c r="BFX518" s="1358"/>
      <c r="BFY518" s="1358"/>
      <c r="BFZ518" s="1358"/>
      <c r="BGA518" s="1358"/>
      <c r="BGB518" s="1358"/>
      <c r="BGC518" s="1358"/>
      <c r="BGD518" s="1358"/>
      <c r="BGE518" s="1358"/>
      <c r="BGF518" s="1358"/>
      <c r="BGG518" s="1358"/>
      <c r="BGH518" s="1358"/>
      <c r="BGI518" s="1358"/>
      <c r="BGJ518" s="1358"/>
      <c r="BGK518" s="1358"/>
      <c r="BGL518" s="1358"/>
      <c r="BGM518" s="1358"/>
      <c r="BGN518" s="1358"/>
      <c r="BGO518" s="1358"/>
      <c r="BGP518" s="1358"/>
      <c r="BGQ518" s="1358"/>
      <c r="BGR518" s="1358"/>
      <c r="BGS518" s="1358"/>
      <c r="BGT518" s="1358"/>
      <c r="BGU518" s="1358"/>
      <c r="BGV518" s="1358"/>
      <c r="BGW518" s="1358"/>
      <c r="BGX518" s="1358"/>
      <c r="BGY518" s="1358"/>
      <c r="BGZ518" s="1358"/>
      <c r="BHA518" s="1358"/>
      <c r="BHB518" s="1358"/>
      <c r="BHC518" s="1358"/>
      <c r="BHD518" s="1358"/>
      <c r="BHE518" s="1358"/>
      <c r="BHF518" s="1358"/>
      <c r="BHG518" s="1358"/>
      <c r="BHH518" s="1358"/>
      <c r="BHI518" s="1358"/>
      <c r="BHJ518" s="1358"/>
      <c r="BHK518" s="1358"/>
      <c r="BHL518" s="1358"/>
      <c r="BHM518" s="1358"/>
      <c r="BHN518" s="1358"/>
      <c r="BHO518" s="1358"/>
      <c r="BHP518" s="1358"/>
      <c r="BHQ518" s="1358"/>
      <c r="BHR518" s="1358"/>
      <c r="BHS518" s="1358"/>
      <c r="BHT518" s="1358"/>
      <c r="BHU518" s="1358"/>
      <c r="BHV518" s="1358"/>
      <c r="BHW518" s="1358"/>
      <c r="BHX518" s="1358"/>
      <c r="BHY518" s="1358"/>
      <c r="BHZ518" s="1358"/>
      <c r="BIA518" s="1358"/>
      <c r="BIB518" s="1358"/>
      <c r="BIC518" s="1358"/>
      <c r="BID518" s="1358"/>
      <c r="BIE518" s="1358"/>
      <c r="BIF518" s="1358"/>
      <c r="BIG518" s="1358"/>
      <c r="BIH518" s="1358"/>
      <c r="BII518" s="1358"/>
      <c r="BIJ518" s="1358"/>
      <c r="BIK518" s="1358"/>
      <c r="BIL518" s="1358"/>
      <c r="BIM518" s="1358"/>
      <c r="BIN518" s="1358"/>
      <c r="BIO518" s="1358"/>
      <c r="BIP518" s="1358"/>
      <c r="BIQ518" s="1358"/>
      <c r="BIR518" s="1358"/>
      <c r="BIS518" s="1358"/>
      <c r="BIT518" s="1358"/>
      <c r="BIU518" s="1358"/>
      <c r="BIV518" s="1358"/>
      <c r="BIW518" s="1358"/>
      <c r="BIX518" s="1358"/>
      <c r="BIY518" s="1358"/>
      <c r="BIZ518" s="1358"/>
      <c r="BJA518" s="1358"/>
      <c r="BJB518" s="1358"/>
      <c r="BJC518" s="1358"/>
      <c r="BJD518" s="1358"/>
      <c r="BJE518" s="1358"/>
      <c r="BJF518" s="1358"/>
      <c r="BJG518" s="1358"/>
      <c r="BJH518" s="1358"/>
      <c r="BJI518" s="1358"/>
      <c r="BJJ518" s="1358"/>
      <c r="BJK518" s="1358"/>
      <c r="BJL518" s="1358"/>
      <c r="BJM518" s="1358"/>
      <c r="BJN518" s="1358"/>
      <c r="BJO518" s="1358"/>
      <c r="BJP518" s="1358"/>
      <c r="BJQ518" s="1358"/>
      <c r="BJR518" s="1358"/>
      <c r="BJS518" s="1358"/>
      <c r="BJT518" s="1358"/>
      <c r="BJU518" s="1358"/>
      <c r="BJV518" s="1358"/>
      <c r="BJW518" s="1358"/>
      <c r="BJX518" s="1358"/>
      <c r="BJY518" s="1358"/>
      <c r="BJZ518" s="1358"/>
      <c r="BKA518" s="1358"/>
      <c r="BKB518" s="1358"/>
      <c r="BKC518" s="1358"/>
      <c r="BKD518" s="1358"/>
      <c r="BKE518" s="1358"/>
      <c r="BKF518" s="1358"/>
      <c r="BKG518" s="1358"/>
      <c r="BKH518" s="1358"/>
      <c r="BKI518" s="1358"/>
      <c r="BKJ518" s="1358"/>
      <c r="BKK518" s="1358"/>
      <c r="BKL518" s="1358"/>
      <c r="BKM518" s="1358"/>
      <c r="BKN518" s="1358"/>
      <c r="BKO518" s="1358"/>
      <c r="BKP518" s="1358"/>
      <c r="BKQ518" s="1358"/>
      <c r="BKR518" s="1358"/>
      <c r="BKS518" s="1358"/>
      <c r="BKT518" s="1358"/>
      <c r="BKU518" s="1358"/>
      <c r="BKV518" s="1358"/>
      <c r="BKW518" s="1358"/>
      <c r="BKX518" s="1358"/>
      <c r="BKY518" s="1358"/>
      <c r="BKZ518" s="1358"/>
      <c r="BLA518" s="1358"/>
      <c r="BLB518" s="1358"/>
      <c r="BLC518" s="1358"/>
      <c r="BLD518" s="1358"/>
      <c r="BLE518" s="1358"/>
      <c r="BLF518" s="1358"/>
      <c r="BLG518" s="1358"/>
      <c r="BLH518" s="1358"/>
      <c r="BLI518" s="1358"/>
      <c r="BLJ518" s="1358"/>
      <c r="BLK518" s="1358"/>
      <c r="BLL518" s="1358"/>
      <c r="BLM518" s="1358"/>
      <c r="BLN518" s="1358"/>
      <c r="BLO518" s="1358"/>
      <c r="BLP518" s="1358"/>
      <c r="BLQ518" s="1358"/>
      <c r="BLR518" s="1358"/>
      <c r="BLS518" s="1358"/>
      <c r="BLT518" s="1358"/>
      <c r="BLU518" s="1358"/>
      <c r="BLV518" s="1358"/>
      <c r="BLW518" s="1358"/>
      <c r="BLX518" s="1358"/>
      <c r="BLY518" s="1358"/>
      <c r="BLZ518" s="1358"/>
      <c r="BMA518" s="1358"/>
      <c r="BMB518" s="1358"/>
      <c r="BMC518" s="1358"/>
      <c r="BMD518" s="1358"/>
      <c r="BME518" s="1358"/>
      <c r="BMF518" s="1358"/>
      <c r="BMG518" s="1358"/>
      <c r="BMH518" s="1358"/>
      <c r="BMI518" s="1358"/>
      <c r="BMJ518" s="1358"/>
      <c r="BMK518" s="1358"/>
      <c r="BML518" s="1358"/>
      <c r="BMM518" s="1358"/>
      <c r="BMN518" s="1358"/>
      <c r="BMO518" s="1358"/>
      <c r="BMP518" s="1358"/>
      <c r="BMQ518" s="1358"/>
      <c r="BMR518" s="1358"/>
      <c r="BMS518" s="1358"/>
      <c r="BMT518" s="1358"/>
      <c r="BMU518" s="1358"/>
      <c r="BMV518" s="1358"/>
      <c r="BMW518" s="1358"/>
      <c r="BMX518" s="1358"/>
      <c r="BMY518" s="1358"/>
      <c r="BMZ518" s="1358"/>
      <c r="BNA518" s="1358"/>
      <c r="BNB518" s="1358"/>
      <c r="BNC518" s="1358"/>
      <c r="BND518" s="1358"/>
      <c r="BNE518" s="1358"/>
      <c r="BNF518" s="1358"/>
      <c r="BNG518" s="1358"/>
      <c r="BNH518" s="1358"/>
      <c r="BNI518" s="1358"/>
      <c r="BNJ518" s="1358"/>
      <c r="BNK518" s="1358"/>
      <c r="BNL518" s="1358"/>
      <c r="BNM518" s="1358"/>
      <c r="BNN518" s="1358"/>
      <c r="BNO518" s="1358"/>
      <c r="BNP518" s="1358"/>
      <c r="BNQ518" s="1358"/>
      <c r="BNR518" s="1358"/>
      <c r="BNS518" s="1358"/>
      <c r="BNT518" s="1358"/>
      <c r="BNU518" s="1358"/>
      <c r="BNV518" s="1358"/>
      <c r="BNW518" s="1358"/>
      <c r="BNX518" s="1358"/>
      <c r="BNY518" s="1358"/>
      <c r="BNZ518" s="1358"/>
      <c r="BOA518" s="1358"/>
      <c r="BOB518" s="1358"/>
      <c r="BOC518" s="1358"/>
      <c r="BOD518" s="1358"/>
      <c r="BOE518" s="1358"/>
      <c r="BOF518" s="1358"/>
      <c r="BOG518" s="1358"/>
      <c r="BOH518" s="1358"/>
      <c r="BOI518" s="1358"/>
      <c r="BOJ518" s="1358"/>
      <c r="BOK518" s="1358"/>
      <c r="BOL518" s="1358"/>
      <c r="BOM518" s="1358"/>
      <c r="BON518" s="1358"/>
      <c r="BOO518" s="1358"/>
      <c r="BOP518" s="1358"/>
      <c r="BOQ518" s="1358"/>
      <c r="BOR518" s="1358"/>
      <c r="BOS518" s="1358"/>
      <c r="BOT518" s="1358"/>
      <c r="BOU518" s="1358"/>
      <c r="BOV518" s="1358"/>
      <c r="BOW518" s="1358"/>
      <c r="BOX518" s="1358"/>
      <c r="BOY518" s="1358"/>
      <c r="BOZ518" s="1358"/>
      <c r="BPA518" s="1358"/>
      <c r="BPB518" s="1358"/>
      <c r="BPC518" s="1358"/>
      <c r="BPD518" s="1358"/>
      <c r="BPE518" s="1358"/>
      <c r="BPF518" s="1358"/>
      <c r="BPG518" s="1358"/>
      <c r="BPH518" s="1358"/>
      <c r="BPI518" s="1358"/>
      <c r="BPJ518" s="1358"/>
      <c r="BPK518" s="1358"/>
      <c r="BPL518" s="1358"/>
      <c r="BPM518" s="1358"/>
      <c r="BPN518" s="1358"/>
      <c r="BPO518" s="1358"/>
      <c r="BPP518" s="1358"/>
      <c r="BPQ518" s="1358"/>
      <c r="BPR518" s="1358"/>
      <c r="BPS518" s="1358"/>
      <c r="BPT518" s="1358"/>
      <c r="BPU518" s="1358"/>
      <c r="BPV518" s="1358"/>
      <c r="BPW518" s="1358"/>
      <c r="BPX518" s="1358"/>
      <c r="BPY518" s="1358"/>
      <c r="BPZ518" s="1358"/>
      <c r="BQA518" s="1358"/>
      <c r="BQB518" s="1358"/>
      <c r="BQC518" s="1358"/>
      <c r="BQD518" s="1358"/>
      <c r="BQE518" s="1358"/>
      <c r="BQF518" s="1358"/>
      <c r="BQG518" s="1358"/>
      <c r="BQH518" s="1358"/>
      <c r="BQI518" s="1358"/>
      <c r="BQJ518" s="1358"/>
      <c r="BQK518" s="1358"/>
      <c r="BQL518" s="1358"/>
      <c r="BQM518" s="1358"/>
      <c r="BQN518" s="1358"/>
      <c r="BQO518" s="1358"/>
      <c r="BQP518" s="1358"/>
      <c r="BQQ518" s="1358"/>
      <c r="BQR518" s="1358"/>
      <c r="BQS518" s="1358"/>
      <c r="BQT518" s="1358"/>
      <c r="BQU518" s="1358"/>
      <c r="BQV518" s="1358"/>
      <c r="BQW518" s="1358"/>
      <c r="BQX518" s="1358"/>
      <c r="BQY518" s="1358"/>
      <c r="BQZ518" s="1358"/>
      <c r="BRA518" s="1358"/>
      <c r="BRB518" s="1358"/>
      <c r="BRC518" s="1358"/>
      <c r="BRD518" s="1358"/>
      <c r="BRE518" s="1358"/>
      <c r="BRF518" s="1358"/>
      <c r="BRG518" s="1358"/>
      <c r="BRH518" s="1358"/>
      <c r="BRI518" s="1358"/>
      <c r="BRJ518" s="1358"/>
      <c r="BRK518" s="1358"/>
      <c r="BRL518" s="1358"/>
      <c r="BRM518" s="1358"/>
      <c r="BRN518" s="1358"/>
      <c r="BRO518" s="1358"/>
      <c r="BRP518" s="1358"/>
      <c r="BRQ518" s="1358"/>
      <c r="BRR518" s="1358"/>
      <c r="BRS518" s="1358"/>
      <c r="BRT518" s="1358"/>
      <c r="BRU518" s="1358"/>
      <c r="BRV518" s="1358"/>
      <c r="BRW518" s="1358"/>
      <c r="BRX518" s="1358"/>
      <c r="BRY518" s="1358"/>
      <c r="BRZ518" s="1358"/>
      <c r="BSA518" s="1358"/>
      <c r="BSB518" s="1358"/>
      <c r="BSC518" s="1358"/>
      <c r="BSD518" s="1358"/>
      <c r="BSE518" s="1358"/>
      <c r="BSF518" s="1358"/>
      <c r="BSG518" s="1358"/>
      <c r="BSH518" s="1358"/>
      <c r="BSI518" s="1358"/>
      <c r="BSJ518" s="1358"/>
      <c r="BSK518" s="1358"/>
      <c r="BSL518" s="1358"/>
      <c r="BSM518" s="1358"/>
      <c r="BSN518" s="1358"/>
      <c r="BSO518" s="1358"/>
      <c r="BSP518" s="1358"/>
      <c r="BSQ518" s="1358"/>
      <c r="BSR518" s="1358"/>
      <c r="BSS518" s="1358"/>
      <c r="BST518" s="1358"/>
      <c r="BSU518" s="1358"/>
      <c r="BSV518" s="1358"/>
      <c r="BSW518" s="1358"/>
      <c r="BSX518" s="1358"/>
      <c r="BSY518" s="1358"/>
      <c r="BSZ518" s="1358"/>
      <c r="BTA518" s="1358"/>
      <c r="BTB518" s="1358"/>
      <c r="BTC518" s="1358"/>
      <c r="BTD518" s="1358"/>
      <c r="BTE518" s="1358"/>
      <c r="BTF518" s="1358"/>
      <c r="BTG518" s="1358"/>
      <c r="BTH518" s="1358"/>
      <c r="BTI518" s="1358"/>
      <c r="BTJ518" s="1358"/>
      <c r="BTK518" s="1358"/>
      <c r="BTL518" s="1358"/>
      <c r="BTM518" s="1358"/>
      <c r="BTN518" s="1358"/>
      <c r="BTO518" s="1358"/>
      <c r="BTP518" s="1358"/>
      <c r="BTQ518" s="1358"/>
      <c r="BTR518" s="1358"/>
      <c r="BTS518" s="1358"/>
      <c r="BTT518" s="1358"/>
      <c r="BTU518" s="1358"/>
      <c r="BTV518" s="1358"/>
      <c r="BTW518" s="1358"/>
      <c r="BTX518" s="1358"/>
      <c r="BTY518" s="1358"/>
      <c r="BTZ518" s="1358"/>
      <c r="BUA518" s="1358"/>
      <c r="BUB518" s="1358"/>
      <c r="BUC518" s="1358"/>
      <c r="BUD518" s="1358"/>
      <c r="BUE518" s="1358"/>
      <c r="BUF518" s="1358"/>
      <c r="BUG518" s="1358"/>
      <c r="BUH518" s="1358"/>
      <c r="BUI518" s="1358"/>
      <c r="BUJ518" s="1358"/>
      <c r="BUK518" s="1358"/>
      <c r="BUL518" s="1358"/>
      <c r="BUM518" s="1358"/>
      <c r="BUN518" s="1358"/>
      <c r="BUO518" s="1358"/>
      <c r="BUP518" s="1358"/>
      <c r="BUQ518" s="1358"/>
      <c r="BUR518" s="1358"/>
      <c r="BUS518" s="1358"/>
      <c r="BUT518" s="1358"/>
      <c r="BUU518" s="1358"/>
      <c r="BUV518" s="1358"/>
      <c r="BUW518" s="1358"/>
      <c r="BUX518" s="1358"/>
      <c r="BUY518" s="1358"/>
      <c r="BUZ518" s="1358"/>
      <c r="BVA518" s="1358"/>
      <c r="BVB518" s="1358"/>
      <c r="BVC518" s="1358"/>
      <c r="BVD518" s="1358"/>
      <c r="BVE518" s="1358"/>
      <c r="BVF518" s="1358"/>
      <c r="BVG518" s="1358"/>
      <c r="BVH518" s="1358"/>
      <c r="BVI518" s="1358"/>
      <c r="BVJ518" s="1358"/>
      <c r="BVK518" s="1358"/>
      <c r="BVL518" s="1358"/>
      <c r="BVM518" s="1358"/>
      <c r="BVN518" s="1358"/>
      <c r="BVO518" s="1358"/>
      <c r="BVP518" s="1358"/>
      <c r="BVQ518" s="1358"/>
      <c r="BVR518" s="1358"/>
      <c r="BVS518" s="1358"/>
      <c r="BVT518" s="1358"/>
      <c r="BVU518" s="1358"/>
      <c r="BVV518" s="1358"/>
      <c r="BVW518" s="1358"/>
      <c r="BVX518" s="1358"/>
      <c r="BVY518" s="1358"/>
      <c r="BVZ518" s="1358"/>
      <c r="BWA518" s="1358"/>
      <c r="BWB518" s="1358"/>
      <c r="BWC518" s="1358"/>
      <c r="BWD518" s="1358"/>
      <c r="BWE518" s="1358"/>
      <c r="BWF518" s="1358"/>
      <c r="BWG518" s="1358"/>
      <c r="BWH518" s="1358"/>
      <c r="BWI518" s="1358"/>
      <c r="BWJ518" s="1358"/>
      <c r="BWK518" s="1358"/>
      <c r="BWL518" s="1358"/>
      <c r="BWM518" s="1358"/>
      <c r="BWN518" s="1358"/>
      <c r="BWO518" s="1358"/>
      <c r="BWP518" s="1358"/>
      <c r="BWQ518" s="1358"/>
      <c r="BWR518" s="1358"/>
      <c r="BWS518" s="1358"/>
      <c r="BWT518" s="1358"/>
      <c r="BWU518" s="1358"/>
      <c r="BWV518" s="1358"/>
      <c r="BWW518" s="1358"/>
      <c r="BWX518" s="1358"/>
      <c r="BWY518" s="1358"/>
      <c r="BWZ518" s="1358"/>
      <c r="BXA518" s="1358"/>
      <c r="BXB518" s="1358"/>
      <c r="BXC518" s="1358"/>
      <c r="BXD518" s="1358"/>
      <c r="BXE518" s="1358"/>
      <c r="BXF518" s="1358"/>
      <c r="BXG518" s="1358"/>
      <c r="BXH518" s="1358"/>
      <c r="BXI518" s="1358"/>
      <c r="BXJ518" s="1358"/>
      <c r="BXK518" s="1358"/>
      <c r="BXL518" s="1358"/>
      <c r="BXM518" s="1358"/>
      <c r="BXN518" s="1358"/>
      <c r="BXO518" s="1358"/>
      <c r="BXP518" s="1358"/>
      <c r="BXQ518" s="1358"/>
      <c r="BXR518" s="1358"/>
      <c r="BXS518" s="1358"/>
      <c r="BXT518" s="1358"/>
      <c r="BXU518" s="1358"/>
      <c r="BXV518" s="1358"/>
      <c r="BXW518" s="1358"/>
      <c r="BXX518" s="1358"/>
      <c r="BXY518" s="1358"/>
      <c r="BXZ518" s="1358"/>
      <c r="BYA518" s="1358"/>
      <c r="BYB518" s="1358"/>
      <c r="BYC518" s="1358"/>
      <c r="BYD518" s="1358"/>
      <c r="BYE518" s="1358"/>
      <c r="BYF518" s="1358"/>
      <c r="BYG518" s="1358"/>
      <c r="BYH518" s="1358"/>
      <c r="BYI518" s="1358"/>
      <c r="BYJ518" s="1358"/>
      <c r="BYK518" s="1358"/>
      <c r="BYL518" s="1358"/>
      <c r="BYM518" s="1358"/>
      <c r="BYN518" s="1358"/>
      <c r="BYO518" s="1358"/>
      <c r="BYP518" s="1358"/>
      <c r="BYQ518" s="1358"/>
      <c r="BYR518" s="1358"/>
      <c r="BYS518" s="1358"/>
      <c r="BYT518" s="1358"/>
      <c r="BYU518" s="1358"/>
      <c r="BYV518" s="1358"/>
      <c r="BYW518" s="1358"/>
      <c r="BYX518" s="1358"/>
      <c r="BYY518" s="1358"/>
      <c r="BYZ518" s="1358"/>
      <c r="BZA518" s="1358"/>
      <c r="BZB518" s="1358"/>
      <c r="BZC518" s="1358"/>
      <c r="BZD518" s="1358"/>
      <c r="BZE518" s="1358"/>
      <c r="BZF518" s="1358"/>
      <c r="BZG518" s="1358"/>
      <c r="BZH518" s="1358"/>
      <c r="BZI518" s="1358"/>
      <c r="BZJ518" s="1358"/>
      <c r="BZK518" s="1358"/>
      <c r="BZL518" s="1358"/>
      <c r="BZM518" s="1358"/>
      <c r="BZN518" s="1358"/>
      <c r="BZO518" s="1358"/>
      <c r="BZP518" s="1358"/>
      <c r="BZQ518" s="1358"/>
      <c r="BZR518" s="1358"/>
      <c r="BZS518" s="1358"/>
      <c r="BZT518" s="1358"/>
      <c r="BZU518" s="1358"/>
      <c r="BZV518" s="1358"/>
      <c r="BZW518" s="1358"/>
      <c r="BZX518" s="1358"/>
      <c r="BZY518" s="1358"/>
      <c r="BZZ518" s="1358"/>
      <c r="CAA518" s="1358"/>
      <c r="CAB518" s="1358"/>
      <c r="CAC518" s="1358"/>
      <c r="CAD518" s="1358"/>
      <c r="CAE518" s="1358"/>
      <c r="CAF518" s="1358"/>
      <c r="CAG518" s="1358"/>
      <c r="CAH518" s="1358"/>
      <c r="CAI518" s="1358"/>
      <c r="CAJ518" s="1358"/>
      <c r="CAK518" s="1358"/>
      <c r="CAL518" s="1358"/>
      <c r="CAM518" s="1358"/>
      <c r="CAN518" s="1358"/>
      <c r="CAO518" s="1358"/>
      <c r="CAP518" s="1358"/>
      <c r="CAQ518" s="1358"/>
      <c r="CAR518" s="1358"/>
      <c r="CAS518" s="1358"/>
      <c r="CAT518" s="1358"/>
      <c r="CAU518" s="1358"/>
      <c r="CAV518" s="1358"/>
      <c r="CAW518" s="1358"/>
      <c r="CAX518" s="1358"/>
      <c r="CAY518" s="1358"/>
      <c r="CAZ518" s="1358"/>
      <c r="CBA518" s="1358"/>
      <c r="CBB518" s="1358"/>
      <c r="CBC518" s="1358"/>
      <c r="CBD518" s="1358"/>
      <c r="CBE518" s="1358"/>
      <c r="CBF518" s="1358"/>
      <c r="CBG518" s="1358"/>
      <c r="CBH518" s="1358"/>
      <c r="CBI518" s="1358"/>
      <c r="CBJ518" s="1358"/>
      <c r="CBK518" s="1358"/>
      <c r="CBL518" s="1358"/>
      <c r="CBM518" s="1358"/>
      <c r="CBN518" s="1358"/>
      <c r="CBO518" s="1358"/>
      <c r="CBP518" s="1358"/>
      <c r="CBQ518" s="1358"/>
      <c r="CBR518" s="1358"/>
      <c r="CBS518" s="1358"/>
      <c r="CBT518" s="1358"/>
      <c r="CBU518" s="1358"/>
      <c r="CBV518" s="1358"/>
      <c r="CBW518" s="1358"/>
      <c r="CBX518" s="1358"/>
      <c r="CBY518" s="1358"/>
      <c r="CBZ518" s="1358"/>
      <c r="CCA518" s="1358"/>
      <c r="CCB518" s="1358"/>
      <c r="CCC518" s="1358"/>
      <c r="CCD518" s="1358"/>
      <c r="CCE518" s="1358"/>
      <c r="CCF518" s="1358"/>
      <c r="CCG518" s="1358"/>
      <c r="CCH518" s="1358"/>
      <c r="CCI518" s="1358"/>
      <c r="CCJ518" s="1358"/>
      <c r="CCK518" s="1358"/>
      <c r="CCL518" s="1358"/>
      <c r="CCM518" s="1358"/>
      <c r="CCN518" s="1358"/>
      <c r="CCO518" s="1358"/>
      <c r="CCP518" s="1358"/>
      <c r="CCQ518" s="1358"/>
      <c r="CCR518" s="1358"/>
      <c r="CCS518" s="1358"/>
      <c r="CCT518" s="1358"/>
      <c r="CCU518" s="1358"/>
      <c r="CCV518" s="1358"/>
      <c r="CCW518" s="1358"/>
      <c r="CCX518" s="1358"/>
      <c r="CCY518" s="1358"/>
      <c r="CCZ518" s="1358"/>
      <c r="CDA518" s="1358"/>
      <c r="CDB518" s="1358"/>
      <c r="CDC518" s="1358"/>
      <c r="CDD518" s="1358"/>
      <c r="CDE518" s="1358"/>
      <c r="CDF518" s="1358"/>
      <c r="CDG518" s="1358"/>
      <c r="CDH518" s="1358"/>
      <c r="CDI518" s="1358"/>
      <c r="CDJ518" s="1358"/>
      <c r="CDK518" s="1358"/>
      <c r="CDL518" s="1358"/>
      <c r="CDM518" s="1358"/>
      <c r="CDN518" s="1358"/>
      <c r="CDO518" s="1358"/>
      <c r="CDP518" s="1358"/>
      <c r="CDQ518" s="1358"/>
      <c r="CDR518" s="1358"/>
      <c r="CDS518" s="1358"/>
      <c r="CDT518" s="1358"/>
      <c r="CDU518" s="1358"/>
      <c r="CDV518" s="1358"/>
      <c r="CDW518" s="1358"/>
      <c r="CDX518" s="1358"/>
      <c r="CDY518" s="1358"/>
      <c r="CDZ518" s="1358"/>
      <c r="CEA518" s="1358"/>
      <c r="CEB518" s="1358"/>
      <c r="CEC518" s="1358"/>
      <c r="CED518" s="1358"/>
      <c r="CEE518" s="1358"/>
      <c r="CEF518" s="1358"/>
      <c r="CEG518" s="1358"/>
      <c r="CEH518" s="1358"/>
      <c r="CEI518" s="1358"/>
      <c r="CEJ518" s="1358"/>
      <c r="CEK518" s="1358"/>
      <c r="CEL518" s="1358"/>
      <c r="CEM518" s="1358"/>
      <c r="CEN518" s="1358"/>
      <c r="CEO518" s="1358"/>
      <c r="CEP518" s="1358"/>
      <c r="CEQ518" s="1358"/>
      <c r="CER518" s="1358"/>
      <c r="CES518" s="1358"/>
      <c r="CET518" s="1358"/>
      <c r="CEU518" s="1358"/>
      <c r="CEV518" s="1358"/>
      <c r="CEW518" s="1358"/>
      <c r="CEX518" s="1358"/>
      <c r="CEY518" s="1358"/>
      <c r="CEZ518" s="1358"/>
      <c r="CFA518" s="1358"/>
      <c r="CFB518" s="1358"/>
      <c r="CFC518" s="1358"/>
      <c r="CFD518" s="1358"/>
      <c r="CFE518" s="1358"/>
      <c r="CFF518" s="1358"/>
      <c r="CFG518" s="1358"/>
      <c r="CFH518" s="1358"/>
      <c r="CFI518" s="1358"/>
      <c r="CFJ518" s="1358"/>
      <c r="CFK518" s="1358"/>
      <c r="CFL518" s="1358"/>
      <c r="CFM518" s="1358"/>
      <c r="CFN518" s="1358"/>
      <c r="CFO518" s="1358"/>
      <c r="CFP518" s="1358"/>
      <c r="CFQ518" s="1358"/>
      <c r="CFR518" s="1358"/>
      <c r="CFS518" s="1358"/>
      <c r="CFT518" s="1358"/>
      <c r="CFU518" s="1358"/>
      <c r="CFV518" s="1358"/>
      <c r="CFW518" s="1358"/>
      <c r="CFX518" s="1358"/>
      <c r="CFY518" s="1358"/>
      <c r="CFZ518" s="1358"/>
      <c r="CGA518" s="1358"/>
      <c r="CGB518" s="1358"/>
      <c r="CGC518" s="1358"/>
      <c r="CGD518" s="1358"/>
      <c r="CGE518" s="1358"/>
      <c r="CGF518" s="1358"/>
      <c r="CGG518" s="1358"/>
      <c r="CGH518" s="1358"/>
      <c r="CGI518" s="1358"/>
      <c r="CGJ518" s="1358"/>
      <c r="CGK518" s="1358"/>
      <c r="CGL518" s="1358"/>
      <c r="CGM518" s="1358"/>
      <c r="CGN518" s="1358"/>
      <c r="CGO518" s="1358"/>
      <c r="CGP518" s="1358"/>
      <c r="CGQ518" s="1358"/>
      <c r="CGR518" s="1358"/>
      <c r="CGS518" s="1358"/>
      <c r="CGT518" s="1358"/>
      <c r="CGU518" s="1358"/>
      <c r="CGV518" s="1358"/>
      <c r="CGW518" s="1358"/>
      <c r="CGX518" s="1358"/>
      <c r="CGY518" s="1358"/>
      <c r="CGZ518" s="1358"/>
      <c r="CHA518" s="1358"/>
      <c r="CHB518" s="1358"/>
      <c r="CHC518" s="1358"/>
      <c r="CHD518" s="1358"/>
      <c r="CHE518" s="1358"/>
      <c r="CHF518" s="1358"/>
      <c r="CHG518" s="1358"/>
      <c r="CHH518" s="1358"/>
      <c r="CHI518" s="1358"/>
      <c r="CHJ518" s="1358"/>
      <c r="CHK518" s="1358"/>
      <c r="CHL518" s="1358"/>
      <c r="CHM518" s="1358"/>
      <c r="CHN518" s="1358"/>
      <c r="CHO518" s="1358"/>
      <c r="CHP518" s="1358"/>
      <c r="CHQ518" s="1358"/>
      <c r="CHR518" s="1358"/>
      <c r="CHS518" s="1358"/>
      <c r="CHT518" s="1358"/>
      <c r="CHU518" s="1358"/>
      <c r="CHV518" s="1358"/>
      <c r="CHW518" s="1358"/>
      <c r="CHX518" s="1358"/>
      <c r="CHY518" s="1358"/>
      <c r="CHZ518" s="1358"/>
      <c r="CIA518" s="1358"/>
      <c r="CIB518" s="1358"/>
      <c r="CIC518" s="1358"/>
      <c r="CID518" s="1358"/>
      <c r="CIE518" s="1358"/>
      <c r="CIF518" s="1358"/>
      <c r="CIG518" s="1358"/>
      <c r="CIH518" s="1358"/>
      <c r="CII518" s="1358"/>
      <c r="CIJ518" s="1358"/>
      <c r="CIK518" s="1358"/>
      <c r="CIL518" s="1358"/>
      <c r="CIM518" s="1358"/>
      <c r="CIN518" s="1358"/>
      <c r="CIO518" s="1358"/>
      <c r="CIP518" s="1358"/>
      <c r="CIQ518" s="1358"/>
      <c r="CIR518" s="1358"/>
      <c r="CIS518" s="1358"/>
      <c r="CIT518" s="1358"/>
      <c r="CIU518" s="1358"/>
      <c r="CIV518" s="1358"/>
      <c r="CIW518" s="1358"/>
      <c r="CIX518" s="1358"/>
      <c r="CIY518" s="1358"/>
      <c r="CIZ518" s="1358"/>
      <c r="CJA518" s="1358"/>
      <c r="CJB518" s="1358"/>
      <c r="CJC518" s="1358"/>
      <c r="CJD518" s="1358"/>
      <c r="CJE518" s="1358"/>
      <c r="CJF518" s="1358"/>
      <c r="CJG518" s="1358"/>
      <c r="CJH518" s="1358"/>
      <c r="CJI518" s="1358"/>
      <c r="CJJ518" s="1358"/>
      <c r="CJK518" s="1358"/>
      <c r="CJL518" s="1358"/>
      <c r="CJM518" s="1358"/>
      <c r="CJN518" s="1358"/>
      <c r="CJO518" s="1358"/>
      <c r="CJP518" s="1358"/>
      <c r="CJQ518" s="1358"/>
      <c r="CJR518" s="1358"/>
      <c r="CJS518" s="1358"/>
      <c r="CJT518" s="1358"/>
      <c r="CJU518" s="1358"/>
      <c r="CJV518" s="1358"/>
      <c r="CJW518" s="1358"/>
      <c r="CJX518" s="1358"/>
      <c r="CJY518" s="1358"/>
      <c r="CJZ518" s="1358"/>
      <c r="CKA518" s="1358"/>
      <c r="CKB518" s="1358"/>
      <c r="CKC518" s="1358"/>
      <c r="CKD518" s="1358"/>
      <c r="CKE518" s="1358"/>
      <c r="CKF518" s="1358"/>
      <c r="CKG518" s="1358"/>
      <c r="CKH518" s="1358"/>
      <c r="CKI518" s="1358"/>
      <c r="CKJ518" s="1358"/>
      <c r="CKK518" s="1358"/>
      <c r="CKL518" s="1358"/>
      <c r="CKM518" s="1358"/>
      <c r="CKN518" s="1358"/>
      <c r="CKO518" s="1358"/>
      <c r="CKP518" s="1358"/>
      <c r="CKQ518" s="1358"/>
      <c r="CKR518" s="1358"/>
      <c r="CKS518" s="1358"/>
      <c r="CKT518" s="1358"/>
      <c r="CKU518" s="1358"/>
      <c r="CKV518" s="1358"/>
      <c r="CKW518" s="1358"/>
      <c r="CKX518" s="1358"/>
      <c r="CKY518" s="1358"/>
      <c r="CKZ518" s="1358"/>
      <c r="CLA518" s="1358"/>
      <c r="CLB518" s="1358"/>
      <c r="CLC518" s="1358"/>
      <c r="CLD518" s="1358"/>
      <c r="CLE518" s="1358"/>
      <c r="CLF518" s="1358"/>
      <c r="CLG518" s="1358"/>
      <c r="CLH518" s="1358"/>
      <c r="CLI518" s="1358"/>
      <c r="CLJ518" s="1358"/>
      <c r="CLK518" s="1358"/>
      <c r="CLL518" s="1358"/>
      <c r="CLM518" s="1358"/>
      <c r="CLN518" s="1358"/>
      <c r="CLO518" s="1358"/>
      <c r="CLP518" s="1358"/>
      <c r="CLQ518" s="1358"/>
      <c r="CLR518" s="1358"/>
      <c r="CLS518" s="1358"/>
      <c r="CLT518" s="1358"/>
      <c r="CLU518" s="1358"/>
      <c r="CLV518" s="1358"/>
      <c r="CLW518" s="1358"/>
      <c r="CLX518" s="1358"/>
      <c r="CLY518" s="1358"/>
      <c r="CLZ518" s="1358"/>
      <c r="CMA518" s="1358"/>
      <c r="CMB518" s="1358"/>
      <c r="CMC518" s="1358"/>
      <c r="CMD518" s="1358"/>
      <c r="CME518" s="1358"/>
      <c r="CMF518" s="1358"/>
      <c r="CMG518" s="1358"/>
      <c r="CMH518" s="1358"/>
      <c r="CMI518" s="1358"/>
      <c r="CMJ518" s="1358"/>
      <c r="CMK518" s="1358"/>
      <c r="CML518" s="1358"/>
      <c r="CMM518" s="1358"/>
      <c r="CMN518" s="1358"/>
      <c r="CMO518" s="1358"/>
      <c r="CMP518" s="1358"/>
      <c r="CMQ518" s="1358"/>
      <c r="CMR518" s="1358"/>
      <c r="CMS518" s="1358"/>
      <c r="CMT518" s="1358"/>
      <c r="CMU518" s="1358"/>
      <c r="CMV518" s="1358"/>
      <c r="CMW518" s="1358"/>
      <c r="CMX518" s="1358"/>
      <c r="CMY518" s="1358"/>
      <c r="CMZ518" s="1358"/>
      <c r="CNA518" s="1358"/>
      <c r="CNB518" s="1358"/>
      <c r="CNC518" s="1358"/>
      <c r="CND518" s="1358"/>
      <c r="CNE518" s="1358"/>
      <c r="CNF518" s="1358"/>
      <c r="CNG518" s="1358"/>
      <c r="CNH518" s="1358"/>
      <c r="CNI518" s="1358"/>
      <c r="CNJ518" s="1358"/>
      <c r="CNK518" s="1358"/>
      <c r="CNL518" s="1358"/>
      <c r="CNM518" s="1358"/>
      <c r="CNN518" s="1358"/>
      <c r="CNO518" s="1358"/>
      <c r="CNP518" s="1358"/>
      <c r="CNQ518" s="1358"/>
      <c r="CNR518" s="1358"/>
      <c r="CNS518" s="1358"/>
      <c r="CNT518" s="1358"/>
      <c r="CNU518" s="1358"/>
      <c r="CNV518" s="1358"/>
      <c r="CNW518" s="1358"/>
      <c r="CNX518" s="1358"/>
      <c r="CNY518" s="1358"/>
      <c r="CNZ518" s="1358"/>
      <c r="COA518" s="1358"/>
      <c r="COB518" s="1358"/>
      <c r="COC518" s="1358"/>
      <c r="COD518" s="1358"/>
      <c r="COE518" s="1358"/>
      <c r="COF518" s="1358"/>
      <c r="COG518" s="1358"/>
      <c r="COH518" s="1358"/>
      <c r="COI518" s="1358"/>
      <c r="COJ518" s="1358"/>
      <c r="COK518" s="1358"/>
      <c r="COL518" s="1358"/>
      <c r="COM518" s="1358"/>
      <c r="CON518" s="1358"/>
      <c r="COO518" s="1358"/>
      <c r="COP518" s="1358"/>
      <c r="COQ518" s="1358"/>
      <c r="COR518" s="1358"/>
      <c r="COS518" s="1358"/>
      <c r="COT518" s="1358"/>
      <c r="COU518" s="1358"/>
      <c r="COV518" s="1358"/>
      <c r="COW518" s="1358"/>
      <c r="COX518" s="1358"/>
      <c r="COY518" s="1358"/>
      <c r="COZ518" s="1358"/>
      <c r="CPA518" s="1358"/>
      <c r="CPB518" s="1358"/>
      <c r="CPC518" s="1358"/>
      <c r="CPD518" s="1358"/>
      <c r="CPE518" s="1358"/>
      <c r="CPF518" s="1358"/>
      <c r="CPG518" s="1358"/>
      <c r="CPH518" s="1358"/>
      <c r="CPI518" s="1358"/>
      <c r="CPJ518" s="1358"/>
      <c r="CPK518" s="1358"/>
      <c r="CPL518" s="1358"/>
      <c r="CPM518" s="1358"/>
      <c r="CPN518" s="1358"/>
      <c r="CPO518" s="1358"/>
      <c r="CPP518" s="1358"/>
      <c r="CPQ518" s="1358"/>
      <c r="CPR518" s="1358"/>
      <c r="CPS518" s="1358"/>
      <c r="CPT518" s="1358"/>
      <c r="CPU518" s="1358"/>
      <c r="CPV518" s="1358"/>
      <c r="CPW518" s="1358"/>
      <c r="CPX518" s="1358"/>
      <c r="CPY518" s="1358"/>
      <c r="CPZ518" s="1358"/>
      <c r="CQA518" s="1358"/>
      <c r="CQB518" s="1358"/>
      <c r="CQC518" s="1358"/>
      <c r="CQD518" s="1358"/>
      <c r="CQE518" s="1358"/>
      <c r="CQF518" s="1358"/>
      <c r="CQG518" s="1358"/>
      <c r="CQH518" s="1358"/>
      <c r="CQI518" s="1358"/>
      <c r="CQJ518" s="1358"/>
      <c r="CQK518" s="1358"/>
      <c r="CQL518" s="1358"/>
      <c r="CQM518" s="1358"/>
      <c r="CQN518" s="1358"/>
      <c r="CQO518" s="1358"/>
      <c r="CQP518" s="1358"/>
      <c r="CQQ518" s="1358"/>
      <c r="CQR518" s="1358"/>
      <c r="CQS518" s="1358"/>
      <c r="CQT518" s="1358"/>
      <c r="CQU518" s="1358"/>
      <c r="CQV518" s="1358"/>
      <c r="CQW518" s="1358"/>
      <c r="CQX518" s="1358"/>
      <c r="CQY518" s="1358"/>
      <c r="CQZ518" s="1358"/>
      <c r="CRA518" s="1358"/>
      <c r="CRB518" s="1358"/>
      <c r="CRC518" s="1358"/>
      <c r="CRD518" s="1358"/>
      <c r="CRE518" s="1358"/>
      <c r="CRF518" s="1358"/>
      <c r="CRG518" s="1358"/>
      <c r="CRH518" s="1358"/>
      <c r="CRI518" s="1358"/>
      <c r="CRJ518" s="1358"/>
      <c r="CRK518" s="1358"/>
      <c r="CRL518" s="1358"/>
      <c r="CRM518" s="1358"/>
      <c r="CRN518" s="1358"/>
      <c r="CRO518" s="1358"/>
      <c r="CRP518" s="1358"/>
      <c r="CRQ518" s="1358"/>
      <c r="CRR518" s="1358"/>
      <c r="CRS518" s="1358"/>
      <c r="CRT518" s="1358"/>
      <c r="CRU518" s="1358"/>
      <c r="CRV518" s="1358"/>
      <c r="CRW518" s="1358"/>
      <c r="CRX518" s="1358"/>
      <c r="CRY518" s="1358"/>
      <c r="CRZ518" s="1358"/>
      <c r="CSA518" s="1358"/>
      <c r="CSB518" s="1358"/>
      <c r="CSC518" s="1358"/>
      <c r="CSD518" s="1358"/>
      <c r="CSE518" s="1358"/>
      <c r="CSF518" s="1358"/>
      <c r="CSG518" s="1358"/>
      <c r="CSH518" s="1358"/>
      <c r="CSI518" s="1358"/>
      <c r="CSJ518" s="1358"/>
      <c r="CSK518" s="1358"/>
      <c r="CSL518" s="1358"/>
      <c r="CSM518" s="1358"/>
      <c r="CSN518" s="1358"/>
      <c r="CSO518" s="1358"/>
      <c r="CSP518" s="1358"/>
      <c r="CSQ518" s="1358"/>
      <c r="CSR518" s="1358"/>
      <c r="CSS518" s="1358"/>
      <c r="CST518" s="1358"/>
      <c r="CSU518" s="1358"/>
      <c r="CSV518" s="1358"/>
      <c r="CSW518" s="1358"/>
      <c r="CSX518" s="1358"/>
      <c r="CSY518" s="1358"/>
      <c r="CSZ518" s="1358"/>
      <c r="CTA518" s="1358"/>
      <c r="CTB518" s="1358"/>
      <c r="CTC518" s="1358"/>
      <c r="CTD518" s="1358"/>
      <c r="CTE518" s="1358"/>
      <c r="CTF518" s="1358"/>
      <c r="CTG518" s="1358"/>
      <c r="CTH518" s="1358"/>
      <c r="CTI518" s="1358"/>
      <c r="CTJ518" s="1358"/>
      <c r="CTK518" s="1358"/>
      <c r="CTL518" s="1358"/>
      <c r="CTM518" s="1358"/>
      <c r="CTN518" s="1358"/>
      <c r="CTO518" s="1358"/>
      <c r="CTP518" s="1358"/>
      <c r="CTQ518" s="1358"/>
      <c r="CTR518" s="1358"/>
      <c r="CTS518" s="1358"/>
      <c r="CTT518" s="1358"/>
      <c r="CTU518" s="1358"/>
      <c r="CTV518" s="1358"/>
      <c r="CTW518" s="1358"/>
      <c r="CTX518" s="1358"/>
      <c r="CTY518" s="1358"/>
      <c r="CTZ518" s="1358"/>
      <c r="CUA518" s="1358"/>
      <c r="CUB518" s="1358"/>
      <c r="CUC518" s="1358"/>
      <c r="CUD518" s="1358"/>
      <c r="CUE518" s="1358"/>
      <c r="CUF518" s="1358"/>
      <c r="CUG518" s="1358"/>
      <c r="CUH518" s="1358"/>
      <c r="CUI518" s="1358"/>
      <c r="CUJ518" s="1358"/>
      <c r="CUK518" s="1358"/>
      <c r="CUL518" s="1358"/>
      <c r="CUM518" s="1358"/>
      <c r="CUN518" s="1358"/>
      <c r="CUO518" s="1358"/>
      <c r="CUP518" s="1358"/>
      <c r="CUQ518" s="1358"/>
      <c r="CUR518" s="1358"/>
      <c r="CUS518" s="1358"/>
      <c r="CUT518" s="1358"/>
      <c r="CUU518" s="1358"/>
      <c r="CUV518" s="1358"/>
      <c r="CUW518" s="1358"/>
      <c r="CUX518" s="1358"/>
      <c r="CUY518" s="1358"/>
      <c r="CUZ518" s="1358"/>
      <c r="CVA518" s="1358"/>
      <c r="CVB518" s="1358"/>
      <c r="CVC518" s="1358"/>
      <c r="CVD518" s="1358"/>
      <c r="CVE518" s="1358"/>
      <c r="CVF518" s="1358"/>
      <c r="CVG518" s="1358"/>
      <c r="CVH518" s="1358"/>
      <c r="CVI518" s="1358"/>
      <c r="CVJ518" s="1358"/>
      <c r="CVK518" s="1358"/>
      <c r="CVL518" s="1358"/>
      <c r="CVM518" s="1358"/>
      <c r="CVN518" s="1358"/>
      <c r="CVO518" s="1358"/>
      <c r="CVP518" s="1358"/>
      <c r="CVQ518" s="1358"/>
      <c r="CVR518" s="1358"/>
      <c r="CVS518" s="1358"/>
      <c r="CVT518" s="1358"/>
      <c r="CVU518" s="1358"/>
      <c r="CVV518" s="1358"/>
      <c r="CVW518" s="1358"/>
      <c r="CVX518" s="1358"/>
      <c r="CVY518" s="1358"/>
      <c r="CVZ518" s="1358"/>
      <c r="CWA518" s="1358"/>
      <c r="CWB518" s="1358"/>
      <c r="CWC518" s="1358"/>
      <c r="CWD518" s="1358"/>
      <c r="CWE518" s="1358"/>
      <c r="CWF518" s="1358"/>
      <c r="CWG518" s="1358"/>
      <c r="CWH518" s="1358"/>
      <c r="CWI518" s="1358"/>
      <c r="CWJ518" s="1358"/>
      <c r="CWK518" s="1358"/>
      <c r="CWL518" s="1358"/>
      <c r="CWM518" s="1358"/>
      <c r="CWN518" s="1358"/>
      <c r="CWO518" s="1358"/>
      <c r="CWP518" s="1358"/>
      <c r="CWQ518" s="1358"/>
      <c r="CWR518" s="1358"/>
      <c r="CWS518" s="1358"/>
      <c r="CWT518" s="1358"/>
      <c r="CWU518" s="1358"/>
      <c r="CWV518" s="1358"/>
      <c r="CWW518" s="1358"/>
      <c r="CWX518" s="1358"/>
      <c r="CWY518" s="1358"/>
      <c r="CWZ518" s="1358"/>
      <c r="CXA518" s="1358"/>
      <c r="CXB518" s="1358"/>
      <c r="CXC518" s="1358"/>
      <c r="CXD518" s="1358"/>
      <c r="CXE518" s="1358"/>
      <c r="CXF518" s="1358"/>
      <c r="CXG518" s="1358"/>
      <c r="CXH518" s="1358"/>
      <c r="CXI518" s="1358"/>
      <c r="CXJ518" s="1358"/>
      <c r="CXK518" s="1358"/>
      <c r="CXL518" s="1358"/>
      <c r="CXM518" s="1358"/>
      <c r="CXN518" s="1358"/>
      <c r="CXO518" s="1358"/>
      <c r="CXP518" s="1358"/>
      <c r="CXQ518" s="1358"/>
      <c r="CXR518" s="1358"/>
      <c r="CXS518" s="1358"/>
      <c r="CXT518" s="1358"/>
      <c r="CXU518" s="1358"/>
      <c r="CXV518" s="1358"/>
      <c r="CXW518" s="1358"/>
      <c r="CXX518" s="1358"/>
      <c r="CXY518" s="1358"/>
      <c r="CXZ518" s="1358"/>
      <c r="CYA518" s="1358"/>
      <c r="CYB518" s="1358"/>
      <c r="CYC518" s="1358"/>
      <c r="CYD518" s="1358"/>
      <c r="CYE518" s="1358"/>
      <c r="CYF518" s="1358"/>
      <c r="CYG518" s="1358"/>
      <c r="CYH518" s="1358"/>
      <c r="CYI518" s="1358"/>
      <c r="CYJ518" s="1358"/>
      <c r="CYK518" s="1358"/>
      <c r="CYL518" s="1358"/>
      <c r="CYM518" s="1358"/>
      <c r="CYN518" s="1358"/>
      <c r="CYO518" s="1358"/>
      <c r="CYP518" s="1358"/>
      <c r="CYQ518" s="1358"/>
      <c r="CYR518" s="1358"/>
      <c r="CYS518" s="1358"/>
      <c r="CYT518" s="1358"/>
      <c r="CYU518" s="1358"/>
      <c r="CYV518" s="1358"/>
      <c r="CYW518" s="1358"/>
      <c r="CYX518" s="1358"/>
      <c r="CYY518" s="1358"/>
      <c r="CYZ518" s="1358"/>
      <c r="CZA518" s="1358"/>
      <c r="CZB518" s="1358"/>
      <c r="CZC518" s="1358"/>
      <c r="CZD518" s="1358"/>
      <c r="CZE518" s="1358"/>
      <c r="CZF518" s="1358"/>
      <c r="CZG518" s="1358"/>
      <c r="CZH518" s="1358"/>
      <c r="CZI518" s="1358"/>
      <c r="CZJ518" s="1358"/>
      <c r="CZK518" s="1358"/>
      <c r="CZL518" s="1358"/>
      <c r="CZM518" s="1358"/>
      <c r="CZN518" s="1358"/>
      <c r="CZO518" s="1358"/>
      <c r="CZP518" s="1358"/>
      <c r="CZQ518" s="1358"/>
      <c r="CZR518" s="1358"/>
      <c r="CZS518" s="1358"/>
      <c r="CZT518" s="1358"/>
      <c r="CZU518" s="1358"/>
      <c r="CZV518" s="1358"/>
      <c r="CZW518" s="1358"/>
      <c r="CZX518" s="1358"/>
      <c r="CZY518" s="1358"/>
      <c r="CZZ518" s="1358"/>
      <c r="DAA518" s="1358"/>
      <c r="DAB518" s="1358"/>
      <c r="DAC518" s="1358"/>
      <c r="DAD518" s="1358"/>
      <c r="DAE518" s="1358"/>
      <c r="DAF518" s="1358"/>
      <c r="DAG518" s="1358"/>
      <c r="DAH518" s="1358"/>
      <c r="DAI518" s="1358"/>
      <c r="DAJ518" s="1358"/>
      <c r="DAK518" s="1358"/>
      <c r="DAL518" s="1358"/>
      <c r="DAM518" s="1358"/>
      <c r="DAN518" s="1358"/>
      <c r="DAO518" s="1358"/>
      <c r="DAP518" s="1358"/>
      <c r="DAQ518" s="1358"/>
      <c r="DAR518" s="1358"/>
      <c r="DAS518" s="1358"/>
      <c r="DAT518" s="1358"/>
      <c r="DAU518" s="1358"/>
      <c r="DAV518" s="1358"/>
      <c r="DAW518" s="1358"/>
      <c r="DAX518" s="1358"/>
      <c r="DAY518" s="1358"/>
      <c r="DAZ518" s="1358"/>
      <c r="DBA518" s="1358"/>
      <c r="DBB518" s="1358"/>
      <c r="DBC518" s="1358"/>
      <c r="DBD518" s="1358"/>
      <c r="DBE518" s="1358"/>
      <c r="DBF518" s="1358"/>
      <c r="DBG518" s="1358"/>
      <c r="DBH518" s="1358"/>
      <c r="DBI518" s="1358"/>
      <c r="DBJ518" s="1358"/>
      <c r="DBK518" s="1358"/>
      <c r="DBL518" s="1358"/>
      <c r="DBM518" s="1358"/>
      <c r="DBN518" s="1358"/>
      <c r="DBO518" s="1358"/>
      <c r="DBP518" s="1358"/>
      <c r="DBQ518" s="1358"/>
      <c r="DBR518" s="1358"/>
      <c r="DBS518" s="1358"/>
      <c r="DBT518" s="1358"/>
      <c r="DBU518" s="1358"/>
      <c r="DBV518" s="1358"/>
      <c r="DBW518" s="1358"/>
      <c r="DBX518" s="1358"/>
      <c r="DBY518" s="1358"/>
      <c r="DBZ518" s="1358"/>
      <c r="DCA518" s="1358"/>
      <c r="DCB518" s="1358"/>
      <c r="DCC518" s="1358"/>
      <c r="DCD518" s="1358"/>
      <c r="DCE518" s="1358"/>
      <c r="DCF518" s="1358"/>
      <c r="DCG518" s="1358"/>
      <c r="DCH518" s="1358"/>
      <c r="DCI518" s="1358"/>
      <c r="DCJ518" s="1358"/>
      <c r="DCK518" s="1358"/>
      <c r="DCL518" s="1358"/>
      <c r="DCM518" s="1358"/>
      <c r="DCN518" s="1358"/>
      <c r="DCO518" s="1358"/>
      <c r="DCP518" s="1358"/>
      <c r="DCQ518" s="1358"/>
      <c r="DCR518" s="1358"/>
      <c r="DCS518" s="1358"/>
      <c r="DCT518" s="1358"/>
      <c r="DCU518" s="1358"/>
      <c r="DCV518" s="1358"/>
      <c r="DCW518" s="1358"/>
      <c r="DCX518" s="1358"/>
      <c r="DCY518" s="1358"/>
      <c r="DCZ518" s="1358"/>
      <c r="DDA518" s="1358"/>
      <c r="DDB518" s="1358"/>
      <c r="DDC518" s="1358"/>
      <c r="DDD518" s="1358"/>
      <c r="DDE518" s="1358"/>
      <c r="DDF518" s="1358"/>
      <c r="DDG518" s="1358"/>
      <c r="DDH518" s="1358"/>
      <c r="DDI518" s="1358"/>
      <c r="DDJ518" s="1358"/>
      <c r="DDK518" s="1358"/>
      <c r="DDL518" s="1358"/>
      <c r="DDM518" s="1358"/>
      <c r="DDN518" s="1358"/>
      <c r="DDO518" s="1358"/>
      <c r="DDP518" s="1358"/>
      <c r="DDQ518" s="1358"/>
      <c r="DDR518" s="1358"/>
      <c r="DDS518" s="1358"/>
      <c r="DDT518" s="1358"/>
      <c r="DDU518" s="1358"/>
      <c r="DDV518" s="1358"/>
      <c r="DDW518" s="1358"/>
      <c r="DDX518" s="1358"/>
      <c r="DDY518" s="1358"/>
      <c r="DDZ518" s="1358"/>
      <c r="DEA518" s="1358"/>
      <c r="DEB518" s="1358"/>
      <c r="DEC518" s="1358"/>
      <c r="DED518" s="1358"/>
      <c r="DEE518" s="1358"/>
      <c r="DEF518" s="1358"/>
      <c r="DEG518" s="1358"/>
      <c r="DEH518" s="1358"/>
      <c r="DEI518" s="1358"/>
      <c r="DEJ518" s="1358"/>
      <c r="DEK518" s="1358"/>
      <c r="DEL518" s="1358"/>
      <c r="DEM518" s="1358"/>
      <c r="DEN518" s="1358"/>
      <c r="DEO518" s="1358"/>
      <c r="DEP518" s="1358"/>
      <c r="DEQ518" s="1358"/>
      <c r="DER518" s="1358"/>
      <c r="DES518" s="1358"/>
      <c r="DET518" s="1358"/>
      <c r="DEU518" s="1358"/>
      <c r="DEV518" s="1358"/>
      <c r="DEW518" s="1358"/>
      <c r="DEX518" s="1358"/>
      <c r="DEY518" s="1358"/>
      <c r="DEZ518" s="1358"/>
      <c r="DFA518" s="1358"/>
      <c r="DFB518" s="1358"/>
      <c r="DFC518" s="1358"/>
      <c r="DFD518" s="1358"/>
      <c r="DFE518" s="1358"/>
      <c r="DFF518" s="1358"/>
      <c r="DFG518" s="1358"/>
      <c r="DFH518" s="1358"/>
      <c r="DFI518" s="1358"/>
      <c r="DFJ518" s="1358"/>
      <c r="DFK518" s="1358"/>
      <c r="DFL518" s="1358"/>
      <c r="DFM518" s="1358"/>
      <c r="DFN518" s="1358"/>
      <c r="DFO518" s="1358"/>
      <c r="DFP518" s="1358"/>
      <c r="DFQ518" s="1358"/>
      <c r="DFR518" s="1358"/>
      <c r="DFS518" s="1358"/>
      <c r="DFT518" s="1358"/>
      <c r="DFU518" s="1358"/>
      <c r="DFV518" s="1358"/>
      <c r="DFW518" s="1358"/>
      <c r="DFX518" s="1358"/>
      <c r="DFY518" s="1358"/>
      <c r="DFZ518" s="1358"/>
      <c r="DGA518" s="1358"/>
      <c r="DGB518" s="1358"/>
      <c r="DGC518" s="1358"/>
      <c r="DGD518" s="1358"/>
      <c r="DGE518" s="1358"/>
      <c r="DGF518" s="1358"/>
      <c r="DGG518" s="1358"/>
      <c r="DGH518" s="1358"/>
      <c r="DGI518" s="1358"/>
      <c r="DGJ518" s="1358"/>
      <c r="DGK518" s="1358"/>
      <c r="DGL518" s="1358"/>
      <c r="DGM518" s="1358"/>
      <c r="DGN518" s="1358"/>
      <c r="DGO518" s="1358"/>
      <c r="DGP518" s="1358"/>
      <c r="DGQ518" s="1358"/>
      <c r="DGR518" s="1358"/>
      <c r="DGS518" s="1358"/>
      <c r="DGT518" s="1358"/>
      <c r="DGU518" s="1358"/>
      <c r="DGV518" s="1358"/>
      <c r="DGW518" s="1358"/>
      <c r="DGX518" s="1358"/>
      <c r="DGY518" s="1358"/>
      <c r="DGZ518" s="1358"/>
      <c r="DHA518" s="1358"/>
      <c r="DHB518" s="1358"/>
      <c r="DHC518" s="1358"/>
      <c r="DHD518" s="1358"/>
      <c r="DHE518" s="1358"/>
      <c r="DHF518" s="1358"/>
      <c r="DHG518" s="1358"/>
      <c r="DHH518" s="1358"/>
      <c r="DHI518" s="1358"/>
      <c r="DHJ518" s="1358"/>
      <c r="DHK518" s="1358"/>
      <c r="DHL518" s="1358"/>
      <c r="DHM518" s="1358"/>
      <c r="DHN518" s="1358"/>
      <c r="DHO518" s="1358"/>
      <c r="DHP518" s="1358"/>
      <c r="DHQ518" s="1358"/>
      <c r="DHR518" s="1358"/>
      <c r="DHS518" s="1358"/>
      <c r="DHT518" s="1358"/>
      <c r="DHU518" s="1358"/>
      <c r="DHV518" s="1358"/>
      <c r="DHW518" s="1358"/>
      <c r="DHX518" s="1358"/>
      <c r="DHY518" s="1358"/>
      <c r="DHZ518" s="1358"/>
      <c r="DIA518" s="1358"/>
      <c r="DIB518" s="1358"/>
      <c r="DIC518" s="1358"/>
      <c r="DID518" s="1358"/>
      <c r="DIE518" s="1358"/>
      <c r="DIF518" s="1358"/>
      <c r="DIG518" s="1358"/>
      <c r="DIH518" s="1358"/>
      <c r="DII518" s="1358"/>
      <c r="DIJ518" s="1358"/>
      <c r="DIK518" s="1358"/>
      <c r="DIL518" s="1358"/>
      <c r="DIM518" s="1358"/>
      <c r="DIN518" s="1358"/>
      <c r="DIO518" s="1358"/>
      <c r="DIP518" s="1358"/>
      <c r="DIQ518" s="1358"/>
      <c r="DIR518" s="1358"/>
      <c r="DIS518" s="1358"/>
      <c r="DIT518" s="1358"/>
      <c r="DIU518" s="1358"/>
      <c r="DIV518" s="1358"/>
      <c r="DIW518" s="1358"/>
      <c r="DIX518" s="1358"/>
      <c r="DIY518" s="1358"/>
      <c r="DIZ518" s="1358"/>
      <c r="DJA518" s="1358"/>
      <c r="DJB518" s="1358"/>
      <c r="DJC518" s="1358"/>
      <c r="DJD518" s="1358"/>
      <c r="DJE518" s="1358"/>
      <c r="DJF518" s="1358"/>
      <c r="DJG518" s="1358"/>
      <c r="DJH518" s="1358"/>
      <c r="DJI518" s="1358"/>
      <c r="DJJ518" s="1358"/>
      <c r="DJK518" s="1358"/>
      <c r="DJL518" s="1358"/>
      <c r="DJM518" s="1358"/>
      <c r="DJN518" s="1358"/>
      <c r="DJO518" s="1358"/>
      <c r="DJP518" s="1358"/>
      <c r="DJQ518" s="1358"/>
      <c r="DJR518" s="1358"/>
      <c r="DJS518" s="1358"/>
      <c r="DJT518" s="1358"/>
      <c r="DJU518" s="1358"/>
      <c r="DJV518" s="1358"/>
      <c r="DJW518" s="1358"/>
      <c r="DJX518" s="1358"/>
      <c r="DJY518" s="1358"/>
      <c r="DJZ518" s="1358"/>
      <c r="DKA518" s="1358"/>
      <c r="DKB518" s="1358"/>
      <c r="DKC518" s="1358"/>
      <c r="DKD518" s="1358"/>
      <c r="DKE518" s="1358"/>
      <c r="DKF518" s="1358"/>
      <c r="DKG518" s="1358"/>
      <c r="DKH518" s="1358"/>
      <c r="DKI518" s="1358"/>
      <c r="DKJ518" s="1358"/>
      <c r="DKK518" s="1358"/>
      <c r="DKL518" s="1358"/>
      <c r="DKM518" s="1358"/>
      <c r="DKN518" s="1358"/>
      <c r="DKO518" s="1358"/>
      <c r="DKP518" s="1358"/>
      <c r="DKQ518" s="1358"/>
      <c r="DKR518" s="1358"/>
      <c r="DKS518" s="1358"/>
      <c r="DKT518" s="1358"/>
      <c r="DKU518" s="1358"/>
      <c r="DKV518" s="1358"/>
      <c r="DKW518" s="1358"/>
      <c r="DKX518" s="1358"/>
      <c r="DKY518" s="1358"/>
      <c r="DKZ518" s="1358"/>
      <c r="DLA518" s="1358"/>
      <c r="DLB518" s="1358"/>
      <c r="DLC518" s="1358"/>
      <c r="DLD518" s="1358"/>
      <c r="DLE518" s="1358"/>
      <c r="DLF518" s="1358"/>
      <c r="DLG518" s="1358"/>
      <c r="DLH518" s="1358"/>
      <c r="DLI518" s="1358"/>
      <c r="DLJ518" s="1358"/>
      <c r="DLK518" s="1358"/>
      <c r="DLL518" s="1358"/>
      <c r="DLM518" s="1358"/>
      <c r="DLN518" s="1358"/>
      <c r="DLO518" s="1358"/>
      <c r="DLP518" s="1358"/>
      <c r="DLQ518" s="1358"/>
      <c r="DLR518" s="1358"/>
      <c r="DLS518" s="1358"/>
      <c r="DLT518" s="1358"/>
      <c r="DLU518" s="1358"/>
      <c r="DLV518" s="1358"/>
      <c r="DLW518" s="1358"/>
      <c r="DLX518" s="1358"/>
      <c r="DLY518" s="1358"/>
      <c r="DLZ518" s="1358"/>
      <c r="DMA518" s="1358"/>
      <c r="DMB518" s="1358"/>
      <c r="DMC518" s="1358"/>
      <c r="DMD518" s="1358"/>
      <c r="DME518" s="1358"/>
      <c r="DMF518" s="1358"/>
      <c r="DMG518" s="1358"/>
      <c r="DMH518" s="1358"/>
      <c r="DMI518" s="1358"/>
      <c r="DMJ518" s="1358"/>
      <c r="DMK518" s="1358"/>
      <c r="DML518" s="1358"/>
      <c r="DMM518" s="1358"/>
      <c r="DMN518" s="1358"/>
      <c r="DMO518" s="1358"/>
      <c r="DMP518" s="1358"/>
      <c r="DMQ518" s="1358"/>
      <c r="DMR518" s="1358"/>
      <c r="DMS518" s="1358"/>
      <c r="DMT518" s="1358"/>
      <c r="DMU518" s="1358"/>
      <c r="DMV518" s="1358"/>
      <c r="DMW518" s="1358"/>
      <c r="DMX518" s="1358"/>
      <c r="DMY518" s="1358"/>
      <c r="DMZ518" s="1358"/>
      <c r="DNA518" s="1358"/>
      <c r="DNB518" s="1358"/>
      <c r="DNC518" s="1358"/>
      <c r="DND518" s="1358"/>
      <c r="DNE518" s="1358"/>
      <c r="DNF518" s="1358"/>
      <c r="DNG518" s="1358"/>
      <c r="DNH518" s="1358"/>
      <c r="DNI518" s="1358"/>
      <c r="DNJ518" s="1358"/>
      <c r="DNK518" s="1358"/>
      <c r="DNL518" s="1358"/>
      <c r="DNM518" s="1358"/>
      <c r="DNN518" s="1358"/>
      <c r="DNO518" s="1358"/>
      <c r="DNP518" s="1358"/>
      <c r="DNQ518" s="1358"/>
      <c r="DNR518" s="1358"/>
      <c r="DNS518" s="1358"/>
      <c r="DNT518" s="1358"/>
      <c r="DNU518" s="1358"/>
      <c r="DNV518" s="1358"/>
      <c r="DNW518" s="1358"/>
      <c r="DNX518" s="1358"/>
      <c r="DNY518" s="1358"/>
      <c r="DNZ518" s="1358"/>
      <c r="DOA518" s="1358"/>
      <c r="DOB518" s="1358"/>
      <c r="DOC518" s="1358"/>
      <c r="DOD518" s="1358"/>
      <c r="DOE518" s="1358"/>
      <c r="DOF518" s="1358"/>
      <c r="DOG518" s="1358"/>
      <c r="DOH518" s="1358"/>
      <c r="DOI518" s="1358"/>
      <c r="DOJ518" s="1358"/>
      <c r="DOK518" s="1358"/>
      <c r="DOL518" s="1358"/>
      <c r="DOM518" s="1358"/>
      <c r="DON518" s="1358"/>
      <c r="DOO518" s="1358"/>
      <c r="DOP518" s="1358"/>
      <c r="DOQ518" s="1358"/>
      <c r="DOR518" s="1358"/>
      <c r="DOS518" s="1358"/>
      <c r="DOT518" s="1358"/>
      <c r="DOU518" s="1358"/>
      <c r="DOV518" s="1358"/>
      <c r="DOW518" s="1358"/>
      <c r="DOX518" s="1358"/>
      <c r="DOY518" s="1358"/>
      <c r="DOZ518" s="1358"/>
      <c r="DPA518" s="1358"/>
      <c r="DPB518" s="1358"/>
      <c r="DPC518" s="1358"/>
      <c r="DPD518" s="1358"/>
      <c r="DPE518" s="1358"/>
      <c r="DPF518" s="1358"/>
      <c r="DPG518" s="1358"/>
      <c r="DPH518" s="1358"/>
      <c r="DPI518" s="1358"/>
      <c r="DPJ518" s="1358"/>
      <c r="DPK518" s="1358"/>
      <c r="DPL518" s="1358"/>
      <c r="DPM518" s="1358"/>
      <c r="DPN518" s="1358"/>
      <c r="DPO518" s="1358"/>
      <c r="DPP518" s="1358"/>
      <c r="DPQ518" s="1358"/>
      <c r="DPR518" s="1358"/>
      <c r="DPS518" s="1358"/>
      <c r="DPT518" s="1358"/>
      <c r="DPU518" s="1358"/>
      <c r="DPV518" s="1358"/>
      <c r="DPW518" s="1358"/>
      <c r="DPX518" s="1358"/>
      <c r="DPY518" s="1358"/>
      <c r="DPZ518" s="1358"/>
      <c r="DQA518" s="1358"/>
      <c r="DQB518" s="1358"/>
      <c r="DQC518" s="1358"/>
      <c r="DQD518" s="1358"/>
      <c r="DQE518" s="1358"/>
      <c r="DQF518" s="1358"/>
      <c r="DQG518" s="1358"/>
      <c r="DQH518" s="1358"/>
      <c r="DQI518" s="1358"/>
      <c r="DQJ518" s="1358"/>
      <c r="DQK518" s="1358"/>
      <c r="DQL518" s="1358"/>
      <c r="DQM518" s="1358"/>
      <c r="DQN518" s="1358"/>
      <c r="DQO518" s="1358"/>
      <c r="DQP518" s="1358"/>
      <c r="DQQ518" s="1358"/>
      <c r="DQR518" s="1358"/>
      <c r="DQS518" s="1358"/>
      <c r="DQT518" s="1358"/>
      <c r="DQU518" s="1358"/>
      <c r="DQV518" s="1358"/>
      <c r="DQW518" s="1358"/>
      <c r="DQX518" s="1358"/>
      <c r="DQY518" s="1358"/>
      <c r="DQZ518" s="1358"/>
      <c r="DRA518" s="1358"/>
      <c r="DRB518" s="1358"/>
      <c r="DRC518" s="1358"/>
      <c r="DRD518" s="1358"/>
      <c r="DRE518" s="1358"/>
      <c r="DRF518" s="1358"/>
      <c r="DRG518" s="1358"/>
      <c r="DRH518" s="1358"/>
      <c r="DRI518" s="1358"/>
      <c r="DRJ518" s="1358"/>
      <c r="DRK518" s="1358"/>
      <c r="DRL518" s="1358"/>
      <c r="DRM518" s="1358"/>
      <c r="DRN518" s="1358"/>
      <c r="DRO518" s="1358"/>
      <c r="DRP518" s="1358"/>
      <c r="DRQ518" s="1358"/>
      <c r="DRR518" s="1358"/>
      <c r="DRS518" s="1358"/>
      <c r="DRT518" s="1358"/>
      <c r="DRU518" s="1358"/>
      <c r="DRV518" s="1358"/>
      <c r="DRW518" s="1358"/>
      <c r="DRX518" s="1358"/>
      <c r="DRY518" s="1358"/>
      <c r="DRZ518" s="1358"/>
      <c r="DSA518" s="1358"/>
      <c r="DSB518" s="1358"/>
      <c r="DSC518" s="1358"/>
      <c r="DSD518" s="1358"/>
      <c r="DSE518" s="1358"/>
      <c r="DSF518" s="1358"/>
      <c r="DSG518" s="1358"/>
      <c r="DSH518" s="1358"/>
      <c r="DSI518" s="1358"/>
      <c r="DSJ518" s="1358"/>
      <c r="DSK518" s="1358"/>
      <c r="DSL518" s="1358"/>
      <c r="DSM518" s="1358"/>
      <c r="DSN518" s="1358"/>
      <c r="DSO518" s="1358"/>
      <c r="DSP518" s="1358"/>
      <c r="DSQ518" s="1358"/>
      <c r="DSR518" s="1358"/>
      <c r="DSS518" s="1358"/>
      <c r="DST518" s="1358"/>
      <c r="DSU518" s="1358"/>
      <c r="DSV518" s="1358"/>
      <c r="DSW518" s="1358"/>
      <c r="DSX518" s="1358"/>
      <c r="DSY518" s="1358"/>
      <c r="DSZ518" s="1358"/>
      <c r="DTA518" s="1358"/>
      <c r="DTB518" s="1358"/>
      <c r="DTC518" s="1358"/>
      <c r="DTD518" s="1358"/>
      <c r="DTE518" s="1358"/>
      <c r="DTF518" s="1358"/>
      <c r="DTG518" s="1358"/>
      <c r="DTH518" s="1358"/>
      <c r="DTI518" s="1358"/>
      <c r="DTJ518" s="1358"/>
      <c r="DTK518" s="1358"/>
      <c r="DTL518" s="1358"/>
      <c r="DTM518" s="1358"/>
      <c r="DTN518" s="1358"/>
      <c r="DTO518" s="1358"/>
      <c r="DTP518" s="1358"/>
      <c r="DTQ518" s="1358"/>
      <c r="DTR518" s="1358"/>
      <c r="DTS518" s="1358"/>
      <c r="DTT518" s="1358"/>
      <c r="DTU518" s="1358"/>
      <c r="DTV518" s="1358"/>
      <c r="DTW518" s="1358"/>
      <c r="DTX518" s="1358"/>
      <c r="DTY518" s="1358"/>
      <c r="DTZ518" s="1358"/>
      <c r="DUA518" s="1358"/>
      <c r="DUB518" s="1358"/>
      <c r="DUC518" s="1358"/>
      <c r="DUD518" s="1358"/>
      <c r="DUE518" s="1358"/>
      <c r="DUF518" s="1358"/>
      <c r="DUG518" s="1358"/>
      <c r="DUH518" s="1358"/>
      <c r="DUI518" s="1358"/>
      <c r="DUJ518" s="1358"/>
      <c r="DUK518" s="1358"/>
      <c r="DUL518" s="1358"/>
      <c r="DUM518" s="1358"/>
      <c r="DUN518" s="1358"/>
      <c r="DUO518" s="1358"/>
      <c r="DUP518" s="1358"/>
      <c r="DUQ518" s="1358"/>
      <c r="DUR518" s="1358"/>
      <c r="DUS518" s="1358"/>
      <c r="DUT518" s="1358"/>
      <c r="DUU518" s="1358"/>
      <c r="DUV518" s="1358"/>
      <c r="DUW518" s="1358"/>
      <c r="DUX518" s="1358"/>
      <c r="DUY518" s="1358"/>
      <c r="DUZ518" s="1358"/>
      <c r="DVA518" s="1358"/>
      <c r="DVB518" s="1358"/>
      <c r="DVC518" s="1358"/>
      <c r="DVD518" s="1358"/>
      <c r="DVE518" s="1358"/>
      <c r="DVF518" s="1358"/>
      <c r="DVG518" s="1358"/>
      <c r="DVH518" s="1358"/>
      <c r="DVI518" s="1358"/>
      <c r="DVJ518" s="1358"/>
      <c r="DVK518" s="1358"/>
      <c r="DVL518" s="1358"/>
      <c r="DVM518" s="1358"/>
      <c r="DVN518" s="1358"/>
      <c r="DVO518" s="1358"/>
      <c r="DVP518" s="1358"/>
      <c r="DVQ518" s="1358"/>
      <c r="DVR518" s="1358"/>
      <c r="DVS518" s="1358"/>
      <c r="DVT518" s="1358"/>
      <c r="DVU518" s="1358"/>
      <c r="DVV518" s="1358"/>
      <c r="DVW518" s="1358"/>
      <c r="DVX518" s="1358"/>
      <c r="DVY518" s="1358"/>
      <c r="DVZ518" s="1358"/>
      <c r="DWA518" s="1358"/>
      <c r="DWB518" s="1358"/>
      <c r="DWC518" s="1358"/>
      <c r="DWD518" s="1358"/>
      <c r="DWE518" s="1358"/>
      <c r="DWF518" s="1358"/>
      <c r="DWG518" s="1358"/>
      <c r="DWH518" s="1358"/>
      <c r="DWI518" s="1358"/>
      <c r="DWJ518" s="1358"/>
      <c r="DWK518" s="1358"/>
      <c r="DWL518" s="1358"/>
      <c r="DWM518" s="1358"/>
      <c r="DWN518" s="1358"/>
      <c r="DWO518" s="1358"/>
      <c r="DWP518" s="1358"/>
      <c r="DWQ518" s="1358"/>
      <c r="DWR518" s="1358"/>
      <c r="DWS518" s="1358"/>
      <c r="DWT518" s="1358"/>
      <c r="DWU518" s="1358"/>
      <c r="DWV518" s="1358"/>
      <c r="DWW518" s="1358"/>
      <c r="DWX518" s="1358"/>
      <c r="DWY518" s="1358"/>
      <c r="DWZ518" s="1358"/>
      <c r="DXA518" s="1358"/>
      <c r="DXB518" s="1358"/>
      <c r="DXC518" s="1358"/>
      <c r="DXD518" s="1358"/>
      <c r="DXE518" s="1358"/>
      <c r="DXF518" s="1358"/>
      <c r="DXG518" s="1358"/>
      <c r="DXH518" s="1358"/>
      <c r="DXI518" s="1358"/>
      <c r="DXJ518" s="1358"/>
      <c r="DXK518" s="1358"/>
      <c r="DXL518" s="1358"/>
      <c r="DXM518" s="1358"/>
      <c r="DXN518" s="1358"/>
      <c r="DXO518" s="1358"/>
      <c r="DXP518" s="1358"/>
      <c r="DXQ518" s="1358"/>
      <c r="DXR518" s="1358"/>
      <c r="DXS518" s="1358"/>
      <c r="DXT518" s="1358"/>
      <c r="DXU518" s="1358"/>
      <c r="DXV518" s="1358"/>
      <c r="DXW518" s="1358"/>
      <c r="DXX518" s="1358"/>
      <c r="DXY518" s="1358"/>
      <c r="DXZ518" s="1358"/>
      <c r="DYA518" s="1358"/>
      <c r="DYB518" s="1358"/>
      <c r="DYC518" s="1358"/>
      <c r="DYD518" s="1358"/>
      <c r="DYE518" s="1358"/>
      <c r="DYF518" s="1358"/>
      <c r="DYG518" s="1358"/>
      <c r="DYH518" s="1358"/>
      <c r="DYI518" s="1358"/>
      <c r="DYJ518" s="1358"/>
      <c r="DYK518" s="1358"/>
      <c r="DYL518" s="1358"/>
      <c r="DYM518" s="1358"/>
      <c r="DYN518" s="1358"/>
      <c r="DYO518" s="1358"/>
      <c r="DYP518" s="1358"/>
      <c r="DYQ518" s="1358"/>
      <c r="DYR518" s="1358"/>
      <c r="DYS518" s="1358"/>
      <c r="DYT518" s="1358"/>
      <c r="DYU518" s="1358"/>
      <c r="DYV518" s="1358"/>
      <c r="DYW518" s="1358"/>
      <c r="DYX518" s="1358"/>
      <c r="DYY518" s="1358"/>
      <c r="DYZ518" s="1358"/>
      <c r="DZA518" s="1358"/>
      <c r="DZB518" s="1358"/>
      <c r="DZC518" s="1358"/>
      <c r="DZD518" s="1358"/>
      <c r="DZE518" s="1358"/>
      <c r="DZF518" s="1358"/>
      <c r="DZG518" s="1358"/>
      <c r="DZH518" s="1358"/>
      <c r="DZI518" s="1358"/>
      <c r="DZJ518" s="1358"/>
      <c r="DZK518" s="1358"/>
      <c r="DZL518" s="1358"/>
      <c r="DZM518" s="1358"/>
      <c r="DZN518" s="1358"/>
      <c r="DZO518" s="1358"/>
      <c r="DZP518" s="1358"/>
      <c r="DZQ518" s="1358"/>
      <c r="DZR518" s="1358"/>
      <c r="DZS518" s="1358"/>
      <c r="DZT518" s="1358"/>
      <c r="DZU518" s="1358"/>
      <c r="DZV518" s="1358"/>
      <c r="DZW518" s="1358"/>
      <c r="DZX518" s="1358"/>
      <c r="DZY518" s="1358"/>
      <c r="DZZ518" s="1358"/>
      <c r="EAA518" s="1358"/>
      <c r="EAB518" s="1358"/>
      <c r="EAC518" s="1358"/>
      <c r="EAD518" s="1358"/>
      <c r="EAE518" s="1358"/>
      <c r="EAF518" s="1358"/>
      <c r="EAG518" s="1358"/>
      <c r="EAH518" s="1358"/>
      <c r="EAI518" s="1358"/>
      <c r="EAJ518" s="1358"/>
      <c r="EAK518" s="1358"/>
      <c r="EAL518" s="1358"/>
      <c r="EAM518" s="1358"/>
      <c r="EAN518" s="1358"/>
      <c r="EAO518" s="1358"/>
      <c r="EAP518" s="1358"/>
      <c r="EAQ518" s="1358"/>
      <c r="EAR518" s="1358"/>
      <c r="EAS518" s="1358"/>
      <c r="EAT518" s="1358"/>
      <c r="EAU518" s="1358"/>
      <c r="EAV518" s="1358"/>
      <c r="EAW518" s="1358"/>
      <c r="EAX518" s="1358"/>
      <c r="EAY518" s="1358"/>
      <c r="EAZ518" s="1358"/>
      <c r="EBA518" s="1358"/>
      <c r="EBB518" s="1358"/>
      <c r="EBC518" s="1358"/>
      <c r="EBD518" s="1358"/>
      <c r="EBE518" s="1358"/>
      <c r="EBF518" s="1358"/>
      <c r="EBG518" s="1358"/>
      <c r="EBH518" s="1358"/>
      <c r="EBI518" s="1358"/>
      <c r="EBJ518" s="1358"/>
      <c r="EBK518" s="1358"/>
      <c r="EBL518" s="1358"/>
      <c r="EBM518" s="1358"/>
      <c r="EBN518" s="1358"/>
      <c r="EBO518" s="1358"/>
      <c r="EBP518" s="1358"/>
      <c r="EBQ518" s="1358"/>
      <c r="EBR518" s="1358"/>
      <c r="EBS518" s="1358"/>
      <c r="EBT518" s="1358"/>
      <c r="EBU518" s="1358"/>
      <c r="EBV518" s="1358"/>
      <c r="EBW518" s="1358"/>
      <c r="EBX518" s="1358"/>
      <c r="EBY518" s="1358"/>
      <c r="EBZ518" s="1358"/>
      <c r="ECA518" s="1358"/>
      <c r="ECB518" s="1358"/>
      <c r="ECC518" s="1358"/>
      <c r="ECD518" s="1358"/>
      <c r="ECE518" s="1358"/>
      <c r="ECF518" s="1358"/>
      <c r="ECG518" s="1358"/>
      <c r="ECH518" s="1358"/>
      <c r="ECI518" s="1358"/>
      <c r="ECJ518" s="1358"/>
      <c r="ECK518" s="1358"/>
      <c r="ECL518" s="1358"/>
      <c r="ECM518" s="1358"/>
      <c r="ECN518" s="1358"/>
      <c r="ECO518" s="1358"/>
      <c r="ECP518" s="1358"/>
      <c r="ECQ518" s="1358"/>
      <c r="ECR518" s="1358"/>
      <c r="ECS518" s="1358"/>
      <c r="ECT518" s="1358"/>
      <c r="ECU518" s="1358"/>
      <c r="ECV518" s="1358"/>
      <c r="ECW518" s="1358"/>
      <c r="ECX518" s="1358"/>
      <c r="ECY518" s="1358"/>
      <c r="ECZ518" s="1358"/>
      <c r="EDA518" s="1358"/>
      <c r="EDB518" s="1358"/>
      <c r="EDC518" s="1358"/>
      <c r="EDD518" s="1358"/>
      <c r="EDE518" s="1358"/>
      <c r="EDF518" s="1358"/>
      <c r="EDG518" s="1358"/>
      <c r="EDH518" s="1358"/>
      <c r="EDI518" s="1358"/>
      <c r="EDJ518" s="1358"/>
      <c r="EDK518" s="1358"/>
      <c r="EDL518" s="1358"/>
      <c r="EDM518" s="1358"/>
      <c r="EDN518" s="1358"/>
      <c r="EDO518" s="1358"/>
      <c r="EDP518" s="1358"/>
      <c r="EDQ518" s="1358"/>
      <c r="EDR518" s="1358"/>
      <c r="EDS518" s="1358"/>
      <c r="EDT518" s="1358"/>
      <c r="EDU518" s="1358"/>
      <c r="EDV518" s="1358"/>
      <c r="EDW518" s="1358"/>
      <c r="EDX518" s="1358"/>
      <c r="EDY518" s="1358"/>
      <c r="EDZ518" s="1358"/>
      <c r="EEA518" s="1358"/>
      <c r="EEB518" s="1358"/>
      <c r="EEC518" s="1358"/>
      <c r="EED518" s="1358"/>
      <c r="EEE518" s="1358"/>
      <c r="EEF518" s="1358"/>
      <c r="EEG518" s="1358"/>
      <c r="EEH518" s="1358"/>
      <c r="EEI518" s="1358"/>
      <c r="EEJ518" s="1358"/>
      <c r="EEK518" s="1358"/>
      <c r="EEL518" s="1358"/>
      <c r="EEM518" s="1358"/>
      <c r="EEN518" s="1358"/>
      <c r="EEO518" s="1358"/>
      <c r="EEP518" s="1358"/>
      <c r="EEQ518" s="1358"/>
      <c r="EER518" s="1358"/>
      <c r="EES518" s="1358"/>
      <c r="EET518" s="1358"/>
      <c r="EEU518" s="1358"/>
      <c r="EEV518" s="1358"/>
      <c r="EEW518" s="1358"/>
      <c r="EEX518" s="1358"/>
      <c r="EEY518" s="1358"/>
      <c r="EEZ518" s="1358"/>
      <c r="EFA518" s="1358"/>
      <c r="EFB518" s="1358"/>
      <c r="EFC518" s="1358"/>
      <c r="EFD518" s="1358"/>
      <c r="EFE518" s="1358"/>
      <c r="EFF518" s="1358"/>
      <c r="EFG518" s="1358"/>
      <c r="EFH518" s="1358"/>
      <c r="EFI518" s="1358"/>
      <c r="EFJ518" s="1358"/>
      <c r="EFK518" s="1358"/>
      <c r="EFL518" s="1358"/>
      <c r="EFM518" s="1358"/>
      <c r="EFN518" s="1358"/>
      <c r="EFO518" s="1358"/>
      <c r="EFP518" s="1358"/>
      <c r="EFQ518" s="1358"/>
      <c r="EFR518" s="1358"/>
      <c r="EFS518" s="1358"/>
      <c r="EFT518" s="1358"/>
      <c r="EFU518" s="1358"/>
      <c r="EFV518" s="1358"/>
      <c r="EFW518" s="1358"/>
      <c r="EFX518" s="1358"/>
      <c r="EFY518" s="1358"/>
      <c r="EFZ518" s="1358"/>
      <c r="EGA518" s="1358"/>
      <c r="EGB518" s="1358"/>
      <c r="EGC518" s="1358"/>
      <c r="EGD518" s="1358"/>
      <c r="EGE518" s="1358"/>
      <c r="EGF518" s="1358"/>
      <c r="EGG518" s="1358"/>
      <c r="EGH518" s="1358"/>
      <c r="EGI518" s="1358"/>
      <c r="EGJ518" s="1358"/>
      <c r="EGK518" s="1358"/>
      <c r="EGL518" s="1358"/>
      <c r="EGM518" s="1358"/>
      <c r="EGN518" s="1358"/>
      <c r="EGO518" s="1358"/>
      <c r="EGP518" s="1358"/>
      <c r="EGQ518" s="1358"/>
      <c r="EGR518" s="1358"/>
      <c r="EGS518" s="1358"/>
      <c r="EGT518" s="1358"/>
      <c r="EGU518" s="1358"/>
      <c r="EGV518" s="1358"/>
      <c r="EGW518" s="1358"/>
      <c r="EGX518" s="1358"/>
      <c r="EGY518" s="1358"/>
      <c r="EGZ518" s="1358"/>
      <c r="EHA518" s="1358"/>
      <c r="EHB518" s="1358"/>
      <c r="EHC518" s="1358"/>
      <c r="EHD518" s="1358"/>
      <c r="EHE518" s="1358"/>
      <c r="EHF518" s="1358"/>
      <c r="EHG518" s="1358"/>
      <c r="EHH518" s="1358"/>
      <c r="EHI518" s="1358"/>
      <c r="EHJ518" s="1358"/>
      <c r="EHK518" s="1358"/>
      <c r="EHL518" s="1358"/>
      <c r="EHM518" s="1358"/>
      <c r="EHN518" s="1358"/>
      <c r="EHO518" s="1358"/>
      <c r="EHP518" s="1358"/>
      <c r="EHQ518" s="1358"/>
      <c r="EHR518" s="1358"/>
      <c r="EHS518" s="1358"/>
      <c r="EHT518" s="1358"/>
      <c r="EHU518" s="1358"/>
      <c r="EHV518" s="1358"/>
      <c r="EHW518" s="1358"/>
      <c r="EHX518" s="1358"/>
      <c r="EHY518" s="1358"/>
      <c r="EHZ518" s="1358"/>
      <c r="EIA518" s="1358"/>
      <c r="EIB518" s="1358"/>
      <c r="EIC518" s="1358"/>
      <c r="EID518" s="1358"/>
      <c r="EIE518" s="1358"/>
      <c r="EIF518" s="1358"/>
      <c r="EIG518" s="1358"/>
      <c r="EIH518" s="1358"/>
      <c r="EII518" s="1358"/>
      <c r="EIJ518" s="1358"/>
      <c r="EIK518" s="1358"/>
      <c r="EIL518" s="1358"/>
      <c r="EIM518" s="1358"/>
      <c r="EIN518" s="1358"/>
      <c r="EIO518" s="1358"/>
      <c r="EIP518" s="1358"/>
      <c r="EIQ518" s="1358"/>
      <c r="EIR518" s="1358"/>
      <c r="EIS518" s="1358"/>
      <c r="EIT518" s="1358"/>
      <c r="EIU518" s="1358"/>
      <c r="EIV518" s="1358"/>
      <c r="EIW518" s="1358"/>
      <c r="EIX518" s="1358"/>
      <c r="EIY518" s="1358"/>
      <c r="EIZ518" s="1358"/>
      <c r="EJA518" s="1358"/>
      <c r="EJB518" s="1358"/>
      <c r="EJC518" s="1358"/>
      <c r="EJD518" s="1358"/>
      <c r="EJE518" s="1358"/>
      <c r="EJF518" s="1358"/>
      <c r="EJG518" s="1358"/>
      <c r="EJH518" s="1358"/>
      <c r="EJI518" s="1358"/>
      <c r="EJJ518" s="1358"/>
      <c r="EJK518" s="1358"/>
      <c r="EJL518" s="1358"/>
      <c r="EJM518" s="1358"/>
      <c r="EJN518" s="1358"/>
      <c r="EJO518" s="1358"/>
      <c r="EJP518" s="1358"/>
      <c r="EJQ518" s="1358"/>
      <c r="EJR518" s="1358"/>
      <c r="EJS518" s="1358"/>
      <c r="EJT518" s="1358"/>
      <c r="EJU518" s="1358"/>
      <c r="EJV518" s="1358"/>
      <c r="EJW518" s="1358"/>
      <c r="EJX518" s="1358"/>
      <c r="EJY518" s="1358"/>
      <c r="EJZ518" s="1358"/>
      <c r="EKA518" s="1358"/>
      <c r="EKB518" s="1358"/>
      <c r="EKC518" s="1358"/>
      <c r="EKD518" s="1358"/>
      <c r="EKE518" s="1358"/>
      <c r="EKF518" s="1358"/>
      <c r="EKG518" s="1358"/>
      <c r="EKH518" s="1358"/>
      <c r="EKI518" s="1358"/>
      <c r="EKJ518" s="1358"/>
      <c r="EKK518" s="1358"/>
      <c r="EKL518" s="1358"/>
      <c r="EKM518" s="1358"/>
      <c r="EKN518" s="1358"/>
      <c r="EKO518" s="1358"/>
      <c r="EKP518" s="1358"/>
      <c r="EKQ518" s="1358"/>
      <c r="EKR518" s="1358"/>
      <c r="EKS518" s="1358"/>
      <c r="EKT518" s="1358"/>
      <c r="EKU518" s="1358"/>
      <c r="EKV518" s="1358"/>
      <c r="EKW518" s="1358"/>
      <c r="EKX518" s="1358"/>
      <c r="EKY518" s="1358"/>
      <c r="EKZ518" s="1358"/>
      <c r="ELA518" s="1358"/>
      <c r="ELB518" s="1358"/>
      <c r="ELC518" s="1358"/>
      <c r="ELD518" s="1358"/>
      <c r="ELE518" s="1358"/>
      <c r="ELF518" s="1358"/>
      <c r="ELG518" s="1358"/>
      <c r="ELH518" s="1358"/>
      <c r="ELI518" s="1358"/>
      <c r="ELJ518" s="1358"/>
      <c r="ELK518" s="1358"/>
      <c r="ELL518" s="1358"/>
      <c r="ELM518" s="1358"/>
      <c r="ELN518" s="1358"/>
      <c r="ELO518" s="1358"/>
      <c r="ELP518" s="1358"/>
      <c r="ELQ518" s="1358"/>
      <c r="ELR518" s="1358"/>
      <c r="ELS518" s="1358"/>
      <c r="ELT518" s="1358"/>
      <c r="ELU518" s="1358"/>
      <c r="ELV518" s="1358"/>
      <c r="ELW518" s="1358"/>
      <c r="ELX518" s="1358"/>
      <c r="ELY518" s="1358"/>
      <c r="ELZ518" s="1358"/>
      <c r="EMA518" s="1358"/>
      <c r="EMB518" s="1358"/>
      <c r="EMC518" s="1358"/>
      <c r="EMD518" s="1358"/>
      <c r="EME518" s="1358"/>
      <c r="EMF518" s="1358"/>
      <c r="EMG518" s="1358"/>
      <c r="EMH518" s="1358"/>
      <c r="EMI518" s="1358"/>
      <c r="EMJ518" s="1358"/>
      <c r="EMK518" s="1358"/>
      <c r="EML518" s="1358"/>
      <c r="EMM518" s="1358"/>
      <c r="EMN518" s="1358"/>
      <c r="EMO518" s="1358"/>
      <c r="EMP518" s="1358"/>
      <c r="EMQ518" s="1358"/>
      <c r="EMR518" s="1358"/>
      <c r="EMS518" s="1358"/>
      <c r="EMT518" s="1358"/>
      <c r="EMU518" s="1358"/>
      <c r="EMV518" s="1358"/>
      <c r="EMW518" s="1358"/>
      <c r="EMX518" s="1358"/>
      <c r="EMY518" s="1358"/>
      <c r="EMZ518" s="1358"/>
      <c r="ENA518" s="1358"/>
      <c r="ENB518" s="1358"/>
      <c r="ENC518" s="1358"/>
      <c r="END518" s="1358"/>
      <c r="ENE518" s="1358"/>
      <c r="ENF518" s="1358"/>
      <c r="ENG518" s="1358"/>
      <c r="ENH518" s="1358"/>
      <c r="ENI518" s="1358"/>
      <c r="ENJ518" s="1358"/>
      <c r="ENK518" s="1358"/>
      <c r="ENL518" s="1358"/>
      <c r="ENM518" s="1358"/>
      <c r="ENN518" s="1358"/>
      <c r="ENO518" s="1358"/>
      <c r="ENP518" s="1358"/>
      <c r="ENQ518" s="1358"/>
      <c r="ENR518" s="1358"/>
      <c r="ENS518" s="1358"/>
      <c r="ENT518" s="1358"/>
      <c r="ENU518" s="1358"/>
      <c r="ENV518" s="1358"/>
      <c r="ENW518" s="1358"/>
      <c r="ENX518" s="1358"/>
      <c r="ENY518" s="1358"/>
      <c r="ENZ518" s="1358"/>
      <c r="EOA518" s="1358"/>
      <c r="EOB518" s="1358"/>
      <c r="EOC518" s="1358"/>
      <c r="EOD518" s="1358"/>
      <c r="EOE518" s="1358"/>
      <c r="EOF518" s="1358"/>
      <c r="EOG518" s="1358"/>
      <c r="EOH518" s="1358"/>
      <c r="EOI518" s="1358"/>
      <c r="EOJ518" s="1358"/>
      <c r="EOK518" s="1358"/>
      <c r="EOL518" s="1358"/>
      <c r="EOM518" s="1358"/>
      <c r="EON518" s="1358"/>
      <c r="EOO518" s="1358"/>
      <c r="EOP518" s="1358"/>
      <c r="EOQ518" s="1358"/>
      <c r="EOR518" s="1358"/>
      <c r="EOS518" s="1358"/>
      <c r="EOT518" s="1358"/>
      <c r="EOU518" s="1358"/>
      <c r="EOV518" s="1358"/>
      <c r="EOW518" s="1358"/>
      <c r="EOX518" s="1358"/>
      <c r="EOY518" s="1358"/>
      <c r="EOZ518" s="1358"/>
      <c r="EPA518" s="1358"/>
      <c r="EPB518" s="1358"/>
      <c r="EPC518" s="1358"/>
      <c r="EPD518" s="1358"/>
      <c r="EPE518" s="1358"/>
      <c r="EPF518" s="1358"/>
      <c r="EPG518" s="1358"/>
      <c r="EPH518" s="1358"/>
      <c r="EPI518" s="1358"/>
      <c r="EPJ518" s="1358"/>
      <c r="EPK518" s="1358"/>
      <c r="EPL518" s="1358"/>
      <c r="EPM518" s="1358"/>
      <c r="EPN518" s="1358"/>
      <c r="EPO518" s="1358"/>
      <c r="EPP518" s="1358"/>
      <c r="EPQ518" s="1358"/>
      <c r="EPR518" s="1358"/>
      <c r="EPS518" s="1358"/>
      <c r="EPT518" s="1358"/>
      <c r="EPU518" s="1358"/>
      <c r="EPV518" s="1358"/>
      <c r="EPW518" s="1358"/>
      <c r="EPX518" s="1358"/>
      <c r="EPY518" s="1358"/>
      <c r="EPZ518" s="1358"/>
      <c r="EQA518" s="1358"/>
      <c r="EQB518" s="1358"/>
      <c r="EQC518" s="1358"/>
      <c r="EQD518" s="1358"/>
      <c r="EQE518" s="1358"/>
      <c r="EQF518" s="1358"/>
      <c r="EQG518" s="1358"/>
      <c r="EQH518" s="1358"/>
      <c r="EQI518" s="1358"/>
      <c r="EQJ518" s="1358"/>
      <c r="EQK518" s="1358"/>
      <c r="EQL518" s="1358"/>
      <c r="EQM518" s="1358"/>
      <c r="EQN518" s="1358"/>
      <c r="EQO518" s="1358"/>
      <c r="EQP518" s="1358"/>
      <c r="EQQ518" s="1358"/>
      <c r="EQR518" s="1358"/>
      <c r="EQS518" s="1358"/>
      <c r="EQT518" s="1358"/>
      <c r="EQU518" s="1358"/>
      <c r="EQV518" s="1358"/>
      <c r="EQW518" s="1358"/>
      <c r="EQX518" s="1358"/>
      <c r="EQY518" s="1358"/>
      <c r="EQZ518" s="1358"/>
      <c r="ERA518" s="1358"/>
      <c r="ERB518" s="1358"/>
      <c r="ERC518" s="1358"/>
      <c r="ERD518" s="1358"/>
      <c r="ERE518" s="1358"/>
      <c r="ERF518" s="1358"/>
      <c r="ERG518" s="1358"/>
      <c r="ERH518" s="1358"/>
      <c r="ERI518" s="1358"/>
      <c r="ERJ518" s="1358"/>
      <c r="ERK518" s="1358"/>
      <c r="ERL518" s="1358"/>
      <c r="ERM518" s="1358"/>
      <c r="ERN518" s="1358"/>
      <c r="ERO518" s="1358"/>
      <c r="ERP518" s="1358"/>
      <c r="ERQ518" s="1358"/>
      <c r="ERR518" s="1358"/>
      <c r="ERS518" s="1358"/>
      <c r="ERT518" s="1358"/>
      <c r="ERU518" s="1358"/>
      <c r="ERV518" s="1358"/>
      <c r="ERW518" s="1358"/>
      <c r="ERX518" s="1358"/>
      <c r="ERY518" s="1358"/>
      <c r="ERZ518" s="1358"/>
      <c r="ESA518" s="1358"/>
      <c r="ESB518" s="1358"/>
      <c r="ESC518" s="1358"/>
      <c r="ESD518" s="1358"/>
      <c r="ESE518" s="1358"/>
      <c r="ESF518" s="1358"/>
      <c r="ESG518" s="1358"/>
      <c r="ESH518" s="1358"/>
      <c r="ESI518" s="1358"/>
      <c r="ESJ518" s="1358"/>
      <c r="ESK518" s="1358"/>
      <c r="ESL518" s="1358"/>
      <c r="ESM518" s="1358"/>
      <c r="ESN518" s="1358"/>
      <c r="ESO518" s="1358"/>
      <c r="ESP518" s="1358"/>
      <c r="ESQ518" s="1358"/>
      <c r="ESR518" s="1358"/>
      <c r="ESS518" s="1358"/>
      <c r="EST518" s="1358"/>
      <c r="ESU518" s="1358"/>
      <c r="ESV518" s="1358"/>
      <c r="ESW518" s="1358"/>
      <c r="ESX518" s="1358"/>
      <c r="ESY518" s="1358"/>
      <c r="ESZ518" s="1358"/>
      <c r="ETA518" s="1358"/>
      <c r="ETB518" s="1358"/>
      <c r="ETC518" s="1358"/>
      <c r="ETD518" s="1358"/>
      <c r="ETE518" s="1358"/>
      <c r="ETF518" s="1358"/>
      <c r="ETG518" s="1358"/>
      <c r="ETH518" s="1358"/>
      <c r="ETI518" s="1358"/>
      <c r="ETJ518" s="1358"/>
      <c r="ETK518" s="1358"/>
      <c r="ETL518" s="1358"/>
      <c r="ETM518" s="1358"/>
      <c r="ETN518" s="1358"/>
      <c r="ETO518" s="1358"/>
      <c r="ETP518" s="1358"/>
      <c r="ETQ518" s="1358"/>
      <c r="ETR518" s="1358"/>
      <c r="ETS518" s="1358"/>
      <c r="ETT518" s="1358"/>
      <c r="ETU518" s="1358"/>
      <c r="ETV518" s="1358"/>
      <c r="ETW518" s="1358"/>
      <c r="ETX518" s="1358"/>
      <c r="ETY518" s="1358"/>
      <c r="ETZ518" s="1358"/>
      <c r="EUA518" s="1358"/>
      <c r="EUB518" s="1358"/>
      <c r="EUC518" s="1358"/>
      <c r="EUD518" s="1358"/>
      <c r="EUE518" s="1358"/>
      <c r="EUF518" s="1358"/>
      <c r="EUG518" s="1358"/>
      <c r="EUH518" s="1358"/>
      <c r="EUI518" s="1358"/>
      <c r="EUJ518" s="1358"/>
      <c r="EUK518" s="1358"/>
      <c r="EUL518" s="1358"/>
      <c r="EUM518" s="1358"/>
      <c r="EUN518" s="1358"/>
      <c r="EUO518" s="1358"/>
      <c r="EUP518" s="1358"/>
      <c r="EUQ518" s="1358"/>
      <c r="EUR518" s="1358"/>
      <c r="EUS518" s="1358"/>
      <c r="EUT518" s="1358"/>
      <c r="EUU518" s="1358"/>
      <c r="EUV518" s="1358"/>
      <c r="EUW518" s="1358"/>
      <c r="EUX518" s="1358"/>
      <c r="EUY518" s="1358"/>
      <c r="EUZ518" s="1358"/>
      <c r="EVA518" s="1358"/>
      <c r="EVB518" s="1358"/>
      <c r="EVC518" s="1358"/>
      <c r="EVD518" s="1358"/>
      <c r="EVE518" s="1358"/>
      <c r="EVF518" s="1358"/>
      <c r="EVG518" s="1358"/>
      <c r="EVH518" s="1358"/>
      <c r="EVI518" s="1358"/>
      <c r="EVJ518" s="1358"/>
      <c r="EVK518" s="1358"/>
      <c r="EVL518" s="1358"/>
      <c r="EVM518" s="1358"/>
      <c r="EVN518" s="1358"/>
      <c r="EVO518" s="1358"/>
      <c r="EVP518" s="1358"/>
      <c r="EVQ518" s="1358"/>
      <c r="EVR518" s="1358"/>
      <c r="EVS518" s="1358"/>
      <c r="EVT518" s="1358"/>
      <c r="EVU518" s="1358"/>
      <c r="EVV518" s="1358"/>
      <c r="EVW518" s="1358"/>
      <c r="EVX518" s="1358"/>
      <c r="EVY518" s="1358"/>
      <c r="EVZ518" s="1358"/>
      <c r="EWA518" s="1358"/>
      <c r="EWB518" s="1358"/>
      <c r="EWC518" s="1358"/>
      <c r="EWD518" s="1358"/>
      <c r="EWE518" s="1358"/>
      <c r="EWF518" s="1358"/>
      <c r="EWG518" s="1358"/>
      <c r="EWH518" s="1358"/>
      <c r="EWI518" s="1358"/>
      <c r="EWJ518" s="1358"/>
      <c r="EWK518" s="1358"/>
      <c r="EWL518" s="1358"/>
      <c r="EWM518" s="1358"/>
      <c r="EWN518" s="1358"/>
      <c r="EWO518" s="1358"/>
      <c r="EWP518" s="1358"/>
      <c r="EWQ518" s="1358"/>
      <c r="EWR518" s="1358"/>
      <c r="EWS518" s="1358"/>
      <c r="EWT518" s="1358"/>
      <c r="EWU518" s="1358"/>
      <c r="EWV518" s="1358"/>
      <c r="EWW518" s="1358"/>
      <c r="EWX518" s="1358"/>
      <c r="EWY518" s="1358"/>
      <c r="EWZ518" s="1358"/>
      <c r="EXA518" s="1358"/>
      <c r="EXB518" s="1358"/>
      <c r="EXC518" s="1358"/>
      <c r="EXD518" s="1358"/>
      <c r="EXE518" s="1358"/>
      <c r="EXF518" s="1358"/>
      <c r="EXG518" s="1358"/>
      <c r="EXH518" s="1358"/>
      <c r="EXI518" s="1358"/>
      <c r="EXJ518" s="1358"/>
      <c r="EXK518" s="1358"/>
      <c r="EXL518" s="1358"/>
      <c r="EXM518" s="1358"/>
      <c r="EXN518" s="1358"/>
      <c r="EXO518" s="1358"/>
      <c r="EXP518" s="1358"/>
      <c r="EXQ518" s="1358"/>
      <c r="EXR518" s="1358"/>
      <c r="EXS518" s="1358"/>
      <c r="EXT518" s="1358"/>
      <c r="EXU518" s="1358"/>
      <c r="EXV518" s="1358"/>
      <c r="EXW518" s="1358"/>
      <c r="EXX518" s="1358"/>
      <c r="EXY518" s="1358"/>
      <c r="EXZ518" s="1358"/>
      <c r="EYA518" s="1358"/>
      <c r="EYB518" s="1358"/>
      <c r="EYC518" s="1358"/>
      <c r="EYD518" s="1358"/>
      <c r="EYE518" s="1358"/>
      <c r="EYF518" s="1358"/>
      <c r="EYG518" s="1358"/>
      <c r="EYH518" s="1358"/>
      <c r="EYI518" s="1358"/>
      <c r="EYJ518" s="1358"/>
      <c r="EYK518" s="1358"/>
      <c r="EYL518" s="1358"/>
      <c r="EYM518" s="1358"/>
      <c r="EYN518" s="1358"/>
      <c r="EYO518" s="1358"/>
      <c r="EYP518" s="1358"/>
      <c r="EYQ518" s="1358"/>
      <c r="EYR518" s="1358"/>
      <c r="EYS518" s="1358"/>
      <c r="EYT518" s="1358"/>
      <c r="EYU518" s="1358"/>
      <c r="EYV518" s="1358"/>
      <c r="EYW518" s="1358"/>
      <c r="EYX518" s="1358"/>
      <c r="EYY518" s="1358"/>
      <c r="EYZ518" s="1358"/>
      <c r="EZA518" s="1358"/>
      <c r="EZB518" s="1358"/>
      <c r="EZC518" s="1358"/>
      <c r="EZD518" s="1358"/>
      <c r="EZE518" s="1358"/>
      <c r="EZF518" s="1358"/>
      <c r="EZG518" s="1358"/>
      <c r="EZH518" s="1358"/>
      <c r="EZI518" s="1358"/>
      <c r="EZJ518" s="1358"/>
      <c r="EZK518" s="1358"/>
      <c r="EZL518" s="1358"/>
      <c r="EZM518" s="1358"/>
      <c r="EZN518" s="1358"/>
      <c r="EZO518" s="1358"/>
      <c r="EZP518" s="1358"/>
      <c r="EZQ518" s="1358"/>
      <c r="EZR518" s="1358"/>
      <c r="EZS518" s="1358"/>
      <c r="EZT518" s="1358"/>
      <c r="EZU518" s="1358"/>
      <c r="EZV518" s="1358"/>
      <c r="EZW518" s="1358"/>
      <c r="EZX518" s="1358"/>
      <c r="EZY518" s="1358"/>
      <c r="EZZ518" s="1358"/>
      <c r="FAA518" s="1358"/>
      <c r="FAB518" s="1358"/>
      <c r="FAC518" s="1358"/>
      <c r="FAD518" s="1358"/>
      <c r="FAE518" s="1358"/>
      <c r="FAF518" s="1358"/>
      <c r="FAG518" s="1358"/>
      <c r="FAH518" s="1358"/>
      <c r="FAI518" s="1358"/>
      <c r="FAJ518" s="1358"/>
      <c r="FAK518" s="1358"/>
      <c r="FAL518" s="1358"/>
      <c r="FAM518" s="1358"/>
      <c r="FAN518" s="1358"/>
      <c r="FAO518" s="1358"/>
      <c r="FAP518" s="1358"/>
      <c r="FAQ518" s="1358"/>
      <c r="FAR518" s="1358"/>
      <c r="FAS518" s="1358"/>
      <c r="FAT518" s="1358"/>
      <c r="FAU518" s="1358"/>
      <c r="FAV518" s="1358"/>
      <c r="FAW518" s="1358"/>
      <c r="FAX518" s="1358"/>
      <c r="FAY518" s="1358"/>
      <c r="FAZ518" s="1358"/>
      <c r="FBA518" s="1358"/>
      <c r="FBB518" s="1358"/>
      <c r="FBC518" s="1358"/>
      <c r="FBD518" s="1358"/>
      <c r="FBE518" s="1358"/>
      <c r="FBF518" s="1358"/>
      <c r="FBG518" s="1358"/>
      <c r="FBH518" s="1358"/>
      <c r="FBI518" s="1358"/>
      <c r="FBJ518" s="1358"/>
      <c r="FBK518" s="1358"/>
      <c r="FBL518" s="1358"/>
      <c r="FBM518" s="1358"/>
      <c r="FBN518" s="1358"/>
      <c r="FBO518" s="1358"/>
      <c r="FBP518" s="1358"/>
      <c r="FBQ518" s="1358"/>
      <c r="FBR518" s="1358"/>
      <c r="FBS518" s="1358"/>
      <c r="FBT518" s="1358"/>
      <c r="FBU518" s="1358"/>
      <c r="FBV518" s="1358"/>
      <c r="FBW518" s="1358"/>
      <c r="FBX518" s="1358"/>
      <c r="FBY518" s="1358"/>
      <c r="FBZ518" s="1358"/>
      <c r="FCA518" s="1358"/>
      <c r="FCB518" s="1358"/>
      <c r="FCC518" s="1358"/>
      <c r="FCD518" s="1358"/>
      <c r="FCE518" s="1358"/>
      <c r="FCF518" s="1358"/>
      <c r="FCG518" s="1358"/>
      <c r="FCH518" s="1358"/>
      <c r="FCI518" s="1358"/>
      <c r="FCJ518" s="1358"/>
      <c r="FCK518" s="1358"/>
      <c r="FCL518" s="1358"/>
      <c r="FCM518" s="1358"/>
      <c r="FCN518" s="1358"/>
      <c r="FCO518" s="1358"/>
      <c r="FCP518" s="1358"/>
      <c r="FCQ518" s="1358"/>
      <c r="FCR518" s="1358"/>
      <c r="FCS518" s="1358"/>
      <c r="FCT518" s="1358"/>
      <c r="FCU518" s="1358"/>
      <c r="FCV518" s="1358"/>
      <c r="FCW518" s="1358"/>
      <c r="FCX518" s="1358"/>
      <c r="FCY518" s="1358"/>
      <c r="FCZ518" s="1358"/>
      <c r="FDA518" s="1358"/>
      <c r="FDB518" s="1358"/>
      <c r="FDC518" s="1358"/>
      <c r="FDD518" s="1358"/>
      <c r="FDE518" s="1358"/>
      <c r="FDF518" s="1358"/>
      <c r="FDG518" s="1358"/>
      <c r="FDH518" s="1358"/>
      <c r="FDI518" s="1358"/>
      <c r="FDJ518" s="1358"/>
      <c r="FDK518" s="1358"/>
      <c r="FDL518" s="1358"/>
      <c r="FDM518" s="1358"/>
      <c r="FDN518" s="1358"/>
      <c r="FDO518" s="1358"/>
      <c r="FDP518" s="1358"/>
      <c r="FDQ518" s="1358"/>
      <c r="FDR518" s="1358"/>
      <c r="FDS518" s="1358"/>
      <c r="FDT518" s="1358"/>
      <c r="FDU518" s="1358"/>
      <c r="FDV518" s="1358"/>
      <c r="FDW518" s="1358"/>
      <c r="FDX518" s="1358"/>
      <c r="FDY518" s="1358"/>
      <c r="FDZ518" s="1358"/>
      <c r="FEA518" s="1358"/>
      <c r="FEB518" s="1358"/>
      <c r="FEC518" s="1358"/>
      <c r="FED518" s="1358"/>
      <c r="FEE518" s="1358"/>
      <c r="FEF518" s="1358"/>
      <c r="FEG518" s="1358"/>
      <c r="FEH518" s="1358"/>
      <c r="FEI518" s="1358"/>
      <c r="FEJ518" s="1358"/>
      <c r="FEK518" s="1358"/>
      <c r="FEL518" s="1358"/>
      <c r="FEM518" s="1358"/>
      <c r="FEN518" s="1358"/>
      <c r="FEO518" s="1358"/>
      <c r="FEP518" s="1358"/>
      <c r="FEQ518" s="1358"/>
      <c r="FER518" s="1358"/>
      <c r="FES518" s="1358"/>
      <c r="FET518" s="1358"/>
      <c r="FEU518" s="1358"/>
      <c r="FEV518" s="1358"/>
      <c r="FEW518" s="1358"/>
      <c r="FEX518" s="1358"/>
      <c r="FEY518" s="1358"/>
      <c r="FEZ518" s="1358"/>
      <c r="FFA518" s="1358"/>
      <c r="FFB518" s="1358"/>
      <c r="FFC518" s="1358"/>
      <c r="FFD518" s="1358"/>
      <c r="FFE518" s="1358"/>
      <c r="FFF518" s="1358"/>
      <c r="FFG518" s="1358"/>
      <c r="FFH518" s="1358"/>
      <c r="FFI518" s="1358"/>
      <c r="FFJ518" s="1358"/>
      <c r="FFK518" s="1358"/>
      <c r="FFL518" s="1358"/>
      <c r="FFM518" s="1358"/>
      <c r="FFN518" s="1358"/>
      <c r="FFO518" s="1358"/>
      <c r="FFP518" s="1358"/>
      <c r="FFQ518" s="1358"/>
      <c r="FFR518" s="1358"/>
      <c r="FFS518" s="1358"/>
      <c r="FFT518" s="1358"/>
      <c r="FFU518" s="1358"/>
      <c r="FFV518" s="1358"/>
      <c r="FFW518" s="1358"/>
      <c r="FFX518" s="1358"/>
      <c r="FFY518" s="1358"/>
      <c r="FFZ518" s="1358"/>
      <c r="FGA518" s="1358"/>
      <c r="FGB518" s="1358"/>
      <c r="FGC518" s="1358"/>
      <c r="FGD518" s="1358"/>
      <c r="FGE518" s="1358"/>
      <c r="FGF518" s="1358"/>
      <c r="FGG518" s="1358"/>
      <c r="FGH518" s="1358"/>
      <c r="FGI518" s="1358"/>
      <c r="FGJ518" s="1358"/>
      <c r="FGK518" s="1358"/>
      <c r="FGL518" s="1358"/>
      <c r="FGM518" s="1358"/>
      <c r="FGN518" s="1358"/>
      <c r="FGO518" s="1358"/>
      <c r="FGP518" s="1358"/>
      <c r="FGQ518" s="1358"/>
      <c r="FGR518" s="1358"/>
      <c r="FGS518" s="1358"/>
      <c r="FGT518" s="1358"/>
      <c r="FGU518" s="1358"/>
      <c r="FGV518" s="1358"/>
      <c r="FGW518" s="1358"/>
      <c r="FGX518" s="1358"/>
      <c r="FGY518" s="1358"/>
      <c r="FGZ518" s="1358"/>
      <c r="FHA518" s="1358"/>
      <c r="FHB518" s="1358"/>
      <c r="FHC518" s="1358"/>
      <c r="FHD518" s="1358"/>
      <c r="FHE518" s="1358"/>
      <c r="FHF518" s="1358"/>
      <c r="FHG518" s="1358"/>
      <c r="FHH518" s="1358"/>
      <c r="FHI518" s="1358"/>
      <c r="FHJ518" s="1358"/>
      <c r="FHK518" s="1358"/>
      <c r="FHL518" s="1358"/>
      <c r="FHM518" s="1358"/>
      <c r="FHN518" s="1358"/>
      <c r="FHO518" s="1358"/>
      <c r="FHP518" s="1358"/>
      <c r="FHQ518" s="1358"/>
      <c r="FHR518" s="1358"/>
      <c r="FHS518" s="1358"/>
      <c r="FHT518" s="1358"/>
      <c r="FHU518" s="1358"/>
      <c r="FHV518" s="1358"/>
      <c r="FHW518" s="1358"/>
      <c r="FHX518" s="1358"/>
      <c r="FHY518" s="1358"/>
      <c r="FHZ518" s="1358"/>
      <c r="FIA518" s="1358"/>
      <c r="FIB518" s="1358"/>
      <c r="FIC518" s="1358"/>
      <c r="FID518" s="1358"/>
      <c r="FIE518" s="1358"/>
      <c r="FIF518" s="1358"/>
      <c r="FIG518" s="1358"/>
      <c r="FIH518" s="1358"/>
      <c r="FII518" s="1358"/>
      <c r="FIJ518" s="1358"/>
      <c r="FIK518" s="1358"/>
      <c r="FIL518" s="1358"/>
      <c r="FIM518" s="1358"/>
      <c r="FIN518" s="1358"/>
      <c r="FIO518" s="1358"/>
      <c r="FIP518" s="1358"/>
      <c r="FIQ518" s="1358"/>
      <c r="FIR518" s="1358"/>
      <c r="FIS518" s="1358"/>
      <c r="FIT518" s="1358"/>
      <c r="FIU518" s="1358"/>
      <c r="FIV518" s="1358"/>
      <c r="FIW518" s="1358"/>
      <c r="FIX518" s="1358"/>
      <c r="FIY518" s="1358"/>
      <c r="FIZ518" s="1358"/>
      <c r="FJA518" s="1358"/>
      <c r="FJB518" s="1358"/>
      <c r="FJC518" s="1358"/>
      <c r="FJD518" s="1358"/>
      <c r="FJE518" s="1358"/>
      <c r="FJF518" s="1358"/>
      <c r="FJG518" s="1358"/>
      <c r="FJH518" s="1358"/>
      <c r="FJI518" s="1358"/>
      <c r="FJJ518" s="1358"/>
      <c r="FJK518" s="1358"/>
      <c r="FJL518" s="1358"/>
      <c r="FJM518" s="1358"/>
      <c r="FJN518" s="1358"/>
      <c r="FJO518" s="1358"/>
      <c r="FJP518" s="1358"/>
      <c r="FJQ518" s="1358"/>
      <c r="FJR518" s="1358"/>
      <c r="FJS518" s="1358"/>
      <c r="FJT518" s="1358"/>
      <c r="FJU518" s="1358"/>
      <c r="FJV518" s="1358"/>
      <c r="FJW518" s="1358"/>
      <c r="FJX518" s="1358"/>
      <c r="FJY518" s="1358"/>
      <c r="FJZ518" s="1358"/>
      <c r="FKA518" s="1358"/>
      <c r="FKB518" s="1358"/>
      <c r="FKC518" s="1358"/>
      <c r="FKD518" s="1358"/>
      <c r="FKE518" s="1358"/>
      <c r="FKF518" s="1358"/>
      <c r="FKG518" s="1358"/>
      <c r="FKH518" s="1358"/>
      <c r="FKI518" s="1358"/>
      <c r="FKJ518" s="1358"/>
      <c r="FKK518" s="1358"/>
      <c r="FKL518" s="1358"/>
      <c r="FKM518" s="1358"/>
      <c r="FKN518" s="1358"/>
      <c r="FKO518" s="1358"/>
      <c r="FKP518" s="1358"/>
      <c r="FKQ518" s="1358"/>
      <c r="FKR518" s="1358"/>
      <c r="FKS518" s="1358"/>
      <c r="FKT518" s="1358"/>
      <c r="FKU518" s="1358"/>
      <c r="FKV518" s="1358"/>
      <c r="FKW518" s="1358"/>
      <c r="FKX518" s="1358"/>
      <c r="FKY518" s="1358"/>
      <c r="FKZ518" s="1358"/>
      <c r="FLA518" s="1358"/>
      <c r="FLB518" s="1358"/>
      <c r="FLC518" s="1358"/>
      <c r="FLD518" s="1358"/>
      <c r="FLE518" s="1358"/>
      <c r="FLF518" s="1358"/>
      <c r="FLG518" s="1358"/>
      <c r="FLH518" s="1358"/>
      <c r="FLI518" s="1358"/>
      <c r="FLJ518" s="1358"/>
      <c r="FLK518" s="1358"/>
      <c r="FLL518" s="1358"/>
      <c r="FLM518" s="1358"/>
      <c r="FLN518" s="1358"/>
      <c r="FLO518" s="1358"/>
      <c r="FLP518" s="1358"/>
      <c r="FLQ518" s="1358"/>
      <c r="FLR518" s="1358"/>
      <c r="FLS518" s="1358"/>
      <c r="FLT518" s="1358"/>
      <c r="FLU518" s="1358"/>
      <c r="FLV518" s="1358"/>
      <c r="FLW518" s="1358"/>
      <c r="FLX518" s="1358"/>
      <c r="FLY518" s="1358"/>
      <c r="FLZ518" s="1358"/>
      <c r="FMA518" s="1358"/>
      <c r="FMB518" s="1358"/>
      <c r="FMC518" s="1358"/>
      <c r="FMD518" s="1358"/>
      <c r="FME518" s="1358"/>
      <c r="FMF518" s="1358"/>
      <c r="FMG518" s="1358"/>
      <c r="FMH518" s="1358"/>
      <c r="FMI518" s="1358"/>
      <c r="FMJ518" s="1358"/>
      <c r="FMK518" s="1358"/>
      <c r="FML518" s="1358"/>
      <c r="FMM518" s="1358"/>
      <c r="FMN518" s="1358"/>
      <c r="FMO518" s="1358"/>
      <c r="FMP518" s="1358"/>
      <c r="FMQ518" s="1358"/>
      <c r="FMR518" s="1358"/>
      <c r="FMS518" s="1358"/>
      <c r="FMT518" s="1358"/>
      <c r="FMU518" s="1358"/>
      <c r="FMV518" s="1358"/>
      <c r="FMW518" s="1358"/>
      <c r="FMX518" s="1358"/>
      <c r="FMY518" s="1358"/>
      <c r="FMZ518" s="1358"/>
      <c r="FNA518" s="1358"/>
      <c r="FNB518" s="1358"/>
      <c r="FNC518" s="1358"/>
      <c r="FND518" s="1358"/>
      <c r="FNE518" s="1358"/>
      <c r="FNF518" s="1358"/>
      <c r="FNG518" s="1358"/>
      <c r="FNH518" s="1358"/>
      <c r="FNI518" s="1358"/>
      <c r="FNJ518" s="1358"/>
      <c r="FNK518" s="1358"/>
      <c r="FNL518" s="1358"/>
      <c r="FNM518" s="1358"/>
      <c r="FNN518" s="1358"/>
      <c r="FNO518" s="1358"/>
      <c r="FNP518" s="1358"/>
      <c r="FNQ518" s="1358"/>
      <c r="FNR518" s="1358"/>
      <c r="FNS518" s="1358"/>
      <c r="FNT518" s="1358"/>
      <c r="FNU518" s="1358"/>
      <c r="FNV518" s="1358"/>
      <c r="FNW518" s="1358"/>
      <c r="FNX518" s="1358"/>
      <c r="FNY518" s="1358"/>
      <c r="FNZ518" s="1358"/>
      <c r="FOA518" s="1358"/>
      <c r="FOB518" s="1358"/>
      <c r="FOC518" s="1358"/>
      <c r="FOD518" s="1358"/>
      <c r="FOE518" s="1358"/>
      <c r="FOF518" s="1358"/>
      <c r="FOG518" s="1358"/>
      <c r="FOH518" s="1358"/>
      <c r="FOI518" s="1358"/>
      <c r="FOJ518" s="1358"/>
      <c r="FOK518" s="1358"/>
      <c r="FOL518" s="1358"/>
      <c r="FOM518" s="1358"/>
      <c r="FON518" s="1358"/>
      <c r="FOO518" s="1358"/>
      <c r="FOP518" s="1358"/>
      <c r="FOQ518" s="1358"/>
      <c r="FOR518" s="1358"/>
      <c r="FOS518" s="1358"/>
      <c r="FOT518" s="1358"/>
      <c r="FOU518" s="1358"/>
      <c r="FOV518" s="1358"/>
      <c r="FOW518" s="1358"/>
      <c r="FOX518" s="1358"/>
      <c r="FOY518" s="1358"/>
      <c r="FOZ518" s="1358"/>
      <c r="FPA518" s="1358"/>
      <c r="FPB518" s="1358"/>
      <c r="FPC518" s="1358"/>
      <c r="FPD518" s="1358"/>
      <c r="FPE518" s="1358"/>
      <c r="FPF518" s="1358"/>
      <c r="FPG518" s="1358"/>
      <c r="FPH518" s="1358"/>
      <c r="FPI518" s="1358"/>
      <c r="FPJ518" s="1358"/>
      <c r="FPK518" s="1358"/>
      <c r="FPL518" s="1358"/>
      <c r="FPM518" s="1358"/>
      <c r="FPN518" s="1358"/>
      <c r="FPO518" s="1358"/>
      <c r="FPP518" s="1358"/>
      <c r="FPQ518" s="1358"/>
      <c r="FPR518" s="1358"/>
      <c r="FPS518" s="1358"/>
      <c r="FPT518" s="1358"/>
      <c r="FPU518" s="1358"/>
      <c r="FPV518" s="1358"/>
      <c r="FPW518" s="1358"/>
      <c r="FPX518" s="1358"/>
      <c r="FPY518" s="1358"/>
      <c r="FPZ518" s="1358"/>
      <c r="FQA518" s="1358"/>
      <c r="FQB518" s="1358"/>
      <c r="FQC518" s="1358"/>
      <c r="FQD518" s="1358"/>
      <c r="FQE518" s="1358"/>
      <c r="FQF518" s="1358"/>
      <c r="FQG518" s="1358"/>
      <c r="FQH518" s="1358"/>
      <c r="FQI518" s="1358"/>
      <c r="FQJ518" s="1358"/>
      <c r="FQK518" s="1358"/>
      <c r="FQL518" s="1358"/>
      <c r="FQM518" s="1358"/>
      <c r="FQN518" s="1358"/>
      <c r="FQO518" s="1358"/>
      <c r="FQP518" s="1358"/>
      <c r="FQQ518" s="1358"/>
      <c r="FQR518" s="1358"/>
      <c r="FQS518" s="1358"/>
      <c r="FQT518" s="1358"/>
      <c r="FQU518" s="1358"/>
      <c r="FQV518" s="1358"/>
      <c r="FQW518" s="1358"/>
      <c r="FQX518" s="1358"/>
      <c r="FQY518" s="1358"/>
      <c r="FQZ518" s="1358"/>
      <c r="FRA518" s="1358"/>
      <c r="FRB518" s="1358"/>
      <c r="FRC518" s="1358"/>
      <c r="FRD518" s="1358"/>
      <c r="FRE518" s="1358"/>
      <c r="FRF518" s="1358"/>
      <c r="FRG518" s="1358"/>
      <c r="FRH518" s="1358"/>
      <c r="FRI518" s="1358"/>
      <c r="FRJ518" s="1358"/>
      <c r="FRK518" s="1358"/>
      <c r="FRL518" s="1358"/>
      <c r="FRM518" s="1358"/>
      <c r="FRN518" s="1358"/>
      <c r="FRO518" s="1358"/>
      <c r="FRP518" s="1358"/>
      <c r="FRQ518" s="1358"/>
      <c r="FRR518" s="1358"/>
      <c r="FRS518" s="1358"/>
      <c r="FRT518" s="1358"/>
      <c r="FRU518" s="1358"/>
      <c r="FRV518" s="1358"/>
      <c r="FRW518" s="1358"/>
      <c r="FRX518" s="1358"/>
      <c r="FRY518" s="1358"/>
      <c r="FRZ518" s="1358"/>
      <c r="FSA518" s="1358"/>
      <c r="FSB518" s="1358"/>
      <c r="FSC518" s="1358"/>
      <c r="FSD518" s="1358"/>
      <c r="FSE518" s="1358"/>
      <c r="FSF518" s="1358"/>
      <c r="FSG518" s="1358"/>
      <c r="FSH518" s="1358"/>
      <c r="FSI518" s="1358"/>
      <c r="FSJ518" s="1358"/>
      <c r="FSK518" s="1358"/>
      <c r="FSL518" s="1358"/>
      <c r="FSM518" s="1358"/>
      <c r="FSN518" s="1358"/>
      <c r="FSO518" s="1358"/>
      <c r="FSP518" s="1358"/>
      <c r="FSQ518" s="1358"/>
      <c r="FSR518" s="1358"/>
      <c r="FSS518" s="1358"/>
      <c r="FST518" s="1358"/>
      <c r="FSU518" s="1358"/>
      <c r="FSV518" s="1358"/>
      <c r="FSW518" s="1358"/>
      <c r="FSX518" s="1358"/>
      <c r="FSY518" s="1358"/>
      <c r="FSZ518" s="1358"/>
      <c r="FTA518" s="1358"/>
      <c r="FTB518" s="1358"/>
      <c r="FTC518" s="1358"/>
      <c r="FTD518" s="1358"/>
      <c r="FTE518" s="1358"/>
      <c r="FTF518" s="1358"/>
      <c r="FTG518" s="1358"/>
      <c r="FTH518" s="1358"/>
      <c r="FTI518" s="1358"/>
      <c r="FTJ518" s="1358"/>
      <c r="FTK518" s="1358"/>
      <c r="FTL518" s="1358"/>
      <c r="FTM518" s="1358"/>
      <c r="FTN518" s="1358"/>
      <c r="FTO518" s="1358"/>
      <c r="FTP518" s="1358"/>
      <c r="FTQ518" s="1358"/>
      <c r="FTR518" s="1358"/>
      <c r="FTS518" s="1358"/>
      <c r="FTT518" s="1358"/>
      <c r="FTU518" s="1358"/>
      <c r="FTV518" s="1358"/>
      <c r="FTW518" s="1358"/>
      <c r="FTX518" s="1358"/>
      <c r="FTY518" s="1358"/>
      <c r="FTZ518" s="1358"/>
      <c r="FUA518" s="1358"/>
      <c r="FUB518" s="1358"/>
      <c r="FUC518" s="1358"/>
      <c r="FUD518" s="1358"/>
      <c r="FUE518" s="1358"/>
      <c r="FUF518" s="1358"/>
      <c r="FUG518" s="1358"/>
      <c r="FUH518" s="1358"/>
      <c r="FUI518" s="1358"/>
      <c r="FUJ518" s="1358"/>
      <c r="FUK518" s="1358"/>
      <c r="FUL518" s="1358"/>
      <c r="FUM518" s="1358"/>
      <c r="FUN518" s="1358"/>
      <c r="FUO518" s="1358"/>
      <c r="FUP518" s="1358"/>
      <c r="FUQ518" s="1358"/>
      <c r="FUR518" s="1358"/>
      <c r="FUS518" s="1358"/>
      <c r="FUT518" s="1358"/>
      <c r="FUU518" s="1358"/>
      <c r="FUV518" s="1358"/>
      <c r="FUW518" s="1358"/>
      <c r="FUX518" s="1358"/>
      <c r="FUY518" s="1358"/>
      <c r="FUZ518" s="1358"/>
      <c r="FVA518" s="1358"/>
      <c r="FVB518" s="1358"/>
      <c r="FVC518" s="1358"/>
      <c r="FVD518" s="1358"/>
      <c r="FVE518" s="1358"/>
      <c r="FVF518" s="1358"/>
      <c r="FVG518" s="1358"/>
      <c r="FVH518" s="1358"/>
      <c r="FVI518" s="1358"/>
      <c r="FVJ518" s="1358"/>
      <c r="FVK518" s="1358"/>
      <c r="FVL518" s="1358"/>
      <c r="FVM518" s="1358"/>
      <c r="FVN518" s="1358"/>
      <c r="FVO518" s="1358"/>
      <c r="FVP518" s="1358"/>
      <c r="FVQ518" s="1358"/>
      <c r="FVR518" s="1358"/>
      <c r="FVS518" s="1358"/>
      <c r="FVT518" s="1358"/>
      <c r="FVU518" s="1358"/>
      <c r="FVV518" s="1358"/>
      <c r="FVW518" s="1358"/>
      <c r="FVX518" s="1358"/>
      <c r="FVY518" s="1358"/>
      <c r="FVZ518" s="1358"/>
      <c r="FWA518" s="1358"/>
      <c r="FWB518" s="1358"/>
      <c r="FWC518" s="1358"/>
      <c r="FWD518" s="1358"/>
      <c r="FWE518" s="1358"/>
      <c r="FWF518" s="1358"/>
      <c r="FWG518" s="1358"/>
      <c r="FWH518" s="1358"/>
      <c r="FWI518" s="1358"/>
      <c r="FWJ518" s="1358"/>
      <c r="FWK518" s="1358"/>
      <c r="FWL518" s="1358"/>
      <c r="FWM518" s="1358"/>
      <c r="FWN518" s="1358"/>
      <c r="FWO518" s="1358"/>
      <c r="FWP518" s="1358"/>
      <c r="FWQ518" s="1358"/>
      <c r="FWR518" s="1358"/>
      <c r="FWS518" s="1358"/>
      <c r="FWT518" s="1358"/>
      <c r="FWU518" s="1358"/>
      <c r="FWV518" s="1358"/>
      <c r="FWW518" s="1358"/>
      <c r="FWX518" s="1358"/>
      <c r="FWY518" s="1358"/>
      <c r="FWZ518" s="1358"/>
      <c r="FXA518" s="1358"/>
      <c r="FXB518" s="1358"/>
      <c r="FXC518" s="1358"/>
      <c r="FXD518" s="1358"/>
      <c r="FXE518" s="1358"/>
      <c r="FXF518" s="1358"/>
      <c r="FXG518" s="1358"/>
      <c r="FXH518" s="1358"/>
      <c r="FXI518" s="1358"/>
      <c r="FXJ518" s="1358"/>
      <c r="FXK518" s="1358"/>
      <c r="FXL518" s="1358"/>
      <c r="FXM518" s="1358"/>
      <c r="FXN518" s="1358"/>
      <c r="FXO518" s="1358"/>
      <c r="FXP518" s="1358"/>
      <c r="FXQ518" s="1358"/>
      <c r="FXR518" s="1358"/>
      <c r="FXS518" s="1358"/>
      <c r="FXT518" s="1358"/>
      <c r="FXU518" s="1358"/>
      <c r="FXV518" s="1358"/>
      <c r="FXW518" s="1358"/>
      <c r="FXX518" s="1358"/>
      <c r="FXY518" s="1358"/>
      <c r="FXZ518" s="1358"/>
      <c r="FYA518" s="1358"/>
      <c r="FYB518" s="1358"/>
      <c r="FYC518" s="1358"/>
      <c r="FYD518" s="1358"/>
      <c r="FYE518" s="1358"/>
      <c r="FYF518" s="1358"/>
      <c r="FYG518" s="1358"/>
      <c r="FYH518" s="1358"/>
      <c r="FYI518" s="1358"/>
      <c r="FYJ518" s="1358"/>
      <c r="FYK518" s="1358"/>
      <c r="FYL518" s="1358"/>
      <c r="FYM518" s="1358"/>
      <c r="FYN518" s="1358"/>
      <c r="FYO518" s="1358"/>
      <c r="FYP518" s="1358"/>
      <c r="FYQ518" s="1358"/>
      <c r="FYR518" s="1358"/>
      <c r="FYS518" s="1358"/>
      <c r="FYT518" s="1358"/>
      <c r="FYU518" s="1358"/>
      <c r="FYV518" s="1358"/>
      <c r="FYW518" s="1358"/>
      <c r="FYX518" s="1358"/>
      <c r="FYY518" s="1358"/>
      <c r="FYZ518" s="1358"/>
      <c r="FZA518" s="1358"/>
      <c r="FZB518" s="1358"/>
      <c r="FZC518" s="1358"/>
      <c r="FZD518" s="1358"/>
      <c r="FZE518" s="1358"/>
      <c r="FZF518" s="1358"/>
      <c r="FZG518" s="1358"/>
      <c r="FZH518" s="1358"/>
      <c r="FZI518" s="1358"/>
      <c r="FZJ518" s="1358"/>
      <c r="FZK518" s="1358"/>
      <c r="FZL518" s="1358"/>
      <c r="FZM518" s="1358"/>
      <c r="FZN518" s="1358"/>
      <c r="FZO518" s="1358"/>
      <c r="FZP518" s="1358"/>
      <c r="FZQ518" s="1358"/>
      <c r="FZR518" s="1358"/>
      <c r="FZS518" s="1358"/>
      <c r="FZT518" s="1358"/>
      <c r="FZU518" s="1358"/>
      <c r="FZV518" s="1358"/>
      <c r="FZW518" s="1358"/>
      <c r="FZX518" s="1358"/>
      <c r="FZY518" s="1358"/>
      <c r="FZZ518" s="1358"/>
      <c r="GAA518" s="1358"/>
      <c r="GAB518" s="1358"/>
      <c r="GAC518" s="1358"/>
      <c r="GAD518" s="1358"/>
      <c r="GAE518" s="1358"/>
      <c r="GAF518" s="1358"/>
      <c r="GAG518" s="1358"/>
      <c r="GAH518" s="1358"/>
      <c r="GAI518" s="1358"/>
      <c r="GAJ518" s="1358"/>
      <c r="GAK518" s="1358"/>
      <c r="GAL518" s="1358"/>
      <c r="GAM518" s="1358"/>
      <c r="GAN518" s="1358"/>
      <c r="GAO518" s="1358"/>
      <c r="GAP518" s="1358"/>
      <c r="GAQ518" s="1358"/>
      <c r="GAR518" s="1358"/>
      <c r="GAS518" s="1358"/>
      <c r="GAT518" s="1358"/>
      <c r="GAU518" s="1358"/>
      <c r="GAV518" s="1358"/>
      <c r="GAW518" s="1358"/>
      <c r="GAX518" s="1358"/>
      <c r="GAY518" s="1358"/>
      <c r="GAZ518" s="1358"/>
      <c r="GBA518" s="1358"/>
      <c r="GBB518" s="1358"/>
      <c r="GBC518" s="1358"/>
      <c r="GBD518" s="1358"/>
      <c r="GBE518" s="1358"/>
      <c r="GBF518" s="1358"/>
      <c r="GBG518" s="1358"/>
      <c r="GBH518" s="1358"/>
      <c r="GBI518" s="1358"/>
      <c r="GBJ518" s="1358"/>
      <c r="GBK518" s="1358"/>
      <c r="GBL518" s="1358"/>
      <c r="GBM518" s="1358"/>
      <c r="GBN518" s="1358"/>
      <c r="GBO518" s="1358"/>
      <c r="GBP518" s="1358"/>
      <c r="GBQ518" s="1358"/>
      <c r="GBR518" s="1358"/>
      <c r="GBS518" s="1358"/>
      <c r="GBT518" s="1358"/>
      <c r="GBU518" s="1358"/>
      <c r="GBV518" s="1358"/>
      <c r="GBW518" s="1358"/>
      <c r="GBX518" s="1358"/>
      <c r="GBY518" s="1358"/>
      <c r="GBZ518" s="1358"/>
      <c r="GCA518" s="1358"/>
      <c r="GCB518" s="1358"/>
      <c r="GCC518" s="1358"/>
      <c r="GCD518" s="1358"/>
      <c r="GCE518" s="1358"/>
      <c r="GCF518" s="1358"/>
      <c r="GCG518" s="1358"/>
      <c r="GCH518" s="1358"/>
      <c r="GCI518" s="1358"/>
      <c r="GCJ518" s="1358"/>
      <c r="GCK518" s="1358"/>
      <c r="GCL518" s="1358"/>
      <c r="GCM518" s="1358"/>
      <c r="GCN518" s="1358"/>
      <c r="GCO518" s="1358"/>
      <c r="GCP518" s="1358"/>
      <c r="GCQ518" s="1358"/>
      <c r="GCR518" s="1358"/>
      <c r="GCS518" s="1358"/>
      <c r="GCT518" s="1358"/>
      <c r="GCU518" s="1358"/>
      <c r="GCV518" s="1358"/>
      <c r="GCW518" s="1358"/>
      <c r="GCX518" s="1358"/>
      <c r="GCY518" s="1358"/>
      <c r="GCZ518" s="1358"/>
      <c r="GDA518" s="1358"/>
      <c r="GDB518" s="1358"/>
      <c r="GDC518" s="1358"/>
      <c r="GDD518" s="1358"/>
      <c r="GDE518" s="1358"/>
      <c r="GDF518" s="1358"/>
      <c r="GDG518" s="1358"/>
      <c r="GDH518" s="1358"/>
      <c r="GDI518" s="1358"/>
      <c r="GDJ518" s="1358"/>
      <c r="GDK518" s="1358"/>
      <c r="GDL518" s="1358"/>
      <c r="GDM518" s="1358"/>
      <c r="GDN518" s="1358"/>
      <c r="GDO518" s="1358"/>
      <c r="GDP518" s="1358"/>
      <c r="GDQ518" s="1358"/>
      <c r="GDR518" s="1358"/>
      <c r="GDS518" s="1358"/>
      <c r="GDT518" s="1358"/>
      <c r="GDU518" s="1358"/>
      <c r="GDV518" s="1358"/>
      <c r="GDW518" s="1358"/>
      <c r="GDX518" s="1358"/>
      <c r="GDY518" s="1358"/>
      <c r="GDZ518" s="1358"/>
      <c r="GEA518" s="1358"/>
      <c r="GEB518" s="1358"/>
      <c r="GEC518" s="1358"/>
      <c r="GED518" s="1358"/>
      <c r="GEE518" s="1358"/>
      <c r="GEF518" s="1358"/>
      <c r="GEG518" s="1358"/>
      <c r="GEH518" s="1358"/>
      <c r="GEI518" s="1358"/>
      <c r="GEJ518" s="1358"/>
      <c r="GEK518" s="1358"/>
      <c r="GEL518" s="1358"/>
      <c r="GEM518" s="1358"/>
      <c r="GEN518" s="1358"/>
      <c r="GEO518" s="1358"/>
      <c r="GEP518" s="1358"/>
      <c r="GEQ518" s="1358"/>
      <c r="GER518" s="1358"/>
      <c r="GES518" s="1358"/>
      <c r="GET518" s="1358"/>
      <c r="GEU518" s="1358"/>
      <c r="GEV518" s="1358"/>
      <c r="GEW518" s="1358"/>
      <c r="GEX518" s="1358"/>
      <c r="GEY518" s="1358"/>
      <c r="GEZ518" s="1358"/>
      <c r="GFA518" s="1358"/>
      <c r="GFB518" s="1358"/>
      <c r="GFC518" s="1358"/>
      <c r="GFD518" s="1358"/>
      <c r="GFE518" s="1358"/>
      <c r="GFF518" s="1358"/>
      <c r="GFG518" s="1358"/>
      <c r="GFH518" s="1358"/>
      <c r="GFI518" s="1358"/>
      <c r="GFJ518" s="1358"/>
      <c r="GFK518" s="1358"/>
      <c r="GFL518" s="1358"/>
      <c r="GFM518" s="1358"/>
      <c r="GFN518" s="1358"/>
      <c r="GFO518" s="1358"/>
      <c r="GFP518" s="1358"/>
      <c r="GFQ518" s="1358"/>
      <c r="GFR518" s="1358"/>
      <c r="GFS518" s="1358"/>
      <c r="GFT518" s="1358"/>
      <c r="GFU518" s="1358"/>
      <c r="GFV518" s="1358"/>
      <c r="GFW518" s="1358"/>
      <c r="GFX518" s="1358"/>
      <c r="GFY518" s="1358"/>
      <c r="GFZ518" s="1358"/>
      <c r="GGA518" s="1358"/>
      <c r="GGB518" s="1358"/>
      <c r="GGC518" s="1358"/>
      <c r="GGD518" s="1358"/>
      <c r="GGE518" s="1358"/>
      <c r="GGF518" s="1358"/>
      <c r="GGG518" s="1358"/>
      <c r="GGH518" s="1358"/>
      <c r="GGI518" s="1358"/>
      <c r="GGJ518" s="1358"/>
      <c r="GGK518" s="1358"/>
      <c r="GGL518" s="1358"/>
      <c r="GGM518" s="1358"/>
      <c r="GGN518" s="1358"/>
      <c r="GGO518" s="1358"/>
      <c r="GGP518" s="1358"/>
      <c r="GGQ518" s="1358"/>
      <c r="GGR518" s="1358"/>
      <c r="GGS518" s="1358"/>
      <c r="GGT518" s="1358"/>
      <c r="GGU518" s="1358"/>
      <c r="GGV518" s="1358"/>
      <c r="GGW518" s="1358"/>
      <c r="GGX518" s="1358"/>
      <c r="GGY518" s="1358"/>
      <c r="GGZ518" s="1358"/>
      <c r="GHA518" s="1358"/>
      <c r="GHB518" s="1358"/>
      <c r="GHC518" s="1358"/>
      <c r="GHD518" s="1358"/>
      <c r="GHE518" s="1358"/>
      <c r="GHF518" s="1358"/>
      <c r="GHG518" s="1358"/>
      <c r="GHH518" s="1358"/>
      <c r="GHI518" s="1358"/>
      <c r="GHJ518" s="1358"/>
      <c r="GHK518" s="1358"/>
      <c r="GHL518" s="1358"/>
      <c r="GHM518" s="1358"/>
      <c r="GHN518" s="1358"/>
      <c r="GHO518" s="1358"/>
      <c r="GHP518" s="1358"/>
      <c r="GHQ518" s="1358"/>
      <c r="GHR518" s="1358"/>
      <c r="GHS518" s="1358"/>
      <c r="GHT518" s="1358"/>
      <c r="GHU518" s="1358"/>
      <c r="GHV518" s="1358"/>
      <c r="GHW518" s="1358"/>
      <c r="GHX518" s="1358"/>
      <c r="GHY518" s="1358"/>
      <c r="GHZ518" s="1358"/>
      <c r="GIA518" s="1358"/>
      <c r="GIB518" s="1358"/>
      <c r="GIC518" s="1358"/>
      <c r="GID518" s="1358"/>
      <c r="GIE518" s="1358"/>
      <c r="GIF518" s="1358"/>
      <c r="GIG518" s="1358"/>
      <c r="GIH518" s="1358"/>
      <c r="GII518" s="1358"/>
      <c r="GIJ518" s="1358"/>
      <c r="GIK518" s="1358"/>
      <c r="GIL518" s="1358"/>
      <c r="GIM518" s="1358"/>
      <c r="GIN518" s="1358"/>
      <c r="GIO518" s="1358"/>
      <c r="GIP518" s="1358"/>
      <c r="GIQ518" s="1358"/>
      <c r="GIR518" s="1358"/>
      <c r="GIS518" s="1358"/>
      <c r="GIT518" s="1358"/>
      <c r="GIU518" s="1358"/>
      <c r="GIV518" s="1358"/>
      <c r="GIW518" s="1358"/>
      <c r="GIX518" s="1358"/>
      <c r="GIY518" s="1358"/>
      <c r="GIZ518" s="1358"/>
      <c r="GJA518" s="1358"/>
      <c r="GJB518" s="1358"/>
      <c r="GJC518" s="1358"/>
      <c r="GJD518" s="1358"/>
      <c r="GJE518" s="1358"/>
      <c r="GJF518" s="1358"/>
      <c r="GJG518" s="1358"/>
      <c r="GJH518" s="1358"/>
      <c r="GJI518" s="1358"/>
      <c r="GJJ518" s="1358"/>
      <c r="GJK518" s="1358"/>
      <c r="GJL518" s="1358"/>
      <c r="GJM518" s="1358"/>
      <c r="GJN518" s="1358"/>
      <c r="GJO518" s="1358"/>
      <c r="GJP518" s="1358"/>
      <c r="GJQ518" s="1358"/>
      <c r="GJR518" s="1358"/>
      <c r="GJS518" s="1358"/>
      <c r="GJT518" s="1358"/>
      <c r="GJU518" s="1358"/>
      <c r="GJV518" s="1358"/>
      <c r="GJW518" s="1358"/>
      <c r="GJX518" s="1358"/>
      <c r="GJY518" s="1358"/>
      <c r="GJZ518" s="1358"/>
      <c r="GKA518" s="1358"/>
      <c r="GKB518" s="1358"/>
      <c r="GKC518" s="1358"/>
      <c r="GKD518" s="1358"/>
      <c r="GKE518" s="1358"/>
      <c r="GKF518" s="1358"/>
      <c r="GKG518" s="1358"/>
      <c r="GKH518" s="1358"/>
      <c r="GKI518" s="1358"/>
      <c r="GKJ518" s="1358"/>
      <c r="GKK518" s="1358"/>
      <c r="GKL518" s="1358"/>
      <c r="GKM518" s="1358"/>
      <c r="GKN518" s="1358"/>
      <c r="GKO518" s="1358"/>
      <c r="GKP518" s="1358"/>
      <c r="GKQ518" s="1358"/>
      <c r="GKR518" s="1358"/>
      <c r="GKS518" s="1358"/>
      <c r="GKT518" s="1358"/>
      <c r="GKU518" s="1358"/>
      <c r="GKV518" s="1358"/>
      <c r="GKW518" s="1358"/>
      <c r="GKX518" s="1358"/>
      <c r="GKY518" s="1358"/>
      <c r="GKZ518" s="1358"/>
      <c r="GLA518" s="1358"/>
      <c r="GLB518" s="1358"/>
      <c r="GLC518" s="1358"/>
      <c r="GLD518" s="1358"/>
      <c r="GLE518" s="1358"/>
      <c r="GLF518" s="1358"/>
      <c r="GLG518" s="1358"/>
      <c r="GLH518" s="1358"/>
      <c r="GLI518" s="1358"/>
      <c r="GLJ518" s="1358"/>
      <c r="GLK518" s="1358"/>
      <c r="GLL518" s="1358"/>
      <c r="GLM518" s="1358"/>
      <c r="GLN518" s="1358"/>
      <c r="GLO518" s="1358"/>
      <c r="GLP518" s="1358"/>
      <c r="GLQ518" s="1358"/>
      <c r="GLR518" s="1358"/>
      <c r="GLS518" s="1358"/>
      <c r="GLT518" s="1358"/>
      <c r="GLU518" s="1358"/>
      <c r="GLV518" s="1358"/>
      <c r="GLW518" s="1358"/>
      <c r="GLX518" s="1358"/>
      <c r="GLY518" s="1358"/>
      <c r="GLZ518" s="1358"/>
      <c r="GMA518" s="1358"/>
      <c r="GMB518" s="1358"/>
      <c r="GMC518" s="1358"/>
      <c r="GMD518" s="1358"/>
      <c r="GME518" s="1358"/>
      <c r="GMF518" s="1358"/>
      <c r="GMG518" s="1358"/>
      <c r="GMH518" s="1358"/>
      <c r="GMI518" s="1358"/>
      <c r="GMJ518" s="1358"/>
      <c r="GMK518" s="1358"/>
      <c r="GML518" s="1358"/>
      <c r="GMM518" s="1358"/>
      <c r="GMN518" s="1358"/>
      <c r="GMO518" s="1358"/>
      <c r="GMP518" s="1358"/>
      <c r="GMQ518" s="1358"/>
      <c r="GMR518" s="1358"/>
      <c r="GMS518" s="1358"/>
      <c r="GMT518" s="1358"/>
      <c r="GMU518" s="1358"/>
      <c r="GMV518" s="1358"/>
      <c r="GMW518" s="1358"/>
      <c r="GMX518" s="1358"/>
      <c r="GMY518" s="1358"/>
      <c r="GMZ518" s="1358"/>
      <c r="GNA518" s="1358"/>
      <c r="GNB518" s="1358"/>
      <c r="GNC518" s="1358"/>
      <c r="GND518" s="1358"/>
      <c r="GNE518" s="1358"/>
      <c r="GNF518" s="1358"/>
      <c r="GNG518" s="1358"/>
      <c r="GNH518" s="1358"/>
      <c r="GNI518" s="1358"/>
      <c r="GNJ518" s="1358"/>
      <c r="GNK518" s="1358"/>
      <c r="GNL518" s="1358"/>
      <c r="GNM518" s="1358"/>
      <c r="GNN518" s="1358"/>
      <c r="GNO518" s="1358"/>
      <c r="GNP518" s="1358"/>
      <c r="GNQ518" s="1358"/>
      <c r="GNR518" s="1358"/>
      <c r="GNS518" s="1358"/>
      <c r="GNT518" s="1358"/>
      <c r="GNU518" s="1358"/>
      <c r="GNV518" s="1358"/>
      <c r="GNW518" s="1358"/>
      <c r="GNX518" s="1358"/>
      <c r="GNY518" s="1358"/>
      <c r="GNZ518" s="1358"/>
      <c r="GOA518" s="1358"/>
      <c r="GOB518" s="1358"/>
      <c r="GOC518" s="1358"/>
      <c r="GOD518" s="1358"/>
      <c r="GOE518" s="1358"/>
      <c r="GOF518" s="1358"/>
      <c r="GOG518" s="1358"/>
      <c r="GOH518" s="1358"/>
      <c r="GOI518" s="1358"/>
      <c r="GOJ518" s="1358"/>
      <c r="GOK518" s="1358"/>
      <c r="GOL518" s="1358"/>
      <c r="GOM518" s="1358"/>
      <c r="GON518" s="1358"/>
      <c r="GOO518" s="1358"/>
      <c r="GOP518" s="1358"/>
      <c r="GOQ518" s="1358"/>
      <c r="GOR518" s="1358"/>
      <c r="GOS518" s="1358"/>
      <c r="GOT518" s="1358"/>
      <c r="GOU518" s="1358"/>
      <c r="GOV518" s="1358"/>
      <c r="GOW518" s="1358"/>
      <c r="GOX518" s="1358"/>
      <c r="GOY518" s="1358"/>
      <c r="GOZ518" s="1358"/>
      <c r="GPA518" s="1358"/>
      <c r="GPB518" s="1358"/>
      <c r="GPC518" s="1358"/>
      <c r="GPD518" s="1358"/>
      <c r="GPE518" s="1358"/>
      <c r="GPF518" s="1358"/>
      <c r="GPG518" s="1358"/>
      <c r="GPH518" s="1358"/>
      <c r="GPI518" s="1358"/>
      <c r="GPJ518" s="1358"/>
      <c r="GPK518" s="1358"/>
      <c r="GPL518" s="1358"/>
      <c r="GPM518" s="1358"/>
      <c r="GPN518" s="1358"/>
      <c r="GPO518" s="1358"/>
      <c r="GPP518" s="1358"/>
      <c r="GPQ518" s="1358"/>
      <c r="GPR518" s="1358"/>
      <c r="GPS518" s="1358"/>
      <c r="GPT518" s="1358"/>
      <c r="GPU518" s="1358"/>
      <c r="GPV518" s="1358"/>
      <c r="GPW518" s="1358"/>
      <c r="GPX518" s="1358"/>
      <c r="GPY518" s="1358"/>
      <c r="GPZ518" s="1358"/>
      <c r="GQA518" s="1358"/>
      <c r="GQB518" s="1358"/>
      <c r="GQC518" s="1358"/>
      <c r="GQD518" s="1358"/>
      <c r="GQE518" s="1358"/>
      <c r="GQF518" s="1358"/>
      <c r="GQG518" s="1358"/>
      <c r="GQH518" s="1358"/>
      <c r="GQI518" s="1358"/>
      <c r="GQJ518" s="1358"/>
      <c r="GQK518" s="1358"/>
      <c r="GQL518" s="1358"/>
      <c r="GQM518" s="1358"/>
      <c r="GQN518" s="1358"/>
      <c r="GQO518" s="1358"/>
      <c r="GQP518" s="1358"/>
      <c r="GQQ518" s="1358"/>
      <c r="GQR518" s="1358"/>
      <c r="GQS518" s="1358"/>
      <c r="GQT518" s="1358"/>
      <c r="GQU518" s="1358"/>
      <c r="GQV518" s="1358"/>
      <c r="GQW518" s="1358"/>
      <c r="GQX518" s="1358"/>
      <c r="GQY518" s="1358"/>
      <c r="GQZ518" s="1358"/>
      <c r="GRA518" s="1358"/>
      <c r="GRB518" s="1358"/>
      <c r="GRC518" s="1358"/>
      <c r="GRD518" s="1358"/>
      <c r="GRE518" s="1358"/>
      <c r="GRF518" s="1358"/>
      <c r="GRG518" s="1358"/>
      <c r="GRH518" s="1358"/>
      <c r="GRI518" s="1358"/>
      <c r="GRJ518" s="1358"/>
      <c r="GRK518" s="1358"/>
      <c r="GRL518" s="1358"/>
      <c r="GRM518" s="1358"/>
      <c r="GRN518" s="1358"/>
      <c r="GRO518" s="1358"/>
      <c r="GRP518" s="1358"/>
      <c r="GRQ518" s="1358"/>
      <c r="GRR518" s="1358"/>
      <c r="GRS518" s="1358"/>
      <c r="GRT518" s="1358"/>
      <c r="GRU518" s="1358"/>
      <c r="GRV518" s="1358"/>
      <c r="GRW518" s="1358"/>
      <c r="GRX518" s="1358"/>
      <c r="GRY518" s="1358"/>
      <c r="GRZ518" s="1358"/>
      <c r="GSA518" s="1358"/>
      <c r="GSB518" s="1358"/>
      <c r="GSC518" s="1358"/>
      <c r="GSD518" s="1358"/>
      <c r="GSE518" s="1358"/>
      <c r="GSF518" s="1358"/>
      <c r="GSG518" s="1358"/>
      <c r="GSH518" s="1358"/>
      <c r="GSI518" s="1358"/>
      <c r="GSJ518" s="1358"/>
      <c r="GSK518" s="1358"/>
      <c r="GSL518" s="1358"/>
      <c r="GSM518" s="1358"/>
      <c r="GSN518" s="1358"/>
      <c r="GSO518" s="1358"/>
      <c r="GSP518" s="1358"/>
      <c r="GSQ518" s="1358"/>
      <c r="GSR518" s="1358"/>
      <c r="GSS518" s="1358"/>
      <c r="GST518" s="1358"/>
      <c r="GSU518" s="1358"/>
      <c r="GSV518" s="1358"/>
      <c r="GSW518" s="1358"/>
      <c r="GSX518" s="1358"/>
      <c r="GSY518" s="1358"/>
      <c r="GSZ518" s="1358"/>
      <c r="GTA518" s="1358"/>
      <c r="GTB518" s="1358"/>
      <c r="GTC518" s="1358"/>
      <c r="GTD518" s="1358"/>
      <c r="GTE518" s="1358"/>
      <c r="GTF518" s="1358"/>
      <c r="GTG518" s="1358"/>
      <c r="GTH518" s="1358"/>
      <c r="GTI518" s="1358"/>
      <c r="GTJ518" s="1358"/>
      <c r="GTK518" s="1358"/>
      <c r="GTL518" s="1358"/>
      <c r="GTM518" s="1358"/>
      <c r="GTN518" s="1358"/>
      <c r="GTO518" s="1358"/>
      <c r="GTP518" s="1358"/>
      <c r="GTQ518" s="1358"/>
      <c r="GTR518" s="1358"/>
      <c r="GTS518" s="1358"/>
      <c r="GTT518" s="1358"/>
      <c r="GTU518" s="1358"/>
      <c r="GTV518" s="1358"/>
      <c r="GTW518" s="1358"/>
      <c r="GTX518" s="1358"/>
      <c r="GTY518" s="1358"/>
      <c r="GTZ518" s="1358"/>
      <c r="GUA518" s="1358"/>
      <c r="GUB518" s="1358"/>
      <c r="GUC518" s="1358"/>
      <c r="GUD518" s="1358"/>
      <c r="GUE518" s="1358"/>
      <c r="GUF518" s="1358"/>
      <c r="GUG518" s="1358"/>
      <c r="GUH518" s="1358"/>
      <c r="GUI518" s="1358"/>
      <c r="GUJ518" s="1358"/>
      <c r="GUK518" s="1358"/>
      <c r="GUL518" s="1358"/>
      <c r="GUM518" s="1358"/>
      <c r="GUN518" s="1358"/>
      <c r="GUO518" s="1358"/>
      <c r="GUP518" s="1358"/>
      <c r="GUQ518" s="1358"/>
      <c r="GUR518" s="1358"/>
      <c r="GUS518" s="1358"/>
      <c r="GUT518" s="1358"/>
      <c r="GUU518" s="1358"/>
      <c r="GUV518" s="1358"/>
      <c r="GUW518" s="1358"/>
      <c r="GUX518" s="1358"/>
      <c r="GUY518" s="1358"/>
      <c r="GUZ518" s="1358"/>
      <c r="GVA518" s="1358"/>
      <c r="GVB518" s="1358"/>
      <c r="GVC518" s="1358"/>
      <c r="GVD518" s="1358"/>
      <c r="GVE518" s="1358"/>
      <c r="GVF518" s="1358"/>
      <c r="GVG518" s="1358"/>
      <c r="GVH518" s="1358"/>
      <c r="GVI518" s="1358"/>
      <c r="GVJ518" s="1358"/>
      <c r="GVK518" s="1358"/>
      <c r="GVL518" s="1358"/>
      <c r="GVM518" s="1358"/>
      <c r="GVN518" s="1358"/>
      <c r="GVO518" s="1358"/>
      <c r="GVP518" s="1358"/>
      <c r="GVQ518" s="1358"/>
      <c r="GVR518" s="1358"/>
      <c r="GVS518" s="1358"/>
      <c r="GVT518" s="1358"/>
      <c r="GVU518" s="1358"/>
      <c r="GVV518" s="1358"/>
      <c r="GVW518" s="1358"/>
      <c r="GVX518" s="1358"/>
      <c r="GVY518" s="1358"/>
      <c r="GVZ518" s="1358"/>
      <c r="GWA518" s="1358"/>
      <c r="GWB518" s="1358"/>
      <c r="GWC518" s="1358"/>
      <c r="GWD518" s="1358"/>
      <c r="GWE518" s="1358"/>
      <c r="GWF518" s="1358"/>
      <c r="GWG518" s="1358"/>
      <c r="GWH518" s="1358"/>
      <c r="GWI518" s="1358"/>
      <c r="GWJ518" s="1358"/>
      <c r="GWK518" s="1358"/>
      <c r="GWL518" s="1358"/>
      <c r="GWM518" s="1358"/>
      <c r="GWN518" s="1358"/>
      <c r="GWO518" s="1358"/>
      <c r="GWP518" s="1358"/>
      <c r="GWQ518" s="1358"/>
      <c r="GWR518" s="1358"/>
      <c r="GWS518" s="1358"/>
      <c r="GWT518" s="1358"/>
      <c r="GWU518" s="1358"/>
      <c r="GWV518" s="1358"/>
      <c r="GWW518" s="1358"/>
      <c r="GWX518" s="1358"/>
      <c r="GWY518" s="1358"/>
      <c r="GWZ518" s="1358"/>
      <c r="GXA518" s="1358"/>
      <c r="GXB518" s="1358"/>
      <c r="GXC518" s="1358"/>
      <c r="GXD518" s="1358"/>
      <c r="GXE518" s="1358"/>
      <c r="GXF518" s="1358"/>
      <c r="GXG518" s="1358"/>
      <c r="GXH518" s="1358"/>
      <c r="GXI518" s="1358"/>
      <c r="GXJ518" s="1358"/>
      <c r="GXK518" s="1358"/>
      <c r="GXL518" s="1358"/>
      <c r="GXM518" s="1358"/>
      <c r="GXN518" s="1358"/>
      <c r="GXO518" s="1358"/>
      <c r="GXP518" s="1358"/>
      <c r="GXQ518" s="1358"/>
      <c r="GXR518" s="1358"/>
      <c r="GXS518" s="1358"/>
      <c r="GXT518" s="1358"/>
      <c r="GXU518" s="1358"/>
      <c r="GXV518" s="1358"/>
      <c r="GXW518" s="1358"/>
      <c r="GXX518" s="1358"/>
      <c r="GXY518" s="1358"/>
      <c r="GXZ518" s="1358"/>
      <c r="GYA518" s="1358"/>
      <c r="GYB518" s="1358"/>
      <c r="GYC518" s="1358"/>
      <c r="GYD518" s="1358"/>
      <c r="GYE518" s="1358"/>
      <c r="GYF518" s="1358"/>
      <c r="GYG518" s="1358"/>
      <c r="GYH518" s="1358"/>
      <c r="GYI518" s="1358"/>
      <c r="GYJ518" s="1358"/>
      <c r="GYK518" s="1358"/>
      <c r="GYL518" s="1358"/>
      <c r="GYM518" s="1358"/>
      <c r="GYN518" s="1358"/>
      <c r="GYO518" s="1358"/>
      <c r="GYP518" s="1358"/>
      <c r="GYQ518" s="1358"/>
      <c r="GYR518" s="1358"/>
      <c r="GYS518" s="1358"/>
      <c r="GYT518" s="1358"/>
      <c r="GYU518" s="1358"/>
      <c r="GYV518" s="1358"/>
      <c r="GYW518" s="1358"/>
      <c r="GYX518" s="1358"/>
      <c r="GYY518" s="1358"/>
      <c r="GYZ518" s="1358"/>
      <c r="GZA518" s="1358"/>
      <c r="GZB518" s="1358"/>
      <c r="GZC518" s="1358"/>
      <c r="GZD518" s="1358"/>
      <c r="GZE518" s="1358"/>
      <c r="GZF518" s="1358"/>
      <c r="GZG518" s="1358"/>
      <c r="GZH518" s="1358"/>
      <c r="GZI518" s="1358"/>
      <c r="GZJ518" s="1358"/>
      <c r="GZK518" s="1358"/>
      <c r="GZL518" s="1358"/>
      <c r="GZM518" s="1358"/>
      <c r="GZN518" s="1358"/>
      <c r="GZO518" s="1358"/>
      <c r="GZP518" s="1358"/>
      <c r="GZQ518" s="1358"/>
      <c r="GZR518" s="1358"/>
      <c r="GZS518" s="1358"/>
      <c r="GZT518" s="1358"/>
      <c r="GZU518" s="1358"/>
      <c r="GZV518" s="1358"/>
      <c r="GZW518" s="1358"/>
      <c r="GZX518" s="1358"/>
      <c r="GZY518" s="1358"/>
      <c r="GZZ518" s="1358"/>
      <c r="HAA518" s="1358"/>
      <c r="HAB518" s="1358"/>
      <c r="HAC518" s="1358"/>
      <c r="HAD518" s="1358"/>
      <c r="HAE518" s="1358"/>
      <c r="HAF518" s="1358"/>
      <c r="HAG518" s="1358"/>
      <c r="HAH518" s="1358"/>
      <c r="HAI518" s="1358"/>
      <c r="HAJ518" s="1358"/>
      <c r="HAK518" s="1358"/>
      <c r="HAL518" s="1358"/>
      <c r="HAM518" s="1358"/>
      <c r="HAN518" s="1358"/>
      <c r="HAO518" s="1358"/>
      <c r="HAP518" s="1358"/>
      <c r="HAQ518" s="1358"/>
      <c r="HAR518" s="1358"/>
      <c r="HAS518" s="1358"/>
      <c r="HAT518" s="1358"/>
      <c r="HAU518" s="1358"/>
      <c r="HAV518" s="1358"/>
      <c r="HAW518" s="1358"/>
      <c r="HAX518" s="1358"/>
      <c r="HAY518" s="1358"/>
      <c r="HAZ518" s="1358"/>
      <c r="HBA518" s="1358"/>
      <c r="HBB518" s="1358"/>
      <c r="HBC518" s="1358"/>
      <c r="HBD518" s="1358"/>
      <c r="HBE518" s="1358"/>
      <c r="HBF518" s="1358"/>
      <c r="HBG518" s="1358"/>
      <c r="HBH518" s="1358"/>
      <c r="HBI518" s="1358"/>
      <c r="HBJ518" s="1358"/>
      <c r="HBK518" s="1358"/>
      <c r="HBL518" s="1358"/>
      <c r="HBM518" s="1358"/>
      <c r="HBN518" s="1358"/>
      <c r="HBO518" s="1358"/>
      <c r="HBP518" s="1358"/>
      <c r="HBQ518" s="1358"/>
      <c r="HBR518" s="1358"/>
      <c r="HBS518" s="1358"/>
      <c r="HBT518" s="1358"/>
      <c r="HBU518" s="1358"/>
      <c r="HBV518" s="1358"/>
      <c r="HBW518" s="1358"/>
      <c r="HBX518" s="1358"/>
      <c r="HBY518" s="1358"/>
      <c r="HBZ518" s="1358"/>
      <c r="HCA518" s="1358"/>
      <c r="HCB518" s="1358"/>
      <c r="HCC518" s="1358"/>
      <c r="HCD518" s="1358"/>
      <c r="HCE518" s="1358"/>
      <c r="HCF518" s="1358"/>
      <c r="HCG518" s="1358"/>
      <c r="HCH518" s="1358"/>
      <c r="HCI518" s="1358"/>
      <c r="HCJ518" s="1358"/>
      <c r="HCK518" s="1358"/>
      <c r="HCL518" s="1358"/>
      <c r="HCM518" s="1358"/>
      <c r="HCN518" s="1358"/>
      <c r="HCO518" s="1358"/>
      <c r="HCP518" s="1358"/>
      <c r="HCQ518" s="1358"/>
      <c r="HCR518" s="1358"/>
      <c r="HCS518" s="1358"/>
      <c r="HCT518" s="1358"/>
      <c r="HCU518" s="1358"/>
      <c r="HCV518" s="1358"/>
      <c r="HCW518" s="1358"/>
      <c r="HCX518" s="1358"/>
      <c r="HCY518" s="1358"/>
      <c r="HCZ518" s="1358"/>
      <c r="HDA518" s="1358"/>
      <c r="HDB518" s="1358"/>
      <c r="HDC518" s="1358"/>
      <c r="HDD518" s="1358"/>
      <c r="HDE518" s="1358"/>
      <c r="HDF518" s="1358"/>
      <c r="HDG518" s="1358"/>
      <c r="HDH518" s="1358"/>
      <c r="HDI518" s="1358"/>
      <c r="HDJ518" s="1358"/>
      <c r="HDK518" s="1358"/>
      <c r="HDL518" s="1358"/>
      <c r="HDM518" s="1358"/>
      <c r="HDN518" s="1358"/>
      <c r="HDO518" s="1358"/>
      <c r="HDP518" s="1358"/>
      <c r="HDQ518" s="1358"/>
      <c r="HDR518" s="1358"/>
      <c r="HDS518" s="1358"/>
      <c r="HDT518" s="1358"/>
      <c r="HDU518" s="1358"/>
      <c r="HDV518" s="1358"/>
      <c r="HDW518" s="1358"/>
      <c r="HDX518" s="1358"/>
      <c r="HDY518" s="1358"/>
      <c r="HDZ518" s="1358"/>
      <c r="HEA518" s="1358"/>
      <c r="HEB518" s="1358"/>
      <c r="HEC518" s="1358"/>
      <c r="HED518" s="1358"/>
      <c r="HEE518" s="1358"/>
      <c r="HEF518" s="1358"/>
      <c r="HEG518" s="1358"/>
      <c r="HEH518" s="1358"/>
      <c r="HEI518" s="1358"/>
      <c r="HEJ518" s="1358"/>
      <c r="HEK518" s="1358"/>
      <c r="HEL518" s="1358"/>
      <c r="HEM518" s="1358"/>
      <c r="HEN518" s="1358"/>
      <c r="HEO518" s="1358"/>
      <c r="HEP518" s="1358"/>
      <c r="HEQ518" s="1358"/>
      <c r="HER518" s="1358"/>
      <c r="HES518" s="1358"/>
      <c r="HET518" s="1358"/>
      <c r="HEU518" s="1358"/>
      <c r="HEV518" s="1358"/>
      <c r="HEW518" s="1358"/>
      <c r="HEX518" s="1358"/>
      <c r="HEY518" s="1358"/>
      <c r="HEZ518" s="1358"/>
      <c r="HFA518" s="1358"/>
      <c r="HFB518" s="1358"/>
      <c r="HFC518" s="1358"/>
      <c r="HFD518" s="1358"/>
      <c r="HFE518" s="1358"/>
      <c r="HFF518" s="1358"/>
      <c r="HFG518" s="1358"/>
      <c r="HFH518" s="1358"/>
      <c r="HFI518" s="1358"/>
      <c r="HFJ518" s="1358"/>
      <c r="HFK518" s="1358"/>
      <c r="HFL518" s="1358"/>
      <c r="HFM518" s="1358"/>
      <c r="HFN518" s="1358"/>
      <c r="HFO518" s="1358"/>
      <c r="HFP518" s="1358"/>
      <c r="HFQ518" s="1358"/>
      <c r="HFR518" s="1358"/>
      <c r="HFS518" s="1358"/>
      <c r="HFT518" s="1358"/>
      <c r="HFU518" s="1358"/>
      <c r="HFV518" s="1358"/>
      <c r="HFW518" s="1358"/>
      <c r="HFX518" s="1358"/>
      <c r="HFY518" s="1358"/>
      <c r="HFZ518" s="1358"/>
      <c r="HGA518" s="1358"/>
      <c r="HGB518" s="1358"/>
      <c r="HGC518" s="1358"/>
      <c r="HGD518" s="1358"/>
      <c r="HGE518" s="1358"/>
      <c r="HGF518" s="1358"/>
      <c r="HGG518" s="1358"/>
      <c r="HGH518" s="1358"/>
      <c r="HGI518" s="1358"/>
      <c r="HGJ518" s="1358"/>
      <c r="HGK518" s="1358"/>
      <c r="HGL518" s="1358"/>
      <c r="HGM518" s="1358"/>
      <c r="HGN518" s="1358"/>
      <c r="HGO518" s="1358"/>
      <c r="HGP518" s="1358"/>
      <c r="HGQ518" s="1358"/>
      <c r="HGR518" s="1358"/>
      <c r="HGS518" s="1358"/>
      <c r="HGT518" s="1358"/>
      <c r="HGU518" s="1358"/>
      <c r="HGV518" s="1358"/>
      <c r="HGW518" s="1358"/>
      <c r="HGX518" s="1358"/>
      <c r="HGY518" s="1358"/>
      <c r="HGZ518" s="1358"/>
      <c r="HHA518" s="1358"/>
      <c r="HHB518" s="1358"/>
      <c r="HHC518" s="1358"/>
      <c r="HHD518" s="1358"/>
      <c r="HHE518" s="1358"/>
      <c r="HHF518" s="1358"/>
      <c r="HHG518" s="1358"/>
      <c r="HHH518" s="1358"/>
      <c r="HHI518" s="1358"/>
      <c r="HHJ518" s="1358"/>
      <c r="HHK518" s="1358"/>
      <c r="HHL518" s="1358"/>
      <c r="HHM518" s="1358"/>
      <c r="HHN518" s="1358"/>
      <c r="HHO518" s="1358"/>
      <c r="HHP518" s="1358"/>
      <c r="HHQ518" s="1358"/>
      <c r="HHR518" s="1358"/>
      <c r="HHS518" s="1358"/>
      <c r="HHT518" s="1358"/>
      <c r="HHU518" s="1358"/>
      <c r="HHV518" s="1358"/>
      <c r="HHW518" s="1358"/>
      <c r="HHX518" s="1358"/>
      <c r="HHY518" s="1358"/>
      <c r="HHZ518" s="1358"/>
      <c r="HIA518" s="1358"/>
      <c r="HIB518" s="1358"/>
      <c r="HIC518" s="1358"/>
      <c r="HID518" s="1358"/>
      <c r="HIE518" s="1358"/>
      <c r="HIF518" s="1358"/>
      <c r="HIG518" s="1358"/>
      <c r="HIH518" s="1358"/>
      <c r="HII518" s="1358"/>
      <c r="HIJ518" s="1358"/>
      <c r="HIK518" s="1358"/>
      <c r="HIL518" s="1358"/>
      <c r="HIM518" s="1358"/>
      <c r="HIN518" s="1358"/>
      <c r="HIO518" s="1358"/>
      <c r="HIP518" s="1358"/>
      <c r="HIQ518" s="1358"/>
      <c r="HIR518" s="1358"/>
      <c r="HIS518" s="1358"/>
      <c r="HIT518" s="1358"/>
      <c r="HIU518" s="1358"/>
      <c r="HIV518" s="1358"/>
      <c r="HIW518" s="1358"/>
      <c r="HIX518" s="1358"/>
      <c r="HIY518" s="1358"/>
      <c r="HIZ518" s="1358"/>
      <c r="HJA518" s="1358"/>
      <c r="HJB518" s="1358"/>
      <c r="HJC518" s="1358"/>
      <c r="HJD518" s="1358"/>
      <c r="HJE518" s="1358"/>
      <c r="HJF518" s="1358"/>
      <c r="HJG518" s="1358"/>
      <c r="HJH518" s="1358"/>
      <c r="HJI518" s="1358"/>
      <c r="HJJ518" s="1358"/>
      <c r="HJK518" s="1358"/>
      <c r="HJL518" s="1358"/>
      <c r="HJM518" s="1358"/>
      <c r="HJN518" s="1358"/>
      <c r="HJO518" s="1358"/>
      <c r="HJP518" s="1358"/>
      <c r="HJQ518" s="1358"/>
      <c r="HJR518" s="1358"/>
      <c r="HJS518" s="1358"/>
      <c r="HJT518" s="1358"/>
      <c r="HJU518" s="1358"/>
      <c r="HJV518" s="1358"/>
      <c r="HJW518" s="1358"/>
      <c r="HJX518" s="1358"/>
      <c r="HJY518" s="1358"/>
      <c r="HJZ518" s="1358"/>
      <c r="HKA518" s="1358"/>
      <c r="HKB518" s="1358"/>
      <c r="HKC518" s="1358"/>
      <c r="HKD518" s="1358"/>
      <c r="HKE518" s="1358"/>
      <c r="HKF518" s="1358"/>
      <c r="HKG518" s="1358"/>
      <c r="HKH518" s="1358"/>
      <c r="HKI518" s="1358"/>
      <c r="HKJ518" s="1358"/>
      <c r="HKK518" s="1358"/>
      <c r="HKL518" s="1358"/>
      <c r="HKM518" s="1358"/>
      <c r="HKN518" s="1358"/>
      <c r="HKO518" s="1358"/>
      <c r="HKP518" s="1358"/>
      <c r="HKQ518" s="1358"/>
      <c r="HKR518" s="1358"/>
      <c r="HKS518" s="1358"/>
      <c r="HKT518" s="1358"/>
      <c r="HKU518" s="1358"/>
      <c r="HKV518" s="1358"/>
      <c r="HKW518" s="1358"/>
      <c r="HKX518" s="1358"/>
      <c r="HKY518" s="1358"/>
      <c r="HKZ518" s="1358"/>
      <c r="HLA518" s="1358"/>
      <c r="HLB518" s="1358"/>
      <c r="HLC518" s="1358"/>
      <c r="HLD518" s="1358"/>
      <c r="HLE518" s="1358"/>
      <c r="HLF518" s="1358"/>
      <c r="HLG518" s="1358"/>
      <c r="HLH518" s="1358"/>
      <c r="HLI518" s="1358"/>
      <c r="HLJ518" s="1358"/>
      <c r="HLK518" s="1358"/>
      <c r="HLL518" s="1358"/>
      <c r="HLM518" s="1358"/>
      <c r="HLN518" s="1358"/>
      <c r="HLO518" s="1358"/>
      <c r="HLP518" s="1358"/>
      <c r="HLQ518" s="1358"/>
      <c r="HLR518" s="1358"/>
      <c r="HLS518" s="1358"/>
      <c r="HLT518" s="1358"/>
      <c r="HLU518" s="1358"/>
      <c r="HLV518" s="1358"/>
      <c r="HLW518" s="1358"/>
      <c r="HLX518" s="1358"/>
      <c r="HLY518" s="1358"/>
      <c r="HLZ518" s="1358"/>
      <c r="HMA518" s="1358"/>
      <c r="HMB518" s="1358"/>
      <c r="HMC518" s="1358"/>
      <c r="HMD518" s="1358"/>
      <c r="HME518" s="1358"/>
      <c r="HMF518" s="1358"/>
      <c r="HMG518" s="1358"/>
      <c r="HMH518" s="1358"/>
      <c r="HMI518" s="1358"/>
      <c r="HMJ518" s="1358"/>
      <c r="HMK518" s="1358"/>
      <c r="HML518" s="1358"/>
      <c r="HMM518" s="1358"/>
      <c r="HMN518" s="1358"/>
      <c r="HMO518" s="1358"/>
      <c r="HMP518" s="1358"/>
      <c r="HMQ518" s="1358"/>
      <c r="HMR518" s="1358"/>
      <c r="HMS518" s="1358"/>
      <c r="HMT518" s="1358"/>
      <c r="HMU518" s="1358"/>
      <c r="HMV518" s="1358"/>
      <c r="HMW518" s="1358"/>
      <c r="HMX518" s="1358"/>
      <c r="HMY518" s="1358"/>
      <c r="HMZ518" s="1358"/>
      <c r="HNA518" s="1358"/>
      <c r="HNB518" s="1358"/>
      <c r="HNC518" s="1358"/>
      <c r="HND518" s="1358"/>
      <c r="HNE518" s="1358"/>
      <c r="HNF518" s="1358"/>
      <c r="HNG518" s="1358"/>
      <c r="HNH518" s="1358"/>
      <c r="HNI518" s="1358"/>
      <c r="HNJ518" s="1358"/>
      <c r="HNK518" s="1358"/>
      <c r="HNL518" s="1358"/>
      <c r="HNM518" s="1358"/>
      <c r="HNN518" s="1358"/>
      <c r="HNO518" s="1358"/>
      <c r="HNP518" s="1358"/>
      <c r="HNQ518" s="1358"/>
      <c r="HNR518" s="1358"/>
      <c r="HNS518" s="1358"/>
      <c r="HNT518" s="1358"/>
      <c r="HNU518" s="1358"/>
      <c r="HNV518" s="1358"/>
      <c r="HNW518" s="1358"/>
      <c r="HNX518" s="1358"/>
      <c r="HNY518" s="1358"/>
      <c r="HNZ518" s="1358"/>
      <c r="HOA518" s="1358"/>
      <c r="HOB518" s="1358"/>
      <c r="HOC518" s="1358"/>
      <c r="HOD518" s="1358"/>
      <c r="HOE518" s="1358"/>
      <c r="HOF518" s="1358"/>
      <c r="HOG518" s="1358"/>
      <c r="HOH518" s="1358"/>
      <c r="HOI518" s="1358"/>
      <c r="HOJ518" s="1358"/>
      <c r="HOK518" s="1358"/>
      <c r="HOL518" s="1358"/>
      <c r="HOM518" s="1358"/>
      <c r="HON518" s="1358"/>
      <c r="HOO518" s="1358"/>
      <c r="HOP518" s="1358"/>
      <c r="HOQ518" s="1358"/>
      <c r="HOR518" s="1358"/>
      <c r="HOS518" s="1358"/>
      <c r="HOT518" s="1358"/>
      <c r="HOU518" s="1358"/>
      <c r="HOV518" s="1358"/>
      <c r="HOW518" s="1358"/>
      <c r="HOX518" s="1358"/>
      <c r="HOY518" s="1358"/>
      <c r="HOZ518" s="1358"/>
      <c r="HPA518" s="1358"/>
      <c r="HPB518" s="1358"/>
      <c r="HPC518" s="1358"/>
      <c r="HPD518" s="1358"/>
      <c r="HPE518" s="1358"/>
      <c r="HPF518" s="1358"/>
      <c r="HPG518" s="1358"/>
      <c r="HPH518" s="1358"/>
      <c r="HPI518" s="1358"/>
      <c r="HPJ518" s="1358"/>
      <c r="HPK518" s="1358"/>
      <c r="HPL518" s="1358"/>
      <c r="HPM518" s="1358"/>
      <c r="HPN518" s="1358"/>
      <c r="HPO518" s="1358"/>
      <c r="HPP518" s="1358"/>
      <c r="HPQ518" s="1358"/>
      <c r="HPR518" s="1358"/>
      <c r="HPS518" s="1358"/>
      <c r="HPT518" s="1358"/>
      <c r="HPU518" s="1358"/>
      <c r="HPV518" s="1358"/>
      <c r="HPW518" s="1358"/>
      <c r="HPX518" s="1358"/>
      <c r="HPY518" s="1358"/>
      <c r="HPZ518" s="1358"/>
      <c r="HQA518" s="1358"/>
      <c r="HQB518" s="1358"/>
      <c r="HQC518" s="1358"/>
      <c r="HQD518" s="1358"/>
      <c r="HQE518" s="1358"/>
      <c r="HQF518" s="1358"/>
      <c r="HQG518" s="1358"/>
      <c r="HQH518" s="1358"/>
      <c r="HQI518" s="1358"/>
      <c r="HQJ518" s="1358"/>
      <c r="HQK518" s="1358"/>
      <c r="HQL518" s="1358"/>
      <c r="HQM518" s="1358"/>
      <c r="HQN518" s="1358"/>
      <c r="HQO518" s="1358"/>
      <c r="HQP518" s="1358"/>
      <c r="HQQ518" s="1358"/>
      <c r="HQR518" s="1358"/>
      <c r="HQS518" s="1358"/>
      <c r="HQT518" s="1358"/>
      <c r="HQU518" s="1358"/>
      <c r="HQV518" s="1358"/>
      <c r="HQW518" s="1358"/>
      <c r="HQX518" s="1358"/>
      <c r="HQY518" s="1358"/>
      <c r="HQZ518" s="1358"/>
      <c r="HRA518" s="1358"/>
      <c r="HRB518" s="1358"/>
      <c r="HRC518" s="1358"/>
      <c r="HRD518" s="1358"/>
      <c r="HRE518" s="1358"/>
      <c r="HRF518" s="1358"/>
      <c r="HRG518" s="1358"/>
      <c r="HRH518" s="1358"/>
      <c r="HRI518" s="1358"/>
      <c r="HRJ518" s="1358"/>
      <c r="HRK518" s="1358"/>
      <c r="HRL518" s="1358"/>
      <c r="HRM518" s="1358"/>
      <c r="HRN518" s="1358"/>
      <c r="HRO518" s="1358"/>
      <c r="HRP518" s="1358"/>
      <c r="HRQ518" s="1358"/>
      <c r="HRR518" s="1358"/>
      <c r="HRS518" s="1358"/>
      <c r="HRT518" s="1358"/>
      <c r="HRU518" s="1358"/>
      <c r="HRV518" s="1358"/>
      <c r="HRW518" s="1358"/>
      <c r="HRX518" s="1358"/>
      <c r="HRY518" s="1358"/>
      <c r="HRZ518" s="1358"/>
      <c r="HSA518" s="1358"/>
      <c r="HSB518" s="1358"/>
      <c r="HSC518" s="1358"/>
      <c r="HSD518" s="1358"/>
      <c r="HSE518" s="1358"/>
      <c r="HSF518" s="1358"/>
      <c r="HSG518" s="1358"/>
      <c r="HSH518" s="1358"/>
      <c r="HSI518" s="1358"/>
      <c r="HSJ518" s="1358"/>
      <c r="HSK518" s="1358"/>
      <c r="HSL518" s="1358"/>
      <c r="HSM518" s="1358"/>
      <c r="HSN518" s="1358"/>
      <c r="HSO518" s="1358"/>
      <c r="HSP518" s="1358"/>
      <c r="HSQ518" s="1358"/>
      <c r="HSR518" s="1358"/>
      <c r="HSS518" s="1358"/>
      <c r="HST518" s="1358"/>
      <c r="HSU518" s="1358"/>
      <c r="HSV518" s="1358"/>
      <c r="HSW518" s="1358"/>
      <c r="HSX518" s="1358"/>
      <c r="HSY518" s="1358"/>
      <c r="HSZ518" s="1358"/>
      <c r="HTA518" s="1358"/>
      <c r="HTB518" s="1358"/>
      <c r="HTC518" s="1358"/>
      <c r="HTD518" s="1358"/>
      <c r="HTE518" s="1358"/>
      <c r="HTF518" s="1358"/>
      <c r="HTG518" s="1358"/>
      <c r="HTH518" s="1358"/>
      <c r="HTI518" s="1358"/>
      <c r="HTJ518" s="1358"/>
      <c r="HTK518" s="1358"/>
      <c r="HTL518" s="1358"/>
      <c r="HTM518" s="1358"/>
      <c r="HTN518" s="1358"/>
      <c r="HTO518" s="1358"/>
      <c r="HTP518" s="1358"/>
      <c r="HTQ518" s="1358"/>
      <c r="HTR518" s="1358"/>
      <c r="HTS518" s="1358"/>
      <c r="HTT518" s="1358"/>
      <c r="HTU518" s="1358"/>
      <c r="HTV518" s="1358"/>
      <c r="HTW518" s="1358"/>
      <c r="HTX518" s="1358"/>
      <c r="HTY518" s="1358"/>
      <c r="HTZ518" s="1358"/>
      <c r="HUA518" s="1358"/>
      <c r="HUB518" s="1358"/>
      <c r="HUC518" s="1358"/>
      <c r="HUD518" s="1358"/>
      <c r="HUE518" s="1358"/>
      <c r="HUF518" s="1358"/>
      <c r="HUG518" s="1358"/>
      <c r="HUH518" s="1358"/>
      <c r="HUI518" s="1358"/>
      <c r="HUJ518" s="1358"/>
      <c r="HUK518" s="1358"/>
      <c r="HUL518" s="1358"/>
      <c r="HUM518" s="1358"/>
      <c r="HUN518" s="1358"/>
      <c r="HUO518" s="1358"/>
      <c r="HUP518" s="1358"/>
      <c r="HUQ518" s="1358"/>
      <c r="HUR518" s="1358"/>
      <c r="HUS518" s="1358"/>
      <c r="HUT518" s="1358"/>
      <c r="HUU518" s="1358"/>
      <c r="HUV518" s="1358"/>
      <c r="HUW518" s="1358"/>
      <c r="HUX518" s="1358"/>
      <c r="HUY518" s="1358"/>
      <c r="HUZ518" s="1358"/>
      <c r="HVA518" s="1358"/>
      <c r="HVB518" s="1358"/>
      <c r="HVC518" s="1358"/>
      <c r="HVD518" s="1358"/>
      <c r="HVE518" s="1358"/>
      <c r="HVF518" s="1358"/>
      <c r="HVG518" s="1358"/>
      <c r="HVH518" s="1358"/>
      <c r="HVI518" s="1358"/>
      <c r="HVJ518" s="1358"/>
      <c r="HVK518" s="1358"/>
      <c r="HVL518" s="1358"/>
      <c r="HVM518" s="1358"/>
      <c r="HVN518" s="1358"/>
      <c r="HVO518" s="1358"/>
      <c r="HVP518" s="1358"/>
      <c r="HVQ518" s="1358"/>
      <c r="HVR518" s="1358"/>
      <c r="HVS518" s="1358"/>
      <c r="HVT518" s="1358"/>
      <c r="HVU518" s="1358"/>
      <c r="HVV518" s="1358"/>
      <c r="HVW518" s="1358"/>
      <c r="HVX518" s="1358"/>
      <c r="HVY518" s="1358"/>
      <c r="HVZ518" s="1358"/>
      <c r="HWA518" s="1358"/>
      <c r="HWB518" s="1358"/>
      <c r="HWC518" s="1358"/>
      <c r="HWD518" s="1358"/>
      <c r="HWE518" s="1358"/>
      <c r="HWF518" s="1358"/>
      <c r="HWG518" s="1358"/>
      <c r="HWH518" s="1358"/>
      <c r="HWI518" s="1358"/>
      <c r="HWJ518" s="1358"/>
      <c r="HWK518" s="1358"/>
      <c r="HWL518" s="1358"/>
      <c r="HWM518" s="1358"/>
      <c r="HWN518" s="1358"/>
      <c r="HWO518" s="1358"/>
      <c r="HWP518" s="1358"/>
      <c r="HWQ518" s="1358"/>
      <c r="HWR518" s="1358"/>
      <c r="HWS518" s="1358"/>
      <c r="HWT518" s="1358"/>
      <c r="HWU518" s="1358"/>
      <c r="HWV518" s="1358"/>
      <c r="HWW518" s="1358"/>
      <c r="HWX518" s="1358"/>
      <c r="HWY518" s="1358"/>
      <c r="HWZ518" s="1358"/>
      <c r="HXA518" s="1358"/>
      <c r="HXB518" s="1358"/>
      <c r="HXC518" s="1358"/>
      <c r="HXD518" s="1358"/>
      <c r="HXE518" s="1358"/>
      <c r="HXF518" s="1358"/>
      <c r="HXG518" s="1358"/>
      <c r="HXH518" s="1358"/>
      <c r="HXI518" s="1358"/>
      <c r="HXJ518" s="1358"/>
      <c r="HXK518" s="1358"/>
      <c r="HXL518" s="1358"/>
      <c r="HXM518" s="1358"/>
      <c r="HXN518" s="1358"/>
      <c r="HXO518" s="1358"/>
      <c r="HXP518" s="1358"/>
      <c r="HXQ518" s="1358"/>
      <c r="HXR518" s="1358"/>
      <c r="HXS518" s="1358"/>
      <c r="HXT518" s="1358"/>
      <c r="HXU518" s="1358"/>
      <c r="HXV518" s="1358"/>
      <c r="HXW518" s="1358"/>
      <c r="HXX518" s="1358"/>
      <c r="HXY518" s="1358"/>
      <c r="HXZ518" s="1358"/>
      <c r="HYA518" s="1358"/>
      <c r="HYB518" s="1358"/>
      <c r="HYC518" s="1358"/>
      <c r="HYD518" s="1358"/>
      <c r="HYE518" s="1358"/>
      <c r="HYF518" s="1358"/>
      <c r="HYG518" s="1358"/>
      <c r="HYH518" s="1358"/>
      <c r="HYI518" s="1358"/>
      <c r="HYJ518" s="1358"/>
      <c r="HYK518" s="1358"/>
      <c r="HYL518" s="1358"/>
      <c r="HYM518" s="1358"/>
      <c r="HYN518" s="1358"/>
      <c r="HYO518" s="1358"/>
      <c r="HYP518" s="1358"/>
      <c r="HYQ518" s="1358"/>
      <c r="HYR518" s="1358"/>
      <c r="HYS518" s="1358"/>
      <c r="HYT518" s="1358"/>
      <c r="HYU518" s="1358"/>
      <c r="HYV518" s="1358"/>
      <c r="HYW518" s="1358"/>
      <c r="HYX518" s="1358"/>
      <c r="HYY518" s="1358"/>
      <c r="HYZ518" s="1358"/>
      <c r="HZA518" s="1358"/>
      <c r="HZB518" s="1358"/>
      <c r="HZC518" s="1358"/>
      <c r="HZD518" s="1358"/>
      <c r="HZE518" s="1358"/>
      <c r="HZF518" s="1358"/>
      <c r="HZG518" s="1358"/>
      <c r="HZH518" s="1358"/>
      <c r="HZI518" s="1358"/>
      <c r="HZJ518" s="1358"/>
      <c r="HZK518" s="1358"/>
      <c r="HZL518" s="1358"/>
      <c r="HZM518" s="1358"/>
      <c r="HZN518" s="1358"/>
      <c r="HZO518" s="1358"/>
      <c r="HZP518" s="1358"/>
      <c r="HZQ518" s="1358"/>
      <c r="HZR518" s="1358"/>
      <c r="HZS518" s="1358"/>
      <c r="HZT518" s="1358"/>
      <c r="HZU518" s="1358"/>
      <c r="HZV518" s="1358"/>
      <c r="HZW518" s="1358"/>
      <c r="HZX518" s="1358"/>
      <c r="HZY518" s="1358"/>
      <c r="HZZ518" s="1358"/>
      <c r="IAA518" s="1358"/>
      <c r="IAB518" s="1358"/>
      <c r="IAC518" s="1358"/>
      <c r="IAD518" s="1358"/>
      <c r="IAE518" s="1358"/>
      <c r="IAF518" s="1358"/>
      <c r="IAG518" s="1358"/>
      <c r="IAH518" s="1358"/>
      <c r="IAI518" s="1358"/>
      <c r="IAJ518" s="1358"/>
      <c r="IAK518" s="1358"/>
      <c r="IAL518" s="1358"/>
      <c r="IAM518" s="1358"/>
      <c r="IAN518" s="1358"/>
      <c r="IAO518" s="1358"/>
      <c r="IAP518" s="1358"/>
      <c r="IAQ518" s="1358"/>
      <c r="IAR518" s="1358"/>
      <c r="IAS518" s="1358"/>
      <c r="IAT518" s="1358"/>
      <c r="IAU518" s="1358"/>
      <c r="IAV518" s="1358"/>
      <c r="IAW518" s="1358"/>
      <c r="IAX518" s="1358"/>
      <c r="IAY518" s="1358"/>
      <c r="IAZ518" s="1358"/>
      <c r="IBA518" s="1358"/>
      <c r="IBB518" s="1358"/>
      <c r="IBC518" s="1358"/>
      <c r="IBD518" s="1358"/>
      <c r="IBE518" s="1358"/>
      <c r="IBF518" s="1358"/>
      <c r="IBG518" s="1358"/>
      <c r="IBH518" s="1358"/>
      <c r="IBI518" s="1358"/>
      <c r="IBJ518" s="1358"/>
      <c r="IBK518" s="1358"/>
      <c r="IBL518" s="1358"/>
      <c r="IBM518" s="1358"/>
      <c r="IBN518" s="1358"/>
      <c r="IBO518" s="1358"/>
      <c r="IBP518" s="1358"/>
      <c r="IBQ518" s="1358"/>
      <c r="IBR518" s="1358"/>
      <c r="IBS518" s="1358"/>
      <c r="IBT518" s="1358"/>
      <c r="IBU518" s="1358"/>
      <c r="IBV518" s="1358"/>
      <c r="IBW518" s="1358"/>
      <c r="IBX518" s="1358"/>
      <c r="IBY518" s="1358"/>
      <c r="IBZ518" s="1358"/>
      <c r="ICA518" s="1358"/>
      <c r="ICB518" s="1358"/>
      <c r="ICC518" s="1358"/>
      <c r="ICD518" s="1358"/>
      <c r="ICE518" s="1358"/>
      <c r="ICF518" s="1358"/>
      <c r="ICG518" s="1358"/>
      <c r="ICH518" s="1358"/>
      <c r="ICI518" s="1358"/>
      <c r="ICJ518" s="1358"/>
      <c r="ICK518" s="1358"/>
      <c r="ICL518" s="1358"/>
      <c r="ICM518" s="1358"/>
      <c r="ICN518" s="1358"/>
      <c r="ICO518" s="1358"/>
      <c r="ICP518" s="1358"/>
      <c r="ICQ518" s="1358"/>
      <c r="ICR518" s="1358"/>
      <c r="ICS518" s="1358"/>
      <c r="ICT518" s="1358"/>
      <c r="ICU518" s="1358"/>
      <c r="ICV518" s="1358"/>
      <c r="ICW518" s="1358"/>
      <c r="ICX518" s="1358"/>
      <c r="ICY518" s="1358"/>
      <c r="ICZ518" s="1358"/>
      <c r="IDA518" s="1358"/>
      <c r="IDB518" s="1358"/>
      <c r="IDC518" s="1358"/>
      <c r="IDD518" s="1358"/>
      <c r="IDE518" s="1358"/>
      <c r="IDF518" s="1358"/>
      <c r="IDG518" s="1358"/>
      <c r="IDH518" s="1358"/>
      <c r="IDI518" s="1358"/>
      <c r="IDJ518" s="1358"/>
      <c r="IDK518" s="1358"/>
      <c r="IDL518" s="1358"/>
      <c r="IDM518" s="1358"/>
      <c r="IDN518" s="1358"/>
      <c r="IDO518" s="1358"/>
      <c r="IDP518" s="1358"/>
      <c r="IDQ518" s="1358"/>
      <c r="IDR518" s="1358"/>
      <c r="IDS518" s="1358"/>
      <c r="IDT518" s="1358"/>
      <c r="IDU518" s="1358"/>
      <c r="IDV518" s="1358"/>
      <c r="IDW518" s="1358"/>
      <c r="IDX518" s="1358"/>
      <c r="IDY518" s="1358"/>
      <c r="IDZ518" s="1358"/>
      <c r="IEA518" s="1358"/>
      <c r="IEB518" s="1358"/>
      <c r="IEC518" s="1358"/>
      <c r="IED518" s="1358"/>
      <c r="IEE518" s="1358"/>
      <c r="IEF518" s="1358"/>
      <c r="IEG518" s="1358"/>
      <c r="IEH518" s="1358"/>
      <c r="IEI518" s="1358"/>
      <c r="IEJ518" s="1358"/>
      <c r="IEK518" s="1358"/>
      <c r="IEL518" s="1358"/>
      <c r="IEM518" s="1358"/>
      <c r="IEN518" s="1358"/>
      <c r="IEO518" s="1358"/>
      <c r="IEP518" s="1358"/>
      <c r="IEQ518" s="1358"/>
      <c r="IER518" s="1358"/>
      <c r="IES518" s="1358"/>
      <c r="IET518" s="1358"/>
      <c r="IEU518" s="1358"/>
      <c r="IEV518" s="1358"/>
      <c r="IEW518" s="1358"/>
      <c r="IEX518" s="1358"/>
      <c r="IEY518" s="1358"/>
      <c r="IEZ518" s="1358"/>
      <c r="IFA518" s="1358"/>
      <c r="IFB518" s="1358"/>
      <c r="IFC518" s="1358"/>
      <c r="IFD518" s="1358"/>
      <c r="IFE518" s="1358"/>
      <c r="IFF518" s="1358"/>
      <c r="IFG518" s="1358"/>
      <c r="IFH518" s="1358"/>
      <c r="IFI518" s="1358"/>
      <c r="IFJ518" s="1358"/>
      <c r="IFK518" s="1358"/>
      <c r="IFL518" s="1358"/>
      <c r="IFM518" s="1358"/>
      <c r="IFN518" s="1358"/>
      <c r="IFO518" s="1358"/>
      <c r="IFP518" s="1358"/>
      <c r="IFQ518" s="1358"/>
      <c r="IFR518" s="1358"/>
      <c r="IFS518" s="1358"/>
      <c r="IFT518" s="1358"/>
      <c r="IFU518" s="1358"/>
      <c r="IFV518" s="1358"/>
      <c r="IFW518" s="1358"/>
      <c r="IFX518" s="1358"/>
      <c r="IFY518" s="1358"/>
      <c r="IFZ518" s="1358"/>
      <c r="IGA518" s="1358"/>
      <c r="IGB518" s="1358"/>
      <c r="IGC518" s="1358"/>
      <c r="IGD518" s="1358"/>
      <c r="IGE518" s="1358"/>
      <c r="IGF518" s="1358"/>
      <c r="IGG518" s="1358"/>
      <c r="IGH518" s="1358"/>
      <c r="IGI518" s="1358"/>
      <c r="IGJ518" s="1358"/>
      <c r="IGK518" s="1358"/>
      <c r="IGL518" s="1358"/>
      <c r="IGM518" s="1358"/>
      <c r="IGN518" s="1358"/>
      <c r="IGO518" s="1358"/>
      <c r="IGP518" s="1358"/>
      <c r="IGQ518" s="1358"/>
      <c r="IGR518" s="1358"/>
      <c r="IGS518" s="1358"/>
      <c r="IGT518" s="1358"/>
      <c r="IGU518" s="1358"/>
      <c r="IGV518" s="1358"/>
      <c r="IGW518" s="1358"/>
      <c r="IGX518" s="1358"/>
      <c r="IGY518" s="1358"/>
      <c r="IGZ518" s="1358"/>
      <c r="IHA518" s="1358"/>
      <c r="IHB518" s="1358"/>
      <c r="IHC518" s="1358"/>
      <c r="IHD518" s="1358"/>
      <c r="IHE518" s="1358"/>
      <c r="IHF518" s="1358"/>
      <c r="IHG518" s="1358"/>
      <c r="IHH518" s="1358"/>
      <c r="IHI518" s="1358"/>
      <c r="IHJ518" s="1358"/>
      <c r="IHK518" s="1358"/>
      <c r="IHL518" s="1358"/>
      <c r="IHM518" s="1358"/>
      <c r="IHN518" s="1358"/>
      <c r="IHO518" s="1358"/>
      <c r="IHP518" s="1358"/>
      <c r="IHQ518" s="1358"/>
      <c r="IHR518" s="1358"/>
      <c r="IHS518" s="1358"/>
      <c r="IHT518" s="1358"/>
      <c r="IHU518" s="1358"/>
      <c r="IHV518" s="1358"/>
      <c r="IHW518" s="1358"/>
      <c r="IHX518" s="1358"/>
      <c r="IHY518" s="1358"/>
      <c r="IHZ518" s="1358"/>
      <c r="IIA518" s="1358"/>
      <c r="IIB518" s="1358"/>
      <c r="IIC518" s="1358"/>
      <c r="IID518" s="1358"/>
      <c r="IIE518" s="1358"/>
      <c r="IIF518" s="1358"/>
      <c r="IIG518" s="1358"/>
      <c r="IIH518" s="1358"/>
      <c r="III518" s="1358"/>
      <c r="IIJ518" s="1358"/>
      <c r="IIK518" s="1358"/>
      <c r="IIL518" s="1358"/>
      <c r="IIM518" s="1358"/>
      <c r="IIN518" s="1358"/>
      <c r="IIO518" s="1358"/>
      <c r="IIP518" s="1358"/>
      <c r="IIQ518" s="1358"/>
      <c r="IIR518" s="1358"/>
      <c r="IIS518" s="1358"/>
      <c r="IIT518" s="1358"/>
      <c r="IIU518" s="1358"/>
      <c r="IIV518" s="1358"/>
      <c r="IIW518" s="1358"/>
      <c r="IIX518" s="1358"/>
      <c r="IIY518" s="1358"/>
      <c r="IIZ518" s="1358"/>
      <c r="IJA518" s="1358"/>
      <c r="IJB518" s="1358"/>
      <c r="IJC518" s="1358"/>
      <c r="IJD518" s="1358"/>
      <c r="IJE518" s="1358"/>
      <c r="IJF518" s="1358"/>
      <c r="IJG518" s="1358"/>
      <c r="IJH518" s="1358"/>
      <c r="IJI518" s="1358"/>
      <c r="IJJ518" s="1358"/>
      <c r="IJK518" s="1358"/>
      <c r="IJL518" s="1358"/>
      <c r="IJM518" s="1358"/>
      <c r="IJN518" s="1358"/>
      <c r="IJO518" s="1358"/>
      <c r="IJP518" s="1358"/>
      <c r="IJQ518" s="1358"/>
      <c r="IJR518" s="1358"/>
      <c r="IJS518" s="1358"/>
      <c r="IJT518" s="1358"/>
      <c r="IJU518" s="1358"/>
      <c r="IJV518" s="1358"/>
      <c r="IJW518" s="1358"/>
      <c r="IJX518" s="1358"/>
      <c r="IJY518" s="1358"/>
      <c r="IJZ518" s="1358"/>
      <c r="IKA518" s="1358"/>
      <c r="IKB518" s="1358"/>
      <c r="IKC518" s="1358"/>
      <c r="IKD518" s="1358"/>
      <c r="IKE518" s="1358"/>
      <c r="IKF518" s="1358"/>
      <c r="IKG518" s="1358"/>
      <c r="IKH518" s="1358"/>
      <c r="IKI518" s="1358"/>
      <c r="IKJ518" s="1358"/>
      <c r="IKK518" s="1358"/>
      <c r="IKL518" s="1358"/>
      <c r="IKM518" s="1358"/>
      <c r="IKN518" s="1358"/>
      <c r="IKO518" s="1358"/>
      <c r="IKP518" s="1358"/>
      <c r="IKQ518" s="1358"/>
      <c r="IKR518" s="1358"/>
      <c r="IKS518" s="1358"/>
      <c r="IKT518" s="1358"/>
      <c r="IKU518" s="1358"/>
      <c r="IKV518" s="1358"/>
      <c r="IKW518" s="1358"/>
      <c r="IKX518" s="1358"/>
      <c r="IKY518" s="1358"/>
      <c r="IKZ518" s="1358"/>
      <c r="ILA518" s="1358"/>
      <c r="ILB518" s="1358"/>
      <c r="ILC518" s="1358"/>
      <c r="ILD518" s="1358"/>
      <c r="ILE518" s="1358"/>
      <c r="ILF518" s="1358"/>
      <c r="ILG518" s="1358"/>
      <c r="ILH518" s="1358"/>
      <c r="ILI518" s="1358"/>
      <c r="ILJ518" s="1358"/>
      <c r="ILK518" s="1358"/>
      <c r="ILL518" s="1358"/>
      <c r="ILM518" s="1358"/>
      <c r="ILN518" s="1358"/>
      <c r="ILO518" s="1358"/>
      <c r="ILP518" s="1358"/>
      <c r="ILQ518" s="1358"/>
      <c r="ILR518" s="1358"/>
      <c r="ILS518" s="1358"/>
      <c r="ILT518" s="1358"/>
      <c r="ILU518" s="1358"/>
      <c r="ILV518" s="1358"/>
      <c r="ILW518" s="1358"/>
      <c r="ILX518" s="1358"/>
      <c r="ILY518" s="1358"/>
      <c r="ILZ518" s="1358"/>
      <c r="IMA518" s="1358"/>
      <c r="IMB518" s="1358"/>
      <c r="IMC518" s="1358"/>
      <c r="IMD518" s="1358"/>
      <c r="IME518" s="1358"/>
      <c r="IMF518" s="1358"/>
      <c r="IMG518" s="1358"/>
      <c r="IMH518" s="1358"/>
      <c r="IMI518" s="1358"/>
      <c r="IMJ518" s="1358"/>
      <c r="IMK518" s="1358"/>
      <c r="IML518" s="1358"/>
      <c r="IMM518" s="1358"/>
      <c r="IMN518" s="1358"/>
      <c r="IMO518" s="1358"/>
      <c r="IMP518" s="1358"/>
      <c r="IMQ518" s="1358"/>
      <c r="IMR518" s="1358"/>
      <c r="IMS518" s="1358"/>
      <c r="IMT518" s="1358"/>
      <c r="IMU518" s="1358"/>
      <c r="IMV518" s="1358"/>
      <c r="IMW518" s="1358"/>
      <c r="IMX518" s="1358"/>
      <c r="IMY518" s="1358"/>
      <c r="IMZ518" s="1358"/>
      <c r="INA518" s="1358"/>
      <c r="INB518" s="1358"/>
      <c r="INC518" s="1358"/>
      <c r="IND518" s="1358"/>
      <c r="INE518" s="1358"/>
      <c r="INF518" s="1358"/>
      <c r="ING518" s="1358"/>
      <c r="INH518" s="1358"/>
      <c r="INI518" s="1358"/>
      <c r="INJ518" s="1358"/>
      <c r="INK518" s="1358"/>
      <c r="INL518" s="1358"/>
      <c r="INM518" s="1358"/>
      <c r="INN518" s="1358"/>
      <c r="INO518" s="1358"/>
      <c r="INP518" s="1358"/>
      <c r="INQ518" s="1358"/>
      <c r="INR518" s="1358"/>
      <c r="INS518" s="1358"/>
      <c r="INT518" s="1358"/>
      <c r="INU518" s="1358"/>
      <c r="INV518" s="1358"/>
      <c r="INW518" s="1358"/>
      <c r="INX518" s="1358"/>
      <c r="INY518" s="1358"/>
      <c r="INZ518" s="1358"/>
      <c r="IOA518" s="1358"/>
      <c r="IOB518" s="1358"/>
      <c r="IOC518" s="1358"/>
      <c r="IOD518" s="1358"/>
      <c r="IOE518" s="1358"/>
      <c r="IOF518" s="1358"/>
      <c r="IOG518" s="1358"/>
      <c r="IOH518" s="1358"/>
      <c r="IOI518" s="1358"/>
      <c r="IOJ518" s="1358"/>
      <c r="IOK518" s="1358"/>
      <c r="IOL518" s="1358"/>
      <c r="IOM518" s="1358"/>
      <c r="ION518" s="1358"/>
      <c r="IOO518" s="1358"/>
      <c r="IOP518" s="1358"/>
      <c r="IOQ518" s="1358"/>
      <c r="IOR518" s="1358"/>
      <c r="IOS518" s="1358"/>
      <c r="IOT518" s="1358"/>
      <c r="IOU518" s="1358"/>
      <c r="IOV518" s="1358"/>
      <c r="IOW518" s="1358"/>
      <c r="IOX518" s="1358"/>
      <c r="IOY518" s="1358"/>
      <c r="IOZ518" s="1358"/>
      <c r="IPA518" s="1358"/>
      <c r="IPB518" s="1358"/>
      <c r="IPC518" s="1358"/>
      <c r="IPD518" s="1358"/>
      <c r="IPE518" s="1358"/>
      <c r="IPF518" s="1358"/>
      <c r="IPG518" s="1358"/>
      <c r="IPH518" s="1358"/>
      <c r="IPI518" s="1358"/>
      <c r="IPJ518" s="1358"/>
      <c r="IPK518" s="1358"/>
      <c r="IPL518" s="1358"/>
      <c r="IPM518" s="1358"/>
      <c r="IPN518" s="1358"/>
      <c r="IPO518" s="1358"/>
      <c r="IPP518" s="1358"/>
      <c r="IPQ518" s="1358"/>
      <c r="IPR518" s="1358"/>
      <c r="IPS518" s="1358"/>
      <c r="IPT518" s="1358"/>
      <c r="IPU518" s="1358"/>
      <c r="IPV518" s="1358"/>
      <c r="IPW518" s="1358"/>
      <c r="IPX518" s="1358"/>
      <c r="IPY518" s="1358"/>
      <c r="IPZ518" s="1358"/>
      <c r="IQA518" s="1358"/>
      <c r="IQB518" s="1358"/>
      <c r="IQC518" s="1358"/>
      <c r="IQD518" s="1358"/>
      <c r="IQE518" s="1358"/>
      <c r="IQF518" s="1358"/>
      <c r="IQG518" s="1358"/>
      <c r="IQH518" s="1358"/>
      <c r="IQI518" s="1358"/>
      <c r="IQJ518" s="1358"/>
      <c r="IQK518" s="1358"/>
      <c r="IQL518" s="1358"/>
      <c r="IQM518" s="1358"/>
      <c r="IQN518" s="1358"/>
      <c r="IQO518" s="1358"/>
      <c r="IQP518" s="1358"/>
      <c r="IQQ518" s="1358"/>
      <c r="IQR518" s="1358"/>
      <c r="IQS518" s="1358"/>
      <c r="IQT518" s="1358"/>
      <c r="IQU518" s="1358"/>
      <c r="IQV518" s="1358"/>
      <c r="IQW518" s="1358"/>
      <c r="IQX518" s="1358"/>
      <c r="IQY518" s="1358"/>
      <c r="IQZ518" s="1358"/>
      <c r="IRA518" s="1358"/>
      <c r="IRB518" s="1358"/>
      <c r="IRC518" s="1358"/>
      <c r="IRD518" s="1358"/>
      <c r="IRE518" s="1358"/>
      <c r="IRF518" s="1358"/>
      <c r="IRG518" s="1358"/>
      <c r="IRH518" s="1358"/>
      <c r="IRI518" s="1358"/>
      <c r="IRJ518" s="1358"/>
      <c r="IRK518" s="1358"/>
      <c r="IRL518" s="1358"/>
      <c r="IRM518" s="1358"/>
      <c r="IRN518" s="1358"/>
      <c r="IRO518" s="1358"/>
      <c r="IRP518" s="1358"/>
      <c r="IRQ518" s="1358"/>
      <c r="IRR518" s="1358"/>
      <c r="IRS518" s="1358"/>
      <c r="IRT518" s="1358"/>
      <c r="IRU518" s="1358"/>
      <c r="IRV518" s="1358"/>
      <c r="IRW518" s="1358"/>
      <c r="IRX518" s="1358"/>
      <c r="IRY518" s="1358"/>
      <c r="IRZ518" s="1358"/>
      <c r="ISA518" s="1358"/>
      <c r="ISB518" s="1358"/>
      <c r="ISC518" s="1358"/>
      <c r="ISD518" s="1358"/>
      <c r="ISE518" s="1358"/>
      <c r="ISF518" s="1358"/>
      <c r="ISG518" s="1358"/>
      <c r="ISH518" s="1358"/>
      <c r="ISI518" s="1358"/>
      <c r="ISJ518" s="1358"/>
      <c r="ISK518" s="1358"/>
      <c r="ISL518" s="1358"/>
      <c r="ISM518" s="1358"/>
      <c r="ISN518" s="1358"/>
      <c r="ISO518" s="1358"/>
      <c r="ISP518" s="1358"/>
      <c r="ISQ518" s="1358"/>
      <c r="ISR518" s="1358"/>
      <c r="ISS518" s="1358"/>
      <c r="IST518" s="1358"/>
      <c r="ISU518" s="1358"/>
      <c r="ISV518" s="1358"/>
      <c r="ISW518" s="1358"/>
      <c r="ISX518" s="1358"/>
      <c r="ISY518" s="1358"/>
      <c r="ISZ518" s="1358"/>
      <c r="ITA518" s="1358"/>
      <c r="ITB518" s="1358"/>
      <c r="ITC518" s="1358"/>
      <c r="ITD518" s="1358"/>
      <c r="ITE518" s="1358"/>
      <c r="ITF518" s="1358"/>
      <c r="ITG518" s="1358"/>
      <c r="ITH518" s="1358"/>
      <c r="ITI518" s="1358"/>
      <c r="ITJ518" s="1358"/>
      <c r="ITK518" s="1358"/>
      <c r="ITL518" s="1358"/>
      <c r="ITM518" s="1358"/>
      <c r="ITN518" s="1358"/>
      <c r="ITO518" s="1358"/>
      <c r="ITP518" s="1358"/>
      <c r="ITQ518" s="1358"/>
      <c r="ITR518" s="1358"/>
      <c r="ITS518" s="1358"/>
      <c r="ITT518" s="1358"/>
      <c r="ITU518" s="1358"/>
      <c r="ITV518" s="1358"/>
      <c r="ITW518" s="1358"/>
      <c r="ITX518" s="1358"/>
      <c r="ITY518" s="1358"/>
      <c r="ITZ518" s="1358"/>
      <c r="IUA518" s="1358"/>
      <c r="IUB518" s="1358"/>
      <c r="IUC518" s="1358"/>
      <c r="IUD518" s="1358"/>
      <c r="IUE518" s="1358"/>
      <c r="IUF518" s="1358"/>
      <c r="IUG518" s="1358"/>
      <c r="IUH518" s="1358"/>
      <c r="IUI518" s="1358"/>
      <c r="IUJ518" s="1358"/>
      <c r="IUK518" s="1358"/>
      <c r="IUL518" s="1358"/>
      <c r="IUM518" s="1358"/>
      <c r="IUN518" s="1358"/>
      <c r="IUO518" s="1358"/>
      <c r="IUP518" s="1358"/>
      <c r="IUQ518" s="1358"/>
      <c r="IUR518" s="1358"/>
      <c r="IUS518" s="1358"/>
      <c r="IUT518" s="1358"/>
      <c r="IUU518" s="1358"/>
      <c r="IUV518" s="1358"/>
      <c r="IUW518" s="1358"/>
      <c r="IUX518" s="1358"/>
      <c r="IUY518" s="1358"/>
      <c r="IUZ518" s="1358"/>
      <c r="IVA518" s="1358"/>
      <c r="IVB518" s="1358"/>
      <c r="IVC518" s="1358"/>
      <c r="IVD518" s="1358"/>
      <c r="IVE518" s="1358"/>
      <c r="IVF518" s="1358"/>
      <c r="IVG518" s="1358"/>
      <c r="IVH518" s="1358"/>
      <c r="IVI518" s="1358"/>
      <c r="IVJ518" s="1358"/>
      <c r="IVK518" s="1358"/>
      <c r="IVL518" s="1358"/>
      <c r="IVM518" s="1358"/>
      <c r="IVN518" s="1358"/>
      <c r="IVO518" s="1358"/>
      <c r="IVP518" s="1358"/>
      <c r="IVQ518" s="1358"/>
      <c r="IVR518" s="1358"/>
      <c r="IVS518" s="1358"/>
      <c r="IVT518" s="1358"/>
      <c r="IVU518" s="1358"/>
      <c r="IVV518" s="1358"/>
      <c r="IVW518" s="1358"/>
      <c r="IVX518" s="1358"/>
      <c r="IVY518" s="1358"/>
      <c r="IVZ518" s="1358"/>
      <c r="IWA518" s="1358"/>
      <c r="IWB518" s="1358"/>
      <c r="IWC518" s="1358"/>
      <c r="IWD518" s="1358"/>
      <c r="IWE518" s="1358"/>
      <c r="IWF518" s="1358"/>
      <c r="IWG518" s="1358"/>
      <c r="IWH518" s="1358"/>
      <c r="IWI518" s="1358"/>
      <c r="IWJ518" s="1358"/>
      <c r="IWK518" s="1358"/>
      <c r="IWL518" s="1358"/>
      <c r="IWM518" s="1358"/>
      <c r="IWN518" s="1358"/>
      <c r="IWO518" s="1358"/>
      <c r="IWP518" s="1358"/>
      <c r="IWQ518" s="1358"/>
      <c r="IWR518" s="1358"/>
      <c r="IWS518" s="1358"/>
      <c r="IWT518" s="1358"/>
      <c r="IWU518" s="1358"/>
      <c r="IWV518" s="1358"/>
      <c r="IWW518" s="1358"/>
      <c r="IWX518" s="1358"/>
      <c r="IWY518" s="1358"/>
      <c r="IWZ518" s="1358"/>
      <c r="IXA518" s="1358"/>
      <c r="IXB518" s="1358"/>
      <c r="IXC518" s="1358"/>
      <c r="IXD518" s="1358"/>
      <c r="IXE518" s="1358"/>
      <c r="IXF518" s="1358"/>
      <c r="IXG518" s="1358"/>
      <c r="IXH518" s="1358"/>
      <c r="IXI518" s="1358"/>
      <c r="IXJ518" s="1358"/>
      <c r="IXK518" s="1358"/>
      <c r="IXL518" s="1358"/>
      <c r="IXM518" s="1358"/>
      <c r="IXN518" s="1358"/>
      <c r="IXO518" s="1358"/>
      <c r="IXP518" s="1358"/>
      <c r="IXQ518" s="1358"/>
      <c r="IXR518" s="1358"/>
      <c r="IXS518" s="1358"/>
      <c r="IXT518" s="1358"/>
      <c r="IXU518" s="1358"/>
      <c r="IXV518" s="1358"/>
      <c r="IXW518" s="1358"/>
      <c r="IXX518" s="1358"/>
      <c r="IXY518" s="1358"/>
      <c r="IXZ518" s="1358"/>
      <c r="IYA518" s="1358"/>
      <c r="IYB518" s="1358"/>
      <c r="IYC518" s="1358"/>
      <c r="IYD518" s="1358"/>
      <c r="IYE518" s="1358"/>
      <c r="IYF518" s="1358"/>
      <c r="IYG518" s="1358"/>
      <c r="IYH518" s="1358"/>
      <c r="IYI518" s="1358"/>
      <c r="IYJ518" s="1358"/>
      <c r="IYK518" s="1358"/>
      <c r="IYL518" s="1358"/>
      <c r="IYM518" s="1358"/>
      <c r="IYN518" s="1358"/>
      <c r="IYO518" s="1358"/>
      <c r="IYP518" s="1358"/>
      <c r="IYQ518" s="1358"/>
      <c r="IYR518" s="1358"/>
      <c r="IYS518" s="1358"/>
      <c r="IYT518" s="1358"/>
      <c r="IYU518" s="1358"/>
      <c r="IYV518" s="1358"/>
      <c r="IYW518" s="1358"/>
      <c r="IYX518" s="1358"/>
      <c r="IYY518" s="1358"/>
      <c r="IYZ518" s="1358"/>
      <c r="IZA518" s="1358"/>
      <c r="IZB518" s="1358"/>
      <c r="IZC518" s="1358"/>
      <c r="IZD518" s="1358"/>
      <c r="IZE518" s="1358"/>
      <c r="IZF518" s="1358"/>
      <c r="IZG518" s="1358"/>
      <c r="IZH518" s="1358"/>
      <c r="IZI518" s="1358"/>
      <c r="IZJ518" s="1358"/>
      <c r="IZK518" s="1358"/>
      <c r="IZL518" s="1358"/>
      <c r="IZM518" s="1358"/>
      <c r="IZN518" s="1358"/>
      <c r="IZO518" s="1358"/>
      <c r="IZP518" s="1358"/>
      <c r="IZQ518" s="1358"/>
      <c r="IZR518" s="1358"/>
      <c r="IZS518" s="1358"/>
      <c r="IZT518" s="1358"/>
      <c r="IZU518" s="1358"/>
      <c r="IZV518" s="1358"/>
      <c r="IZW518" s="1358"/>
      <c r="IZX518" s="1358"/>
      <c r="IZY518" s="1358"/>
      <c r="IZZ518" s="1358"/>
      <c r="JAA518" s="1358"/>
      <c r="JAB518" s="1358"/>
      <c r="JAC518" s="1358"/>
      <c r="JAD518" s="1358"/>
      <c r="JAE518" s="1358"/>
      <c r="JAF518" s="1358"/>
      <c r="JAG518" s="1358"/>
      <c r="JAH518" s="1358"/>
      <c r="JAI518" s="1358"/>
      <c r="JAJ518" s="1358"/>
      <c r="JAK518" s="1358"/>
      <c r="JAL518" s="1358"/>
      <c r="JAM518" s="1358"/>
      <c r="JAN518" s="1358"/>
      <c r="JAO518" s="1358"/>
      <c r="JAP518" s="1358"/>
      <c r="JAQ518" s="1358"/>
      <c r="JAR518" s="1358"/>
      <c r="JAS518" s="1358"/>
      <c r="JAT518" s="1358"/>
      <c r="JAU518" s="1358"/>
      <c r="JAV518" s="1358"/>
      <c r="JAW518" s="1358"/>
      <c r="JAX518" s="1358"/>
      <c r="JAY518" s="1358"/>
      <c r="JAZ518" s="1358"/>
      <c r="JBA518" s="1358"/>
      <c r="JBB518" s="1358"/>
      <c r="JBC518" s="1358"/>
      <c r="JBD518" s="1358"/>
      <c r="JBE518" s="1358"/>
      <c r="JBF518" s="1358"/>
      <c r="JBG518" s="1358"/>
      <c r="JBH518" s="1358"/>
      <c r="JBI518" s="1358"/>
      <c r="JBJ518" s="1358"/>
      <c r="JBK518" s="1358"/>
      <c r="JBL518" s="1358"/>
      <c r="JBM518" s="1358"/>
      <c r="JBN518" s="1358"/>
      <c r="JBO518" s="1358"/>
      <c r="JBP518" s="1358"/>
      <c r="JBQ518" s="1358"/>
      <c r="JBR518" s="1358"/>
      <c r="JBS518" s="1358"/>
      <c r="JBT518" s="1358"/>
      <c r="JBU518" s="1358"/>
      <c r="JBV518" s="1358"/>
      <c r="JBW518" s="1358"/>
      <c r="JBX518" s="1358"/>
      <c r="JBY518" s="1358"/>
      <c r="JBZ518" s="1358"/>
      <c r="JCA518" s="1358"/>
      <c r="JCB518" s="1358"/>
      <c r="JCC518" s="1358"/>
      <c r="JCD518" s="1358"/>
      <c r="JCE518" s="1358"/>
      <c r="JCF518" s="1358"/>
      <c r="JCG518" s="1358"/>
      <c r="JCH518" s="1358"/>
      <c r="JCI518" s="1358"/>
      <c r="JCJ518" s="1358"/>
      <c r="JCK518" s="1358"/>
      <c r="JCL518" s="1358"/>
      <c r="JCM518" s="1358"/>
      <c r="JCN518" s="1358"/>
      <c r="JCO518" s="1358"/>
      <c r="JCP518" s="1358"/>
      <c r="JCQ518" s="1358"/>
      <c r="JCR518" s="1358"/>
      <c r="JCS518" s="1358"/>
      <c r="JCT518" s="1358"/>
      <c r="JCU518" s="1358"/>
      <c r="JCV518" s="1358"/>
      <c r="JCW518" s="1358"/>
      <c r="JCX518" s="1358"/>
      <c r="JCY518" s="1358"/>
      <c r="JCZ518" s="1358"/>
      <c r="JDA518" s="1358"/>
      <c r="JDB518" s="1358"/>
      <c r="JDC518" s="1358"/>
      <c r="JDD518" s="1358"/>
      <c r="JDE518" s="1358"/>
      <c r="JDF518" s="1358"/>
      <c r="JDG518" s="1358"/>
      <c r="JDH518" s="1358"/>
      <c r="JDI518" s="1358"/>
      <c r="JDJ518" s="1358"/>
      <c r="JDK518" s="1358"/>
      <c r="JDL518" s="1358"/>
      <c r="JDM518" s="1358"/>
      <c r="JDN518" s="1358"/>
      <c r="JDO518" s="1358"/>
      <c r="JDP518" s="1358"/>
      <c r="JDQ518" s="1358"/>
      <c r="JDR518" s="1358"/>
      <c r="JDS518" s="1358"/>
      <c r="JDT518" s="1358"/>
      <c r="JDU518" s="1358"/>
      <c r="JDV518" s="1358"/>
      <c r="JDW518" s="1358"/>
      <c r="JDX518" s="1358"/>
      <c r="JDY518" s="1358"/>
      <c r="JDZ518" s="1358"/>
      <c r="JEA518" s="1358"/>
      <c r="JEB518" s="1358"/>
      <c r="JEC518" s="1358"/>
      <c r="JED518" s="1358"/>
      <c r="JEE518" s="1358"/>
      <c r="JEF518" s="1358"/>
      <c r="JEG518" s="1358"/>
      <c r="JEH518" s="1358"/>
      <c r="JEI518" s="1358"/>
      <c r="JEJ518" s="1358"/>
      <c r="JEK518" s="1358"/>
      <c r="JEL518" s="1358"/>
      <c r="JEM518" s="1358"/>
      <c r="JEN518" s="1358"/>
      <c r="JEO518" s="1358"/>
      <c r="JEP518" s="1358"/>
      <c r="JEQ518" s="1358"/>
      <c r="JER518" s="1358"/>
      <c r="JES518" s="1358"/>
      <c r="JET518" s="1358"/>
      <c r="JEU518" s="1358"/>
      <c r="JEV518" s="1358"/>
      <c r="JEW518" s="1358"/>
      <c r="JEX518" s="1358"/>
      <c r="JEY518" s="1358"/>
      <c r="JEZ518" s="1358"/>
      <c r="JFA518" s="1358"/>
      <c r="JFB518" s="1358"/>
      <c r="JFC518" s="1358"/>
      <c r="JFD518" s="1358"/>
      <c r="JFE518" s="1358"/>
      <c r="JFF518" s="1358"/>
      <c r="JFG518" s="1358"/>
      <c r="JFH518" s="1358"/>
      <c r="JFI518" s="1358"/>
      <c r="JFJ518" s="1358"/>
      <c r="JFK518" s="1358"/>
      <c r="JFL518" s="1358"/>
      <c r="JFM518" s="1358"/>
      <c r="JFN518" s="1358"/>
      <c r="JFO518" s="1358"/>
      <c r="JFP518" s="1358"/>
      <c r="JFQ518" s="1358"/>
      <c r="JFR518" s="1358"/>
      <c r="JFS518" s="1358"/>
      <c r="JFT518" s="1358"/>
      <c r="JFU518" s="1358"/>
      <c r="JFV518" s="1358"/>
      <c r="JFW518" s="1358"/>
      <c r="JFX518" s="1358"/>
      <c r="JFY518" s="1358"/>
      <c r="JFZ518" s="1358"/>
      <c r="JGA518" s="1358"/>
      <c r="JGB518" s="1358"/>
      <c r="JGC518" s="1358"/>
      <c r="JGD518" s="1358"/>
      <c r="JGE518" s="1358"/>
      <c r="JGF518" s="1358"/>
      <c r="JGG518" s="1358"/>
      <c r="JGH518" s="1358"/>
      <c r="JGI518" s="1358"/>
      <c r="JGJ518" s="1358"/>
      <c r="JGK518" s="1358"/>
      <c r="JGL518" s="1358"/>
      <c r="JGM518" s="1358"/>
      <c r="JGN518" s="1358"/>
      <c r="JGO518" s="1358"/>
      <c r="JGP518" s="1358"/>
      <c r="JGQ518" s="1358"/>
      <c r="JGR518" s="1358"/>
      <c r="JGS518" s="1358"/>
      <c r="JGT518" s="1358"/>
      <c r="JGU518" s="1358"/>
      <c r="JGV518" s="1358"/>
      <c r="JGW518" s="1358"/>
      <c r="JGX518" s="1358"/>
      <c r="JGY518" s="1358"/>
      <c r="JGZ518" s="1358"/>
      <c r="JHA518" s="1358"/>
      <c r="JHB518" s="1358"/>
      <c r="JHC518" s="1358"/>
      <c r="JHD518" s="1358"/>
      <c r="JHE518" s="1358"/>
      <c r="JHF518" s="1358"/>
      <c r="JHG518" s="1358"/>
      <c r="JHH518" s="1358"/>
      <c r="JHI518" s="1358"/>
      <c r="JHJ518" s="1358"/>
      <c r="JHK518" s="1358"/>
      <c r="JHL518" s="1358"/>
      <c r="JHM518" s="1358"/>
      <c r="JHN518" s="1358"/>
      <c r="JHO518" s="1358"/>
      <c r="JHP518" s="1358"/>
      <c r="JHQ518" s="1358"/>
      <c r="JHR518" s="1358"/>
      <c r="JHS518" s="1358"/>
      <c r="JHT518" s="1358"/>
      <c r="JHU518" s="1358"/>
      <c r="JHV518" s="1358"/>
      <c r="JHW518" s="1358"/>
      <c r="JHX518" s="1358"/>
      <c r="JHY518" s="1358"/>
      <c r="JHZ518" s="1358"/>
      <c r="JIA518" s="1358"/>
      <c r="JIB518" s="1358"/>
      <c r="JIC518" s="1358"/>
      <c r="JID518" s="1358"/>
      <c r="JIE518" s="1358"/>
      <c r="JIF518" s="1358"/>
      <c r="JIG518" s="1358"/>
      <c r="JIH518" s="1358"/>
      <c r="JII518" s="1358"/>
      <c r="JIJ518" s="1358"/>
      <c r="JIK518" s="1358"/>
      <c r="JIL518" s="1358"/>
      <c r="JIM518" s="1358"/>
      <c r="JIN518" s="1358"/>
      <c r="JIO518" s="1358"/>
      <c r="JIP518" s="1358"/>
      <c r="JIQ518" s="1358"/>
      <c r="JIR518" s="1358"/>
      <c r="JIS518" s="1358"/>
      <c r="JIT518" s="1358"/>
      <c r="JIU518" s="1358"/>
      <c r="JIV518" s="1358"/>
      <c r="JIW518" s="1358"/>
      <c r="JIX518" s="1358"/>
      <c r="JIY518" s="1358"/>
      <c r="JIZ518" s="1358"/>
      <c r="JJA518" s="1358"/>
      <c r="JJB518" s="1358"/>
      <c r="JJC518" s="1358"/>
      <c r="JJD518" s="1358"/>
      <c r="JJE518" s="1358"/>
      <c r="JJF518" s="1358"/>
      <c r="JJG518" s="1358"/>
      <c r="JJH518" s="1358"/>
      <c r="JJI518" s="1358"/>
      <c r="JJJ518" s="1358"/>
      <c r="JJK518" s="1358"/>
      <c r="JJL518" s="1358"/>
      <c r="JJM518" s="1358"/>
      <c r="JJN518" s="1358"/>
      <c r="JJO518" s="1358"/>
      <c r="JJP518" s="1358"/>
      <c r="JJQ518" s="1358"/>
      <c r="JJR518" s="1358"/>
      <c r="JJS518" s="1358"/>
      <c r="JJT518" s="1358"/>
      <c r="JJU518" s="1358"/>
      <c r="JJV518" s="1358"/>
      <c r="JJW518" s="1358"/>
      <c r="JJX518" s="1358"/>
      <c r="JJY518" s="1358"/>
      <c r="JJZ518" s="1358"/>
      <c r="JKA518" s="1358"/>
      <c r="JKB518" s="1358"/>
      <c r="JKC518" s="1358"/>
      <c r="JKD518" s="1358"/>
      <c r="JKE518" s="1358"/>
      <c r="JKF518" s="1358"/>
      <c r="JKG518" s="1358"/>
      <c r="JKH518" s="1358"/>
      <c r="JKI518" s="1358"/>
      <c r="JKJ518" s="1358"/>
      <c r="JKK518" s="1358"/>
      <c r="JKL518" s="1358"/>
      <c r="JKM518" s="1358"/>
      <c r="JKN518" s="1358"/>
      <c r="JKO518" s="1358"/>
      <c r="JKP518" s="1358"/>
      <c r="JKQ518" s="1358"/>
      <c r="JKR518" s="1358"/>
      <c r="JKS518" s="1358"/>
      <c r="JKT518" s="1358"/>
      <c r="JKU518" s="1358"/>
      <c r="JKV518" s="1358"/>
      <c r="JKW518" s="1358"/>
      <c r="JKX518" s="1358"/>
      <c r="JKY518" s="1358"/>
      <c r="JKZ518" s="1358"/>
      <c r="JLA518" s="1358"/>
      <c r="JLB518" s="1358"/>
      <c r="JLC518" s="1358"/>
      <c r="JLD518" s="1358"/>
      <c r="JLE518" s="1358"/>
      <c r="JLF518" s="1358"/>
      <c r="JLG518" s="1358"/>
      <c r="JLH518" s="1358"/>
      <c r="JLI518" s="1358"/>
      <c r="JLJ518" s="1358"/>
      <c r="JLK518" s="1358"/>
      <c r="JLL518" s="1358"/>
      <c r="JLM518" s="1358"/>
      <c r="JLN518" s="1358"/>
      <c r="JLO518" s="1358"/>
      <c r="JLP518" s="1358"/>
      <c r="JLQ518" s="1358"/>
      <c r="JLR518" s="1358"/>
      <c r="JLS518" s="1358"/>
      <c r="JLT518" s="1358"/>
      <c r="JLU518" s="1358"/>
      <c r="JLV518" s="1358"/>
      <c r="JLW518" s="1358"/>
      <c r="JLX518" s="1358"/>
      <c r="JLY518" s="1358"/>
      <c r="JLZ518" s="1358"/>
      <c r="JMA518" s="1358"/>
      <c r="JMB518" s="1358"/>
      <c r="JMC518" s="1358"/>
      <c r="JMD518" s="1358"/>
      <c r="JME518" s="1358"/>
      <c r="JMF518" s="1358"/>
      <c r="JMG518" s="1358"/>
      <c r="JMH518" s="1358"/>
      <c r="JMI518" s="1358"/>
      <c r="JMJ518" s="1358"/>
      <c r="JMK518" s="1358"/>
      <c r="JML518" s="1358"/>
      <c r="JMM518" s="1358"/>
      <c r="JMN518" s="1358"/>
      <c r="JMO518" s="1358"/>
      <c r="JMP518" s="1358"/>
      <c r="JMQ518" s="1358"/>
      <c r="JMR518" s="1358"/>
      <c r="JMS518" s="1358"/>
      <c r="JMT518" s="1358"/>
      <c r="JMU518" s="1358"/>
      <c r="JMV518" s="1358"/>
      <c r="JMW518" s="1358"/>
      <c r="JMX518" s="1358"/>
      <c r="JMY518" s="1358"/>
      <c r="JMZ518" s="1358"/>
      <c r="JNA518" s="1358"/>
      <c r="JNB518" s="1358"/>
      <c r="JNC518" s="1358"/>
      <c r="JND518" s="1358"/>
      <c r="JNE518" s="1358"/>
      <c r="JNF518" s="1358"/>
      <c r="JNG518" s="1358"/>
      <c r="JNH518" s="1358"/>
      <c r="JNI518" s="1358"/>
      <c r="JNJ518" s="1358"/>
      <c r="JNK518" s="1358"/>
      <c r="JNL518" s="1358"/>
      <c r="JNM518" s="1358"/>
      <c r="JNN518" s="1358"/>
      <c r="JNO518" s="1358"/>
      <c r="JNP518" s="1358"/>
      <c r="JNQ518" s="1358"/>
      <c r="JNR518" s="1358"/>
      <c r="JNS518" s="1358"/>
      <c r="JNT518" s="1358"/>
      <c r="JNU518" s="1358"/>
      <c r="JNV518" s="1358"/>
      <c r="JNW518" s="1358"/>
      <c r="JNX518" s="1358"/>
      <c r="JNY518" s="1358"/>
      <c r="JNZ518" s="1358"/>
      <c r="JOA518" s="1358"/>
      <c r="JOB518" s="1358"/>
      <c r="JOC518" s="1358"/>
      <c r="JOD518" s="1358"/>
      <c r="JOE518" s="1358"/>
      <c r="JOF518" s="1358"/>
      <c r="JOG518" s="1358"/>
      <c r="JOH518" s="1358"/>
      <c r="JOI518" s="1358"/>
      <c r="JOJ518" s="1358"/>
      <c r="JOK518" s="1358"/>
      <c r="JOL518" s="1358"/>
      <c r="JOM518" s="1358"/>
      <c r="JON518" s="1358"/>
      <c r="JOO518" s="1358"/>
      <c r="JOP518" s="1358"/>
      <c r="JOQ518" s="1358"/>
      <c r="JOR518" s="1358"/>
      <c r="JOS518" s="1358"/>
      <c r="JOT518" s="1358"/>
      <c r="JOU518" s="1358"/>
      <c r="JOV518" s="1358"/>
      <c r="JOW518" s="1358"/>
      <c r="JOX518" s="1358"/>
      <c r="JOY518" s="1358"/>
      <c r="JOZ518" s="1358"/>
      <c r="JPA518" s="1358"/>
      <c r="JPB518" s="1358"/>
      <c r="JPC518" s="1358"/>
      <c r="JPD518" s="1358"/>
      <c r="JPE518" s="1358"/>
      <c r="JPF518" s="1358"/>
      <c r="JPG518" s="1358"/>
      <c r="JPH518" s="1358"/>
      <c r="JPI518" s="1358"/>
      <c r="JPJ518" s="1358"/>
      <c r="JPK518" s="1358"/>
      <c r="JPL518" s="1358"/>
      <c r="JPM518" s="1358"/>
      <c r="JPN518" s="1358"/>
      <c r="JPO518" s="1358"/>
      <c r="JPP518" s="1358"/>
      <c r="JPQ518" s="1358"/>
      <c r="JPR518" s="1358"/>
      <c r="JPS518" s="1358"/>
      <c r="JPT518" s="1358"/>
      <c r="JPU518" s="1358"/>
      <c r="JPV518" s="1358"/>
      <c r="JPW518" s="1358"/>
      <c r="JPX518" s="1358"/>
      <c r="JPY518" s="1358"/>
      <c r="JPZ518" s="1358"/>
      <c r="JQA518" s="1358"/>
      <c r="JQB518" s="1358"/>
      <c r="JQC518" s="1358"/>
      <c r="JQD518" s="1358"/>
      <c r="JQE518" s="1358"/>
      <c r="JQF518" s="1358"/>
      <c r="JQG518" s="1358"/>
      <c r="JQH518" s="1358"/>
      <c r="JQI518" s="1358"/>
      <c r="JQJ518" s="1358"/>
      <c r="JQK518" s="1358"/>
      <c r="JQL518" s="1358"/>
      <c r="JQM518" s="1358"/>
      <c r="JQN518" s="1358"/>
      <c r="JQO518" s="1358"/>
      <c r="JQP518" s="1358"/>
      <c r="JQQ518" s="1358"/>
      <c r="JQR518" s="1358"/>
      <c r="JQS518" s="1358"/>
      <c r="JQT518" s="1358"/>
      <c r="JQU518" s="1358"/>
      <c r="JQV518" s="1358"/>
      <c r="JQW518" s="1358"/>
      <c r="JQX518" s="1358"/>
      <c r="JQY518" s="1358"/>
      <c r="JQZ518" s="1358"/>
      <c r="JRA518" s="1358"/>
      <c r="JRB518" s="1358"/>
      <c r="JRC518" s="1358"/>
      <c r="JRD518" s="1358"/>
      <c r="JRE518" s="1358"/>
      <c r="JRF518" s="1358"/>
      <c r="JRG518" s="1358"/>
      <c r="JRH518" s="1358"/>
      <c r="JRI518" s="1358"/>
      <c r="JRJ518" s="1358"/>
      <c r="JRK518" s="1358"/>
      <c r="JRL518" s="1358"/>
      <c r="JRM518" s="1358"/>
      <c r="JRN518" s="1358"/>
      <c r="JRO518" s="1358"/>
      <c r="JRP518" s="1358"/>
      <c r="JRQ518" s="1358"/>
      <c r="JRR518" s="1358"/>
      <c r="JRS518" s="1358"/>
      <c r="JRT518" s="1358"/>
      <c r="JRU518" s="1358"/>
      <c r="JRV518" s="1358"/>
      <c r="JRW518" s="1358"/>
      <c r="JRX518" s="1358"/>
      <c r="JRY518" s="1358"/>
      <c r="JRZ518" s="1358"/>
      <c r="JSA518" s="1358"/>
      <c r="JSB518" s="1358"/>
      <c r="JSC518" s="1358"/>
      <c r="JSD518" s="1358"/>
      <c r="JSE518" s="1358"/>
      <c r="JSF518" s="1358"/>
      <c r="JSG518" s="1358"/>
      <c r="JSH518" s="1358"/>
      <c r="JSI518" s="1358"/>
      <c r="JSJ518" s="1358"/>
      <c r="JSK518" s="1358"/>
      <c r="JSL518" s="1358"/>
      <c r="JSM518" s="1358"/>
      <c r="JSN518" s="1358"/>
      <c r="JSO518" s="1358"/>
      <c r="JSP518" s="1358"/>
      <c r="JSQ518" s="1358"/>
      <c r="JSR518" s="1358"/>
      <c r="JSS518" s="1358"/>
      <c r="JST518" s="1358"/>
      <c r="JSU518" s="1358"/>
      <c r="JSV518" s="1358"/>
      <c r="JSW518" s="1358"/>
      <c r="JSX518" s="1358"/>
      <c r="JSY518" s="1358"/>
      <c r="JSZ518" s="1358"/>
      <c r="JTA518" s="1358"/>
      <c r="JTB518" s="1358"/>
      <c r="JTC518" s="1358"/>
      <c r="JTD518" s="1358"/>
      <c r="JTE518" s="1358"/>
      <c r="JTF518" s="1358"/>
      <c r="JTG518" s="1358"/>
      <c r="JTH518" s="1358"/>
      <c r="JTI518" s="1358"/>
      <c r="JTJ518" s="1358"/>
      <c r="JTK518" s="1358"/>
      <c r="JTL518" s="1358"/>
      <c r="JTM518" s="1358"/>
      <c r="JTN518" s="1358"/>
      <c r="JTO518" s="1358"/>
      <c r="JTP518" s="1358"/>
      <c r="JTQ518" s="1358"/>
      <c r="JTR518" s="1358"/>
      <c r="JTS518" s="1358"/>
      <c r="JTT518" s="1358"/>
      <c r="JTU518" s="1358"/>
      <c r="JTV518" s="1358"/>
      <c r="JTW518" s="1358"/>
      <c r="JTX518" s="1358"/>
      <c r="JTY518" s="1358"/>
      <c r="JTZ518" s="1358"/>
      <c r="JUA518" s="1358"/>
      <c r="JUB518" s="1358"/>
      <c r="JUC518" s="1358"/>
      <c r="JUD518" s="1358"/>
      <c r="JUE518" s="1358"/>
      <c r="JUF518" s="1358"/>
      <c r="JUG518" s="1358"/>
      <c r="JUH518" s="1358"/>
      <c r="JUI518" s="1358"/>
      <c r="JUJ518" s="1358"/>
      <c r="JUK518" s="1358"/>
      <c r="JUL518" s="1358"/>
      <c r="JUM518" s="1358"/>
      <c r="JUN518" s="1358"/>
      <c r="JUO518" s="1358"/>
      <c r="JUP518" s="1358"/>
      <c r="JUQ518" s="1358"/>
      <c r="JUR518" s="1358"/>
      <c r="JUS518" s="1358"/>
      <c r="JUT518" s="1358"/>
      <c r="JUU518" s="1358"/>
      <c r="JUV518" s="1358"/>
      <c r="JUW518" s="1358"/>
      <c r="JUX518" s="1358"/>
      <c r="JUY518" s="1358"/>
      <c r="JUZ518" s="1358"/>
      <c r="JVA518" s="1358"/>
      <c r="JVB518" s="1358"/>
      <c r="JVC518" s="1358"/>
      <c r="JVD518" s="1358"/>
      <c r="JVE518" s="1358"/>
      <c r="JVF518" s="1358"/>
      <c r="JVG518" s="1358"/>
      <c r="JVH518" s="1358"/>
      <c r="JVI518" s="1358"/>
      <c r="JVJ518" s="1358"/>
      <c r="JVK518" s="1358"/>
      <c r="JVL518" s="1358"/>
      <c r="JVM518" s="1358"/>
      <c r="JVN518" s="1358"/>
      <c r="JVO518" s="1358"/>
      <c r="JVP518" s="1358"/>
      <c r="JVQ518" s="1358"/>
      <c r="JVR518" s="1358"/>
      <c r="JVS518" s="1358"/>
      <c r="JVT518" s="1358"/>
      <c r="JVU518" s="1358"/>
      <c r="JVV518" s="1358"/>
      <c r="JVW518" s="1358"/>
      <c r="JVX518" s="1358"/>
      <c r="JVY518" s="1358"/>
      <c r="JVZ518" s="1358"/>
      <c r="JWA518" s="1358"/>
      <c r="JWB518" s="1358"/>
      <c r="JWC518" s="1358"/>
      <c r="JWD518" s="1358"/>
      <c r="JWE518" s="1358"/>
      <c r="JWF518" s="1358"/>
      <c r="JWG518" s="1358"/>
      <c r="JWH518" s="1358"/>
      <c r="JWI518" s="1358"/>
      <c r="JWJ518" s="1358"/>
      <c r="JWK518" s="1358"/>
      <c r="JWL518" s="1358"/>
      <c r="JWM518" s="1358"/>
      <c r="JWN518" s="1358"/>
      <c r="JWO518" s="1358"/>
      <c r="JWP518" s="1358"/>
      <c r="JWQ518" s="1358"/>
      <c r="JWR518" s="1358"/>
      <c r="JWS518" s="1358"/>
      <c r="JWT518" s="1358"/>
      <c r="JWU518" s="1358"/>
      <c r="JWV518" s="1358"/>
      <c r="JWW518" s="1358"/>
      <c r="JWX518" s="1358"/>
      <c r="JWY518" s="1358"/>
      <c r="JWZ518" s="1358"/>
      <c r="JXA518" s="1358"/>
      <c r="JXB518" s="1358"/>
      <c r="JXC518" s="1358"/>
      <c r="JXD518" s="1358"/>
      <c r="JXE518" s="1358"/>
      <c r="JXF518" s="1358"/>
      <c r="JXG518" s="1358"/>
      <c r="JXH518" s="1358"/>
      <c r="JXI518" s="1358"/>
      <c r="JXJ518" s="1358"/>
      <c r="JXK518" s="1358"/>
      <c r="JXL518" s="1358"/>
      <c r="JXM518" s="1358"/>
      <c r="JXN518" s="1358"/>
      <c r="JXO518" s="1358"/>
      <c r="JXP518" s="1358"/>
      <c r="JXQ518" s="1358"/>
      <c r="JXR518" s="1358"/>
      <c r="JXS518" s="1358"/>
      <c r="JXT518" s="1358"/>
      <c r="JXU518" s="1358"/>
      <c r="JXV518" s="1358"/>
      <c r="JXW518" s="1358"/>
      <c r="JXX518" s="1358"/>
      <c r="JXY518" s="1358"/>
      <c r="JXZ518" s="1358"/>
      <c r="JYA518" s="1358"/>
      <c r="JYB518" s="1358"/>
      <c r="JYC518" s="1358"/>
      <c r="JYD518" s="1358"/>
      <c r="JYE518" s="1358"/>
      <c r="JYF518" s="1358"/>
      <c r="JYG518" s="1358"/>
      <c r="JYH518" s="1358"/>
      <c r="JYI518" s="1358"/>
      <c r="JYJ518" s="1358"/>
      <c r="JYK518" s="1358"/>
      <c r="JYL518" s="1358"/>
      <c r="JYM518" s="1358"/>
      <c r="JYN518" s="1358"/>
      <c r="JYO518" s="1358"/>
      <c r="JYP518" s="1358"/>
      <c r="JYQ518" s="1358"/>
      <c r="JYR518" s="1358"/>
      <c r="JYS518" s="1358"/>
      <c r="JYT518" s="1358"/>
      <c r="JYU518" s="1358"/>
      <c r="JYV518" s="1358"/>
      <c r="JYW518" s="1358"/>
      <c r="JYX518" s="1358"/>
      <c r="JYY518" s="1358"/>
      <c r="JYZ518" s="1358"/>
      <c r="JZA518" s="1358"/>
      <c r="JZB518" s="1358"/>
      <c r="JZC518" s="1358"/>
      <c r="JZD518" s="1358"/>
      <c r="JZE518" s="1358"/>
      <c r="JZF518" s="1358"/>
      <c r="JZG518" s="1358"/>
      <c r="JZH518" s="1358"/>
      <c r="JZI518" s="1358"/>
      <c r="JZJ518" s="1358"/>
      <c r="JZK518" s="1358"/>
      <c r="JZL518" s="1358"/>
      <c r="JZM518" s="1358"/>
      <c r="JZN518" s="1358"/>
      <c r="JZO518" s="1358"/>
      <c r="JZP518" s="1358"/>
      <c r="JZQ518" s="1358"/>
      <c r="JZR518" s="1358"/>
      <c r="JZS518" s="1358"/>
      <c r="JZT518" s="1358"/>
      <c r="JZU518" s="1358"/>
      <c r="JZV518" s="1358"/>
      <c r="JZW518" s="1358"/>
      <c r="JZX518" s="1358"/>
      <c r="JZY518" s="1358"/>
      <c r="JZZ518" s="1358"/>
      <c r="KAA518" s="1358"/>
      <c r="KAB518" s="1358"/>
      <c r="KAC518" s="1358"/>
      <c r="KAD518" s="1358"/>
      <c r="KAE518" s="1358"/>
      <c r="KAF518" s="1358"/>
      <c r="KAG518" s="1358"/>
      <c r="KAH518" s="1358"/>
      <c r="KAI518" s="1358"/>
      <c r="KAJ518" s="1358"/>
      <c r="KAK518" s="1358"/>
      <c r="KAL518" s="1358"/>
      <c r="KAM518" s="1358"/>
      <c r="KAN518" s="1358"/>
      <c r="KAO518" s="1358"/>
      <c r="KAP518" s="1358"/>
      <c r="KAQ518" s="1358"/>
      <c r="KAR518" s="1358"/>
      <c r="KAS518" s="1358"/>
      <c r="KAT518" s="1358"/>
      <c r="KAU518" s="1358"/>
      <c r="KAV518" s="1358"/>
      <c r="KAW518" s="1358"/>
      <c r="KAX518" s="1358"/>
      <c r="KAY518" s="1358"/>
      <c r="KAZ518" s="1358"/>
      <c r="KBA518" s="1358"/>
      <c r="KBB518" s="1358"/>
      <c r="KBC518" s="1358"/>
      <c r="KBD518" s="1358"/>
      <c r="KBE518" s="1358"/>
      <c r="KBF518" s="1358"/>
      <c r="KBG518" s="1358"/>
      <c r="KBH518" s="1358"/>
      <c r="KBI518" s="1358"/>
      <c r="KBJ518" s="1358"/>
      <c r="KBK518" s="1358"/>
      <c r="KBL518" s="1358"/>
      <c r="KBM518" s="1358"/>
      <c r="KBN518" s="1358"/>
      <c r="KBO518" s="1358"/>
      <c r="KBP518" s="1358"/>
      <c r="KBQ518" s="1358"/>
      <c r="KBR518" s="1358"/>
      <c r="KBS518" s="1358"/>
      <c r="KBT518" s="1358"/>
      <c r="KBU518" s="1358"/>
      <c r="KBV518" s="1358"/>
      <c r="KBW518" s="1358"/>
      <c r="KBX518" s="1358"/>
      <c r="KBY518" s="1358"/>
      <c r="KBZ518" s="1358"/>
      <c r="KCA518" s="1358"/>
      <c r="KCB518" s="1358"/>
      <c r="KCC518" s="1358"/>
      <c r="KCD518" s="1358"/>
      <c r="KCE518" s="1358"/>
      <c r="KCF518" s="1358"/>
      <c r="KCG518" s="1358"/>
      <c r="KCH518" s="1358"/>
      <c r="KCI518" s="1358"/>
      <c r="KCJ518" s="1358"/>
      <c r="KCK518" s="1358"/>
      <c r="KCL518" s="1358"/>
      <c r="KCM518" s="1358"/>
      <c r="KCN518" s="1358"/>
      <c r="KCO518" s="1358"/>
      <c r="KCP518" s="1358"/>
      <c r="KCQ518" s="1358"/>
      <c r="KCR518" s="1358"/>
      <c r="KCS518" s="1358"/>
      <c r="KCT518" s="1358"/>
      <c r="KCU518" s="1358"/>
      <c r="KCV518" s="1358"/>
      <c r="KCW518" s="1358"/>
      <c r="KCX518" s="1358"/>
      <c r="KCY518" s="1358"/>
      <c r="KCZ518" s="1358"/>
      <c r="KDA518" s="1358"/>
      <c r="KDB518" s="1358"/>
      <c r="KDC518" s="1358"/>
      <c r="KDD518" s="1358"/>
      <c r="KDE518" s="1358"/>
      <c r="KDF518" s="1358"/>
      <c r="KDG518" s="1358"/>
      <c r="KDH518" s="1358"/>
      <c r="KDI518" s="1358"/>
      <c r="KDJ518" s="1358"/>
      <c r="KDK518" s="1358"/>
      <c r="KDL518" s="1358"/>
      <c r="KDM518" s="1358"/>
      <c r="KDN518" s="1358"/>
      <c r="KDO518" s="1358"/>
      <c r="KDP518" s="1358"/>
      <c r="KDQ518" s="1358"/>
      <c r="KDR518" s="1358"/>
      <c r="KDS518" s="1358"/>
      <c r="KDT518" s="1358"/>
      <c r="KDU518" s="1358"/>
      <c r="KDV518" s="1358"/>
      <c r="KDW518" s="1358"/>
      <c r="KDX518" s="1358"/>
      <c r="KDY518" s="1358"/>
      <c r="KDZ518" s="1358"/>
      <c r="KEA518" s="1358"/>
      <c r="KEB518" s="1358"/>
      <c r="KEC518" s="1358"/>
      <c r="KED518" s="1358"/>
      <c r="KEE518" s="1358"/>
      <c r="KEF518" s="1358"/>
      <c r="KEG518" s="1358"/>
      <c r="KEH518" s="1358"/>
      <c r="KEI518" s="1358"/>
      <c r="KEJ518" s="1358"/>
      <c r="KEK518" s="1358"/>
      <c r="KEL518" s="1358"/>
      <c r="KEM518" s="1358"/>
      <c r="KEN518" s="1358"/>
      <c r="KEO518" s="1358"/>
      <c r="KEP518" s="1358"/>
      <c r="KEQ518" s="1358"/>
      <c r="KER518" s="1358"/>
      <c r="KES518" s="1358"/>
      <c r="KET518" s="1358"/>
      <c r="KEU518" s="1358"/>
      <c r="KEV518" s="1358"/>
      <c r="KEW518" s="1358"/>
      <c r="KEX518" s="1358"/>
      <c r="KEY518" s="1358"/>
      <c r="KEZ518" s="1358"/>
      <c r="KFA518" s="1358"/>
      <c r="KFB518" s="1358"/>
      <c r="KFC518" s="1358"/>
      <c r="KFD518" s="1358"/>
      <c r="KFE518" s="1358"/>
      <c r="KFF518" s="1358"/>
      <c r="KFG518" s="1358"/>
      <c r="KFH518" s="1358"/>
      <c r="KFI518" s="1358"/>
      <c r="KFJ518" s="1358"/>
      <c r="KFK518" s="1358"/>
      <c r="KFL518" s="1358"/>
      <c r="KFM518" s="1358"/>
      <c r="KFN518" s="1358"/>
      <c r="KFO518" s="1358"/>
      <c r="KFP518" s="1358"/>
      <c r="KFQ518" s="1358"/>
      <c r="KFR518" s="1358"/>
      <c r="KFS518" s="1358"/>
      <c r="KFT518" s="1358"/>
      <c r="KFU518" s="1358"/>
      <c r="KFV518" s="1358"/>
      <c r="KFW518" s="1358"/>
      <c r="KFX518" s="1358"/>
      <c r="KFY518" s="1358"/>
      <c r="KFZ518" s="1358"/>
      <c r="KGA518" s="1358"/>
      <c r="KGB518" s="1358"/>
      <c r="KGC518" s="1358"/>
      <c r="KGD518" s="1358"/>
      <c r="KGE518" s="1358"/>
      <c r="KGF518" s="1358"/>
      <c r="KGG518" s="1358"/>
      <c r="KGH518" s="1358"/>
      <c r="KGI518" s="1358"/>
      <c r="KGJ518" s="1358"/>
      <c r="KGK518" s="1358"/>
      <c r="KGL518" s="1358"/>
      <c r="KGM518" s="1358"/>
      <c r="KGN518" s="1358"/>
      <c r="KGO518" s="1358"/>
      <c r="KGP518" s="1358"/>
      <c r="KGQ518" s="1358"/>
      <c r="KGR518" s="1358"/>
      <c r="KGS518" s="1358"/>
      <c r="KGT518" s="1358"/>
      <c r="KGU518" s="1358"/>
      <c r="KGV518" s="1358"/>
      <c r="KGW518" s="1358"/>
      <c r="KGX518" s="1358"/>
      <c r="KGY518" s="1358"/>
      <c r="KGZ518" s="1358"/>
      <c r="KHA518" s="1358"/>
      <c r="KHB518" s="1358"/>
      <c r="KHC518" s="1358"/>
      <c r="KHD518" s="1358"/>
      <c r="KHE518" s="1358"/>
      <c r="KHF518" s="1358"/>
      <c r="KHG518" s="1358"/>
      <c r="KHH518" s="1358"/>
      <c r="KHI518" s="1358"/>
      <c r="KHJ518" s="1358"/>
      <c r="KHK518" s="1358"/>
      <c r="KHL518" s="1358"/>
      <c r="KHM518" s="1358"/>
      <c r="KHN518" s="1358"/>
      <c r="KHO518" s="1358"/>
      <c r="KHP518" s="1358"/>
      <c r="KHQ518" s="1358"/>
      <c r="KHR518" s="1358"/>
      <c r="KHS518" s="1358"/>
      <c r="KHT518" s="1358"/>
      <c r="KHU518" s="1358"/>
      <c r="KHV518" s="1358"/>
      <c r="KHW518" s="1358"/>
      <c r="KHX518" s="1358"/>
      <c r="KHY518" s="1358"/>
      <c r="KHZ518" s="1358"/>
      <c r="KIA518" s="1358"/>
      <c r="KIB518" s="1358"/>
      <c r="KIC518" s="1358"/>
      <c r="KID518" s="1358"/>
      <c r="KIE518" s="1358"/>
      <c r="KIF518" s="1358"/>
      <c r="KIG518" s="1358"/>
      <c r="KIH518" s="1358"/>
      <c r="KII518" s="1358"/>
      <c r="KIJ518" s="1358"/>
      <c r="KIK518" s="1358"/>
      <c r="KIL518" s="1358"/>
      <c r="KIM518" s="1358"/>
      <c r="KIN518" s="1358"/>
      <c r="KIO518" s="1358"/>
      <c r="KIP518" s="1358"/>
      <c r="KIQ518" s="1358"/>
      <c r="KIR518" s="1358"/>
      <c r="KIS518" s="1358"/>
      <c r="KIT518" s="1358"/>
      <c r="KIU518" s="1358"/>
      <c r="KIV518" s="1358"/>
      <c r="KIW518" s="1358"/>
      <c r="KIX518" s="1358"/>
      <c r="KIY518" s="1358"/>
      <c r="KIZ518" s="1358"/>
      <c r="KJA518" s="1358"/>
      <c r="KJB518" s="1358"/>
      <c r="KJC518" s="1358"/>
      <c r="KJD518" s="1358"/>
      <c r="KJE518" s="1358"/>
      <c r="KJF518" s="1358"/>
      <c r="KJG518" s="1358"/>
      <c r="KJH518" s="1358"/>
      <c r="KJI518" s="1358"/>
      <c r="KJJ518" s="1358"/>
      <c r="KJK518" s="1358"/>
      <c r="KJL518" s="1358"/>
      <c r="KJM518" s="1358"/>
      <c r="KJN518" s="1358"/>
      <c r="KJO518" s="1358"/>
      <c r="KJP518" s="1358"/>
      <c r="KJQ518" s="1358"/>
      <c r="KJR518" s="1358"/>
      <c r="KJS518" s="1358"/>
      <c r="KJT518" s="1358"/>
      <c r="KJU518" s="1358"/>
      <c r="KJV518" s="1358"/>
      <c r="KJW518" s="1358"/>
      <c r="KJX518" s="1358"/>
      <c r="KJY518" s="1358"/>
      <c r="KJZ518" s="1358"/>
      <c r="KKA518" s="1358"/>
      <c r="KKB518" s="1358"/>
      <c r="KKC518" s="1358"/>
      <c r="KKD518" s="1358"/>
      <c r="KKE518" s="1358"/>
      <c r="KKF518" s="1358"/>
      <c r="KKG518" s="1358"/>
      <c r="KKH518" s="1358"/>
      <c r="KKI518" s="1358"/>
      <c r="KKJ518" s="1358"/>
      <c r="KKK518" s="1358"/>
      <c r="KKL518" s="1358"/>
      <c r="KKM518" s="1358"/>
      <c r="KKN518" s="1358"/>
      <c r="KKO518" s="1358"/>
      <c r="KKP518" s="1358"/>
      <c r="KKQ518" s="1358"/>
      <c r="KKR518" s="1358"/>
      <c r="KKS518" s="1358"/>
      <c r="KKT518" s="1358"/>
      <c r="KKU518" s="1358"/>
      <c r="KKV518" s="1358"/>
      <c r="KKW518" s="1358"/>
      <c r="KKX518" s="1358"/>
      <c r="KKY518" s="1358"/>
      <c r="KKZ518" s="1358"/>
      <c r="KLA518" s="1358"/>
      <c r="KLB518" s="1358"/>
      <c r="KLC518" s="1358"/>
      <c r="KLD518" s="1358"/>
      <c r="KLE518" s="1358"/>
      <c r="KLF518" s="1358"/>
      <c r="KLG518" s="1358"/>
      <c r="KLH518" s="1358"/>
      <c r="KLI518" s="1358"/>
      <c r="KLJ518" s="1358"/>
      <c r="KLK518" s="1358"/>
      <c r="KLL518" s="1358"/>
      <c r="KLM518" s="1358"/>
      <c r="KLN518" s="1358"/>
      <c r="KLO518" s="1358"/>
      <c r="KLP518" s="1358"/>
      <c r="KLQ518" s="1358"/>
      <c r="KLR518" s="1358"/>
      <c r="KLS518" s="1358"/>
      <c r="KLT518" s="1358"/>
      <c r="KLU518" s="1358"/>
      <c r="KLV518" s="1358"/>
      <c r="KLW518" s="1358"/>
      <c r="KLX518" s="1358"/>
      <c r="KLY518" s="1358"/>
      <c r="KLZ518" s="1358"/>
      <c r="KMA518" s="1358"/>
      <c r="KMB518" s="1358"/>
      <c r="KMC518" s="1358"/>
      <c r="KMD518" s="1358"/>
      <c r="KME518" s="1358"/>
      <c r="KMF518" s="1358"/>
      <c r="KMG518" s="1358"/>
      <c r="KMH518" s="1358"/>
      <c r="KMI518" s="1358"/>
      <c r="KMJ518" s="1358"/>
      <c r="KMK518" s="1358"/>
      <c r="KML518" s="1358"/>
      <c r="KMM518" s="1358"/>
      <c r="KMN518" s="1358"/>
      <c r="KMO518" s="1358"/>
      <c r="KMP518" s="1358"/>
      <c r="KMQ518" s="1358"/>
      <c r="KMR518" s="1358"/>
      <c r="KMS518" s="1358"/>
      <c r="KMT518" s="1358"/>
      <c r="KMU518" s="1358"/>
      <c r="KMV518" s="1358"/>
      <c r="KMW518" s="1358"/>
      <c r="KMX518" s="1358"/>
      <c r="KMY518" s="1358"/>
      <c r="KMZ518" s="1358"/>
      <c r="KNA518" s="1358"/>
      <c r="KNB518" s="1358"/>
      <c r="KNC518" s="1358"/>
      <c r="KND518" s="1358"/>
      <c r="KNE518" s="1358"/>
      <c r="KNF518" s="1358"/>
      <c r="KNG518" s="1358"/>
      <c r="KNH518" s="1358"/>
      <c r="KNI518" s="1358"/>
      <c r="KNJ518" s="1358"/>
      <c r="KNK518" s="1358"/>
      <c r="KNL518" s="1358"/>
      <c r="KNM518" s="1358"/>
      <c r="KNN518" s="1358"/>
      <c r="KNO518" s="1358"/>
      <c r="KNP518" s="1358"/>
      <c r="KNQ518" s="1358"/>
      <c r="KNR518" s="1358"/>
      <c r="KNS518" s="1358"/>
      <c r="KNT518" s="1358"/>
      <c r="KNU518" s="1358"/>
      <c r="KNV518" s="1358"/>
      <c r="KNW518" s="1358"/>
      <c r="KNX518" s="1358"/>
      <c r="KNY518" s="1358"/>
      <c r="KNZ518" s="1358"/>
      <c r="KOA518" s="1358"/>
      <c r="KOB518" s="1358"/>
      <c r="KOC518" s="1358"/>
      <c r="KOD518" s="1358"/>
      <c r="KOE518" s="1358"/>
      <c r="KOF518" s="1358"/>
      <c r="KOG518" s="1358"/>
      <c r="KOH518" s="1358"/>
      <c r="KOI518" s="1358"/>
      <c r="KOJ518" s="1358"/>
      <c r="KOK518" s="1358"/>
      <c r="KOL518" s="1358"/>
      <c r="KOM518" s="1358"/>
      <c r="KON518" s="1358"/>
      <c r="KOO518" s="1358"/>
      <c r="KOP518" s="1358"/>
      <c r="KOQ518" s="1358"/>
      <c r="KOR518" s="1358"/>
      <c r="KOS518" s="1358"/>
      <c r="KOT518" s="1358"/>
      <c r="KOU518" s="1358"/>
      <c r="KOV518" s="1358"/>
      <c r="KOW518" s="1358"/>
      <c r="KOX518" s="1358"/>
      <c r="KOY518" s="1358"/>
      <c r="KOZ518" s="1358"/>
      <c r="KPA518" s="1358"/>
      <c r="KPB518" s="1358"/>
      <c r="KPC518" s="1358"/>
      <c r="KPD518" s="1358"/>
      <c r="KPE518" s="1358"/>
      <c r="KPF518" s="1358"/>
      <c r="KPG518" s="1358"/>
      <c r="KPH518" s="1358"/>
      <c r="KPI518" s="1358"/>
      <c r="KPJ518" s="1358"/>
      <c r="KPK518" s="1358"/>
      <c r="KPL518" s="1358"/>
      <c r="KPM518" s="1358"/>
      <c r="KPN518" s="1358"/>
      <c r="KPO518" s="1358"/>
      <c r="KPP518" s="1358"/>
      <c r="KPQ518" s="1358"/>
      <c r="KPR518" s="1358"/>
      <c r="KPS518" s="1358"/>
      <c r="KPT518" s="1358"/>
      <c r="KPU518" s="1358"/>
      <c r="KPV518" s="1358"/>
      <c r="KPW518" s="1358"/>
      <c r="KPX518" s="1358"/>
      <c r="KPY518" s="1358"/>
      <c r="KPZ518" s="1358"/>
      <c r="KQA518" s="1358"/>
      <c r="KQB518" s="1358"/>
      <c r="KQC518" s="1358"/>
      <c r="KQD518" s="1358"/>
      <c r="KQE518" s="1358"/>
      <c r="KQF518" s="1358"/>
      <c r="KQG518" s="1358"/>
      <c r="KQH518" s="1358"/>
      <c r="KQI518" s="1358"/>
      <c r="KQJ518" s="1358"/>
      <c r="KQK518" s="1358"/>
      <c r="KQL518" s="1358"/>
      <c r="KQM518" s="1358"/>
      <c r="KQN518" s="1358"/>
      <c r="KQO518" s="1358"/>
      <c r="KQP518" s="1358"/>
      <c r="KQQ518" s="1358"/>
      <c r="KQR518" s="1358"/>
      <c r="KQS518" s="1358"/>
      <c r="KQT518" s="1358"/>
      <c r="KQU518" s="1358"/>
      <c r="KQV518" s="1358"/>
      <c r="KQW518" s="1358"/>
      <c r="KQX518" s="1358"/>
      <c r="KQY518" s="1358"/>
      <c r="KQZ518" s="1358"/>
      <c r="KRA518" s="1358"/>
      <c r="KRB518" s="1358"/>
      <c r="KRC518" s="1358"/>
      <c r="KRD518" s="1358"/>
      <c r="KRE518" s="1358"/>
      <c r="KRF518" s="1358"/>
      <c r="KRG518" s="1358"/>
      <c r="KRH518" s="1358"/>
      <c r="KRI518" s="1358"/>
      <c r="KRJ518" s="1358"/>
      <c r="KRK518" s="1358"/>
      <c r="KRL518" s="1358"/>
      <c r="KRM518" s="1358"/>
      <c r="KRN518" s="1358"/>
      <c r="KRO518" s="1358"/>
      <c r="KRP518" s="1358"/>
      <c r="KRQ518" s="1358"/>
      <c r="KRR518" s="1358"/>
      <c r="KRS518" s="1358"/>
      <c r="KRT518" s="1358"/>
      <c r="KRU518" s="1358"/>
      <c r="KRV518" s="1358"/>
      <c r="KRW518" s="1358"/>
      <c r="KRX518" s="1358"/>
      <c r="KRY518" s="1358"/>
      <c r="KRZ518" s="1358"/>
      <c r="KSA518" s="1358"/>
      <c r="KSB518" s="1358"/>
      <c r="KSC518" s="1358"/>
      <c r="KSD518" s="1358"/>
      <c r="KSE518" s="1358"/>
      <c r="KSF518" s="1358"/>
      <c r="KSG518" s="1358"/>
      <c r="KSH518" s="1358"/>
      <c r="KSI518" s="1358"/>
      <c r="KSJ518" s="1358"/>
      <c r="KSK518" s="1358"/>
      <c r="KSL518" s="1358"/>
      <c r="KSM518" s="1358"/>
      <c r="KSN518" s="1358"/>
      <c r="KSO518" s="1358"/>
      <c r="KSP518" s="1358"/>
      <c r="KSQ518" s="1358"/>
      <c r="KSR518" s="1358"/>
      <c r="KSS518" s="1358"/>
      <c r="KST518" s="1358"/>
      <c r="KSU518" s="1358"/>
      <c r="KSV518" s="1358"/>
      <c r="KSW518" s="1358"/>
      <c r="KSX518" s="1358"/>
      <c r="KSY518" s="1358"/>
      <c r="KSZ518" s="1358"/>
      <c r="KTA518" s="1358"/>
      <c r="KTB518" s="1358"/>
      <c r="KTC518" s="1358"/>
      <c r="KTD518" s="1358"/>
      <c r="KTE518" s="1358"/>
      <c r="KTF518" s="1358"/>
      <c r="KTG518" s="1358"/>
      <c r="KTH518" s="1358"/>
      <c r="KTI518" s="1358"/>
      <c r="KTJ518" s="1358"/>
      <c r="KTK518" s="1358"/>
      <c r="KTL518" s="1358"/>
      <c r="KTM518" s="1358"/>
      <c r="KTN518" s="1358"/>
      <c r="KTO518" s="1358"/>
      <c r="KTP518" s="1358"/>
      <c r="KTQ518" s="1358"/>
      <c r="KTR518" s="1358"/>
      <c r="KTS518" s="1358"/>
      <c r="KTT518" s="1358"/>
      <c r="KTU518" s="1358"/>
      <c r="KTV518" s="1358"/>
      <c r="KTW518" s="1358"/>
      <c r="KTX518" s="1358"/>
      <c r="KTY518" s="1358"/>
      <c r="KTZ518" s="1358"/>
      <c r="KUA518" s="1358"/>
      <c r="KUB518" s="1358"/>
      <c r="KUC518" s="1358"/>
      <c r="KUD518" s="1358"/>
      <c r="KUE518" s="1358"/>
      <c r="KUF518" s="1358"/>
      <c r="KUG518" s="1358"/>
      <c r="KUH518" s="1358"/>
      <c r="KUI518" s="1358"/>
      <c r="KUJ518" s="1358"/>
      <c r="KUK518" s="1358"/>
      <c r="KUL518" s="1358"/>
      <c r="KUM518" s="1358"/>
      <c r="KUN518" s="1358"/>
      <c r="KUO518" s="1358"/>
      <c r="KUP518" s="1358"/>
      <c r="KUQ518" s="1358"/>
      <c r="KUR518" s="1358"/>
      <c r="KUS518" s="1358"/>
      <c r="KUT518" s="1358"/>
      <c r="KUU518" s="1358"/>
      <c r="KUV518" s="1358"/>
      <c r="KUW518" s="1358"/>
      <c r="KUX518" s="1358"/>
      <c r="KUY518" s="1358"/>
      <c r="KUZ518" s="1358"/>
      <c r="KVA518" s="1358"/>
      <c r="KVB518" s="1358"/>
      <c r="KVC518" s="1358"/>
      <c r="KVD518" s="1358"/>
      <c r="KVE518" s="1358"/>
      <c r="KVF518" s="1358"/>
      <c r="KVG518" s="1358"/>
      <c r="KVH518" s="1358"/>
      <c r="KVI518" s="1358"/>
      <c r="KVJ518" s="1358"/>
      <c r="KVK518" s="1358"/>
      <c r="KVL518" s="1358"/>
      <c r="KVM518" s="1358"/>
      <c r="KVN518" s="1358"/>
      <c r="KVO518" s="1358"/>
      <c r="KVP518" s="1358"/>
      <c r="KVQ518" s="1358"/>
      <c r="KVR518" s="1358"/>
      <c r="KVS518" s="1358"/>
      <c r="KVT518" s="1358"/>
      <c r="KVU518" s="1358"/>
      <c r="KVV518" s="1358"/>
      <c r="KVW518" s="1358"/>
      <c r="KVX518" s="1358"/>
      <c r="KVY518" s="1358"/>
      <c r="KVZ518" s="1358"/>
      <c r="KWA518" s="1358"/>
      <c r="KWB518" s="1358"/>
      <c r="KWC518" s="1358"/>
      <c r="KWD518" s="1358"/>
      <c r="KWE518" s="1358"/>
      <c r="KWF518" s="1358"/>
      <c r="KWG518" s="1358"/>
      <c r="KWH518" s="1358"/>
      <c r="KWI518" s="1358"/>
      <c r="KWJ518" s="1358"/>
      <c r="KWK518" s="1358"/>
      <c r="KWL518" s="1358"/>
      <c r="KWM518" s="1358"/>
      <c r="KWN518" s="1358"/>
      <c r="KWO518" s="1358"/>
      <c r="KWP518" s="1358"/>
      <c r="KWQ518" s="1358"/>
      <c r="KWR518" s="1358"/>
      <c r="KWS518" s="1358"/>
      <c r="KWT518" s="1358"/>
      <c r="KWU518" s="1358"/>
      <c r="KWV518" s="1358"/>
      <c r="KWW518" s="1358"/>
      <c r="KWX518" s="1358"/>
      <c r="KWY518" s="1358"/>
      <c r="KWZ518" s="1358"/>
      <c r="KXA518" s="1358"/>
      <c r="KXB518" s="1358"/>
      <c r="KXC518" s="1358"/>
      <c r="KXD518" s="1358"/>
      <c r="KXE518" s="1358"/>
      <c r="KXF518" s="1358"/>
      <c r="KXG518" s="1358"/>
      <c r="KXH518" s="1358"/>
      <c r="KXI518" s="1358"/>
      <c r="KXJ518" s="1358"/>
      <c r="KXK518" s="1358"/>
      <c r="KXL518" s="1358"/>
      <c r="KXM518" s="1358"/>
      <c r="KXN518" s="1358"/>
      <c r="KXO518" s="1358"/>
      <c r="KXP518" s="1358"/>
      <c r="KXQ518" s="1358"/>
      <c r="KXR518" s="1358"/>
      <c r="KXS518" s="1358"/>
      <c r="KXT518" s="1358"/>
      <c r="KXU518" s="1358"/>
      <c r="KXV518" s="1358"/>
      <c r="KXW518" s="1358"/>
      <c r="KXX518" s="1358"/>
      <c r="KXY518" s="1358"/>
      <c r="KXZ518" s="1358"/>
      <c r="KYA518" s="1358"/>
      <c r="KYB518" s="1358"/>
      <c r="KYC518" s="1358"/>
      <c r="KYD518" s="1358"/>
      <c r="KYE518" s="1358"/>
      <c r="KYF518" s="1358"/>
      <c r="KYG518" s="1358"/>
      <c r="KYH518" s="1358"/>
      <c r="KYI518" s="1358"/>
      <c r="KYJ518" s="1358"/>
      <c r="KYK518" s="1358"/>
      <c r="KYL518" s="1358"/>
      <c r="KYM518" s="1358"/>
      <c r="KYN518" s="1358"/>
      <c r="KYO518" s="1358"/>
      <c r="KYP518" s="1358"/>
      <c r="KYQ518" s="1358"/>
      <c r="KYR518" s="1358"/>
      <c r="KYS518" s="1358"/>
      <c r="KYT518" s="1358"/>
      <c r="KYU518" s="1358"/>
      <c r="KYV518" s="1358"/>
      <c r="KYW518" s="1358"/>
      <c r="KYX518" s="1358"/>
      <c r="KYY518" s="1358"/>
      <c r="KYZ518" s="1358"/>
      <c r="KZA518" s="1358"/>
      <c r="KZB518" s="1358"/>
      <c r="KZC518" s="1358"/>
      <c r="KZD518" s="1358"/>
      <c r="KZE518" s="1358"/>
      <c r="KZF518" s="1358"/>
      <c r="KZG518" s="1358"/>
      <c r="KZH518" s="1358"/>
      <c r="KZI518" s="1358"/>
      <c r="KZJ518" s="1358"/>
      <c r="KZK518" s="1358"/>
      <c r="KZL518" s="1358"/>
      <c r="KZM518" s="1358"/>
      <c r="KZN518" s="1358"/>
      <c r="KZO518" s="1358"/>
      <c r="KZP518" s="1358"/>
      <c r="KZQ518" s="1358"/>
      <c r="KZR518" s="1358"/>
      <c r="KZS518" s="1358"/>
      <c r="KZT518" s="1358"/>
      <c r="KZU518" s="1358"/>
      <c r="KZV518" s="1358"/>
      <c r="KZW518" s="1358"/>
      <c r="KZX518" s="1358"/>
      <c r="KZY518" s="1358"/>
      <c r="KZZ518" s="1358"/>
      <c r="LAA518" s="1358"/>
      <c r="LAB518" s="1358"/>
      <c r="LAC518" s="1358"/>
      <c r="LAD518" s="1358"/>
      <c r="LAE518" s="1358"/>
      <c r="LAF518" s="1358"/>
      <c r="LAG518" s="1358"/>
      <c r="LAH518" s="1358"/>
      <c r="LAI518" s="1358"/>
      <c r="LAJ518" s="1358"/>
      <c r="LAK518" s="1358"/>
      <c r="LAL518" s="1358"/>
      <c r="LAM518" s="1358"/>
      <c r="LAN518" s="1358"/>
      <c r="LAO518" s="1358"/>
      <c r="LAP518" s="1358"/>
      <c r="LAQ518" s="1358"/>
      <c r="LAR518" s="1358"/>
      <c r="LAS518" s="1358"/>
      <c r="LAT518" s="1358"/>
      <c r="LAU518" s="1358"/>
      <c r="LAV518" s="1358"/>
      <c r="LAW518" s="1358"/>
      <c r="LAX518" s="1358"/>
      <c r="LAY518" s="1358"/>
      <c r="LAZ518" s="1358"/>
      <c r="LBA518" s="1358"/>
      <c r="LBB518" s="1358"/>
      <c r="LBC518" s="1358"/>
      <c r="LBD518" s="1358"/>
      <c r="LBE518" s="1358"/>
      <c r="LBF518" s="1358"/>
      <c r="LBG518" s="1358"/>
      <c r="LBH518" s="1358"/>
      <c r="LBI518" s="1358"/>
      <c r="LBJ518" s="1358"/>
      <c r="LBK518" s="1358"/>
      <c r="LBL518" s="1358"/>
      <c r="LBM518" s="1358"/>
      <c r="LBN518" s="1358"/>
      <c r="LBO518" s="1358"/>
      <c r="LBP518" s="1358"/>
      <c r="LBQ518" s="1358"/>
      <c r="LBR518" s="1358"/>
      <c r="LBS518" s="1358"/>
      <c r="LBT518" s="1358"/>
      <c r="LBU518" s="1358"/>
      <c r="LBV518" s="1358"/>
      <c r="LBW518" s="1358"/>
      <c r="LBX518" s="1358"/>
      <c r="LBY518" s="1358"/>
      <c r="LBZ518" s="1358"/>
      <c r="LCA518" s="1358"/>
      <c r="LCB518" s="1358"/>
      <c r="LCC518" s="1358"/>
      <c r="LCD518" s="1358"/>
      <c r="LCE518" s="1358"/>
      <c r="LCF518" s="1358"/>
      <c r="LCG518" s="1358"/>
      <c r="LCH518" s="1358"/>
      <c r="LCI518" s="1358"/>
      <c r="LCJ518" s="1358"/>
      <c r="LCK518" s="1358"/>
      <c r="LCL518" s="1358"/>
      <c r="LCM518" s="1358"/>
      <c r="LCN518" s="1358"/>
      <c r="LCO518" s="1358"/>
      <c r="LCP518" s="1358"/>
      <c r="LCQ518" s="1358"/>
      <c r="LCR518" s="1358"/>
      <c r="LCS518" s="1358"/>
      <c r="LCT518" s="1358"/>
      <c r="LCU518" s="1358"/>
      <c r="LCV518" s="1358"/>
      <c r="LCW518" s="1358"/>
      <c r="LCX518" s="1358"/>
      <c r="LCY518" s="1358"/>
      <c r="LCZ518" s="1358"/>
      <c r="LDA518" s="1358"/>
      <c r="LDB518" s="1358"/>
      <c r="LDC518" s="1358"/>
      <c r="LDD518" s="1358"/>
      <c r="LDE518" s="1358"/>
      <c r="LDF518" s="1358"/>
      <c r="LDG518" s="1358"/>
      <c r="LDH518" s="1358"/>
      <c r="LDI518" s="1358"/>
      <c r="LDJ518" s="1358"/>
      <c r="LDK518" s="1358"/>
      <c r="LDL518" s="1358"/>
      <c r="LDM518" s="1358"/>
      <c r="LDN518" s="1358"/>
      <c r="LDO518" s="1358"/>
      <c r="LDP518" s="1358"/>
      <c r="LDQ518" s="1358"/>
      <c r="LDR518" s="1358"/>
      <c r="LDS518" s="1358"/>
      <c r="LDT518" s="1358"/>
      <c r="LDU518" s="1358"/>
      <c r="LDV518" s="1358"/>
      <c r="LDW518" s="1358"/>
      <c r="LDX518" s="1358"/>
      <c r="LDY518" s="1358"/>
      <c r="LDZ518" s="1358"/>
      <c r="LEA518" s="1358"/>
      <c r="LEB518" s="1358"/>
      <c r="LEC518" s="1358"/>
      <c r="LED518" s="1358"/>
      <c r="LEE518" s="1358"/>
      <c r="LEF518" s="1358"/>
      <c r="LEG518" s="1358"/>
      <c r="LEH518" s="1358"/>
      <c r="LEI518" s="1358"/>
      <c r="LEJ518" s="1358"/>
      <c r="LEK518" s="1358"/>
      <c r="LEL518" s="1358"/>
      <c r="LEM518" s="1358"/>
      <c r="LEN518" s="1358"/>
      <c r="LEO518" s="1358"/>
      <c r="LEP518" s="1358"/>
      <c r="LEQ518" s="1358"/>
      <c r="LER518" s="1358"/>
      <c r="LES518" s="1358"/>
      <c r="LET518" s="1358"/>
      <c r="LEU518" s="1358"/>
      <c r="LEV518" s="1358"/>
      <c r="LEW518" s="1358"/>
      <c r="LEX518" s="1358"/>
      <c r="LEY518" s="1358"/>
      <c r="LEZ518" s="1358"/>
      <c r="LFA518" s="1358"/>
      <c r="LFB518" s="1358"/>
      <c r="LFC518" s="1358"/>
      <c r="LFD518" s="1358"/>
      <c r="LFE518" s="1358"/>
      <c r="LFF518" s="1358"/>
      <c r="LFG518" s="1358"/>
      <c r="LFH518" s="1358"/>
      <c r="LFI518" s="1358"/>
      <c r="LFJ518" s="1358"/>
      <c r="LFK518" s="1358"/>
      <c r="LFL518" s="1358"/>
      <c r="LFM518" s="1358"/>
      <c r="LFN518" s="1358"/>
      <c r="LFO518" s="1358"/>
      <c r="LFP518" s="1358"/>
      <c r="LFQ518" s="1358"/>
      <c r="LFR518" s="1358"/>
      <c r="LFS518" s="1358"/>
      <c r="LFT518" s="1358"/>
      <c r="LFU518" s="1358"/>
      <c r="LFV518" s="1358"/>
      <c r="LFW518" s="1358"/>
      <c r="LFX518" s="1358"/>
      <c r="LFY518" s="1358"/>
      <c r="LFZ518" s="1358"/>
      <c r="LGA518" s="1358"/>
      <c r="LGB518" s="1358"/>
      <c r="LGC518" s="1358"/>
      <c r="LGD518" s="1358"/>
      <c r="LGE518" s="1358"/>
      <c r="LGF518" s="1358"/>
      <c r="LGG518" s="1358"/>
      <c r="LGH518" s="1358"/>
      <c r="LGI518" s="1358"/>
      <c r="LGJ518" s="1358"/>
      <c r="LGK518" s="1358"/>
      <c r="LGL518" s="1358"/>
      <c r="LGM518" s="1358"/>
      <c r="LGN518" s="1358"/>
      <c r="LGO518" s="1358"/>
      <c r="LGP518" s="1358"/>
      <c r="LGQ518" s="1358"/>
      <c r="LGR518" s="1358"/>
      <c r="LGS518" s="1358"/>
      <c r="LGT518" s="1358"/>
      <c r="LGU518" s="1358"/>
      <c r="LGV518" s="1358"/>
      <c r="LGW518" s="1358"/>
      <c r="LGX518" s="1358"/>
      <c r="LGY518" s="1358"/>
      <c r="LGZ518" s="1358"/>
      <c r="LHA518" s="1358"/>
      <c r="LHB518" s="1358"/>
      <c r="LHC518" s="1358"/>
      <c r="LHD518" s="1358"/>
      <c r="LHE518" s="1358"/>
      <c r="LHF518" s="1358"/>
      <c r="LHG518" s="1358"/>
      <c r="LHH518" s="1358"/>
      <c r="LHI518" s="1358"/>
      <c r="LHJ518" s="1358"/>
      <c r="LHK518" s="1358"/>
      <c r="LHL518" s="1358"/>
      <c r="LHM518" s="1358"/>
      <c r="LHN518" s="1358"/>
      <c r="LHO518" s="1358"/>
      <c r="LHP518" s="1358"/>
      <c r="LHQ518" s="1358"/>
      <c r="LHR518" s="1358"/>
      <c r="LHS518" s="1358"/>
      <c r="LHT518" s="1358"/>
      <c r="LHU518" s="1358"/>
      <c r="LHV518" s="1358"/>
      <c r="LHW518" s="1358"/>
      <c r="LHX518" s="1358"/>
      <c r="LHY518" s="1358"/>
      <c r="LHZ518" s="1358"/>
      <c r="LIA518" s="1358"/>
      <c r="LIB518" s="1358"/>
      <c r="LIC518" s="1358"/>
      <c r="LID518" s="1358"/>
      <c r="LIE518" s="1358"/>
      <c r="LIF518" s="1358"/>
      <c r="LIG518" s="1358"/>
      <c r="LIH518" s="1358"/>
      <c r="LII518" s="1358"/>
      <c r="LIJ518" s="1358"/>
      <c r="LIK518" s="1358"/>
      <c r="LIL518" s="1358"/>
      <c r="LIM518" s="1358"/>
      <c r="LIN518" s="1358"/>
      <c r="LIO518" s="1358"/>
      <c r="LIP518" s="1358"/>
      <c r="LIQ518" s="1358"/>
      <c r="LIR518" s="1358"/>
      <c r="LIS518" s="1358"/>
      <c r="LIT518" s="1358"/>
      <c r="LIU518" s="1358"/>
      <c r="LIV518" s="1358"/>
      <c r="LIW518" s="1358"/>
      <c r="LIX518" s="1358"/>
      <c r="LIY518" s="1358"/>
      <c r="LIZ518" s="1358"/>
      <c r="LJA518" s="1358"/>
      <c r="LJB518" s="1358"/>
      <c r="LJC518" s="1358"/>
      <c r="LJD518" s="1358"/>
      <c r="LJE518" s="1358"/>
      <c r="LJF518" s="1358"/>
      <c r="LJG518" s="1358"/>
      <c r="LJH518" s="1358"/>
      <c r="LJI518" s="1358"/>
      <c r="LJJ518" s="1358"/>
      <c r="LJK518" s="1358"/>
      <c r="LJL518" s="1358"/>
      <c r="LJM518" s="1358"/>
      <c r="LJN518" s="1358"/>
      <c r="LJO518" s="1358"/>
      <c r="LJP518" s="1358"/>
      <c r="LJQ518" s="1358"/>
      <c r="LJR518" s="1358"/>
      <c r="LJS518" s="1358"/>
      <c r="LJT518" s="1358"/>
      <c r="LJU518" s="1358"/>
      <c r="LJV518" s="1358"/>
      <c r="LJW518" s="1358"/>
      <c r="LJX518" s="1358"/>
      <c r="LJY518" s="1358"/>
      <c r="LJZ518" s="1358"/>
      <c r="LKA518" s="1358"/>
      <c r="LKB518" s="1358"/>
      <c r="LKC518" s="1358"/>
      <c r="LKD518" s="1358"/>
      <c r="LKE518" s="1358"/>
      <c r="LKF518" s="1358"/>
      <c r="LKG518" s="1358"/>
      <c r="LKH518" s="1358"/>
      <c r="LKI518" s="1358"/>
      <c r="LKJ518" s="1358"/>
      <c r="LKK518" s="1358"/>
      <c r="LKL518" s="1358"/>
      <c r="LKM518" s="1358"/>
      <c r="LKN518" s="1358"/>
      <c r="LKO518" s="1358"/>
      <c r="LKP518" s="1358"/>
      <c r="LKQ518" s="1358"/>
      <c r="LKR518" s="1358"/>
      <c r="LKS518" s="1358"/>
      <c r="LKT518" s="1358"/>
      <c r="LKU518" s="1358"/>
      <c r="LKV518" s="1358"/>
      <c r="LKW518" s="1358"/>
      <c r="LKX518" s="1358"/>
      <c r="LKY518" s="1358"/>
      <c r="LKZ518" s="1358"/>
      <c r="LLA518" s="1358"/>
      <c r="LLB518" s="1358"/>
      <c r="LLC518" s="1358"/>
      <c r="LLD518" s="1358"/>
      <c r="LLE518" s="1358"/>
      <c r="LLF518" s="1358"/>
      <c r="LLG518" s="1358"/>
      <c r="LLH518" s="1358"/>
      <c r="LLI518" s="1358"/>
      <c r="LLJ518" s="1358"/>
      <c r="LLK518" s="1358"/>
      <c r="LLL518" s="1358"/>
      <c r="LLM518" s="1358"/>
      <c r="LLN518" s="1358"/>
      <c r="LLO518" s="1358"/>
      <c r="LLP518" s="1358"/>
      <c r="LLQ518" s="1358"/>
      <c r="LLR518" s="1358"/>
      <c r="LLS518" s="1358"/>
      <c r="LLT518" s="1358"/>
      <c r="LLU518" s="1358"/>
      <c r="LLV518" s="1358"/>
      <c r="LLW518" s="1358"/>
      <c r="LLX518" s="1358"/>
      <c r="LLY518" s="1358"/>
      <c r="LLZ518" s="1358"/>
      <c r="LMA518" s="1358"/>
      <c r="LMB518" s="1358"/>
      <c r="LMC518" s="1358"/>
      <c r="LMD518" s="1358"/>
      <c r="LME518" s="1358"/>
      <c r="LMF518" s="1358"/>
      <c r="LMG518" s="1358"/>
      <c r="LMH518" s="1358"/>
      <c r="LMI518" s="1358"/>
      <c r="LMJ518" s="1358"/>
      <c r="LMK518" s="1358"/>
      <c r="LML518" s="1358"/>
      <c r="LMM518" s="1358"/>
      <c r="LMN518" s="1358"/>
      <c r="LMO518" s="1358"/>
      <c r="LMP518" s="1358"/>
      <c r="LMQ518" s="1358"/>
      <c r="LMR518" s="1358"/>
      <c r="LMS518" s="1358"/>
      <c r="LMT518" s="1358"/>
      <c r="LMU518" s="1358"/>
      <c r="LMV518" s="1358"/>
      <c r="LMW518" s="1358"/>
      <c r="LMX518" s="1358"/>
      <c r="LMY518" s="1358"/>
      <c r="LMZ518" s="1358"/>
      <c r="LNA518" s="1358"/>
      <c r="LNB518" s="1358"/>
      <c r="LNC518" s="1358"/>
      <c r="LND518" s="1358"/>
      <c r="LNE518" s="1358"/>
      <c r="LNF518" s="1358"/>
      <c r="LNG518" s="1358"/>
      <c r="LNH518" s="1358"/>
      <c r="LNI518" s="1358"/>
      <c r="LNJ518" s="1358"/>
      <c r="LNK518" s="1358"/>
      <c r="LNL518" s="1358"/>
      <c r="LNM518" s="1358"/>
      <c r="LNN518" s="1358"/>
      <c r="LNO518" s="1358"/>
      <c r="LNP518" s="1358"/>
      <c r="LNQ518" s="1358"/>
      <c r="LNR518" s="1358"/>
      <c r="LNS518" s="1358"/>
      <c r="LNT518" s="1358"/>
      <c r="LNU518" s="1358"/>
      <c r="LNV518" s="1358"/>
      <c r="LNW518" s="1358"/>
      <c r="LNX518" s="1358"/>
      <c r="LNY518" s="1358"/>
      <c r="LNZ518" s="1358"/>
      <c r="LOA518" s="1358"/>
      <c r="LOB518" s="1358"/>
      <c r="LOC518" s="1358"/>
      <c r="LOD518" s="1358"/>
      <c r="LOE518" s="1358"/>
      <c r="LOF518" s="1358"/>
      <c r="LOG518" s="1358"/>
      <c r="LOH518" s="1358"/>
      <c r="LOI518" s="1358"/>
      <c r="LOJ518" s="1358"/>
      <c r="LOK518" s="1358"/>
      <c r="LOL518" s="1358"/>
      <c r="LOM518" s="1358"/>
      <c r="LON518" s="1358"/>
      <c r="LOO518" s="1358"/>
      <c r="LOP518" s="1358"/>
      <c r="LOQ518" s="1358"/>
      <c r="LOR518" s="1358"/>
      <c r="LOS518" s="1358"/>
      <c r="LOT518" s="1358"/>
      <c r="LOU518" s="1358"/>
      <c r="LOV518" s="1358"/>
      <c r="LOW518" s="1358"/>
      <c r="LOX518" s="1358"/>
      <c r="LOY518" s="1358"/>
      <c r="LOZ518" s="1358"/>
      <c r="LPA518" s="1358"/>
      <c r="LPB518" s="1358"/>
      <c r="LPC518" s="1358"/>
      <c r="LPD518" s="1358"/>
      <c r="LPE518" s="1358"/>
      <c r="LPF518" s="1358"/>
      <c r="LPG518" s="1358"/>
      <c r="LPH518" s="1358"/>
      <c r="LPI518" s="1358"/>
      <c r="LPJ518" s="1358"/>
      <c r="LPK518" s="1358"/>
      <c r="LPL518" s="1358"/>
      <c r="LPM518" s="1358"/>
      <c r="LPN518" s="1358"/>
      <c r="LPO518" s="1358"/>
      <c r="LPP518" s="1358"/>
      <c r="LPQ518" s="1358"/>
      <c r="LPR518" s="1358"/>
      <c r="LPS518" s="1358"/>
      <c r="LPT518" s="1358"/>
      <c r="LPU518" s="1358"/>
      <c r="LPV518" s="1358"/>
      <c r="LPW518" s="1358"/>
      <c r="LPX518" s="1358"/>
      <c r="LPY518" s="1358"/>
      <c r="LPZ518" s="1358"/>
      <c r="LQA518" s="1358"/>
      <c r="LQB518" s="1358"/>
      <c r="LQC518" s="1358"/>
      <c r="LQD518" s="1358"/>
      <c r="LQE518" s="1358"/>
      <c r="LQF518" s="1358"/>
      <c r="LQG518" s="1358"/>
      <c r="LQH518" s="1358"/>
      <c r="LQI518" s="1358"/>
      <c r="LQJ518" s="1358"/>
      <c r="LQK518" s="1358"/>
      <c r="LQL518" s="1358"/>
      <c r="LQM518" s="1358"/>
      <c r="LQN518" s="1358"/>
      <c r="LQO518" s="1358"/>
      <c r="LQP518" s="1358"/>
      <c r="LQQ518" s="1358"/>
      <c r="LQR518" s="1358"/>
      <c r="LQS518" s="1358"/>
      <c r="LQT518" s="1358"/>
      <c r="LQU518" s="1358"/>
      <c r="LQV518" s="1358"/>
      <c r="LQW518" s="1358"/>
      <c r="LQX518" s="1358"/>
      <c r="LQY518" s="1358"/>
      <c r="LQZ518" s="1358"/>
      <c r="LRA518" s="1358"/>
      <c r="LRB518" s="1358"/>
      <c r="LRC518" s="1358"/>
      <c r="LRD518" s="1358"/>
      <c r="LRE518" s="1358"/>
      <c r="LRF518" s="1358"/>
      <c r="LRG518" s="1358"/>
      <c r="LRH518" s="1358"/>
      <c r="LRI518" s="1358"/>
      <c r="LRJ518" s="1358"/>
      <c r="LRK518" s="1358"/>
      <c r="LRL518" s="1358"/>
      <c r="LRM518" s="1358"/>
      <c r="LRN518" s="1358"/>
      <c r="LRO518" s="1358"/>
      <c r="LRP518" s="1358"/>
      <c r="LRQ518" s="1358"/>
      <c r="LRR518" s="1358"/>
      <c r="LRS518" s="1358"/>
      <c r="LRT518" s="1358"/>
      <c r="LRU518" s="1358"/>
      <c r="LRV518" s="1358"/>
      <c r="LRW518" s="1358"/>
      <c r="LRX518" s="1358"/>
      <c r="LRY518" s="1358"/>
      <c r="LRZ518" s="1358"/>
      <c r="LSA518" s="1358"/>
      <c r="LSB518" s="1358"/>
      <c r="LSC518" s="1358"/>
      <c r="LSD518" s="1358"/>
      <c r="LSE518" s="1358"/>
      <c r="LSF518" s="1358"/>
      <c r="LSG518" s="1358"/>
      <c r="LSH518" s="1358"/>
      <c r="LSI518" s="1358"/>
      <c r="LSJ518" s="1358"/>
      <c r="LSK518" s="1358"/>
      <c r="LSL518" s="1358"/>
      <c r="LSM518" s="1358"/>
      <c r="LSN518" s="1358"/>
      <c r="LSO518" s="1358"/>
      <c r="LSP518" s="1358"/>
      <c r="LSQ518" s="1358"/>
      <c r="LSR518" s="1358"/>
      <c r="LSS518" s="1358"/>
      <c r="LST518" s="1358"/>
      <c r="LSU518" s="1358"/>
      <c r="LSV518" s="1358"/>
      <c r="LSW518" s="1358"/>
      <c r="LSX518" s="1358"/>
      <c r="LSY518" s="1358"/>
      <c r="LSZ518" s="1358"/>
      <c r="LTA518" s="1358"/>
      <c r="LTB518" s="1358"/>
      <c r="LTC518" s="1358"/>
      <c r="LTD518" s="1358"/>
      <c r="LTE518" s="1358"/>
      <c r="LTF518" s="1358"/>
      <c r="LTG518" s="1358"/>
      <c r="LTH518" s="1358"/>
      <c r="LTI518" s="1358"/>
      <c r="LTJ518" s="1358"/>
      <c r="LTK518" s="1358"/>
      <c r="LTL518" s="1358"/>
      <c r="LTM518" s="1358"/>
      <c r="LTN518" s="1358"/>
      <c r="LTO518" s="1358"/>
      <c r="LTP518" s="1358"/>
      <c r="LTQ518" s="1358"/>
      <c r="LTR518" s="1358"/>
      <c r="LTS518" s="1358"/>
      <c r="LTT518" s="1358"/>
      <c r="LTU518" s="1358"/>
      <c r="LTV518" s="1358"/>
      <c r="LTW518" s="1358"/>
      <c r="LTX518" s="1358"/>
      <c r="LTY518" s="1358"/>
      <c r="LTZ518" s="1358"/>
      <c r="LUA518" s="1358"/>
      <c r="LUB518" s="1358"/>
      <c r="LUC518" s="1358"/>
      <c r="LUD518" s="1358"/>
      <c r="LUE518" s="1358"/>
      <c r="LUF518" s="1358"/>
      <c r="LUG518" s="1358"/>
      <c r="LUH518" s="1358"/>
      <c r="LUI518" s="1358"/>
      <c r="LUJ518" s="1358"/>
      <c r="LUK518" s="1358"/>
      <c r="LUL518" s="1358"/>
      <c r="LUM518" s="1358"/>
      <c r="LUN518" s="1358"/>
      <c r="LUO518" s="1358"/>
      <c r="LUP518" s="1358"/>
      <c r="LUQ518" s="1358"/>
      <c r="LUR518" s="1358"/>
      <c r="LUS518" s="1358"/>
      <c r="LUT518" s="1358"/>
      <c r="LUU518" s="1358"/>
      <c r="LUV518" s="1358"/>
      <c r="LUW518" s="1358"/>
      <c r="LUX518" s="1358"/>
      <c r="LUY518" s="1358"/>
      <c r="LUZ518" s="1358"/>
      <c r="LVA518" s="1358"/>
      <c r="LVB518" s="1358"/>
      <c r="LVC518" s="1358"/>
      <c r="LVD518" s="1358"/>
      <c r="LVE518" s="1358"/>
      <c r="LVF518" s="1358"/>
      <c r="LVG518" s="1358"/>
      <c r="LVH518" s="1358"/>
      <c r="LVI518" s="1358"/>
      <c r="LVJ518" s="1358"/>
      <c r="LVK518" s="1358"/>
      <c r="LVL518" s="1358"/>
      <c r="LVM518" s="1358"/>
      <c r="LVN518" s="1358"/>
      <c r="LVO518" s="1358"/>
      <c r="LVP518" s="1358"/>
      <c r="LVQ518" s="1358"/>
      <c r="LVR518" s="1358"/>
      <c r="LVS518" s="1358"/>
      <c r="LVT518" s="1358"/>
      <c r="LVU518" s="1358"/>
      <c r="LVV518" s="1358"/>
      <c r="LVW518" s="1358"/>
      <c r="LVX518" s="1358"/>
      <c r="LVY518" s="1358"/>
      <c r="LVZ518" s="1358"/>
      <c r="LWA518" s="1358"/>
      <c r="LWB518" s="1358"/>
      <c r="LWC518" s="1358"/>
      <c r="LWD518" s="1358"/>
      <c r="LWE518" s="1358"/>
      <c r="LWF518" s="1358"/>
      <c r="LWG518" s="1358"/>
      <c r="LWH518" s="1358"/>
      <c r="LWI518" s="1358"/>
      <c r="LWJ518" s="1358"/>
      <c r="LWK518" s="1358"/>
      <c r="LWL518" s="1358"/>
      <c r="LWM518" s="1358"/>
      <c r="LWN518" s="1358"/>
      <c r="LWO518" s="1358"/>
      <c r="LWP518" s="1358"/>
      <c r="LWQ518" s="1358"/>
      <c r="LWR518" s="1358"/>
      <c r="LWS518" s="1358"/>
      <c r="LWT518" s="1358"/>
      <c r="LWU518" s="1358"/>
      <c r="LWV518" s="1358"/>
      <c r="LWW518" s="1358"/>
      <c r="LWX518" s="1358"/>
      <c r="LWY518" s="1358"/>
      <c r="LWZ518" s="1358"/>
      <c r="LXA518" s="1358"/>
      <c r="LXB518" s="1358"/>
      <c r="LXC518" s="1358"/>
      <c r="LXD518" s="1358"/>
      <c r="LXE518" s="1358"/>
      <c r="LXF518" s="1358"/>
      <c r="LXG518" s="1358"/>
      <c r="LXH518" s="1358"/>
      <c r="LXI518" s="1358"/>
      <c r="LXJ518" s="1358"/>
      <c r="LXK518" s="1358"/>
      <c r="LXL518" s="1358"/>
      <c r="LXM518" s="1358"/>
      <c r="LXN518" s="1358"/>
      <c r="LXO518" s="1358"/>
      <c r="LXP518" s="1358"/>
      <c r="LXQ518" s="1358"/>
      <c r="LXR518" s="1358"/>
      <c r="LXS518" s="1358"/>
      <c r="LXT518" s="1358"/>
      <c r="LXU518" s="1358"/>
      <c r="LXV518" s="1358"/>
      <c r="LXW518" s="1358"/>
      <c r="LXX518" s="1358"/>
      <c r="LXY518" s="1358"/>
      <c r="LXZ518" s="1358"/>
      <c r="LYA518" s="1358"/>
      <c r="LYB518" s="1358"/>
      <c r="LYC518" s="1358"/>
      <c r="LYD518" s="1358"/>
      <c r="LYE518" s="1358"/>
      <c r="LYF518" s="1358"/>
      <c r="LYG518" s="1358"/>
      <c r="LYH518" s="1358"/>
      <c r="LYI518" s="1358"/>
      <c r="LYJ518" s="1358"/>
      <c r="LYK518" s="1358"/>
      <c r="LYL518" s="1358"/>
      <c r="LYM518" s="1358"/>
      <c r="LYN518" s="1358"/>
      <c r="LYO518" s="1358"/>
      <c r="LYP518" s="1358"/>
      <c r="LYQ518" s="1358"/>
      <c r="LYR518" s="1358"/>
      <c r="LYS518" s="1358"/>
      <c r="LYT518" s="1358"/>
      <c r="LYU518" s="1358"/>
      <c r="LYV518" s="1358"/>
      <c r="LYW518" s="1358"/>
      <c r="LYX518" s="1358"/>
      <c r="LYY518" s="1358"/>
      <c r="LYZ518" s="1358"/>
      <c r="LZA518" s="1358"/>
      <c r="LZB518" s="1358"/>
      <c r="LZC518" s="1358"/>
      <c r="LZD518" s="1358"/>
      <c r="LZE518" s="1358"/>
      <c r="LZF518" s="1358"/>
      <c r="LZG518" s="1358"/>
      <c r="LZH518" s="1358"/>
      <c r="LZI518" s="1358"/>
      <c r="LZJ518" s="1358"/>
      <c r="LZK518" s="1358"/>
      <c r="LZL518" s="1358"/>
      <c r="LZM518" s="1358"/>
      <c r="LZN518" s="1358"/>
      <c r="LZO518" s="1358"/>
      <c r="LZP518" s="1358"/>
      <c r="LZQ518" s="1358"/>
      <c r="LZR518" s="1358"/>
      <c r="LZS518" s="1358"/>
      <c r="LZT518" s="1358"/>
      <c r="LZU518" s="1358"/>
      <c r="LZV518" s="1358"/>
      <c r="LZW518" s="1358"/>
      <c r="LZX518" s="1358"/>
      <c r="LZY518" s="1358"/>
      <c r="LZZ518" s="1358"/>
      <c r="MAA518" s="1358"/>
      <c r="MAB518" s="1358"/>
      <c r="MAC518" s="1358"/>
      <c r="MAD518" s="1358"/>
      <c r="MAE518" s="1358"/>
      <c r="MAF518" s="1358"/>
      <c r="MAG518" s="1358"/>
      <c r="MAH518" s="1358"/>
      <c r="MAI518" s="1358"/>
      <c r="MAJ518" s="1358"/>
      <c r="MAK518" s="1358"/>
      <c r="MAL518" s="1358"/>
      <c r="MAM518" s="1358"/>
      <c r="MAN518" s="1358"/>
      <c r="MAO518" s="1358"/>
      <c r="MAP518" s="1358"/>
      <c r="MAQ518" s="1358"/>
      <c r="MAR518" s="1358"/>
      <c r="MAS518" s="1358"/>
      <c r="MAT518" s="1358"/>
      <c r="MAU518" s="1358"/>
      <c r="MAV518" s="1358"/>
      <c r="MAW518" s="1358"/>
      <c r="MAX518" s="1358"/>
      <c r="MAY518" s="1358"/>
      <c r="MAZ518" s="1358"/>
      <c r="MBA518" s="1358"/>
      <c r="MBB518" s="1358"/>
      <c r="MBC518" s="1358"/>
      <c r="MBD518" s="1358"/>
      <c r="MBE518" s="1358"/>
      <c r="MBF518" s="1358"/>
      <c r="MBG518" s="1358"/>
      <c r="MBH518" s="1358"/>
      <c r="MBI518" s="1358"/>
      <c r="MBJ518" s="1358"/>
      <c r="MBK518" s="1358"/>
      <c r="MBL518" s="1358"/>
      <c r="MBM518" s="1358"/>
      <c r="MBN518" s="1358"/>
      <c r="MBO518" s="1358"/>
      <c r="MBP518" s="1358"/>
      <c r="MBQ518" s="1358"/>
      <c r="MBR518" s="1358"/>
      <c r="MBS518" s="1358"/>
      <c r="MBT518" s="1358"/>
      <c r="MBU518" s="1358"/>
      <c r="MBV518" s="1358"/>
      <c r="MBW518" s="1358"/>
      <c r="MBX518" s="1358"/>
      <c r="MBY518" s="1358"/>
      <c r="MBZ518" s="1358"/>
      <c r="MCA518" s="1358"/>
      <c r="MCB518" s="1358"/>
      <c r="MCC518" s="1358"/>
      <c r="MCD518" s="1358"/>
      <c r="MCE518" s="1358"/>
      <c r="MCF518" s="1358"/>
      <c r="MCG518" s="1358"/>
      <c r="MCH518" s="1358"/>
      <c r="MCI518" s="1358"/>
      <c r="MCJ518" s="1358"/>
      <c r="MCK518" s="1358"/>
      <c r="MCL518" s="1358"/>
      <c r="MCM518" s="1358"/>
      <c r="MCN518" s="1358"/>
      <c r="MCO518" s="1358"/>
      <c r="MCP518" s="1358"/>
      <c r="MCQ518" s="1358"/>
      <c r="MCR518" s="1358"/>
      <c r="MCS518" s="1358"/>
      <c r="MCT518" s="1358"/>
      <c r="MCU518" s="1358"/>
      <c r="MCV518" s="1358"/>
      <c r="MCW518" s="1358"/>
      <c r="MCX518" s="1358"/>
      <c r="MCY518" s="1358"/>
      <c r="MCZ518" s="1358"/>
      <c r="MDA518" s="1358"/>
      <c r="MDB518" s="1358"/>
      <c r="MDC518" s="1358"/>
      <c r="MDD518" s="1358"/>
      <c r="MDE518" s="1358"/>
      <c r="MDF518" s="1358"/>
      <c r="MDG518" s="1358"/>
      <c r="MDH518" s="1358"/>
      <c r="MDI518" s="1358"/>
      <c r="MDJ518" s="1358"/>
      <c r="MDK518" s="1358"/>
      <c r="MDL518" s="1358"/>
      <c r="MDM518" s="1358"/>
      <c r="MDN518" s="1358"/>
      <c r="MDO518" s="1358"/>
      <c r="MDP518" s="1358"/>
      <c r="MDQ518" s="1358"/>
      <c r="MDR518" s="1358"/>
      <c r="MDS518" s="1358"/>
      <c r="MDT518" s="1358"/>
      <c r="MDU518" s="1358"/>
      <c r="MDV518" s="1358"/>
      <c r="MDW518" s="1358"/>
      <c r="MDX518" s="1358"/>
      <c r="MDY518" s="1358"/>
      <c r="MDZ518" s="1358"/>
      <c r="MEA518" s="1358"/>
      <c r="MEB518" s="1358"/>
      <c r="MEC518" s="1358"/>
      <c r="MED518" s="1358"/>
      <c r="MEE518" s="1358"/>
      <c r="MEF518" s="1358"/>
      <c r="MEG518" s="1358"/>
      <c r="MEH518" s="1358"/>
      <c r="MEI518" s="1358"/>
      <c r="MEJ518" s="1358"/>
      <c r="MEK518" s="1358"/>
      <c r="MEL518" s="1358"/>
      <c r="MEM518" s="1358"/>
      <c r="MEN518" s="1358"/>
      <c r="MEO518" s="1358"/>
      <c r="MEP518" s="1358"/>
      <c r="MEQ518" s="1358"/>
      <c r="MER518" s="1358"/>
      <c r="MES518" s="1358"/>
      <c r="MET518" s="1358"/>
      <c r="MEU518" s="1358"/>
      <c r="MEV518" s="1358"/>
      <c r="MEW518" s="1358"/>
      <c r="MEX518" s="1358"/>
      <c r="MEY518" s="1358"/>
      <c r="MEZ518" s="1358"/>
      <c r="MFA518" s="1358"/>
      <c r="MFB518" s="1358"/>
      <c r="MFC518" s="1358"/>
      <c r="MFD518" s="1358"/>
      <c r="MFE518" s="1358"/>
      <c r="MFF518" s="1358"/>
      <c r="MFG518" s="1358"/>
      <c r="MFH518" s="1358"/>
      <c r="MFI518" s="1358"/>
      <c r="MFJ518" s="1358"/>
      <c r="MFK518" s="1358"/>
      <c r="MFL518" s="1358"/>
      <c r="MFM518" s="1358"/>
      <c r="MFN518" s="1358"/>
      <c r="MFO518" s="1358"/>
      <c r="MFP518" s="1358"/>
      <c r="MFQ518" s="1358"/>
      <c r="MFR518" s="1358"/>
      <c r="MFS518" s="1358"/>
      <c r="MFT518" s="1358"/>
      <c r="MFU518" s="1358"/>
      <c r="MFV518" s="1358"/>
      <c r="MFW518" s="1358"/>
      <c r="MFX518" s="1358"/>
      <c r="MFY518" s="1358"/>
      <c r="MFZ518" s="1358"/>
      <c r="MGA518" s="1358"/>
      <c r="MGB518" s="1358"/>
      <c r="MGC518" s="1358"/>
      <c r="MGD518" s="1358"/>
      <c r="MGE518" s="1358"/>
      <c r="MGF518" s="1358"/>
      <c r="MGG518" s="1358"/>
      <c r="MGH518" s="1358"/>
      <c r="MGI518" s="1358"/>
      <c r="MGJ518" s="1358"/>
      <c r="MGK518" s="1358"/>
      <c r="MGL518" s="1358"/>
      <c r="MGM518" s="1358"/>
      <c r="MGN518" s="1358"/>
      <c r="MGO518" s="1358"/>
      <c r="MGP518" s="1358"/>
      <c r="MGQ518" s="1358"/>
      <c r="MGR518" s="1358"/>
      <c r="MGS518" s="1358"/>
      <c r="MGT518" s="1358"/>
      <c r="MGU518" s="1358"/>
      <c r="MGV518" s="1358"/>
      <c r="MGW518" s="1358"/>
      <c r="MGX518" s="1358"/>
      <c r="MGY518" s="1358"/>
      <c r="MGZ518" s="1358"/>
      <c r="MHA518" s="1358"/>
      <c r="MHB518" s="1358"/>
      <c r="MHC518" s="1358"/>
      <c r="MHD518" s="1358"/>
      <c r="MHE518" s="1358"/>
      <c r="MHF518" s="1358"/>
      <c r="MHG518" s="1358"/>
      <c r="MHH518" s="1358"/>
      <c r="MHI518" s="1358"/>
      <c r="MHJ518" s="1358"/>
      <c r="MHK518" s="1358"/>
      <c r="MHL518" s="1358"/>
      <c r="MHM518" s="1358"/>
      <c r="MHN518" s="1358"/>
      <c r="MHO518" s="1358"/>
      <c r="MHP518" s="1358"/>
      <c r="MHQ518" s="1358"/>
      <c r="MHR518" s="1358"/>
      <c r="MHS518" s="1358"/>
      <c r="MHT518" s="1358"/>
      <c r="MHU518" s="1358"/>
      <c r="MHV518" s="1358"/>
      <c r="MHW518" s="1358"/>
      <c r="MHX518" s="1358"/>
      <c r="MHY518" s="1358"/>
      <c r="MHZ518" s="1358"/>
      <c r="MIA518" s="1358"/>
      <c r="MIB518" s="1358"/>
      <c r="MIC518" s="1358"/>
      <c r="MID518" s="1358"/>
      <c r="MIE518" s="1358"/>
      <c r="MIF518" s="1358"/>
      <c r="MIG518" s="1358"/>
      <c r="MIH518" s="1358"/>
      <c r="MII518" s="1358"/>
      <c r="MIJ518" s="1358"/>
      <c r="MIK518" s="1358"/>
      <c r="MIL518" s="1358"/>
      <c r="MIM518" s="1358"/>
      <c r="MIN518" s="1358"/>
      <c r="MIO518" s="1358"/>
      <c r="MIP518" s="1358"/>
      <c r="MIQ518" s="1358"/>
      <c r="MIR518" s="1358"/>
      <c r="MIS518" s="1358"/>
      <c r="MIT518" s="1358"/>
      <c r="MIU518" s="1358"/>
      <c r="MIV518" s="1358"/>
      <c r="MIW518" s="1358"/>
      <c r="MIX518" s="1358"/>
      <c r="MIY518" s="1358"/>
      <c r="MIZ518" s="1358"/>
      <c r="MJA518" s="1358"/>
      <c r="MJB518" s="1358"/>
      <c r="MJC518" s="1358"/>
      <c r="MJD518" s="1358"/>
      <c r="MJE518" s="1358"/>
      <c r="MJF518" s="1358"/>
      <c r="MJG518" s="1358"/>
      <c r="MJH518" s="1358"/>
      <c r="MJI518" s="1358"/>
      <c r="MJJ518" s="1358"/>
      <c r="MJK518" s="1358"/>
      <c r="MJL518" s="1358"/>
      <c r="MJM518" s="1358"/>
      <c r="MJN518" s="1358"/>
      <c r="MJO518" s="1358"/>
      <c r="MJP518" s="1358"/>
      <c r="MJQ518" s="1358"/>
      <c r="MJR518" s="1358"/>
      <c r="MJS518" s="1358"/>
      <c r="MJT518" s="1358"/>
      <c r="MJU518" s="1358"/>
      <c r="MJV518" s="1358"/>
      <c r="MJW518" s="1358"/>
      <c r="MJX518" s="1358"/>
      <c r="MJY518" s="1358"/>
      <c r="MJZ518" s="1358"/>
      <c r="MKA518" s="1358"/>
      <c r="MKB518" s="1358"/>
      <c r="MKC518" s="1358"/>
      <c r="MKD518" s="1358"/>
      <c r="MKE518" s="1358"/>
      <c r="MKF518" s="1358"/>
      <c r="MKG518" s="1358"/>
      <c r="MKH518" s="1358"/>
      <c r="MKI518" s="1358"/>
      <c r="MKJ518" s="1358"/>
      <c r="MKK518" s="1358"/>
      <c r="MKL518" s="1358"/>
      <c r="MKM518" s="1358"/>
      <c r="MKN518" s="1358"/>
      <c r="MKO518" s="1358"/>
      <c r="MKP518" s="1358"/>
      <c r="MKQ518" s="1358"/>
      <c r="MKR518" s="1358"/>
      <c r="MKS518" s="1358"/>
      <c r="MKT518" s="1358"/>
      <c r="MKU518" s="1358"/>
      <c r="MKV518" s="1358"/>
      <c r="MKW518" s="1358"/>
      <c r="MKX518" s="1358"/>
      <c r="MKY518" s="1358"/>
      <c r="MKZ518" s="1358"/>
      <c r="MLA518" s="1358"/>
      <c r="MLB518" s="1358"/>
      <c r="MLC518" s="1358"/>
      <c r="MLD518" s="1358"/>
      <c r="MLE518" s="1358"/>
      <c r="MLF518" s="1358"/>
      <c r="MLG518" s="1358"/>
      <c r="MLH518" s="1358"/>
      <c r="MLI518" s="1358"/>
      <c r="MLJ518" s="1358"/>
      <c r="MLK518" s="1358"/>
      <c r="MLL518" s="1358"/>
      <c r="MLM518" s="1358"/>
      <c r="MLN518" s="1358"/>
      <c r="MLO518" s="1358"/>
      <c r="MLP518" s="1358"/>
      <c r="MLQ518" s="1358"/>
      <c r="MLR518" s="1358"/>
      <c r="MLS518" s="1358"/>
      <c r="MLT518" s="1358"/>
      <c r="MLU518" s="1358"/>
      <c r="MLV518" s="1358"/>
      <c r="MLW518" s="1358"/>
      <c r="MLX518" s="1358"/>
      <c r="MLY518" s="1358"/>
      <c r="MLZ518" s="1358"/>
      <c r="MMA518" s="1358"/>
      <c r="MMB518" s="1358"/>
      <c r="MMC518" s="1358"/>
      <c r="MMD518" s="1358"/>
      <c r="MME518" s="1358"/>
      <c r="MMF518" s="1358"/>
      <c r="MMG518" s="1358"/>
      <c r="MMH518" s="1358"/>
      <c r="MMI518" s="1358"/>
      <c r="MMJ518" s="1358"/>
      <c r="MMK518" s="1358"/>
      <c r="MML518" s="1358"/>
      <c r="MMM518" s="1358"/>
      <c r="MMN518" s="1358"/>
      <c r="MMO518" s="1358"/>
      <c r="MMP518" s="1358"/>
      <c r="MMQ518" s="1358"/>
      <c r="MMR518" s="1358"/>
      <c r="MMS518" s="1358"/>
      <c r="MMT518" s="1358"/>
      <c r="MMU518" s="1358"/>
      <c r="MMV518" s="1358"/>
      <c r="MMW518" s="1358"/>
      <c r="MMX518" s="1358"/>
      <c r="MMY518" s="1358"/>
      <c r="MMZ518" s="1358"/>
      <c r="MNA518" s="1358"/>
      <c r="MNB518" s="1358"/>
      <c r="MNC518" s="1358"/>
      <c r="MND518" s="1358"/>
      <c r="MNE518" s="1358"/>
      <c r="MNF518" s="1358"/>
      <c r="MNG518" s="1358"/>
      <c r="MNH518" s="1358"/>
      <c r="MNI518" s="1358"/>
      <c r="MNJ518" s="1358"/>
      <c r="MNK518" s="1358"/>
      <c r="MNL518" s="1358"/>
      <c r="MNM518" s="1358"/>
      <c r="MNN518" s="1358"/>
      <c r="MNO518" s="1358"/>
      <c r="MNP518" s="1358"/>
      <c r="MNQ518" s="1358"/>
      <c r="MNR518" s="1358"/>
      <c r="MNS518" s="1358"/>
      <c r="MNT518" s="1358"/>
      <c r="MNU518" s="1358"/>
      <c r="MNV518" s="1358"/>
      <c r="MNW518" s="1358"/>
      <c r="MNX518" s="1358"/>
      <c r="MNY518" s="1358"/>
      <c r="MNZ518" s="1358"/>
      <c r="MOA518" s="1358"/>
      <c r="MOB518" s="1358"/>
      <c r="MOC518" s="1358"/>
      <c r="MOD518" s="1358"/>
      <c r="MOE518" s="1358"/>
      <c r="MOF518" s="1358"/>
      <c r="MOG518" s="1358"/>
      <c r="MOH518" s="1358"/>
      <c r="MOI518" s="1358"/>
      <c r="MOJ518" s="1358"/>
      <c r="MOK518" s="1358"/>
      <c r="MOL518" s="1358"/>
      <c r="MOM518" s="1358"/>
      <c r="MON518" s="1358"/>
      <c r="MOO518" s="1358"/>
      <c r="MOP518" s="1358"/>
      <c r="MOQ518" s="1358"/>
      <c r="MOR518" s="1358"/>
      <c r="MOS518" s="1358"/>
      <c r="MOT518" s="1358"/>
      <c r="MOU518" s="1358"/>
      <c r="MOV518" s="1358"/>
      <c r="MOW518" s="1358"/>
      <c r="MOX518" s="1358"/>
      <c r="MOY518" s="1358"/>
      <c r="MOZ518" s="1358"/>
      <c r="MPA518" s="1358"/>
      <c r="MPB518" s="1358"/>
      <c r="MPC518" s="1358"/>
      <c r="MPD518" s="1358"/>
      <c r="MPE518" s="1358"/>
      <c r="MPF518" s="1358"/>
      <c r="MPG518" s="1358"/>
      <c r="MPH518" s="1358"/>
      <c r="MPI518" s="1358"/>
      <c r="MPJ518" s="1358"/>
      <c r="MPK518" s="1358"/>
      <c r="MPL518" s="1358"/>
      <c r="MPM518" s="1358"/>
      <c r="MPN518" s="1358"/>
      <c r="MPO518" s="1358"/>
      <c r="MPP518" s="1358"/>
      <c r="MPQ518" s="1358"/>
      <c r="MPR518" s="1358"/>
      <c r="MPS518" s="1358"/>
      <c r="MPT518" s="1358"/>
      <c r="MPU518" s="1358"/>
      <c r="MPV518" s="1358"/>
      <c r="MPW518" s="1358"/>
      <c r="MPX518" s="1358"/>
      <c r="MPY518" s="1358"/>
      <c r="MPZ518" s="1358"/>
      <c r="MQA518" s="1358"/>
      <c r="MQB518" s="1358"/>
      <c r="MQC518" s="1358"/>
      <c r="MQD518" s="1358"/>
      <c r="MQE518" s="1358"/>
      <c r="MQF518" s="1358"/>
      <c r="MQG518" s="1358"/>
      <c r="MQH518" s="1358"/>
      <c r="MQI518" s="1358"/>
      <c r="MQJ518" s="1358"/>
      <c r="MQK518" s="1358"/>
      <c r="MQL518" s="1358"/>
      <c r="MQM518" s="1358"/>
      <c r="MQN518" s="1358"/>
      <c r="MQO518" s="1358"/>
      <c r="MQP518" s="1358"/>
      <c r="MQQ518" s="1358"/>
      <c r="MQR518" s="1358"/>
      <c r="MQS518" s="1358"/>
      <c r="MQT518" s="1358"/>
      <c r="MQU518" s="1358"/>
      <c r="MQV518" s="1358"/>
      <c r="MQW518" s="1358"/>
      <c r="MQX518" s="1358"/>
      <c r="MQY518" s="1358"/>
      <c r="MQZ518" s="1358"/>
      <c r="MRA518" s="1358"/>
      <c r="MRB518" s="1358"/>
      <c r="MRC518" s="1358"/>
      <c r="MRD518" s="1358"/>
      <c r="MRE518" s="1358"/>
      <c r="MRF518" s="1358"/>
      <c r="MRG518" s="1358"/>
      <c r="MRH518" s="1358"/>
      <c r="MRI518" s="1358"/>
      <c r="MRJ518" s="1358"/>
      <c r="MRK518" s="1358"/>
      <c r="MRL518" s="1358"/>
      <c r="MRM518" s="1358"/>
      <c r="MRN518" s="1358"/>
      <c r="MRO518" s="1358"/>
      <c r="MRP518" s="1358"/>
      <c r="MRQ518" s="1358"/>
      <c r="MRR518" s="1358"/>
      <c r="MRS518" s="1358"/>
      <c r="MRT518" s="1358"/>
      <c r="MRU518" s="1358"/>
      <c r="MRV518" s="1358"/>
      <c r="MRW518" s="1358"/>
      <c r="MRX518" s="1358"/>
      <c r="MRY518" s="1358"/>
      <c r="MRZ518" s="1358"/>
      <c r="MSA518" s="1358"/>
      <c r="MSB518" s="1358"/>
      <c r="MSC518" s="1358"/>
      <c r="MSD518" s="1358"/>
      <c r="MSE518" s="1358"/>
      <c r="MSF518" s="1358"/>
      <c r="MSG518" s="1358"/>
      <c r="MSH518" s="1358"/>
      <c r="MSI518" s="1358"/>
      <c r="MSJ518" s="1358"/>
      <c r="MSK518" s="1358"/>
      <c r="MSL518" s="1358"/>
      <c r="MSM518" s="1358"/>
      <c r="MSN518" s="1358"/>
      <c r="MSO518" s="1358"/>
      <c r="MSP518" s="1358"/>
      <c r="MSQ518" s="1358"/>
      <c r="MSR518" s="1358"/>
      <c r="MSS518" s="1358"/>
      <c r="MST518" s="1358"/>
      <c r="MSU518" s="1358"/>
      <c r="MSV518" s="1358"/>
      <c r="MSW518" s="1358"/>
      <c r="MSX518" s="1358"/>
      <c r="MSY518" s="1358"/>
      <c r="MSZ518" s="1358"/>
      <c r="MTA518" s="1358"/>
      <c r="MTB518" s="1358"/>
      <c r="MTC518" s="1358"/>
      <c r="MTD518" s="1358"/>
      <c r="MTE518" s="1358"/>
      <c r="MTF518" s="1358"/>
      <c r="MTG518" s="1358"/>
      <c r="MTH518" s="1358"/>
      <c r="MTI518" s="1358"/>
      <c r="MTJ518" s="1358"/>
      <c r="MTK518" s="1358"/>
      <c r="MTL518" s="1358"/>
      <c r="MTM518" s="1358"/>
      <c r="MTN518" s="1358"/>
      <c r="MTO518" s="1358"/>
      <c r="MTP518" s="1358"/>
      <c r="MTQ518" s="1358"/>
      <c r="MTR518" s="1358"/>
      <c r="MTS518" s="1358"/>
      <c r="MTT518" s="1358"/>
      <c r="MTU518" s="1358"/>
      <c r="MTV518" s="1358"/>
      <c r="MTW518" s="1358"/>
      <c r="MTX518" s="1358"/>
      <c r="MTY518" s="1358"/>
      <c r="MTZ518" s="1358"/>
      <c r="MUA518" s="1358"/>
      <c r="MUB518" s="1358"/>
      <c r="MUC518" s="1358"/>
      <c r="MUD518" s="1358"/>
      <c r="MUE518" s="1358"/>
      <c r="MUF518" s="1358"/>
      <c r="MUG518" s="1358"/>
      <c r="MUH518" s="1358"/>
      <c r="MUI518" s="1358"/>
      <c r="MUJ518" s="1358"/>
      <c r="MUK518" s="1358"/>
      <c r="MUL518" s="1358"/>
      <c r="MUM518" s="1358"/>
      <c r="MUN518" s="1358"/>
      <c r="MUO518" s="1358"/>
      <c r="MUP518" s="1358"/>
      <c r="MUQ518" s="1358"/>
      <c r="MUR518" s="1358"/>
      <c r="MUS518" s="1358"/>
      <c r="MUT518" s="1358"/>
      <c r="MUU518" s="1358"/>
      <c r="MUV518" s="1358"/>
      <c r="MUW518" s="1358"/>
      <c r="MUX518" s="1358"/>
      <c r="MUY518" s="1358"/>
      <c r="MUZ518" s="1358"/>
      <c r="MVA518" s="1358"/>
      <c r="MVB518" s="1358"/>
      <c r="MVC518" s="1358"/>
      <c r="MVD518" s="1358"/>
      <c r="MVE518" s="1358"/>
      <c r="MVF518" s="1358"/>
      <c r="MVG518" s="1358"/>
      <c r="MVH518" s="1358"/>
      <c r="MVI518" s="1358"/>
      <c r="MVJ518" s="1358"/>
      <c r="MVK518" s="1358"/>
      <c r="MVL518" s="1358"/>
      <c r="MVM518" s="1358"/>
      <c r="MVN518" s="1358"/>
      <c r="MVO518" s="1358"/>
      <c r="MVP518" s="1358"/>
      <c r="MVQ518" s="1358"/>
      <c r="MVR518" s="1358"/>
      <c r="MVS518" s="1358"/>
      <c r="MVT518" s="1358"/>
      <c r="MVU518" s="1358"/>
      <c r="MVV518" s="1358"/>
      <c r="MVW518" s="1358"/>
      <c r="MVX518" s="1358"/>
      <c r="MVY518" s="1358"/>
      <c r="MVZ518" s="1358"/>
      <c r="MWA518" s="1358"/>
      <c r="MWB518" s="1358"/>
      <c r="MWC518" s="1358"/>
      <c r="MWD518" s="1358"/>
      <c r="MWE518" s="1358"/>
      <c r="MWF518" s="1358"/>
      <c r="MWG518" s="1358"/>
      <c r="MWH518" s="1358"/>
      <c r="MWI518" s="1358"/>
      <c r="MWJ518" s="1358"/>
      <c r="MWK518" s="1358"/>
      <c r="MWL518" s="1358"/>
      <c r="MWM518" s="1358"/>
      <c r="MWN518" s="1358"/>
      <c r="MWO518" s="1358"/>
      <c r="MWP518" s="1358"/>
      <c r="MWQ518" s="1358"/>
      <c r="MWR518" s="1358"/>
      <c r="MWS518" s="1358"/>
      <c r="MWT518" s="1358"/>
      <c r="MWU518" s="1358"/>
      <c r="MWV518" s="1358"/>
      <c r="MWW518" s="1358"/>
      <c r="MWX518" s="1358"/>
      <c r="MWY518" s="1358"/>
      <c r="MWZ518" s="1358"/>
      <c r="MXA518" s="1358"/>
      <c r="MXB518" s="1358"/>
      <c r="MXC518" s="1358"/>
      <c r="MXD518" s="1358"/>
      <c r="MXE518" s="1358"/>
      <c r="MXF518" s="1358"/>
      <c r="MXG518" s="1358"/>
      <c r="MXH518" s="1358"/>
      <c r="MXI518" s="1358"/>
      <c r="MXJ518" s="1358"/>
      <c r="MXK518" s="1358"/>
      <c r="MXL518" s="1358"/>
      <c r="MXM518" s="1358"/>
      <c r="MXN518" s="1358"/>
      <c r="MXO518" s="1358"/>
      <c r="MXP518" s="1358"/>
      <c r="MXQ518" s="1358"/>
      <c r="MXR518" s="1358"/>
      <c r="MXS518" s="1358"/>
      <c r="MXT518" s="1358"/>
      <c r="MXU518" s="1358"/>
      <c r="MXV518" s="1358"/>
      <c r="MXW518" s="1358"/>
      <c r="MXX518" s="1358"/>
      <c r="MXY518" s="1358"/>
      <c r="MXZ518" s="1358"/>
      <c r="MYA518" s="1358"/>
      <c r="MYB518" s="1358"/>
      <c r="MYC518" s="1358"/>
      <c r="MYD518" s="1358"/>
      <c r="MYE518" s="1358"/>
      <c r="MYF518" s="1358"/>
      <c r="MYG518" s="1358"/>
      <c r="MYH518" s="1358"/>
      <c r="MYI518" s="1358"/>
      <c r="MYJ518" s="1358"/>
      <c r="MYK518" s="1358"/>
      <c r="MYL518" s="1358"/>
      <c r="MYM518" s="1358"/>
      <c r="MYN518" s="1358"/>
      <c r="MYO518" s="1358"/>
      <c r="MYP518" s="1358"/>
      <c r="MYQ518" s="1358"/>
      <c r="MYR518" s="1358"/>
      <c r="MYS518" s="1358"/>
      <c r="MYT518" s="1358"/>
      <c r="MYU518" s="1358"/>
      <c r="MYV518" s="1358"/>
      <c r="MYW518" s="1358"/>
      <c r="MYX518" s="1358"/>
      <c r="MYY518" s="1358"/>
      <c r="MYZ518" s="1358"/>
      <c r="MZA518" s="1358"/>
      <c r="MZB518" s="1358"/>
      <c r="MZC518" s="1358"/>
      <c r="MZD518" s="1358"/>
      <c r="MZE518" s="1358"/>
      <c r="MZF518" s="1358"/>
      <c r="MZG518" s="1358"/>
      <c r="MZH518" s="1358"/>
      <c r="MZI518" s="1358"/>
      <c r="MZJ518" s="1358"/>
      <c r="MZK518" s="1358"/>
      <c r="MZL518" s="1358"/>
      <c r="MZM518" s="1358"/>
      <c r="MZN518" s="1358"/>
      <c r="MZO518" s="1358"/>
      <c r="MZP518" s="1358"/>
      <c r="MZQ518" s="1358"/>
      <c r="MZR518" s="1358"/>
      <c r="MZS518" s="1358"/>
      <c r="MZT518" s="1358"/>
      <c r="MZU518" s="1358"/>
      <c r="MZV518" s="1358"/>
      <c r="MZW518" s="1358"/>
      <c r="MZX518" s="1358"/>
      <c r="MZY518" s="1358"/>
      <c r="MZZ518" s="1358"/>
      <c r="NAA518" s="1358"/>
      <c r="NAB518" s="1358"/>
      <c r="NAC518" s="1358"/>
      <c r="NAD518" s="1358"/>
      <c r="NAE518" s="1358"/>
      <c r="NAF518" s="1358"/>
      <c r="NAG518" s="1358"/>
      <c r="NAH518" s="1358"/>
      <c r="NAI518" s="1358"/>
      <c r="NAJ518" s="1358"/>
      <c r="NAK518" s="1358"/>
      <c r="NAL518" s="1358"/>
      <c r="NAM518" s="1358"/>
      <c r="NAN518" s="1358"/>
      <c r="NAO518" s="1358"/>
      <c r="NAP518" s="1358"/>
      <c r="NAQ518" s="1358"/>
      <c r="NAR518" s="1358"/>
      <c r="NAS518" s="1358"/>
      <c r="NAT518" s="1358"/>
      <c r="NAU518" s="1358"/>
      <c r="NAV518" s="1358"/>
      <c r="NAW518" s="1358"/>
      <c r="NAX518" s="1358"/>
      <c r="NAY518" s="1358"/>
      <c r="NAZ518" s="1358"/>
      <c r="NBA518" s="1358"/>
      <c r="NBB518" s="1358"/>
      <c r="NBC518" s="1358"/>
      <c r="NBD518" s="1358"/>
      <c r="NBE518" s="1358"/>
      <c r="NBF518" s="1358"/>
      <c r="NBG518" s="1358"/>
      <c r="NBH518" s="1358"/>
      <c r="NBI518" s="1358"/>
      <c r="NBJ518" s="1358"/>
      <c r="NBK518" s="1358"/>
      <c r="NBL518" s="1358"/>
      <c r="NBM518" s="1358"/>
      <c r="NBN518" s="1358"/>
      <c r="NBO518" s="1358"/>
      <c r="NBP518" s="1358"/>
      <c r="NBQ518" s="1358"/>
      <c r="NBR518" s="1358"/>
      <c r="NBS518" s="1358"/>
      <c r="NBT518" s="1358"/>
      <c r="NBU518" s="1358"/>
      <c r="NBV518" s="1358"/>
      <c r="NBW518" s="1358"/>
      <c r="NBX518" s="1358"/>
      <c r="NBY518" s="1358"/>
      <c r="NBZ518" s="1358"/>
      <c r="NCA518" s="1358"/>
      <c r="NCB518" s="1358"/>
      <c r="NCC518" s="1358"/>
      <c r="NCD518" s="1358"/>
      <c r="NCE518" s="1358"/>
      <c r="NCF518" s="1358"/>
      <c r="NCG518" s="1358"/>
      <c r="NCH518" s="1358"/>
      <c r="NCI518" s="1358"/>
      <c r="NCJ518" s="1358"/>
      <c r="NCK518" s="1358"/>
      <c r="NCL518" s="1358"/>
      <c r="NCM518" s="1358"/>
      <c r="NCN518" s="1358"/>
      <c r="NCO518" s="1358"/>
      <c r="NCP518" s="1358"/>
      <c r="NCQ518" s="1358"/>
      <c r="NCR518" s="1358"/>
      <c r="NCS518" s="1358"/>
      <c r="NCT518" s="1358"/>
      <c r="NCU518" s="1358"/>
      <c r="NCV518" s="1358"/>
      <c r="NCW518" s="1358"/>
      <c r="NCX518" s="1358"/>
      <c r="NCY518" s="1358"/>
      <c r="NCZ518" s="1358"/>
      <c r="NDA518" s="1358"/>
      <c r="NDB518" s="1358"/>
      <c r="NDC518" s="1358"/>
      <c r="NDD518" s="1358"/>
      <c r="NDE518" s="1358"/>
      <c r="NDF518" s="1358"/>
      <c r="NDG518" s="1358"/>
      <c r="NDH518" s="1358"/>
      <c r="NDI518" s="1358"/>
      <c r="NDJ518" s="1358"/>
      <c r="NDK518" s="1358"/>
      <c r="NDL518" s="1358"/>
      <c r="NDM518" s="1358"/>
      <c r="NDN518" s="1358"/>
      <c r="NDO518" s="1358"/>
      <c r="NDP518" s="1358"/>
      <c r="NDQ518" s="1358"/>
      <c r="NDR518" s="1358"/>
      <c r="NDS518" s="1358"/>
      <c r="NDT518" s="1358"/>
      <c r="NDU518" s="1358"/>
      <c r="NDV518" s="1358"/>
      <c r="NDW518" s="1358"/>
      <c r="NDX518" s="1358"/>
      <c r="NDY518" s="1358"/>
      <c r="NDZ518" s="1358"/>
      <c r="NEA518" s="1358"/>
      <c r="NEB518" s="1358"/>
      <c r="NEC518" s="1358"/>
      <c r="NED518" s="1358"/>
      <c r="NEE518" s="1358"/>
      <c r="NEF518" s="1358"/>
      <c r="NEG518" s="1358"/>
      <c r="NEH518" s="1358"/>
      <c r="NEI518" s="1358"/>
      <c r="NEJ518" s="1358"/>
      <c r="NEK518" s="1358"/>
      <c r="NEL518" s="1358"/>
      <c r="NEM518" s="1358"/>
      <c r="NEN518" s="1358"/>
      <c r="NEO518" s="1358"/>
      <c r="NEP518" s="1358"/>
      <c r="NEQ518" s="1358"/>
      <c r="NER518" s="1358"/>
      <c r="NES518" s="1358"/>
      <c r="NET518" s="1358"/>
      <c r="NEU518" s="1358"/>
      <c r="NEV518" s="1358"/>
      <c r="NEW518" s="1358"/>
      <c r="NEX518" s="1358"/>
      <c r="NEY518" s="1358"/>
      <c r="NEZ518" s="1358"/>
      <c r="NFA518" s="1358"/>
      <c r="NFB518" s="1358"/>
      <c r="NFC518" s="1358"/>
      <c r="NFD518" s="1358"/>
      <c r="NFE518" s="1358"/>
      <c r="NFF518" s="1358"/>
      <c r="NFG518" s="1358"/>
      <c r="NFH518" s="1358"/>
      <c r="NFI518" s="1358"/>
      <c r="NFJ518" s="1358"/>
      <c r="NFK518" s="1358"/>
      <c r="NFL518" s="1358"/>
      <c r="NFM518" s="1358"/>
      <c r="NFN518" s="1358"/>
      <c r="NFO518" s="1358"/>
      <c r="NFP518" s="1358"/>
      <c r="NFQ518" s="1358"/>
      <c r="NFR518" s="1358"/>
      <c r="NFS518" s="1358"/>
      <c r="NFT518" s="1358"/>
      <c r="NFU518" s="1358"/>
      <c r="NFV518" s="1358"/>
      <c r="NFW518" s="1358"/>
      <c r="NFX518" s="1358"/>
      <c r="NFY518" s="1358"/>
      <c r="NFZ518" s="1358"/>
      <c r="NGA518" s="1358"/>
      <c r="NGB518" s="1358"/>
      <c r="NGC518" s="1358"/>
      <c r="NGD518" s="1358"/>
      <c r="NGE518" s="1358"/>
      <c r="NGF518" s="1358"/>
      <c r="NGG518" s="1358"/>
      <c r="NGH518" s="1358"/>
      <c r="NGI518" s="1358"/>
      <c r="NGJ518" s="1358"/>
      <c r="NGK518" s="1358"/>
      <c r="NGL518" s="1358"/>
      <c r="NGM518" s="1358"/>
      <c r="NGN518" s="1358"/>
      <c r="NGO518" s="1358"/>
      <c r="NGP518" s="1358"/>
      <c r="NGQ518" s="1358"/>
      <c r="NGR518" s="1358"/>
      <c r="NGS518" s="1358"/>
      <c r="NGT518" s="1358"/>
      <c r="NGU518" s="1358"/>
      <c r="NGV518" s="1358"/>
      <c r="NGW518" s="1358"/>
      <c r="NGX518" s="1358"/>
      <c r="NGY518" s="1358"/>
      <c r="NGZ518" s="1358"/>
      <c r="NHA518" s="1358"/>
      <c r="NHB518" s="1358"/>
      <c r="NHC518" s="1358"/>
      <c r="NHD518" s="1358"/>
      <c r="NHE518" s="1358"/>
      <c r="NHF518" s="1358"/>
      <c r="NHG518" s="1358"/>
      <c r="NHH518" s="1358"/>
      <c r="NHI518" s="1358"/>
      <c r="NHJ518" s="1358"/>
      <c r="NHK518" s="1358"/>
      <c r="NHL518" s="1358"/>
      <c r="NHM518" s="1358"/>
      <c r="NHN518" s="1358"/>
      <c r="NHO518" s="1358"/>
      <c r="NHP518" s="1358"/>
      <c r="NHQ518" s="1358"/>
      <c r="NHR518" s="1358"/>
      <c r="NHS518" s="1358"/>
      <c r="NHT518" s="1358"/>
      <c r="NHU518" s="1358"/>
      <c r="NHV518" s="1358"/>
      <c r="NHW518" s="1358"/>
      <c r="NHX518" s="1358"/>
      <c r="NHY518" s="1358"/>
      <c r="NHZ518" s="1358"/>
      <c r="NIA518" s="1358"/>
      <c r="NIB518" s="1358"/>
      <c r="NIC518" s="1358"/>
      <c r="NID518" s="1358"/>
      <c r="NIE518" s="1358"/>
      <c r="NIF518" s="1358"/>
      <c r="NIG518" s="1358"/>
      <c r="NIH518" s="1358"/>
      <c r="NII518" s="1358"/>
      <c r="NIJ518" s="1358"/>
      <c r="NIK518" s="1358"/>
      <c r="NIL518" s="1358"/>
      <c r="NIM518" s="1358"/>
      <c r="NIN518" s="1358"/>
      <c r="NIO518" s="1358"/>
      <c r="NIP518" s="1358"/>
      <c r="NIQ518" s="1358"/>
      <c r="NIR518" s="1358"/>
      <c r="NIS518" s="1358"/>
      <c r="NIT518" s="1358"/>
      <c r="NIU518" s="1358"/>
      <c r="NIV518" s="1358"/>
      <c r="NIW518" s="1358"/>
      <c r="NIX518" s="1358"/>
      <c r="NIY518" s="1358"/>
      <c r="NIZ518" s="1358"/>
      <c r="NJA518" s="1358"/>
      <c r="NJB518" s="1358"/>
      <c r="NJC518" s="1358"/>
      <c r="NJD518" s="1358"/>
      <c r="NJE518" s="1358"/>
      <c r="NJF518" s="1358"/>
      <c r="NJG518" s="1358"/>
      <c r="NJH518" s="1358"/>
      <c r="NJI518" s="1358"/>
      <c r="NJJ518" s="1358"/>
      <c r="NJK518" s="1358"/>
      <c r="NJL518" s="1358"/>
      <c r="NJM518" s="1358"/>
      <c r="NJN518" s="1358"/>
      <c r="NJO518" s="1358"/>
      <c r="NJP518" s="1358"/>
      <c r="NJQ518" s="1358"/>
      <c r="NJR518" s="1358"/>
      <c r="NJS518" s="1358"/>
      <c r="NJT518" s="1358"/>
      <c r="NJU518" s="1358"/>
      <c r="NJV518" s="1358"/>
      <c r="NJW518" s="1358"/>
      <c r="NJX518" s="1358"/>
      <c r="NJY518" s="1358"/>
      <c r="NJZ518" s="1358"/>
      <c r="NKA518" s="1358"/>
      <c r="NKB518" s="1358"/>
      <c r="NKC518" s="1358"/>
      <c r="NKD518" s="1358"/>
      <c r="NKE518" s="1358"/>
      <c r="NKF518" s="1358"/>
      <c r="NKG518" s="1358"/>
      <c r="NKH518" s="1358"/>
      <c r="NKI518" s="1358"/>
      <c r="NKJ518" s="1358"/>
      <c r="NKK518" s="1358"/>
      <c r="NKL518" s="1358"/>
      <c r="NKM518" s="1358"/>
      <c r="NKN518" s="1358"/>
      <c r="NKO518" s="1358"/>
      <c r="NKP518" s="1358"/>
      <c r="NKQ518" s="1358"/>
      <c r="NKR518" s="1358"/>
      <c r="NKS518" s="1358"/>
      <c r="NKT518" s="1358"/>
      <c r="NKU518" s="1358"/>
      <c r="NKV518" s="1358"/>
      <c r="NKW518" s="1358"/>
      <c r="NKX518" s="1358"/>
      <c r="NKY518" s="1358"/>
      <c r="NKZ518" s="1358"/>
      <c r="NLA518" s="1358"/>
      <c r="NLB518" s="1358"/>
      <c r="NLC518" s="1358"/>
      <c r="NLD518" s="1358"/>
      <c r="NLE518" s="1358"/>
      <c r="NLF518" s="1358"/>
      <c r="NLG518" s="1358"/>
      <c r="NLH518" s="1358"/>
      <c r="NLI518" s="1358"/>
      <c r="NLJ518" s="1358"/>
      <c r="NLK518" s="1358"/>
      <c r="NLL518" s="1358"/>
      <c r="NLM518" s="1358"/>
      <c r="NLN518" s="1358"/>
      <c r="NLO518" s="1358"/>
      <c r="NLP518" s="1358"/>
      <c r="NLQ518" s="1358"/>
      <c r="NLR518" s="1358"/>
      <c r="NLS518" s="1358"/>
      <c r="NLT518" s="1358"/>
      <c r="NLU518" s="1358"/>
      <c r="NLV518" s="1358"/>
      <c r="NLW518" s="1358"/>
      <c r="NLX518" s="1358"/>
      <c r="NLY518" s="1358"/>
      <c r="NLZ518" s="1358"/>
      <c r="NMA518" s="1358"/>
      <c r="NMB518" s="1358"/>
      <c r="NMC518" s="1358"/>
      <c r="NMD518" s="1358"/>
      <c r="NME518" s="1358"/>
      <c r="NMF518" s="1358"/>
      <c r="NMG518" s="1358"/>
      <c r="NMH518" s="1358"/>
      <c r="NMI518" s="1358"/>
      <c r="NMJ518" s="1358"/>
      <c r="NMK518" s="1358"/>
      <c r="NML518" s="1358"/>
      <c r="NMM518" s="1358"/>
      <c r="NMN518" s="1358"/>
      <c r="NMO518" s="1358"/>
      <c r="NMP518" s="1358"/>
      <c r="NMQ518" s="1358"/>
      <c r="NMR518" s="1358"/>
      <c r="NMS518" s="1358"/>
      <c r="NMT518" s="1358"/>
      <c r="NMU518" s="1358"/>
      <c r="NMV518" s="1358"/>
      <c r="NMW518" s="1358"/>
      <c r="NMX518" s="1358"/>
      <c r="NMY518" s="1358"/>
      <c r="NMZ518" s="1358"/>
      <c r="NNA518" s="1358"/>
      <c r="NNB518" s="1358"/>
      <c r="NNC518" s="1358"/>
      <c r="NND518" s="1358"/>
      <c r="NNE518" s="1358"/>
      <c r="NNF518" s="1358"/>
      <c r="NNG518" s="1358"/>
      <c r="NNH518" s="1358"/>
      <c r="NNI518" s="1358"/>
      <c r="NNJ518" s="1358"/>
      <c r="NNK518" s="1358"/>
      <c r="NNL518" s="1358"/>
      <c r="NNM518" s="1358"/>
      <c r="NNN518" s="1358"/>
      <c r="NNO518" s="1358"/>
      <c r="NNP518" s="1358"/>
      <c r="NNQ518" s="1358"/>
      <c r="NNR518" s="1358"/>
      <c r="NNS518" s="1358"/>
      <c r="NNT518" s="1358"/>
      <c r="NNU518" s="1358"/>
      <c r="NNV518" s="1358"/>
      <c r="NNW518" s="1358"/>
      <c r="NNX518" s="1358"/>
      <c r="NNY518" s="1358"/>
      <c r="NNZ518" s="1358"/>
      <c r="NOA518" s="1358"/>
      <c r="NOB518" s="1358"/>
      <c r="NOC518" s="1358"/>
      <c r="NOD518" s="1358"/>
      <c r="NOE518" s="1358"/>
      <c r="NOF518" s="1358"/>
      <c r="NOG518" s="1358"/>
      <c r="NOH518" s="1358"/>
      <c r="NOI518" s="1358"/>
      <c r="NOJ518" s="1358"/>
      <c r="NOK518" s="1358"/>
      <c r="NOL518" s="1358"/>
      <c r="NOM518" s="1358"/>
      <c r="NON518" s="1358"/>
      <c r="NOO518" s="1358"/>
      <c r="NOP518" s="1358"/>
      <c r="NOQ518" s="1358"/>
      <c r="NOR518" s="1358"/>
      <c r="NOS518" s="1358"/>
      <c r="NOT518" s="1358"/>
      <c r="NOU518" s="1358"/>
      <c r="NOV518" s="1358"/>
      <c r="NOW518" s="1358"/>
      <c r="NOX518" s="1358"/>
      <c r="NOY518" s="1358"/>
      <c r="NOZ518" s="1358"/>
      <c r="NPA518" s="1358"/>
      <c r="NPB518" s="1358"/>
      <c r="NPC518" s="1358"/>
      <c r="NPD518" s="1358"/>
      <c r="NPE518" s="1358"/>
      <c r="NPF518" s="1358"/>
      <c r="NPG518" s="1358"/>
      <c r="NPH518" s="1358"/>
      <c r="NPI518" s="1358"/>
      <c r="NPJ518" s="1358"/>
      <c r="NPK518" s="1358"/>
      <c r="NPL518" s="1358"/>
      <c r="NPM518" s="1358"/>
      <c r="NPN518" s="1358"/>
      <c r="NPO518" s="1358"/>
      <c r="NPP518" s="1358"/>
      <c r="NPQ518" s="1358"/>
      <c r="NPR518" s="1358"/>
      <c r="NPS518" s="1358"/>
      <c r="NPT518" s="1358"/>
      <c r="NPU518" s="1358"/>
      <c r="NPV518" s="1358"/>
      <c r="NPW518" s="1358"/>
      <c r="NPX518" s="1358"/>
      <c r="NPY518" s="1358"/>
      <c r="NPZ518" s="1358"/>
      <c r="NQA518" s="1358"/>
      <c r="NQB518" s="1358"/>
      <c r="NQC518" s="1358"/>
      <c r="NQD518" s="1358"/>
      <c r="NQE518" s="1358"/>
      <c r="NQF518" s="1358"/>
      <c r="NQG518" s="1358"/>
      <c r="NQH518" s="1358"/>
      <c r="NQI518" s="1358"/>
      <c r="NQJ518" s="1358"/>
      <c r="NQK518" s="1358"/>
      <c r="NQL518" s="1358"/>
      <c r="NQM518" s="1358"/>
      <c r="NQN518" s="1358"/>
      <c r="NQO518" s="1358"/>
      <c r="NQP518" s="1358"/>
      <c r="NQQ518" s="1358"/>
      <c r="NQR518" s="1358"/>
      <c r="NQS518" s="1358"/>
      <c r="NQT518" s="1358"/>
      <c r="NQU518" s="1358"/>
      <c r="NQV518" s="1358"/>
      <c r="NQW518" s="1358"/>
      <c r="NQX518" s="1358"/>
      <c r="NQY518" s="1358"/>
      <c r="NQZ518" s="1358"/>
      <c r="NRA518" s="1358"/>
      <c r="NRB518" s="1358"/>
      <c r="NRC518" s="1358"/>
      <c r="NRD518" s="1358"/>
      <c r="NRE518" s="1358"/>
      <c r="NRF518" s="1358"/>
      <c r="NRG518" s="1358"/>
      <c r="NRH518" s="1358"/>
      <c r="NRI518" s="1358"/>
      <c r="NRJ518" s="1358"/>
      <c r="NRK518" s="1358"/>
      <c r="NRL518" s="1358"/>
      <c r="NRM518" s="1358"/>
      <c r="NRN518" s="1358"/>
      <c r="NRO518" s="1358"/>
      <c r="NRP518" s="1358"/>
      <c r="NRQ518" s="1358"/>
      <c r="NRR518" s="1358"/>
      <c r="NRS518" s="1358"/>
      <c r="NRT518" s="1358"/>
      <c r="NRU518" s="1358"/>
      <c r="NRV518" s="1358"/>
      <c r="NRW518" s="1358"/>
      <c r="NRX518" s="1358"/>
      <c r="NRY518" s="1358"/>
      <c r="NRZ518" s="1358"/>
      <c r="NSA518" s="1358"/>
      <c r="NSB518" s="1358"/>
      <c r="NSC518" s="1358"/>
      <c r="NSD518" s="1358"/>
      <c r="NSE518" s="1358"/>
      <c r="NSF518" s="1358"/>
      <c r="NSG518" s="1358"/>
      <c r="NSH518" s="1358"/>
      <c r="NSI518" s="1358"/>
      <c r="NSJ518" s="1358"/>
      <c r="NSK518" s="1358"/>
      <c r="NSL518" s="1358"/>
      <c r="NSM518" s="1358"/>
      <c r="NSN518" s="1358"/>
      <c r="NSO518" s="1358"/>
      <c r="NSP518" s="1358"/>
      <c r="NSQ518" s="1358"/>
      <c r="NSR518" s="1358"/>
      <c r="NSS518" s="1358"/>
      <c r="NST518" s="1358"/>
      <c r="NSU518" s="1358"/>
      <c r="NSV518" s="1358"/>
      <c r="NSW518" s="1358"/>
      <c r="NSX518" s="1358"/>
      <c r="NSY518" s="1358"/>
      <c r="NSZ518" s="1358"/>
      <c r="NTA518" s="1358"/>
      <c r="NTB518" s="1358"/>
      <c r="NTC518" s="1358"/>
      <c r="NTD518" s="1358"/>
      <c r="NTE518" s="1358"/>
      <c r="NTF518" s="1358"/>
      <c r="NTG518" s="1358"/>
      <c r="NTH518" s="1358"/>
      <c r="NTI518" s="1358"/>
      <c r="NTJ518" s="1358"/>
      <c r="NTK518" s="1358"/>
      <c r="NTL518" s="1358"/>
      <c r="NTM518" s="1358"/>
      <c r="NTN518" s="1358"/>
      <c r="NTO518" s="1358"/>
      <c r="NTP518" s="1358"/>
      <c r="NTQ518" s="1358"/>
      <c r="NTR518" s="1358"/>
      <c r="NTS518" s="1358"/>
      <c r="NTT518" s="1358"/>
      <c r="NTU518" s="1358"/>
      <c r="NTV518" s="1358"/>
      <c r="NTW518" s="1358"/>
      <c r="NTX518" s="1358"/>
      <c r="NTY518" s="1358"/>
      <c r="NTZ518" s="1358"/>
      <c r="NUA518" s="1358"/>
      <c r="NUB518" s="1358"/>
      <c r="NUC518" s="1358"/>
      <c r="NUD518" s="1358"/>
      <c r="NUE518" s="1358"/>
      <c r="NUF518" s="1358"/>
      <c r="NUG518" s="1358"/>
      <c r="NUH518" s="1358"/>
      <c r="NUI518" s="1358"/>
      <c r="NUJ518" s="1358"/>
      <c r="NUK518" s="1358"/>
      <c r="NUL518" s="1358"/>
      <c r="NUM518" s="1358"/>
      <c r="NUN518" s="1358"/>
      <c r="NUO518" s="1358"/>
      <c r="NUP518" s="1358"/>
      <c r="NUQ518" s="1358"/>
      <c r="NUR518" s="1358"/>
      <c r="NUS518" s="1358"/>
      <c r="NUT518" s="1358"/>
      <c r="NUU518" s="1358"/>
      <c r="NUV518" s="1358"/>
      <c r="NUW518" s="1358"/>
      <c r="NUX518" s="1358"/>
      <c r="NUY518" s="1358"/>
      <c r="NUZ518" s="1358"/>
      <c r="NVA518" s="1358"/>
      <c r="NVB518" s="1358"/>
      <c r="NVC518" s="1358"/>
      <c r="NVD518" s="1358"/>
      <c r="NVE518" s="1358"/>
      <c r="NVF518" s="1358"/>
      <c r="NVG518" s="1358"/>
      <c r="NVH518" s="1358"/>
      <c r="NVI518" s="1358"/>
      <c r="NVJ518" s="1358"/>
      <c r="NVK518" s="1358"/>
      <c r="NVL518" s="1358"/>
      <c r="NVM518" s="1358"/>
      <c r="NVN518" s="1358"/>
      <c r="NVO518" s="1358"/>
      <c r="NVP518" s="1358"/>
      <c r="NVQ518" s="1358"/>
      <c r="NVR518" s="1358"/>
      <c r="NVS518" s="1358"/>
      <c r="NVT518" s="1358"/>
      <c r="NVU518" s="1358"/>
      <c r="NVV518" s="1358"/>
      <c r="NVW518" s="1358"/>
      <c r="NVX518" s="1358"/>
      <c r="NVY518" s="1358"/>
      <c r="NVZ518" s="1358"/>
      <c r="NWA518" s="1358"/>
      <c r="NWB518" s="1358"/>
      <c r="NWC518" s="1358"/>
      <c r="NWD518" s="1358"/>
      <c r="NWE518" s="1358"/>
      <c r="NWF518" s="1358"/>
      <c r="NWG518" s="1358"/>
      <c r="NWH518" s="1358"/>
      <c r="NWI518" s="1358"/>
      <c r="NWJ518" s="1358"/>
      <c r="NWK518" s="1358"/>
      <c r="NWL518" s="1358"/>
      <c r="NWM518" s="1358"/>
      <c r="NWN518" s="1358"/>
      <c r="NWO518" s="1358"/>
      <c r="NWP518" s="1358"/>
      <c r="NWQ518" s="1358"/>
      <c r="NWR518" s="1358"/>
      <c r="NWS518" s="1358"/>
      <c r="NWT518" s="1358"/>
      <c r="NWU518" s="1358"/>
      <c r="NWV518" s="1358"/>
      <c r="NWW518" s="1358"/>
      <c r="NWX518" s="1358"/>
      <c r="NWY518" s="1358"/>
      <c r="NWZ518" s="1358"/>
      <c r="NXA518" s="1358"/>
      <c r="NXB518" s="1358"/>
      <c r="NXC518" s="1358"/>
      <c r="NXD518" s="1358"/>
      <c r="NXE518" s="1358"/>
      <c r="NXF518" s="1358"/>
      <c r="NXG518" s="1358"/>
      <c r="NXH518" s="1358"/>
      <c r="NXI518" s="1358"/>
      <c r="NXJ518" s="1358"/>
      <c r="NXK518" s="1358"/>
      <c r="NXL518" s="1358"/>
      <c r="NXM518" s="1358"/>
      <c r="NXN518" s="1358"/>
      <c r="NXO518" s="1358"/>
      <c r="NXP518" s="1358"/>
      <c r="NXQ518" s="1358"/>
      <c r="NXR518" s="1358"/>
      <c r="NXS518" s="1358"/>
      <c r="NXT518" s="1358"/>
      <c r="NXU518" s="1358"/>
      <c r="NXV518" s="1358"/>
      <c r="NXW518" s="1358"/>
      <c r="NXX518" s="1358"/>
      <c r="NXY518" s="1358"/>
      <c r="NXZ518" s="1358"/>
      <c r="NYA518" s="1358"/>
      <c r="NYB518" s="1358"/>
      <c r="NYC518" s="1358"/>
      <c r="NYD518" s="1358"/>
      <c r="NYE518" s="1358"/>
      <c r="NYF518" s="1358"/>
      <c r="NYG518" s="1358"/>
      <c r="NYH518" s="1358"/>
      <c r="NYI518" s="1358"/>
      <c r="NYJ518" s="1358"/>
      <c r="NYK518" s="1358"/>
      <c r="NYL518" s="1358"/>
      <c r="NYM518" s="1358"/>
      <c r="NYN518" s="1358"/>
      <c r="NYO518" s="1358"/>
      <c r="NYP518" s="1358"/>
      <c r="NYQ518" s="1358"/>
      <c r="NYR518" s="1358"/>
      <c r="NYS518" s="1358"/>
      <c r="NYT518" s="1358"/>
      <c r="NYU518" s="1358"/>
      <c r="NYV518" s="1358"/>
      <c r="NYW518" s="1358"/>
      <c r="NYX518" s="1358"/>
      <c r="NYY518" s="1358"/>
      <c r="NYZ518" s="1358"/>
      <c r="NZA518" s="1358"/>
      <c r="NZB518" s="1358"/>
      <c r="NZC518" s="1358"/>
      <c r="NZD518" s="1358"/>
      <c r="NZE518" s="1358"/>
      <c r="NZF518" s="1358"/>
      <c r="NZG518" s="1358"/>
      <c r="NZH518" s="1358"/>
      <c r="NZI518" s="1358"/>
      <c r="NZJ518" s="1358"/>
      <c r="NZK518" s="1358"/>
      <c r="NZL518" s="1358"/>
      <c r="NZM518" s="1358"/>
      <c r="NZN518" s="1358"/>
      <c r="NZO518" s="1358"/>
      <c r="NZP518" s="1358"/>
      <c r="NZQ518" s="1358"/>
      <c r="NZR518" s="1358"/>
      <c r="NZS518" s="1358"/>
      <c r="NZT518" s="1358"/>
      <c r="NZU518" s="1358"/>
      <c r="NZV518" s="1358"/>
      <c r="NZW518" s="1358"/>
      <c r="NZX518" s="1358"/>
      <c r="NZY518" s="1358"/>
      <c r="NZZ518" s="1358"/>
      <c r="OAA518" s="1358"/>
      <c r="OAB518" s="1358"/>
      <c r="OAC518" s="1358"/>
      <c r="OAD518" s="1358"/>
      <c r="OAE518" s="1358"/>
      <c r="OAF518" s="1358"/>
      <c r="OAG518" s="1358"/>
      <c r="OAH518" s="1358"/>
      <c r="OAI518" s="1358"/>
      <c r="OAJ518" s="1358"/>
      <c r="OAK518" s="1358"/>
      <c r="OAL518" s="1358"/>
      <c r="OAM518" s="1358"/>
      <c r="OAN518" s="1358"/>
      <c r="OAO518" s="1358"/>
      <c r="OAP518" s="1358"/>
      <c r="OAQ518" s="1358"/>
      <c r="OAR518" s="1358"/>
      <c r="OAS518" s="1358"/>
      <c r="OAT518" s="1358"/>
      <c r="OAU518" s="1358"/>
      <c r="OAV518" s="1358"/>
      <c r="OAW518" s="1358"/>
      <c r="OAX518" s="1358"/>
      <c r="OAY518" s="1358"/>
      <c r="OAZ518" s="1358"/>
      <c r="OBA518" s="1358"/>
      <c r="OBB518" s="1358"/>
      <c r="OBC518" s="1358"/>
      <c r="OBD518" s="1358"/>
      <c r="OBE518" s="1358"/>
      <c r="OBF518" s="1358"/>
      <c r="OBG518" s="1358"/>
      <c r="OBH518" s="1358"/>
      <c r="OBI518" s="1358"/>
      <c r="OBJ518" s="1358"/>
      <c r="OBK518" s="1358"/>
      <c r="OBL518" s="1358"/>
      <c r="OBM518" s="1358"/>
      <c r="OBN518" s="1358"/>
      <c r="OBO518" s="1358"/>
      <c r="OBP518" s="1358"/>
      <c r="OBQ518" s="1358"/>
      <c r="OBR518" s="1358"/>
      <c r="OBS518" s="1358"/>
      <c r="OBT518" s="1358"/>
      <c r="OBU518" s="1358"/>
      <c r="OBV518" s="1358"/>
      <c r="OBW518" s="1358"/>
      <c r="OBX518" s="1358"/>
      <c r="OBY518" s="1358"/>
      <c r="OBZ518" s="1358"/>
      <c r="OCA518" s="1358"/>
      <c r="OCB518" s="1358"/>
      <c r="OCC518" s="1358"/>
      <c r="OCD518" s="1358"/>
      <c r="OCE518" s="1358"/>
      <c r="OCF518" s="1358"/>
      <c r="OCG518" s="1358"/>
      <c r="OCH518" s="1358"/>
      <c r="OCI518" s="1358"/>
      <c r="OCJ518" s="1358"/>
      <c r="OCK518" s="1358"/>
      <c r="OCL518" s="1358"/>
      <c r="OCM518" s="1358"/>
      <c r="OCN518" s="1358"/>
      <c r="OCO518" s="1358"/>
      <c r="OCP518" s="1358"/>
      <c r="OCQ518" s="1358"/>
      <c r="OCR518" s="1358"/>
      <c r="OCS518" s="1358"/>
      <c r="OCT518" s="1358"/>
      <c r="OCU518" s="1358"/>
      <c r="OCV518" s="1358"/>
      <c r="OCW518" s="1358"/>
      <c r="OCX518" s="1358"/>
      <c r="OCY518" s="1358"/>
      <c r="OCZ518" s="1358"/>
      <c r="ODA518" s="1358"/>
      <c r="ODB518" s="1358"/>
      <c r="ODC518" s="1358"/>
      <c r="ODD518" s="1358"/>
      <c r="ODE518" s="1358"/>
      <c r="ODF518" s="1358"/>
      <c r="ODG518" s="1358"/>
      <c r="ODH518" s="1358"/>
      <c r="ODI518" s="1358"/>
      <c r="ODJ518" s="1358"/>
      <c r="ODK518" s="1358"/>
      <c r="ODL518" s="1358"/>
      <c r="ODM518" s="1358"/>
      <c r="ODN518" s="1358"/>
      <c r="ODO518" s="1358"/>
      <c r="ODP518" s="1358"/>
      <c r="ODQ518" s="1358"/>
      <c r="ODR518" s="1358"/>
      <c r="ODS518" s="1358"/>
      <c r="ODT518" s="1358"/>
      <c r="ODU518" s="1358"/>
      <c r="ODV518" s="1358"/>
      <c r="ODW518" s="1358"/>
      <c r="ODX518" s="1358"/>
      <c r="ODY518" s="1358"/>
      <c r="ODZ518" s="1358"/>
      <c r="OEA518" s="1358"/>
      <c r="OEB518" s="1358"/>
      <c r="OEC518" s="1358"/>
      <c r="OED518" s="1358"/>
      <c r="OEE518" s="1358"/>
      <c r="OEF518" s="1358"/>
      <c r="OEG518" s="1358"/>
      <c r="OEH518" s="1358"/>
      <c r="OEI518" s="1358"/>
      <c r="OEJ518" s="1358"/>
      <c r="OEK518" s="1358"/>
      <c r="OEL518" s="1358"/>
      <c r="OEM518" s="1358"/>
      <c r="OEN518" s="1358"/>
      <c r="OEO518" s="1358"/>
      <c r="OEP518" s="1358"/>
      <c r="OEQ518" s="1358"/>
      <c r="OER518" s="1358"/>
      <c r="OES518" s="1358"/>
      <c r="OET518" s="1358"/>
      <c r="OEU518" s="1358"/>
      <c r="OEV518" s="1358"/>
      <c r="OEW518" s="1358"/>
      <c r="OEX518" s="1358"/>
      <c r="OEY518" s="1358"/>
      <c r="OEZ518" s="1358"/>
      <c r="OFA518" s="1358"/>
      <c r="OFB518" s="1358"/>
      <c r="OFC518" s="1358"/>
      <c r="OFD518" s="1358"/>
      <c r="OFE518" s="1358"/>
      <c r="OFF518" s="1358"/>
      <c r="OFG518" s="1358"/>
      <c r="OFH518" s="1358"/>
      <c r="OFI518" s="1358"/>
      <c r="OFJ518" s="1358"/>
      <c r="OFK518" s="1358"/>
      <c r="OFL518" s="1358"/>
      <c r="OFM518" s="1358"/>
      <c r="OFN518" s="1358"/>
      <c r="OFO518" s="1358"/>
      <c r="OFP518" s="1358"/>
      <c r="OFQ518" s="1358"/>
      <c r="OFR518" s="1358"/>
      <c r="OFS518" s="1358"/>
      <c r="OFT518" s="1358"/>
      <c r="OFU518" s="1358"/>
      <c r="OFV518" s="1358"/>
      <c r="OFW518" s="1358"/>
      <c r="OFX518" s="1358"/>
      <c r="OFY518" s="1358"/>
      <c r="OFZ518" s="1358"/>
      <c r="OGA518" s="1358"/>
      <c r="OGB518" s="1358"/>
      <c r="OGC518" s="1358"/>
      <c r="OGD518" s="1358"/>
      <c r="OGE518" s="1358"/>
      <c r="OGF518" s="1358"/>
      <c r="OGG518" s="1358"/>
      <c r="OGH518" s="1358"/>
      <c r="OGI518" s="1358"/>
      <c r="OGJ518" s="1358"/>
      <c r="OGK518" s="1358"/>
      <c r="OGL518" s="1358"/>
      <c r="OGM518" s="1358"/>
      <c r="OGN518" s="1358"/>
      <c r="OGO518" s="1358"/>
      <c r="OGP518" s="1358"/>
      <c r="OGQ518" s="1358"/>
      <c r="OGR518" s="1358"/>
      <c r="OGS518" s="1358"/>
      <c r="OGT518" s="1358"/>
      <c r="OGU518" s="1358"/>
      <c r="OGV518" s="1358"/>
      <c r="OGW518" s="1358"/>
      <c r="OGX518" s="1358"/>
      <c r="OGY518" s="1358"/>
      <c r="OGZ518" s="1358"/>
      <c r="OHA518" s="1358"/>
      <c r="OHB518" s="1358"/>
      <c r="OHC518" s="1358"/>
      <c r="OHD518" s="1358"/>
      <c r="OHE518" s="1358"/>
      <c r="OHF518" s="1358"/>
      <c r="OHG518" s="1358"/>
      <c r="OHH518" s="1358"/>
      <c r="OHI518" s="1358"/>
      <c r="OHJ518" s="1358"/>
      <c r="OHK518" s="1358"/>
      <c r="OHL518" s="1358"/>
      <c r="OHM518" s="1358"/>
      <c r="OHN518" s="1358"/>
      <c r="OHO518" s="1358"/>
      <c r="OHP518" s="1358"/>
      <c r="OHQ518" s="1358"/>
      <c r="OHR518" s="1358"/>
      <c r="OHS518" s="1358"/>
      <c r="OHT518" s="1358"/>
      <c r="OHU518" s="1358"/>
      <c r="OHV518" s="1358"/>
      <c r="OHW518" s="1358"/>
      <c r="OHX518" s="1358"/>
      <c r="OHY518" s="1358"/>
      <c r="OHZ518" s="1358"/>
      <c r="OIA518" s="1358"/>
      <c r="OIB518" s="1358"/>
      <c r="OIC518" s="1358"/>
      <c r="OID518" s="1358"/>
      <c r="OIE518" s="1358"/>
      <c r="OIF518" s="1358"/>
      <c r="OIG518" s="1358"/>
      <c r="OIH518" s="1358"/>
      <c r="OII518" s="1358"/>
      <c r="OIJ518" s="1358"/>
      <c r="OIK518" s="1358"/>
      <c r="OIL518" s="1358"/>
      <c r="OIM518" s="1358"/>
      <c r="OIN518" s="1358"/>
      <c r="OIO518" s="1358"/>
      <c r="OIP518" s="1358"/>
      <c r="OIQ518" s="1358"/>
      <c r="OIR518" s="1358"/>
      <c r="OIS518" s="1358"/>
      <c r="OIT518" s="1358"/>
      <c r="OIU518" s="1358"/>
      <c r="OIV518" s="1358"/>
      <c r="OIW518" s="1358"/>
      <c r="OIX518" s="1358"/>
      <c r="OIY518" s="1358"/>
      <c r="OIZ518" s="1358"/>
      <c r="OJA518" s="1358"/>
      <c r="OJB518" s="1358"/>
      <c r="OJC518" s="1358"/>
      <c r="OJD518" s="1358"/>
      <c r="OJE518" s="1358"/>
      <c r="OJF518" s="1358"/>
      <c r="OJG518" s="1358"/>
      <c r="OJH518" s="1358"/>
      <c r="OJI518" s="1358"/>
      <c r="OJJ518" s="1358"/>
      <c r="OJK518" s="1358"/>
      <c r="OJL518" s="1358"/>
      <c r="OJM518" s="1358"/>
      <c r="OJN518" s="1358"/>
      <c r="OJO518" s="1358"/>
      <c r="OJP518" s="1358"/>
      <c r="OJQ518" s="1358"/>
      <c r="OJR518" s="1358"/>
      <c r="OJS518" s="1358"/>
      <c r="OJT518" s="1358"/>
      <c r="OJU518" s="1358"/>
      <c r="OJV518" s="1358"/>
      <c r="OJW518" s="1358"/>
      <c r="OJX518" s="1358"/>
      <c r="OJY518" s="1358"/>
      <c r="OJZ518" s="1358"/>
      <c r="OKA518" s="1358"/>
      <c r="OKB518" s="1358"/>
      <c r="OKC518" s="1358"/>
      <c r="OKD518" s="1358"/>
      <c r="OKE518" s="1358"/>
      <c r="OKF518" s="1358"/>
      <c r="OKG518" s="1358"/>
      <c r="OKH518" s="1358"/>
      <c r="OKI518" s="1358"/>
      <c r="OKJ518" s="1358"/>
      <c r="OKK518" s="1358"/>
      <c r="OKL518" s="1358"/>
      <c r="OKM518" s="1358"/>
      <c r="OKN518" s="1358"/>
      <c r="OKO518" s="1358"/>
      <c r="OKP518" s="1358"/>
      <c r="OKQ518" s="1358"/>
      <c r="OKR518" s="1358"/>
      <c r="OKS518" s="1358"/>
      <c r="OKT518" s="1358"/>
      <c r="OKU518" s="1358"/>
      <c r="OKV518" s="1358"/>
      <c r="OKW518" s="1358"/>
      <c r="OKX518" s="1358"/>
      <c r="OKY518" s="1358"/>
      <c r="OKZ518" s="1358"/>
      <c r="OLA518" s="1358"/>
      <c r="OLB518" s="1358"/>
      <c r="OLC518" s="1358"/>
      <c r="OLD518" s="1358"/>
      <c r="OLE518" s="1358"/>
      <c r="OLF518" s="1358"/>
      <c r="OLG518" s="1358"/>
      <c r="OLH518" s="1358"/>
      <c r="OLI518" s="1358"/>
      <c r="OLJ518" s="1358"/>
      <c r="OLK518" s="1358"/>
      <c r="OLL518" s="1358"/>
      <c r="OLM518" s="1358"/>
      <c r="OLN518" s="1358"/>
      <c r="OLO518" s="1358"/>
      <c r="OLP518" s="1358"/>
      <c r="OLQ518" s="1358"/>
      <c r="OLR518" s="1358"/>
      <c r="OLS518" s="1358"/>
      <c r="OLT518" s="1358"/>
      <c r="OLU518" s="1358"/>
      <c r="OLV518" s="1358"/>
      <c r="OLW518" s="1358"/>
      <c r="OLX518" s="1358"/>
      <c r="OLY518" s="1358"/>
      <c r="OLZ518" s="1358"/>
      <c r="OMA518" s="1358"/>
      <c r="OMB518" s="1358"/>
      <c r="OMC518" s="1358"/>
      <c r="OMD518" s="1358"/>
      <c r="OME518" s="1358"/>
      <c r="OMF518" s="1358"/>
      <c r="OMG518" s="1358"/>
      <c r="OMH518" s="1358"/>
      <c r="OMI518" s="1358"/>
      <c r="OMJ518" s="1358"/>
      <c r="OMK518" s="1358"/>
      <c r="OML518" s="1358"/>
      <c r="OMM518" s="1358"/>
      <c r="OMN518" s="1358"/>
      <c r="OMO518" s="1358"/>
      <c r="OMP518" s="1358"/>
      <c r="OMQ518" s="1358"/>
      <c r="OMR518" s="1358"/>
      <c r="OMS518" s="1358"/>
      <c r="OMT518" s="1358"/>
      <c r="OMU518" s="1358"/>
      <c r="OMV518" s="1358"/>
      <c r="OMW518" s="1358"/>
      <c r="OMX518" s="1358"/>
      <c r="OMY518" s="1358"/>
      <c r="OMZ518" s="1358"/>
      <c r="ONA518" s="1358"/>
      <c r="ONB518" s="1358"/>
      <c r="ONC518" s="1358"/>
      <c r="OND518" s="1358"/>
      <c r="ONE518" s="1358"/>
      <c r="ONF518" s="1358"/>
      <c r="ONG518" s="1358"/>
      <c r="ONH518" s="1358"/>
      <c r="ONI518" s="1358"/>
      <c r="ONJ518" s="1358"/>
      <c r="ONK518" s="1358"/>
      <c r="ONL518" s="1358"/>
      <c r="ONM518" s="1358"/>
      <c r="ONN518" s="1358"/>
      <c r="ONO518" s="1358"/>
      <c r="ONP518" s="1358"/>
      <c r="ONQ518" s="1358"/>
      <c r="ONR518" s="1358"/>
      <c r="ONS518" s="1358"/>
      <c r="ONT518" s="1358"/>
      <c r="ONU518" s="1358"/>
      <c r="ONV518" s="1358"/>
      <c r="ONW518" s="1358"/>
      <c r="ONX518" s="1358"/>
      <c r="ONY518" s="1358"/>
      <c r="ONZ518" s="1358"/>
      <c r="OOA518" s="1358"/>
      <c r="OOB518" s="1358"/>
      <c r="OOC518" s="1358"/>
      <c r="OOD518" s="1358"/>
      <c r="OOE518" s="1358"/>
      <c r="OOF518" s="1358"/>
      <c r="OOG518" s="1358"/>
      <c r="OOH518" s="1358"/>
      <c r="OOI518" s="1358"/>
      <c r="OOJ518" s="1358"/>
      <c r="OOK518" s="1358"/>
      <c r="OOL518" s="1358"/>
      <c r="OOM518" s="1358"/>
      <c r="OON518" s="1358"/>
      <c r="OOO518" s="1358"/>
      <c r="OOP518" s="1358"/>
      <c r="OOQ518" s="1358"/>
      <c r="OOR518" s="1358"/>
      <c r="OOS518" s="1358"/>
      <c r="OOT518" s="1358"/>
      <c r="OOU518" s="1358"/>
      <c r="OOV518" s="1358"/>
      <c r="OOW518" s="1358"/>
      <c r="OOX518" s="1358"/>
      <c r="OOY518" s="1358"/>
      <c r="OOZ518" s="1358"/>
      <c r="OPA518" s="1358"/>
      <c r="OPB518" s="1358"/>
      <c r="OPC518" s="1358"/>
      <c r="OPD518" s="1358"/>
      <c r="OPE518" s="1358"/>
      <c r="OPF518" s="1358"/>
      <c r="OPG518" s="1358"/>
      <c r="OPH518" s="1358"/>
      <c r="OPI518" s="1358"/>
      <c r="OPJ518" s="1358"/>
      <c r="OPK518" s="1358"/>
      <c r="OPL518" s="1358"/>
      <c r="OPM518" s="1358"/>
      <c r="OPN518" s="1358"/>
      <c r="OPO518" s="1358"/>
      <c r="OPP518" s="1358"/>
      <c r="OPQ518" s="1358"/>
      <c r="OPR518" s="1358"/>
      <c r="OPS518" s="1358"/>
      <c r="OPT518" s="1358"/>
      <c r="OPU518" s="1358"/>
      <c r="OPV518" s="1358"/>
      <c r="OPW518" s="1358"/>
      <c r="OPX518" s="1358"/>
      <c r="OPY518" s="1358"/>
      <c r="OPZ518" s="1358"/>
      <c r="OQA518" s="1358"/>
      <c r="OQB518" s="1358"/>
      <c r="OQC518" s="1358"/>
      <c r="OQD518" s="1358"/>
      <c r="OQE518" s="1358"/>
      <c r="OQF518" s="1358"/>
      <c r="OQG518" s="1358"/>
      <c r="OQH518" s="1358"/>
      <c r="OQI518" s="1358"/>
      <c r="OQJ518" s="1358"/>
      <c r="OQK518" s="1358"/>
      <c r="OQL518" s="1358"/>
      <c r="OQM518" s="1358"/>
      <c r="OQN518" s="1358"/>
      <c r="OQO518" s="1358"/>
      <c r="OQP518" s="1358"/>
      <c r="OQQ518" s="1358"/>
      <c r="OQR518" s="1358"/>
      <c r="OQS518" s="1358"/>
      <c r="OQT518" s="1358"/>
      <c r="OQU518" s="1358"/>
      <c r="OQV518" s="1358"/>
      <c r="OQW518" s="1358"/>
      <c r="OQX518" s="1358"/>
      <c r="OQY518" s="1358"/>
      <c r="OQZ518" s="1358"/>
      <c r="ORA518" s="1358"/>
      <c r="ORB518" s="1358"/>
      <c r="ORC518" s="1358"/>
      <c r="ORD518" s="1358"/>
      <c r="ORE518" s="1358"/>
      <c r="ORF518" s="1358"/>
      <c r="ORG518" s="1358"/>
      <c r="ORH518" s="1358"/>
      <c r="ORI518" s="1358"/>
      <c r="ORJ518" s="1358"/>
      <c r="ORK518" s="1358"/>
      <c r="ORL518" s="1358"/>
      <c r="ORM518" s="1358"/>
      <c r="ORN518" s="1358"/>
      <c r="ORO518" s="1358"/>
      <c r="ORP518" s="1358"/>
      <c r="ORQ518" s="1358"/>
      <c r="ORR518" s="1358"/>
      <c r="ORS518" s="1358"/>
      <c r="ORT518" s="1358"/>
      <c r="ORU518" s="1358"/>
      <c r="ORV518" s="1358"/>
      <c r="ORW518" s="1358"/>
      <c r="ORX518" s="1358"/>
      <c r="ORY518" s="1358"/>
      <c r="ORZ518" s="1358"/>
      <c r="OSA518" s="1358"/>
      <c r="OSB518" s="1358"/>
      <c r="OSC518" s="1358"/>
      <c r="OSD518" s="1358"/>
      <c r="OSE518" s="1358"/>
      <c r="OSF518" s="1358"/>
      <c r="OSG518" s="1358"/>
      <c r="OSH518" s="1358"/>
      <c r="OSI518" s="1358"/>
      <c r="OSJ518" s="1358"/>
      <c r="OSK518" s="1358"/>
      <c r="OSL518" s="1358"/>
      <c r="OSM518" s="1358"/>
      <c r="OSN518" s="1358"/>
      <c r="OSO518" s="1358"/>
      <c r="OSP518" s="1358"/>
      <c r="OSQ518" s="1358"/>
      <c r="OSR518" s="1358"/>
      <c r="OSS518" s="1358"/>
      <c r="OST518" s="1358"/>
      <c r="OSU518" s="1358"/>
      <c r="OSV518" s="1358"/>
      <c r="OSW518" s="1358"/>
      <c r="OSX518" s="1358"/>
      <c r="OSY518" s="1358"/>
      <c r="OSZ518" s="1358"/>
      <c r="OTA518" s="1358"/>
      <c r="OTB518" s="1358"/>
      <c r="OTC518" s="1358"/>
      <c r="OTD518" s="1358"/>
      <c r="OTE518" s="1358"/>
      <c r="OTF518" s="1358"/>
      <c r="OTG518" s="1358"/>
      <c r="OTH518" s="1358"/>
      <c r="OTI518" s="1358"/>
      <c r="OTJ518" s="1358"/>
      <c r="OTK518" s="1358"/>
      <c r="OTL518" s="1358"/>
      <c r="OTM518" s="1358"/>
      <c r="OTN518" s="1358"/>
      <c r="OTO518" s="1358"/>
      <c r="OTP518" s="1358"/>
      <c r="OTQ518" s="1358"/>
      <c r="OTR518" s="1358"/>
      <c r="OTS518" s="1358"/>
      <c r="OTT518" s="1358"/>
      <c r="OTU518" s="1358"/>
      <c r="OTV518" s="1358"/>
      <c r="OTW518" s="1358"/>
      <c r="OTX518" s="1358"/>
      <c r="OTY518" s="1358"/>
      <c r="OTZ518" s="1358"/>
      <c r="OUA518" s="1358"/>
      <c r="OUB518" s="1358"/>
      <c r="OUC518" s="1358"/>
      <c r="OUD518" s="1358"/>
      <c r="OUE518" s="1358"/>
      <c r="OUF518" s="1358"/>
      <c r="OUG518" s="1358"/>
      <c r="OUH518" s="1358"/>
      <c r="OUI518" s="1358"/>
      <c r="OUJ518" s="1358"/>
      <c r="OUK518" s="1358"/>
      <c r="OUL518" s="1358"/>
      <c r="OUM518" s="1358"/>
      <c r="OUN518" s="1358"/>
      <c r="OUO518" s="1358"/>
      <c r="OUP518" s="1358"/>
      <c r="OUQ518" s="1358"/>
      <c r="OUR518" s="1358"/>
      <c r="OUS518" s="1358"/>
      <c r="OUT518" s="1358"/>
      <c r="OUU518" s="1358"/>
      <c r="OUV518" s="1358"/>
      <c r="OUW518" s="1358"/>
      <c r="OUX518" s="1358"/>
      <c r="OUY518" s="1358"/>
      <c r="OUZ518" s="1358"/>
      <c r="OVA518" s="1358"/>
      <c r="OVB518" s="1358"/>
      <c r="OVC518" s="1358"/>
      <c r="OVD518" s="1358"/>
      <c r="OVE518" s="1358"/>
      <c r="OVF518" s="1358"/>
      <c r="OVG518" s="1358"/>
      <c r="OVH518" s="1358"/>
      <c r="OVI518" s="1358"/>
      <c r="OVJ518" s="1358"/>
      <c r="OVK518" s="1358"/>
      <c r="OVL518" s="1358"/>
      <c r="OVM518" s="1358"/>
      <c r="OVN518" s="1358"/>
      <c r="OVO518" s="1358"/>
      <c r="OVP518" s="1358"/>
      <c r="OVQ518" s="1358"/>
      <c r="OVR518" s="1358"/>
      <c r="OVS518" s="1358"/>
      <c r="OVT518" s="1358"/>
      <c r="OVU518" s="1358"/>
      <c r="OVV518" s="1358"/>
      <c r="OVW518" s="1358"/>
      <c r="OVX518" s="1358"/>
      <c r="OVY518" s="1358"/>
      <c r="OVZ518" s="1358"/>
      <c r="OWA518" s="1358"/>
      <c r="OWB518" s="1358"/>
      <c r="OWC518" s="1358"/>
      <c r="OWD518" s="1358"/>
      <c r="OWE518" s="1358"/>
      <c r="OWF518" s="1358"/>
      <c r="OWG518" s="1358"/>
      <c r="OWH518" s="1358"/>
      <c r="OWI518" s="1358"/>
      <c r="OWJ518" s="1358"/>
      <c r="OWK518" s="1358"/>
      <c r="OWL518" s="1358"/>
      <c r="OWM518" s="1358"/>
      <c r="OWN518" s="1358"/>
      <c r="OWO518" s="1358"/>
      <c r="OWP518" s="1358"/>
      <c r="OWQ518" s="1358"/>
      <c r="OWR518" s="1358"/>
      <c r="OWS518" s="1358"/>
      <c r="OWT518" s="1358"/>
      <c r="OWU518" s="1358"/>
      <c r="OWV518" s="1358"/>
      <c r="OWW518" s="1358"/>
      <c r="OWX518" s="1358"/>
      <c r="OWY518" s="1358"/>
      <c r="OWZ518" s="1358"/>
      <c r="OXA518" s="1358"/>
      <c r="OXB518" s="1358"/>
      <c r="OXC518" s="1358"/>
      <c r="OXD518" s="1358"/>
      <c r="OXE518" s="1358"/>
      <c r="OXF518" s="1358"/>
      <c r="OXG518" s="1358"/>
      <c r="OXH518" s="1358"/>
      <c r="OXI518" s="1358"/>
      <c r="OXJ518" s="1358"/>
      <c r="OXK518" s="1358"/>
      <c r="OXL518" s="1358"/>
      <c r="OXM518" s="1358"/>
      <c r="OXN518" s="1358"/>
      <c r="OXO518" s="1358"/>
      <c r="OXP518" s="1358"/>
      <c r="OXQ518" s="1358"/>
      <c r="OXR518" s="1358"/>
      <c r="OXS518" s="1358"/>
      <c r="OXT518" s="1358"/>
      <c r="OXU518" s="1358"/>
      <c r="OXV518" s="1358"/>
      <c r="OXW518" s="1358"/>
      <c r="OXX518" s="1358"/>
      <c r="OXY518" s="1358"/>
      <c r="OXZ518" s="1358"/>
      <c r="OYA518" s="1358"/>
      <c r="OYB518" s="1358"/>
      <c r="OYC518" s="1358"/>
      <c r="OYD518" s="1358"/>
      <c r="OYE518" s="1358"/>
      <c r="OYF518" s="1358"/>
      <c r="OYG518" s="1358"/>
      <c r="OYH518" s="1358"/>
      <c r="OYI518" s="1358"/>
      <c r="OYJ518" s="1358"/>
      <c r="OYK518" s="1358"/>
      <c r="OYL518" s="1358"/>
      <c r="OYM518" s="1358"/>
      <c r="OYN518" s="1358"/>
      <c r="OYO518" s="1358"/>
      <c r="OYP518" s="1358"/>
      <c r="OYQ518" s="1358"/>
      <c r="OYR518" s="1358"/>
      <c r="OYS518" s="1358"/>
      <c r="OYT518" s="1358"/>
      <c r="OYU518" s="1358"/>
      <c r="OYV518" s="1358"/>
      <c r="OYW518" s="1358"/>
      <c r="OYX518" s="1358"/>
      <c r="OYY518" s="1358"/>
      <c r="OYZ518" s="1358"/>
      <c r="OZA518" s="1358"/>
      <c r="OZB518" s="1358"/>
      <c r="OZC518" s="1358"/>
      <c r="OZD518" s="1358"/>
      <c r="OZE518" s="1358"/>
      <c r="OZF518" s="1358"/>
      <c r="OZG518" s="1358"/>
      <c r="OZH518" s="1358"/>
      <c r="OZI518" s="1358"/>
      <c r="OZJ518" s="1358"/>
      <c r="OZK518" s="1358"/>
      <c r="OZL518" s="1358"/>
      <c r="OZM518" s="1358"/>
      <c r="OZN518" s="1358"/>
      <c r="OZO518" s="1358"/>
      <c r="OZP518" s="1358"/>
      <c r="OZQ518" s="1358"/>
      <c r="OZR518" s="1358"/>
      <c r="OZS518" s="1358"/>
      <c r="OZT518" s="1358"/>
      <c r="OZU518" s="1358"/>
      <c r="OZV518" s="1358"/>
      <c r="OZW518" s="1358"/>
      <c r="OZX518" s="1358"/>
      <c r="OZY518" s="1358"/>
      <c r="OZZ518" s="1358"/>
      <c r="PAA518" s="1358"/>
      <c r="PAB518" s="1358"/>
      <c r="PAC518" s="1358"/>
      <c r="PAD518" s="1358"/>
      <c r="PAE518" s="1358"/>
      <c r="PAF518" s="1358"/>
      <c r="PAG518" s="1358"/>
      <c r="PAH518" s="1358"/>
      <c r="PAI518" s="1358"/>
      <c r="PAJ518" s="1358"/>
      <c r="PAK518" s="1358"/>
      <c r="PAL518" s="1358"/>
      <c r="PAM518" s="1358"/>
      <c r="PAN518" s="1358"/>
      <c r="PAO518" s="1358"/>
      <c r="PAP518" s="1358"/>
      <c r="PAQ518" s="1358"/>
      <c r="PAR518" s="1358"/>
      <c r="PAS518" s="1358"/>
      <c r="PAT518" s="1358"/>
      <c r="PAU518" s="1358"/>
      <c r="PAV518" s="1358"/>
      <c r="PAW518" s="1358"/>
      <c r="PAX518" s="1358"/>
      <c r="PAY518" s="1358"/>
      <c r="PAZ518" s="1358"/>
      <c r="PBA518" s="1358"/>
      <c r="PBB518" s="1358"/>
      <c r="PBC518" s="1358"/>
      <c r="PBD518" s="1358"/>
      <c r="PBE518" s="1358"/>
      <c r="PBF518" s="1358"/>
      <c r="PBG518" s="1358"/>
      <c r="PBH518" s="1358"/>
      <c r="PBI518" s="1358"/>
      <c r="PBJ518" s="1358"/>
      <c r="PBK518" s="1358"/>
      <c r="PBL518" s="1358"/>
      <c r="PBM518" s="1358"/>
      <c r="PBN518" s="1358"/>
      <c r="PBO518" s="1358"/>
      <c r="PBP518" s="1358"/>
      <c r="PBQ518" s="1358"/>
      <c r="PBR518" s="1358"/>
      <c r="PBS518" s="1358"/>
      <c r="PBT518" s="1358"/>
      <c r="PBU518" s="1358"/>
      <c r="PBV518" s="1358"/>
      <c r="PBW518" s="1358"/>
      <c r="PBX518" s="1358"/>
      <c r="PBY518" s="1358"/>
      <c r="PBZ518" s="1358"/>
      <c r="PCA518" s="1358"/>
      <c r="PCB518" s="1358"/>
      <c r="PCC518" s="1358"/>
      <c r="PCD518" s="1358"/>
      <c r="PCE518" s="1358"/>
      <c r="PCF518" s="1358"/>
      <c r="PCG518" s="1358"/>
      <c r="PCH518" s="1358"/>
      <c r="PCI518" s="1358"/>
      <c r="PCJ518" s="1358"/>
      <c r="PCK518" s="1358"/>
      <c r="PCL518" s="1358"/>
      <c r="PCM518" s="1358"/>
      <c r="PCN518" s="1358"/>
      <c r="PCO518" s="1358"/>
      <c r="PCP518" s="1358"/>
      <c r="PCQ518" s="1358"/>
      <c r="PCR518" s="1358"/>
      <c r="PCS518" s="1358"/>
      <c r="PCT518" s="1358"/>
      <c r="PCU518" s="1358"/>
      <c r="PCV518" s="1358"/>
      <c r="PCW518" s="1358"/>
      <c r="PCX518" s="1358"/>
      <c r="PCY518" s="1358"/>
      <c r="PCZ518" s="1358"/>
      <c r="PDA518" s="1358"/>
      <c r="PDB518" s="1358"/>
      <c r="PDC518" s="1358"/>
      <c r="PDD518" s="1358"/>
      <c r="PDE518" s="1358"/>
      <c r="PDF518" s="1358"/>
      <c r="PDG518" s="1358"/>
      <c r="PDH518" s="1358"/>
      <c r="PDI518" s="1358"/>
      <c r="PDJ518" s="1358"/>
      <c r="PDK518" s="1358"/>
      <c r="PDL518" s="1358"/>
      <c r="PDM518" s="1358"/>
      <c r="PDN518" s="1358"/>
      <c r="PDO518" s="1358"/>
      <c r="PDP518" s="1358"/>
      <c r="PDQ518" s="1358"/>
      <c r="PDR518" s="1358"/>
      <c r="PDS518" s="1358"/>
      <c r="PDT518" s="1358"/>
      <c r="PDU518" s="1358"/>
      <c r="PDV518" s="1358"/>
      <c r="PDW518" s="1358"/>
      <c r="PDX518" s="1358"/>
      <c r="PDY518" s="1358"/>
      <c r="PDZ518" s="1358"/>
      <c r="PEA518" s="1358"/>
      <c r="PEB518" s="1358"/>
      <c r="PEC518" s="1358"/>
      <c r="PED518" s="1358"/>
      <c r="PEE518" s="1358"/>
      <c r="PEF518" s="1358"/>
      <c r="PEG518" s="1358"/>
      <c r="PEH518" s="1358"/>
      <c r="PEI518" s="1358"/>
      <c r="PEJ518" s="1358"/>
      <c r="PEK518" s="1358"/>
      <c r="PEL518" s="1358"/>
      <c r="PEM518" s="1358"/>
      <c r="PEN518" s="1358"/>
      <c r="PEO518" s="1358"/>
      <c r="PEP518" s="1358"/>
      <c r="PEQ518" s="1358"/>
      <c r="PER518" s="1358"/>
      <c r="PES518" s="1358"/>
      <c r="PET518" s="1358"/>
      <c r="PEU518" s="1358"/>
      <c r="PEV518" s="1358"/>
      <c r="PEW518" s="1358"/>
      <c r="PEX518" s="1358"/>
      <c r="PEY518" s="1358"/>
      <c r="PEZ518" s="1358"/>
      <c r="PFA518" s="1358"/>
      <c r="PFB518" s="1358"/>
      <c r="PFC518" s="1358"/>
      <c r="PFD518" s="1358"/>
      <c r="PFE518" s="1358"/>
      <c r="PFF518" s="1358"/>
      <c r="PFG518" s="1358"/>
      <c r="PFH518" s="1358"/>
      <c r="PFI518" s="1358"/>
      <c r="PFJ518" s="1358"/>
      <c r="PFK518" s="1358"/>
      <c r="PFL518" s="1358"/>
      <c r="PFM518" s="1358"/>
      <c r="PFN518" s="1358"/>
      <c r="PFO518" s="1358"/>
      <c r="PFP518" s="1358"/>
      <c r="PFQ518" s="1358"/>
      <c r="PFR518" s="1358"/>
      <c r="PFS518" s="1358"/>
      <c r="PFT518" s="1358"/>
      <c r="PFU518" s="1358"/>
      <c r="PFV518" s="1358"/>
      <c r="PFW518" s="1358"/>
      <c r="PFX518" s="1358"/>
      <c r="PFY518" s="1358"/>
      <c r="PFZ518" s="1358"/>
      <c r="PGA518" s="1358"/>
      <c r="PGB518" s="1358"/>
      <c r="PGC518" s="1358"/>
      <c r="PGD518" s="1358"/>
      <c r="PGE518" s="1358"/>
      <c r="PGF518" s="1358"/>
      <c r="PGG518" s="1358"/>
      <c r="PGH518" s="1358"/>
      <c r="PGI518" s="1358"/>
      <c r="PGJ518" s="1358"/>
      <c r="PGK518" s="1358"/>
      <c r="PGL518" s="1358"/>
      <c r="PGM518" s="1358"/>
      <c r="PGN518" s="1358"/>
      <c r="PGO518" s="1358"/>
      <c r="PGP518" s="1358"/>
      <c r="PGQ518" s="1358"/>
      <c r="PGR518" s="1358"/>
      <c r="PGS518" s="1358"/>
      <c r="PGT518" s="1358"/>
      <c r="PGU518" s="1358"/>
      <c r="PGV518" s="1358"/>
      <c r="PGW518" s="1358"/>
      <c r="PGX518" s="1358"/>
      <c r="PGY518" s="1358"/>
      <c r="PGZ518" s="1358"/>
      <c r="PHA518" s="1358"/>
      <c r="PHB518" s="1358"/>
      <c r="PHC518" s="1358"/>
      <c r="PHD518" s="1358"/>
      <c r="PHE518" s="1358"/>
      <c r="PHF518" s="1358"/>
      <c r="PHG518" s="1358"/>
      <c r="PHH518" s="1358"/>
      <c r="PHI518" s="1358"/>
      <c r="PHJ518" s="1358"/>
      <c r="PHK518" s="1358"/>
      <c r="PHL518" s="1358"/>
      <c r="PHM518" s="1358"/>
      <c r="PHN518" s="1358"/>
      <c r="PHO518" s="1358"/>
      <c r="PHP518" s="1358"/>
      <c r="PHQ518" s="1358"/>
      <c r="PHR518" s="1358"/>
      <c r="PHS518" s="1358"/>
      <c r="PHT518" s="1358"/>
      <c r="PHU518" s="1358"/>
      <c r="PHV518" s="1358"/>
      <c r="PHW518" s="1358"/>
      <c r="PHX518" s="1358"/>
      <c r="PHY518" s="1358"/>
      <c r="PHZ518" s="1358"/>
      <c r="PIA518" s="1358"/>
      <c r="PIB518" s="1358"/>
      <c r="PIC518" s="1358"/>
      <c r="PID518" s="1358"/>
      <c r="PIE518" s="1358"/>
      <c r="PIF518" s="1358"/>
      <c r="PIG518" s="1358"/>
      <c r="PIH518" s="1358"/>
      <c r="PII518" s="1358"/>
      <c r="PIJ518" s="1358"/>
      <c r="PIK518" s="1358"/>
      <c r="PIL518" s="1358"/>
      <c r="PIM518" s="1358"/>
      <c r="PIN518" s="1358"/>
      <c r="PIO518" s="1358"/>
      <c r="PIP518" s="1358"/>
      <c r="PIQ518" s="1358"/>
      <c r="PIR518" s="1358"/>
      <c r="PIS518" s="1358"/>
      <c r="PIT518" s="1358"/>
      <c r="PIU518" s="1358"/>
      <c r="PIV518" s="1358"/>
      <c r="PIW518" s="1358"/>
      <c r="PIX518" s="1358"/>
      <c r="PIY518" s="1358"/>
      <c r="PIZ518" s="1358"/>
      <c r="PJA518" s="1358"/>
      <c r="PJB518" s="1358"/>
      <c r="PJC518" s="1358"/>
      <c r="PJD518" s="1358"/>
      <c r="PJE518" s="1358"/>
      <c r="PJF518" s="1358"/>
      <c r="PJG518" s="1358"/>
      <c r="PJH518" s="1358"/>
      <c r="PJI518" s="1358"/>
      <c r="PJJ518" s="1358"/>
      <c r="PJK518" s="1358"/>
      <c r="PJL518" s="1358"/>
      <c r="PJM518" s="1358"/>
      <c r="PJN518" s="1358"/>
      <c r="PJO518" s="1358"/>
      <c r="PJP518" s="1358"/>
      <c r="PJQ518" s="1358"/>
      <c r="PJR518" s="1358"/>
      <c r="PJS518" s="1358"/>
      <c r="PJT518" s="1358"/>
      <c r="PJU518" s="1358"/>
      <c r="PJV518" s="1358"/>
      <c r="PJW518" s="1358"/>
      <c r="PJX518" s="1358"/>
      <c r="PJY518" s="1358"/>
      <c r="PJZ518" s="1358"/>
      <c r="PKA518" s="1358"/>
      <c r="PKB518" s="1358"/>
      <c r="PKC518" s="1358"/>
      <c r="PKD518" s="1358"/>
      <c r="PKE518" s="1358"/>
      <c r="PKF518" s="1358"/>
      <c r="PKG518" s="1358"/>
      <c r="PKH518" s="1358"/>
      <c r="PKI518" s="1358"/>
      <c r="PKJ518" s="1358"/>
      <c r="PKK518" s="1358"/>
      <c r="PKL518" s="1358"/>
      <c r="PKM518" s="1358"/>
      <c r="PKN518" s="1358"/>
      <c r="PKO518" s="1358"/>
      <c r="PKP518" s="1358"/>
      <c r="PKQ518" s="1358"/>
      <c r="PKR518" s="1358"/>
      <c r="PKS518" s="1358"/>
      <c r="PKT518" s="1358"/>
      <c r="PKU518" s="1358"/>
      <c r="PKV518" s="1358"/>
      <c r="PKW518" s="1358"/>
      <c r="PKX518" s="1358"/>
      <c r="PKY518" s="1358"/>
      <c r="PKZ518" s="1358"/>
      <c r="PLA518" s="1358"/>
      <c r="PLB518" s="1358"/>
      <c r="PLC518" s="1358"/>
      <c r="PLD518" s="1358"/>
      <c r="PLE518" s="1358"/>
      <c r="PLF518" s="1358"/>
      <c r="PLG518" s="1358"/>
      <c r="PLH518" s="1358"/>
      <c r="PLI518" s="1358"/>
      <c r="PLJ518" s="1358"/>
      <c r="PLK518" s="1358"/>
      <c r="PLL518" s="1358"/>
      <c r="PLM518" s="1358"/>
      <c r="PLN518" s="1358"/>
      <c r="PLO518" s="1358"/>
      <c r="PLP518" s="1358"/>
      <c r="PLQ518" s="1358"/>
      <c r="PLR518" s="1358"/>
      <c r="PLS518" s="1358"/>
      <c r="PLT518" s="1358"/>
      <c r="PLU518" s="1358"/>
      <c r="PLV518" s="1358"/>
      <c r="PLW518" s="1358"/>
      <c r="PLX518" s="1358"/>
      <c r="PLY518" s="1358"/>
      <c r="PLZ518" s="1358"/>
      <c r="PMA518" s="1358"/>
      <c r="PMB518" s="1358"/>
      <c r="PMC518" s="1358"/>
      <c r="PMD518" s="1358"/>
      <c r="PME518" s="1358"/>
      <c r="PMF518" s="1358"/>
      <c r="PMG518" s="1358"/>
      <c r="PMH518" s="1358"/>
      <c r="PMI518" s="1358"/>
      <c r="PMJ518" s="1358"/>
      <c r="PMK518" s="1358"/>
      <c r="PML518" s="1358"/>
      <c r="PMM518" s="1358"/>
      <c r="PMN518" s="1358"/>
      <c r="PMO518" s="1358"/>
      <c r="PMP518" s="1358"/>
      <c r="PMQ518" s="1358"/>
      <c r="PMR518" s="1358"/>
      <c r="PMS518" s="1358"/>
      <c r="PMT518" s="1358"/>
      <c r="PMU518" s="1358"/>
      <c r="PMV518" s="1358"/>
      <c r="PMW518" s="1358"/>
      <c r="PMX518" s="1358"/>
      <c r="PMY518" s="1358"/>
      <c r="PMZ518" s="1358"/>
      <c r="PNA518" s="1358"/>
      <c r="PNB518" s="1358"/>
      <c r="PNC518" s="1358"/>
      <c r="PND518" s="1358"/>
      <c r="PNE518" s="1358"/>
      <c r="PNF518" s="1358"/>
      <c r="PNG518" s="1358"/>
      <c r="PNH518" s="1358"/>
      <c r="PNI518" s="1358"/>
      <c r="PNJ518" s="1358"/>
      <c r="PNK518" s="1358"/>
      <c r="PNL518" s="1358"/>
      <c r="PNM518" s="1358"/>
      <c r="PNN518" s="1358"/>
      <c r="PNO518" s="1358"/>
      <c r="PNP518" s="1358"/>
      <c r="PNQ518" s="1358"/>
      <c r="PNR518" s="1358"/>
      <c r="PNS518" s="1358"/>
      <c r="PNT518" s="1358"/>
      <c r="PNU518" s="1358"/>
      <c r="PNV518" s="1358"/>
      <c r="PNW518" s="1358"/>
      <c r="PNX518" s="1358"/>
      <c r="PNY518" s="1358"/>
      <c r="PNZ518" s="1358"/>
      <c r="POA518" s="1358"/>
      <c r="POB518" s="1358"/>
      <c r="POC518" s="1358"/>
      <c r="POD518" s="1358"/>
      <c r="POE518" s="1358"/>
      <c r="POF518" s="1358"/>
      <c r="POG518" s="1358"/>
      <c r="POH518" s="1358"/>
      <c r="POI518" s="1358"/>
      <c r="POJ518" s="1358"/>
      <c r="POK518" s="1358"/>
      <c r="POL518" s="1358"/>
      <c r="POM518" s="1358"/>
      <c r="PON518" s="1358"/>
      <c r="POO518" s="1358"/>
      <c r="POP518" s="1358"/>
      <c r="POQ518" s="1358"/>
      <c r="POR518" s="1358"/>
      <c r="POS518" s="1358"/>
      <c r="POT518" s="1358"/>
      <c r="POU518" s="1358"/>
      <c r="POV518" s="1358"/>
      <c r="POW518" s="1358"/>
      <c r="POX518" s="1358"/>
      <c r="POY518" s="1358"/>
      <c r="POZ518" s="1358"/>
      <c r="PPA518" s="1358"/>
      <c r="PPB518" s="1358"/>
      <c r="PPC518" s="1358"/>
      <c r="PPD518" s="1358"/>
      <c r="PPE518" s="1358"/>
      <c r="PPF518" s="1358"/>
      <c r="PPG518" s="1358"/>
      <c r="PPH518" s="1358"/>
      <c r="PPI518" s="1358"/>
      <c r="PPJ518" s="1358"/>
      <c r="PPK518" s="1358"/>
      <c r="PPL518" s="1358"/>
      <c r="PPM518" s="1358"/>
      <c r="PPN518" s="1358"/>
      <c r="PPO518" s="1358"/>
      <c r="PPP518" s="1358"/>
      <c r="PPQ518" s="1358"/>
      <c r="PPR518" s="1358"/>
      <c r="PPS518" s="1358"/>
      <c r="PPT518" s="1358"/>
      <c r="PPU518" s="1358"/>
      <c r="PPV518" s="1358"/>
      <c r="PPW518" s="1358"/>
      <c r="PPX518" s="1358"/>
      <c r="PPY518" s="1358"/>
      <c r="PPZ518" s="1358"/>
      <c r="PQA518" s="1358"/>
      <c r="PQB518" s="1358"/>
      <c r="PQC518" s="1358"/>
      <c r="PQD518" s="1358"/>
      <c r="PQE518" s="1358"/>
      <c r="PQF518" s="1358"/>
      <c r="PQG518" s="1358"/>
      <c r="PQH518" s="1358"/>
      <c r="PQI518" s="1358"/>
      <c r="PQJ518" s="1358"/>
      <c r="PQK518" s="1358"/>
      <c r="PQL518" s="1358"/>
      <c r="PQM518" s="1358"/>
      <c r="PQN518" s="1358"/>
      <c r="PQO518" s="1358"/>
      <c r="PQP518" s="1358"/>
      <c r="PQQ518" s="1358"/>
      <c r="PQR518" s="1358"/>
      <c r="PQS518" s="1358"/>
      <c r="PQT518" s="1358"/>
      <c r="PQU518" s="1358"/>
      <c r="PQV518" s="1358"/>
      <c r="PQW518" s="1358"/>
      <c r="PQX518" s="1358"/>
      <c r="PQY518" s="1358"/>
      <c r="PQZ518" s="1358"/>
      <c r="PRA518" s="1358"/>
      <c r="PRB518" s="1358"/>
      <c r="PRC518" s="1358"/>
      <c r="PRD518" s="1358"/>
      <c r="PRE518" s="1358"/>
      <c r="PRF518" s="1358"/>
      <c r="PRG518" s="1358"/>
      <c r="PRH518" s="1358"/>
      <c r="PRI518" s="1358"/>
      <c r="PRJ518" s="1358"/>
      <c r="PRK518" s="1358"/>
      <c r="PRL518" s="1358"/>
      <c r="PRM518" s="1358"/>
      <c r="PRN518" s="1358"/>
      <c r="PRO518" s="1358"/>
      <c r="PRP518" s="1358"/>
      <c r="PRQ518" s="1358"/>
      <c r="PRR518" s="1358"/>
      <c r="PRS518" s="1358"/>
      <c r="PRT518" s="1358"/>
      <c r="PRU518" s="1358"/>
      <c r="PRV518" s="1358"/>
      <c r="PRW518" s="1358"/>
      <c r="PRX518" s="1358"/>
      <c r="PRY518" s="1358"/>
      <c r="PRZ518" s="1358"/>
      <c r="PSA518" s="1358"/>
      <c r="PSB518" s="1358"/>
      <c r="PSC518" s="1358"/>
      <c r="PSD518" s="1358"/>
      <c r="PSE518" s="1358"/>
      <c r="PSF518" s="1358"/>
      <c r="PSG518" s="1358"/>
      <c r="PSH518" s="1358"/>
      <c r="PSI518" s="1358"/>
      <c r="PSJ518" s="1358"/>
      <c r="PSK518" s="1358"/>
      <c r="PSL518" s="1358"/>
      <c r="PSM518" s="1358"/>
      <c r="PSN518" s="1358"/>
      <c r="PSO518" s="1358"/>
      <c r="PSP518" s="1358"/>
      <c r="PSQ518" s="1358"/>
      <c r="PSR518" s="1358"/>
      <c r="PSS518" s="1358"/>
      <c r="PST518" s="1358"/>
      <c r="PSU518" s="1358"/>
      <c r="PSV518" s="1358"/>
      <c r="PSW518" s="1358"/>
      <c r="PSX518" s="1358"/>
      <c r="PSY518" s="1358"/>
      <c r="PSZ518" s="1358"/>
      <c r="PTA518" s="1358"/>
      <c r="PTB518" s="1358"/>
      <c r="PTC518" s="1358"/>
      <c r="PTD518" s="1358"/>
      <c r="PTE518" s="1358"/>
      <c r="PTF518" s="1358"/>
      <c r="PTG518" s="1358"/>
      <c r="PTH518" s="1358"/>
      <c r="PTI518" s="1358"/>
      <c r="PTJ518" s="1358"/>
      <c r="PTK518" s="1358"/>
      <c r="PTL518" s="1358"/>
      <c r="PTM518" s="1358"/>
      <c r="PTN518" s="1358"/>
      <c r="PTO518" s="1358"/>
      <c r="PTP518" s="1358"/>
      <c r="PTQ518" s="1358"/>
      <c r="PTR518" s="1358"/>
      <c r="PTS518" s="1358"/>
      <c r="PTT518" s="1358"/>
      <c r="PTU518" s="1358"/>
      <c r="PTV518" s="1358"/>
      <c r="PTW518" s="1358"/>
      <c r="PTX518" s="1358"/>
      <c r="PTY518" s="1358"/>
      <c r="PTZ518" s="1358"/>
      <c r="PUA518" s="1358"/>
      <c r="PUB518" s="1358"/>
      <c r="PUC518" s="1358"/>
      <c r="PUD518" s="1358"/>
      <c r="PUE518" s="1358"/>
      <c r="PUF518" s="1358"/>
      <c r="PUG518" s="1358"/>
      <c r="PUH518" s="1358"/>
      <c r="PUI518" s="1358"/>
      <c r="PUJ518" s="1358"/>
      <c r="PUK518" s="1358"/>
      <c r="PUL518" s="1358"/>
      <c r="PUM518" s="1358"/>
      <c r="PUN518" s="1358"/>
      <c r="PUO518" s="1358"/>
      <c r="PUP518" s="1358"/>
      <c r="PUQ518" s="1358"/>
      <c r="PUR518" s="1358"/>
      <c r="PUS518" s="1358"/>
      <c r="PUT518" s="1358"/>
      <c r="PUU518" s="1358"/>
      <c r="PUV518" s="1358"/>
      <c r="PUW518" s="1358"/>
      <c r="PUX518" s="1358"/>
      <c r="PUY518" s="1358"/>
      <c r="PUZ518" s="1358"/>
      <c r="PVA518" s="1358"/>
      <c r="PVB518" s="1358"/>
      <c r="PVC518" s="1358"/>
      <c r="PVD518" s="1358"/>
      <c r="PVE518" s="1358"/>
      <c r="PVF518" s="1358"/>
      <c r="PVG518" s="1358"/>
      <c r="PVH518" s="1358"/>
      <c r="PVI518" s="1358"/>
      <c r="PVJ518" s="1358"/>
      <c r="PVK518" s="1358"/>
      <c r="PVL518" s="1358"/>
      <c r="PVM518" s="1358"/>
      <c r="PVN518" s="1358"/>
      <c r="PVO518" s="1358"/>
      <c r="PVP518" s="1358"/>
      <c r="PVQ518" s="1358"/>
      <c r="PVR518" s="1358"/>
      <c r="PVS518" s="1358"/>
      <c r="PVT518" s="1358"/>
      <c r="PVU518" s="1358"/>
      <c r="PVV518" s="1358"/>
      <c r="PVW518" s="1358"/>
      <c r="PVX518" s="1358"/>
      <c r="PVY518" s="1358"/>
      <c r="PVZ518" s="1358"/>
      <c r="PWA518" s="1358"/>
      <c r="PWB518" s="1358"/>
      <c r="PWC518" s="1358"/>
      <c r="PWD518" s="1358"/>
      <c r="PWE518" s="1358"/>
      <c r="PWF518" s="1358"/>
      <c r="PWG518" s="1358"/>
      <c r="PWH518" s="1358"/>
      <c r="PWI518" s="1358"/>
      <c r="PWJ518" s="1358"/>
      <c r="PWK518" s="1358"/>
      <c r="PWL518" s="1358"/>
      <c r="PWM518" s="1358"/>
      <c r="PWN518" s="1358"/>
      <c r="PWO518" s="1358"/>
      <c r="PWP518" s="1358"/>
      <c r="PWQ518" s="1358"/>
      <c r="PWR518" s="1358"/>
      <c r="PWS518" s="1358"/>
      <c r="PWT518" s="1358"/>
      <c r="PWU518" s="1358"/>
      <c r="PWV518" s="1358"/>
      <c r="PWW518" s="1358"/>
      <c r="PWX518" s="1358"/>
      <c r="PWY518" s="1358"/>
      <c r="PWZ518" s="1358"/>
      <c r="PXA518" s="1358"/>
      <c r="PXB518" s="1358"/>
      <c r="PXC518" s="1358"/>
      <c r="PXD518" s="1358"/>
      <c r="PXE518" s="1358"/>
      <c r="PXF518" s="1358"/>
      <c r="PXG518" s="1358"/>
      <c r="PXH518" s="1358"/>
      <c r="PXI518" s="1358"/>
      <c r="PXJ518" s="1358"/>
      <c r="PXK518" s="1358"/>
      <c r="PXL518" s="1358"/>
      <c r="PXM518" s="1358"/>
      <c r="PXN518" s="1358"/>
      <c r="PXO518" s="1358"/>
      <c r="PXP518" s="1358"/>
      <c r="PXQ518" s="1358"/>
      <c r="PXR518" s="1358"/>
      <c r="PXS518" s="1358"/>
      <c r="PXT518" s="1358"/>
      <c r="PXU518" s="1358"/>
      <c r="PXV518" s="1358"/>
      <c r="PXW518" s="1358"/>
      <c r="PXX518" s="1358"/>
      <c r="PXY518" s="1358"/>
      <c r="PXZ518" s="1358"/>
      <c r="PYA518" s="1358"/>
      <c r="PYB518" s="1358"/>
      <c r="PYC518" s="1358"/>
      <c r="PYD518" s="1358"/>
      <c r="PYE518" s="1358"/>
      <c r="PYF518" s="1358"/>
      <c r="PYG518" s="1358"/>
      <c r="PYH518" s="1358"/>
      <c r="PYI518" s="1358"/>
      <c r="PYJ518" s="1358"/>
      <c r="PYK518" s="1358"/>
      <c r="PYL518" s="1358"/>
      <c r="PYM518" s="1358"/>
      <c r="PYN518" s="1358"/>
      <c r="PYO518" s="1358"/>
      <c r="PYP518" s="1358"/>
      <c r="PYQ518" s="1358"/>
      <c r="PYR518" s="1358"/>
      <c r="PYS518" s="1358"/>
      <c r="PYT518" s="1358"/>
      <c r="PYU518" s="1358"/>
      <c r="PYV518" s="1358"/>
      <c r="PYW518" s="1358"/>
      <c r="PYX518" s="1358"/>
      <c r="PYY518" s="1358"/>
      <c r="PYZ518" s="1358"/>
      <c r="PZA518" s="1358"/>
      <c r="PZB518" s="1358"/>
      <c r="PZC518" s="1358"/>
      <c r="PZD518" s="1358"/>
      <c r="PZE518" s="1358"/>
      <c r="PZF518" s="1358"/>
      <c r="PZG518" s="1358"/>
      <c r="PZH518" s="1358"/>
      <c r="PZI518" s="1358"/>
      <c r="PZJ518" s="1358"/>
      <c r="PZK518" s="1358"/>
      <c r="PZL518" s="1358"/>
      <c r="PZM518" s="1358"/>
      <c r="PZN518" s="1358"/>
      <c r="PZO518" s="1358"/>
      <c r="PZP518" s="1358"/>
      <c r="PZQ518" s="1358"/>
      <c r="PZR518" s="1358"/>
      <c r="PZS518" s="1358"/>
      <c r="PZT518" s="1358"/>
      <c r="PZU518" s="1358"/>
      <c r="PZV518" s="1358"/>
      <c r="PZW518" s="1358"/>
      <c r="PZX518" s="1358"/>
      <c r="PZY518" s="1358"/>
      <c r="PZZ518" s="1358"/>
      <c r="QAA518" s="1358"/>
      <c r="QAB518" s="1358"/>
      <c r="QAC518" s="1358"/>
      <c r="QAD518" s="1358"/>
      <c r="QAE518" s="1358"/>
      <c r="QAF518" s="1358"/>
      <c r="QAG518" s="1358"/>
      <c r="QAH518" s="1358"/>
      <c r="QAI518" s="1358"/>
      <c r="QAJ518" s="1358"/>
      <c r="QAK518" s="1358"/>
      <c r="QAL518" s="1358"/>
      <c r="QAM518" s="1358"/>
      <c r="QAN518" s="1358"/>
      <c r="QAO518" s="1358"/>
      <c r="QAP518" s="1358"/>
      <c r="QAQ518" s="1358"/>
      <c r="QAR518" s="1358"/>
      <c r="QAS518" s="1358"/>
      <c r="QAT518" s="1358"/>
      <c r="QAU518" s="1358"/>
      <c r="QAV518" s="1358"/>
      <c r="QAW518" s="1358"/>
      <c r="QAX518" s="1358"/>
      <c r="QAY518" s="1358"/>
      <c r="QAZ518" s="1358"/>
      <c r="QBA518" s="1358"/>
      <c r="QBB518" s="1358"/>
      <c r="QBC518" s="1358"/>
      <c r="QBD518" s="1358"/>
      <c r="QBE518" s="1358"/>
      <c r="QBF518" s="1358"/>
      <c r="QBG518" s="1358"/>
      <c r="QBH518" s="1358"/>
      <c r="QBI518" s="1358"/>
      <c r="QBJ518" s="1358"/>
      <c r="QBK518" s="1358"/>
      <c r="QBL518" s="1358"/>
      <c r="QBM518" s="1358"/>
      <c r="QBN518" s="1358"/>
      <c r="QBO518" s="1358"/>
      <c r="QBP518" s="1358"/>
      <c r="QBQ518" s="1358"/>
      <c r="QBR518" s="1358"/>
      <c r="QBS518" s="1358"/>
      <c r="QBT518" s="1358"/>
      <c r="QBU518" s="1358"/>
      <c r="QBV518" s="1358"/>
      <c r="QBW518" s="1358"/>
      <c r="QBX518" s="1358"/>
      <c r="QBY518" s="1358"/>
      <c r="QBZ518" s="1358"/>
      <c r="QCA518" s="1358"/>
      <c r="QCB518" s="1358"/>
      <c r="QCC518" s="1358"/>
      <c r="QCD518" s="1358"/>
      <c r="QCE518" s="1358"/>
      <c r="QCF518" s="1358"/>
      <c r="QCG518" s="1358"/>
      <c r="QCH518" s="1358"/>
      <c r="QCI518" s="1358"/>
      <c r="QCJ518" s="1358"/>
      <c r="QCK518" s="1358"/>
      <c r="QCL518" s="1358"/>
      <c r="QCM518" s="1358"/>
      <c r="QCN518" s="1358"/>
      <c r="QCO518" s="1358"/>
      <c r="QCP518" s="1358"/>
      <c r="QCQ518" s="1358"/>
      <c r="QCR518" s="1358"/>
      <c r="QCS518" s="1358"/>
      <c r="QCT518" s="1358"/>
      <c r="QCU518" s="1358"/>
      <c r="QCV518" s="1358"/>
      <c r="QCW518" s="1358"/>
      <c r="QCX518" s="1358"/>
      <c r="QCY518" s="1358"/>
      <c r="QCZ518" s="1358"/>
      <c r="QDA518" s="1358"/>
      <c r="QDB518" s="1358"/>
      <c r="QDC518" s="1358"/>
      <c r="QDD518" s="1358"/>
      <c r="QDE518" s="1358"/>
      <c r="QDF518" s="1358"/>
      <c r="QDG518" s="1358"/>
      <c r="QDH518" s="1358"/>
      <c r="QDI518" s="1358"/>
      <c r="QDJ518" s="1358"/>
      <c r="QDK518" s="1358"/>
      <c r="QDL518" s="1358"/>
      <c r="QDM518" s="1358"/>
      <c r="QDN518" s="1358"/>
      <c r="QDO518" s="1358"/>
      <c r="QDP518" s="1358"/>
      <c r="QDQ518" s="1358"/>
      <c r="QDR518" s="1358"/>
      <c r="QDS518" s="1358"/>
      <c r="QDT518" s="1358"/>
      <c r="QDU518" s="1358"/>
      <c r="QDV518" s="1358"/>
      <c r="QDW518" s="1358"/>
      <c r="QDX518" s="1358"/>
      <c r="QDY518" s="1358"/>
      <c r="QDZ518" s="1358"/>
      <c r="QEA518" s="1358"/>
      <c r="QEB518" s="1358"/>
      <c r="QEC518" s="1358"/>
      <c r="QED518" s="1358"/>
      <c r="QEE518" s="1358"/>
      <c r="QEF518" s="1358"/>
      <c r="QEG518" s="1358"/>
      <c r="QEH518" s="1358"/>
      <c r="QEI518" s="1358"/>
      <c r="QEJ518" s="1358"/>
      <c r="QEK518" s="1358"/>
      <c r="QEL518" s="1358"/>
      <c r="QEM518" s="1358"/>
      <c r="QEN518" s="1358"/>
      <c r="QEO518" s="1358"/>
      <c r="QEP518" s="1358"/>
      <c r="QEQ518" s="1358"/>
      <c r="QER518" s="1358"/>
      <c r="QES518" s="1358"/>
      <c r="QET518" s="1358"/>
      <c r="QEU518" s="1358"/>
      <c r="QEV518" s="1358"/>
      <c r="QEW518" s="1358"/>
      <c r="QEX518" s="1358"/>
      <c r="QEY518" s="1358"/>
      <c r="QEZ518" s="1358"/>
      <c r="QFA518" s="1358"/>
      <c r="QFB518" s="1358"/>
      <c r="QFC518" s="1358"/>
      <c r="QFD518" s="1358"/>
      <c r="QFE518" s="1358"/>
      <c r="QFF518" s="1358"/>
      <c r="QFG518" s="1358"/>
      <c r="QFH518" s="1358"/>
      <c r="QFI518" s="1358"/>
      <c r="QFJ518" s="1358"/>
      <c r="QFK518" s="1358"/>
      <c r="QFL518" s="1358"/>
      <c r="QFM518" s="1358"/>
      <c r="QFN518" s="1358"/>
      <c r="QFO518" s="1358"/>
      <c r="QFP518" s="1358"/>
      <c r="QFQ518" s="1358"/>
      <c r="QFR518" s="1358"/>
      <c r="QFS518" s="1358"/>
      <c r="QFT518" s="1358"/>
      <c r="QFU518" s="1358"/>
      <c r="QFV518" s="1358"/>
      <c r="QFW518" s="1358"/>
      <c r="QFX518" s="1358"/>
      <c r="QFY518" s="1358"/>
      <c r="QFZ518" s="1358"/>
      <c r="QGA518" s="1358"/>
      <c r="QGB518" s="1358"/>
      <c r="QGC518" s="1358"/>
      <c r="QGD518" s="1358"/>
      <c r="QGE518" s="1358"/>
      <c r="QGF518" s="1358"/>
      <c r="QGG518" s="1358"/>
      <c r="QGH518" s="1358"/>
      <c r="QGI518" s="1358"/>
      <c r="QGJ518" s="1358"/>
      <c r="QGK518" s="1358"/>
      <c r="QGL518" s="1358"/>
      <c r="QGM518" s="1358"/>
      <c r="QGN518" s="1358"/>
      <c r="QGO518" s="1358"/>
      <c r="QGP518" s="1358"/>
      <c r="QGQ518" s="1358"/>
      <c r="QGR518" s="1358"/>
      <c r="QGS518" s="1358"/>
      <c r="QGT518" s="1358"/>
      <c r="QGU518" s="1358"/>
      <c r="QGV518" s="1358"/>
      <c r="QGW518" s="1358"/>
      <c r="QGX518" s="1358"/>
      <c r="QGY518" s="1358"/>
      <c r="QGZ518" s="1358"/>
      <c r="QHA518" s="1358"/>
      <c r="QHB518" s="1358"/>
      <c r="QHC518" s="1358"/>
      <c r="QHD518" s="1358"/>
      <c r="QHE518" s="1358"/>
      <c r="QHF518" s="1358"/>
      <c r="QHG518" s="1358"/>
      <c r="QHH518" s="1358"/>
      <c r="QHI518" s="1358"/>
      <c r="QHJ518" s="1358"/>
      <c r="QHK518" s="1358"/>
      <c r="QHL518" s="1358"/>
      <c r="QHM518" s="1358"/>
      <c r="QHN518" s="1358"/>
      <c r="QHO518" s="1358"/>
      <c r="QHP518" s="1358"/>
      <c r="QHQ518" s="1358"/>
      <c r="QHR518" s="1358"/>
      <c r="QHS518" s="1358"/>
      <c r="QHT518" s="1358"/>
      <c r="QHU518" s="1358"/>
      <c r="QHV518" s="1358"/>
      <c r="QHW518" s="1358"/>
      <c r="QHX518" s="1358"/>
      <c r="QHY518" s="1358"/>
      <c r="QHZ518" s="1358"/>
      <c r="QIA518" s="1358"/>
      <c r="QIB518" s="1358"/>
      <c r="QIC518" s="1358"/>
      <c r="QID518" s="1358"/>
      <c r="QIE518" s="1358"/>
      <c r="QIF518" s="1358"/>
      <c r="QIG518" s="1358"/>
      <c r="QIH518" s="1358"/>
      <c r="QII518" s="1358"/>
      <c r="QIJ518" s="1358"/>
      <c r="QIK518" s="1358"/>
      <c r="QIL518" s="1358"/>
      <c r="QIM518" s="1358"/>
      <c r="QIN518" s="1358"/>
      <c r="QIO518" s="1358"/>
      <c r="QIP518" s="1358"/>
      <c r="QIQ518" s="1358"/>
      <c r="QIR518" s="1358"/>
      <c r="QIS518" s="1358"/>
      <c r="QIT518" s="1358"/>
      <c r="QIU518" s="1358"/>
      <c r="QIV518" s="1358"/>
      <c r="QIW518" s="1358"/>
      <c r="QIX518" s="1358"/>
      <c r="QIY518" s="1358"/>
      <c r="QIZ518" s="1358"/>
      <c r="QJA518" s="1358"/>
      <c r="QJB518" s="1358"/>
      <c r="QJC518" s="1358"/>
      <c r="QJD518" s="1358"/>
      <c r="QJE518" s="1358"/>
      <c r="QJF518" s="1358"/>
      <c r="QJG518" s="1358"/>
      <c r="QJH518" s="1358"/>
      <c r="QJI518" s="1358"/>
      <c r="QJJ518" s="1358"/>
      <c r="QJK518" s="1358"/>
      <c r="QJL518" s="1358"/>
      <c r="QJM518" s="1358"/>
      <c r="QJN518" s="1358"/>
      <c r="QJO518" s="1358"/>
      <c r="QJP518" s="1358"/>
      <c r="QJQ518" s="1358"/>
      <c r="QJR518" s="1358"/>
      <c r="QJS518" s="1358"/>
      <c r="QJT518" s="1358"/>
      <c r="QJU518" s="1358"/>
      <c r="QJV518" s="1358"/>
      <c r="QJW518" s="1358"/>
      <c r="QJX518" s="1358"/>
      <c r="QJY518" s="1358"/>
      <c r="QJZ518" s="1358"/>
      <c r="QKA518" s="1358"/>
      <c r="QKB518" s="1358"/>
      <c r="QKC518" s="1358"/>
      <c r="QKD518" s="1358"/>
      <c r="QKE518" s="1358"/>
      <c r="QKF518" s="1358"/>
      <c r="QKG518" s="1358"/>
      <c r="QKH518" s="1358"/>
      <c r="QKI518" s="1358"/>
      <c r="QKJ518" s="1358"/>
      <c r="QKK518" s="1358"/>
      <c r="QKL518" s="1358"/>
      <c r="QKM518" s="1358"/>
      <c r="QKN518" s="1358"/>
      <c r="QKO518" s="1358"/>
      <c r="QKP518" s="1358"/>
      <c r="QKQ518" s="1358"/>
      <c r="QKR518" s="1358"/>
      <c r="QKS518" s="1358"/>
      <c r="QKT518" s="1358"/>
      <c r="QKU518" s="1358"/>
      <c r="QKV518" s="1358"/>
      <c r="QKW518" s="1358"/>
      <c r="QKX518" s="1358"/>
      <c r="QKY518" s="1358"/>
      <c r="QKZ518" s="1358"/>
      <c r="QLA518" s="1358"/>
      <c r="QLB518" s="1358"/>
      <c r="QLC518" s="1358"/>
      <c r="QLD518" s="1358"/>
      <c r="QLE518" s="1358"/>
      <c r="QLF518" s="1358"/>
      <c r="QLG518" s="1358"/>
      <c r="QLH518" s="1358"/>
      <c r="QLI518" s="1358"/>
      <c r="QLJ518" s="1358"/>
      <c r="QLK518" s="1358"/>
      <c r="QLL518" s="1358"/>
      <c r="QLM518" s="1358"/>
      <c r="QLN518" s="1358"/>
      <c r="QLO518" s="1358"/>
      <c r="QLP518" s="1358"/>
      <c r="QLQ518" s="1358"/>
      <c r="QLR518" s="1358"/>
      <c r="QLS518" s="1358"/>
      <c r="QLT518" s="1358"/>
      <c r="QLU518" s="1358"/>
      <c r="QLV518" s="1358"/>
      <c r="QLW518" s="1358"/>
      <c r="QLX518" s="1358"/>
      <c r="QLY518" s="1358"/>
      <c r="QLZ518" s="1358"/>
      <c r="QMA518" s="1358"/>
      <c r="QMB518" s="1358"/>
      <c r="QMC518" s="1358"/>
      <c r="QMD518" s="1358"/>
      <c r="QME518" s="1358"/>
      <c r="QMF518" s="1358"/>
      <c r="QMG518" s="1358"/>
      <c r="QMH518" s="1358"/>
      <c r="QMI518" s="1358"/>
      <c r="QMJ518" s="1358"/>
      <c r="QMK518" s="1358"/>
      <c r="QML518" s="1358"/>
      <c r="QMM518" s="1358"/>
      <c r="QMN518" s="1358"/>
      <c r="QMO518" s="1358"/>
      <c r="QMP518" s="1358"/>
      <c r="QMQ518" s="1358"/>
      <c r="QMR518" s="1358"/>
      <c r="QMS518" s="1358"/>
      <c r="QMT518" s="1358"/>
      <c r="QMU518" s="1358"/>
      <c r="QMV518" s="1358"/>
      <c r="QMW518" s="1358"/>
      <c r="QMX518" s="1358"/>
      <c r="QMY518" s="1358"/>
      <c r="QMZ518" s="1358"/>
      <c r="QNA518" s="1358"/>
      <c r="QNB518" s="1358"/>
      <c r="QNC518" s="1358"/>
      <c r="QND518" s="1358"/>
      <c r="QNE518" s="1358"/>
      <c r="QNF518" s="1358"/>
      <c r="QNG518" s="1358"/>
      <c r="QNH518" s="1358"/>
      <c r="QNI518" s="1358"/>
      <c r="QNJ518" s="1358"/>
      <c r="QNK518" s="1358"/>
      <c r="QNL518" s="1358"/>
      <c r="QNM518" s="1358"/>
      <c r="QNN518" s="1358"/>
      <c r="QNO518" s="1358"/>
      <c r="QNP518" s="1358"/>
      <c r="QNQ518" s="1358"/>
      <c r="QNR518" s="1358"/>
      <c r="QNS518" s="1358"/>
      <c r="QNT518" s="1358"/>
      <c r="QNU518" s="1358"/>
      <c r="QNV518" s="1358"/>
      <c r="QNW518" s="1358"/>
      <c r="QNX518" s="1358"/>
      <c r="QNY518" s="1358"/>
      <c r="QNZ518" s="1358"/>
      <c r="QOA518" s="1358"/>
      <c r="QOB518" s="1358"/>
      <c r="QOC518" s="1358"/>
      <c r="QOD518" s="1358"/>
      <c r="QOE518" s="1358"/>
      <c r="QOF518" s="1358"/>
      <c r="QOG518" s="1358"/>
      <c r="QOH518" s="1358"/>
      <c r="QOI518" s="1358"/>
      <c r="QOJ518" s="1358"/>
      <c r="QOK518" s="1358"/>
      <c r="QOL518" s="1358"/>
      <c r="QOM518" s="1358"/>
      <c r="QON518" s="1358"/>
      <c r="QOO518" s="1358"/>
      <c r="QOP518" s="1358"/>
      <c r="QOQ518" s="1358"/>
      <c r="QOR518" s="1358"/>
      <c r="QOS518" s="1358"/>
      <c r="QOT518" s="1358"/>
      <c r="QOU518" s="1358"/>
      <c r="QOV518" s="1358"/>
      <c r="QOW518" s="1358"/>
      <c r="QOX518" s="1358"/>
      <c r="QOY518" s="1358"/>
      <c r="QOZ518" s="1358"/>
      <c r="QPA518" s="1358"/>
      <c r="QPB518" s="1358"/>
      <c r="QPC518" s="1358"/>
      <c r="QPD518" s="1358"/>
      <c r="QPE518" s="1358"/>
      <c r="QPF518" s="1358"/>
      <c r="QPG518" s="1358"/>
      <c r="QPH518" s="1358"/>
      <c r="QPI518" s="1358"/>
      <c r="QPJ518" s="1358"/>
      <c r="QPK518" s="1358"/>
      <c r="QPL518" s="1358"/>
      <c r="QPM518" s="1358"/>
      <c r="QPN518" s="1358"/>
      <c r="QPO518" s="1358"/>
      <c r="QPP518" s="1358"/>
      <c r="QPQ518" s="1358"/>
      <c r="QPR518" s="1358"/>
      <c r="QPS518" s="1358"/>
      <c r="QPT518" s="1358"/>
      <c r="QPU518" s="1358"/>
      <c r="QPV518" s="1358"/>
      <c r="QPW518" s="1358"/>
      <c r="QPX518" s="1358"/>
      <c r="QPY518" s="1358"/>
      <c r="QPZ518" s="1358"/>
      <c r="QQA518" s="1358"/>
      <c r="QQB518" s="1358"/>
      <c r="QQC518" s="1358"/>
      <c r="QQD518" s="1358"/>
      <c r="QQE518" s="1358"/>
      <c r="QQF518" s="1358"/>
      <c r="QQG518" s="1358"/>
      <c r="QQH518" s="1358"/>
      <c r="QQI518" s="1358"/>
      <c r="QQJ518" s="1358"/>
      <c r="QQK518" s="1358"/>
      <c r="QQL518" s="1358"/>
      <c r="QQM518" s="1358"/>
      <c r="QQN518" s="1358"/>
      <c r="QQO518" s="1358"/>
      <c r="QQP518" s="1358"/>
      <c r="QQQ518" s="1358"/>
      <c r="QQR518" s="1358"/>
      <c r="QQS518" s="1358"/>
      <c r="QQT518" s="1358"/>
      <c r="QQU518" s="1358"/>
      <c r="QQV518" s="1358"/>
      <c r="QQW518" s="1358"/>
      <c r="QQX518" s="1358"/>
      <c r="QQY518" s="1358"/>
      <c r="QQZ518" s="1358"/>
      <c r="QRA518" s="1358"/>
      <c r="QRB518" s="1358"/>
      <c r="QRC518" s="1358"/>
      <c r="QRD518" s="1358"/>
      <c r="QRE518" s="1358"/>
      <c r="QRF518" s="1358"/>
      <c r="QRG518" s="1358"/>
      <c r="QRH518" s="1358"/>
      <c r="QRI518" s="1358"/>
      <c r="QRJ518" s="1358"/>
      <c r="QRK518" s="1358"/>
      <c r="QRL518" s="1358"/>
      <c r="QRM518" s="1358"/>
      <c r="QRN518" s="1358"/>
      <c r="QRO518" s="1358"/>
      <c r="QRP518" s="1358"/>
      <c r="QRQ518" s="1358"/>
      <c r="QRR518" s="1358"/>
      <c r="QRS518" s="1358"/>
      <c r="QRT518" s="1358"/>
      <c r="QRU518" s="1358"/>
      <c r="QRV518" s="1358"/>
      <c r="QRW518" s="1358"/>
      <c r="QRX518" s="1358"/>
      <c r="QRY518" s="1358"/>
      <c r="QRZ518" s="1358"/>
      <c r="QSA518" s="1358"/>
      <c r="QSB518" s="1358"/>
      <c r="QSC518" s="1358"/>
      <c r="QSD518" s="1358"/>
      <c r="QSE518" s="1358"/>
      <c r="QSF518" s="1358"/>
      <c r="QSG518" s="1358"/>
      <c r="QSH518" s="1358"/>
      <c r="QSI518" s="1358"/>
      <c r="QSJ518" s="1358"/>
      <c r="QSK518" s="1358"/>
      <c r="QSL518" s="1358"/>
      <c r="QSM518" s="1358"/>
      <c r="QSN518" s="1358"/>
      <c r="QSO518" s="1358"/>
      <c r="QSP518" s="1358"/>
      <c r="QSQ518" s="1358"/>
      <c r="QSR518" s="1358"/>
      <c r="QSS518" s="1358"/>
      <c r="QST518" s="1358"/>
      <c r="QSU518" s="1358"/>
      <c r="QSV518" s="1358"/>
      <c r="QSW518" s="1358"/>
      <c r="QSX518" s="1358"/>
      <c r="QSY518" s="1358"/>
      <c r="QSZ518" s="1358"/>
      <c r="QTA518" s="1358"/>
      <c r="QTB518" s="1358"/>
      <c r="QTC518" s="1358"/>
      <c r="QTD518" s="1358"/>
      <c r="QTE518" s="1358"/>
      <c r="QTF518" s="1358"/>
      <c r="QTG518" s="1358"/>
      <c r="QTH518" s="1358"/>
      <c r="QTI518" s="1358"/>
      <c r="QTJ518" s="1358"/>
      <c r="QTK518" s="1358"/>
      <c r="QTL518" s="1358"/>
      <c r="QTM518" s="1358"/>
      <c r="QTN518" s="1358"/>
      <c r="QTO518" s="1358"/>
      <c r="QTP518" s="1358"/>
      <c r="QTQ518" s="1358"/>
      <c r="QTR518" s="1358"/>
      <c r="QTS518" s="1358"/>
      <c r="QTT518" s="1358"/>
      <c r="QTU518" s="1358"/>
      <c r="QTV518" s="1358"/>
      <c r="QTW518" s="1358"/>
      <c r="QTX518" s="1358"/>
      <c r="QTY518" s="1358"/>
      <c r="QTZ518" s="1358"/>
      <c r="QUA518" s="1358"/>
      <c r="QUB518" s="1358"/>
      <c r="QUC518" s="1358"/>
      <c r="QUD518" s="1358"/>
      <c r="QUE518" s="1358"/>
      <c r="QUF518" s="1358"/>
      <c r="QUG518" s="1358"/>
      <c r="QUH518" s="1358"/>
      <c r="QUI518" s="1358"/>
      <c r="QUJ518" s="1358"/>
      <c r="QUK518" s="1358"/>
      <c r="QUL518" s="1358"/>
      <c r="QUM518" s="1358"/>
      <c r="QUN518" s="1358"/>
      <c r="QUO518" s="1358"/>
      <c r="QUP518" s="1358"/>
      <c r="QUQ518" s="1358"/>
      <c r="QUR518" s="1358"/>
      <c r="QUS518" s="1358"/>
      <c r="QUT518" s="1358"/>
      <c r="QUU518" s="1358"/>
      <c r="QUV518" s="1358"/>
      <c r="QUW518" s="1358"/>
      <c r="QUX518" s="1358"/>
      <c r="QUY518" s="1358"/>
      <c r="QUZ518" s="1358"/>
      <c r="QVA518" s="1358"/>
      <c r="QVB518" s="1358"/>
      <c r="QVC518" s="1358"/>
      <c r="QVD518" s="1358"/>
      <c r="QVE518" s="1358"/>
      <c r="QVF518" s="1358"/>
      <c r="QVG518" s="1358"/>
      <c r="QVH518" s="1358"/>
      <c r="QVI518" s="1358"/>
      <c r="QVJ518" s="1358"/>
      <c r="QVK518" s="1358"/>
      <c r="QVL518" s="1358"/>
      <c r="QVM518" s="1358"/>
      <c r="QVN518" s="1358"/>
      <c r="QVO518" s="1358"/>
      <c r="QVP518" s="1358"/>
      <c r="QVQ518" s="1358"/>
      <c r="QVR518" s="1358"/>
      <c r="QVS518" s="1358"/>
      <c r="QVT518" s="1358"/>
      <c r="QVU518" s="1358"/>
      <c r="QVV518" s="1358"/>
      <c r="QVW518" s="1358"/>
      <c r="QVX518" s="1358"/>
      <c r="QVY518" s="1358"/>
      <c r="QVZ518" s="1358"/>
      <c r="QWA518" s="1358"/>
      <c r="QWB518" s="1358"/>
      <c r="QWC518" s="1358"/>
      <c r="QWD518" s="1358"/>
      <c r="QWE518" s="1358"/>
      <c r="QWF518" s="1358"/>
      <c r="QWG518" s="1358"/>
      <c r="QWH518" s="1358"/>
      <c r="QWI518" s="1358"/>
      <c r="QWJ518" s="1358"/>
      <c r="QWK518" s="1358"/>
      <c r="QWL518" s="1358"/>
      <c r="QWM518" s="1358"/>
      <c r="QWN518" s="1358"/>
      <c r="QWO518" s="1358"/>
      <c r="QWP518" s="1358"/>
      <c r="QWQ518" s="1358"/>
      <c r="QWR518" s="1358"/>
      <c r="QWS518" s="1358"/>
      <c r="QWT518" s="1358"/>
      <c r="QWU518" s="1358"/>
      <c r="QWV518" s="1358"/>
      <c r="QWW518" s="1358"/>
      <c r="QWX518" s="1358"/>
      <c r="QWY518" s="1358"/>
      <c r="QWZ518" s="1358"/>
      <c r="QXA518" s="1358"/>
      <c r="QXB518" s="1358"/>
      <c r="QXC518" s="1358"/>
      <c r="QXD518" s="1358"/>
      <c r="QXE518" s="1358"/>
      <c r="QXF518" s="1358"/>
      <c r="QXG518" s="1358"/>
      <c r="QXH518" s="1358"/>
      <c r="QXI518" s="1358"/>
      <c r="QXJ518" s="1358"/>
      <c r="QXK518" s="1358"/>
      <c r="QXL518" s="1358"/>
      <c r="QXM518" s="1358"/>
      <c r="QXN518" s="1358"/>
      <c r="QXO518" s="1358"/>
      <c r="QXP518" s="1358"/>
      <c r="QXQ518" s="1358"/>
      <c r="QXR518" s="1358"/>
      <c r="QXS518" s="1358"/>
      <c r="QXT518" s="1358"/>
      <c r="QXU518" s="1358"/>
      <c r="QXV518" s="1358"/>
      <c r="QXW518" s="1358"/>
      <c r="QXX518" s="1358"/>
      <c r="QXY518" s="1358"/>
      <c r="QXZ518" s="1358"/>
      <c r="QYA518" s="1358"/>
      <c r="QYB518" s="1358"/>
      <c r="QYC518" s="1358"/>
      <c r="QYD518" s="1358"/>
      <c r="QYE518" s="1358"/>
      <c r="QYF518" s="1358"/>
      <c r="QYG518" s="1358"/>
      <c r="QYH518" s="1358"/>
      <c r="QYI518" s="1358"/>
      <c r="QYJ518" s="1358"/>
      <c r="QYK518" s="1358"/>
      <c r="QYL518" s="1358"/>
      <c r="QYM518" s="1358"/>
      <c r="QYN518" s="1358"/>
      <c r="QYO518" s="1358"/>
      <c r="QYP518" s="1358"/>
      <c r="QYQ518" s="1358"/>
      <c r="QYR518" s="1358"/>
      <c r="QYS518" s="1358"/>
      <c r="QYT518" s="1358"/>
      <c r="QYU518" s="1358"/>
      <c r="QYV518" s="1358"/>
      <c r="QYW518" s="1358"/>
      <c r="QYX518" s="1358"/>
      <c r="QYY518" s="1358"/>
      <c r="QYZ518" s="1358"/>
      <c r="QZA518" s="1358"/>
      <c r="QZB518" s="1358"/>
      <c r="QZC518" s="1358"/>
      <c r="QZD518" s="1358"/>
      <c r="QZE518" s="1358"/>
      <c r="QZF518" s="1358"/>
      <c r="QZG518" s="1358"/>
      <c r="QZH518" s="1358"/>
      <c r="QZI518" s="1358"/>
      <c r="QZJ518" s="1358"/>
      <c r="QZK518" s="1358"/>
      <c r="QZL518" s="1358"/>
      <c r="QZM518" s="1358"/>
      <c r="QZN518" s="1358"/>
      <c r="QZO518" s="1358"/>
      <c r="QZP518" s="1358"/>
      <c r="QZQ518" s="1358"/>
      <c r="QZR518" s="1358"/>
      <c r="QZS518" s="1358"/>
      <c r="QZT518" s="1358"/>
      <c r="QZU518" s="1358"/>
      <c r="QZV518" s="1358"/>
      <c r="QZW518" s="1358"/>
      <c r="QZX518" s="1358"/>
      <c r="QZY518" s="1358"/>
      <c r="QZZ518" s="1358"/>
      <c r="RAA518" s="1358"/>
      <c r="RAB518" s="1358"/>
      <c r="RAC518" s="1358"/>
      <c r="RAD518" s="1358"/>
      <c r="RAE518" s="1358"/>
      <c r="RAF518" s="1358"/>
      <c r="RAG518" s="1358"/>
      <c r="RAH518" s="1358"/>
      <c r="RAI518" s="1358"/>
      <c r="RAJ518" s="1358"/>
      <c r="RAK518" s="1358"/>
      <c r="RAL518" s="1358"/>
      <c r="RAM518" s="1358"/>
      <c r="RAN518" s="1358"/>
      <c r="RAO518" s="1358"/>
      <c r="RAP518" s="1358"/>
      <c r="RAQ518" s="1358"/>
      <c r="RAR518" s="1358"/>
      <c r="RAS518" s="1358"/>
      <c r="RAT518" s="1358"/>
      <c r="RAU518" s="1358"/>
      <c r="RAV518" s="1358"/>
      <c r="RAW518" s="1358"/>
      <c r="RAX518" s="1358"/>
      <c r="RAY518" s="1358"/>
      <c r="RAZ518" s="1358"/>
      <c r="RBA518" s="1358"/>
      <c r="RBB518" s="1358"/>
      <c r="RBC518" s="1358"/>
      <c r="RBD518" s="1358"/>
      <c r="RBE518" s="1358"/>
      <c r="RBF518" s="1358"/>
      <c r="RBG518" s="1358"/>
      <c r="RBH518" s="1358"/>
      <c r="RBI518" s="1358"/>
      <c r="RBJ518" s="1358"/>
      <c r="RBK518" s="1358"/>
      <c r="RBL518" s="1358"/>
      <c r="RBM518" s="1358"/>
      <c r="RBN518" s="1358"/>
      <c r="RBO518" s="1358"/>
      <c r="RBP518" s="1358"/>
      <c r="RBQ518" s="1358"/>
      <c r="RBR518" s="1358"/>
      <c r="RBS518" s="1358"/>
      <c r="RBT518" s="1358"/>
      <c r="RBU518" s="1358"/>
      <c r="RBV518" s="1358"/>
      <c r="RBW518" s="1358"/>
      <c r="RBX518" s="1358"/>
      <c r="RBY518" s="1358"/>
      <c r="RBZ518" s="1358"/>
      <c r="RCA518" s="1358"/>
      <c r="RCB518" s="1358"/>
      <c r="RCC518" s="1358"/>
      <c r="RCD518" s="1358"/>
      <c r="RCE518" s="1358"/>
      <c r="RCF518" s="1358"/>
      <c r="RCG518" s="1358"/>
      <c r="RCH518" s="1358"/>
      <c r="RCI518" s="1358"/>
      <c r="RCJ518" s="1358"/>
      <c r="RCK518" s="1358"/>
      <c r="RCL518" s="1358"/>
      <c r="RCM518" s="1358"/>
      <c r="RCN518" s="1358"/>
      <c r="RCO518" s="1358"/>
      <c r="RCP518" s="1358"/>
      <c r="RCQ518" s="1358"/>
      <c r="RCR518" s="1358"/>
      <c r="RCS518" s="1358"/>
      <c r="RCT518" s="1358"/>
      <c r="RCU518" s="1358"/>
      <c r="RCV518" s="1358"/>
      <c r="RCW518" s="1358"/>
      <c r="RCX518" s="1358"/>
      <c r="RCY518" s="1358"/>
      <c r="RCZ518" s="1358"/>
      <c r="RDA518" s="1358"/>
      <c r="RDB518" s="1358"/>
      <c r="RDC518" s="1358"/>
      <c r="RDD518" s="1358"/>
      <c r="RDE518" s="1358"/>
      <c r="RDF518" s="1358"/>
      <c r="RDG518" s="1358"/>
      <c r="RDH518" s="1358"/>
      <c r="RDI518" s="1358"/>
      <c r="RDJ518" s="1358"/>
      <c r="RDK518" s="1358"/>
      <c r="RDL518" s="1358"/>
      <c r="RDM518" s="1358"/>
      <c r="RDN518" s="1358"/>
      <c r="RDO518" s="1358"/>
      <c r="RDP518" s="1358"/>
      <c r="RDQ518" s="1358"/>
      <c r="RDR518" s="1358"/>
      <c r="RDS518" s="1358"/>
      <c r="RDT518" s="1358"/>
      <c r="RDU518" s="1358"/>
      <c r="RDV518" s="1358"/>
      <c r="RDW518" s="1358"/>
      <c r="RDX518" s="1358"/>
      <c r="RDY518" s="1358"/>
      <c r="RDZ518" s="1358"/>
      <c r="REA518" s="1358"/>
      <c r="REB518" s="1358"/>
      <c r="REC518" s="1358"/>
      <c r="RED518" s="1358"/>
      <c r="REE518" s="1358"/>
      <c r="REF518" s="1358"/>
      <c r="REG518" s="1358"/>
      <c r="REH518" s="1358"/>
      <c r="REI518" s="1358"/>
      <c r="REJ518" s="1358"/>
      <c r="REK518" s="1358"/>
      <c r="REL518" s="1358"/>
      <c r="REM518" s="1358"/>
      <c r="REN518" s="1358"/>
      <c r="REO518" s="1358"/>
      <c r="REP518" s="1358"/>
      <c r="REQ518" s="1358"/>
      <c r="RER518" s="1358"/>
      <c r="RES518" s="1358"/>
      <c r="RET518" s="1358"/>
      <c r="REU518" s="1358"/>
      <c r="REV518" s="1358"/>
      <c r="REW518" s="1358"/>
      <c r="REX518" s="1358"/>
      <c r="REY518" s="1358"/>
      <c r="REZ518" s="1358"/>
      <c r="RFA518" s="1358"/>
      <c r="RFB518" s="1358"/>
      <c r="RFC518" s="1358"/>
      <c r="RFD518" s="1358"/>
      <c r="RFE518" s="1358"/>
      <c r="RFF518" s="1358"/>
      <c r="RFG518" s="1358"/>
      <c r="RFH518" s="1358"/>
      <c r="RFI518" s="1358"/>
      <c r="RFJ518" s="1358"/>
      <c r="RFK518" s="1358"/>
      <c r="RFL518" s="1358"/>
      <c r="RFM518" s="1358"/>
      <c r="RFN518" s="1358"/>
      <c r="RFO518" s="1358"/>
      <c r="RFP518" s="1358"/>
      <c r="RFQ518" s="1358"/>
      <c r="RFR518" s="1358"/>
      <c r="RFS518" s="1358"/>
      <c r="RFT518" s="1358"/>
      <c r="RFU518" s="1358"/>
      <c r="RFV518" s="1358"/>
      <c r="RFW518" s="1358"/>
      <c r="RFX518" s="1358"/>
      <c r="RFY518" s="1358"/>
      <c r="RFZ518" s="1358"/>
      <c r="RGA518" s="1358"/>
      <c r="RGB518" s="1358"/>
      <c r="RGC518" s="1358"/>
      <c r="RGD518" s="1358"/>
      <c r="RGE518" s="1358"/>
      <c r="RGF518" s="1358"/>
      <c r="RGG518" s="1358"/>
      <c r="RGH518" s="1358"/>
      <c r="RGI518" s="1358"/>
      <c r="RGJ518" s="1358"/>
      <c r="RGK518" s="1358"/>
      <c r="RGL518" s="1358"/>
      <c r="RGM518" s="1358"/>
      <c r="RGN518" s="1358"/>
      <c r="RGO518" s="1358"/>
      <c r="RGP518" s="1358"/>
      <c r="RGQ518" s="1358"/>
      <c r="RGR518" s="1358"/>
      <c r="RGS518" s="1358"/>
      <c r="RGT518" s="1358"/>
      <c r="RGU518" s="1358"/>
      <c r="RGV518" s="1358"/>
      <c r="RGW518" s="1358"/>
      <c r="RGX518" s="1358"/>
      <c r="RGY518" s="1358"/>
      <c r="RGZ518" s="1358"/>
      <c r="RHA518" s="1358"/>
      <c r="RHB518" s="1358"/>
      <c r="RHC518" s="1358"/>
      <c r="RHD518" s="1358"/>
      <c r="RHE518" s="1358"/>
      <c r="RHF518" s="1358"/>
      <c r="RHG518" s="1358"/>
      <c r="RHH518" s="1358"/>
      <c r="RHI518" s="1358"/>
      <c r="RHJ518" s="1358"/>
      <c r="RHK518" s="1358"/>
      <c r="RHL518" s="1358"/>
      <c r="RHM518" s="1358"/>
      <c r="RHN518" s="1358"/>
      <c r="RHO518" s="1358"/>
      <c r="RHP518" s="1358"/>
      <c r="RHQ518" s="1358"/>
      <c r="RHR518" s="1358"/>
      <c r="RHS518" s="1358"/>
      <c r="RHT518" s="1358"/>
      <c r="RHU518" s="1358"/>
      <c r="RHV518" s="1358"/>
      <c r="RHW518" s="1358"/>
      <c r="RHX518" s="1358"/>
      <c r="RHY518" s="1358"/>
      <c r="RHZ518" s="1358"/>
      <c r="RIA518" s="1358"/>
      <c r="RIB518" s="1358"/>
      <c r="RIC518" s="1358"/>
      <c r="RID518" s="1358"/>
      <c r="RIE518" s="1358"/>
      <c r="RIF518" s="1358"/>
      <c r="RIG518" s="1358"/>
      <c r="RIH518" s="1358"/>
      <c r="RII518" s="1358"/>
      <c r="RIJ518" s="1358"/>
      <c r="RIK518" s="1358"/>
      <c r="RIL518" s="1358"/>
      <c r="RIM518" s="1358"/>
      <c r="RIN518" s="1358"/>
      <c r="RIO518" s="1358"/>
      <c r="RIP518" s="1358"/>
      <c r="RIQ518" s="1358"/>
      <c r="RIR518" s="1358"/>
      <c r="RIS518" s="1358"/>
      <c r="RIT518" s="1358"/>
      <c r="RIU518" s="1358"/>
      <c r="RIV518" s="1358"/>
      <c r="RIW518" s="1358"/>
      <c r="RIX518" s="1358"/>
      <c r="RIY518" s="1358"/>
      <c r="RIZ518" s="1358"/>
      <c r="RJA518" s="1358"/>
      <c r="RJB518" s="1358"/>
      <c r="RJC518" s="1358"/>
      <c r="RJD518" s="1358"/>
      <c r="RJE518" s="1358"/>
      <c r="RJF518" s="1358"/>
      <c r="RJG518" s="1358"/>
      <c r="RJH518" s="1358"/>
      <c r="RJI518" s="1358"/>
      <c r="RJJ518" s="1358"/>
      <c r="RJK518" s="1358"/>
      <c r="RJL518" s="1358"/>
      <c r="RJM518" s="1358"/>
      <c r="RJN518" s="1358"/>
      <c r="RJO518" s="1358"/>
      <c r="RJP518" s="1358"/>
      <c r="RJQ518" s="1358"/>
      <c r="RJR518" s="1358"/>
      <c r="RJS518" s="1358"/>
      <c r="RJT518" s="1358"/>
      <c r="RJU518" s="1358"/>
      <c r="RJV518" s="1358"/>
      <c r="RJW518" s="1358"/>
      <c r="RJX518" s="1358"/>
      <c r="RJY518" s="1358"/>
      <c r="RJZ518" s="1358"/>
      <c r="RKA518" s="1358"/>
      <c r="RKB518" s="1358"/>
      <c r="RKC518" s="1358"/>
      <c r="RKD518" s="1358"/>
      <c r="RKE518" s="1358"/>
      <c r="RKF518" s="1358"/>
      <c r="RKG518" s="1358"/>
      <c r="RKH518" s="1358"/>
      <c r="RKI518" s="1358"/>
      <c r="RKJ518" s="1358"/>
      <c r="RKK518" s="1358"/>
      <c r="RKL518" s="1358"/>
      <c r="RKM518" s="1358"/>
      <c r="RKN518" s="1358"/>
      <c r="RKO518" s="1358"/>
      <c r="RKP518" s="1358"/>
      <c r="RKQ518" s="1358"/>
      <c r="RKR518" s="1358"/>
      <c r="RKS518" s="1358"/>
      <c r="RKT518" s="1358"/>
      <c r="RKU518" s="1358"/>
      <c r="RKV518" s="1358"/>
      <c r="RKW518" s="1358"/>
      <c r="RKX518" s="1358"/>
      <c r="RKY518" s="1358"/>
      <c r="RKZ518" s="1358"/>
      <c r="RLA518" s="1358"/>
      <c r="RLB518" s="1358"/>
      <c r="RLC518" s="1358"/>
      <c r="RLD518" s="1358"/>
      <c r="RLE518" s="1358"/>
      <c r="RLF518" s="1358"/>
      <c r="RLG518" s="1358"/>
      <c r="RLH518" s="1358"/>
      <c r="RLI518" s="1358"/>
      <c r="RLJ518" s="1358"/>
      <c r="RLK518" s="1358"/>
      <c r="RLL518" s="1358"/>
      <c r="RLM518" s="1358"/>
      <c r="RLN518" s="1358"/>
      <c r="RLO518" s="1358"/>
      <c r="RLP518" s="1358"/>
      <c r="RLQ518" s="1358"/>
      <c r="RLR518" s="1358"/>
      <c r="RLS518" s="1358"/>
      <c r="RLT518" s="1358"/>
      <c r="RLU518" s="1358"/>
      <c r="RLV518" s="1358"/>
      <c r="RLW518" s="1358"/>
      <c r="RLX518" s="1358"/>
      <c r="RLY518" s="1358"/>
      <c r="RLZ518" s="1358"/>
      <c r="RMA518" s="1358"/>
      <c r="RMB518" s="1358"/>
      <c r="RMC518" s="1358"/>
      <c r="RMD518" s="1358"/>
      <c r="RME518" s="1358"/>
      <c r="RMF518" s="1358"/>
      <c r="RMG518" s="1358"/>
      <c r="RMH518" s="1358"/>
      <c r="RMI518" s="1358"/>
      <c r="RMJ518" s="1358"/>
      <c r="RMK518" s="1358"/>
      <c r="RML518" s="1358"/>
      <c r="RMM518" s="1358"/>
      <c r="RMN518" s="1358"/>
      <c r="RMO518" s="1358"/>
      <c r="RMP518" s="1358"/>
      <c r="RMQ518" s="1358"/>
      <c r="RMR518" s="1358"/>
      <c r="RMS518" s="1358"/>
      <c r="RMT518" s="1358"/>
      <c r="RMU518" s="1358"/>
      <c r="RMV518" s="1358"/>
      <c r="RMW518" s="1358"/>
      <c r="RMX518" s="1358"/>
      <c r="RMY518" s="1358"/>
      <c r="RMZ518" s="1358"/>
      <c r="RNA518" s="1358"/>
      <c r="RNB518" s="1358"/>
      <c r="RNC518" s="1358"/>
      <c r="RND518" s="1358"/>
      <c r="RNE518" s="1358"/>
      <c r="RNF518" s="1358"/>
      <c r="RNG518" s="1358"/>
      <c r="RNH518" s="1358"/>
      <c r="RNI518" s="1358"/>
      <c r="RNJ518" s="1358"/>
      <c r="RNK518" s="1358"/>
      <c r="RNL518" s="1358"/>
      <c r="RNM518" s="1358"/>
      <c r="RNN518" s="1358"/>
      <c r="RNO518" s="1358"/>
      <c r="RNP518" s="1358"/>
      <c r="RNQ518" s="1358"/>
      <c r="RNR518" s="1358"/>
      <c r="RNS518" s="1358"/>
      <c r="RNT518" s="1358"/>
      <c r="RNU518" s="1358"/>
      <c r="RNV518" s="1358"/>
      <c r="RNW518" s="1358"/>
      <c r="RNX518" s="1358"/>
      <c r="RNY518" s="1358"/>
      <c r="RNZ518" s="1358"/>
      <c r="ROA518" s="1358"/>
      <c r="ROB518" s="1358"/>
      <c r="ROC518" s="1358"/>
      <c r="ROD518" s="1358"/>
      <c r="ROE518" s="1358"/>
      <c r="ROF518" s="1358"/>
      <c r="ROG518" s="1358"/>
      <c r="ROH518" s="1358"/>
      <c r="ROI518" s="1358"/>
      <c r="ROJ518" s="1358"/>
      <c r="ROK518" s="1358"/>
      <c r="ROL518" s="1358"/>
      <c r="ROM518" s="1358"/>
      <c r="RON518" s="1358"/>
      <c r="ROO518" s="1358"/>
      <c r="ROP518" s="1358"/>
      <c r="ROQ518" s="1358"/>
      <c r="ROR518" s="1358"/>
      <c r="ROS518" s="1358"/>
      <c r="ROT518" s="1358"/>
      <c r="ROU518" s="1358"/>
      <c r="ROV518" s="1358"/>
      <c r="ROW518" s="1358"/>
      <c r="ROX518" s="1358"/>
      <c r="ROY518" s="1358"/>
      <c r="ROZ518" s="1358"/>
      <c r="RPA518" s="1358"/>
      <c r="RPB518" s="1358"/>
      <c r="RPC518" s="1358"/>
      <c r="RPD518" s="1358"/>
      <c r="RPE518" s="1358"/>
      <c r="RPF518" s="1358"/>
      <c r="RPG518" s="1358"/>
      <c r="RPH518" s="1358"/>
      <c r="RPI518" s="1358"/>
      <c r="RPJ518" s="1358"/>
      <c r="RPK518" s="1358"/>
      <c r="RPL518" s="1358"/>
      <c r="RPM518" s="1358"/>
      <c r="RPN518" s="1358"/>
      <c r="RPO518" s="1358"/>
      <c r="RPP518" s="1358"/>
      <c r="RPQ518" s="1358"/>
      <c r="RPR518" s="1358"/>
      <c r="RPS518" s="1358"/>
      <c r="RPT518" s="1358"/>
      <c r="RPU518" s="1358"/>
      <c r="RPV518" s="1358"/>
      <c r="RPW518" s="1358"/>
      <c r="RPX518" s="1358"/>
      <c r="RPY518" s="1358"/>
      <c r="RPZ518" s="1358"/>
      <c r="RQA518" s="1358"/>
      <c r="RQB518" s="1358"/>
      <c r="RQC518" s="1358"/>
      <c r="RQD518" s="1358"/>
      <c r="RQE518" s="1358"/>
      <c r="RQF518" s="1358"/>
      <c r="RQG518" s="1358"/>
      <c r="RQH518" s="1358"/>
      <c r="RQI518" s="1358"/>
      <c r="RQJ518" s="1358"/>
      <c r="RQK518" s="1358"/>
      <c r="RQL518" s="1358"/>
      <c r="RQM518" s="1358"/>
      <c r="RQN518" s="1358"/>
      <c r="RQO518" s="1358"/>
      <c r="RQP518" s="1358"/>
      <c r="RQQ518" s="1358"/>
      <c r="RQR518" s="1358"/>
      <c r="RQS518" s="1358"/>
      <c r="RQT518" s="1358"/>
      <c r="RQU518" s="1358"/>
      <c r="RQV518" s="1358"/>
      <c r="RQW518" s="1358"/>
      <c r="RQX518" s="1358"/>
      <c r="RQY518" s="1358"/>
      <c r="RQZ518" s="1358"/>
      <c r="RRA518" s="1358"/>
      <c r="RRB518" s="1358"/>
      <c r="RRC518" s="1358"/>
      <c r="RRD518" s="1358"/>
      <c r="RRE518" s="1358"/>
      <c r="RRF518" s="1358"/>
      <c r="RRG518" s="1358"/>
      <c r="RRH518" s="1358"/>
      <c r="RRI518" s="1358"/>
      <c r="RRJ518" s="1358"/>
      <c r="RRK518" s="1358"/>
      <c r="RRL518" s="1358"/>
      <c r="RRM518" s="1358"/>
      <c r="RRN518" s="1358"/>
      <c r="RRO518" s="1358"/>
      <c r="RRP518" s="1358"/>
      <c r="RRQ518" s="1358"/>
      <c r="RRR518" s="1358"/>
      <c r="RRS518" s="1358"/>
      <c r="RRT518" s="1358"/>
      <c r="RRU518" s="1358"/>
      <c r="RRV518" s="1358"/>
      <c r="RRW518" s="1358"/>
      <c r="RRX518" s="1358"/>
      <c r="RRY518" s="1358"/>
      <c r="RRZ518" s="1358"/>
      <c r="RSA518" s="1358"/>
      <c r="RSB518" s="1358"/>
      <c r="RSC518" s="1358"/>
      <c r="RSD518" s="1358"/>
      <c r="RSE518" s="1358"/>
      <c r="RSF518" s="1358"/>
      <c r="RSG518" s="1358"/>
      <c r="RSH518" s="1358"/>
      <c r="RSI518" s="1358"/>
      <c r="RSJ518" s="1358"/>
      <c r="RSK518" s="1358"/>
      <c r="RSL518" s="1358"/>
      <c r="RSM518" s="1358"/>
      <c r="RSN518" s="1358"/>
      <c r="RSO518" s="1358"/>
      <c r="RSP518" s="1358"/>
      <c r="RSQ518" s="1358"/>
      <c r="RSR518" s="1358"/>
      <c r="RSS518" s="1358"/>
      <c r="RST518" s="1358"/>
      <c r="RSU518" s="1358"/>
      <c r="RSV518" s="1358"/>
      <c r="RSW518" s="1358"/>
      <c r="RSX518" s="1358"/>
      <c r="RSY518" s="1358"/>
      <c r="RSZ518" s="1358"/>
      <c r="RTA518" s="1358"/>
      <c r="RTB518" s="1358"/>
      <c r="RTC518" s="1358"/>
      <c r="RTD518" s="1358"/>
      <c r="RTE518" s="1358"/>
      <c r="RTF518" s="1358"/>
      <c r="RTG518" s="1358"/>
      <c r="RTH518" s="1358"/>
      <c r="RTI518" s="1358"/>
      <c r="RTJ518" s="1358"/>
      <c r="RTK518" s="1358"/>
      <c r="RTL518" s="1358"/>
      <c r="RTM518" s="1358"/>
      <c r="RTN518" s="1358"/>
      <c r="RTO518" s="1358"/>
      <c r="RTP518" s="1358"/>
      <c r="RTQ518" s="1358"/>
      <c r="RTR518" s="1358"/>
      <c r="RTS518" s="1358"/>
      <c r="RTT518" s="1358"/>
      <c r="RTU518" s="1358"/>
      <c r="RTV518" s="1358"/>
      <c r="RTW518" s="1358"/>
      <c r="RTX518" s="1358"/>
      <c r="RTY518" s="1358"/>
      <c r="RTZ518" s="1358"/>
      <c r="RUA518" s="1358"/>
      <c r="RUB518" s="1358"/>
      <c r="RUC518" s="1358"/>
      <c r="RUD518" s="1358"/>
      <c r="RUE518" s="1358"/>
      <c r="RUF518" s="1358"/>
      <c r="RUG518" s="1358"/>
      <c r="RUH518" s="1358"/>
      <c r="RUI518" s="1358"/>
      <c r="RUJ518" s="1358"/>
      <c r="RUK518" s="1358"/>
      <c r="RUL518" s="1358"/>
      <c r="RUM518" s="1358"/>
      <c r="RUN518" s="1358"/>
      <c r="RUO518" s="1358"/>
      <c r="RUP518" s="1358"/>
      <c r="RUQ518" s="1358"/>
      <c r="RUR518" s="1358"/>
      <c r="RUS518" s="1358"/>
      <c r="RUT518" s="1358"/>
      <c r="RUU518" s="1358"/>
      <c r="RUV518" s="1358"/>
      <c r="RUW518" s="1358"/>
      <c r="RUX518" s="1358"/>
      <c r="RUY518" s="1358"/>
      <c r="RUZ518" s="1358"/>
      <c r="RVA518" s="1358"/>
      <c r="RVB518" s="1358"/>
      <c r="RVC518" s="1358"/>
      <c r="RVD518" s="1358"/>
      <c r="RVE518" s="1358"/>
      <c r="RVF518" s="1358"/>
      <c r="RVG518" s="1358"/>
      <c r="RVH518" s="1358"/>
      <c r="RVI518" s="1358"/>
      <c r="RVJ518" s="1358"/>
      <c r="RVK518" s="1358"/>
      <c r="RVL518" s="1358"/>
      <c r="RVM518" s="1358"/>
      <c r="RVN518" s="1358"/>
      <c r="RVO518" s="1358"/>
      <c r="RVP518" s="1358"/>
      <c r="RVQ518" s="1358"/>
      <c r="RVR518" s="1358"/>
      <c r="RVS518" s="1358"/>
      <c r="RVT518" s="1358"/>
      <c r="RVU518" s="1358"/>
      <c r="RVV518" s="1358"/>
      <c r="RVW518" s="1358"/>
      <c r="RVX518" s="1358"/>
      <c r="RVY518" s="1358"/>
      <c r="RVZ518" s="1358"/>
      <c r="RWA518" s="1358"/>
      <c r="RWB518" s="1358"/>
      <c r="RWC518" s="1358"/>
      <c r="RWD518" s="1358"/>
      <c r="RWE518" s="1358"/>
      <c r="RWF518" s="1358"/>
      <c r="RWG518" s="1358"/>
      <c r="RWH518" s="1358"/>
      <c r="RWI518" s="1358"/>
      <c r="RWJ518" s="1358"/>
      <c r="RWK518" s="1358"/>
      <c r="RWL518" s="1358"/>
      <c r="RWM518" s="1358"/>
      <c r="RWN518" s="1358"/>
      <c r="RWO518" s="1358"/>
      <c r="RWP518" s="1358"/>
      <c r="RWQ518" s="1358"/>
      <c r="RWR518" s="1358"/>
      <c r="RWS518" s="1358"/>
      <c r="RWT518" s="1358"/>
      <c r="RWU518" s="1358"/>
      <c r="RWV518" s="1358"/>
      <c r="RWW518" s="1358"/>
      <c r="RWX518" s="1358"/>
      <c r="RWY518" s="1358"/>
      <c r="RWZ518" s="1358"/>
      <c r="RXA518" s="1358"/>
      <c r="RXB518" s="1358"/>
      <c r="RXC518" s="1358"/>
      <c r="RXD518" s="1358"/>
      <c r="RXE518" s="1358"/>
      <c r="RXF518" s="1358"/>
      <c r="RXG518" s="1358"/>
      <c r="RXH518" s="1358"/>
      <c r="RXI518" s="1358"/>
      <c r="RXJ518" s="1358"/>
      <c r="RXK518" s="1358"/>
      <c r="RXL518" s="1358"/>
      <c r="RXM518" s="1358"/>
      <c r="RXN518" s="1358"/>
      <c r="RXO518" s="1358"/>
      <c r="RXP518" s="1358"/>
      <c r="RXQ518" s="1358"/>
      <c r="RXR518" s="1358"/>
      <c r="RXS518" s="1358"/>
      <c r="RXT518" s="1358"/>
      <c r="RXU518" s="1358"/>
      <c r="RXV518" s="1358"/>
      <c r="RXW518" s="1358"/>
      <c r="RXX518" s="1358"/>
      <c r="RXY518" s="1358"/>
      <c r="RXZ518" s="1358"/>
      <c r="RYA518" s="1358"/>
      <c r="RYB518" s="1358"/>
      <c r="RYC518" s="1358"/>
      <c r="RYD518" s="1358"/>
      <c r="RYE518" s="1358"/>
      <c r="RYF518" s="1358"/>
      <c r="RYG518" s="1358"/>
      <c r="RYH518" s="1358"/>
      <c r="RYI518" s="1358"/>
      <c r="RYJ518" s="1358"/>
      <c r="RYK518" s="1358"/>
      <c r="RYL518" s="1358"/>
      <c r="RYM518" s="1358"/>
      <c r="RYN518" s="1358"/>
      <c r="RYO518" s="1358"/>
      <c r="RYP518" s="1358"/>
      <c r="RYQ518" s="1358"/>
      <c r="RYR518" s="1358"/>
      <c r="RYS518" s="1358"/>
      <c r="RYT518" s="1358"/>
      <c r="RYU518" s="1358"/>
      <c r="RYV518" s="1358"/>
      <c r="RYW518" s="1358"/>
      <c r="RYX518" s="1358"/>
      <c r="RYY518" s="1358"/>
      <c r="RYZ518" s="1358"/>
      <c r="RZA518" s="1358"/>
      <c r="RZB518" s="1358"/>
      <c r="RZC518" s="1358"/>
      <c r="RZD518" s="1358"/>
      <c r="RZE518" s="1358"/>
      <c r="RZF518" s="1358"/>
      <c r="RZG518" s="1358"/>
      <c r="RZH518" s="1358"/>
      <c r="RZI518" s="1358"/>
      <c r="RZJ518" s="1358"/>
      <c r="RZK518" s="1358"/>
      <c r="RZL518" s="1358"/>
      <c r="RZM518" s="1358"/>
      <c r="RZN518" s="1358"/>
      <c r="RZO518" s="1358"/>
      <c r="RZP518" s="1358"/>
      <c r="RZQ518" s="1358"/>
      <c r="RZR518" s="1358"/>
      <c r="RZS518" s="1358"/>
      <c r="RZT518" s="1358"/>
      <c r="RZU518" s="1358"/>
      <c r="RZV518" s="1358"/>
      <c r="RZW518" s="1358"/>
      <c r="RZX518" s="1358"/>
      <c r="RZY518" s="1358"/>
      <c r="RZZ518" s="1358"/>
      <c r="SAA518" s="1358"/>
      <c r="SAB518" s="1358"/>
      <c r="SAC518" s="1358"/>
      <c r="SAD518" s="1358"/>
      <c r="SAE518" s="1358"/>
      <c r="SAF518" s="1358"/>
      <c r="SAG518" s="1358"/>
      <c r="SAH518" s="1358"/>
      <c r="SAI518" s="1358"/>
      <c r="SAJ518" s="1358"/>
      <c r="SAK518" s="1358"/>
      <c r="SAL518" s="1358"/>
      <c r="SAM518" s="1358"/>
      <c r="SAN518" s="1358"/>
      <c r="SAO518" s="1358"/>
      <c r="SAP518" s="1358"/>
      <c r="SAQ518" s="1358"/>
      <c r="SAR518" s="1358"/>
      <c r="SAS518" s="1358"/>
      <c r="SAT518" s="1358"/>
      <c r="SAU518" s="1358"/>
      <c r="SAV518" s="1358"/>
      <c r="SAW518" s="1358"/>
      <c r="SAX518" s="1358"/>
      <c r="SAY518" s="1358"/>
      <c r="SAZ518" s="1358"/>
      <c r="SBA518" s="1358"/>
      <c r="SBB518" s="1358"/>
      <c r="SBC518" s="1358"/>
      <c r="SBD518" s="1358"/>
      <c r="SBE518" s="1358"/>
      <c r="SBF518" s="1358"/>
      <c r="SBG518" s="1358"/>
      <c r="SBH518" s="1358"/>
      <c r="SBI518" s="1358"/>
      <c r="SBJ518" s="1358"/>
      <c r="SBK518" s="1358"/>
      <c r="SBL518" s="1358"/>
      <c r="SBM518" s="1358"/>
      <c r="SBN518" s="1358"/>
      <c r="SBO518" s="1358"/>
      <c r="SBP518" s="1358"/>
      <c r="SBQ518" s="1358"/>
      <c r="SBR518" s="1358"/>
      <c r="SBS518" s="1358"/>
      <c r="SBT518" s="1358"/>
      <c r="SBU518" s="1358"/>
      <c r="SBV518" s="1358"/>
      <c r="SBW518" s="1358"/>
      <c r="SBX518" s="1358"/>
      <c r="SBY518" s="1358"/>
      <c r="SBZ518" s="1358"/>
      <c r="SCA518" s="1358"/>
      <c r="SCB518" s="1358"/>
      <c r="SCC518" s="1358"/>
      <c r="SCD518" s="1358"/>
      <c r="SCE518" s="1358"/>
      <c r="SCF518" s="1358"/>
      <c r="SCG518" s="1358"/>
      <c r="SCH518" s="1358"/>
      <c r="SCI518" s="1358"/>
      <c r="SCJ518" s="1358"/>
      <c r="SCK518" s="1358"/>
      <c r="SCL518" s="1358"/>
      <c r="SCM518" s="1358"/>
      <c r="SCN518" s="1358"/>
      <c r="SCO518" s="1358"/>
      <c r="SCP518" s="1358"/>
      <c r="SCQ518" s="1358"/>
      <c r="SCR518" s="1358"/>
      <c r="SCS518" s="1358"/>
      <c r="SCT518" s="1358"/>
      <c r="SCU518" s="1358"/>
      <c r="SCV518" s="1358"/>
      <c r="SCW518" s="1358"/>
      <c r="SCX518" s="1358"/>
      <c r="SCY518" s="1358"/>
      <c r="SCZ518" s="1358"/>
      <c r="SDA518" s="1358"/>
      <c r="SDB518" s="1358"/>
      <c r="SDC518" s="1358"/>
      <c r="SDD518" s="1358"/>
      <c r="SDE518" s="1358"/>
      <c r="SDF518" s="1358"/>
      <c r="SDG518" s="1358"/>
      <c r="SDH518" s="1358"/>
      <c r="SDI518" s="1358"/>
      <c r="SDJ518" s="1358"/>
      <c r="SDK518" s="1358"/>
      <c r="SDL518" s="1358"/>
      <c r="SDM518" s="1358"/>
      <c r="SDN518" s="1358"/>
      <c r="SDO518" s="1358"/>
      <c r="SDP518" s="1358"/>
      <c r="SDQ518" s="1358"/>
      <c r="SDR518" s="1358"/>
      <c r="SDS518" s="1358"/>
      <c r="SDT518" s="1358"/>
      <c r="SDU518" s="1358"/>
      <c r="SDV518" s="1358"/>
      <c r="SDW518" s="1358"/>
      <c r="SDX518" s="1358"/>
      <c r="SDY518" s="1358"/>
      <c r="SDZ518" s="1358"/>
      <c r="SEA518" s="1358"/>
      <c r="SEB518" s="1358"/>
      <c r="SEC518" s="1358"/>
      <c r="SED518" s="1358"/>
      <c r="SEE518" s="1358"/>
      <c r="SEF518" s="1358"/>
      <c r="SEG518" s="1358"/>
      <c r="SEH518" s="1358"/>
      <c r="SEI518" s="1358"/>
      <c r="SEJ518" s="1358"/>
      <c r="SEK518" s="1358"/>
      <c r="SEL518" s="1358"/>
      <c r="SEM518" s="1358"/>
      <c r="SEN518" s="1358"/>
      <c r="SEO518" s="1358"/>
      <c r="SEP518" s="1358"/>
      <c r="SEQ518" s="1358"/>
      <c r="SER518" s="1358"/>
      <c r="SES518" s="1358"/>
      <c r="SET518" s="1358"/>
      <c r="SEU518" s="1358"/>
      <c r="SEV518" s="1358"/>
      <c r="SEW518" s="1358"/>
      <c r="SEX518" s="1358"/>
      <c r="SEY518" s="1358"/>
      <c r="SEZ518" s="1358"/>
      <c r="SFA518" s="1358"/>
      <c r="SFB518" s="1358"/>
      <c r="SFC518" s="1358"/>
      <c r="SFD518" s="1358"/>
      <c r="SFE518" s="1358"/>
      <c r="SFF518" s="1358"/>
      <c r="SFG518" s="1358"/>
      <c r="SFH518" s="1358"/>
      <c r="SFI518" s="1358"/>
      <c r="SFJ518" s="1358"/>
      <c r="SFK518" s="1358"/>
      <c r="SFL518" s="1358"/>
      <c r="SFM518" s="1358"/>
      <c r="SFN518" s="1358"/>
      <c r="SFO518" s="1358"/>
      <c r="SFP518" s="1358"/>
      <c r="SFQ518" s="1358"/>
      <c r="SFR518" s="1358"/>
      <c r="SFS518" s="1358"/>
      <c r="SFT518" s="1358"/>
      <c r="SFU518" s="1358"/>
      <c r="SFV518" s="1358"/>
      <c r="SFW518" s="1358"/>
      <c r="SFX518" s="1358"/>
      <c r="SFY518" s="1358"/>
      <c r="SFZ518" s="1358"/>
      <c r="SGA518" s="1358"/>
      <c r="SGB518" s="1358"/>
      <c r="SGC518" s="1358"/>
      <c r="SGD518" s="1358"/>
      <c r="SGE518" s="1358"/>
      <c r="SGF518" s="1358"/>
      <c r="SGG518" s="1358"/>
      <c r="SGH518" s="1358"/>
      <c r="SGI518" s="1358"/>
      <c r="SGJ518" s="1358"/>
      <c r="SGK518" s="1358"/>
      <c r="SGL518" s="1358"/>
      <c r="SGM518" s="1358"/>
      <c r="SGN518" s="1358"/>
      <c r="SGO518" s="1358"/>
      <c r="SGP518" s="1358"/>
      <c r="SGQ518" s="1358"/>
      <c r="SGR518" s="1358"/>
      <c r="SGS518" s="1358"/>
      <c r="SGT518" s="1358"/>
      <c r="SGU518" s="1358"/>
      <c r="SGV518" s="1358"/>
      <c r="SGW518" s="1358"/>
      <c r="SGX518" s="1358"/>
      <c r="SGY518" s="1358"/>
      <c r="SGZ518" s="1358"/>
      <c r="SHA518" s="1358"/>
      <c r="SHB518" s="1358"/>
      <c r="SHC518" s="1358"/>
      <c r="SHD518" s="1358"/>
      <c r="SHE518" s="1358"/>
      <c r="SHF518" s="1358"/>
      <c r="SHG518" s="1358"/>
      <c r="SHH518" s="1358"/>
      <c r="SHI518" s="1358"/>
      <c r="SHJ518" s="1358"/>
      <c r="SHK518" s="1358"/>
      <c r="SHL518" s="1358"/>
      <c r="SHM518" s="1358"/>
      <c r="SHN518" s="1358"/>
      <c r="SHO518" s="1358"/>
      <c r="SHP518" s="1358"/>
      <c r="SHQ518" s="1358"/>
      <c r="SHR518" s="1358"/>
      <c r="SHS518" s="1358"/>
      <c r="SHT518" s="1358"/>
      <c r="SHU518" s="1358"/>
      <c r="SHV518" s="1358"/>
      <c r="SHW518" s="1358"/>
      <c r="SHX518" s="1358"/>
      <c r="SHY518" s="1358"/>
      <c r="SHZ518" s="1358"/>
      <c r="SIA518" s="1358"/>
      <c r="SIB518" s="1358"/>
      <c r="SIC518" s="1358"/>
      <c r="SID518" s="1358"/>
      <c r="SIE518" s="1358"/>
      <c r="SIF518" s="1358"/>
      <c r="SIG518" s="1358"/>
      <c r="SIH518" s="1358"/>
      <c r="SII518" s="1358"/>
      <c r="SIJ518" s="1358"/>
      <c r="SIK518" s="1358"/>
      <c r="SIL518" s="1358"/>
      <c r="SIM518" s="1358"/>
      <c r="SIN518" s="1358"/>
      <c r="SIO518" s="1358"/>
      <c r="SIP518" s="1358"/>
      <c r="SIQ518" s="1358"/>
      <c r="SIR518" s="1358"/>
      <c r="SIS518" s="1358"/>
      <c r="SIT518" s="1358"/>
      <c r="SIU518" s="1358"/>
      <c r="SIV518" s="1358"/>
      <c r="SIW518" s="1358"/>
      <c r="SIX518" s="1358"/>
      <c r="SIY518" s="1358"/>
      <c r="SIZ518" s="1358"/>
      <c r="SJA518" s="1358"/>
      <c r="SJB518" s="1358"/>
      <c r="SJC518" s="1358"/>
      <c r="SJD518" s="1358"/>
      <c r="SJE518" s="1358"/>
      <c r="SJF518" s="1358"/>
      <c r="SJG518" s="1358"/>
      <c r="SJH518" s="1358"/>
      <c r="SJI518" s="1358"/>
      <c r="SJJ518" s="1358"/>
      <c r="SJK518" s="1358"/>
      <c r="SJL518" s="1358"/>
      <c r="SJM518" s="1358"/>
      <c r="SJN518" s="1358"/>
      <c r="SJO518" s="1358"/>
      <c r="SJP518" s="1358"/>
      <c r="SJQ518" s="1358"/>
      <c r="SJR518" s="1358"/>
      <c r="SJS518" s="1358"/>
      <c r="SJT518" s="1358"/>
      <c r="SJU518" s="1358"/>
      <c r="SJV518" s="1358"/>
      <c r="SJW518" s="1358"/>
      <c r="SJX518" s="1358"/>
      <c r="SJY518" s="1358"/>
      <c r="SJZ518" s="1358"/>
      <c r="SKA518" s="1358"/>
      <c r="SKB518" s="1358"/>
      <c r="SKC518" s="1358"/>
      <c r="SKD518" s="1358"/>
      <c r="SKE518" s="1358"/>
      <c r="SKF518" s="1358"/>
      <c r="SKG518" s="1358"/>
      <c r="SKH518" s="1358"/>
      <c r="SKI518" s="1358"/>
      <c r="SKJ518" s="1358"/>
      <c r="SKK518" s="1358"/>
      <c r="SKL518" s="1358"/>
      <c r="SKM518" s="1358"/>
      <c r="SKN518" s="1358"/>
      <c r="SKO518" s="1358"/>
      <c r="SKP518" s="1358"/>
      <c r="SKQ518" s="1358"/>
      <c r="SKR518" s="1358"/>
      <c r="SKS518" s="1358"/>
      <c r="SKT518" s="1358"/>
      <c r="SKU518" s="1358"/>
      <c r="SKV518" s="1358"/>
      <c r="SKW518" s="1358"/>
      <c r="SKX518" s="1358"/>
      <c r="SKY518" s="1358"/>
      <c r="SKZ518" s="1358"/>
      <c r="SLA518" s="1358"/>
      <c r="SLB518" s="1358"/>
      <c r="SLC518" s="1358"/>
      <c r="SLD518" s="1358"/>
      <c r="SLE518" s="1358"/>
      <c r="SLF518" s="1358"/>
      <c r="SLG518" s="1358"/>
      <c r="SLH518" s="1358"/>
      <c r="SLI518" s="1358"/>
      <c r="SLJ518" s="1358"/>
      <c r="SLK518" s="1358"/>
      <c r="SLL518" s="1358"/>
      <c r="SLM518" s="1358"/>
      <c r="SLN518" s="1358"/>
      <c r="SLO518" s="1358"/>
      <c r="SLP518" s="1358"/>
      <c r="SLQ518" s="1358"/>
      <c r="SLR518" s="1358"/>
      <c r="SLS518" s="1358"/>
      <c r="SLT518" s="1358"/>
      <c r="SLU518" s="1358"/>
      <c r="SLV518" s="1358"/>
      <c r="SLW518" s="1358"/>
      <c r="SLX518" s="1358"/>
      <c r="SLY518" s="1358"/>
      <c r="SLZ518" s="1358"/>
      <c r="SMA518" s="1358"/>
      <c r="SMB518" s="1358"/>
      <c r="SMC518" s="1358"/>
      <c r="SMD518" s="1358"/>
      <c r="SME518" s="1358"/>
      <c r="SMF518" s="1358"/>
      <c r="SMG518" s="1358"/>
      <c r="SMH518" s="1358"/>
      <c r="SMI518" s="1358"/>
      <c r="SMJ518" s="1358"/>
      <c r="SMK518" s="1358"/>
      <c r="SML518" s="1358"/>
      <c r="SMM518" s="1358"/>
      <c r="SMN518" s="1358"/>
      <c r="SMO518" s="1358"/>
      <c r="SMP518" s="1358"/>
      <c r="SMQ518" s="1358"/>
      <c r="SMR518" s="1358"/>
      <c r="SMS518" s="1358"/>
      <c r="SMT518" s="1358"/>
      <c r="SMU518" s="1358"/>
      <c r="SMV518" s="1358"/>
      <c r="SMW518" s="1358"/>
      <c r="SMX518" s="1358"/>
      <c r="SMY518" s="1358"/>
      <c r="SMZ518" s="1358"/>
      <c r="SNA518" s="1358"/>
      <c r="SNB518" s="1358"/>
      <c r="SNC518" s="1358"/>
      <c r="SND518" s="1358"/>
      <c r="SNE518" s="1358"/>
      <c r="SNF518" s="1358"/>
      <c r="SNG518" s="1358"/>
      <c r="SNH518" s="1358"/>
      <c r="SNI518" s="1358"/>
      <c r="SNJ518" s="1358"/>
      <c r="SNK518" s="1358"/>
      <c r="SNL518" s="1358"/>
      <c r="SNM518" s="1358"/>
      <c r="SNN518" s="1358"/>
      <c r="SNO518" s="1358"/>
      <c r="SNP518" s="1358"/>
      <c r="SNQ518" s="1358"/>
      <c r="SNR518" s="1358"/>
      <c r="SNS518" s="1358"/>
      <c r="SNT518" s="1358"/>
      <c r="SNU518" s="1358"/>
      <c r="SNV518" s="1358"/>
      <c r="SNW518" s="1358"/>
      <c r="SNX518" s="1358"/>
      <c r="SNY518" s="1358"/>
      <c r="SNZ518" s="1358"/>
      <c r="SOA518" s="1358"/>
      <c r="SOB518" s="1358"/>
      <c r="SOC518" s="1358"/>
      <c r="SOD518" s="1358"/>
      <c r="SOE518" s="1358"/>
      <c r="SOF518" s="1358"/>
      <c r="SOG518" s="1358"/>
      <c r="SOH518" s="1358"/>
      <c r="SOI518" s="1358"/>
      <c r="SOJ518" s="1358"/>
      <c r="SOK518" s="1358"/>
      <c r="SOL518" s="1358"/>
      <c r="SOM518" s="1358"/>
      <c r="SON518" s="1358"/>
      <c r="SOO518" s="1358"/>
      <c r="SOP518" s="1358"/>
      <c r="SOQ518" s="1358"/>
      <c r="SOR518" s="1358"/>
      <c r="SOS518" s="1358"/>
      <c r="SOT518" s="1358"/>
      <c r="SOU518" s="1358"/>
      <c r="SOV518" s="1358"/>
      <c r="SOW518" s="1358"/>
      <c r="SOX518" s="1358"/>
      <c r="SOY518" s="1358"/>
      <c r="SOZ518" s="1358"/>
      <c r="SPA518" s="1358"/>
      <c r="SPB518" s="1358"/>
      <c r="SPC518" s="1358"/>
      <c r="SPD518" s="1358"/>
      <c r="SPE518" s="1358"/>
      <c r="SPF518" s="1358"/>
      <c r="SPG518" s="1358"/>
      <c r="SPH518" s="1358"/>
      <c r="SPI518" s="1358"/>
      <c r="SPJ518" s="1358"/>
      <c r="SPK518" s="1358"/>
      <c r="SPL518" s="1358"/>
      <c r="SPM518" s="1358"/>
      <c r="SPN518" s="1358"/>
      <c r="SPO518" s="1358"/>
      <c r="SPP518" s="1358"/>
      <c r="SPQ518" s="1358"/>
      <c r="SPR518" s="1358"/>
      <c r="SPS518" s="1358"/>
      <c r="SPT518" s="1358"/>
      <c r="SPU518" s="1358"/>
      <c r="SPV518" s="1358"/>
      <c r="SPW518" s="1358"/>
      <c r="SPX518" s="1358"/>
      <c r="SPY518" s="1358"/>
      <c r="SPZ518" s="1358"/>
      <c r="SQA518" s="1358"/>
      <c r="SQB518" s="1358"/>
      <c r="SQC518" s="1358"/>
      <c r="SQD518" s="1358"/>
      <c r="SQE518" s="1358"/>
      <c r="SQF518" s="1358"/>
      <c r="SQG518" s="1358"/>
      <c r="SQH518" s="1358"/>
      <c r="SQI518" s="1358"/>
      <c r="SQJ518" s="1358"/>
      <c r="SQK518" s="1358"/>
      <c r="SQL518" s="1358"/>
      <c r="SQM518" s="1358"/>
      <c r="SQN518" s="1358"/>
      <c r="SQO518" s="1358"/>
      <c r="SQP518" s="1358"/>
      <c r="SQQ518" s="1358"/>
      <c r="SQR518" s="1358"/>
      <c r="SQS518" s="1358"/>
      <c r="SQT518" s="1358"/>
      <c r="SQU518" s="1358"/>
      <c r="SQV518" s="1358"/>
      <c r="SQW518" s="1358"/>
      <c r="SQX518" s="1358"/>
      <c r="SQY518" s="1358"/>
      <c r="SQZ518" s="1358"/>
      <c r="SRA518" s="1358"/>
      <c r="SRB518" s="1358"/>
      <c r="SRC518" s="1358"/>
      <c r="SRD518" s="1358"/>
      <c r="SRE518" s="1358"/>
      <c r="SRF518" s="1358"/>
      <c r="SRG518" s="1358"/>
      <c r="SRH518" s="1358"/>
      <c r="SRI518" s="1358"/>
      <c r="SRJ518" s="1358"/>
      <c r="SRK518" s="1358"/>
      <c r="SRL518" s="1358"/>
      <c r="SRM518" s="1358"/>
      <c r="SRN518" s="1358"/>
      <c r="SRO518" s="1358"/>
      <c r="SRP518" s="1358"/>
      <c r="SRQ518" s="1358"/>
      <c r="SRR518" s="1358"/>
      <c r="SRS518" s="1358"/>
      <c r="SRT518" s="1358"/>
      <c r="SRU518" s="1358"/>
      <c r="SRV518" s="1358"/>
      <c r="SRW518" s="1358"/>
      <c r="SRX518" s="1358"/>
      <c r="SRY518" s="1358"/>
      <c r="SRZ518" s="1358"/>
      <c r="SSA518" s="1358"/>
      <c r="SSB518" s="1358"/>
      <c r="SSC518" s="1358"/>
      <c r="SSD518" s="1358"/>
      <c r="SSE518" s="1358"/>
      <c r="SSF518" s="1358"/>
      <c r="SSG518" s="1358"/>
      <c r="SSH518" s="1358"/>
      <c r="SSI518" s="1358"/>
      <c r="SSJ518" s="1358"/>
      <c r="SSK518" s="1358"/>
      <c r="SSL518" s="1358"/>
      <c r="SSM518" s="1358"/>
      <c r="SSN518" s="1358"/>
      <c r="SSO518" s="1358"/>
      <c r="SSP518" s="1358"/>
      <c r="SSQ518" s="1358"/>
      <c r="SSR518" s="1358"/>
      <c r="SSS518" s="1358"/>
      <c r="SST518" s="1358"/>
      <c r="SSU518" s="1358"/>
      <c r="SSV518" s="1358"/>
      <c r="SSW518" s="1358"/>
      <c r="SSX518" s="1358"/>
      <c r="SSY518" s="1358"/>
      <c r="SSZ518" s="1358"/>
      <c r="STA518" s="1358"/>
      <c r="STB518" s="1358"/>
      <c r="STC518" s="1358"/>
      <c r="STD518" s="1358"/>
      <c r="STE518" s="1358"/>
      <c r="STF518" s="1358"/>
      <c r="STG518" s="1358"/>
      <c r="STH518" s="1358"/>
      <c r="STI518" s="1358"/>
      <c r="STJ518" s="1358"/>
      <c r="STK518" s="1358"/>
      <c r="STL518" s="1358"/>
      <c r="STM518" s="1358"/>
      <c r="STN518" s="1358"/>
      <c r="STO518" s="1358"/>
      <c r="STP518" s="1358"/>
      <c r="STQ518" s="1358"/>
      <c r="STR518" s="1358"/>
      <c r="STS518" s="1358"/>
      <c r="STT518" s="1358"/>
      <c r="STU518" s="1358"/>
      <c r="STV518" s="1358"/>
      <c r="STW518" s="1358"/>
      <c r="STX518" s="1358"/>
      <c r="STY518" s="1358"/>
      <c r="STZ518" s="1358"/>
      <c r="SUA518" s="1358"/>
      <c r="SUB518" s="1358"/>
      <c r="SUC518" s="1358"/>
      <c r="SUD518" s="1358"/>
      <c r="SUE518" s="1358"/>
      <c r="SUF518" s="1358"/>
      <c r="SUG518" s="1358"/>
      <c r="SUH518" s="1358"/>
      <c r="SUI518" s="1358"/>
      <c r="SUJ518" s="1358"/>
      <c r="SUK518" s="1358"/>
      <c r="SUL518" s="1358"/>
      <c r="SUM518" s="1358"/>
      <c r="SUN518" s="1358"/>
      <c r="SUO518" s="1358"/>
      <c r="SUP518" s="1358"/>
      <c r="SUQ518" s="1358"/>
      <c r="SUR518" s="1358"/>
      <c r="SUS518" s="1358"/>
      <c r="SUT518" s="1358"/>
      <c r="SUU518" s="1358"/>
      <c r="SUV518" s="1358"/>
      <c r="SUW518" s="1358"/>
      <c r="SUX518" s="1358"/>
      <c r="SUY518" s="1358"/>
      <c r="SUZ518" s="1358"/>
      <c r="SVA518" s="1358"/>
      <c r="SVB518" s="1358"/>
      <c r="SVC518" s="1358"/>
      <c r="SVD518" s="1358"/>
      <c r="SVE518" s="1358"/>
      <c r="SVF518" s="1358"/>
      <c r="SVG518" s="1358"/>
      <c r="SVH518" s="1358"/>
      <c r="SVI518" s="1358"/>
      <c r="SVJ518" s="1358"/>
      <c r="SVK518" s="1358"/>
      <c r="SVL518" s="1358"/>
      <c r="SVM518" s="1358"/>
      <c r="SVN518" s="1358"/>
      <c r="SVO518" s="1358"/>
      <c r="SVP518" s="1358"/>
      <c r="SVQ518" s="1358"/>
      <c r="SVR518" s="1358"/>
      <c r="SVS518" s="1358"/>
      <c r="SVT518" s="1358"/>
      <c r="SVU518" s="1358"/>
      <c r="SVV518" s="1358"/>
      <c r="SVW518" s="1358"/>
      <c r="SVX518" s="1358"/>
      <c r="SVY518" s="1358"/>
      <c r="SVZ518" s="1358"/>
      <c r="SWA518" s="1358"/>
      <c r="SWB518" s="1358"/>
      <c r="SWC518" s="1358"/>
      <c r="SWD518" s="1358"/>
      <c r="SWE518" s="1358"/>
      <c r="SWF518" s="1358"/>
      <c r="SWG518" s="1358"/>
      <c r="SWH518" s="1358"/>
      <c r="SWI518" s="1358"/>
      <c r="SWJ518" s="1358"/>
      <c r="SWK518" s="1358"/>
      <c r="SWL518" s="1358"/>
      <c r="SWM518" s="1358"/>
      <c r="SWN518" s="1358"/>
      <c r="SWO518" s="1358"/>
      <c r="SWP518" s="1358"/>
      <c r="SWQ518" s="1358"/>
      <c r="SWR518" s="1358"/>
      <c r="SWS518" s="1358"/>
      <c r="SWT518" s="1358"/>
      <c r="SWU518" s="1358"/>
      <c r="SWV518" s="1358"/>
      <c r="SWW518" s="1358"/>
      <c r="SWX518" s="1358"/>
      <c r="SWY518" s="1358"/>
      <c r="SWZ518" s="1358"/>
      <c r="SXA518" s="1358"/>
      <c r="SXB518" s="1358"/>
      <c r="SXC518" s="1358"/>
      <c r="SXD518" s="1358"/>
      <c r="SXE518" s="1358"/>
      <c r="SXF518" s="1358"/>
      <c r="SXG518" s="1358"/>
      <c r="SXH518" s="1358"/>
      <c r="SXI518" s="1358"/>
      <c r="SXJ518" s="1358"/>
      <c r="SXK518" s="1358"/>
      <c r="SXL518" s="1358"/>
      <c r="SXM518" s="1358"/>
      <c r="SXN518" s="1358"/>
      <c r="SXO518" s="1358"/>
      <c r="SXP518" s="1358"/>
      <c r="SXQ518" s="1358"/>
      <c r="SXR518" s="1358"/>
      <c r="SXS518" s="1358"/>
      <c r="SXT518" s="1358"/>
      <c r="SXU518" s="1358"/>
      <c r="SXV518" s="1358"/>
      <c r="SXW518" s="1358"/>
      <c r="SXX518" s="1358"/>
      <c r="SXY518" s="1358"/>
      <c r="SXZ518" s="1358"/>
      <c r="SYA518" s="1358"/>
      <c r="SYB518" s="1358"/>
      <c r="SYC518" s="1358"/>
      <c r="SYD518" s="1358"/>
      <c r="SYE518" s="1358"/>
      <c r="SYF518" s="1358"/>
      <c r="SYG518" s="1358"/>
      <c r="SYH518" s="1358"/>
      <c r="SYI518" s="1358"/>
      <c r="SYJ518" s="1358"/>
      <c r="SYK518" s="1358"/>
      <c r="SYL518" s="1358"/>
      <c r="SYM518" s="1358"/>
      <c r="SYN518" s="1358"/>
      <c r="SYO518" s="1358"/>
      <c r="SYP518" s="1358"/>
      <c r="SYQ518" s="1358"/>
      <c r="SYR518" s="1358"/>
      <c r="SYS518" s="1358"/>
      <c r="SYT518" s="1358"/>
      <c r="SYU518" s="1358"/>
      <c r="SYV518" s="1358"/>
      <c r="SYW518" s="1358"/>
      <c r="SYX518" s="1358"/>
      <c r="SYY518" s="1358"/>
      <c r="SYZ518" s="1358"/>
      <c r="SZA518" s="1358"/>
      <c r="SZB518" s="1358"/>
      <c r="SZC518" s="1358"/>
      <c r="SZD518" s="1358"/>
      <c r="SZE518" s="1358"/>
      <c r="SZF518" s="1358"/>
      <c r="SZG518" s="1358"/>
      <c r="SZH518" s="1358"/>
      <c r="SZI518" s="1358"/>
      <c r="SZJ518" s="1358"/>
      <c r="SZK518" s="1358"/>
      <c r="SZL518" s="1358"/>
      <c r="SZM518" s="1358"/>
      <c r="SZN518" s="1358"/>
      <c r="SZO518" s="1358"/>
      <c r="SZP518" s="1358"/>
      <c r="SZQ518" s="1358"/>
      <c r="SZR518" s="1358"/>
      <c r="SZS518" s="1358"/>
      <c r="SZT518" s="1358"/>
      <c r="SZU518" s="1358"/>
      <c r="SZV518" s="1358"/>
      <c r="SZW518" s="1358"/>
      <c r="SZX518" s="1358"/>
      <c r="SZY518" s="1358"/>
      <c r="SZZ518" s="1358"/>
      <c r="TAA518" s="1358"/>
      <c r="TAB518" s="1358"/>
      <c r="TAC518" s="1358"/>
      <c r="TAD518" s="1358"/>
      <c r="TAE518" s="1358"/>
      <c r="TAF518" s="1358"/>
      <c r="TAG518" s="1358"/>
      <c r="TAH518" s="1358"/>
      <c r="TAI518" s="1358"/>
      <c r="TAJ518" s="1358"/>
      <c r="TAK518" s="1358"/>
      <c r="TAL518" s="1358"/>
      <c r="TAM518" s="1358"/>
      <c r="TAN518" s="1358"/>
      <c r="TAO518" s="1358"/>
      <c r="TAP518" s="1358"/>
      <c r="TAQ518" s="1358"/>
      <c r="TAR518" s="1358"/>
      <c r="TAS518" s="1358"/>
      <c r="TAT518" s="1358"/>
      <c r="TAU518" s="1358"/>
      <c r="TAV518" s="1358"/>
      <c r="TAW518" s="1358"/>
      <c r="TAX518" s="1358"/>
      <c r="TAY518" s="1358"/>
      <c r="TAZ518" s="1358"/>
      <c r="TBA518" s="1358"/>
      <c r="TBB518" s="1358"/>
      <c r="TBC518" s="1358"/>
      <c r="TBD518" s="1358"/>
      <c r="TBE518" s="1358"/>
      <c r="TBF518" s="1358"/>
      <c r="TBG518" s="1358"/>
      <c r="TBH518" s="1358"/>
      <c r="TBI518" s="1358"/>
      <c r="TBJ518" s="1358"/>
      <c r="TBK518" s="1358"/>
      <c r="TBL518" s="1358"/>
      <c r="TBM518" s="1358"/>
      <c r="TBN518" s="1358"/>
      <c r="TBO518" s="1358"/>
      <c r="TBP518" s="1358"/>
      <c r="TBQ518" s="1358"/>
      <c r="TBR518" s="1358"/>
      <c r="TBS518" s="1358"/>
      <c r="TBT518" s="1358"/>
      <c r="TBU518" s="1358"/>
      <c r="TBV518" s="1358"/>
      <c r="TBW518" s="1358"/>
      <c r="TBX518" s="1358"/>
      <c r="TBY518" s="1358"/>
      <c r="TBZ518" s="1358"/>
      <c r="TCA518" s="1358"/>
      <c r="TCB518" s="1358"/>
      <c r="TCC518" s="1358"/>
      <c r="TCD518" s="1358"/>
      <c r="TCE518" s="1358"/>
      <c r="TCF518" s="1358"/>
      <c r="TCG518" s="1358"/>
      <c r="TCH518" s="1358"/>
      <c r="TCI518" s="1358"/>
      <c r="TCJ518" s="1358"/>
      <c r="TCK518" s="1358"/>
      <c r="TCL518" s="1358"/>
      <c r="TCM518" s="1358"/>
      <c r="TCN518" s="1358"/>
      <c r="TCO518" s="1358"/>
      <c r="TCP518" s="1358"/>
      <c r="TCQ518" s="1358"/>
      <c r="TCR518" s="1358"/>
      <c r="TCS518" s="1358"/>
      <c r="TCT518" s="1358"/>
      <c r="TCU518" s="1358"/>
      <c r="TCV518" s="1358"/>
      <c r="TCW518" s="1358"/>
      <c r="TCX518" s="1358"/>
      <c r="TCY518" s="1358"/>
      <c r="TCZ518" s="1358"/>
      <c r="TDA518" s="1358"/>
      <c r="TDB518" s="1358"/>
      <c r="TDC518" s="1358"/>
      <c r="TDD518" s="1358"/>
      <c r="TDE518" s="1358"/>
      <c r="TDF518" s="1358"/>
      <c r="TDG518" s="1358"/>
      <c r="TDH518" s="1358"/>
      <c r="TDI518" s="1358"/>
      <c r="TDJ518" s="1358"/>
      <c r="TDK518" s="1358"/>
      <c r="TDL518" s="1358"/>
      <c r="TDM518" s="1358"/>
      <c r="TDN518" s="1358"/>
      <c r="TDO518" s="1358"/>
      <c r="TDP518" s="1358"/>
      <c r="TDQ518" s="1358"/>
      <c r="TDR518" s="1358"/>
      <c r="TDS518" s="1358"/>
      <c r="TDT518" s="1358"/>
      <c r="TDU518" s="1358"/>
      <c r="TDV518" s="1358"/>
      <c r="TDW518" s="1358"/>
      <c r="TDX518" s="1358"/>
      <c r="TDY518" s="1358"/>
      <c r="TDZ518" s="1358"/>
      <c r="TEA518" s="1358"/>
      <c r="TEB518" s="1358"/>
      <c r="TEC518" s="1358"/>
      <c r="TED518" s="1358"/>
      <c r="TEE518" s="1358"/>
      <c r="TEF518" s="1358"/>
      <c r="TEG518" s="1358"/>
      <c r="TEH518" s="1358"/>
      <c r="TEI518" s="1358"/>
      <c r="TEJ518" s="1358"/>
      <c r="TEK518" s="1358"/>
      <c r="TEL518" s="1358"/>
      <c r="TEM518" s="1358"/>
      <c r="TEN518" s="1358"/>
      <c r="TEO518" s="1358"/>
      <c r="TEP518" s="1358"/>
      <c r="TEQ518" s="1358"/>
      <c r="TER518" s="1358"/>
      <c r="TES518" s="1358"/>
      <c r="TET518" s="1358"/>
      <c r="TEU518" s="1358"/>
      <c r="TEV518" s="1358"/>
      <c r="TEW518" s="1358"/>
      <c r="TEX518" s="1358"/>
      <c r="TEY518" s="1358"/>
      <c r="TEZ518" s="1358"/>
      <c r="TFA518" s="1358"/>
      <c r="TFB518" s="1358"/>
      <c r="TFC518" s="1358"/>
      <c r="TFD518" s="1358"/>
      <c r="TFE518" s="1358"/>
      <c r="TFF518" s="1358"/>
      <c r="TFG518" s="1358"/>
      <c r="TFH518" s="1358"/>
      <c r="TFI518" s="1358"/>
      <c r="TFJ518" s="1358"/>
      <c r="TFK518" s="1358"/>
      <c r="TFL518" s="1358"/>
      <c r="TFM518" s="1358"/>
      <c r="TFN518" s="1358"/>
      <c r="TFO518" s="1358"/>
      <c r="TFP518" s="1358"/>
      <c r="TFQ518" s="1358"/>
      <c r="TFR518" s="1358"/>
      <c r="TFS518" s="1358"/>
      <c r="TFT518" s="1358"/>
      <c r="TFU518" s="1358"/>
      <c r="TFV518" s="1358"/>
      <c r="TFW518" s="1358"/>
      <c r="TFX518" s="1358"/>
      <c r="TFY518" s="1358"/>
      <c r="TFZ518" s="1358"/>
      <c r="TGA518" s="1358"/>
      <c r="TGB518" s="1358"/>
      <c r="TGC518" s="1358"/>
      <c r="TGD518" s="1358"/>
      <c r="TGE518" s="1358"/>
      <c r="TGF518" s="1358"/>
      <c r="TGG518" s="1358"/>
      <c r="TGH518" s="1358"/>
      <c r="TGI518" s="1358"/>
      <c r="TGJ518" s="1358"/>
      <c r="TGK518" s="1358"/>
      <c r="TGL518" s="1358"/>
      <c r="TGM518" s="1358"/>
      <c r="TGN518" s="1358"/>
      <c r="TGO518" s="1358"/>
      <c r="TGP518" s="1358"/>
      <c r="TGQ518" s="1358"/>
      <c r="TGR518" s="1358"/>
      <c r="TGS518" s="1358"/>
      <c r="TGT518" s="1358"/>
      <c r="TGU518" s="1358"/>
      <c r="TGV518" s="1358"/>
      <c r="TGW518" s="1358"/>
      <c r="TGX518" s="1358"/>
      <c r="TGY518" s="1358"/>
      <c r="TGZ518" s="1358"/>
      <c r="THA518" s="1358"/>
      <c r="THB518" s="1358"/>
      <c r="THC518" s="1358"/>
      <c r="THD518" s="1358"/>
      <c r="THE518" s="1358"/>
      <c r="THF518" s="1358"/>
      <c r="THG518" s="1358"/>
      <c r="THH518" s="1358"/>
      <c r="THI518" s="1358"/>
      <c r="THJ518" s="1358"/>
      <c r="THK518" s="1358"/>
      <c r="THL518" s="1358"/>
      <c r="THM518" s="1358"/>
      <c r="THN518" s="1358"/>
      <c r="THO518" s="1358"/>
      <c r="THP518" s="1358"/>
      <c r="THQ518" s="1358"/>
      <c r="THR518" s="1358"/>
      <c r="THS518" s="1358"/>
      <c r="THT518" s="1358"/>
      <c r="THU518" s="1358"/>
      <c r="THV518" s="1358"/>
      <c r="THW518" s="1358"/>
      <c r="THX518" s="1358"/>
      <c r="THY518" s="1358"/>
      <c r="THZ518" s="1358"/>
      <c r="TIA518" s="1358"/>
      <c r="TIB518" s="1358"/>
      <c r="TIC518" s="1358"/>
      <c r="TID518" s="1358"/>
      <c r="TIE518" s="1358"/>
      <c r="TIF518" s="1358"/>
      <c r="TIG518" s="1358"/>
      <c r="TIH518" s="1358"/>
      <c r="TII518" s="1358"/>
      <c r="TIJ518" s="1358"/>
      <c r="TIK518" s="1358"/>
      <c r="TIL518" s="1358"/>
      <c r="TIM518" s="1358"/>
      <c r="TIN518" s="1358"/>
      <c r="TIO518" s="1358"/>
      <c r="TIP518" s="1358"/>
      <c r="TIQ518" s="1358"/>
      <c r="TIR518" s="1358"/>
      <c r="TIS518" s="1358"/>
      <c r="TIT518" s="1358"/>
      <c r="TIU518" s="1358"/>
      <c r="TIV518" s="1358"/>
      <c r="TIW518" s="1358"/>
      <c r="TIX518" s="1358"/>
      <c r="TIY518" s="1358"/>
      <c r="TIZ518" s="1358"/>
      <c r="TJA518" s="1358"/>
      <c r="TJB518" s="1358"/>
      <c r="TJC518" s="1358"/>
      <c r="TJD518" s="1358"/>
      <c r="TJE518" s="1358"/>
      <c r="TJF518" s="1358"/>
      <c r="TJG518" s="1358"/>
      <c r="TJH518" s="1358"/>
      <c r="TJI518" s="1358"/>
      <c r="TJJ518" s="1358"/>
      <c r="TJK518" s="1358"/>
      <c r="TJL518" s="1358"/>
      <c r="TJM518" s="1358"/>
      <c r="TJN518" s="1358"/>
      <c r="TJO518" s="1358"/>
      <c r="TJP518" s="1358"/>
      <c r="TJQ518" s="1358"/>
      <c r="TJR518" s="1358"/>
      <c r="TJS518" s="1358"/>
      <c r="TJT518" s="1358"/>
      <c r="TJU518" s="1358"/>
      <c r="TJV518" s="1358"/>
      <c r="TJW518" s="1358"/>
      <c r="TJX518" s="1358"/>
      <c r="TJY518" s="1358"/>
      <c r="TJZ518" s="1358"/>
      <c r="TKA518" s="1358"/>
      <c r="TKB518" s="1358"/>
      <c r="TKC518" s="1358"/>
      <c r="TKD518" s="1358"/>
      <c r="TKE518" s="1358"/>
      <c r="TKF518" s="1358"/>
      <c r="TKG518" s="1358"/>
      <c r="TKH518" s="1358"/>
      <c r="TKI518" s="1358"/>
      <c r="TKJ518" s="1358"/>
      <c r="TKK518" s="1358"/>
      <c r="TKL518" s="1358"/>
      <c r="TKM518" s="1358"/>
      <c r="TKN518" s="1358"/>
      <c r="TKO518" s="1358"/>
      <c r="TKP518" s="1358"/>
      <c r="TKQ518" s="1358"/>
      <c r="TKR518" s="1358"/>
      <c r="TKS518" s="1358"/>
      <c r="TKT518" s="1358"/>
      <c r="TKU518" s="1358"/>
      <c r="TKV518" s="1358"/>
      <c r="TKW518" s="1358"/>
      <c r="TKX518" s="1358"/>
      <c r="TKY518" s="1358"/>
      <c r="TKZ518" s="1358"/>
      <c r="TLA518" s="1358"/>
      <c r="TLB518" s="1358"/>
      <c r="TLC518" s="1358"/>
      <c r="TLD518" s="1358"/>
      <c r="TLE518" s="1358"/>
      <c r="TLF518" s="1358"/>
      <c r="TLG518" s="1358"/>
      <c r="TLH518" s="1358"/>
      <c r="TLI518" s="1358"/>
      <c r="TLJ518" s="1358"/>
      <c r="TLK518" s="1358"/>
      <c r="TLL518" s="1358"/>
      <c r="TLM518" s="1358"/>
      <c r="TLN518" s="1358"/>
      <c r="TLO518" s="1358"/>
      <c r="TLP518" s="1358"/>
      <c r="TLQ518" s="1358"/>
      <c r="TLR518" s="1358"/>
      <c r="TLS518" s="1358"/>
      <c r="TLT518" s="1358"/>
      <c r="TLU518" s="1358"/>
      <c r="TLV518" s="1358"/>
      <c r="TLW518" s="1358"/>
      <c r="TLX518" s="1358"/>
      <c r="TLY518" s="1358"/>
      <c r="TLZ518" s="1358"/>
      <c r="TMA518" s="1358"/>
      <c r="TMB518" s="1358"/>
      <c r="TMC518" s="1358"/>
      <c r="TMD518" s="1358"/>
      <c r="TME518" s="1358"/>
      <c r="TMF518" s="1358"/>
      <c r="TMG518" s="1358"/>
      <c r="TMH518" s="1358"/>
      <c r="TMI518" s="1358"/>
      <c r="TMJ518" s="1358"/>
      <c r="TMK518" s="1358"/>
      <c r="TML518" s="1358"/>
      <c r="TMM518" s="1358"/>
      <c r="TMN518" s="1358"/>
      <c r="TMO518" s="1358"/>
      <c r="TMP518" s="1358"/>
      <c r="TMQ518" s="1358"/>
      <c r="TMR518" s="1358"/>
      <c r="TMS518" s="1358"/>
      <c r="TMT518" s="1358"/>
      <c r="TMU518" s="1358"/>
      <c r="TMV518" s="1358"/>
      <c r="TMW518" s="1358"/>
      <c r="TMX518" s="1358"/>
      <c r="TMY518" s="1358"/>
      <c r="TMZ518" s="1358"/>
      <c r="TNA518" s="1358"/>
      <c r="TNB518" s="1358"/>
      <c r="TNC518" s="1358"/>
      <c r="TND518" s="1358"/>
      <c r="TNE518" s="1358"/>
      <c r="TNF518" s="1358"/>
      <c r="TNG518" s="1358"/>
      <c r="TNH518" s="1358"/>
      <c r="TNI518" s="1358"/>
      <c r="TNJ518" s="1358"/>
      <c r="TNK518" s="1358"/>
      <c r="TNL518" s="1358"/>
      <c r="TNM518" s="1358"/>
      <c r="TNN518" s="1358"/>
      <c r="TNO518" s="1358"/>
      <c r="TNP518" s="1358"/>
      <c r="TNQ518" s="1358"/>
      <c r="TNR518" s="1358"/>
      <c r="TNS518" s="1358"/>
      <c r="TNT518" s="1358"/>
      <c r="TNU518" s="1358"/>
      <c r="TNV518" s="1358"/>
      <c r="TNW518" s="1358"/>
      <c r="TNX518" s="1358"/>
      <c r="TNY518" s="1358"/>
      <c r="TNZ518" s="1358"/>
      <c r="TOA518" s="1358"/>
      <c r="TOB518" s="1358"/>
      <c r="TOC518" s="1358"/>
      <c r="TOD518" s="1358"/>
      <c r="TOE518" s="1358"/>
      <c r="TOF518" s="1358"/>
      <c r="TOG518" s="1358"/>
      <c r="TOH518" s="1358"/>
      <c r="TOI518" s="1358"/>
      <c r="TOJ518" s="1358"/>
      <c r="TOK518" s="1358"/>
      <c r="TOL518" s="1358"/>
      <c r="TOM518" s="1358"/>
      <c r="TON518" s="1358"/>
      <c r="TOO518" s="1358"/>
      <c r="TOP518" s="1358"/>
      <c r="TOQ518" s="1358"/>
      <c r="TOR518" s="1358"/>
      <c r="TOS518" s="1358"/>
      <c r="TOT518" s="1358"/>
      <c r="TOU518" s="1358"/>
      <c r="TOV518" s="1358"/>
      <c r="TOW518" s="1358"/>
      <c r="TOX518" s="1358"/>
      <c r="TOY518" s="1358"/>
      <c r="TOZ518" s="1358"/>
      <c r="TPA518" s="1358"/>
      <c r="TPB518" s="1358"/>
      <c r="TPC518" s="1358"/>
      <c r="TPD518" s="1358"/>
      <c r="TPE518" s="1358"/>
      <c r="TPF518" s="1358"/>
      <c r="TPG518" s="1358"/>
      <c r="TPH518" s="1358"/>
      <c r="TPI518" s="1358"/>
      <c r="TPJ518" s="1358"/>
      <c r="TPK518" s="1358"/>
      <c r="TPL518" s="1358"/>
      <c r="TPM518" s="1358"/>
      <c r="TPN518" s="1358"/>
      <c r="TPO518" s="1358"/>
      <c r="TPP518" s="1358"/>
      <c r="TPQ518" s="1358"/>
      <c r="TPR518" s="1358"/>
      <c r="TPS518" s="1358"/>
      <c r="TPT518" s="1358"/>
      <c r="TPU518" s="1358"/>
      <c r="TPV518" s="1358"/>
      <c r="TPW518" s="1358"/>
      <c r="TPX518" s="1358"/>
      <c r="TPY518" s="1358"/>
      <c r="TPZ518" s="1358"/>
      <c r="TQA518" s="1358"/>
      <c r="TQB518" s="1358"/>
      <c r="TQC518" s="1358"/>
      <c r="TQD518" s="1358"/>
      <c r="TQE518" s="1358"/>
      <c r="TQF518" s="1358"/>
      <c r="TQG518" s="1358"/>
      <c r="TQH518" s="1358"/>
      <c r="TQI518" s="1358"/>
      <c r="TQJ518" s="1358"/>
      <c r="TQK518" s="1358"/>
      <c r="TQL518" s="1358"/>
      <c r="TQM518" s="1358"/>
      <c r="TQN518" s="1358"/>
      <c r="TQO518" s="1358"/>
      <c r="TQP518" s="1358"/>
      <c r="TQQ518" s="1358"/>
      <c r="TQR518" s="1358"/>
      <c r="TQS518" s="1358"/>
      <c r="TQT518" s="1358"/>
      <c r="TQU518" s="1358"/>
      <c r="TQV518" s="1358"/>
      <c r="TQW518" s="1358"/>
      <c r="TQX518" s="1358"/>
      <c r="TQY518" s="1358"/>
      <c r="TQZ518" s="1358"/>
      <c r="TRA518" s="1358"/>
      <c r="TRB518" s="1358"/>
      <c r="TRC518" s="1358"/>
      <c r="TRD518" s="1358"/>
      <c r="TRE518" s="1358"/>
      <c r="TRF518" s="1358"/>
      <c r="TRG518" s="1358"/>
      <c r="TRH518" s="1358"/>
      <c r="TRI518" s="1358"/>
      <c r="TRJ518" s="1358"/>
      <c r="TRK518" s="1358"/>
      <c r="TRL518" s="1358"/>
      <c r="TRM518" s="1358"/>
      <c r="TRN518" s="1358"/>
      <c r="TRO518" s="1358"/>
      <c r="TRP518" s="1358"/>
      <c r="TRQ518" s="1358"/>
      <c r="TRR518" s="1358"/>
      <c r="TRS518" s="1358"/>
      <c r="TRT518" s="1358"/>
      <c r="TRU518" s="1358"/>
      <c r="TRV518" s="1358"/>
      <c r="TRW518" s="1358"/>
      <c r="TRX518" s="1358"/>
      <c r="TRY518" s="1358"/>
      <c r="TRZ518" s="1358"/>
      <c r="TSA518" s="1358"/>
      <c r="TSB518" s="1358"/>
      <c r="TSC518" s="1358"/>
      <c r="TSD518" s="1358"/>
      <c r="TSE518" s="1358"/>
      <c r="TSF518" s="1358"/>
      <c r="TSG518" s="1358"/>
      <c r="TSH518" s="1358"/>
      <c r="TSI518" s="1358"/>
      <c r="TSJ518" s="1358"/>
      <c r="TSK518" s="1358"/>
      <c r="TSL518" s="1358"/>
      <c r="TSM518" s="1358"/>
      <c r="TSN518" s="1358"/>
      <c r="TSO518" s="1358"/>
      <c r="TSP518" s="1358"/>
      <c r="TSQ518" s="1358"/>
      <c r="TSR518" s="1358"/>
      <c r="TSS518" s="1358"/>
      <c r="TST518" s="1358"/>
      <c r="TSU518" s="1358"/>
      <c r="TSV518" s="1358"/>
      <c r="TSW518" s="1358"/>
      <c r="TSX518" s="1358"/>
      <c r="TSY518" s="1358"/>
      <c r="TSZ518" s="1358"/>
      <c r="TTA518" s="1358"/>
      <c r="TTB518" s="1358"/>
      <c r="TTC518" s="1358"/>
      <c r="TTD518" s="1358"/>
      <c r="TTE518" s="1358"/>
      <c r="TTF518" s="1358"/>
      <c r="TTG518" s="1358"/>
      <c r="TTH518" s="1358"/>
      <c r="TTI518" s="1358"/>
      <c r="TTJ518" s="1358"/>
      <c r="TTK518" s="1358"/>
      <c r="TTL518" s="1358"/>
      <c r="TTM518" s="1358"/>
      <c r="TTN518" s="1358"/>
      <c r="TTO518" s="1358"/>
      <c r="TTP518" s="1358"/>
      <c r="TTQ518" s="1358"/>
      <c r="TTR518" s="1358"/>
      <c r="TTS518" s="1358"/>
      <c r="TTT518" s="1358"/>
      <c r="TTU518" s="1358"/>
      <c r="TTV518" s="1358"/>
      <c r="TTW518" s="1358"/>
      <c r="TTX518" s="1358"/>
      <c r="TTY518" s="1358"/>
      <c r="TTZ518" s="1358"/>
      <c r="TUA518" s="1358"/>
      <c r="TUB518" s="1358"/>
      <c r="TUC518" s="1358"/>
      <c r="TUD518" s="1358"/>
      <c r="TUE518" s="1358"/>
      <c r="TUF518" s="1358"/>
      <c r="TUG518" s="1358"/>
      <c r="TUH518" s="1358"/>
      <c r="TUI518" s="1358"/>
      <c r="TUJ518" s="1358"/>
      <c r="TUK518" s="1358"/>
      <c r="TUL518" s="1358"/>
      <c r="TUM518" s="1358"/>
      <c r="TUN518" s="1358"/>
      <c r="TUO518" s="1358"/>
      <c r="TUP518" s="1358"/>
      <c r="TUQ518" s="1358"/>
      <c r="TUR518" s="1358"/>
      <c r="TUS518" s="1358"/>
      <c r="TUT518" s="1358"/>
      <c r="TUU518" s="1358"/>
      <c r="TUV518" s="1358"/>
      <c r="TUW518" s="1358"/>
      <c r="TUX518" s="1358"/>
      <c r="TUY518" s="1358"/>
      <c r="TUZ518" s="1358"/>
      <c r="TVA518" s="1358"/>
      <c r="TVB518" s="1358"/>
      <c r="TVC518" s="1358"/>
      <c r="TVD518" s="1358"/>
      <c r="TVE518" s="1358"/>
      <c r="TVF518" s="1358"/>
      <c r="TVG518" s="1358"/>
      <c r="TVH518" s="1358"/>
      <c r="TVI518" s="1358"/>
      <c r="TVJ518" s="1358"/>
      <c r="TVK518" s="1358"/>
      <c r="TVL518" s="1358"/>
      <c r="TVM518" s="1358"/>
      <c r="TVN518" s="1358"/>
      <c r="TVO518" s="1358"/>
      <c r="TVP518" s="1358"/>
      <c r="TVQ518" s="1358"/>
      <c r="TVR518" s="1358"/>
      <c r="TVS518" s="1358"/>
      <c r="TVT518" s="1358"/>
      <c r="TVU518" s="1358"/>
      <c r="TVV518" s="1358"/>
      <c r="TVW518" s="1358"/>
      <c r="TVX518" s="1358"/>
      <c r="TVY518" s="1358"/>
      <c r="TVZ518" s="1358"/>
      <c r="TWA518" s="1358"/>
      <c r="TWB518" s="1358"/>
      <c r="TWC518" s="1358"/>
      <c r="TWD518" s="1358"/>
      <c r="TWE518" s="1358"/>
      <c r="TWF518" s="1358"/>
      <c r="TWG518" s="1358"/>
      <c r="TWH518" s="1358"/>
      <c r="TWI518" s="1358"/>
      <c r="TWJ518" s="1358"/>
      <c r="TWK518" s="1358"/>
      <c r="TWL518" s="1358"/>
      <c r="TWM518" s="1358"/>
      <c r="TWN518" s="1358"/>
      <c r="TWO518" s="1358"/>
      <c r="TWP518" s="1358"/>
      <c r="TWQ518" s="1358"/>
      <c r="TWR518" s="1358"/>
      <c r="TWS518" s="1358"/>
      <c r="TWT518" s="1358"/>
      <c r="TWU518" s="1358"/>
      <c r="TWV518" s="1358"/>
      <c r="TWW518" s="1358"/>
      <c r="TWX518" s="1358"/>
      <c r="TWY518" s="1358"/>
      <c r="TWZ518" s="1358"/>
      <c r="TXA518" s="1358"/>
      <c r="TXB518" s="1358"/>
      <c r="TXC518" s="1358"/>
      <c r="TXD518" s="1358"/>
      <c r="TXE518" s="1358"/>
      <c r="TXF518" s="1358"/>
      <c r="TXG518" s="1358"/>
      <c r="TXH518" s="1358"/>
      <c r="TXI518" s="1358"/>
      <c r="TXJ518" s="1358"/>
      <c r="TXK518" s="1358"/>
      <c r="TXL518" s="1358"/>
      <c r="TXM518" s="1358"/>
      <c r="TXN518" s="1358"/>
      <c r="TXO518" s="1358"/>
      <c r="TXP518" s="1358"/>
      <c r="TXQ518" s="1358"/>
      <c r="TXR518" s="1358"/>
      <c r="TXS518" s="1358"/>
      <c r="TXT518" s="1358"/>
      <c r="TXU518" s="1358"/>
      <c r="TXV518" s="1358"/>
      <c r="TXW518" s="1358"/>
      <c r="TXX518" s="1358"/>
      <c r="TXY518" s="1358"/>
      <c r="TXZ518" s="1358"/>
      <c r="TYA518" s="1358"/>
      <c r="TYB518" s="1358"/>
      <c r="TYC518" s="1358"/>
      <c r="TYD518" s="1358"/>
      <c r="TYE518" s="1358"/>
      <c r="TYF518" s="1358"/>
      <c r="TYG518" s="1358"/>
      <c r="TYH518" s="1358"/>
      <c r="TYI518" s="1358"/>
      <c r="TYJ518" s="1358"/>
      <c r="TYK518" s="1358"/>
      <c r="TYL518" s="1358"/>
      <c r="TYM518" s="1358"/>
      <c r="TYN518" s="1358"/>
      <c r="TYO518" s="1358"/>
      <c r="TYP518" s="1358"/>
      <c r="TYQ518" s="1358"/>
      <c r="TYR518" s="1358"/>
      <c r="TYS518" s="1358"/>
      <c r="TYT518" s="1358"/>
      <c r="TYU518" s="1358"/>
      <c r="TYV518" s="1358"/>
      <c r="TYW518" s="1358"/>
      <c r="TYX518" s="1358"/>
      <c r="TYY518" s="1358"/>
      <c r="TYZ518" s="1358"/>
      <c r="TZA518" s="1358"/>
      <c r="TZB518" s="1358"/>
      <c r="TZC518" s="1358"/>
      <c r="TZD518" s="1358"/>
      <c r="TZE518" s="1358"/>
      <c r="TZF518" s="1358"/>
      <c r="TZG518" s="1358"/>
      <c r="TZH518" s="1358"/>
      <c r="TZI518" s="1358"/>
      <c r="TZJ518" s="1358"/>
      <c r="TZK518" s="1358"/>
      <c r="TZL518" s="1358"/>
      <c r="TZM518" s="1358"/>
      <c r="TZN518" s="1358"/>
      <c r="TZO518" s="1358"/>
      <c r="TZP518" s="1358"/>
      <c r="TZQ518" s="1358"/>
      <c r="TZR518" s="1358"/>
      <c r="TZS518" s="1358"/>
      <c r="TZT518" s="1358"/>
      <c r="TZU518" s="1358"/>
      <c r="TZV518" s="1358"/>
      <c r="TZW518" s="1358"/>
      <c r="TZX518" s="1358"/>
      <c r="TZY518" s="1358"/>
      <c r="TZZ518" s="1358"/>
      <c r="UAA518" s="1358"/>
      <c r="UAB518" s="1358"/>
      <c r="UAC518" s="1358"/>
      <c r="UAD518" s="1358"/>
      <c r="UAE518" s="1358"/>
      <c r="UAF518" s="1358"/>
      <c r="UAG518" s="1358"/>
      <c r="UAH518" s="1358"/>
      <c r="UAI518" s="1358"/>
      <c r="UAJ518" s="1358"/>
      <c r="UAK518" s="1358"/>
      <c r="UAL518" s="1358"/>
      <c r="UAM518" s="1358"/>
      <c r="UAN518" s="1358"/>
      <c r="UAO518" s="1358"/>
      <c r="UAP518" s="1358"/>
      <c r="UAQ518" s="1358"/>
      <c r="UAR518" s="1358"/>
      <c r="UAS518" s="1358"/>
      <c r="UAT518" s="1358"/>
      <c r="UAU518" s="1358"/>
      <c r="UAV518" s="1358"/>
      <c r="UAW518" s="1358"/>
      <c r="UAX518" s="1358"/>
      <c r="UAY518" s="1358"/>
      <c r="UAZ518" s="1358"/>
      <c r="UBA518" s="1358"/>
      <c r="UBB518" s="1358"/>
      <c r="UBC518" s="1358"/>
      <c r="UBD518" s="1358"/>
      <c r="UBE518" s="1358"/>
      <c r="UBF518" s="1358"/>
      <c r="UBG518" s="1358"/>
      <c r="UBH518" s="1358"/>
      <c r="UBI518" s="1358"/>
      <c r="UBJ518" s="1358"/>
      <c r="UBK518" s="1358"/>
      <c r="UBL518" s="1358"/>
      <c r="UBM518" s="1358"/>
      <c r="UBN518" s="1358"/>
      <c r="UBO518" s="1358"/>
      <c r="UBP518" s="1358"/>
      <c r="UBQ518" s="1358"/>
      <c r="UBR518" s="1358"/>
      <c r="UBS518" s="1358"/>
      <c r="UBT518" s="1358"/>
      <c r="UBU518" s="1358"/>
      <c r="UBV518" s="1358"/>
      <c r="UBW518" s="1358"/>
      <c r="UBX518" s="1358"/>
      <c r="UBY518" s="1358"/>
      <c r="UBZ518" s="1358"/>
      <c r="UCA518" s="1358"/>
      <c r="UCB518" s="1358"/>
      <c r="UCC518" s="1358"/>
      <c r="UCD518" s="1358"/>
      <c r="UCE518" s="1358"/>
      <c r="UCF518" s="1358"/>
      <c r="UCG518" s="1358"/>
      <c r="UCH518" s="1358"/>
      <c r="UCI518" s="1358"/>
      <c r="UCJ518" s="1358"/>
      <c r="UCK518" s="1358"/>
      <c r="UCL518" s="1358"/>
      <c r="UCM518" s="1358"/>
      <c r="UCN518" s="1358"/>
      <c r="UCO518" s="1358"/>
      <c r="UCP518" s="1358"/>
      <c r="UCQ518" s="1358"/>
      <c r="UCR518" s="1358"/>
      <c r="UCS518" s="1358"/>
      <c r="UCT518" s="1358"/>
      <c r="UCU518" s="1358"/>
      <c r="UCV518" s="1358"/>
      <c r="UCW518" s="1358"/>
      <c r="UCX518" s="1358"/>
      <c r="UCY518" s="1358"/>
      <c r="UCZ518" s="1358"/>
      <c r="UDA518" s="1358"/>
      <c r="UDB518" s="1358"/>
      <c r="UDC518" s="1358"/>
      <c r="UDD518" s="1358"/>
      <c r="UDE518" s="1358"/>
      <c r="UDF518" s="1358"/>
      <c r="UDG518" s="1358"/>
      <c r="UDH518" s="1358"/>
      <c r="UDI518" s="1358"/>
      <c r="UDJ518" s="1358"/>
      <c r="UDK518" s="1358"/>
      <c r="UDL518" s="1358"/>
      <c r="UDM518" s="1358"/>
      <c r="UDN518" s="1358"/>
      <c r="UDO518" s="1358"/>
      <c r="UDP518" s="1358"/>
      <c r="UDQ518" s="1358"/>
      <c r="UDR518" s="1358"/>
      <c r="UDS518" s="1358"/>
      <c r="UDT518" s="1358"/>
      <c r="UDU518" s="1358"/>
      <c r="UDV518" s="1358"/>
      <c r="UDW518" s="1358"/>
      <c r="UDX518" s="1358"/>
      <c r="UDY518" s="1358"/>
      <c r="UDZ518" s="1358"/>
      <c r="UEA518" s="1358"/>
      <c r="UEB518" s="1358"/>
      <c r="UEC518" s="1358"/>
      <c r="UED518" s="1358"/>
      <c r="UEE518" s="1358"/>
      <c r="UEF518" s="1358"/>
      <c r="UEG518" s="1358"/>
      <c r="UEH518" s="1358"/>
      <c r="UEI518" s="1358"/>
      <c r="UEJ518" s="1358"/>
      <c r="UEK518" s="1358"/>
      <c r="UEL518" s="1358"/>
      <c r="UEM518" s="1358"/>
      <c r="UEN518" s="1358"/>
      <c r="UEO518" s="1358"/>
      <c r="UEP518" s="1358"/>
      <c r="UEQ518" s="1358"/>
      <c r="UER518" s="1358"/>
      <c r="UES518" s="1358"/>
      <c r="UET518" s="1358"/>
      <c r="UEU518" s="1358"/>
      <c r="UEV518" s="1358"/>
      <c r="UEW518" s="1358"/>
      <c r="UEX518" s="1358"/>
      <c r="UEY518" s="1358"/>
      <c r="UEZ518" s="1358"/>
      <c r="UFA518" s="1358"/>
      <c r="UFB518" s="1358"/>
      <c r="UFC518" s="1358"/>
      <c r="UFD518" s="1358"/>
      <c r="UFE518" s="1358"/>
      <c r="UFF518" s="1358"/>
      <c r="UFG518" s="1358"/>
      <c r="UFH518" s="1358"/>
      <c r="UFI518" s="1358"/>
      <c r="UFJ518" s="1358"/>
      <c r="UFK518" s="1358"/>
      <c r="UFL518" s="1358"/>
      <c r="UFM518" s="1358"/>
      <c r="UFN518" s="1358"/>
      <c r="UFO518" s="1358"/>
      <c r="UFP518" s="1358"/>
      <c r="UFQ518" s="1358"/>
      <c r="UFR518" s="1358"/>
      <c r="UFS518" s="1358"/>
      <c r="UFT518" s="1358"/>
      <c r="UFU518" s="1358"/>
      <c r="UFV518" s="1358"/>
      <c r="UFW518" s="1358"/>
      <c r="UFX518" s="1358"/>
      <c r="UFY518" s="1358"/>
      <c r="UFZ518" s="1358"/>
      <c r="UGA518" s="1358"/>
      <c r="UGB518" s="1358"/>
      <c r="UGC518" s="1358"/>
      <c r="UGD518" s="1358"/>
      <c r="UGE518" s="1358"/>
      <c r="UGF518" s="1358"/>
      <c r="UGG518" s="1358"/>
      <c r="UGH518" s="1358"/>
      <c r="UGI518" s="1358"/>
      <c r="UGJ518" s="1358"/>
      <c r="UGK518" s="1358"/>
      <c r="UGL518" s="1358"/>
      <c r="UGM518" s="1358"/>
      <c r="UGN518" s="1358"/>
      <c r="UGO518" s="1358"/>
      <c r="UGP518" s="1358"/>
      <c r="UGQ518" s="1358"/>
      <c r="UGR518" s="1358"/>
      <c r="UGS518" s="1358"/>
      <c r="UGT518" s="1358"/>
      <c r="UGU518" s="1358"/>
      <c r="UGV518" s="1358"/>
      <c r="UGW518" s="1358"/>
      <c r="UGX518" s="1358"/>
      <c r="UGY518" s="1358"/>
      <c r="UGZ518" s="1358"/>
      <c r="UHA518" s="1358"/>
      <c r="UHB518" s="1358"/>
      <c r="UHC518" s="1358"/>
      <c r="UHD518" s="1358"/>
      <c r="UHE518" s="1358"/>
      <c r="UHF518" s="1358"/>
      <c r="UHG518" s="1358"/>
      <c r="UHH518" s="1358"/>
      <c r="UHI518" s="1358"/>
      <c r="UHJ518" s="1358"/>
      <c r="UHK518" s="1358"/>
      <c r="UHL518" s="1358"/>
      <c r="UHM518" s="1358"/>
      <c r="UHN518" s="1358"/>
      <c r="UHO518" s="1358"/>
      <c r="UHP518" s="1358"/>
      <c r="UHQ518" s="1358"/>
      <c r="UHR518" s="1358"/>
      <c r="UHS518" s="1358"/>
      <c r="UHT518" s="1358"/>
      <c r="UHU518" s="1358"/>
      <c r="UHV518" s="1358"/>
      <c r="UHW518" s="1358"/>
      <c r="UHX518" s="1358"/>
      <c r="UHY518" s="1358"/>
      <c r="UHZ518" s="1358"/>
      <c r="UIA518" s="1358"/>
      <c r="UIB518" s="1358"/>
      <c r="UIC518" s="1358"/>
      <c r="UID518" s="1358"/>
      <c r="UIE518" s="1358"/>
      <c r="UIF518" s="1358"/>
      <c r="UIG518" s="1358"/>
      <c r="UIH518" s="1358"/>
      <c r="UII518" s="1358"/>
      <c r="UIJ518" s="1358"/>
      <c r="UIK518" s="1358"/>
      <c r="UIL518" s="1358"/>
      <c r="UIM518" s="1358"/>
      <c r="UIN518" s="1358"/>
      <c r="UIO518" s="1358"/>
      <c r="UIP518" s="1358"/>
      <c r="UIQ518" s="1358"/>
      <c r="UIR518" s="1358"/>
      <c r="UIS518" s="1358"/>
      <c r="UIT518" s="1358"/>
      <c r="UIU518" s="1358"/>
      <c r="UIV518" s="1358"/>
      <c r="UIW518" s="1358"/>
      <c r="UIX518" s="1358"/>
      <c r="UIY518" s="1358"/>
      <c r="UIZ518" s="1358"/>
      <c r="UJA518" s="1358"/>
      <c r="UJB518" s="1358"/>
      <c r="UJC518" s="1358"/>
      <c r="UJD518" s="1358"/>
      <c r="UJE518" s="1358"/>
      <c r="UJF518" s="1358"/>
      <c r="UJG518" s="1358"/>
      <c r="UJH518" s="1358"/>
      <c r="UJI518" s="1358"/>
      <c r="UJJ518" s="1358"/>
      <c r="UJK518" s="1358"/>
      <c r="UJL518" s="1358"/>
      <c r="UJM518" s="1358"/>
      <c r="UJN518" s="1358"/>
      <c r="UJO518" s="1358"/>
      <c r="UJP518" s="1358"/>
      <c r="UJQ518" s="1358"/>
      <c r="UJR518" s="1358"/>
      <c r="UJS518" s="1358"/>
      <c r="UJT518" s="1358"/>
      <c r="UJU518" s="1358"/>
      <c r="UJV518" s="1358"/>
      <c r="UJW518" s="1358"/>
      <c r="UJX518" s="1358"/>
      <c r="UJY518" s="1358"/>
      <c r="UJZ518" s="1358"/>
      <c r="UKA518" s="1358"/>
      <c r="UKB518" s="1358"/>
      <c r="UKC518" s="1358"/>
      <c r="UKD518" s="1358"/>
      <c r="UKE518" s="1358"/>
      <c r="UKF518" s="1358"/>
      <c r="UKG518" s="1358"/>
      <c r="UKH518" s="1358"/>
      <c r="UKI518" s="1358"/>
      <c r="UKJ518" s="1358"/>
      <c r="UKK518" s="1358"/>
      <c r="UKL518" s="1358"/>
      <c r="UKM518" s="1358"/>
      <c r="UKN518" s="1358"/>
      <c r="UKO518" s="1358"/>
      <c r="UKP518" s="1358"/>
      <c r="UKQ518" s="1358"/>
      <c r="UKR518" s="1358"/>
      <c r="UKS518" s="1358"/>
      <c r="UKT518" s="1358"/>
      <c r="UKU518" s="1358"/>
      <c r="UKV518" s="1358"/>
      <c r="UKW518" s="1358"/>
      <c r="UKX518" s="1358"/>
      <c r="UKY518" s="1358"/>
      <c r="UKZ518" s="1358"/>
      <c r="ULA518" s="1358"/>
      <c r="ULB518" s="1358"/>
      <c r="ULC518" s="1358"/>
      <c r="ULD518" s="1358"/>
      <c r="ULE518" s="1358"/>
      <c r="ULF518" s="1358"/>
      <c r="ULG518" s="1358"/>
      <c r="ULH518" s="1358"/>
      <c r="ULI518" s="1358"/>
      <c r="ULJ518" s="1358"/>
      <c r="ULK518" s="1358"/>
      <c r="ULL518" s="1358"/>
      <c r="ULM518" s="1358"/>
      <c r="ULN518" s="1358"/>
      <c r="ULO518" s="1358"/>
      <c r="ULP518" s="1358"/>
      <c r="ULQ518" s="1358"/>
      <c r="ULR518" s="1358"/>
      <c r="ULS518" s="1358"/>
      <c r="ULT518" s="1358"/>
      <c r="ULU518" s="1358"/>
      <c r="ULV518" s="1358"/>
      <c r="ULW518" s="1358"/>
      <c r="ULX518" s="1358"/>
      <c r="ULY518" s="1358"/>
      <c r="ULZ518" s="1358"/>
      <c r="UMA518" s="1358"/>
      <c r="UMB518" s="1358"/>
      <c r="UMC518" s="1358"/>
      <c r="UMD518" s="1358"/>
      <c r="UME518" s="1358"/>
      <c r="UMF518" s="1358"/>
      <c r="UMG518" s="1358"/>
      <c r="UMH518" s="1358"/>
      <c r="UMI518" s="1358"/>
      <c r="UMJ518" s="1358"/>
      <c r="UMK518" s="1358"/>
      <c r="UML518" s="1358"/>
      <c r="UMM518" s="1358"/>
      <c r="UMN518" s="1358"/>
      <c r="UMO518" s="1358"/>
      <c r="UMP518" s="1358"/>
      <c r="UMQ518" s="1358"/>
      <c r="UMR518" s="1358"/>
      <c r="UMS518" s="1358"/>
      <c r="UMT518" s="1358"/>
      <c r="UMU518" s="1358"/>
      <c r="UMV518" s="1358"/>
      <c r="UMW518" s="1358"/>
      <c r="UMX518" s="1358"/>
      <c r="UMY518" s="1358"/>
      <c r="UMZ518" s="1358"/>
      <c r="UNA518" s="1358"/>
      <c r="UNB518" s="1358"/>
      <c r="UNC518" s="1358"/>
      <c r="UND518" s="1358"/>
      <c r="UNE518" s="1358"/>
      <c r="UNF518" s="1358"/>
      <c r="UNG518" s="1358"/>
      <c r="UNH518" s="1358"/>
      <c r="UNI518" s="1358"/>
      <c r="UNJ518" s="1358"/>
      <c r="UNK518" s="1358"/>
      <c r="UNL518" s="1358"/>
      <c r="UNM518" s="1358"/>
      <c r="UNN518" s="1358"/>
      <c r="UNO518" s="1358"/>
      <c r="UNP518" s="1358"/>
      <c r="UNQ518" s="1358"/>
      <c r="UNR518" s="1358"/>
      <c r="UNS518" s="1358"/>
      <c r="UNT518" s="1358"/>
      <c r="UNU518" s="1358"/>
      <c r="UNV518" s="1358"/>
      <c r="UNW518" s="1358"/>
      <c r="UNX518" s="1358"/>
      <c r="UNY518" s="1358"/>
      <c r="UNZ518" s="1358"/>
      <c r="UOA518" s="1358"/>
      <c r="UOB518" s="1358"/>
      <c r="UOC518" s="1358"/>
      <c r="UOD518" s="1358"/>
      <c r="UOE518" s="1358"/>
      <c r="UOF518" s="1358"/>
      <c r="UOG518" s="1358"/>
      <c r="UOH518" s="1358"/>
      <c r="UOI518" s="1358"/>
      <c r="UOJ518" s="1358"/>
      <c r="UOK518" s="1358"/>
      <c r="UOL518" s="1358"/>
      <c r="UOM518" s="1358"/>
      <c r="UON518" s="1358"/>
      <c r="UOO518" s="1358"/>
      <c r="UOP518" s="1358"/>
      <c r="UOQ518" s="1358"/>
      <c r="UOR518" s="1358"/>
      <c r="UOS518" s="1358"/>
      <c r="UOT518" s="1358"/>
      <c r="UOU518" s="1358"/>
      <c r="UOV518" s="1358"/>
      <c r="UOW518" s="1358"/>
      <c r="UOX518" s="1358"/>
      <c r="UOY518" s="1358"/>
      <c r="UOZ518" s="1358"/>
      <c r="UPA518" s="1358"/>
      <c r="UPB518" s="1358"/>
      <c r="UPC518" s="1358"/>
      <c r="UPD518" s="1358"/>
      <c r="UPE518" s="1358"/>
      <c r="UPF518" s="1358"/>
      <c r="UPG518" s="1358"/>
      <c r="UPH518" s="1358"/>
      <c r="UPI518" s="1358"/>
      <c r="UPJ518" s="1358"/>
      <c r="UPK518" s="1358"/>
      <c r="UPL518" s="1358"/>
      <c r="UPM518" s="1358"/>
      <c r="UPN518" s="1358"/>
      <c r="UPO518" s="1358"/>
      <c r="UPP518" s="1358"/>
      <c r="UPQ518" s="1358"/>
      <c r="UPR518" s="1358"/>
      <c r="UPS518" s="1358"/>
      <c r="UPT518" s="1358"/>
      <c r="UPU518" s="1358"/>
      <c r="UPV518" s="1358"/>
      <c r="UPW518" s="1358"/>
      <c r="UPX518" s="1358"/>
      <c r="UPY518" s="1358"/>
      <c r="UPZ518" s="1358"/>
      <c r="UQA518" s="1358"/>
      <c r="UQB518" s="1358"/>
      <c r="UQC518" s="1358"/>
      <c r="UQD518" s="1358"/>
      <c r="UQE518" s="1358"/>
      <c r="UQF518" s="1358"/>
      <c r="UQG518" s="1358"/>
      <c r="UQH518" s="1358"/>
      <c r="UQI518" s="1358"/>
      <c r="UQJ518" s="1358"/>
      <c r="UQK518" s="1358"/>
      <c r="UQL518" s="1358"/>
      <c r="UQM518" s="1358"/>
      <c r="UQN518" s="1358"/>
      <c r="UQO518" s="1358"/>
      <c r="UQP518" s="1358"/>
      <c r="UQQ518" s="1358"/>
      <c r="UQR518" s="1358"/>
      <c r="UQS518" s="1358"/>
      <c r="UQT518" s="1358"/>
      <c r="UQU518" s="1358"/>
      <c r="UQV518" s="1358"/>
      <c r="UQW518" s="1358"/>
      <c r="UQX518" s="1358"/>
      <c r="UQY518" s="1358"/>
      <c r="UQZ518" s="1358"/>
      <c r="URA518" s="1358"/>
      <c r="URB518" s="1358"/>
      <c r="URC518" s="1358"/>
      <c r="URD518" s="1358"/>
      <c r="URE518" s="1358"/>
      <c r="URF518" s="1358"/>
      <c r="URG518" s="1358"/>
      <c r="URH518" s="1358"/>
      <c r="URI518" s="1358"/>
      <c r="URJ518" s="1358"/>
      <c r="URK518" s="1358"/>
      <c r="URL518" s="1358"/>
      <c r="URM518" s="1358"/>
      <c r="URN518" s="1358"/>
      <c r="URO518" s="1358"/>
      <c r="URP518" s="1358"/>
      <c r="URQ518" s="1358"/>
      <c r="URR518" s="1358"/>
      <c r="URS518" s="1358"/>
      <c r="URT518" s="1358"/>
      <c r="URU518" s="1358"/>
      <c r="URV518" s="1358"/>
      <c r="URW518" s="1358"/>
      <c r="URX518" s="1358"/>
      <c r="URY518" s="1358"/>
      <c r="URZ518" s="1358"/>
      <c r="USA518" s="1358"/>
      <c r="USB518" s="1358"/>
      <c r="USC518" s="1358"/>
      <c r="USD518" s="1358"/>
      <c r="USE518" s="1358"/>
      <c r="USF518" s="1358"/>
      <c r="USG518" s="1358"/>
      <c r="USH518" s="1358"/>
      <c r="USI518" s="1358"/>
      <c r="USJ518" s="1358"/>
      <c r="USK518" s="1358"/>
      <c r="USL518" s="1358"/>
      <c r="USM518" s="1358"/>
      <c r="USN518" s="1358"/>
      <c r="USO518" s="1358"/>
      <c r="USP518" s="1358"/>
      <c r="USQ518" s="1358"/>
      <c r="USR518" s="1358"/>
      <c r="USS518" s="1358"/>
      <c r="UST518" s="1358"/>
      <c r="USU518" s="1358"/>
      <c r="USV518" s="1358"/>
      <c r="USW518" s="1358"/>
      <c r="USX518" s="1358"/>
      <c r="USY518" s="1358"/>
      <c r="USZ518" s="1358"/>
      <c r="UTA518" s="1358"/>
      <c r="UTB518" s="1358"/>
      <c r="UTC518" s="1358"/>
      <c r="UTD518" s="1358"/>
      <c r="UTE518" s="1358"/>
      <c r="UTF518" s="1358"/>
      <c r="UTG518" s="1358"/>
      <c r="UTH518" s="1358"/>
      <c r="UTI518" s="1358"/>
      <c r="UTJ518" s="1358"/>
      <c r="UTK518" s="1358"/>
      <c r="UTL518" s="1358"/>
      <c r="UTM518" s="1358"/>
      <c r="UTN518" s="1358"/>
      <c r="UTO518" s="1358"/>
      <c r="UTP518" s="1358"/>
      <c r="UTQ518" s="1358"/>
      <c r="UTR518" s="1358"/>
      <c r="UTS518" s="1358"/>
      <c r="UTT518" s="1358"/>
      <c r="UTU518" s="1358"/>
      <c r="UTV518" s="1358"/>
      <c r="UTW518" s="1358"/>
      <c r="UTX518" s="1358"/>
      <c r="UTY518" s="1358"/>
      <c r="UTZ518" s="1358"/>
      <c r="UUA518" s="1358"/>
      <c r="UUB518" s="1358"/>
      <c r="UUC518" s="1358"/>
      <c r="UUD518" s="1358"/>
      <c r="UUE518" s="1358"/>
      <c r="UUF518" s="1358"/>
      <c r="UUG518" s="1358"/>
      <c r="UUH518" s="1358"/>
      <c r="UUI518" s="1358"/>
      <c r="UUJ518" s="1358"/>
      <c r="UUK518" s="1358"/>
      <c r="UUL518" s="1358"/>
      <c r="UUM518" s="1358"/>
      <c r="UUN518" s="1358"/>
      <c r="UUO518" s="1358"/>
      <c r="UUP518" s="1358"/>
      <c r="UUQ518" s="1358"/>
      <c r="UUR518" s="1358"/>
      <c r="UUS518" s="1358"/>
      <c r="UUT518" s="1358"/>
      <c r="UUU518" s="1358"/>
      <c r="UUV518" s="1358"/>
      <c r="UUW518" s="1358"/>
      <c r="UUX518" s="1358"/>
      <c r="UUY518" s="1358"/>
      <c r="UUZ518" s="1358"/>
      <c r="UVA518" s="1358"/>
      <c r="UVB518" s="1358"/>
      <c r="UVC518" s="1358"/>
      <c r="UVD518" s="1358"/>
      <c r="UVE518" s="1358"/>
      <c r="UVF518" s="1358"/>
      <c r="UVG518" s="1358"/>
      <c r="UVH518" s="1358"/>
      <c r="UVI518" s="1358"/>
      <c r="UVJ518" s="1358"/>
      <c r="UVK518" s="1358"/>
      <c r="UVL518" s="1358"/>
      <c r="UVM518" s="1358"/>
      <c r="UVN518" s="1358"/>
      <c r="UVO518" s="1358"/>
      <c r="UVP518" s="1358"/>
      <c r="UVQ518" s="1358"/>
      <c r="UVR518" s="1358"/>
      <c r="UVS518" s="1358"/>
      <c r="UVT518" s="1358"/>
      <c r="UVU518" s="1358"/>
      <c r="UVV518" s="1358"/>
      <c r="UVW518" s="1358"/>
      <c r="UVX518" s="1358"/>
      <c r="UVY518" s="1358"/>
      <c r="UVZ518" s="1358"/>
      <c r="UWA518" s="1358"/>
      <c r="UWB518" s="1358"/>
      <c r="UWC518" s="1358"/>
      <c r="UWD518" s="1358"/>
      <c r="UWE518" s="1358"/>
      <c r="UWF518" s="1358"/>
      <c r="UWG518" s="1358"/>
      <c r="UWH518" s="1358"/>
      <c r="UWI518" s="1358"/>
      <c r="UWJ518" s="1358"/>
      <c r="UWK518" s="1358"/>
      <c r="UWL518" s="1358"/>
      <c r="UWM518" s="1358"/>
      <c r="UWN518" s="1358"/>
      <c r="UWO518" s="1358"/>
      <c r="UWP518" s="1358"/>
      <c r="UWQ518" s="1358"/>
      <c r="UWR518" s="1358"/>
      <c r="UWS518" s="1358"/>
      <c r="UWT518" s="1358"/>
      <c r="UWU518" s="1358"/>
      <c r="UWV518" s="1358"/>
      <c r="UWW518" s="1358"/>
      <c r="UWX518" s="1358"/>
      <c r="UWY518" s="1358"/>
      <c r="UWZ518" s="1358"/>
      <c r="UXA518" s="1358"/>
      <c r="UXB518" s="1358"/>
      <c r="UXC518" s="1358"/>
      <c r="UXD518" s="1358"/>
      <c r="UXE518" s="1358"/>
      <c r="UXF518" s="1358"/>
      <c r="UXG518" s="1358"/>
      <c r="UXH518" s="1358"/>
      <c r="UXI518" s="1358"/>
      <c r="UXJ518" s="1358"/>
      <c r="UXK518" s="1358"/>
      <c r="UXL518" s="1358"/>
      <c r="UXM518" s="1358"/>
      <c r="UXN518" s="1358"/>
      <c r="UXO518" s="1358"/>
      <c r="UXP518" s="1358"/>
      <c r="UXQ518" s="1358"/>
      <c r="UXR518" s="1358"/>
      <c r="UXS518" s="1358"/>
      <c r="UXT518" s="1358"/>
      <c r="UXU518" s="1358"/>
      <c r="UXV518" s="1358"/>
      <c r="UXW518" s="1358"/>
      <c r="UXX518" s="1358"/>
      <c r="UXY518" s="1358"/>
      <c r="UXZ518" s="1358"/>
      <c r="UYA518" s="1358"/>
      <c r="UYB518" s="1358"/>
      <c r="UYC518" s="1358"/>
      <c r="UYD518" s="1358"/>
      <c r="UYE518" s="1358"/>
      <c r="UYF518" s="1358"/>
      <c r="UYG518" s="1358"/>
      <c r="UYH518" s="1358"/>
      <c r="UYI518" s="1358"/>
      <c r="UYJ518" s="1358"/>
      <c r="UYK518" s="1358"/>
      <c r="UYL518" s="1358"/>
      <c r="UYM518" s="1358"/>
      <c r="UYN518" s="1358"/>
      <c r="UYO518" s="1358"/>
      <c r="UYP518" s="1358"/>
      <c r="UYQ518" s="1358"/>
      <c r="UYR518" s="1358"/>
      <c r="UYS518" s="1358"/>
      <c r="UYT518" s="1358"/>
      <c r="UYU518" s="1358"/>
      <c r="UYV518" s="1358"/>
      <c r="UYW518" s="1358"/>
      <c r="UYX518" s="1358"/>
      <c r="UYY518" s="1358"/>
      <c r="UYZ518" s="1358"/>
      <c r="UZA518" s="1358"/>
      <c r="UZB518" s="1358"/>
      <c r="UZC518" s="1358"/>
      <c r="UZD518" s="1358"/>
      <c r="UZE518" s="1358"/>
      <c r="UZF518" s="1358"/>
      <c r="UZG518" s="1358"/>
      <c r="UZH518" s="1358"/>
      <c r="UZI518" s="1358"/>
      <c r="UZJ518" s="1358"/>
      <c r="UZK518" s="1358"/>
      <c r="UZL518" s="1358"/>
      <c r="UZM518" s="1358"/>
      <c r="UZN518" s="1358"/>
      <c r="UZO518" s="1358"/>
      <c r="UZP518" s="1358"/>
      <c r="UZQ518" s="1358"/>
      <c r="UZR518" s="1358"/>
      <c r="UZS518" s="1358"/>
      <c r="UZT518" s="1358"/>
      <c r="UZU518" s="1358"/>
      <c r="UZV518" s="1358"/>
      <c r="UZW518" s="1358"/>
      <c r="UZX518" s="1358"/>
      <c r="UZY518" s="1358"/>
      <c r="UZZ518" s="1358"/>
      <c r="VAA518" s="1358"/>
      <c r="VAB518" s="1358"/>
      <c r="VAC518" s="1358"/>
      <c r="VAD518" s="1358"/>
      <c r="VAE518" s="1358"/>
      <c r="VAF518" s="1358"/>
      <c r="VAG518" s="1358"/>
      <c r="VAH518" s="1358"/>
      <c r="VAI518" s="1358"/>
      <c r="VAJ518" s="1358"/>
      <c r="VAK518" s="1358"/>
      <c r="VAL518" s="1358"/>
      <c r="VAM518" s="1358"/>
      <c r="VAN518" s="1358"/>
      <c r="VAO518" s="1358"/>
      <c r="VAP518" s="1358"/>
      <c r="VAQ518" s="1358"/>
      <c r="VAR518" s="1358"/>
      <c r="VAS518" s="1358"/>
      <c r="VAT518" s="1358"/>
      <c r="VAU518" s="1358"/>
      <c r="VAV518" s="1358"/>
      <c r="VAW518" s="1358"/>
      <c r="VAX518" s="1358"/>
      <c r="VAY518" s="1358"/>
      <c r="VAZ518" s="1358"/>
      <c r="VBA518" s="1358"/>
      <c r="VBB518" s="1358"/>
      <c r="VBC518" s="1358"/>
      <c r="VBD518" s="1358"/>
      <c r="VBE518" s="1358"/>
      <c r="VBF518" s="1358"/>
      <c r="VBG518" s="1358"/>
      <c r="VBH518" s="1358"/>
      <c r="VBI518" s="1358"/>
      <c r="VBJ518" s="1358"/>
      <c r="VBK518" s="1358"/>
      <c r="VBL518" s="1358"/>
      <c r="VBM518" s="1358"/>
      <c r="VBN518" s="1358"/>
      <c r="VBO518" s="1358"/>
      <c r="VBP518" s="1358"/>
      <c r="VBQ518" s="1358"/>
      <c r="VBR518" s="1358"/>
      <c r="VBS518" s="1358"/>
      <c r="VBT518" s="1358"/>
      <c r="VBU518" s="1358"/>
      <c r="VBV518" s="1358"/>
      <c r="VBW518" s="1358"/>
      <c r="VBX518" s="1358"/>
      <c r="VBY518" s="1358"/>
      <c r="VBZ518" s="1358"/>
      <c r="VCA518" s="1358"/>
      <c r="VCB518" s="1358"/>
      <c r="VCC518" s="1358"/>
      <c r="VCD518" s="1358"/>
      <c r="VCE518" s="1358"/>
      <c r="VCF518" s="1358"/>
      <c r="VCG518" s="1358"/>
      <c r="VCH518" s="1358"/>
      <c r="VCI518" s="1358"/>
      <c r="VCJ518" s="1358"/>
      <c r="VCK518" s="1358"/>
      <c r="VCL518" s="1358"/>
      <c r="VCM518" s="1358"/>
      <c r="VCN518" s="1358"/>
      <c r="VCO518" s="1358"/>
      <c r="VCP518" s="1358"/>
      <c r="VCQ518" s="1358"/>
      <c r="VCR518" s="1358"/>
      <c r="VCS518" s="1358"/>
      <c r="VCT518" s="1358"/>
      <c r="VCU518" s="1358"/>
      <c r="VCV518" s="1358"/>
      <c r="VCW518" s="1358"/>
      <c r="VCX518" s="1358"/>
      <c r="VCY518" s="1358"/>
      <c r="VCZ518" s="1358"/>
      <c r="VDA518" s="1358"/>
      <c r="VDB518" s="1358"/>
      <c r="VDC518" s="1358"/>
      <c r="VDD518" s="1358"/>
      <c r="VDE518" s="1358"/>
      <c r="VDF518" s="1358"/>
      <c r="VDG518" s="1358"/>
      <c r="VDH518" s="1358"/>
      <c r="VDI518" s="1358"/>
      <c r="VDJ518" s="1358"/>
      <c r="VDK518" s="1358"/>
      <c r="VDL518" s="1358"/>
      <c r="VDM518" s="1358"/>
      <c r="VDN518" s="1358"/>
      <c r="VDO518" s="1358"/>
      <c r="VDP518" s="1358"/>
      <c r="VDQ518" s="1358"/>
      <c r="VDR518" s="1358"/>
      <c r="VDS518" s="1358"/>
      <c r="VDT518" s="1358"/>
      <c r="VDU518" s="1358"/>
      <c r="VDV518" s="1358"/>
      <c r="VDW518" s="1358"/>
      <c r="VDX518" s="1358"/>
      <c r="VDY518" s="1358"/>
      <c r="VDZ518" s="1358"/>
      <c r="VEA518" s="1358"/>
      <c r="VEB518" s="1358"/>
      <c r="VEC518" s="1358"/>
      <c r="VED518" s="1358"/>
      <c r="VEE518" s="1358"/>
      <c r="VEF518" s="1358"/>
      <c r="VEG518" s="1358"/>
      <c r="VEH518" s="1358"/>
      <c r="VEI518" s="1358"/>
      <c r="VEJ518" s="1358"/>
      <c r="VEK518" s="1358"/>
      <c r="VEL518" s="1358"/>
      <c r="VEM518" s="1358"/>
      <c r="VEN518" s="1358"/>
      <c r="VEO518" s="1358"/>
      <c r="VEP518" s="1358"/>
      <c r="VEQ518" s="1358"/>
      <c r="VER518" s="1358"/>
      <c r="VES518" s="1358"/>
      <c r="VET518" s="1358"/>
      <c r="VEU518" s="1358"/>
      <c r="VEV518" s="1358"/>
      <c r="VEW518" s="1358"/>
      <c r="VEX518" s="1358"/>
      <c r="VEY518" s="1358"/>
      <c r="VEZ518" s="1358"/>
      <c r="VFA518" s="1358"/>
      <c r="VFB518" s="1358"/>
      <c r="VFC518" s="1358"/>
      <c r="VFD518" s="1358"/>
      <c r="VFE518" s="1358"/>
      <c r="VFF518" s="1358"/>
      <c r="VFG518" s="1358"/>
      <c r="VFH518" s="1358"/>
      <c r="VFI518" s="1358"/>
      <c r="VFJ518" s="1358"/>
      <c r="VFK518" s="1358"/>
      <c r="VFL518" s="1358"/>
      <c r="VFM518" s="1358"/>
      <c r="VFN518" s="1358"/>
      <c r="VFO518" s="1358"/>
      <c r="VFP518" s="1358"/>
      <c r="VFQ518" s="1358"/>
      <c r="VFR518" s="1358"/>
      <c r="VFS518" s="1358"/>
      <c r="VFT518" s="1358"/>
      <c r="VFU518" s="1358"/>
      <c r="VFV518" s="1358"/>
      <c r="VFW518" s="1358"/>
      <c r="VFX518" s="1358"/>
      <c r="VFY518" s="1358"/>
      <c r="VFZ518" s="1358"/>
      <c r="VGA518" s="1358"/>
      <c r="VGB518" s="1358"/>
      <c r="VGC518" s="1358"/>
      <c r="VGD518" s="1358"/>
      <c r="VGE518" s="1358"/>
      <c r="VGF518" s="1358"/>
      <c r="VGG518" s="1358"/>
      <c r="VGH518" s="1358"/>
      <c r="VGI518" s="1358"/>
      <c r="VGJ518" s="1358"/>
      <c r="VGK518" s="1358"/>
      <c r="VGL518" s="1358"/>
      <c r="VGM518" s="1358"/>
      <c r="VGN518" s="1358"/>
      <c r="VGO518" s="1358"/>
      <c r="VGP518" s="1358"/>
      <c r="VGQ518" s="1358"/>
      <c r="VGR518" s="1358"/>
      <c r="VGS518" s="1358"/>
      <c r="VGT518" s="1358"/>
      <c r="VGU518" s="1358"/>
      <c r="VGV518" s="1358"/>
      <c r="VGW518" s="1358"/>
      <c r="VGX518" s="1358"/>
      <c r="VGY518" s="1358"/>
      <c r="VGZ518" s="1358"/>
      <c r="VHA518" s="1358"/>
      <c r="VHB518" s="1358"/>
      <c r="VHC518" s="1358"/>
      <c r="VHD518" s="1358"/>
      <c r="VHE518" s="1358"/>
      <c r="VHF518" s="1358"/>
      <c r="VHG518" s="1358"/>
      <c r="VHH518" s="1358"/>
      <c r="VHI518" s="1358"/>
      <c r="VHJ518" s="1358"/>
      <c r="VHK518" s="1358"/>
      <c r="VHL518" s="1358"/>
      <c r="VHM518" s="1358"/>
      <c r="VHN518" s="1358"/>
      <c r="VHO518" s="1358"/>
      <c r="VHP518" s="1358"/>
      <c r="VHQ518" s="1358"/>
      <c r="VHR518" s="1358"/>
      <c r="VHS518" s="1358"/>
      <c r="VHT518" s="1358"/>
      <c r="VHU518" s="1358"/>
      <c r="VHV518" s="1358"/>
      <c r="VHW518" s="1358"/>
      <c r="VHX518" s="1358"/>
      <c r="VHY518" s="1358"/>
      <c r="VHZ518" s="1358"/>
      <c r="VIA518" s="1358"/>
      <c r="VIB518" s="1358"/>
      <c r="VIC518" s="1358"/>
      <c r="VID518" s="1358"/>
      <c r="VIE518" s="1358"/>
      <c r="VIF518" s="1358"/>
      <c r="VIG518" s="1358"/>
      <c r="VIH518" s="1358"/>
      <c r="VII518" s="1358"/>
      <c r="VIJ518" s="1358"/>
      <c r="VIK518" s="1358"/>
      <c r="VIL518" s="1358"/>
      <c r="VIM518" s="1358"/>
      <c r="VIN518" s="1358"/>
      <c r="VIO518" s="1358"/>
      <c r="VIP518" s="1358"/>
      <c r="VIQ518" s="1358"/>
      <c r="VIR518" s="1358"/>
      <c r="VIS518" s="1358"/>
      <c r="VIT518" s="1358"/>
      <c r="VIU518" s="1358"/>
      <c r="VIV518" s="1358"/>
      <c r="VIW518" s="1358"/>
      <c r="VIX518" s="1358"/>
      <c r="VIY518" s="1358"/>
      <c r="VIZ518" s="1358"/>
      <c r="VJA518" s="1358"/>
      <c r="VJB518" s="1358"/>
      <c r="VJC518" s="1358"/>
      <c r="VJD518" s="1358"/>
      <c r="VJE518" s="1358"/>
      <c r="VJF518" s="1358"/>
      <c r="VJG518" s="1358"/>
      <c r="VJH518" s="1358"/>
      <c r="VJI518" s="1358"/>
      <c r="VJJ518" s="1358"/>
      <c r="VJK518" s="1358"/>
      <c r="VJL518" s="1358"/>
      <c r="VJM518" s="1358"/>
      <c r="VJN518" s="1358"/>
      <c r="VJO518" s="1358"/>
      <c r="VJP518" s="1358"/>
      <c r="VJQ518" s="1358"/>
      <c r="VJR518" s="1358"/>
      <c r="VJS518" s="1358"/>
      <c r="VJT518" s="1358"/>
      <c r="VJU518" s="1358"/>
      <c r="VJV518" s="1358"/>
      <c r="VJW518" s="1358"/>
      <c r="VJX518" s="1358"/>
      <c r="VJY518" s="1358"/>
      <c r="VJZ518" s="1358"/>
      <c r="VKA518" s="1358"/>
      <c r="VKB518" s="1358"/>
      <c r="VKC518" s="1358"/>
      <c r="VKD518" s="1358"/>
      <c r="VKE518" s="1358"/>
      <c r="VKF518" s="1358"/>
      <c r="VKG518" s="1358"/>
      <c r="VKH518" s="1358"/>
      <c r="VKI518" s="1358"/>
      <c r="VKJ518" s="1358"/>
      <c r="VKK518" s="1358"/>
      <c r="VKL518" s="1358"/>
      <c r="VKM518" s="1358"/>
      <c r="VKN518" s="1358"/>
      <c r="VKO518" s="1358"/>
      <c r="VKP518" s="1358"/>
      <c r="VKQ518" s="1358"/>
      <c r="VKR518" s="1358"/>
      <c r="VKS518" s="1358"/>
      <c r="VKT518" s="1358"/>
      <c r="VKU518" s="1358"/>
      <c r="VKV518" s="1358"/>
      <c r="VKW518" s="1358"/>
      <c r="VKX518" s="1358"/>
      <c r="VKY518" s="1358"/>
      <c r="VKZ518" s="1358"/>
      <c r="VLA518" s="1358"/>
      <c r="VLB518" s="1358"/>
      <c r="VLC518" s="1358"/>
      <c r="VLD518" s="1358"/>
      <c r="VLE518" s="1358"/>
      <c r="VLF518" s="1358"/>
      <c r="VLG518" s="1358"/>
      <c r="VLH518" s="1358"/>
      <c r="VLI518" s="1358"/>
      <c r="VLJ518" s="1358"/>
      <c r="VLK518" s="1358"/>
      <c r="VLL518" s="1358"/>
      <c r="VLM518" s="1358"/>
      <c r="VLN518" s="1358"/>
      <c r="VLO518" s="1358"/>
      <c r="VLP518" s="1358"/>
      <c r="VLQ518" s="1358"/>
      <c r="VLR518" s="1358"/>
      <c r="VLS518" s="1358"/>
      <c r="VLT518" s="1358"/>
      <c r="VLU518" s="1358"/>
      <c r="VLV518" s="1358"/>
      <c r="VLW518" s="1358"/>
      <c r="VLX518" s="1358"/>
      <c r="VLY518" s="1358"/>
      <c r="VLZ518" s="1358"/>
      <c r="VMA518" s="1358"/>
      <c r="VMB518" s="1358"/>
      <c r="VMC518" s="1358"/>
      <c r="VMD518" s="1358"/>
      <c r="VME518" s="1358"/>
      <c r="VMF518" s="1358"/>
      <c r="VMG518" s="1358"/>
      <c r="VMH518" s="1358"/>
      <c r="VMI518" s="1358"/>
      <c r="VMJ518" s="1358"/>
      <c r="VMK518" s="1358"/>
      <c r="VML518" s="1358"/>
      <c r="VMM518" s="1358"/>
      <c r="VMN518" s="1358"/>
      <c r="VMO518" s="1358"/>
      <c r="VMP518" s="1358"/>
      <c r="VMQ518" s="1358"/>
      <c r="VMR518" s="1358"/>
      <c r="VMS518" s="1358"/>
      <c r="VMT518" s="1358"/>
      <c r="VMU518" s="1358"/>
      <c r="VMV518" s="1358"/>
      <c r="VMW518" s="1358"/>
      <c r="VMX518" s="1358"/>
      <c r="VMY518" s="1358"/>
      <c r="VMZ518" s="1358"/>
      <c r="VNA518" s="1358"/>
      <c r="VNB518" s="1358"/>
      <c r="VNC518" s="1358"/>
      <c r="VND518" s="1358"/>
      <c r="VNE518" s="1358"/>
      <c r="VNF518" s="1358"/>
      <c r="VNG518" s="1358"/>
      <c r="VNH518" s="1358"/>
      <c r="VNI518" s="1358"/>
      <c r="VNJ518" s="1358"/>
      <c r="VNK518" s="1358"/>
      <c r="VNL518" s="1358"/>
      <c r="VNM518" s="1358"/>
      <c r="VNN518" s="1358"/>
      <c r="VNO518" s="1358"/>
      <c r="VNP518" s="1358"/>
      <c r="VNQ518" s="1358"/>
      <c r="VNR518" s="1358"/>
      <c r="VNS518" s="1358"/>
      <c r="VNT518" s="1358"/>
      <c r="VNU518" s="1358"/>
      <c r="VNV518" s="1358"/>
      <c r="VNW518" s="1358"/>
      <c r="VNX518" s="1358"/>
      <c r="VNY518" s="1358"/>
      <c r="VNZ518" s="1358"/>
      <c r="VOA518" s="1358"/>
      <c r="VOB518" s="1358"/>
      <c r="VOC518" s="1358"/>
      <c r="VOD518" s="1358"/>
      <c r="VOE518" s="1358"/>
      <c r="VOF518" s="1358"/>
      <c r="VOG518" s="1358"/>
      <c r="VOH518" s="1358"/>
      <c r="VOI518" s="1358"/>
      <c r="VOJ518" s="1358"/>
      <c r="VOK518" s="1358"/>
      <c r="VOL518" s="1358"/>
      <c r="VOM518" s="1358"/>
      <c r="VON518" s="1358"/>
      <c r="VOO518" s="1358"/>
      <c r="VOP518" s="1358"/>
      <c r="VOQ518" s="1358"/>
      <c r="VOR518" s="1358"/>
      <c r="VOS518" s="1358"/>
      <c r="VOT518" s="1358"/>
      <c r="VOU518" s="1358"/>
      <c r="VOV518" s="1358"/>
      <c r="VOW518" s="1358"/>
      <c r="VOX518" s="1358"/>
      <c r="VOY518" s="1358"/>
      <c r="VOZ518" s="1358"/>
      <c r="VPA518" s="1358"/>
      <c r="VPB518" s="1358"/>
      <c r="VPC518" s="1358"/>
      <c r="VPD518" s="1358"/>
      <c r="VPE518" s="1358"/>
      <c r="VPF518" s="1358"/>
      <c r="VPG518" s="1358"/>
      <c r="VPH518" s="1358"/>
      <c r="VPI518" s="1358"/>
      <c r="VPJ518" s="1358"/>
      <c r="VPK518" s="1358"/>
      <c r="VPL518" s="1358"/>
      <c r="VPM518" s="1358"/>
      <c r="VPN518" s="1358"/>
      <c r="VPO518" s="1358"/>
      <c r="VPP518" s="1358"/>
      <c r="VPQ518" s="1358"/>
      <c r="VPR518" s="1358"/>
      <c r="VPS518" s="1358"/>
      <c r="VPT518" s="1358"/>
      <c r="VPU518" s="1358"/>
      <c r="VPV518" s="1358"/>
      <c r="VPW518" s="1358"/>
      <c r="VPX518" s="1358"/>
      <c r="VPY518" s="1358"/>
      <c r="VPZ518" s="1358"/>
      <c r="VQA518" s="1358"/>
      <c r="VQB518" s="1358"/>
      <c r="VQC518" s="1358"/>
      <c r="VQD518" s="1358"/>
      <c r="VQE518" s="1358"/>
      <c r="VQF518" s="1358"/>
      <c r="VQG518" s="1358"/>
      <c r="VQH518" s="1358"/>
      <c r="VQI518" s="1358"/>
      <c r="VQJ518" s="1358"/>
      <c r="VQK518" s="1358"/>
      <c r="VQL518" s="1358"/>
      <c r="VQM518" s="1358"/>
      <c r="VQN518" s="1358"/>
      <c r="VQO518" s="1358"/>
      <c r="VQP518" s="1358"/>
      <c r="VQQ518" s="1358"/>
      <c r="VQR518" s="1358"/>
      <c r="VQS518" s="1358"/>
      <c r="VQT518" s="1358"/>
      <c r="VQU518" s="1358"/>
      <c r="VQV518" s="1358"/>
      <c r="VQW518" s="1358"/>
      <c r="VQX518" s="1358"/>
      <c r="VQY518" s="1358"/>
      <c r="VQZ518" s="1358"/>
      <c r="VRA518" s="1358"/>
      <c r="VRB518" s="1358"/>
      <c r="VRC518" s="1358"/>
      <c r="VRD518" s="1358"/>
      <c r="VRE518" s="1358"/>
      <c r="VRF518" s="1358"/>
      <c r="VRG518" s="1358"/>
      <c r="VRH518" s="1358"/>
      <c r="VRI518" s="1358"/>
      <c r="VRJ518" s="1358"/>
      <c r="VRK518" s="1358"/>
      <c r="VRL518" s="1358"/>
      <c r="VRM518" s="1358"/>
      <c r="VRN518" s="1358"/>
      <c r="VRO518" s="1358"/>
      <c r="VRP518" s="1358"/>
      <c r="VRQ518" s="1358"/>
      <c r="VRR518" s="1358"/>
      <c r="VRS518" s="1358"/>
      <c r="VRT518" s="1358"/>
      <c r="VRU518" s="1358"/>
      <c r="VRV518" s="1358"/>
      <c r="VRW518" s="1358"/>
      <c r="VRX518" s="1358"/>
      <c r="VRY518" s="1358"/>
      <c r="VRZ518" s="1358"/>
      <c r="VSA518" s="1358"/>
      <c r="VSB518" s="1358"/>
      <c r="VSC518" s="1358"/>
      <c r="VSD518" s="1358"/>
      <c r="VSE518" s="1358"/>
      <c r="VSF518" s="1358"/>
      <c r="VSG518" s="1358"/>
      <c r="VSH518" s="1358"/>
      <c r="VSI518" s="1358"/>
      <c r="VSJ518" s="1358"/>
      <c r="VSK518" s="1358"/>
      <c r="VSL518" s="1358"/>
      <c r="VSM518" s="1358"/>
      <c r="VSN518" s="1358"/>
      <c r="VSO518" s="1358"/>
      <c r="VSP518" s="1358"/>
      <c r="VSQ518" s="1358"/>
      <c r="VSR518" s="1358"/>
      <c r="VSS518" s="1358"/>
      <c r="VST518" s="1358"/>
      <c r="VSU518" s="1358"/>
      <c r="VSV518" s="1358"/>
      <c r="VSW518" s="1358"/>
      <c r="VSX518" s="1358"/>
      <c r="VSY518" s="1358"/>
      <c r="VSZ518" s="1358"/>
      <c r="VTA518" s="1358"/>
      <c r="VTB518" s="1358"/>
      <c r="VTC518" s="1358"/>
      <c r="VTD518" s="1358"/>
      <c r="VTE518" s="1358"/>
      <c r="VTF518" s="1358"/>
      <c r="VTG518" s="1358"/>
      <c r="VTH518" s="1358"/>
      <c r="VTI518" s="1358"/>
      <c r="VTJ518" s="1358"/>
      <c r="VTK518" s="1358"/>
      <c r="VTL518" s="1358"/>
      <c r="VTM518" s="1358"/>
      <c r="VTN518" s="1358"/>
      <c r="VTO518" s="1358"/>
      <c r="VTP518" s="1358"/>
      <c r="VTQ518" s="1358"/>
      <c r="VTR518" s="1358"/>
      <c r="VTS518" s="1358"/>
      <c r="VTT518" s="1358"/>
      <c r="VTU518" s="1358"/>
      <c r="VTV518" s="1358"/>
      <c r="VTW518" s="1358"/>
      <c r="VTX518" s="1358"/>
      <c r="VTY518" s="1358"/>
      <c r="VTZ518" s="1358"/>
      <c r="VUA518" s="1358"/>
      <c r="VUB518" s="1358"/>
      <c r="VUC518" s="1358"/>
      <c r="VUD518" s="1358"/>
      <c r="VUE518" s="1358"/>
      <c r="VUF518" s="1358"/>
      <c r="VUG518" s="1358"/>
      <c r="VUH518" s="1358"/>
      <c r="VUI518" s="1358"/>
      <c r="VUJ518" s="1358"/>
      <c r="VUK518" s="1358"/>
      <c r="VUL518" s="1358"/>
      <c r="VUM518" s="1358"/>
      <c r="VUN518" s="1358"/>
      <c r="VUO518" s="1358"/>
      <c r="VUP518" s="1358"/>
      <c r="VUQ518" s="1358"/>
      <c r="VUR518" s="1358"/>
      <c r="VUS518" s="1358"/>
      <c r="VUT518" s="1358"/>
      <c r="VUU518" s="1358"/>
      <c r="VUV518" s="1358"/>
      <c r="VUW518" s="1358"/>
      <c r="VUX518" s="1358"/>
      <c r="VUY518" s="1358"/>
      <c r="VUZ518" s="1358"/>
      <c r="VVA518" s="1358"/>
      <c r="VVB518" s="1358"/>
      <c r="VVC518" s="1358"/>
      <c r="VVD518" s="1358"/>
      <c r="VVE518" s="1358"/>
      <c r="VVF518" s="1358"/>
      <c r="VVG518" s="1358"/>
      <c r="VVH518" s="1358"/>
      <c r="VVI518" s="1358"/>
      <c r="VVJ518" s="1358"/>
      <c r="VVK518" s="1358"/>
      <c r="VVL518" s="1358"/>
      <c r="VVM518" s="1358"/>
      <c r="VVN518" s="1358"/>
      <c r="VVO518" s="1358"/>
      <c r="VVP518" s="1358"/>
      <c r="VVQ518" s="1358"/>
      <c r="VVR518" s="1358"/>
      <c r="VVS518" s="1358"/>
      <c r="VVT518" s="1358"/>
      <c r="VVU518" s="1358"/>
      <c r="VVV518" s="1358"/>
      <c r="VVW518" s="1358"/>
      <c r="VVX518" s="1358"/>
      <c r="VVY518" s="1358"/>
      <c r="VVZ518" s="1358"/>
      <c r="VWA518" s="1358"/>
      <c r="VWB518" s="1358"/>
      <c r="VWC518" s="1358"/>
      <c r="VWD518" s="1358"/>
      <c r="VWE518" s="1358"/>
      <c r="VWF518" s="1358"/>
      <c r="VWG518" s="1358"/>
      <c r="VWH518" s="1358"/>
      <c r="VWI518" s="1358"/>
      <c r="VWJ518" s="1358"/>
      <c r="VWK518" s="1358"/>
      <c r="VWL518" s="1358"/>
      <c r="VWM518" s="1358"/>
      <c r="VWN518" s="1358"/>
      <c r="VWO518" s="1358"/>
      <c r="VWP518" s="1358"/>
      <c r="VWQ518" s="1358"/>
      <c r="VWR518" s="1358"/>
      <c r="VWS518" s="1358"/>
      <c r="VWT518" s="1358"/>
      <c r="VWU518" s="1358"/>
      <c r="VWV518" s="1358"/>
      <c r="VWW518" s="1358"/>
      <c r="VWX518" s="1358"/>
      <c r="VWY518" s="1358"/>
      <c r="VWZ518" s="1358"/>
      <c r="VXA518" s="1358"/>
      <c r="VXB518" s="1358"/>
      <c r="VXC518" s="1358"/>
      <c r="VXD518" s="1358"/>
      <c r="VXE518" s="1358"/>
      <c r="VXF518" s="1358"/>
      <c r="VXG518" s="1358"/>
      <c r="VXH518" s="1358"/>
      <c r="VXI518" s="1358"/>
      <c r="VXJ518" s="1358"/>
      <c r="VXK518" s="1358"/>
      <c r="VXL518" s="1358"/>
      <c r="VXM518" s="1358"/>
      <c r="VXN518" s="1358"/>
      <c r="VXO518" s="1358"/>
      <c r="VXP518" s="1358"/>
      <c r="VXQ518" s="1358"/>
      <c r="VXR518" s="1358"/>
      <c r="VXS518" s="1358"/>
      <c r="VXT518" s="1358"/>
      <c r="VXU518" s="1358"/>
      <c r="VXV518" s="1358"/>
      <c r="VXW518" s="1358"/>
      <c r="VXX518" s="1358"/>
      <c r="VXY518" s="1358"/>
      <c r="VXZ518" s="1358"/>
      <c r="VYA518" s="1358"/>
      <c r="VYB518" s="1358"/>
      <c r="VYC518" s="1358"/>
      <c r="VYD518" s="1358"/>
      <c r="VYE518" s="1358"/>
      <c r="VYF518" s="1358"/>
      <c r="VYG518" s="1358"/>
      <c r="VYH518" s="1358"/>
      <c r="VYI518" s="1358"/>
      <c r="VYJ518" s="1358"/>
      <c r="VYK518" s="1358"/>
      <c r="VYL518" s="1358"/>
      <c r="VYM518" s="1358"/>
      <c r="VYN518" s="1358"/>
      <c r="VYO518" s="1358"/>
      <c r="VYP518" s="1358"/>
      <c r="VYQ518" s="1358"/>
      <c r="VYR518" s="1358"/>
      <c r="VYS518" s="1358"/>
      <c r="VYT518" s="1358"/>
      <c r="VYU518" s="1358"/>
      <c r="VYV518" s="1358"/>
      <c r="VYW518" s="1358"/>
      <c r="VYX518" s="1358"/>
      <c r="VYY518" s="1358"/>
      <c r="VYZ518" s="1358"/>
      <c r="VZA518" s="1358"/>
      <c r="VZB518" s="1358"/>
      <c r="VZC518" s="1358"/>
      <c r="VZD518" s="1358"/>
      <c r="VZE518" s="1358"/>
      <c r="VZF518" s="1358"/>
      <c r="VZG518" s="1358"/>
      <c r="VZH518" s="1358"/>
      <c r="VZI518" s="1358"/>
      <c r="VZJ518" s="1358"/>
      <c r="VZK518" s="1358"/>
      <c r="VZL518" s="1358"/>
      <c r="VZM518" s="1358"/>
      <c r="VZN518" s="1358"/>
      <c r="VZO518" s="1358"/>
      <c r="VZP518" s="1358"/>
      <c r="VZQ518" s="1358"/>
      <c r="VZR518" s="1358"/>
      <c r="VZS518" s="1358"/>
      <c r="VZT518" s="1358"/>
      <c r="VZU518" s="1358"/>
      <c r="VZV518" s="1358"/>
      <c r="VZW518" s="1358"/>
      <c r="VZX518" s="1358"/>
      <c r="VZY518" s="1358"/>
      <c r="VZZ518" s="1358"/>
      <c r="WAA518" s="1358"/>
      <c r="WAB518" s="1358"/>
      <c r="WAC518" s="1358"/>
      <c r="WAD518" s="1358"/>
      <c r="WAE518" s="1358"/>
      <c r="WAF518" s="1358"/>
      <c r="WAG518" s="1358"/>
      <c r="WAH518" s="1358"/>
      <c r="WAI518" s="1358"/>
      <c r="WAJ518" s="1358"/>
      <c r="WAK518" s="1358"/>
      <c r="WAL518" s="1358"/>
      <c r="WAM518" s="1358"/>
      <c r="WAN518" s="1358"/>
      <c r="WAO518" s="1358"/>
      <c r="WAP518" s="1358"/>
      <c r="WAQ518" s="1358"/>
      <c r="WAR518" s="1358"/>
      <c r="WAS518" s="1358"/>
      <c r="WAT518" s="1358"/>
      <c r="WAU518" s="1358"/>
      <c r="WAV518" s="1358"/>
      <c r="WAW518" s="1358"/>
      <c r="WAX518" s="1358"/>
      <c r="WAY518" s="1358"/>
      <c r="WAZ518" s="1358"/>
      <c r="WBA518" s="1358"/>
      <c r="WBB518" s="1358"/>
      <c r="WBC518" s="1358"/>
      <c r="WBD518" s="1358"/>
      <c r="WBE518" s="1358"/>
      <c r="WBF518" s="1358"/>
      <c r="WBG518" s="1358"/>
      <c r="WBH518" s="1358"/>
      <c r="WBI518" s="1358"/>
      <c r="WBJ518" s="1358"/>
      <c r="WBK518" s="1358"/>
      <c r="WBL518" s="1358"/>
      <c r="WBM518" s="1358"/>
      <c r="WBN518" s="1358"/>
      <c r="WBO518" s="1358"/>
      <c r="WBP518" s="1358"/>
      <c r="WBQ518" s="1358"/>
      <c r="WBR518" s="1358"/>
      <c r="WBS518" s="1358"/>
      <c r="WBT518" s="1358"/>
      <c r="WBU518" s="1358"/>
      <c r="WBV518" s="1358"/>
      <c r="WBW518" s="1358"/>
      <c r="WBX518" s="1358"/>
      <c r="WBY518" s="1358"/>
      <c r="WBZ518" s="1358"/>
      <c r="WCA518" s="1358"/>
      <c r="WCB518" s="1358"/>
      <c r="WCC518" s="1358"/>
      <c r="WCD518" s="1358"/>
      <c r="WCE518" s="1358"/>
      <c r="WCF518" s="1358"/>
      <c r="WCG518" s="1358"/>
      <c r="WCH518" s="1358"/>
      <c r="WCI518" s="1358"/>
      <c r="WCJ518" s="1358"/>
      <c r="WCK518" s="1358"/>
      <c r="WCL518" s="1358"/>
      <c r="WCM518" s="1358"/>
      <c r="WCN518" s="1358"/>
      <c r="WCO518" s="1358"/>
      <c r="WCP518" s="1358"/>
      <c r="WCQ518" s="1358"/>
      <c r="WCR518" s="1358"/>
      <c r="WCS518" s="1358"/>
      <c r="WCT518" s="1358"/>
      <c r="WCU518" s="1358"/>
      <c r="WCV518" s="1358"/>
      <c r="WCW518" s="1358"/>
      <c r="WCX518" s="1358"/>
      <c r="WCY518" s="1358"/>
      <c r="WCZ518" s="1358"/>
      <c r="WDA518" s="1358"/>
      <c r="WDB518" s="1358"/>
      <c r="WDC518" s="1358"/>
      <c r="WDD518" s="1358"/>
      <c r="WDE518" s="1358"/>
      <c r="WDF518" s="1358"/>
      <c r="WDG518" s="1358"/>
      <c r="WDH518" s="1358"/>
      <c r="WDI518" s="1358"/>
      <c r="WDJ518" s="1358"/>
      <c r="WDK518" s="1358"/>
      <c r="WDL518" s="1358"/>
      <c r="WDM518" s="1358"/>
      <c r="WDN518" s="1358"/>
      <c r="WDO518" s="1358"/>
      <c r="WDP518" s="1358"/>
      <c r="WDQ518" s="1358"/>
      <c r="WDR518" s="1358"/>
      <c r="WDS518" s="1358"/>
      <c r="WDT518" s="1358"/>
      <c r="WDU518" s="1358"/>
      <c r="WDV518" s="1358"/>
      <c r="WDW518" s="1358"/>
      <c r="WDX518" s="1358"/>
      <c r="WDY518" s="1358"/>
      <c r="WDZ518" s="1358"/>
      <c r="WEA518" s="1358"/>
      <c r="WEB518" s="1358"/>
      <c r="WEC518" s="1358"/>
      <c r="WED518" s="1358"/>
      <c r="WEE518" s="1358"/>
      <c r="WEF518" s="1358"/>
      <c r="WEG518" s="1358"/>
      <c r="WEH518" s="1358"/>
      <c r="WEI518" s="1358"/>
      <c r="WEJ518" s="1358"/>
      <c r="WEK518" s="1358"/>
      <c r="WEL518" s="1358"/>
      <c r="WEM518" s="1358"/>
      <c r="WEN518" s="1358"/>
      <c r="WEO518" s="1358"/>
      <c r="WEP518" s="1358"/>
      <c r="WEQ518" s="1358"/>
      <c r="WER518" s="1358"/>
      <c r="WES518" s="1358"/>
      <c r="WET518" s="1358"/>
      <c r="WEU518" s="1358"/>
      <c r="WEV518" s="1358"/>
      <c r="WEW518" s="1358"/>
      <c r="WEX518" s="1358"/>
      <c r="WEY518" s="1358"/>
      <c r="WEZ518" s="1358"/>
      <c r="WFA518" s="1358"/>
      <c r="WFB518" s="1358"/>
      <c r="WFC518" s="1358"/>
      <c r="WFD518" s="1358"/>
      <c r="WFE518" s="1358"/>
      <c r="WFF518" s="1358"/>
      <c r="WFG518" s="1358"/>
      <c r="WFH518" s="1358"/>
      <c r="WFI518" s="1358"/>
      <c r="WFJ518" s="1358"/>
      <c r="WFK518" s="1358"/>
      <c r="WFL518" s="1358"/>
      <c r="WFM518" s="1358"/>
      <c r="WFN518" s="1358"/>
      <c r="WFO518" s="1358"/>
      <c r="WFP518" s="1358"/>
      <c r="WFQ518" s="1358"/>
      <c r="WFR518" s="1358"/>
      <c r="WFS518" s="1358"/>
      <c r="WFT518" s="1358"/>
      <c r="WFU518" s="1358"/>
      <c r="WFV518" s="1358"/>
      <c r="WFW518" s="1358"/>
      <c r="WFX518" s="1358"/>
      <c r="WFY518" s="1358"/>
      <c r="WFZ518" s="1358"/>
      <c r="WGA518" s="1358"/>
      <c r="WGB518" s="1358"/>
      <c r="WGC518" s="1358"/>
      <c r="WGD518" s="1358"/>
      <c r="WGE518" s="1358"/>
      <c r="WGF518" s="1358"/>
      <c r="WGG518" s="1358"/>
      <c r="WGH518" s="1358"/>
      <c r="WGI518" s="1358"/>
      <c r="WGJ518" s="1358"/>
      <c r="WGK518" s="1358"/>
      <c r="WGL518" s="1358"/>
      <c r="WGM518" s="1358"/>
      <c r="WGN518" s="1358"/>
      <c r="WGO518" s="1358"/>
      <c r="WGP518" s="1358"/>
      <c r="WGQ518" s="1358"/>
      <c r="WGR518" s="1358"/>
      <c r="WGS518" s="1358"/>
      <c r="WGT518" s="1358"/>
      <c r="WGU518" s="1358"/>
      <c r="WGV518" s="1358"/>
      <c r="WGW518" s="1358"/>
      <c r="WGX518" s="1358"/>
      <c r="WGY518" s="1358"/>
      <c r="WGZ518" s="1358"/>
      <c r="WHA518" s="1358"/>
      <c r="WHB518" s="1358"/>
      <c r="WHC518" s="1358"/>
      <c r="WHD518" s="1358"/>
      <c r="WHE518" s="1358"/>
      <c r="WHF518" s="1358"/>
      <c r="WHG518" s="1358"/>
      <c r="WHH518" s="1358"/>
      <c r="WHI518" s="1358"/>
      <c r="WHJ518" s="1358"/>
      <c r="WHK518" s="1358"/>
      <c r="WHL518" s="1358"/>
      <c r="WHM518" s="1358"/>
      <c r="WHN518" s="1358"/>
      <c r="WHO518" s="1358"/>
      <c r="WHP518" s="1358"/>
      <c r="WHQ518" s="1358"/>
      <c r="WHR518" s="1358"/>
      <c r="WHS518" s="1358"/>
      <c r="WHT518" s="1358"/>
      <c r="WHU518" s="1358"/>
      <c r="WHV518" s="1358"/>
      <c r="WHW518" s="1358"/>
      <c r="WHX518" s="1358"/>
      <c r="WHY518" s="1358"/>
      <c r="WHZ518" s="1358"/>
      <c r="WIA518" s="1358"/>
      <c r="WIB518" s="1358"/>
      <c r="WIC518" s="1358"/>
      <c r="WID518" s="1358"/>
      <c r="WIE518" s="1358"/>
      <c r="WIF518" s="1358"/>
      <c r="WIG518" s="1358"/>
      <c r="WIH518" s="1358"/>
      <c r="WII518" s="1358"/>
      <c r="WIJ518" s="1358"/>
      <c r="WIK518" s="1358"/>
      <c r="WIL518" s="1358"/>
      <c r="WIM518" s="1358"/>
      <c r="WIN518" s="1358"/>
      <c r="WIO518" s="1358"/>
      <c r="WIP518" s="1358"/>
      <c r="WIQ518" s="1358"/>
      <c r="WIR518" s="1358"/>
      <c r="WIS518" s="1358"/>
      <c r="WIT518" s="1358"/>
      <c r="WIU518" s="1358"/>
      <c r="WIV518" s="1358"/>
      <c r="WIW518" s="1358"/>
      <c r="WIX518" s="1358"/>
      <c r="WIY518" s="1358"/>
      <c r="WIZ518" s="1358"/>
      <c r="WJA518" s="1358"/>
      <c r="WJB518" s="1358"/>
      <c r="WJC518" s="1358"/>
      <c r="WJD518" s="1358"/>
      <c r="WJE518" s="1358"/>
      <c r="WJF518" s="1358"/>
      <c r="WJG518" s="1358"/>
      <c r="WJH518" s="1358"/>
      <c r="WJI518" s="1358"/>
      <c r="WJJ518" s="1358"/>
      <c r="WJK518" s="1358"/>
      <c r="WJL518" s="1358"/>
      <c r="WJM518" s="1358"/>
      <c r="WJN518" s="1358"/>
      <c r="WJO518" s="1358"/>
      <c r="WJP518" s="1358"/>
      <c r="WJQ518" s="1358"/>
      <c r="WJR518" s="1358"/>
      <c r="WJS518" s="1358"/>
      <c r="WJT518" s="1358"/>
      <c r="WJU518" s="1358"/>
      <c r="WJV518" s="1358"/>
      <c r="WJW518" s="1358"/>
      <c r="WJX518" s="1358"/>
      <c r="WJY518" s="1358"/>
      <c r="WJZ518" s="1358"/>
      <c r="WKA518" s="1358"/>
      <c r="WKB518" s="1358"/>
      <c r="WKC518" s="1358"/>
      <c r="WKD518" s="1358"/>
      <c r="WKE518" s="1358"/>
      <c r="WKF518" s="1358"/>
      <c r="WKG518" s="1358"/>
      <c r="WKH518" s="1358"/>
      <c r="WKI518" s="1358"/>
      <c r="WKJ518" s="1358"/>
      <c r="WKK518" s="1358"/>
      <c r="WKL518" s="1358"/>
      <c r="WKM518" s="1358"/>
      <c r="WKN518" s="1358"/>
      <c r="WKO518" s="1358"/>
      <c r="WKP518" s="1358"/>
      <c r="WKQ518" s="1358"/>
      <c r="WKR518" s="1358"/>
      <c r="WKS518" s="1358"/>
      <c r="WKT518" s="1358"/>
      <c r="WKU518" s="1358"/>
      <c r="WKV518" s="1358"/>
      <c r="WKW518" s="1358"/>
      <c r="WKX518" s="1358"/>
      <c r="WKY518" s="1358"/>
      <c r="WKZ518" s="1358"/>
      <c r="WLA518" s="1358"/>
      <c r="WLB518" s="1358"/>
      <c r="WLC518" s="1358"/>
      <c r="WLD518" s="1358"/>
      <c r="WLE518" s="1358"/>
      <c r="WLF518" s="1358"/>
      <c r="WLG518" s="1358"/>
      <c r="WLH518" s="1358"/>
      <c r="WLI518" s="1358"/>
      <c r="WLJ518" s="1358"/>
      <c r="WLK518" s="1358"/>
      <c r="WLL518" s="1358"/>
      <c r="WLM518" s="1358"/>
      <c r="WLN518" s="1358"/>
      <c r="WLO518" s="1358"/>
      <c r="WLP518" s="1358"/>
      <c r="WLQ518" s="1358"/>
      <c r="WLR518" s="1358"/>
      <c r="WLS518" s="1358"/>
      <c r="WLT518" s="1358"/>
      <c r="WLU518" s="1358"/>
      <c r="WLV518" s="1358"/>
      <c r="WLW518" s="1358"/>
      <c r="WLX518" s="1358"/>
      <c r="WLY518" s="1358"/>
      <c r="WLZ518" s="1358"/>
      <c r="WMA518" s="1358"/>
      <c r="WMB518" s="1358"/>
      <c r="WMC518" s="1358"/>
      <c r="WMD518" s="1358"/>
      <c r="WME518" s="1358"/>
      <c r="WMF518" s="1358"/>
      <c r="WMG518" s="1358"/>
      <c r="WMH518" s="1358"/>
      <c r="WMI518" s="1358"/>
      <c r="WMJ518" s="1358"/>
      <c r="WMK518" s="1358"/>
      <c r="WML518" s="1358"/>
      <c r="WMM518" s="1358"/>
      <c r="WMN518" s="1358"/>
      <c r="WMO518" s="1358"/>
      <c r="WMP518" s="1358"/>
      <c r="WMQ518" s="1358"/>
      <c r="WMR518" s="1358"/>
      <c r="WMS518" s="1358"/>
      <c r="WMT518" s="1358"/>
      <c r="WMU518" s="1358"/>
      <c r="WMV518" s="1358"/>
      <c r="WMW518" s="1358"/>
      <c r="WMX518" s="1358"/>
      <c r="WMY518" s="1358"/>
      <c r="WMZ518" s="1358"/>
      <c r="WNA518" s="1358"/>
      <c r="WNB518" s="1358"/>
      <c r="WNC518" s="1358"/>
      <c r="WND518" s="1358"/>
      <c r="WNE518" s="1358"/>
      <c r="WNF518" s="1358"/>
      <c r="WNG518" s="1358"/>
      <c r="WNH518" s="1358"/>
      <c r="WNI518" s="1358"/>
      <c r="WNJ518" s="1358"/>
      <c r="WNK518" s="1358"/>
      <c r="WNL518" s="1358"/>
      <c r="WNM518" s="1358"/>
      <c r="WNN518" s="1358"/>
      <c r="WNO518" s="1358"/>
      <c r="WNP518" s="1358"/>
      <c r="WNQ518" s="1358"/>
      <c r="WNR518" s="1358"/>
      <c r="WNS518" s="1358"/>
      <c r="WNT518" s="1358"/>
      <c r="WNU518" s="1358"/>
      <c r="WNV518" s="1358"/>
      <c r="WNW518" s="1358"/>
      <c r="WNX518" s="1358"/>
      <c r="WNY518" s="1358"/>
      <c r="WNZ518" s="1358"/>
      <c r="WOA518" s="1358"/>
      <c r="WOB518" s="1358"/>
      <c r="WOC518" s="1358"/>
      <c r="WOD518" s="1358"/>
      <c r="WOE518" s="1358"/>
      <c r="WOF518" s="1358"/>
      <c r="WOG518" s="1358"/>
      <c r="WOH518" s="1358"/>
      <c r="WOI518" s="1358"/>
      <c r="WOJ518" s="1358"/>
      <c r="WOK518" s="1358"/>
      <c r="WOL518" s="1358"/>
      <c r="WOM518" s="1358"/>
      <c r="WON518" s="1358"/>
      <c r="WOO518" s="1358"/>
      <c r="WOP518" s="1358"/>
      <c r="WOQ518" s="1358"/>
      <c r="WOR518" s="1358"/>
      <c r="WOS518" s="1358"/>
      <c r="WOT518" s="1358"/>
      <c r="WOU518" s="1358"/>
      <c r="WOV518" s="1358"/>
      <c r="WOW518" s="1358"/>
      <c r="WOX518" s="1358"/>
      <c r="WOY518" s="1358"/>
      <c r="WOZ518" s="1358"/>
      <c r="WPA518" s="1358"/>
      <c r="WPB518" s="1358"/>
      <c r="WPC518" s="1358"/>
      <c r="WPD518" s="1358"/>
      <c r="WPE518" s="1358"/>
      <c r="WPF518" s="1358"/>
      <c r="WPG518" s="1358"/>
      <c r="WPH518" s="1358"/>
      <c r="WPI518" s="1358"/>
      <c r="WPJ518" s="1358"/>
      <c r="WPK518" s="1358"/>
      <c r="WPL518" s="1358"/>
      <c r="WPM518" s="1358"/>
      <c r="WPN518" s="1358"/>
      <c r="WPO518" s="1358"/>
      <c r="WPP518" s="1358"/>
      <c r="WPQ518" s="1358"/>
      <c r="WPR518" s="1358"/>
      <c r="WPS518" s="1358"/>
      <c r="WPT518" s="1358"/>
      <c r="WPU518" s="1358"/>
      <c r="WPV518" s="1358"/>
      <c r="WPW518" s="1358"/>
      <c r="WPX518" s="1358"/>
      <c r="WPY518" s="1358"/>
      <c r="WPZ518" s="1358"/>
      <c r="WQA518" s="1358"/>
      <c r="WQB518" s="1358"/>
      <c r="WQC518" s="1358"/>
      <c r="WQD518" s="1358"/>
      <c r="WQE518" s="1358"/>
      <c r="WQF518" s="1358"/>
      <c r="WQG518" s="1358"/>
      <c r="WQH518" s="1358"/>
      <c r="WQI518" s="1358"/>
      <c r="WQJ518" s="1358"/>
      <c r="WQK518" s="1358"/>
      <c r="WQL518" s="1358"/>
      <c r="WQM518" s="1358"/>
      <c r="WQN518" s="1358"/>
      <c r="WQO518" s="1358"/>
      <c r="WQP518" s="1358"/>
      <c r="WQQ518" s="1358"/>
      <c r="WQR518" s="1358"/>
      <c r="WQS518" s="1358"/>
      <c r="WQT518" s="1358"/>
      <c r="WQU518" s="1358"/>
      <c r="WQV518" s="1358"/>
      <c r="WQW518" s="1358"/>
      <c r="WQX518" s="1358"/>
      <c r="WQY518" s="1358"/>
      <c r="WQZ518" s="1358"/>
      <c r="WRA518" s="1358"/>
      <c r="WRB518" s="1358"/>
      <c r="WRC518" s="1358"/>
      <c r="WRD518" s="1358"/>
      <c r="WRE518" s="1358"/>
      <c r="WRF518" s="1358"/>
      <c r="WRG518" s="1358"/>
      <c r="WRH518" s="1358"/>
      <c r="WRI518" s="1358"/>
      <c r="WRJ518" s="1359"/>
      <c r="WRK518" s="1360"/>
      <c r="WRL518" s="1361"/>
      <c r="WRM518" s="1362"/>
      <c r="WRN518" s="1368"/>
      <c r="WRO518" s="1363"/>
      <c r="WRP518" s="1364"/>
      <c r="WRQ518" s="1365"/>
      <c r="WRR518" s="1364"/>
      <c r="WRS518" s="1366"/>
      <c r="WRT518" s="1367"/>
      <c r="WRU518" s="1363"/>
      <c r="WRV518" s="1363"/>
      <c r="WRW518" s="1363"/>
      <c r="WRX518" s="1358"/>
      <c r="WRY518" s="1358"/>
      <c r="WRZ518" s="1358"/>
      <c r="WSA518" s="1358"/>
      <c r="WSB518" s="1359"/>
      <c r="WSC518" s="1360"/>
      <c r="WSD518" s="1361"/>
      <c r="WSE518" s="1362"/>
      <c r="WSF518" s="1368"/>
      <c r="WSG518" s="1363"/>
      <c r="WSH518" s="1364"/>
      <c r="WSI518" s="1365"/>
      <c r="WSJ518" s="1364"/>
      <c r="WSK518" s="1366"/>
      <c r="WSL518" s="1367"/>
      <c r="WSM518" s="1363"/>
      <c r="WSN518" s="1363"/>
      <c r="WSO518" s="1363"/>
      <c r="WSP518" s="1358"/>
      <c r="WSQ518" s="1358"/>
      <c r="WSR518" s="1358"/>
      <c r="WSS518" s="1358"/>
      <c r="WST518" s="1359"/>
      <c r="WSU518" s="1360"/>
      <c r="WSV518" s="1361"/>
      <c r="WSW518" s="1362"/>
      <c r="WSX518" s="1368"/>
      <c r="WSY518" s="1363"/>
      <c r="WSZ518" s="1364"/>
      <c r="WTA518" s="1365"/>
      <c r="WTB518" s="1364"/>
      <c r="WTC518" s="1366"/>
      <c r="WTD518" s="1367"/>
      <c r="WTE518" s="1363"/>
      <c r="WTF518" s="1363"/>
      <c r="WTG518" s="1363"/>
      <c r="WTH518" s="1358"/>
      <c r="WTI518" s="1358"/>
      <c r="WTJ518" s="1358"/>
      <c r="WTK518" s="1358"/>
      <c r="WTL518" s="1359"/>
      <c r="WTM518" s="1360"/>
      <c r="WTN518" s="1361"/>
      <c r="WTO518" s="1362"/>
      <c r="WTP518" s="1368"/>
      <c r="WTQ518" s="1363"/>
      <c r="WTR518" s="1364"/>
      <c r="WTS518" s="1365"/>
      <c r="WTT518" s="1364"/>
      <c r="WTU518" s="1366"/>
      <c r="WTV518" s="1367"/>
      <c r="WTW518" s="1363"/>
      <c r="WTX518" s="1363"/>
      <c r="WTY518" s="1363"/>
      <c r="WTZ518" s="1358"/>
      <c r="WUA518" s="1358"/>
      <c r="WUB518" s="1358"/>
      <c r="WUC518" s="1358"/>
      <c r="WUD518" s="1359"/>
      <c r="WUE518" s="1360"/>
      <c r="WUF518" s="1361"/>
      <c r="WUG518" s="1362"/>
      <c r="WUH518" s="1368"/>
      <c r="WUI518" s="1363"/>
      <c r="WUJ518" s="1364"/>
      <c r="WUK518" s="1365"/>
      <c r="WUL518" s="1364"/>
      <c r="WUM518" s="1366"/>
      <c r="WUN518" s="1367"/>
      <c r="WUO518" s="1363"/>
      <c r="WUP518" s="1363"/>
      <c r="WUQ518" s="1363"/>
      <c r="WUR518" s="1358"/>
      <c r="WUS518" s="1358"/>
      <c r="WUT518" s="1358"/>
      <c r="WUU518" s="1358"/>
      <c r="WUV518" s="1359"/>
      <c r="WUW518" s="1360"/>
      <c r="WUX518" s="1361"/>
      <c r="WUY518" s="1362"/>
      <c r="WUZ518" s="1368"/>
      <c r="WVA518" s="1363"/>
      <c r="WVB518" s="1364"/>
      <c r="WVC518" s="1365"/>
      <c r="WVD518" s="1364"/>
      <c r="WVE518" s="1366"/>
      <c r="WVF518" s="1367"/>
      <c r="WVG518" s="1363"/>
      <c r="WVH518" s="1363"/>
      <c r="WVI518" s="1363"/>
      <c r="WVJ518" s="1358"/>
      <c r="WVK518" s="1358"/>
      <c r="WVL518" s="1358"/>
      <c r="WVM518" s="1358"/>
      <c r="WVN518" s="1359"/>
      <c r="WVO518" s="1360"/>
      <c r="WVP518" s="1361"/>
      <c r="WVQ518" s="1362"/>
      <c r="WVR518" s="1368"/>
      <c r="WVS518" s="1363"/>
      <c r="WVT518" s="1364"/>
      <c r="WVU518" s="1365"/>
      <c r="WVV518" s="1364"/>
      <c r="WVW518" s="1366"/>
      <c r="WVX518" s="1367"/>
      <c r="WVY518" s="1363"/>
      <c r="WVZ518" s="1363"/>
      <c r="WWA518" s="1363"/>
      <c r="WWB518" s="1358"/>
      <c r="WWC518" s="1358"/>
      <c r="WWD518" s="1358"/>
      <c r="WWE518" s="1358"/>
      <c r="WWF518" s="1359"/>
      <c r="WWG518" s="1360"/>
      <c r="WWH518" s="1361"/>
      <c r="WWI518" s="1362"/>
      <c r="WWJ518" s="1368"/>
      <c r="WWK518" s="1363"/>
      <c r="WWL518" s="1364"/>
      <c r="WWM518" s="1365"/>
      <c r="WWN518" s="1364"/>
      <c r="WWO518" s="1366"/>
      <c r="WWP518" s="1367"/>
      <c r="WWQ518" s="1363"/>
      <c r="WWR518" s="1363"/>
      <c r="WWS518" s="1363"/>
      <c r="WWT518" s="1358"/>
      <c r="WWU518" s="1358"/>
      <c r="WWV518" s="1358"/>
      <c r="WWW518" s="1358"/>
      <c r="WWX518" s="1359"/>
      <c r="WWY518" s="1360"/>
      <c r="WWZ518" s="1361"/>
      <c r="WXA518" s="1362"/>
      <c r="WXB518" s="1368"/>
      <c r="WXC518" s="1363"/>
      <c r="WXD518" s="1364"/>
      <c r="WXE518" s="1365"/>
      <c r="WXF518" s="1364"/>
      <c r="WXG518" s="1366"/>
      <c r="WXH518" s="1367"/>
      <c r="WXI518" s="1363"/>
      <c r="WXJ518" s="1363"/>
      <c r="WXK518" s="1363"/>
      <c r="WXL518" s="1358"/>
      <c r="WXM518" s="1358"/>
      <c r="WXN518" s="1358"/>
      <c r="WXO518" s="1358"/>
      <c r="WXP518" s="1359"/>
      <c r="WXQ518" s="1360"/>
      <c r="WXR518" s="1361"/>
      <c r="WXS518" s="1362"/>
      <c r="WXT518" s="1368"/>
      <c r="WXU518" s="1363"/>
      <c r="WXV518" s="1364"/>
      <c r="WXW518" s="1365"/>
      <c r="WXX518" s="1364"/>
      <c r="WXY518" s="1366"/>
      <c r="WXZ518" s="1367"/>
      <c r="WYA518" s="1363"/>
      <c r="WYB518" s="1363"/>
      <c r="WYC518" s="1363"/>
      <c r="WYD518" s="1358"/>
      <c r="WYE518" s="1358"/>
      <c r="WYF518" s="1358"/>
      <c r="WYG518" s="1358"/>
      <c r="WYH518" s="1359"/>
      <c r="WYI518" s="1360"/>
      <c r="WYJ518" s="1361"/>
      <c r="WYK518" s="1362"/>
      <c r="WYL518" s="1368"/>
      <c r="WYM518" s="1363"/>
      <c r="WYN518" s="1364"/>
      <c r="WYO518" s="1365"/>
      <c r="WYP518" s="1364"/>
      <c r="WYQ518" s="1366"/>
      <c r="WYR518" s="1367"/>
      <c r="WYS518" s="1363"/>
      <c r="WYT518" s="1363"/>
      <c r="WYU518" s="1363"/>
      <c r="WYV518" s="1358"/>
      <c r="WYW518" s="1358"/>
      <c r="WYX518" s="1358"/>
      <c r="WYY518" s="1358"/>
      <c r="WYZ518" s="1359"/>
      <c r="WZA518" s="1360"/>
      <c r="WZB518" s="1361"/>
      <c r="WZC518" s="1362"/>
      <c r="WZD518" s="1368"/>
      <c r="WZE518" s="1363"/>
      <c r="WZF518" s="1364"/>
      <c r="WZG518" s="1365"/>
      <c r="WZH518" s="1364"/>
      <c r="WZI518" s="1366"/>
      <c r="WZJ518" s="1367"/>
      <c r="WZK518" s="1363"/>
      <c r="WZL518" s="1363"/>
      <c r="WZM518" s="1363"/>
      <c r="WZN518" s="1358"/>
      <c r="WZO518" s="1358"/>
      <c r="WZP518" s="1358"/>
      <c r="WZQ518" s="1358"/>
      <c r="WZR518" s="1359"/>
      <c r="WZS518" s="1360"/>
      <c r="WZT518" s="1361"/>
      <c r="WZU518" s="1362"/>
      <c r="WZV518" s="1368"/>
      <c r="WZW518" s="1363"/>
      <c r="WZX518" s="1364"/>
      <c r="WZY518" s="1365"/>
      <c r="WZZ518" s="1364"/>
      <c r="XAA518" s="1366"/>
      <c r="XAB518" s="1367"/>
      <c r="XAC518" s="1363"/>
      <c r="XAD518" s="1363"/>
      <c r="XAE518" s="1363"/>
      <c r="XAF518" s="1358"/>
      <c r="XAG518" s="1358"/>
      <c r="XAH518" s="1358"/>
      <c r="XAI518" s="1358"/>
      <c r="XAJ518" s="1359"/>
      <c r="XAK518" s="1360"/>
      <c r="XAL518" s="1361"/>
      <c r="XAM518" s="1362"/>
      <c r="XAN518" s="1368"/>
      <c r="XAO518" s="1363"/>
      <c r="XAP518" s="1364"/>
      <c r="XAQ518" s="1365"/>
      <c r="XAR518" s="1364"/>
      <c r="XAS518" s="1366"/>
      <c r="XAT518" s="1367"/>
      <c r="XAU518" s="1363"/>
      <c r="XAV518" s="1363"/>
      <c r="XAW518" s="1363"/>
      <c r="XAX518" s="1358"/>
      <c r="XAY518" s="1358"/>
      <c r="XAZ518" s="1358"/>
      <c r="XBA518" s="1358"/>
      <c r="XBB518" s="1359"/>
      <c r="XBC518" s="1360"/>
      <c r="XBD518" s="1361"/>
      <c r="XBE518" s="1362"/>
      <c r="XBF518" s="1368"/>
      <c r="XBG518" s="1363"/>
      <c r="XBH518" s="1364"/>
      <c r="XBI518" s="1365"/>
      <c r="XBJ518" s="1364"/>
      <c r="XBK518" s="1366"/>
      <c r="XBL518" s="1367"/>
      <c r="XBM518" s="1363"/>
      <c r="XBN518" s="1363"/>
      <c r="XBO518" s="1363"/>
      <c r="XBP518" s="1358"/>
      <c r="XBQ518" s="1358"/>
      <c r="XBR518" s="1358"/>
      <c r="XBS518" s="1358"/>
      <c r="XBT518" s="1359"/>
      <c r="XBU518" s="1360"/>
      <c r="XBV518" s="1361"/>
      <c r="XBW518" s="1362"/>
      <c r="XBX518" s="1368"/>
      <c r="XBY518" s="1363"/>
      <c r="XBZ518" s="1364"/>
      <c r="XCA518" s="1365"/>
      <c r="XCB518" s="1364"/>
      <c r="XCC518" s="1366"/>
      <c r="XCD518" s="1367"/>
      <c r="XCE518" s="1363"/>
      <c r="XCF518" s="1363"/>
      <c r="XCG518" s="1363"/>
      <c r="XCH518" s="1358"/>
      <c r="XCI518" s="1358"/>
      <c r="XCJ518" s="1358"/>
      <c r="XCK518" s="1358"/>
      <c r="XCL518" s="1359"/>
      <c r="XCM518" s="1360"/>
      <c r="XCN518" s="1361"/>
      <c r="XCO518" s="1362"/>
      <c r="XCP518" s="1368"/>
      <c r="XCQ518" s="1363"/>
      <c r="XCR518" s="1364"/>
      <c r="XCS518" s="1365"/>
      <c r="XCT518" s="1364"/>
      <c r="XCU518" s="1366"/>
      <c r="XCV518" s="1367"/>
      <c r="XCW518" s="1363"/>
      <c r="XCX518" s="1363"/>
      <c r="XCY518" s="1363"/>
      <c r="XCZ518" s="1358"/>
      <c r="XDA518" s="1358"/>
      <c r="XDB518" s="1358"/>
      <c r="XDC518" s="1358"/>
      <c r="XDD518" s="1359"/>
      <c r="XDE518" s="1360"/>
      <c r="XDF518" s="1361"/>
      <c r="XDG518" s="1362"/>
      <c r="XDH518" s="1368"/>
      <c r="XDI518" s="1363"/>
      <c r="XDJ518" s="1364"/>
      <c r="XDK518" s="1365"/>
      <c r="XDL518" s="1364"/>
      <c r="XDM518" s="1366"/>
      <c r="XDN518" s="1367"/>
      <c r="XDO518" s="1363"/>
      <c r="XDP518" s="1363"/>
      <c r="XDQ518" s="1363"/>
      <c r="XDR518" s="1358"/>
      <c r="XDS518" s="1358"/>
      <c r="XDT518" s="1358"/>
      <c r="XDU518" s="1358"/>
      <c r="XDV518" s="1359"/>
      <c r="XDW518" s="1360"/>
      <c r="XDX518" s="1361"/>
      <c r="XDY518" s="1362"/>
      <c r="XDZ518" s="1368"/>
      <c r="XEA518" s="1363"/>
      <c r="XEB518" s="1364"/>
      <c r="XEC518" s="1365"/>
      <c r="XED518" s="1364"/>
      <c r="XEE518" s="1366"/>
      <c r="XEF518" s="1367"/>
      <c r="XEG518" s="1363"/>
      <c r="XEH518" s="1363"/>
      <c r="XEI518" s="1363"/>
      <c r="XEJ518" s="1358"/>
      <c r="XEK518" s="1358"/>
      <c r="XEL518" s="1358"/>
      <c r="XEM518" s="1358"/>
      <c r="XEN518" s="1359"/>
      <c r="XEO518" s="1360"/>
      <c r="XEP518" s="1361"/>
      <c r="XEQ518" s="1362"/>
      <c r="XER518" s="1368"/>
      <c r="XES518" s="1363"/>
      <c r="XET518" s="1364"/>
      <c r="XEU518" s="1365"/>
      <c r="XEV518" s="1364"/>
      <c r="XEW518" s="1366"/>
      <c r="XEX518" s="1367"/>
      <c r="XEY518" s="1363"/>
      <c r="XEZ518" s="1363"/>
      <c r="XFA518" s="1363"/>
    </row>
    <row r="519" spans="1:16381" s="1414" customFormat="1" ht="43.2" x14ac:dyDescent="0.3">
      <c r="A519" s="1358" t="s">
        <v>264</v>
      </c>
      <c r="B519" s="1359" t="s">
        <v>280</v>
      </c>
      <c r="C519" s="1360" t="s">
        <v>3856</v>
      </c>
      <c r="D519" s="1361" t="s">
        <v>34</v>
      </c>
      <c r="E519" s="1362" t="s">
        <v>282</v>
      </c>
      <c r="F519" s="1368" t="s">
        <v>285</v>
      </c>
      <c r="G519" s="1363">
        <v>8</v>
      </c>
      <c r="H519" s="1364">
        <v>141258.76999999999</v>
      </c>
      <c r="I519" s="1365" t="s">
        <v>267</v>
      </c>
      <c r="J519" s="1364">
        <v>141258.76999999999</v>
      </c>
      <c r="K519" s="1366">
        <v>0</v>
      </c>
      <c r="L519" s="1367">
        <v>0</v>
      </c>
      <c r="M519" s="1363" t="s">
        <v>57</v>
      </c>
      <c r="N519" s="1363" t="s">
        <v>742</v>
      </c>
      <c r="O519" s="1363" t="s">
        <v>3857</v>
      </c>
      <c r="P519" s="1358" t="s">
        <v>40</v>
      </c>
      <c r="Q519" s="1358"/>
      <c r="R519" s="1358" t="s">
        <v>64</v>
      </c>
      <c r="S519" s="1358"/>
      <c r="T519" s="1358"/>
      <c r="U519" s="1358"/>
      <c r="V519" s="1358" t="s">
        <v>40</v>
      </c>
      <c r="W519" s="1358"/>
      <c r="X519" s="1358" t="s">
        <v>40</v>
      </c>
      <c r="Y519" s="1358"/>
      <c r="Z519" s="1358" t="s">
        <v>64</v>
      </c>
      <c r="AA519" s="1358"/>
      <c r="AB519" s="1358" t="s">
        <v>40</v>
      </c>
      <c r="AC519" s="1358"/>
      <c r="AD519" s="1358"/>
      <c r="AE519" s="1598">
        <v>46203</v>
      </c>
      <c r="AF519" s="1358" t="s">
        <v>247</v>
      </c>
      <c r="AG519" s="1358">
        <v>2023</v>
      </c>
      <c r="AH519" s="1364">
        <v>698962.51983700006</v>
      </c>
      <c r="AI519" s="1564">
        <v>1551005253190</v>
      </c>
      <c r="AJ519" s="1358"/>
      <c r="AK519" s="1358" t="s">
        <v>43</v>
      </c>
      <c r="AL519" s="1358" t="s">
        <v>41</v>
      </c>
      <c r="AM519" s="1358">
        <v>0</v>
      </c>
      <c r="AN519" s="1358" t="s">
        <v>40</v>
      </c>
      <c r="AO519" s="1358"/>
      <c r="AP519" s="1358"/>
      <c r="AQ519" s="1358"/>
      <c r="AR519" s="1358"/>
      <c r="AS519" s="1358"/>
      <c r="AT519" s="1358"/>
      <c r="AU519" s="1358"/>
      <c r="AV519" s="1358"/>
      <c r="AW519" s="1358"/>
      <c r="AX519" s="1358"/>
      <c r="AY519" s="1358"/>
      <c r="AZ519" s="1358"/>
      <c r="BA519" s="1358"/>
      <c r="BB519" s="1358"/>
      <c r="BC519" s="1358"/>
      <c r="BD519" s="1358"/>
      <c r="BE519" s="1358"/>
      <c r="BF519" s="1358"/>
      <c r="BG519" s="1358"/>
      <c r="BH519" s="1358"/>
      <c r="BI519" s="1358"/>
      <c r="BJ519" s="1358"/>
      <c r="BK519" s="1358"/>
      <c r="BL519" s="1358"/>
      <c r="BM519" s="1358"/>
      <c r="BN519" s="1358"/>
      <c r="BO519" s="1358"/>
      <c r="BP519" s="1358"/>
      <c r="BQ519" s="1358"/>
      <c r="BR519" s="1358"/>
      <c r="BS519" s="1358"/>
      <c r="BT519" s="1358"/>
      <c r="BU519" s="1358"/>
      <c r="BV519" s="1358"/>
      <c r="BW519" s="1358"/>
      <c r="BX519" s="1358"/>
      <c r="BY519" s="1358"/>
      <c r="BZ519" s="1358"/>
      <c r="CA519" s="1358"/>
      <c r="CB519" s="1358"/>
      <c r="CC519" s="1358"/>
      <c r="CD519" s="1358"/>
      <c r="CE519" s="1358"/>
      <c r="CF519" s="1358"/>
      <c r="CG519" s="1358"/>
      <c r="CH519" s="1358"/>
      <c r="CI519" s="1358"/>
      <c r="CJ519" s="1358"/>
      <c r="CK519" s="1358"/>
      <c r="CL519" s="1358"/>
      <c r="CM519" s="1358"/>
      <c r="CN519" s="1358"/>
      <c r="CO519" s="1358"/>
      <c r="CP519" s="1358"/>
      <c r="CQ519" s="1358"/>
      <c r="CR519" s="1358"/>
      <c r="CS519" s="1358"/>
      <c r="CT519" s="1358"/>
      <c r="CU519" s="1358"/>
      <c r="CV519" s="1358"/>
      <c r="CW519" s="1358"/>
      <c r="CX519" s="1358"/>
      <c r="CY519" s="1358"/>
      <c r="CZ519" s="1358"/>
      <c r="DA519" s="1358"/>
      <c r="DB519" s="1358"/>
      <c r="DC519" s="1358"/>
      <c r="DD519" s="1358"/>
      <c r="DE519" s="1358"/>
      <c r="DF519" s="1358"/>
      <c r="DG519" s="1358"/>
      <c r="DH519" s="1358"/>
      <c r="DI519" s="1358"/>
      <c r="DJ519" s="1358"/>
      <c r="DK519" s="1358"/>
      <c r="DL519" s="1358"/>
      <c r="DM519" s="1358"/>
      <c r="DN519" s="1358"/>
      <c r="DO519" s="1358"/>
      <c r="DP519" s="1358"/>
      <c r="DQ519" s="1358"/>
      <c r="DR519" s="1358"/>
      <c r="DS519" s="1358"/>
      <c r="DT519" s="1358"/>
      <c r="DU519" s="1358"/>
      <c r="DV519" s="1358"/>
      <c r="DW519" s="1358"/>
      <c r="DX519" s="1358"/>
      <c r="DY519" s="1358"/>
      <c r="DZ519" s="1358"/>
      <c r="EA519" s="1358"/>
      <c r="EB519" s="1358"/>
      <c r="EC519" s="1358"/>
      <c r="ED519" s="1358"/>
      <c r="EE519" s="1358"/>
      <c r="EF519" s="1358"/>
      <c r="EG519" s="1358"/>
      <c r="EH519" s="1358"/>
      <c r="EI519" s="1358"/>
      <c r="EJ519" s="1358"/>
      <c r="EK519" s="1358"/>
      <c r="EL519" s="1358"/>
      <c r="EM519" s="1358"/>
      <c r="EN519" s="1358"/>
      <c r="EO519" s="1358"/>
      <c r="EP519" s="1358"/>
      <c r="EQ519" s="1358"/>
      <c r="ER519" s="1358"/>
      <c r="ES519" s="1358"/>
      <c r="ET519" s="1358"/>
      <c r="EU519" s="1358"/>
      <c r="EV519" s="1358"/>
      <c r="EW519" s="1358"/>
      <c r="EX519" s="1358"/>
      <c r="EY519" s="1358"/>
      <c r="EZ519" s="1358"/>
      <c r="FA519" s="1358"/>
      <c r="FB519" s="1358"/>
      <c r="FC519" s="1358"/>
      <c r="FD519" s="1358"/>
      <c r="FE519" s="1358"/>
      <c r="FF519" s="1358"/>
      <c r="FG519" s="1358"/>
      <c r="FH519" s="1358"/>
      <c r="FI519" s="1358"/>
      <c r="FJ519" s="1358"/>
      <c r="FK519" s="1358"/>
      <c r="FL519" s="1358"/>
      <c r="FM519" s="1358"/>
      <c r="FN519" s="1358"/>
      <c r="FO519" s="1358"/>
      <c r="FP519" s="1358"/>
      <c r="FQ519" s="1358"/>
      <c r="FR519" s="1358"/>
      <c r="FS519" s="1358"/>
      <c r="FT519" s="1358"/>
      <c r="FU519" s="1358"/>
      <c r="FV519" s="1358"/>
      <c r="FW519" s="1358"/>
      <c r="FX519" s="1358"/>
      <c r="FY519" s="1358"/>
      <c r="FZ519" s="1358"/>
      <c r="GA519" s="1358"/>
      <c r="GB519" s="1358"/>
      <c r="GC519" s="1358"/>
      <c r="GD519" s="1358"/>
      <c r="GE519" s="1358"/>
      <c r="GF519" s="1358"/>
      <c r="GG519" s="1358"/>
      <c r="GH519" s="1358"/>
      <c r="GI519" s="1358"/>
      <c r="GJ519" s="1358"/>
      <c r="GK519" s="1358"/>
      <c r="GL519" s="1358"/>
      <c r="GM519" s="1358"/>
      <c r="GN519" s="1358"/>
      <c r="GO519" s="1358"/>
      <c r="GP519" s="1358"/>
      <c r="GQ519" s="1358"/>
      <c r="GR519" s="1358"/>
      <c r="GS519" s="1358"/>
      <c r="GT519" s="1358"/>
      <c r="GU519" s="1358"/>
      <c r="GV519" s="1358"/>
      <c r="GW519" s="1358"/>
      <c r="GX519" s="1358"/>
      <c r="GY519" s="1358"/>
      <c r="GZ519" s="1358"/>
      <c r="HA519" s="1358"/>
      <c r="HB519" s="1358"/>
      <c r="HC519" s="1358"/>
      <c r="HD519" s="1358"/>
      <c r="HE519" s="1358"/>
      <c r="HF519" s="1358"/>
      <c r="HG519" s="1358"/>
      <c r="HH519" s="1358"/>
      <c r="HI519" s="1358"/>
      <c r="HJ519" s="1358"/>
      <c r="HK519" s="1358"/>
      <c r="HL519" s="1358"/>
      <c r="HM519" s="1358"/>
      <c r="HN519" s="1358"/>
      <c r="HO519" s="1358"/>
      <c r="HP519" s="1358"/>
      <c r="HQ519" s="1358"/>
      <c r="HR519" s="1358"/>
      <c r="HS519" s="1358"/>
      <c r="HT519" s="1358"/>
      <c r="HU519" s="1358"/>
      <c r="HV519" s="1358"/>
      <c r="HW519" s="1358"/>
      <c r="HX519" s="1358"/>
      <c r="HY519" s="1358"/>
      <c r="HZ519" s="1358"/>
      <c r="IA519" s="1358"/>
      <c r="IB519" s="1358"/>
      <c r="IC519" s="1358"/>
      <c r="ID519" s="1358"/>
      <c r="IE519" s="1358"/>
      <c r="IF519" s="1358"/>
      <c r="IG519" s="1358"/>
      <c r="IH519" s="1358"/>
      <c r="II519" s="1358"/>
      <c r="IJ519" s="1358"/>
      <c r="IK519" s="1358"/>
      <c r="IL519" s="1358"/>
      <c r="IM519" s="1358"/>
      <c r="IN519" s="1358"/>
      <c r="IO519" s="1358"/>
      <c r="IP519" s="1358"/>
      <c r="IQ519" s="1358"/>
      <c r="IR519" s="1358"/>
      <c r="IS519" s="1358"/>
      <c r="IT519" s="1358"/>
      <c r="IU519" s="1358"/>
      <c r="IV519" s="1358"/>
      <c r="IW519" s="1358"/>
      <c r="IX519" s="1358"/>
      <c r="IY519" s="1358"/>
      <c r="IZ519" s="1358"/>
      <c r="JA519" s="1358"/>
      <c r="JB519" s="1358"/>
      <c r="JC519" s="1358"/>
      <c r="JD519" s="1358"/>
      <c r="JE519" s="1358"/>
      <c r="JF519" s="1358"/>
      <c r="JG519" s="1358"/>
      <c r="JH519" s="1358"/>
      <c r="JI519" s="1358"/>
      <c r="JJ519" s="1358"/>
      <c r="JK519" s="1358"/>
      <c r="JL519" s="1358"/>
      <c r="JM519" s="1358"/>
      <c r="JN519" s="1358"/>
      <c r="JO519" s="1358"/>
      <c r="JP519" s="1358"/>
      <c r="JQ519" s="1358"/>
      <c r="JR519" s="1358"/>
      <c r="JS519" s="1358"/>
      <c r="JT519" s="1358"/>
      <c r="JU519" s="1358"/>
      <c r="JV519" s="1358"/>
      <c r="JW519" s="1358"/>
      <c r="JX519" s="1358"/>
      <c r="JY519" s="1358"/>
      <c r="JZ519" s="1358"/>
      <c r="KA519" s="1358"/>
      <c r="KB519" s="1358"/>
      <c r="KC519" s="1358"/>
      <c r="KD519" s="1358"/>
      <c r="KE519" s="1358"/>
      <c r="KF519" s="1358"/>
      <c r="KG519" s="1358"/>
      <c r="KH519" s="1358"/>
      <c r="KI519" s="1358"/>
      <c r="KJ519" s="1358"/>
      <c r="KK519" s="1358"/>
      <c r="KL519" s="1358"/>
      <c r="KM519" s="1358"/>
      <c r="KN519" s="1358"/>
      <c r="KO519" s="1358"/>
      <c r="KP519" s="1358"/>
      <c r="KQ519" s="1358"/>
      <c r="KR519" s="1358"/>
      <c r="KS519" s="1358"/>
      <c r="KT519" s="1358"/>
      <c r="KU519" s="1358"/>
      <c r="KV519" s="1358"/>
      <c r="KW519" s="1358"/>
      <c r="KX519" s="1358"/>
      <c r="KY519" s="1358"/>
      <c r="KZ519" s="1358"/>
      <c r="LA519" s="1358"/>
      <c r="LB519" s="1358"/>
      <c r="LC519" s="1358"/>
      <c r="LD519" s="1358"/>
      <c r="LE519" s="1358"/>
      <c r="LF519" s="1358"/>
      <c r="LG519" s="1358"/>
      <c r="LH519" s="1358"/>
      <c r="LI519" s="1358"/>
      <c r="LJ519" s="1358"/>
      <c r="LK519" s="1358"/>
      <c r="LL519" s="1358"/>
      <c r="LM519" s="1358"/>
      <c r="LN519" s="1358"/>
      <c r="LO519" s="1358"/>
      <c r="LP519" s="1358"/>
      <c r="LQ519" s="1358"/>
      <c r="LR519" s="1358"/>
      <c r="LS519" s="1358"/>
      <c r="LT519" s="1358"/>
      <c r="LU519" s="1358"/>
      <c r="LV519" s="1358"/>
      <c r="LW519" s="1358"/>
      <c r="LX519" s="1358"/>
      <c r="LY519" s="1358"/>
      <c r="LZ519" s="1358"/>
      <c r="MA519" s="1358"/>
      <c r="MB519" s="1358"/>
      <c r="MC519" s="1358"/>
      <c r="MD519" s="1358"/>
      <c r="ME519" s="1358"/>
      <c r="MF519" s="1358"/>
      <c r="MG519" s="1358"/>
      <c r="MH519" s="1358"/>
      <c r="MI519" s="1358"/>
      <c r="MJ519" s="1358"/>
      <c r="MK519" s="1358"/>
      <c r="ML519" s="1358"/>
      <c r="MM519" s="1358"/>
      <c r="MN519" s="1358"/>
      <c r="MO519" s="1358"/>
      <c r="MP519" s="1358"/>
      <c r="MQ519" s="1358"/>
      <c r="MR519" s="1358"/>
      <c r="MS519" s="1358"/>
      <c r="MT519" s="1358"/>
      <c r="MU519" s="1358"/>
      <c r="MV519" s="1358"/>
      <c r="MW519" s="1358"/>
      <c r="MX519" s="1358"/>
      <c r="MY519" s="1358"/>
      <c r="MZ519" s="1358"/>
      <c r="NA519" s="1358"/>
      <c r="NB519" s="1358"/>
      <c r="NC519" s="1358"/>
      <c r="ND519" s="1358"/>
      <c r="NE519" s="1358"/>
      <c r="NF519" s="1358"/>
      <c r="NG519" s="1358"/>
      <c r="NH519" s="1358"/>
      <c r="NI519" s="1358"/>
      <c r="NJ519" s="1358"/>
      <c r="NK519" s="1358"/>
      <c r="NL519" s="1358"/>
      <c r="NM519" s="1358"/>
      <c r="NN519" s="1358"/>
      <c r="NO519" s="1358"/>
      <c r="NP519" s="1358"/>
      <c r="NQ519" s="1358"/>
      <c r="NR519" s="1358"/>
      <c r="NS519" s="1358"/>
      <c r="NT519" s="1358"/>
      <c r="NU519" s="1358"/>
      <c r="NV519" s="1358"/>
      <c r="NW519" s="1358"/>
      <c r="NX519" s="1358"/>
      <c r="NY519" s="1358"/>
      <c r="NZ519" s="1358"/>
      <c r="OA519" s="1358"/>
      <c r="OB519" s="1358"/>
      <c r="OC519" s="1358"/>
      <c r="OD519" s="1358"/>
      <c r="OE519" s="1358"/>
      <c r="OF519" s="1358"/>
      <c r="OG519" s="1358"/>
      <c r="OH519" s="1358"/>
      <c r="OI519" s="1358"/>
      <c r="OJ519" s="1358"/>
      <c r="OK519" s="1358"/>
      <c r="OL519" s="1358"/>
      <c r="OM519" s="1358"/>
      <c r="ON519" s="1358"/>
      <c r="OO519" s="1358"/>
      <c r="OP519" s="1358"/>
      <c r="OQ519" s="1358"/>
      <c r="OR519" s="1358"/>
      <c r="OS519" s="1358"/>
      <c r="OT519" s="1358"/>
      <c r="OU519" s="1358"/>
      <c r="OV519" s="1358"/>
      <c r="OW519" s="1358"/>
      <c r="OX519" s="1358"/>
      <c r="OY519" s="1358"/>
      <c r="OZ519" s="1358"/>
      <c r="PA519" s="1358"/>
      <c r="PB519" s="1358"/>
      <c r="PC519" s="1358"/>
      <c r="PD519" s="1358"/>
      <c r="PE519" s="1358"/>
      <c r="PF519" s="1358"/>
      <c r="PG519" s="1358"/>
      <c r="PH519" s="1358"/>
      <c r="PI519" s="1358"/>
      <c r="PJ519" s="1358"/>
      <c r="PK519" s="1358"/>
      <c r="PL519" s="1358"/>
      <c r="PM519" s="1358"/>
      <c r="PN519" s="1358"/>
      <c r="PO519" s="1358"/>
      <c r="PP519" s="1358"/>
      <c r="PQ519" s="1358"/>
      <c r="PR519" s="1358"/>
      <c r="PS519" s="1358"/>
      <c r="PT519" s="1358"/>
      <c r="PU519" s="1358"/>
      <c r="PV519" s="1358"/>
      <c r="PW519" s="1358"/>
      <c r="PX519" s="1358"/>
      <c r="PY519" s="1358"/>
      <c r="PZ519" s="1358"/>
      <c r="QA519" s="1358"/>
      <c r="QB519" s="1358"/>
      <c r="QC519" s="1358"/>
      <c r="QD519" s="1358"/>
      <c r="QE519" s="1358"/>
      <c r="QF519" s="1358"/>
      <c r="QG519" s="1358"/>
      <c r="QH519" s="1358"/>
      <c r="QI519" s="1358"/>
      <c r="QJ519" s="1358"/>
      <c r="QK519" s="1358"/>
      <c r="QL519" s="1358"/>
      <c r="QM519" s="1358"/>
      <c r="QN519" s="1358"/>
      <c r="QO519" s="1358"/>
      <c r="QP519" s="1358"/>
      <c r="QQ519" s="1358"/>
      <c r="QR519" s="1358"/>
      <c r="QS519" s="1358"/>
      <c r="QT519" s="1358"/>
      <c r="QU519" s="1358"/>
      <c r="QV519" s="1358"/>
      <c r="QW519" s="1358"/>
      <c r="QX519" s="1358"/>
      <c r="QY519" s="1358"/>
      <c r="QZ519" s="1358"/>
      <c r="RA519" s="1358"/>
      <c r="RB519" s="1358"/>
      <c r="RC519" s="1358"/>
      <c r="RD519" s="1358"/>
      <c r="RE519" s="1358"/>
      <c r="RF519" s="1358"/>
      <c r="RG519" s="1358"/>
      <c r="RH519" s="1358"/>
      <c r="RI519" s="1358"/>
      <c r="RJ519" s="1358"/>
      <c r="RK519" s="1358"/>
      <c r="RL519" s="1358"/>
      <c r="RM519" s="1358"/>
      <c r="RN519" s="1358"/>
      <c r="RO519" s="1358"/>
      <c r="RP519" s="1358"/>
      <c r="RQ519" s="1358"/>
      <c r="RR519" s="1358"/>
      <c r="RS519" s="1358"/>
      <c r="RT519" s="1358"/>
      <c r="RU519" s="1358"/>
      <c r="RV519" s="1358"/>
      <c r="RW519" s="1358"/>
      <c r="RX519" s="1358"/>
      <c r="RY519" s="1358"/>
      <c r="RZ519" s="1358"/>
      <c r="SA519" s="1358"/>
      <c r="SB519" s="1358"/>
      <c r="SC519" s="1358"/>
      <c r="SD519" s="1358"/>
      <c r="SE519" s="1358"/>
      <c r="SF519" s="1358"/>
      <c r="SG519" s="1358"/>
      <c r="SH519" s="1358"/>
      <c r="SI519" s="1358"/>
      <c r="SJ519" s="1358"/>
      <c r="SK519" s="1358"/>
      <c r="SL519" s="1358"/>
      <c r="SM519" s="1358"/>
      <c r="SN519" s="1358"/>
      <c r="SO519" s="1358"/>
      <c r="SP519" s="1358"/>
      <c r="SQ519" s="1358"/>
      <c r="SR519" s="1358"/>
      <c r="SS519" s="1358"/>
      <c r="ST519" s="1358"/>
      <c r="SU519" s="1358"/>
      <c r="SV519" s="1358"/>
      <c r="SW519" s="1358"/>
      <c r="SX519" s="1358"/>
      <c r="SY519" s="1358"/>
      <c r="SZ519" s="1358"/>
      <c r="TA519" s="1358"/>
      <c r="TB519" s="1358"/>
      <c r="TC519" s="1358"/>
      <c r="TD519" s="1358"/>
      <c r="TE519" s="1358"/>
      <c r="TF519" s="1358"/>
      <c r="TG519" s="1358"/>
      <c r="TH519" s="1358"/>
      <c r="TI519" s="1358"/>
      <c r="TJ519" s="1358"/>
      <c r="TK519" s="1358"/>
      <c r="TL519" s="1358"/>
      <c r="TM519" s="1358"/>
      <c r="TN519" s="1358"/>
      <c r="TO519" s="1358"/>
      <c r="TP519" s="1358"/>
      <c r="TQ519" s="1358"/>
      <c r="TR519" s="1358"/>
      <c r="TS519" s="1358"/>
      <c r="TT519" s="1358"/>
      <c r="TU519" s="1358"/>
      <c r="TV519" s="1358"/>
      <c r="TW519" s="1358"/>
      <c r="TX519" s="1358"/>
      <c r="TY519" s="1358"/>
      <c r="TZ519" s="1358"/>
      <c r="UA519" s="1358"/>
      <c r="UB519" s="1358"/>
      <c r="UC519" s="1358"/>
      <c r="UD519" s="1358"/>
      <c r="UE519" s="1358"/>
      <c r="UF519" s="1358"/>
      <c r="UG519" s="1358"/>
      <c r="UH519" s="1358"/>
      <c r="UI519" s="1358"/>
      <c r="UJ519" s="1358"/>
      <c r="UK519" s="1358"/>
      <c r="UL519" s="1358"/>
      <c r="UM519" s="1358"/>
      <c r="UN519" s="1358"/>
      <c r="UO519" s="1358"/>
      <c r="UP519" s="1358"/>
      <c r="UQ519" s="1358"/>
      <c r="UR519" s="1358"/>
      <c r="US519" s="1358"/>
      <c r="UT519" s="1358"/>
      <c r="UU519" s="1358"/>
      <c r="UV519" s="1358"/>
      <c r="UW519" s="1358"/>
      <c r="UX519" s="1358"/>
      <c r="UY519" s="1358"/>
      <c r="UZ519" s="1358"/>
      <c r="VA519" s="1358"/>
      <c r="VB519" s="1358"/>
      <c r="VC519" s="1358"/>
      <c r="VD519" s="1358"/>
      <c r="VE519" s="1358"/>
      <c r="VF519" s="1358"/>
      <c r="VG519" s="1358"/>
      <c r="VH519" s="1358"/>
      <c r="VI519" s="1358"/>
      <c r="VJ519" s="1358"/>
      <c r="VK519" s="1358"/>
      <c r="VL519" s="1358"/>
      <c r="VM519" s="1358"/>
      <c r="VN519" s="1358"/>
      <c r="VO519" s="1358"/>
      <c r="VP519" s="1358"/>
      <c r="VQ519" s="1358"/>
      <c r="VR519" s="1358"/>
      <c r="VS519" s="1358"/>
      <c r="VT519" s="1358"/>
      <c r="VU519" s="1358"/>
      <c r="VV519" s="1358"/>
      <c r="VW519" s="1358"/>
      <c r="VX519" s="1358"/>
      <c r="VY519" s="1358"/>
      <c r="VZ519" s="1358"/>
      <c r="WA519" s="1358"/>
      <c r="WB519" s="1358"/>
      <c r="WC519" s="1358"/>
      <c r="WD519" s="1358"/>
      <c r="WE519" s="1358"/>
      <c r="WF519" s="1358"/>
      <c r="WG519" s="1358"/>
      <c r="WH519" s="1358"/>
      <c r="WI519" s="1358"/>
      <c r="WJ519" s="1358"/>
      <c r="WK519" s="1358"/>
      <c r="WL519" s="1358"/>
      <c r="WM519" s="1358"/>
      <c r="WN519" s="1358"/>
      <c r="WO519" s="1358"/>
      <c r="WP519" s="1358"/>
      <c r="WQ519" s="1358"/>
      <c r="WR519" s="1358"/>
      <c r="WS519" s="1358"/>
      <c r="WT519" s="1358"/>
      <c r="WU519" s="1358"/>
      <c r="WV519" s="1358"/>
      <c r="WW519" s="1358"/>
      <c r="WX519" s="1358"/>
      <c r="WY519" s="1358"/>
      <c r="WZ519" s="1358"/>
      <c r="XA519" s="1358"/>
      <c r="XB519" s="1358"/>
      <c r="XC519" s="1358"/>
      <c r="XD519" s="1358"/>
      <c r="XE519" s="1358"/>
      <c r="XF519" s="1358"/>
      <c r="XG519" s="1358"/>
      <c r="XH519" s="1358"/>
      <c r="XI519" s="1358"/>
      <c r="XJ519" s="1358"/>
      <c r="XK519" s="1358"/>
      <c r="XL519" s="1358"/>
      <c r="XM519" s="1358"/>
      <c r="XN519" s="1358"/>
      <c r="XO519" s="1358"/>
      <c r="XP519" s="1358"/>
      <c r="XQ519" s="1358"/>
      <c r="XR519" s="1358"/>
      <c r="XS519" s="1358"/>
      <c r="XT519" s="1358"/>
      <c r="XU519" s="1358"/>
      <c r="XV519" s="1358"/>
      <c r="XW519" s="1358"/>
      <c r="XX519" s="1358"/>
      <c r="XY519" s="1358"/>
      <c r="XZ519" s="1358"/>
      <c r="YA519" s="1358"/>
      <c r="YB519" s="1358"/>
      <c r="YC519" s="1358"/>
      <c r="YD519" s="1358"/>
      <c r="YE519" s="1358"/>
      <c r="YF519" s="1358"/>
      <c r="YG519" s="1358"/>
      <c r="YH519" s="1358"/>
      <c r="YI519" s="1358"/>
      <c r="YJ519" s="1358"/>
      <c r="YK519" s="1358"/>
      <c r="YL519" s="1358"/>
      <c r="YM519" s="1358"/>
      <c r="YN519" s="1358"/>
      <c r="YO519" s="1358"/>
      <c r="YP519" s="1358"/>
      <c r="YQ519" s="1358"/>
      <c r="YR519" s="1358"/>
      <c r="YS519" s="1358"/>
      <c r="YT519" s="1358"/>
      <c r="YU519" s="1358"/>
      <c r="YV519" s="1358"/>
      <c r="YW519" s="1358"/>
      <c r="YX519" s="1358"/>
      <c r="YY519" s="1358"/>
      <c r="YZ519" s="1358"/>
      <c r="ZA519" s="1358"/>
      <c r="ZB519" s="1358"/>
      <c r="ZC519" s="1358"/>
      <c r="ZD519" s="1358"/>
      <c r="ZE519" s="1358"/>
      <c r="ZF519" s="1358"/>
      <c r="ZG519" s="1358"/>
      <c r="ZH519" s="1358"/>
      <c r="ZI519" s="1358"/>
      <c r="ZJ519" s="1358"/>
      <c r="ZK519" s="1358"/>
      <c r="ZL519" s="1358"/>
      <c r="ZM519" s="1358"/>
      <c r="ZN519" s="1358"/>
      <c r="ZO519" s="1358"/>
      <c r="ZP519" s="1358"/>
      <c r="ZQ519" s="1358"/>
      <c r="ZR519" s="1358"/>
      <c r="ZS519" s="1358"/>
      <c r="ZT519" s="1358"/>
      <c r="ZU519" s="1358"/>
      <c r="ZV519" s="1358"/>
      <c r="ZW519" s="1358"/>
      <c r="ZX519" s="1358"/>
      <c r="ZY519" s="1358"/>
      <c r="ZZ519" s="1358"/>
      <c r="AAA519" s="1358"/>
      <c r="AAB519" s="1358"/>
      <c r="AAC519" s="1358"/>
      <c r="AAD519" s="1358"/>
      <c r="AAE519" s="1358"/>
      <c r="AAF519" s="1358"/>
      <c r="AAG519" s="1358"/>
      <c r="AAH519" s="1358"/>
      <c r="AAI519" s="1358"/>
      <c r="AAJ519" s="1358"/>
      <c r="AAK519" s="1358"/>
      <c r="AAL519" s="1358"/>
      <c r="AAM519" s="1358"/>
      <c r="AAN519" s="1358"/>
      <c r="AAO519" s="1358"/>
      <c r="AAP519" s="1358"/>
      <c r="AAQ519" s="1358"/>
      <c r="AAR519" s="1358"/>
      <c r="AAS519" s="1358"/>
      <c r="AAT519" s="1358"/>
      <c r="AAU519" s="1358"/>
      <c r="AAV519" s="1358"/>
      <c r="AAW519" s="1358"/>
      <c r="AAX519" s="1358"/>
      <c r="AAY519" s="1358"/>
      <c r="AAZ519" s="1358"/>
      <c r="ABA519" s="1358"/>
      <c r="ABB519" s="1358"/>
      <c r="ABC519" s="1358"/>
      <c r="ABD519" s="1358"/>
      <c r="ABE519" s="1358"/>
      <c r="ABF519" s="1358"/>
      <c r="ABG519" s="1358"/>
      <c r="ABH519" s="1358"/>
      <c r="ABI519" s="1358"/>
      <c r="ABJ519" s="1358"/>
      <c r="ABK519" s="1358"/>
      <c r="ABL519" s="1358"/>
      <c r="ABM519" s="1358"/>
      <c r="ABN519" s="1358"/>
      <c r="ABO519" s="1358"/>
      <c r="ABP519" s="1358"/>
      <c r="ABQ519" s="1358"/>
      <c r="ABR519" s="1358"/>
      <c r="ABS519" s="1358"/>
      <c r="ABT519" s="1358"/>
      <c r="ABU519" s="1358"/>
      <c r="ABV519" s="1358"/>
      <c r="ABW519" s="1358"/>
      <c r="ABX519" s="1358"/>
      <c r="ABY519" s="1358"/>
      <c r="ABZ519" s="1358"/>
      <c r="ACA519" s="1358"/>
      <c r="ACB519" s="1358"/>
      <c r="ACC519" s="1358"/>
      <c r="ACD519" s="1358"/>
      <c r="ACE519" s="1358"/>
      <c r="ACF519" s="1358"/>
      <c r="ACG519" s="1358"/>
      <c r="ACH519" s="1358"/>
      <c r="ACI519" s="1358"/>
      <c r="ACJ519" s="1358"/>
      <c r="ACK519" s="1358"/>
      <c r="ACL519" s="1358"/>
      <c r="ACM519" s="1358"/>
      <c r="ACN519" s="1358"/>
      <c r="ACO519" s="1358"/>
      <c r="ACP519" s="1358"/>
      <c r="ACQ519" s="1358"/>
      <c r="ACR519" s="1358"/>
      <c r="ACS519" s="1358"/>
      <c r="ACT519" s="1358"/>
      <c r="ACU519" s="1358"/>
      <c r="ACV519" s="1358"/>
      <c r="ACW519" s="1358"/>
      <c r="ACX519" s="1358"/>
      <c r="ACY519" s="1358"/>
      <c r="ACZ519" s="1358"/>
      <c r="ADA519" s="1358"/>
      <c r="ADB519" s="1358"/>
      <c r="ADC519" s="1358"/>
      <c r="ADD519" s="1358"/>
      <c r="ADE519" s="1358"/>
      <c r="ADF519" s="1358"/>
      <c r="ADG519" s="1358"/>
      <c r="ADH519" s="1358"/>
      <c r="ADI519" s="1358"/>
      <c r="ADJ519" s="1358"/>
      <c r="ADK519" s="1358"/>
      <c r="ADL519" s="1358"/>
      <c r="ADM519" s="1358"/>
      <c r="ADN519" s="1358"/>
      <c r="ADO519" s="1358"/>
      <c r="ADP519" s="1358"/>
      <c r="ADQ519" s="1358"/>
      <c r="ADR519" s="1358"/>
      <c r="ADS519" s="1358"/>
      <c r="ADT519" s="1358"/>
      <c r="ADU519" s="1358"/>
      <c r="ADV519" s="1358"/>
      <c r="ADW519" s="1358"/>
      <c r="ADX519" s="1358"/>
      <c r="ADY519" s="1358"/>
      <c r="ADZ519" s="1358"/>
      <c r="AEA519" s="1358"/>
      <c r="AEB519" s="1358"/>
      <c r="AEC519" s="1358"/>
      <c r="AED519" s="1358"/>
      <c r="AEE519" s="1358"/>
      <c r="AEF519" s="1358"/>
      <c r="AEG519" s="1358"/>
      <c r="AEH519" s="1358"/>
      <c r="AEI519" s="1358"/>
      <c r="AEJ519" s="1358"/>
      <c r="AEK519" s="1358"/>
      <c r="AEL519" s="1358"/>
      <c r="AEM519" s="1358"/>
      <c r="AEN519" s="1358"/>
      <c r="AEO519" s="1358"/>
      <c r="AEP519" s="1358"/>
      <c r="AEQ519" s="1358"/>
      <c r="AER519" s="1358"/>
      <c r="AES519" s="1358"/>
      <c r="AET519" s="1358"/>
      <c r="AEU519" s="1358"/>
      <c r="AEV519" s="1358"/>
      <c r="AEW519" s="1358"/>
      <c r="AEX519" s="1358"/>
      <c r="AEY519" s="1358"/>
      <c r="AEZ519" s="1358"/>
      <c r="AFA519" s="1358"/>
      <c r="AFB519" s="1358"/>
      <c r="AFC519" s="1358"/>
      <c r="AFD519" s="1358"/>
      <c r="AFE519" s="1358"/>
      <c r="AFF519" s="1358"/>
      <c r="AFG519" s="1358"/>
      <c r="AFH519" s="1358"/>
      <c r="AFI519" s="1358"/>
      <c r="AFJ519" s="1358"/>
      <c r="AFK519" s="1358"/>
      <c r="AFL519" s="1358"/>
      <c r="AFM519" s="1358"/>
      <c r="AFN519" s="1358"/>
      <c r="AFO519" s="1358"/>
      <c r="AFP519" s="1358"/>
      <c r="AFQ519" s="1358"/>
      <c r="AFR519" s="1358"/>
      <c r="AFS519" s="1358"/>
      <c r="AFT519" s="1358"/>
      <c r="AFU519" s="1358"/>
      <c r="AFV519" s="1358"/>
      <c r="AFW519" s="1358"/>
      <c r="AFX519" s="1358"/>
      <c r="AFY519" s="1358"/>
      <c r="AFZ519" s="1358"/>
      <c r="AGA519" s="1358"/>
      <c r="AGB519" s="1358"/>
      <c r="AGC519" s="1358"/>
      <c r="AGD519" s="1358"/>
      <c r="AGE519" s="1358"/>
      <c r="AGF519" s="1358"/>
      <c r="AGG519" s="1358"/>
      <c r="AGH519" s="1358"/>
      <c r="AGI519" s="1358"/>
      <c r="AGJ519" s="1358"/>
      <c r="AGK519" s="1358"/>
      <c r="AGL519" s="1358"/>
      <c r="AGM519" s="1358"/>
      <c r="AGN519" s="1358"/>
      <c r="AGO519" s="1358"/>
      <c r="AGP519" s="1358"/>
      <c r="AGQ519" s="1358"/>
      <c r="AGR519" s="1358"/>
      <c r="AGS519" s="1358"/>
      <c r="AGT519" s="1358"/>
      <c r="AGU519" s="1358"/>
      <c r="AGV519" s="1358"/>
      <c r="AGW519" s="1358"/>
      <c r="AGX519" s="1358"/>
      <c r="AGY519" s="1358"/>
      <c r="AGZ519" s="1358"/>
      <c r="AHA519" s="1358"/>
      <c r="AHB519" s="1358"/>
      <c r="AHC519" s="1358"/>
      <c r="AHD519" s="1358"/>
      <c r="AHE519" s="1358"/>
      <c r="AHF519" s="1358"/>
      <c r="AHG519" s="1358"/>
      <c r="AHH519" s="1358"/>
      <c r="AHI519" s="1358"/>
      <c r="AHJ519" s="1358"/>
      <c r="AHK519" s="1358"/>
      <c r="AHL519" s="1358"/>
      <c r="AHM519" s="1358"/>
      <c r="AHN519" s="1358"/>
      <c r="AHO519" s="1358"/>
      <c r="AHP519" s="1358"/>
      <c r="AHQ519" s="1358"/>
      <c r="AHR519" s="1358"/>
      <c r="AHS519" s="1358"/>
      <c r="AHT519" s="1358"/>
      <c r="AHU519" s="1358"/>
      <c r="AHV519" s="1358"/>
      <c r="AHW519" s="1358"/>
      <c r="AHX519" s="1358"/>
      <c r="AHY519" s="1358"/>
      <c r="AHZ519" s="1358"/>
      <c r="AIA519" s="1358"/>
      <c r="AIB519" s="1358"/>
      <c r="AIC519" s="1358"/>
      <c r="AID519" s="1358"/>
      <c r="AIE519" s="1358"/>
      <c r="AIF519" s="1358"/>
      <c r="AIG519" s="1358"/>
      <c r="AIH519" s="1358"/>
      <c r="AII519" s="1358"/>
      <c r="AIJ519" s="1358"/>
      <c r="AIK519" s="1358"/>
      <c r="AIL519" s="1358"/>
      <c r="AIM519" s="1358"/>
      <c r="AIN519" s="1358"/>
      <c r="AIO519" s="1358"/>
      <c r="AIP519" s="1358"/>
      <c r="AIQ519" s="1358"/>
      <c r="AIR519" s="1358"/>
      <c r="AIS519" s="1358"/>
      <c r="AIT519" s="1358"/>
      <c r="AIU519" s="1358"/>
      <c r="AIV519" s="1358"/>
      <c r="AIW519" s="1358"/>
      <c r="AIX519" s="1358"/>
      <c r="AIY519" s="1358"/>
      <c r="AIZ519" s="1358"/>
      <c r="AJA519" s="1358"/>
      <c r="AJB519" s="1358"/>
      <c r="AJC519" s="1358"/>
      <c r="AJD519" s="1358"/>
      <c r="AJE519" s="1358"/>
      <c r="AJF519" s="1358"/>
      <c r="AJG519" s="1358"/>
      <c r="AJH519" s="1358"/>
      <c r="AJI519" s="1358"/>
      <c r="AJJ519" s="1358"/>
      <c r="AJK519" s="1358"/>
      <c r="AJL519" s="1358"/>
      <c r="AJM519" s="1358"/>
      <c r="AJN519" s="1358"/>
      <c r="AJO519" s="1358"/>
      <c r="AJP519" s="1358"/>
      <c r="AJQ519" s="1358"/>
      <c r="AJR519" s="1358"/>
      <c r="AJS519" s="1358"/>
      <c r="AJT519" s="1358"/>
      <c r="AJU519" s="1358"/>
      <c r="AJV519" s="1358"/>
      <c r="AJW519" s="1358"/>
      <c r="AJX519" s="1358"/>
      <c r="AJY519" s="1358"/>
      <c r="AJZ519" s="1358"/>
      <c r="AKA519" s="1358"/>
      <c r="AKB519" s="1358"/>
      <c r="AKC519" s="1358"/>
      <c r="AKD519" s="1358"/>
      <c r="AKE519" s="1358"/>
      <c r="AKF519" s="1358"/>
      <c r="AKG519" s="1358"/>
      <c r="AKH519" s="1358"/>
      <c r="AKI519" s="1358"/>
      <c r="AKJ519" s="1358"/>
      <c r="AKK519" s="1358"/>
      <c r="AKL519" s="1358"/>
      <c r="AKM519" s="1358"/>
      <c r="AKN519" s="1358"/>
      <c r="AKO519" s="1358"/>
      <c r="AKP519" s="1358"/>
      <c r="AKQ519" s="1358"/>
      <c r="AKR519" s="1358"/>
      <c r="AKS519" s="1358"/>
      <c r="AKT519" s="1358"/>
      <c r="AKU519" s="1358"/>
      <c r="AKV519" s="1358"/>
      <c r="AKW519" s="1358"/>
      <c r="AKX519" s="1358"/>
      <c r="AKY519" s="1358"/>
      <c r="AKZ519" s="1358"/>
      <c r="ALA519" s="1358"/>
      <c r="ALB519" s="1358"/>
      <c r="ALC519" s="1358"/>
      <c r="ALD519" s="1358"/>
      <c r="ALE519" s="1358"/>
      <c r="ALF519" s="1358"/>
      <c r="ALG519" s="1358"/>
      <c r="ALH519" s="1358"/>
      <c r="ALI519" s="1358"/>
      <c r="ALJ519" s="1358"/>
      <c r="ALK519" s="1358"/>
      <c r="ALL519" s="1358"/>
      <c r="ALM519" s="1358"/>
      <c r="ALN519" s="1358"/>
      <c r="ALO519" s="1358"/>
      <c r="ALP519" s="1358"/>
      <c r="ALQ519" s="1358"/>
      <c r="ALR519" s="1358"/>
      <c r="ALS519" s="1358"/>
      <c r="ALT519" s="1358"/>
      <c r="ALU519" s="1358"/>
      <c r="ALV519" s="1358"/>
      <c r="ALW519" s="1358"/>
      <c r="ALX519" s="1358"/>
      <c r="ALY519" s="1358"/>
      <c r="ALZ519" s="1358"/>
      <c r="AMA519" s="1358"/>
      <c r="AMB519" s="1358"/>
      <c r="AMC519" s="1358"/>
      <c r="AMD519" s="1358"/>
      <c r="AME519" s="1358"/>
      <c r="AMF519" s="1358"/>
      <c r="AMG519" s="1358"/>
      <c r="AMH519" s="1358"/>
      <c r="AMI519" s="1358"/>
      <c r="AMJ519" s="1358"/>
      <c r="AMK519" s="1358"/>
      <c r="AML519" s="1358"/>
      <c r="AMM519" s="1358"/>
      <c r="AMN519" s="1358"/>
      <c r="AMO519" s="1358"/>
      <c r="AMP519" s="1358"/>
      <c r="AMQ519" s="1358"/>
      <c r="AMR519" s="1358"/>
      <c r="AMS519" s="1358"/>
      <c r="AMT519" s="1358"/>
      <c r="AMU519" s="1358"/>
      <c r="AMV519" s="1358"/>
      <c r="AMW519" s="1358"/>
      <c r="AMX519" s="1358"/>
      <c r="AMY519" s="1358"/>
      <c r="AMZ519" s="1358"/>
      <c r="ANA519" s="1358"/>
      <c r="ANB519" s="1358"/>
      <c r="ANC519" s="1358"/>
      <c r="AND519" s="1358"/>
      <c r="ANE519" s="1358"/>
      <c r="ANF519" s="1358"/>
      <c r="ANG519" s="1358"/>
      <c r="ANH519" s="1358"/>
      <c r="ANI519" s="1358"/>
      <c r="ANJ519" s="1358"/>
      <c r="ANK519" s="1358"/>
      <c r="ANL519" s="1358"/>
      <c r="ANM519" s="1358"/>
      <c r="ANN519" s="1358"/>
      <c r="ANO519" s="1358"/>
      <c r="ANP519" s="1358"/>
      <c r="ANQ519" s="1358"/>
      <c r="ANR519" s="1358"/>
      <c r="ANS519" s="1358"/>
      <c r="ANT519" s="1358"/>
      <c r="ANU519" s="1358"/>
      <c r="ANV519" s="1358"/>
      <c r="ANW519" s="1358"/>
      <c r="ANX519" s="1358"/>
      <c r="ANY519" s="1358"/>
      <c r="ANZ519" s="1358"/>
      <c r="AOA519" s="1358"/>
      <c r="AOB519" s="1358"/>
      <c r="AOC519" s="1358"/>
      <c r="AOD519" s="1358"/>
      <c r="AOE519" s="1358"/>
      <c r="AOF519" s="1358"/>
      <c r="AOG519" s="1358"/>
      <c r="AOH519" s="1358"/>
      <c r="AOI519" s="1358"/>
      <c r="AOJ519" s="1358"/>
      <c r="AOK519" s="1358"/>
      <c r="AOL519" s="1358"/>
      <c r="AOM519" s="1358"/>
      <c r="AON519" s="1358"/>
      <c r="AOO519" s="1358"/>
      <c r="AOP519" s="1358"/>
      <c r="AOQ519" s="1358"/>
      <c r="AOR519" s="1358"/>
      <c r="AOS519" s="1358"/>
      <c r="AOT519" s="1358"/>
      <c r="AOU519" s="1358"/>
      <c r="AOV519" s="1358"/>
      <c r="AOW519" s="1358"/>
      <c r="AOX519" s="1358"/>
      <c r="AOY519" s="1358"/>
      <c r="AOZ519" s="1358"/>
      <c r="APA519" s="1358"/>
      <c r="APB519" s="1358"/>
      <c r="APC519" s="1358"/>
      <c r="APD519" s="1358"/>
      <c r="APE519" s="1358"/>
      <c r="APF519" s="1358"/>
      <c r="APG519" s="1358"/>
      <c r="APH519" s="1358"/>
      <c r="API519" s="1358"/>
      <c r="APJ519" s="1358"/>
      <c r="APK519" s="1358"/>
      <c r="APL519" s="1358"/>
      <c r="APM519" s="1358"/>
      <c r="APN519" s="1358"/>
      <c r="APO519" s="1358"/>
      <c r="APP519" s="1358"/>
      <c r="APQ519" s="1358"/>
      <c r="APR519" s="1358"/>
      <c r="APS519" s="1358"/>
      <c r="APT519" s="1358"/>
      <c r="APU519" s="1358"/>
      <c r="APV519" s="1358"/>
      <c r="APW519" s="1358"/>
      <c r="APX519" s="1358"/>
      <c r="APY519" s="1358"/>
      <c r="APZ519" s="1358"/>
      <c r="AQA519" s="1358"/>
      <c r="AQB519" s="1358"/>
      <c r="AQC519" s="1358"/>
      <c r="AQD519" s="1358"/>
      <c r="AQE519" s="1358"/>
      <c r="AQF519" s="1358"/>
      <c r="AQG519" s="1358"/>
      <c r="AQH519" s="1358"/>
      <c r="AQI519" s="1358"/>
      <c r="AQJ519" s="1358"/>
      <c r="AQK519" s="1358"/>
      <c r="AQL519" s="1358"/>
      <c r="AQM519" s="1358"/>
      <c r="AQN519" s="1358"/>
      <c r="AQO519" s="1358"/>
      <c r="AQP519" s="1358"/>
      <c r="AQQ519" s="1358"/>
      <c r="AQR519" s="1358"/>
      <c r="AQS519" s="1358"/>
      <c r="AQT519" s="1358"/>
      <c r="AQU519" s="1358"/>
      <c r="AQV519" s="1358"/>
      <c r="AQW519" s="1358"/>
      <c r="AQX519" s="1358"/>
      <c r="AQY519" s="1358"/>
      <c r="AQZ519" s="1358"/>
      <c r="ARA519" s="1358"/>
      <c r="ARB519" s="1358"/>
      <c r="ARC519" s="1358"/>
      <c r="ARD519" s="1358"/>
      <c r="ARE519" s="1358"/>
      <c r="ARF519" s="1358"/>
      <c r="ARG519" s="1358"/>
      <c r="ARH519" s="1358"/>
      <c r="ARI519" s="1358"/>
      <c r="ARJ519" s="1358"/>
      <c r="ARK519" s="1358"/>
      <c r="ARL519" s="1358"/>
      <c r="ARM519" s="1358"/>
      <c r="ARN519" s="1358"/>
      <c r="ARO519" s="1358"/>
      <c r="ARP519" s="1358"/>
      <c r="ARQ519" s="1358"/>
      <c r="ARR519" s="1358"/>
      <c r="ARS519" s="1358"/>
      <c r="ART519" s="1358"/>
      <c r="ARU519" s="1358"/>
      <c r="ARV519" s="1358"/>
      <c r="ARW519" s="1358"/>
      <c r="ARX519" s="1358"/>
      <c r="ARY519" s="1358"/>
      <c r="ARZ519" s="1358"/>
      <c r="ASA519" s="1358"/>
      <c r="ASB519" s="1358"/>
      <c r="ASC519" s="1358"/>
      <c r="ASD519" s="1358"/>
      <c r="ASE519" s="1358"/>
      <c r="ASF519" s="1358"/>
      <c r="ASG519" s="1358"/>
      <c r="ASH519" s="1358"/>
      <c r="ASI519" s="1358"/>
      <c r="ASJ519" s="1358"/>
      <c r="ASK519" s="1358"/>
      <c r="ASL519" s="1358"/>
      <c r="ASM519" s="1358"/>
      <c r="ASN519" s="1358"/>
      <c r="ASO519" s="1358"/>
      <c r="ASP519" s="1358"/>
      <c r="ASQ519" s="1358"/>
      <c r="ASR519" s="1358"/>
      <c r="ASS519" s="1358"/>
      <c r="AST519" s="1358"/>
      <c r="ASU519" s="1358"/>
      <c r="ASV519" s="1358"/>
      <c r="ASW519" s="1358"/>
      <c r="ASX519" s="1358"/>
      <c r="ASY519" s="1358"/>
      <c r="ASZ519" s="1358"/>
      <c r="ATA519" s="1358"/>
      <c r="ATB519" s="1358"/>
      <c r="ATC519" s="1358"/>
      <c r="ATD519" s="1358"/>
      <c r="ATE519" s="1358"/>
      <c r="ATF519" s="1358"/>
      <c r="ATG519" s="1358"/>
      <c r="ATH519" s="1358"/>
      <c r="ATI519" s="1358"/>
      <c r="ATJ519" s="1358"/>
      <c r="ATK519" s="1358"/>
      <c r="ATL519" s="1358"/>
      <c r="ATM519" s="1358"/>
      <c r="ATN519" s="1358"/>
      <c r="ATO519" s="1358"/>
      <c r="ATP519" s="1358"/>
      <c r="ATQ519" s="1358"/>
      <c r="ATR519" s="1358"/>
      <c r="ATS519" s="1358"/>
      <c r="ATT519" s="1358"/>
      <c r="ATU519" s="1358"/>
      <c r="ATV519" s="1358"/>
      <c r="ATW519" s="1358"/>
      <c r="ATX519" s="1358"/>
      <c r="ATY519" s="1358"/>
      <c r="ATZ519" s="1358"/>
      <c r="AUA519" s="1358"/>
      <c r="AUB519" s="1358"/>
      <c r="AUC519" s="1358"/>
      <c r="AUD519" s="1358"/>
      <c r="AUE519" s="1358"/>
      <c r="AUF519" s="1358"/>
      <c r="AUG519" s="1358"/>
      <c r="AUH519" s="1358"/>
      <c r="AUI519" s="1358"/>
      <c r="AUJ519" s="1358"/>
      <c r="AUK519" s="1358"/>
      <c r="AUL519" s="1358"/>
      <c r="AUM519" s="1358"/>
      <c r="AUN519" s="1358"/>
      <c r="AUO519" s="1358"/>
      <c r="AUP519" s="1358"/>
      <c r="AUQ519" s="1358"/>
      <c r="AUR519" s="1358"/>
      <c r="AUS519" s="1358"/>
      <c r="AUT519" s="1358"/>
      <c r="AUU519" s="1358"/>
      <c r="AUV519" s="1358"/>
      <c r="AUW519" s="1358"/>
      <c r="AUX519" s="1358"/>
      <c r="AUY519" s="1358"/>
      <c r="AUZ519" s="1358"/>
      <c r="AVA519" s="1358"/>
      <c r="AVB519" s="1358"/>
      <c r="AVC519" s="1358"/>
      <c r="AVD519" s="1358"/>
      <c r="AVE519" s="1358"/>
      <c r="AVF519" s="1358"/>
      <c r="AVG519" s="1358"/>
      <c r="AVH519" s="1358"/>
      <c r="AVI519" s="1358"/>
      <c r="AVJ519" s="1358"/>
      <c r="AVK519" s="1358"/>
      <c r="AVL519" s="1358"/>
      <c r="AVM519" s="1358"/>
      <c r="AVN519" s="1358"/>
      <c r="AVO519" s="1358"/>
      <c r="AVP519" s="1358"/>
      <c r="AVQ519" s="1358"/>
      <c r="AVR519" s="1358"/>
      <c r="AVS519" s="1358"/>
      <c r="AVT519" s="1358"/>
      <c r="AVU519" s="1358"/>
      <c r="AVV519" s="1358"/>
      <c r="AVW519" s="1358"/>
      <c r="AVX519" s="1358"/>
      <c r="AVY519" s="1358"/>
      <c r="AVZ519" s="1358"/>
      <c r="AWA519" s="1358"/>
      <c r="AWB519" s="1358"/>
      <c r="AWC519" s="1358"/>
      <c r="AWD519" s="1358"/>
      <c r="AWE519" s="1358"/>
      <c r="AWF519" s="1358"/>
      <c r="AWG519" s="1358"/>
      <c r="AWH519" s="1358"/>
      <c r="AWI519" s="1358"/>
      <c r="AWJ519" s="1358"/>
      <c r="AWK519" s="1358"/>
      <c r="AWL519" s="1358"/>
      <c r="AWM519" s="1358"/>
      <c r="AWN519" s="1358"/>
      <c r="AWO519" s="1358"/>
      <c r="AWP519" s="1358"/>
      <c r="AWQ519" s="1358"/>
      <c r="AWR519" s="1358"/>
      <c r="AWS519" s="1358"/>
      <c r="AWT519" s="1358"/>
      <c r="AWU519" s="1358"/>
      <c r="AWV519" s="1358"/>
      <c r="AWW519" s="1358"/>
      <c r="AWX519" s="1358"/>
      <c r="AWY519" s="1358"/>
      <c r="AWZ519" s="1358"/>
      <c r="AXA519" s="1358"/>
      <c r="AXB519" s="1358"/>
      <c r="AXC519" s="1358"/>
      <c r="AXD519" s="1358"/>
      <c r="AXE519" s="1358"/>
      <c r="AXF519" s="1358"/>
      <c r="AXG519" s="1358"/>
      <c r="AXH519" s="1358"/>
      <c r="AXI519" s="1358"/>
      <c r="AXJ519" s="1358"/>
      <c r="AXK519" s="1358"/>
      <c r="AXL519" s="1358"/>
      <c r="AXM519" s="1358"/>
      <c r="AXN519" s="1358"/>
      <c r="AXO519" s="1358"/>
      <c r="AXP519" s="1358"/>
      <c r="AXQ519" s="1358"/>
      <c r="AXR519" s="1358"/>
      <c r="AXS519" s="1358"/>
      <c r="AXT519" s="1358"/>
      <c r="AXU519" s="1358"/>
      <c r="AXV519" s="1358"/>
      <c r="AXW519" s="1358"/>
      <c r="AXX519" s="1358"/>
      <c r="AXY519" s="1358"/>
      <c r="AXZ519" s="1358"/>
      <c r="AYA519" s="1358"/>
      <c r="AYB519" s="1358"/>
      <c r="AYC519" s="1358"/>
      <c r="AYD519" s="1358"/>
      <c r="AYE519" s="1358"/>
      <c r="AYF519" s="1358"/>
      <c r="AYG519" s="1358"/>
      <c r="AYH519" s="1358"/>
      <c r="AYI519" s="1358"/>
      <c r="AYJ519" s="1358"/>
      <c r="AYK519" s="1358"/>
      <c r="AYL519" s="1358"/>
      <c r="AYM519" s="1358"/>
      <c r="AYN519" s="1358"/>
      <c r="AYO519" s="1358"/>
      <c r="AYP519" s="1358"/>
      <c r="AYQ519" s="1358"/>
      <c r="AYR519" s="1358"/>
      <c r="AYS519" s="1358"/>
      <c r="AYT519" s="1358"/>
      <c r="AYU519" s="1358"/>
      <c r="AYV519" s="1358"/>
      <c r="AYW519" s="1358"/>
      <c r="AYX519" s="1358"/>
      <c r="AYY519" s="1358"/>
      <c r="AYZ519" s="1358"/>
      <c r="AZA519" s="1358"/>
      <c r="AZB519" s="1358"/>
      <c r="AZC519" s="1358"/>
      <c r="AZD519" s="1358"/>
      <c r="AZE519" s="1358"/>
      <c r="AZF519" s="1358"/>
      <c r="AZG519" s="1358"/>
      <c r="AZH519" s="1358"/>
      <c r="AZI519" s="1358"/>
      <c r="AZJ519" s="1358"/>
      <c r="AZK519" s="1358"/>
      <c r="AZL519" s="1358"/>
      <c r="AZM519" s="1358"/>
      <c r="AZN519" s="1358"/>
      <c r="AZO519" s="1358"/>
      <c r="AZP519" s="1358"/>
      <c r="AZQ519" s="1358"/>
      <c r="AZR519" s="1358"/>
      <c r="AZS519" s="1358"/>
      <c r="AZT519" s="1358"/>
      <c r="AZU519" s="1358"/>
      <c r="AZV519" s="1358"/>
      <c r="AZW519" s="1358"/>
      <c r="AZX519" s="1358"/>
      <c r="AZY519" s="1358"/>
      <c r="AZZ519" s="1358"/>
      <c r="BAA519" s="1358"/>
      <c r="BAB519" s="1358"/>
      <c r="BAC519" s="1358"/>
      <c r="BAD519" s="1358"/>
      <c r="BAE519" s="1358"/>
      <c r="BAF519" s="1358"/>
      <c r="BAG519" s="1358"/>
      <c r="BAH519" s="1358"/>
      <c r="BAI519" s="1358"/>
      <c r="BAJ519" s="1358"/>
      <c r="BAK519" s="1358"/>
      <c r="BAL519" s="1358"/>
      <c r="BAM519" s="1358"/>
      <c r="BAN519" s="1358"/>
      <c r="BAO519" s="1358"/>
      <c r="BAP519" s="1358"/>
      <c r="BAQ519" s="1358"/>
      <c r="BAR519" s="1358"/>
      <c r="BAS519" s="1358"/>
      <c r="BAT519" s="1358"/>
      <c r="BAU519" s="1358"/>
      <c r="BAV519" s="1358"/>
      <c r="BAW519" s="1358"/>
      <c r="BAX519" s="1358"/>
      <c r="BAY519" s="1358"/>
      <c r="BAZ519" s="1358"/>
      <c r="BBA519" s="1358"/>
      <c r="BBB519" s="1358"/>
      <c r="BBC519" s="1358"/>
      <c r="BBD519" s="1358"/>
      <c r="BBE519" s="1358"/>
      <c r="BBF519" s="1358"/>
      <c r="BBG519" s="1358"/>
      <c r="BBH519" s="1358"/>
      <c r="BBI519" s="1358"/>
      <c r="BBJ519" s="1358"/>
      <c r="BBK519" s="1358"/>
      <c r="BBL519" s="1358"/>
      <c r="BBM519" s="1358"/>
      <c r="BBN519" s="1358"/>
      <c r="BBO519" s="1358"/>
      <c r="BBP519" s="1358"/>
      <c r="BBQ519" s="1358"/>
      <c r="BBR519" s="1358"/>
      <c r="BBS519" s="1358"/>
      <c r="BBT519" s="1358"/>
      <c r="BBU519" s="1358"/>
      <c r="BBV519" s="1358"/>
      <c r="BBW519" s="1358"/>
      <c r="BBX519" s="1358"/>
      <c r="BBY519" s="1358"/>
      <c r="BBZ519" s="1358"/>
      <c r="BCA519" s="1358"/>
      <c r="BCB519" s="1358"/>
      <c r="BCC519" s="1358"/>
      <c r="BCD519" s="1358"/>
      <c r="BCE519" s="1358"/>
      <c r="BCF519" s="1358"/>
      <c r="BCG519" s="1358"/>
      <c r="BCH519" s="1358"/>
      <c r="BCI519" s="1358"/>
      <c r="BCJ519" s="1358"/>
      <c r="BCK519" s="1358"/>
      <c r="BCL519" s="1358"/>
      <c r="BCM519" s="1358"/>
      <c r="BCN519" s="1358"/>
      <c r="BCO519" s="1358"/>
      <c r="BCP519" s="1358"/>
      <c r="BCQ519" s="1358"/>
      <c r="BCR519" s="1358"/>
      <c r="BCS519" s="1358"/>
      <c r="BCT519" s="1358"/>
      <c r="BCU519" s="1358"/>
      <c r="BCV519" s="1358"/>
      <c r="BCW519" s="1358"/>
      <c r="BCX519" s="1358"/>
      <c r="BCY519" s="1358"/>
      <c r="BCZ519" s="1358"/>
      <c r="BDA519" s="1358"/>
      <c r="BDB519" s="1358"/>
      <c r="BDC519" s="1358"/>
      <c r="BDD519" s="1358"/>
      <c r="BDE519" s="1358"/>
      <c r="BDF519" s="1358"/>
      <c r="BDG519" s="1358"/>
      <c r="BDH519" s="1358"/>
      <c r="BDI519" s="1358"/>
      <c r="BDJ519" s="1358"/>
      <c r="BDK519" s="1358"/>
      <c r="BDL519" s="1358"/>
      <c r="BDM519" s="1358"/>
      <c r="BDN519" s="1358"/>
      <c r="BDO519" s="1358"/>
      <c r="BDP519" s="1358"/>
      <c r="BDQ519" s="1358"/>
      <c r="BDR519" s="1358"/>
      <c r="BDS519" s="1358"/>
      <c r="BDT519" s="1358"/>
      <c r="BDU519" s="1358"/>
      <c r="BDV519" s="1358"/>
      <c r="BDW519" s="1358"/>
      <c r="BDX519" s="1358"/>
      <c r="BDY519" s="1358"/>
      <c r="BDZ519" s="1358"/>
      <c r="BEA519" s="1358"/>
      <c r="BEB519" s="1358"/>
      <c r="BEC519" s="1358"/>
      <c r="BED519" s="1358"/>
      <c r="BEE519" s="1358"/>
      <c r="BEF519" s="1358"/>
      <c r="BEG519" s="1358"/>
      <c r="BEH519" s="1358"/>
      <c r="BEI519" s="1358"/>
      <c r="BEJ519" s="1358"/>
      <c r="BEK519" s="1358"/>
      <c r="BEL519" s="1358"/>
      <c r="BEM519" s="1358"/>
      <c r="BEN519" s="1358"/>
      <c r="BEO519" s="1358"/>
      <c r="BEP519" s="1358"/>
      <c r="BEQ519" s="1358"/>
      <c r="BER519" s="1358"/>
      <c r="BES519" s="1358"/>
      <c r="BET519" s="1358"/>
      <c r="BEU519" s="1358"/>
      <c r="BEV519" s="1358"/>
      <c r="BEW519" s="1358"/>
      <c r="BEX519" s="1358"/>
      <c r="BEY519" s="1358"/>
      <c r="BEZ519" s="1358"/>
      <c r="BFA519" s="1358"/>
      <c r="BFB519" s="1358"/>
      <c r="BFC519" s="1358"/>
      <c r="BFD519" s="1358"/>
      <c r="BFE519" s="1358"/>
      <c r="BFF519" s="1358"/>
      <c r="BFG519" s="1358"/>
      <c r="BFH519" s="1358"/>
      <c r="BFI519" s="1358"/>
      <c r="BFJ519" s="1358"/>
      <c r="BFK519" s="1358"/>
      <c r="BFL519" s="1358"/>
      <c r="BFM519" s="1358"/>
      <c r="BFN519" s="1358"/>
      <c r="BFO519" s="1358"/>
      <c r="BFP519" s="1358"/>
      <c r="BFQ519" s="1358"/>
      <c r="BFR519" s="1358"/>
      <c r="BFS519" s="1358"/>
      <c r="BFT519" s="1358"/>
      <c r="BFU519" s="1358"/>
      <c r="BFV519" s="1358"/>
      <c r="BFW519" s="1358"/>
      <c r="BFX519" s="1358"/>
      <c r="BFY519" s="1358"/>
      <c r="BFZ519" s="1358"/>
      <c r="BGA519" s="1358"/>
      <c r="BGB519" s="1358"/>
      <c r="BGC519" s="1358"/>
      <c r="BGD519" s="1358"/>
      <c r="BGE519" s="1358"/>
      <c r="BGF519" s="1358"/>
      <c r="BGG519" s="1358"/>
      <c r="BGH519" s="1358"/>
      <c r="BGI519" s="1358"/>
      <c r="BGJ519" s="1358"/>
      <c r="BGK519" s="1358"/>
      <c r="BGL519" s="1358"/>
      <c r="BGM519" s="1358"/>
      <c r="BGN519" s="1358"/>
      <c r="BGO519" s="1358"/>
      <c r="BGP519" s="1358"/>
      <c r="BGQ519" s="1358"/>
      <c r="BGR519" s="1358"/>
      <c r="BGS519" s="1358"/>
      <c r="BGT519" s="1358"/>
      <c r="BGU519" s="1358"/>
      <c r="BGV519" s="1358"/>
      <c r="BGW519" s="1358"/>
      <c r="BGX519" s="1358"/>
      <c r="BGY519" s="1358"/>
      <c r="BGZ519" s="1358"/>
      <c r="BHA519" s="1358"/>
      <c r="BHB519" s="1358"/>
      <c r="BHC519" s="1358"/>
      <c r="BHD519" s="1358"/>
      <c r="BHE519" s="1358"/>
      <c r="BHF519" s="1358"/>
      <c r="BHG519" s="1358"/>
      <c r="BHH519" s="1358"/>
      <c r="BHI519" s="1358"/>
      <c r="BHJ519" s="1358"/>
      <c r="BHK519" s="1358"/>
      <c r="BHL519" s="1358"/>
      <c r="BHM519" s="1358"/>
      <c r="BHN519" s="1358"/>
      <c r="BHO519" s="1358"/>
      <c r="BHP519" s="1358"/>
      <c r="BHQ519" s="1358"/>
      <c r="BHR519" s="1358"/>
      <c r="BHS519" s="1358"/>
      <c r="BHT519" s="1358"/>
      <c r="BHU519" s="1358"/>
      <c r="BHV519" s="1358"/>
      <c r="BHW519" s="1358"/>
      <c r="BHX519" s="1358"/>
      <c r="BHY519" s="1358"/>
      <c r="BHZ519" s="1358"/>
      <c r="BIA519" s="1358"/>
      <c r="BIB519" s="1358"/>
      <c r="BIC519" s="1358"/>
      <c r="BID519" s="1358"/>
      <c r="BIE519" s="1358"/>
      <c r="BIF519" s="1358"/>
      <c r="BIG519" s="1358"/>
      <c r="BIH519" s="1358"/>
      <c r="BII519" s="1358"/>
      <c r="BIJ519" s="1358"/>
      <c r="BIK519" s="1358"/>
      <c r="BIL519" s="1358"/>
      <c r="BIM519" s="1358"/>
      <c r="BIN519" s="1358"/>
      <c r="BIO519" s="1358"/>
      <c r="BIP519" s="1358"/>
      <c r="BIQ519" s="1358"/>
      <c r="BIR519" s="1358"/>
      <c r="BIS519" s="1358"/>
      <c r="BIT519" s="1358"/>
      <c r="BIU519" s="1358"/>
      <c r="BIV519" s="1358"/>
      <c r="BIW519" s="1358"/>
      <c r="BIX519" s="1358"/>
      <c r="BIY519" s="1358"/>
      <c r="BIZ519" s="1358"/>
      <c r="BJA519" s="1358"/>
      <c r="BJB519" s="1358"/>
      <c r="BJC519" s="1358"/>
      <c r="BJD519" s="1358"/>
      <c r="BJE519" s="1358"/>
      <c r="BJF519" s="1358"/>
      <c r="BJG519" s="1358"/>
      <c r="BJH519" s="1358"/>
      <c r="BJI519" s="1358"/>
      <c r="BJJ519" s="1358"/>
      <c r="BJK519" s="1358"/>
      <c r="BJL519" s="1358"/>
      <c r="BJM519" s="1358"/>
      <c r="BJN519" s="1358"/>
      <c r="BJO519" s="1358"/>
      <c r="BJP519" s="1358"/>
      <c r="BJQ519" s="1358"/>
      <c r="BJR519" s="1358"/>
      <c r="BJS519" s="1358"/>
      <c r="BJT519" s="1358"/>
      <c r="BJU519" s="1358"/>
      <c r="BJV519" s="1358"/>
      <c r="BJW519" s="1358"/>
      <c r="BJX519" s="1358"/>
      <c r="BJY519" s="1358"/>
      <c r="BJZ519" s="1358"/>
      <c r="BKA519" s="1358"/>
      <c r="BKB519" s="1358"/>
      <c r="BKC519" s="1358"/>
      <c r="BKD519" s="1358"/>
      <c r="BKE519" s="1358"/>
      <c r="BKF519" s="1358"/>
      <c r="BKG519" s="1358"/>
      <c r="BKH519" s="1358"/>
      <c r="BKI519" s="1358"/>
      <c r="BKJ519" s="1358"/>
      <c r="BKK519" s="1358"/>
      <c r="BKL519" s="1358"/>
      <c r="BKM519" s="1358"/>
      <c r="BKN519" s="1358"/>
      <c r="BKO519" s="1358"/>
      <c r="BKP519" s="1358"/>
      <c r="BKQ519" s="1358"/>
      <c r="BKR519" s="1358"/>
      <c r="BKS519" s="1358"/>
      <c r="BKT519" s="1358"/>
      <c r="BKU519" s="1358"/>
      <c r="BKV519" s="1358"/>
      <c r="BKW519" s="1358"/>
      <c r="BKX519" s="1358"/>
      <c r="BKY519" s="1358"/>
      <c r="BKZ519" s="1358"/>
      <c r="BLA519" s="1358"/>
      <c r="BLB519" s="1358"/>
      <c r="BLC519" s="1358"/>
      <c r="BLD519" s="1358"/>
      <c r="BLE519" s="1358"/>
      <c r="BLF519" s="1358"/>
      <c r="BLG519" s="1358"/>
      <c r="BLH519" s="1358"/>
      <c r="BLI519" s="1358"/>
      <c r="BLJ519" s="1358"/>
      <c r="BLK519" s="1358"/>
      <c r="BLL519" s="1358"/>
      <c r="BLM519" s="1358"/>
      <c r="BLN519" s="1358"/>
      <c r="BLO519" s="1358"/>
      <c r="BLP519" s="1358"/>
      <c r="BLQ519" s="1358"/>
      <c r="BLR519" s="1358"/>
      <c r="BLS519" s="1358"/>
      <c r="BLT519" s="1358"/>
      <c r="BLU519" s="1358"/>
      <c r="BLV519" s="1358"/>
      <c r="BLW519" s="1358"/>
      <c r="BLX519" s="1358"/>
      <c r="BLY519" s="1358"/>
      <c r="BLZ519" s="1358"/>
      <c r="BMA519" s="1358"/>
      <c r="BMB519" s="1358"/>
      <c r="BMC519" s="1358"/>
      <c r="BMD519" s="1358"/>
      <c r="BME519" s="1358"/>
      <c r="BMF519" s="1358"/>
      <c r="BMG519" s="1358"/>
      <c r="BMH519" s="1358"/>
      <c r="BMI519" s="1358"/>
      <c r="BMJ519" s="1358"/>
      <c r="BMK519" s="1358"/>
      <c r="BML519" s="1358"/>
      <c r="BMM519" s="1358"/>
      <c r="BMN519" s="1358"/>
      <c r="BMO519" s="1358"/>
      <c r="BMP519" s="1358"/>
      <c r="BMQ519" s="1358"/>
      <c r="BMR519" s="1358"/>
      <c r="BMS519" s="1358"/>
      <c r="BMT519" s="1358"/>
      <c r="BMU519" s="1358"/>
      <c r="BMV519" s="1358"/>
      <c r="BMW519" s="1358"/>
      <c r="BMX519" s="1358"/>
      <c r="BMY519" s="1358"/>
      <c r="BMZ519" s="1358"/>
      <c r="BNA519" s="1358"/>
      <c r="BNB519" s="1358"/>
      <c r="BNC519" s="1358"/>
      <c r="BND519" s="1358"/>
      <c r="BNE519" s="1358"/>
      <c r="BNF519" s="1358"/>
      <c r="BNG519" s="1358"/>
      <c r="BNH519" s="1358"/>
      <c r="BNI519" s="1358"/>
      <c r="BNJ519" s="1358"/>
      <c r="BNK519" s="1358"/>
      <c r="BNL519" s="1358"/>
      <c r="BNM519" s="1358"/>
      <c r="BNN519" s="1358"/>
      <c r="BNO519" s="1358"/>
      <c r="BNP519" s="1358"/>
      <c r="BNQ519" s="1358"/>
      <c r="BNR519" s="1358"/>
      <c r="BNS519" s="1358"/>
      <c r="BNT519" s="1358"/>
      <c r="BNU519" s="1358"/>
      <c r="BNV519" s="1358"/>
      <c r="BNW519" s="1358"/>
      <c r="BNX519" s="1358"/>
      <c r="BNY519" s="1358"/>
      <c r="BNZ519" s="1358"/>
      <c r="BOA519" s="1358"/>
      <c r="BOB519" s="1358"/>
      <c r="BOC519" s="1358"/>
      <c r="BOD519" s="1358"/>
      <c r="BOE519" s="1358"/>
      <c r="BOF519" s="1358"/>
      <c r="BOG519" s="1358"/>
      <c r="BOH519" s="1358"/>
      <c r="BOI519" s="1358"/>
      <c r="BOJ519" s="1358"/>
      <c r="BOK519" s="1358"/>
      <c r="BOL519" s="1358"/>
      <c r="BOM519" s="1358"/>
      <c r="BON519" s="1358"/>
      <c r="BOO519" s="1358"/>
      <c r="BOP519" s="1358"/>
      <c r="BOQ519" s="1358"/>
      <c r="BOR519" s="1358"/>
      <c r="BOS519" s="1358"/>
      <c r="BOT519" s="1358"/>
      <c r="BOU519" s="1358"/>
      <c r="BOV519" s="1358"/>
      <c r="BOW519" s="1358"/>
      <c r="BOX519" s="1358"/>
      <c r="BOY519" s="1358"/>
      <c r="BOZ519" s="1358"/>
      <c r="BPA519" s="1358"/>
      <c r="BPB519" s="1358"/>
      <c r="BPC519" s="1358"/>
      <c r="BPD519" s="1358"/>
      <c r="BPE519" s="1358"/>
      <c r="BPF519" s="1358"/>
      <c r="BPG519" s="1358"/>
      <c r="BPH519" s="1358"/>
      <c r="BPI519" s="1358"/>
      <c r="BPJ519" s="1358"/>
      <c r="BPK519" s="1358"/>
      <c r="BPL519" s="1358"/>
      <c r="BPM519" s="1358"/>
      <c r="BPN519" s="1358"/>
      <c r="BPO519" s="1358"/>
      <c r="BPP519" s="1358"/>
      <c r="BPQ519" s="1358"/>
      <c r="BPR519" s="1358"/>
      <c r="BPS519" s="1358"/>
      <c r="BPT519" s="1358"/>
      <c r="BPU519" s="1358"/>
      <c r="BPV519" s="1358"/>
      <c r="BPW519" s="1358"/>
      <c r="BPX519" s="1358"/>
      <c r="BPY519" s="1358"/>
      <c r="BPZ519" s="1358"/>
      <c r="BQA519" s="1358"/>
      <c r="BQB519" s="1358"/>
      <c r="BQC519" s="1358"/>
      <c r="BQD519" s="1358"/>
      <c r="BQE519" s="1358"/>
      <c r="BQF519" s="1358"/>
      <c r="BQG519" s="1358"/>
      <c r="BQH519" s="1358"/>
      <c r="BQI519" s="1358"/>
      <c r="BQJ519" s="1358"/>
      <c r="BQK519" s="1358"/>
      <c r="BQL519" s="1358"/>
      <c r="BQM519" s="1358"/>
      <c r="BQN519" s="1358"/>
      <c r="BQO519" s="1358"/>
      <c r="BQP519" s="1358"/>
      <c r="BQQ519" s="1358"/>
      <c r="BQR519" s="1358"/>
      <c r="BQS519" s="1358"/>
      <c r="BQT519" s="1358"/>
      <c r="BQU519" s="1358"/>
      <c r="BQV519" s="1358"/>
      <c r="BQW519" s="1358"/>
      <c r="BQX519" s="1358"/>
      <c r="BQY519" s="1358"/>
      <c r="BQZ519" s="1358"/>
      <c r="BRA519" s="1358"/>
      <c r="BRB519" s="1358"/>
      <c r="BRC519" s="1358"/>
      <c r="BRD519" s="1358"/>
      <c r="BRE519" s="1358"/>
      <c r="BRF519" s="1358"/>
      <c r="BRG519" s="1358"/>
      <c r="BRH519" s="1358"/>
      <c r="BRI519" s="1358"/>
      <c r="BRJ519" s="1358"/>
      <c r="BRK519" s="1358"/>
      <c r="BRL519" s="1358"/>
      <c r="BRM519" s="1358"/>
      <c r="BRN519" s="1358"/>
      <c r="BRO519" s="1358"/>
      <c r="BRP519" s="1358"/>
      <c r="BRQ519" s="1358"/>
      <c r="BRR519" s="1358"/>
      <c r="BRS519" s="1358"/>
      <c r="BRT519" s="1358"/>
      <c r="BRU519" s="1358"/>
      <c r="BRV519" s="1358"/>
      <c r="BRW519" s="1358"/>
      <c r="BRX519" s="1358"/>
      <c r="BRY519" s="1358"/>
      <c r="BRZ519" s="1358"/>
      <c r="BSA519" s="1358"/>
      <c r="BSB519" s="1358"/>
      <c r="BSC519" s="1358"/>
      <c r="BSD519" s="1358"/>
      <c r="BSE519" s="1358"/>
      <c r="BSF519" s="1358"/>
      <c r="BSG519" s="1358"/>
      <c r="BSH519" s="1358"/>
      <c r="BSI519" s="1358"/>
      <c r="BSJ519" s="1358"/>
      <c r="BSK519" s="1358"/>
      <c r="BSL519" s="1358"/>
      <c r="BSM519" s="1358"/>
      <c r="BSN519" s="1358"/>
      <c r="BSO519" s="1358"/>
      <c r="BSP519" s="1358"/>
      <c r="BSQ519" s="1358"/>
      <c r="BSR519" s="1358"/>
      <c r="BSS519" s="1358"/>
      <c r="BST519" s="1358"/>
      <c r="BSU519" s="1358"/>
      <c r="BSV519" s="1358"/>
      <c r="BSW519" s="1358"/>
      <c r="BSX519" s="1358"/>
      <c r="BSY519" s="1358"/>
      <c r="BSZ519" s="1358"/>
      <c r="BTA519" s="1358"/>
      <c r="BTB519" s="1358"/>
      <c r="BTC519" s="1358"/>
      <c r="BTD519" s="1358"/>
      <c r="BTE519" s="1358"/>
      <c r="BTF519" s="1358"/>
      <c r="BTG519" s="1358"/>
      <c r="BTH519" s="1358"/>
      <c r="BTI519" s="1358"/>
      <c r="BTJ519" s="1358"/>
      <c r="BTK519" s="1358"/>
      <c r="BTL519" s="1358"/>
      <c r="BTM519" s="1358"/>
      <c r="BTN519" s="1358"/>
      <c r="BTO519" s="1358"/>
      <c r="BTP519" s="1358"/>
      <c r="BTQ519" s="1358"/>
      <c r="BTR519" s="1358"/>
      <c r="BTS519" s="1358"/>
      <c r="BTT519" s="1358"/>
      <c r="BTU519" s="1358"/>
      <c r="BTV519" s="1358"/>
      <c r="BTW519" s="1358"/>
      <c r="BTX519" s="1358"/>
      <c r="BTY519" s="1358"/>
      <c r="BTZ519" s="1358"/>
      <c r="BUA519" s="1358"/>
      <c r="BUB519" s="1358"/>
      <c r="BUC519" s="1358"/>
      <c r="BUD519" s="1358"/>
      <c r="BUE519" s="1358"/>
      <c r="BUF519" s="1358"/>
      <c r="BUG519" s="1358"/>
      <c r="BUH519" s="1358"/>
      <c r="BUI519" s="1358"/>
      <c r="BUJ519" s="1358"/>
      <c r="BUK519" s="1358"/>
      <c r="BUL519" s="1358"/>
      <c r="BUM519" s="1358"/>
      <c r="BUN519" s="1358"/>
      <c r="BUO519" s="1358"/>
      <c r="BUP519" s="1358"/>
      <c r="BUQ519" s="1358"/>
      <c r="BUR519" s="1358"/>
      <c r="BUS519" s="1358"/>
      <c r="BUT519" s="1358"/>
      <c r="BUU519" s="1358"/>
      <c r="BUV519" s="1358"/>
      <c r="BUW519" s="1358"/>
      <c r="BUX519" s="1358"/>
      <c r="BUY519" s="1358"/>
      <c r="BUZ519" s="1358"/>
      <c r="BVA519" s="1358"/>
      <c r="BVB519" s="1358"/>
      <c r="BVC519" s="1358"/>
      <c r="BVD519" s="1358"/>
      <c r="BVE519" s="1358"/>
      <c r="BVF519" s="1358"/>
      <c r="BVG519" s="1358"/>
      <c r="BVH519" s="1358"/>
      <c r="BVI519" s="1358"/>
      <c r="BVJ519" s="1358"/>
      <c r="BVK519" s="1358"/>
      <c r="BVL519" s="1358"/>
      <c r="BVM519" s="1358"/>
      <c r="BVN519" s="1358"/>
      <c r="BVO519" s="1358"/>
      <c r="BVP519" s="1358"/>
      <c r="BVQ519" s="1358"/>
      <c r="BVR519" s="1358"/>
      <c r="BVS519" s="1358"/>
      <c r="BVT519" s="1358"/>
      <c r="BVU519" s="1358"/>
      <c r="BVV519" s="1358"/>
      <c r="BVW519" s="1358"/>
      <c r="BVX519" s="1358"/>
      <c r="BVY519" s="1358"/>
      <c r="BVZ519" s="1358"/>
      <c r="BWA519" s="1358"/>
      <c r="BWB519" s="1358"/>
      <c r="BWC519" s="1358"/>
      <c r="BWD519" s="1358"/>
      <c r="BWE519" s="1358"/>
      <c r="BWF519" s="1358"/>
      <c r="BWG519" s="1358"/>
      <c r="BWH519" s="1358"/>
      <c r="BWI519" s="1358"/>
      <c r="BWJ519" s="1358"/>
      <c r="BWK519" s="1358"/>
      <c r="BWL519" s="1358"/>
      <c r="BWM519" s="1358"/>
      <c r="BWN519" s="1358"/>
      <c r="BWO519" s="1358"/>
      <c r="BWP519" s="1358"/>
      <c r="BWQ519" s="1358"/>
      <c r="BWR519" s="1358"/>
      <c r="BWS519" s="1358"/>
      <c r="BWT519" s="1358"/>
      <c r="BWU519" s="1358"/>
      <c r="BWV519" s="1358"/>
      <c r="BWW519" s="1358"/>
      <c r="BWX519" s="1358"/>
      <c r="BWY519" s="1358"/>
      <c r="BWZ519" s="1358"/>
      <c r="BXA519" s="1358"/>
      <c r="BXB519" s="1358"/>
      <c r="BXC519" s="1358"/>
      <c r="BXD519" s="1358"/>
      <c r="BXE519" s="1358"/>
      <c r="BXF519" s="1358"/>
      <c r="BXG519" s="1358"/>
      <c r="BXH519" s="1358"/>
      <c r="BXI519" s="1358"/>
      <c r="BXJ519" s="1358"/>
      <c r="BXK519" s="1358"/>
      <c r="BXL519" s="1358"/>
      <c r="BXM519" s="1358"/>
      <c r="BXN519" s="1358"/>
      <c r="BXO519" s="1358"/>
      <c r="BXP519" s="1358"/>
      <c r="BXQ519" s="1358"/>
      <c r="BXR519" s="1358"/>
      <c r="BXS519" s="1358"/>
      <c r="BXT519" s="1358"/>
      <c r="BXU519" s="1358"/>
      <c r="BXV519" s="1358"/>
      <c r="BXW519" s="1358"/>
      <c r="BXX519" s="1358"/>
      <c r="BXY519" s="1358"/>
      <c r="BXZ519" s="1358"/>
      <c r="BYA519" s="1358"/>
      <c r="BYB519" s="1358"/>
      <c r="BYC519" s="1358"/>
      <c r="BYD519" s="1358"/>
      <c r="BYE519" s="1358"/>
      <c r="BYF519" s="1358"/>
      <c r="BYG519" s="1358"/>
      <c r="BYH519" s="1358"/>
      <c r="BYI519" s="1358"/>
      <c r="BYJ519" s="1358"/>
      <c r="BYK519" s="1358"/>
      <c r="BYL519" s="1358"/>
      <c r="BYM519" s="1358"/>
      <c r="BYN519" s="1358"/>
      <c r="BYO519" s="1358"/>
      <c r="BYP519" s="1358"/>
      <c r="BYQ519" s="1358"/>
      <c r="BYR519" s="1358"/>
      <c r="BYS519" s="1358"/>
      <c r="BYT519" s="1358"/>
      <c r="BYU519" s="1358"/>
      <c r="BYV519" s="1358"/>
      <c r="BYW519" s="1358"/>
      <c r="BYX519" s="1358"/>
      <c r="BYY519" s="1358"/>
      <c r="BYZ519" s="1358"/>
      <c r="BZA519" s="1358"/>
      <c r="BZB519" s="1358"/>
      <c r="BZC519" s="1358"/>
      <c r="BZD519" s="1358"/>
      <c r="BZE519" s="1358"/>
      <c r="BZF519" s="1358"/>
      <c r="BZG519" s="1358"/>
      <c r="BZH519" s="1358"/>
      <c r="BZI519" s="1358"/>
      <c r="BZJ519" s="1358"/>
      <c r="BZK519" s="1358"/>
      <c r="BZL519" s="1358"/>
      <c r="BZM519" s="1358"/>
      <c r="BZN519" s="1358"/>
      <c r="BZO519" s="1358"/>
      <c r="BZP519" s="1358"/>
      <c r="BZQ519" s="1358"/>
      <c r="BZR519" s="1358"/>
      <c r="BZS519" s="1358"/>
      <c r="BZT519" s="1358"/>
      <c r="BZU519" s="1358"/>
      <c r="BZV519" s="1358"/>
      <c r="BZW519" s="1358"/>
      <c r="BZX519" s="1358"/>
      <c r="BZY519" s="1358"/>
      <c r="BZZ519" s="1358"/>
      <c r="CAA519" s="1358"/>
      <c r="CAB519" s="1358"/>
      <c r="CAC519" s="1358"/>
      <c r="CAD519" s="1358"/>
      <c r="CAE519" s="1358"/>
      <c r="CAF519" s="1358"/>
      <c r="CAG519" s="1358"/>
      <c r="CAH519" s="1358"/>
      <c r="CAI519" s="1358"/>
      <c r="CAJ519" s="1358"/>
      <c r="CAK519" s="1358"/>
      <c r="CAL519" s="1358"/>
      <c r="CAM519" s="1358"/>
      <c r="CAN519" s="1358"/>
      <c r="CAO519" s="1358"/>
      <c r="CAP519" s="1358"/>
      <c r="CAQ519" s="1358"/>
      <c r="CAR519" s="1358"/>
      <c r="CAS519" s="1358"/>
      <c r="CAT519" s="1358"/>
      <c r="CAU519" s="1358"/>
      <c r="CAV519" s="1358"/>
      <c r="CAW519" s="1358"/>
      <c r="CAX519" s="1358"/>
      <c r="CAY519" s="1358"/>
      <c r="CAZ519" s="1358"/>
      <c r="CBA519" s="1358"/>
      <c r="CBB519" s="1358"/>
      <c r="CBC519" s="1358"/>
      <c r="CBD519" s="1358"/>
      <c r="CBE519" s="1358"/>
      <c r="CBF519" s="1358"/>
      <c r="CBG519" s="1358"/>
      <c r="CBH519" s="1358"/>
      <c r="CBI519" s="1358"/>
      <c r="CBJ519" s="1358"/>
      <c r="CBK519" s="1358"/>
      <c r="CBL519" s="1358"/>
      <c r="CBM519" s="1358"/>
      <c r="CBN519" s="1358"/>
      <c r="CBO519" s="1358"/>
      <c r="CBP519" s="1358"/>
      <c r="CBQ519" s="1358"/>
      <c r="CBR519" s="1358"/>
      <c r="CBS519" s="1358"/>
      <c r="CBT519" s="1358"/>
      <c r="CBU519" s="1358"/>
      <c r="CBV519" s="1358"/>
      <c r="CBW519" s="1358"/>
      <c r="CBX519" s="1358"/>
      <c r="CBY519" s="1358"/>
      <c r="CBZ519" s="1358"/>
      <c r="CCA519" s="1358"/>
      <c r="CCB519" s="1358"/>
      <c r="CCC519" s="1358"/>
      <c r="CCD519" s="1358"/>
      <c r="CCE519" s="1358"/>
      <c r="CCF519" s="1358"/>
      <c r="CCG519" s="1358"/>
      <c r="CCH519" s="1358"/>
      <c r="CCI519" s="1358"/>
      <c r="CCJ519" s="1358"/>
      <c r="CCK519" s="1358"/>
      <c r="CCL519" s="1358"/>
      <c r="CCM519" s="1358"/>
      <c r="CCN519" s="1358"/>
      <c r="CCO519" s="1358"/>
      <c r="CCP519" s="1358"/>
      <c r="CCQ519" s="1358"/>
      <c r="CCR519" s="1358"/>
      <c r="CCS519" s="1358"/>
      <c r="CCT519" s="1358"/>
      <c r="CCU519" s="1358"/>
      <c r="CCV519" s="1358"/>
      <c r="CCW519" s="1358"/>
      <c r="CCX519" s="1358"/>
      <c r="CCY519" s="1358"/>
      <c r="CCZ519" s="1358"/>
      <c r="CDA519" s="1358"/>
      <c r="CDB519" s="1358"/>
      <c r="CDC519" s="1358"/>
      <c r="CDD519" s="1358"/>
      <c r="CDE519" s="1358"/>
      <c r="CDF519" s="1358"/>
      <c r="CDG519" s="1358"/>
      <c r="CDH519" s="1358"/>
      <c r="CDI519" s="1358"/>
      <c r="CDJ519" s="1358"/>
      <c r="CDK519" s="1358"/>
      <c r="CDL519" s="1358"/>
      <c r="CDM519" s="1358"/>
      <c r="CDN519" s="1358"/>
      <c r="CDO519" s="1358"/>
      <c r="CDP519" s="1358"/>
      <c r="CDQ519" s="1358"/>
      <c r="CDR519" s="1358"/>
      <c r="CDS519" s="1358"/>
      <c r="CDT519" s="1358"/>
      <c r="CDU519" s="1358"/>
      <c r="CDV519" s="1358"/>
      <c r="CDW519" s="1358"/>
      <c r="CDX519" s="1358"/>
      <c r="CDY519" s="1358"/>
      <c r="CDZ519" s="1358"/>
      <c r="CEA519" s="1358"/>
      <c r="CEB519" s="1358"/>
      <c r="CEC519" s="1358"/>
      <c r="CED519" s="1358"/>
      <c r="CEE519" s="1358"/>
      <c r="CEF519" s="1358"/>
      <c r="CEG519" s="1358"/>
      <c r="CEH519" s="1358"/>
      <c r="CEI519" s="1358"/>
      <c r="CEJ519" s="1358"/>
      <c r="CEK519" s="1358"/>
      <c r="CEL519" s="1358"/>
      <c r="CEM519" s="1358"/>
      <c r="CEN519" s="1358"/>
      <c r="CEO519" s="1358"/>
      <c r="CEP519" s="1358"/>
      <c r="CEQ519" s="1358"/>
      <c r="CER519" s="1358"/>
      <c r="CES519" s="1358"/>
      <c r="CET519" s="1358"/>
      <c r="CEU519" s="1358"/>
      <c r="CEV519" s="1358"/>
      <c r="CEW519" s="1358"/>
      <c r="CEX519" s="1358"/>
      <c r="CEY519" s="1358"/>
      <c r="CEZ519" s="1358"/>
      <c r="CFA519" s="1358"/>
      <c r="CFB519" s="1358"/>
      <c r="CFC519" s="1358"/>
      <c r="CFD519" s="1358"/>
      <c r="CFE519" s="1358"/>
      <c r="CFF519" s="1358"/>
      <c r="CFG519" s="1358"/>
      <c r="CFH519" s="1358"/>
      <c r="CFI519" s="1358"/>
      <c r="CFJ519" s="1358"/>
      <c r="CFK519" s="1358"/>
      <c r="CFL519" s="1358"/>
      <c r="CFM519" s="1358"/>
      <c r="CFN519" s="1358"/>
      <c r="CFO519" s="1358"/>
      <c r="CFP519" s="1358"/>
      <c r="CFQ519" s="1358"/>
      <c r="CFR519" s="1358"/>
      <c r="CFS519" s="1358"/>
      <c r="CFT519" s="1358"/>
      <c r="CFU519" s="1358"/>
      <c r="CFV519" s="1358"/>
      <c r="CFW519" s="1358"/>
      <c r="CFX519" s="1358"/>
      <c r="CFY519" s="1358"/>
      <c r="CFZ519" s="1358"/>
      <c r="CGA519" s="1358"/>
      <c r="CGB519" s="1358"/>
      <c r="CGC519" s="1358"/>
      <c r="CGD519" s="1358"/>
      <c r="CGE519" s="1358"/>
      <c r="CGF519" s="1358"/>
      <c r="CGG519" s="1358"/>
      <c r="CGH519" s="1358"/>
      <c r="CGI519" s="1358"/>
      <c r="CGJ519" s="1358"/>
      <c r="CGK519" s="1358"/>
      <c r="CGL519" s="1358"/>
      <c r="CGM519" s="1358"/>
      <c r="CGN519" s="1358"/>
      <c r="CGO519" s="1358"/>
      <c r="CGP519" s="1358"/>
      <c r="CGQ519" s="1358"/>
      <c r="CGR519" s="1358"/>
      <c r="CGS519" s="1358"/>
      <c r="CGT519" s="1358"/>
      <c r="CGU519" s="1358"/>
      <c r="CGV519" s="1358"/>
      <c r="CGW519" s="1358"/>
      <c r="CGX519" s="1358"/>
      <c r="CGY519" s="1358"/>
      <c r="CGZ519" s="1358"/>
      <c r="CHA519" s="1358"/>
      <c r="CHB519" s="1358"/>
      <c r="CHC519" s="1358"/>
      <c r="CHD519" s="1358"/>
      <c r="CHE519" s="1358"/>
      <c r="CHF519" s="1358"/>
      <c r="CHG519" s="1358"/>
      <c r="CHH519" s="1358"/>
      <c r="CHI519" s="1358"/>
      <c r="CHJ519" s="1358"/>
      <c r="CHK519" s="1358"/>
      <c r="CHL519" s="1358"/>
      <c r="CHM519" s="1358"/>
      <c r="CHN519" s="1358"/>
      <c r="CHO519" s="1358"/>
      <c r="CHP519" s="1358"/>
      <c r="CHQ519" s="1358"/>
      <c r="CHR519" s="1358"/>
      <c r="CHS519" s="1358"/>
      <c r="CHT519" s="1358"/>
      <c r="CHU519" s="1358"/>
      <c r="CHV519" s="1358"/>
      <c r="CHW519" s="1358"/>
      <c r="CHX519" s="1358"/>
      <c r="CHY519" s="1358"/>
      <c r="CHZ519" s="1358"/>
      <c r="CIA519" s="1358"/>
      <c r="CIB519" s="1358"/>
      <c r="CIC519" s="1358"/>
      <c r="CID519" s="1358"/>
      <c r="CIE519" s="1358"/>
      <c r="CIF519" s="1358"/>
      <c r="CIG519" s="1358"/>
      <c r="CIH519" s="1358"/>
      <c r="CII519" s="1358"/>
      <c r="CIJ519" s="1358"/>
      <c r="CIK519" s="1358"/>
      <c r="CIL519" s="1358"/>
      <c r="CIM519" s="1358"/>
      <c r="CIN519" s="1358"/>
      <c r="CIO519" s="1358"/>
      <c r="CIP519" s="1358"/>
      <c r="CIQ519" s="1358"/>
      <c r="CIR519" s="1358"/>
      <c r="CIS519" s="1358"/>
      <c r="CIT519" s="1358"/>
      <c r="CIU519" s="1358"/>
      <c r="CIV519" s="1358"/>
      <c r="CIW519" s="1358"/>
      <c r="CIX519" s="1358"/>
      <c r="CIY519" s="1358"/>
      <c r="CIZ519" s="1358"/>
      <c r="CJA519" s="1358"/>
      <c r="CJB519" s="1358"/>
      <c r="CJC519" s="1358"/>
      <c r="CJD519" s="1358"/>
      <c r="CJE519" s="1358"/>
      <c r="CJF519" s="1358"/>
      <c r="CJG519" s="1358"/>
      <c r="CJH519" s="1358"/>
      <c r="CJI519" s="1358"/>
      <c r="CJJ519" s="1358"/>
      <c r="CJK519" s="1358"/>
      <c r="CJL519" s="1358"/>
      <c r="CJM519" s="1358"/>
      <c r="CJN519" s="1358"/>
      <c r="CJO519" s="1358"/>
      <c r="CJP519" s="1358"/>
      <c r="CJQ519" s="1358"/>
      <c r="CJR519" s="1358"/>
      <c r="CJS519" s="1358"/>
      <c r="CJT519" s="1358"/>
      <c r="CJU519" s="1358"/>
      <c r="CJV519" s="1358"/>
      <c r="CJW519" s="1358"/>
      <c r="CJX519" s="1358"/>
      <c r="CJY519" s="1358"/>
      <c r="CJZ519" s="1358"/>
      <c r="CKA519" s="1358"/>
      <c r="CKB519" s="1358"/>
      <c r="CKC519" s="1358"/>
      <c r="CKD519" s="1358"/>
      <c r="CKE519" s="1358"/>
      <c r="CKF519" s="1358"/>
      <c r="CKG519" s="1358"/>
      <c r="CKH519" s="1358"/>
      <c r="CKI519" s="1358"/>
      <c r="CKJ519" s="1358"/>
      <c r="CKK519" s="1358"/>
      <c r="CKL519" s="1358"/>
      <c r="CKM519" s="1358"/>
      <c r="CKN519" s="1358"/>
      <c r="CKO519" s="1358"/>
      <c r="CKP519" s="1358"/>
      <c r="CKQ519" s="1358"/>
      <c r="CKR519" s="1358"/>
      <c r="CKS519" s="1358"/>
      <c r="CKT519" s="1358"/>
      <c r="CKU519" s="1358"/>
      <c r="CKV519" s="1358"/>
      <c r="CKW519" s="1358"/>
      <c r="CKX519" s="1358"/>
      <c r="CKY519" s="1358"/>
      <c r="CKZ519" s="1358"/>
      <c r="CLA519" s="1358"/>
      <c r="CLB519" s="1358"/>
      <c r="CLC519" s="1358"/>
      <c r="CLD519" s="1358"/>
      <c r="CLE519" s="1358"/>
      <c r="CLF519" s="1358"/>
      <c r="CLG519" s="1358"/>
      <c r="CLH519" s="1358"/>
      <c r="CLI519" s="1358"/>
      <c r="CLJ519" s="1358"/>
      <c r="CLK519" s="1358"/>
      <c r="CLL519" s="1358"/>
      <c r="CLM519" s="1358"/>
      <c r="CLN519" s="1358"/>
      <c r="CLO519" s="1358"/>
      <c r="CLP519" s="1358"/>
      <c r="CLQ519" s="1358"/>
      <c r="CLR519" s="1358"/>
      <c r="CLS519" s="1358"/>
      <c r="CLT519" s="1358"/>
      <c r="CLU519" s="1358"/>
      <c r="CLV519" s="1358"/>
      <c r="CLW519" s="1358"/>
      <c r="CLX519" s="1358"/>
      <c r="CLY519" s="1358"/>
      <c r="CLZ519" s="1358"/>
      <c r="CMA519" s="1358"/>
      <c r="CMB519" s="1358"/>
      <c r="CMC519" s="1358"/>
      <c r="CMD519" s="1358"/>
      <c r="CME519" s="1358"/>
      <c r="CMF519" s="1358"/>
      <c r="CMG519" s="1358"/>
      <c r="CMH519" s="1358"/>
      <c r="CMI519" s="1358"/>
      <c r="CMJ519" s="1358"/>
      <c r="CMK519" s="1358"/>
      <c r="CML519" s="1358"/>
      <c r="CMM519" s="1358"/>
      <c r="CMN519" s="1358"/>
      <c r="CMO519" s="1358"/>
      <c r="CMP519" s="1358"/>
      <c r="CMQ519" s="1358"/>
      <c r="CMR519" s="1358"/>
      <c r="CMS519" s="1358"/>
      <c r="CMT519" s="1358"/>
      <c r="CMU519" s="1358"/>
      <c r="CMV519" s="1358"/>
      <c r="CMW519" s="1358"/>
      <c r="CMX519" s="1358"/>
      <c r="CMY519" s="1358"/>
      <c r="CMZ519" s="1358"/>
      <c r="CNA519" s="1358"/>
      <c r="CNB519" s="1358"/>
      <c r="CNC519" s="1358"/>
      <c r="CND519" s="1358"/>
      <c r="CNE519" s="1358"/>
      <c r="CNF519" s="1358"/>
      <c r="CNG519" s="1358"/>
      <c r="CNH519" s="1358"/>
      <c r="CNI519" s="1358"/>
      <c r="CNJ519" s="1358"/>
      <c r="CNK519" s="1358"/>
      <c r="CNL519" s="1358"/>
      <c r="CNM519" s="1358"/>
      <c r="CNN519" s="1358"/>
      <c r="CNO519" s="1358"/>
      <c r="CNP519" s="1358"/>
      <c r="CNQ519" s="1358"/>
      <c r="CNR519" s="1358"/>
      <c r="CNS519" s="1358"/>
      <c r="CNT519" s="1358"/>
      <c r="CNU519" s="1358"/>
      <c r="CNV519" s="1358"/>
      <c r="CNW519" s="1358"/>
      <c r="CNX519" s="1358"/>
      <c r="CNY519" s="1358"/>
      <c r="CNZ519" s="1358"/>
      <c r="COA519" s="1358"/>
      <c r="COB519" s="1358"/>
      <c r="COC519" s="1358"/>
      <c r="COD519" s="1358"/>
      <c r="COE519" s="1358"/>
      <c r="COF519" s="1358"/>
      <c r="COG519" s="1358"/>
      <c r="COH519" s="1358"/>
      <c r="COI519" s="1358"/>
      <c r="COJ519" s="1358"/>
      <c r="COK519" s="1358"/>
      <c r="COL519" s="1358"/>
      <c r="COM519" s="1358"/>
      <c r="CON519" s="1358"/>
      <c r="COO519" s="1358"/>
      <c r="COP519" s="1358"/>
      <c r="COQ519" s="1358"/>
      <c r="COR519" s="1358"/>
      <c r="COS519" s="1358"/>
      <c r="COT519" s="1358"/>
      <c r="COU519" s="1358"/>
      <c r="COV519" s="1358"/>
      <c r="COW519" s="1358"/>
      <c r="COX519" s="1358"/>
      <c r="COY519" s="1358"/>
      <c r="COZ519" s="1358"/>
      <c r="CPA519" s="1358"/>
      <c r="CPB519" s="1358"/>
      <c r="CPC519" s="1358"/>
      <c r="CPD519" s="1358"/>
      <c r="CPE519" s="1358"/>
      <c r="CPF519" s="1358"/>
      <c r="CPG519" s="1358"/>
      <c r="CPH519" s="1358"/>
      <c r="CPI519" s="1358"/>
      <c r="CPJ519" s="1358"/>
      <c r="CPK519" s="1358"/>
      <c r="CPL519" s="1358"/>
      <c r="CPM519" s="1358"/>
      <c r="CPN519" s="1358"/>
      <c r="CPO519" s="1358"/>
      <c r="CPP519" s="1358"/>
      <c r="CPQ519" s="1358"/>
      <c r="CPR519" s="1358"/>
      <c r="CPS519" s="1358"/>
      <c r="CPT519" s="1358"/>
      <c r="CPU519" s="1358"/>
      <c r="CPV519" s="1358"/>
      <c r="CPW519" s="1358"/>
      <c r="CPX519" s="1358"/>
      <c r="CPY519" s="1358"/>
      <c r="CPZ519" s="1358"/>
      <c r="CQA519" s="1358"/>
      <c r="CQB519" s="1358"/>
      <c r="CQC519" s="1358"/>
      <c r="CQD519" s="1358"/>
      <c r="CQE519" s="1358"/>
      <c r="CQF519" s="1358"/>
      <c r="CQG519" s="1358"/>
      <c r="CQH519" s="1358"/>
      <c r="CQI519" s="1358"/>
      <c r="CQJ519" s="1358"/>
      <c r="CQK519" s="1358"/>
      <c r="CQL519" s="1358"/>
      <c r="CQM519" s="1358"/>
      <c r="CQN519" s="1358"/>
      <c r="CQO519" s="1358"/>
      <c r="CQP519" s="1358"/>
      <c r="CQQ519" s="1358"/>
      <c r="CQR519" s="1358"/>
      <c r="CQS519" s="1358"/>
      <c r="CQT519" s="1358"/>
      <c r="CQU519" s="1358"/>
      <c r="CQV519" s="1358"/>
      <c r="CQW519" s="1358"/>
      <c r="CQX519" s="1358"/>
      <c r="CQY519" s="1358"/>
      <c r="CQZ519" s="1358"/>
      <c r="CRA519" s="1358"/>
      <c r="CRB519" s="1358"/>
      <c r="CRC519" s="1358"/>
      <c r="CRD519" s="1358"/>
      <c r="CRE519" s="1358"/>
      <c r="CRF519" s="1358"/>
      <c r="CRG519" s="1358"/>
      <c r="CRH519" s="1358"/>
      <c r="CRI519" s="1358"/>
      <c r="CRJ519" s="1358"/>
      <c r="CRK519" s="1358"/>
      <c r="CRL519" s="1358"/>
      <c r="CRM519" s="1358"/>
      <c r="CRN519" s="1358"/>
      <c r="CRO519" s="1358"/>
      <c r="CRP519" s="1358"/>
      <c r="CRQ519" s="1358"/>
      <c r="CRR519" s="1358"/>
      <c r="CRS519" s="1358"/>
      <c r="CRT519" s="1358"/>
      <c r="CRU519" s="1358"/>
      <c r="CRV519" s="1358"/>
      <c r="CRW519" s="1358"/>
      <c r="CRX519" s="1358"/>
      <c r="CRY519" s="1358"/>
      <c r="CRZ519" s="1358"/>
      <c r="CSA519" s="1358"/>
      <c r="CSB519" s="1358"/>
      <c r="CSC519" s="1358"/>
      <c r="CSD519" s="1358"/>
      <c r="CSE519" s="1358"/>
      <c r="CSF519" s="1358"/>
      <c r="CSG519" s="1358"/>
      <c r="CSH519" s="1358"/>
      <c r="CSI519" s="1358"/>
      <c r="CSJ519" s="1358"/>
      <c r="CSK519" s="1358"/>
      <c r="CSL519" s="1358"/>
      <c r="CSM519" s="1358"/>
      <c r="CSN519" s="1358"/>
      <c r="CSO519" s="1358"/>
      <c r="CSP519" s="1358"/>
      <c r="CSQ519" s="1358"/>
      <c r="CSR519" s="1358"/>
      <c r="CSS519" s="1358"/>
      <c r="CST519" s="1358"/>
      <c r="CSU519" s="1358"/>
      <c r="CSV519" s="1358"/>
      <c r="CSW519" s="1358"/>
      <c r="CSX519" s="1358"/>
      <c r="CSY519" s="1358"/>
      <c r="CSZ519" s="1358"/>
      <c r="CTA519" s="1358"/>
      <c r="CTB519" s="1358"/>
      <c r="CTC519" s="1358"/>
      <c r="CTD519" s="1358"/>
      <c r="CTE519" s="1358"/>
      <c r="CTF519" s="1358"/>
      <c r="CTG519" s="1358"/>
      <c r="CTH519" s="1358"/>
      <c r="CTI519" s="1358"/>
      <c r="CTJ519" s="1358"/>
      <c r="CTK519" s="1358"/>
      <c r="CTL519" s="1358"/>
      <c r="CTM519" s="1358"/>
      <c r="CTN519" s="1358"/>
      <c r="CTO519" s="1358"/>
      <c r="CTP519" s="1358"/>
      <c r="CTQ519" s="1358"/>
      <c r="CTR519" s="1358"/>
      <c r="CTS519" s="1358"/>
      <c r="CTT519" s="1358"/>
      <c r="CTU519" s="1358"/>
      <c r="CTV519" s="1358"/>
      <c r="CTW519" s="1358"/>
      <c r="CTX519" s="1358"/>
      <c r="CTY519" s="1358"/>
      <c r="CTZ519" s="1358"/>
      <c r="CUA519" s="1358"/>
      <c r="CUB519" s="1358"/>
      <c r="CUC519" s="1358"/>
      <c r="CUD519" s="1358"/>
      <c r="CUE519" s="1358"/>
      <c r="CUF519" s="1358"/>
      <c r="CUG519" s="1358"/>
      <c r="CUH519" s="1358"/>
      <c r="CUI519" s="1358"/>
      <c r="CUJ519" s="1358"/>
      <c r="CUK519" s="1358"/>
      <c r="CUL519" s="1358"/>
      <c r="CUM519" s="1358"/>
      <c r="CUN519" s="1358"/>
      <c r="CUO519" s="1358"/>
      <c r="CUP519" s="1358"/>
      <c r="CUQ519" s="1358"/>
      <c r="CUR519" s="1358"/>
      <c r="CUS519" s="1358"/>
      <c r="CUT519" s="1358"/>
      <c r="CUU519" s="1358"/>
      <c r="CUV519" s="1358"/>
      <c r="CUW519" s="1358"/>
      <c r="CUX519" s="1358"/>
      <c r="CUY519" s="1358"/>
      <c r="CUZ519" s="1358"/>
      <c r="CVA519" s="1358"/>
      <c r="CVB519" s="1358"/>
      <c r="CVC519" s="1358"/>
      <c r="CVD519" s="1358"/>
      <c r="CVE519" s="1358"/>
      <c r="CVF519" s="1358"/>
      <c r="CVG519" s="1358"/>
      <c r="CVH519" s="1358"/>
      <c r="CVI519" s="1358"/>
      <c r="CVJ519" s="1358"/>
      <c r="CVK519" s="1358"/>
      <c r="CVL519" s="1358"/>
      <c r="CVM519" s="1358"/>
      <c r="CVN519" s="1358"/>
      <c r="CVO519" s="1358"/>
      <c r="CVP519" s="1358"/>
      <c r="CVQ519" s="1358"/>
      <c r="CVR519" s="1358"/>
      <c r="CVS519" s="1358"/>
      <c r="CVT519" s="1358"/>
      <c r="CVU519" s="1358"/>
      <c r="CVV519" s="1358"/>
      <c r="CVW519" s="1358"/>
      <c r="CVX519" s="1358"/>
      <c r="CVY519" s="1358"/>
      <c r="CVZ519" s="1358"/>
      <c r="CWA519" s="1358"/>
      <c r="CWB519" s="1358"/>
      <c r="CWC519" s="1358"/>
      <c r="CWD519" s="1358"/>
      <c r="CWE519" s="1358"/>
      <c r="CWF519" s="1358"/>
      <c r="CWG519" s="1358"/>
      <c r="CWH519" s="1358"/>
      <c r="CWI519" s="1358"/>
      <c r="CWJ519" s="1358"/>
      <c r="CWK519" s="1358"/>
      <c r="CWL519" s="1358"/>
      <c r="CWM519" s="1358"/>
      <c r="CWN519" s="1358"/>
      <c r="CWO519" s="1358"/>
      <c r="CWP519" s="1358"/>
      <c r="CWQ519" s="1358"/>
      <c r="CWR519" s="1358"/>
      <c r="CWS519" s="1358"/>
      <c r="CWT519" s="1358"/>
      <c r="CWU519" s="1358"/>
      <c r="CWV519" s="1358"/>
      <c r="CWW519" s="1358"/>
      <c r="CWX519" s="1358"/>
      <c r="CWY519" s="1358"/>
      <c r="CWZ519" s="1358"/>
      <c r="CXA519" s="1358"/>
      <c r="CXB519" s="1358"/>
      <c r="CXC519" s="1358"/>
      <c r="CXD519" s="1358"/>
      <c r="CXE519" s="1358"/>
      <c r="CXF519" s="1358"/>
      <c r="CXG519" s="1358"/>
      <c r="CXH519" s="1358"/>
      <c r="CXI519" s="1358"/>
      <c r="CXJ519" s="1358"/>
      <c r="CXK519" s="1358"/>
      <c r="CXL519" s="1358"/>
      <c r="CXM519" s="1358"/>
      <c r="CXN519" s="1358"/>
      <c r="CXO519" s="1358"/>
      <c r="CXP519" s="1358"/>
      <c r="CXQ519" s="1358"/>
      <c r="CXR519" s="1358"/>
      <c r="CXS519" s="1358"/>
      <c r="CXT519" s="1358"/>
      <c r="CXU519" s="1358"/>
      <c r="CXV519" s="1358"/>
      <c r="CXW519" s="1358"/>
      <c r="CXX519" s="1358"/>
      <c r="CXY519" s="1358"/>
      <c r="CXZ519" s="1358"/>
      <c r="CYA519" s="1358"/>
      <c r="CYB519" s="1358"/>
      <c r="CYC519" s="1358"/>
      <c r="CYD519" s="1358"/>
      <c r="CYE519" s="1358"/>
      <c r="CYF519" s="1358"/>
      <c r="CYG519" s="1358"/>
      <c r="CYH519" s="1358"/>
      <c r="CYI519" s="1358"/>
      <c r="CYJ519" s="1358"/>
      <c r="CYK519" s="1358"/>
      <c r="CYL519" s="1358"/>
      <c r="CYM519" s="1358"/>
      <c r="CYN519" s="1358"/>
      <c r="CYO519" s="1358"/>
      <c r="CYP519" s="1358"/>
      <c r="CYQ519" s="1358"/>
      <c r="CYR519" s="1358"/>
      <c r="CYS519" s="1358"/>
      <c r="CYT519" s="1358"/>
      <c r="CYU519" s="1358"/>
      <c r="CYV519" s="1358"/>
      <c r="CYW519" s="1358"/>
      <c r="CYX519" s="1358"/>
      <c r="CYY519" s="1358"/>
      <c r="CYZ519" s="1358"/>
      <c r="CZA519" s="1358"/>
      <c r="CZB519" s="1358"/>
      <c r="CZC519" s="1358"/>
      <c r="CZD519" s="1358"/>
      <c r="CZE519" s="1358"/>
      <c r="CZF519" s="1358"/>
      <c r="CZG519" s="1358"/>
      <c r="CZH519" s="1358"/>
      <c r="CZI519" s="1358"/>
      <c r="CZJ519" s="1358"/>
      <c r="CZK519" s="1358"/>
      <c r="CZL519" s="1358"/>
      <c r="CZM519" s="1358"/>
      <c r="CZN519" s="1358"/>
      <c r="CZO519" s="1358"/>
      <c r="CZP519" s="1358"/>
      <c r="CZQ519" s="1358"/>
      <c r="CZR519" s="1358"/>
      <c r="CZS519" s="1358"/>
      <c r="CZT519" s="1358"/>
      <c r="CZU519" s="1358"/>
      <c r="CZV519" s="1358"/>
      <c r="CZW519" s="1358"/>
      <c r="CZX519" s="1358"/>
      <c r="CZY519" s="1358"/>
      <c r="CZZ519" s="1358"/>
      <c r="DAA519" s="1358"/>
      <c r="DAB519" s="1358"/>
      <c r="DAC519" s="1358"/>
      <c r="DAD519" s="1358"/>
      <c r="DAE519" s="1358"/>
      <c r="DAF519" s="1358"/>
      <c r="DAG519" s="1358"/>
      <c r="DAH519" s="1358"/>
      <c r="DAI519" s="1358"/>
      <c r="DAJ519" s="1358"/>
      <c r="DAK519" s="1358"/>
      <c r="DAL519" s="1358"/>
      <c r="DAM519" s="1358"/>
      <c r="DAN519" s="1358"/>
      <c r="DAO519" s="1358"/>
      <c r="DAP519" s="1358"/>
      <c r="DAQ519" s="1358"/>
      <c r="DAR519" s="1358"/>
      <c r="DAS519" s="1358"/>
      <c r="DAT519" s="1358"/>
      <c r="DAU519" s="1358"/>
      <c r="DAV519" s="1358"/>
      <c r="DAW519" s="1358"/>
      <c r="DAX519" s="1358"/>
      <c r="DAY519" s="1358"/>
      <c r="DAZ519" s="1358"/>
      <c r="DBA519" s="1358"/>
      <c r="DBB519" s="1358"/>
      <c r="DBC519" s="1358"/>
      <c r="DBD519" s="1358"/>
      <c r="DBE519" s="1358"/>
      <c r="DBF519" s="1358"/>
      <c r="DBG519" s="1358"/>
      <c r="DBH519" s="1358"/>
      <c r="DBI519" s="1358"/>
      <c r="DBJ519" s="1358"/>
      <c r="DBK519" s="1358"/>
      <c r="DBL519" s="1358"/>
      <c r="DBM519" s="1358"/>
      <c r="DBN519" s="1358"/>
      <c r="DBO519" s="1358"/>
      <c r="DBP519" s="1358"/>
      <c r="DBQ519" s="1358"/>
      <c r="DBR519" s="1358"/>
      <c r="DBS519" s="1358"/>
      <c r="DBT519" s="1358"/>
      <c r="DBU519" s="1358"/>
      <c r="DBV519" s="1358"/>
      <c r="DBW519" s="1358"/>
      <c r="DBX519" s="1358"/>
      <c r="DBY519" s="1358"/>
      <c r="DBZ519" s="1358"/>
      <c r="DCA519" s="1358"/>
      <c r="DCB519" s="1358"/>
      <c r="DCC519" s="1358"/>
      <c r="DCD519" s="1358"/>
      <c r="DCE519" s="1358"/>
      <c r="DCF519" s="1358"/>
      <c r="DCG519" s="1358"/>
      <c r="DCH519" s="1358"/>
      <c r="DCI519" s="1358"/>
      <c r="DCJ519" s="1358"/>
      <c r="DCK519" s="1358"/>
      <c r="DCL519" s="1358"/>
      <c r="DCM519" s="1358"/>
      <c r="DCN519" s="1358"/>
      <c r="DCO519" s="1358"/>
      <c r="DCP519" s="1358"/>
      <c r="DCQ519" s="1358"/>
      <c r="DCR519" s="1358"/>
      <c r="DCS519" s="1358"/>
      <c r="DCT519" s="1358"/>
      <c r="DCU519" s="1358"/>
      <c r="DCV519" s="1358"/>
      <c r="DCW519" s="1358"/>
      <c r="DCX519" s="1358"/>
      <c r="DCY519" s="1358"/>
      <c r="DCZ519" s="1358"/>
      <c r="DDA519" s="1358"/>
      <c r="DDB519" s="1358"/>
      <c r="DDC519" s="1358"/>
      <c r="DDD519" s="1358"/>
      <c r="DDE519" s="1358"/>
      <c r="DDF519" s="1358"/>
      <c r="DDG519" s="1358"/>
      <c r="DDH519" s="1358"/>
      <c r="DDI519" s="1358"/>
      <c r="DDJ519" s="1358"/>
      <c r="DDK519" s="1358"/>
      <c r="DDL519" s="1358"/>
      <c r="DDM519" s="1358"/>
      <c r="DDN519" s="1358"/>
      <c r="DDO519" s="1358"/>
      <c r="DDP519" s="1358"/>
      <c r="DDQ519" s="1358"/>
      <c r="DDR519" s="1358"/>
      <c r="DDS519" s="1358"/>
      <c r="DDT519" s="1358"/>
      <c r="DDU519" s="1358"/>
      <c r="DDV519" s="1358"/>
      <c r="DDW519" s="1358"/>
      <c r="DDX519" s="1358"/>
      <c r="DDY519" s="1358"/>
      <c r="DDZ519" s="1358"/>
      <c r="DEA519" s="1358"/>
      <c r="DEB519" s="1358"/>
      <c r="DEC519" s="1358"/>
      <c r="DED519" s="1358"/>
      <c r="DEE519" s="1358"/>
      <c r="DEF519" s="1358"/>
      <c r="DEG519" s="1358"/>
      <c r="DEH519" s="1358"/>
      <c r="DEI519" s="1358"/>
      <c r="DEJ519" s="1358"/>
      <c r="DEK519" s="1358"/>
      <c r="DEL519" s="1358"/>
      <c r="DEM519" s="1358"/>
      <c r="DEN519" s="1358"/>
      <c r="DEO519" s="1358"/>
      <c r="DEP519" s="1358"/>
      <c r="DEQ519" s="1358"/>
      <c r="DER519" s="1358"/>
      <c r="DES519" s="1358"/>
      <c r="DET519" s="1358"/>
      <c r="DEU519" s="1358"/>
      <c r="DEV519" s="1358"/>
      <c r="DEW519" s="1358"/>
      <c r="DEX519" s="1358"/>
      <c r="DEY519" s="1358"/>
      <c r="DEZ519" s="1358"/>
      <c r="DFA519" s="1358"/>
      <c r="DFB519" s="1358"/>
      <c r="DFC519" s="1358"/>
      <c r="DFD519" s="1358"/>
      <c r="DFE519" s="1358"/>
      <c r="DFF519" s="1358"/>
      <c r="DFG519" s="1358"/>
      <c r="DFH519" s="1358"/>
      <c r="DFI519" s="1358"/>
      <c r="DFJ519" s="1358"/>
      <c r="DFK519" s="1358"/>
      <c r="DFL519" s="1358"/>
      <c r="DFM519" s="1358"/>
      <c r="DFN519" s="1358"/>
      <c r="DFO519" s="1358"/>
      <c r="DFP519" s="1358"/>
      <c r="DFQ519" s="1358"/>
      <c r="DFR519" s="1358"/>
      <c r="DFS519" s="1358"/>
      <c r="DFT519" s="1358"/>
      <c r="DFU519" s="1358"/>
      <c r="DFV519" s="1358"/>
      <c r="DFW519" s="1358"/>
      <c r="DFX519" s="1358"/>
      <c r="DFY519" s="1358"/>
      <c r="DFZ519" s="1358"/>
      <c r="DGA519" s="1358"/>
      <c r="DGB519" s="1358"/>
      <c r="DGC519" s="1358"/>
      <c r="DGD519" s="1358"/>
      <c r="DGE519" s="1358"/>
      <c r="DGF519" s="1358"/>
      <c r="DGG519" s="1358"/>
      <c r="DGH519" s="1358"/>
      <c r="DGI519" s="1358"/>
      <c r="DGJ519" s="1358"/>
      <c r="DGK519" s="1358"/>
      <c r="DGL519" s="1358"/>
      <c r="DGM519" s="1358"/>
      <c r="DGN519" s="1358"/>
      <c r="DGO519" s="1358"/>
      <c r="DGP519" s="1358"/>
      <c r="DGQ519" s="1358"/>
      <c r="DGR519" s="1358"/>
      <c r="DGS519" s="1358"/>
      <c r="DGT519" s="1358"/>
      <c r="DGU519" s="1358"/>
      <c r="DGV519" s="1358"/>
      <c r="DGW519" s="1358"/>
      <c r="DGX519" s="1358"/>
      <c r="DGY519" s="1358"/>
      <c r="DGZ519" s="1358"/>
      <c r="DHA519" s="1358"/>
      <c r="DHB519" s="1358"/>
      <c r="DHC519" s="1358"/>
      <c r="DHD519" s="1358"/>
      <c r="DHE519" s="1358"/>
      <c r="DHF519" s="1358"/>
      <c r="DHG519" s="1358"/>
      <c r="DHH519" s="1358"/>
      <c r="DHI519" s="1358"/>
      <c r="DHJ519" s="1358"/>
      <c r="DHK519" s="1358"/>
      <c r="DHL519" s="1358"/>
      <c r="DHM519" s="1358"/>
      <c r="DHN519" s="1358"/>
      <c r="DHO519" s="1358"/>
      <c r="DHP519" s="1358"/>
      <c r="DHQ519" s="1358"/>
      <c r="DHR519" s="1358"/>
      <c r="DHS519" s="1358"/>
      <c r="DHT519" s="1358"/>
      <c r="DHU519" s="1358"/>
      <c r="DHV519" s="1358"/>
      <c r="DHW519" s="1358"/>
      <c r="DHX519" s="1358"/>
      <c r="DHY519" s="1358"/>
      <c r="DHZ519" s="1358"/>
      <c r="DIA519" s="1358"/>
      <c r="DIB519" s="1358"/>
      <c r="DIC519" s="1358"/>
      <c r="DID519" s="1358"/>
      <c r="DIE519" s="1358"/>
      <c r="DIF519" s="1358"/>
      <c r="DIG519" s="1358"/>
      <c r="DIH519" s="1358"/>
      <c r="DII519" s="1358"/>
      <c r="DIJ519" s="1358"/>
      <c r="DIK519" s="1358"/>
      <c r="DIL519" s="1358"/>
      <c r="DIM519" s="1358"/>
      <c r="DIN519" s="1358"/>
      <c r="DIO519" s="1358"/>
      <c r="DIP519" s="1358"/>
      <c r="DIQ519" s="1358"/>
      <c r="DIR519" s="1358"/>
      <c r="DIS519" s="1358"/>
      <c r="DIT519" s="1358"/>
      <c r="DIU519" s="1358"/>
      <c r="DIV519" s="1358"/>
      <c r="DIW519" s="1358"/>
      <c r="DIX519" s="1358"/>
      <c r="DIY519" s="1358"/>
      <c r="DIZ519" s="1358"/>
      <c r="DJA519" s="1358"/>
      <c r="DJB519" s="1358"/>
      <c r="DJC519" s="1358"/>
      <c r="DJD519" s="1358"/>
      <c r="DJE519" s="1358"/>
      <c r="DJF519" s="1358"/>
      <c r="DJG519" s="1358"/>
      <c r="DJH519" s="1358"/>
      <c r="DJI519" s="1358"/>
      <c r="DJJ519" s="1358"/>
      <c r="DJK519" s="1358"/>
      <c r="DJL519" s="1358"/>
      <c r="DJM519" s="1358"/>
      <c r="DJN519" s="1358"/>
      <c r="DJO519" s="1358"/>
      <c r="DJP519" s="1358"/>
      <c r="DJQ519" s="1358"/>
      <c r="DJR519" s="1358"/>
      <c r="DJS519" s="1358"/>
      <c r="DJT519" s="1358"/>
      <c r="DJU519" s="1358"/>
      <c r="DJV519" s="1358"/>
      <c r="DJW519" s="1358"/>
      <c r="DJX519" s="1358"/>
      <c r="DJY519" s="1358"/>
      <c r="DJZ519" s="1358"/>
      <c r="DKA519" s="1358"/>
      <c r="DKB519" s="1358"/>
      <c r="DKC519" s="1358"/>
      <c r="DKD519" s="1358"/>
      <c r="DKE519" s="1358"/>
      <c r="DKF519" s="1358"/>
      <c r="DKG519" s="1358"/>
      <c r="DKH519" s="1358"/>
      <c r="DKI519" s="1358"/>
      <c r="DKJ519" s="1358"/>
      <c r="DKK519" s="1358"/>
      <c r="DKL519" s="1358"/>
      <c r="DKM519" s="1358"/>
      <c r="DKN519" s="1358"/>
      <c r="DKO519" s="1358"/>
      <c r="DKP519" s="1358"/>
      <c r="DKQ519" s="1358"/>
      <c r="DKR519" s="1358"/>
      <c r="DKS519" s="1358"/>
      <c r="DKT519" s="1358"/>
      <c r="DKU519" s="1358"/>
      <c r="DKV519" s="1358"/>
      <c r="DKW519" s="1358"/>
      <c r="DKX519" s="1358"/>
      <c r="DKY519" s="1358"/>
      <c r="DKZ519" s="1358"/>
      <c r="DLA519" s="1358"/>
      <c r="DLB519" s="1358"/>
      <c r="DLC519" s="1358"/>
      <c r="DLD519" s="1358"/>
      <c r="DLE519" s="1358"/>
      <c r="DLF519" s="1358"/>
      <c r="DLG519" s="1358"/>
      <c r="DLH519" s="1358"/>
      <c r="DLI519" s="1358"/>
      <c r="DLJ519" s="1358"/>
      <c r="DLK519" s="1358"/>
      <c r="DLL519" s="1358"/>
      <c r="DLM519" s="1358"/>
      <c r="DLN519" s="1358"/>
      <c r="DLO519" s="1358"/>
      <c r="DLP519" s="1358"/>
      <c r="DLQ519" s="1358"/>
      <c r="DLR519" s="1358"/>
      <c r="DLS519" s="1358"/>
      <c r="DLT519" s="1358"/>
      <c r="DLU519" s="1358"/>
      <c r="DLV519" s="1358"/>
      <c r="DLW519" s="1358"/>
      <c r="DLX519" s="1358"/>
      <c r="DLY519" s="1358"/>
      <c r="DLZ519" s="1358"/>
      <c r="DMA519" s="1358"/>
      <c r="DMB519" s="1358"/>
      <c r="DMC519" s="1358"/>
      <c r="DMD519" s="1358"/>
      <c r="DME519" s="1358"/>
      <c r="DMF519" s="1358"/>
      <c r="DMG519" s="1358"/>
      <c r="DMH519" s="1358"/>
      <c r="DMI519" s="1358"/>
      <c r="DMJ519" s="1358"/>
      <c r="DMK519" s="1358"/>
      <c r="DML519" s="1358"/>
      <c r="DMM519" s="1358"/>
      <c r="DMN519" s="1358"/>
      <c r="DMO519" s="1358"/>
      <c r="DMP519" s="1358"/>
      <c r="DMQ519" s="1358"/>
      <c r="DMR519" s="1358"/>
      <c r="DMS519" s="1358"/>
      <c r="DMT519" s="1358"/>
      <c r="DMU519" s="1358"/>
      <c r="DMV519" s="1358"/>
      <c r="DMW519" s="1358"/>
      <c r="DMX519" s="1358"/>
      <c r="DMY519" s="1358"/>
      <c r="DMZ519" s="1358"/>
      <c r="DNA519" s="1358"/>
      <c r="DNB519" s="1358"/>
      <c r="DNC519" s="1358"/>
      <c r="DND519" s="1358"/>
      <c r="DNE519" s="1358"/>
      <c r="DNF519" s="1358"/>
      <c r="DNG519" s="1358"/>
      <c r="DNH519" s="1358"/>
      <c r="DNI519" s="1358"/>
      <c r="DNJ519" s="1358"/>
      <c r="DNK519" s="1358"/>
      <c r="DNL519" s="1358"/>
      <c r="DNM519" s="1358"/>
      <c r="DNN519" s="1358"/>
      <c r="DNO519" s="1358"/>
      <c r="DNP519" s="1358"/>
      <c r="DNQ519" s="1358"/>
      <c r="DNR519" s="1358"/>
      <c r="DNS519" s="1358"/>
      <c r="DNT519" s="1358"/>
      <c r="DNU519" s="1358"/>
      <c r="DNV519" s="1358"/>
      <c r="DNW519" s="1358"/>
      <c r="DNX519" s="1358"/>
      <c r="DNY519" s="1358"/>
      <c r="DNZ519" s="1358"/>
      <c r="DOA519" s="1358"/>
      <c r="DOB519" s="1358"/>
      <c r="DOC519" s="1358"/>
      <c r="DOD519" s="1358"/>
      <c r="DOE519" s="1358"/>
      <c r="DOF519" s="1358"/>
      <c r="DOG519" s="1358"/>
      <c r="DOH519" s="1358"/>
      <c r="DOI519" s="1358"/>
      <c r="DOJ519" s="1358"/>
      <c r="DOK519" s="1358"/>
      <c r="DOL519" s="1358"/>
      <c r="DOM519" s="1358"/>
      <c r="DON519" s="1358"/>
      <c r="DOO519" s="1358"/>
      <c r="DOP519" s="1358"/>
      <c r="DOQ519" s="1358"/>
      <c r="DOR519" s="1358"/>
      <c r="DOS519" s="1358"/>
      <c r="DOT519" s="1358"/>
      <c r="DOU519" s="1358"/>
      <c r="DOV519" s="1358"/>
      <c r="DOW519" s="1358"/>
      <c r="DOX519" s="1358"/>
      <c r="DOY519" s="1358"/>
      <c r="DOZ519" s="1358"/>
      <c r="DPA519" s="1358"/>
      <c r="DPB519" s="1358"/>
      <c r="DPC519" s="1358"/>
      <c r="DPD519" s="1358"/>
      <c r="DPE519" s="1358"/>
      <c r="DPF519" s="1358"/>
      <c r="DPG519" s="1358"/>
      <c r="DPH519" s="1358"/>
      <c r="DPI519" s="1358"/>
      <c r="DPJ519" s="1358"/>
      <c r="DPK519" s="1358"/>
      <c r="DPL519" s="1358"/>
      <c r="DPM519" s="1358"/>
      <c r="DPN519" s="1358"/>
      <c r="DPO519" s="1358"/>
      <c r="DPP519" s="1358"/>
      <c r="DPQ519" s="1358"/>
      <c r="DPR519" s="1358"/>
      <c r="DPS519" s="1358"/>
      <c r="DPT519" s="1358"/>
      <c r="DPU519" s="1358"/>
      <c r="DPV519" s="1358"/>
      <c r="DPW519" s="1358"/>
      <c r="DPX519" s="1358"/>
      <c r="DPY519" s="1358"/>
      <c r="DPZ519" s="1358"/>
      <c r="DQA519" s="1358"/>
      <c r="DQB519" s="1358"/>
      <c r="DQC519" s="1358"/>
      <c r="DQD519" s="1358"/>
      <c r="DQE519" s="1358"/>
      <c r="DQF519" s="1358"/>
      <c r="DQG519" s="1358"/>
      <c r="DQH519" s="1358"/>
      <c r="DQI519" s="1358"/>
      <c r="DQJ519" s="1358"/>
      <c r="DQK519" s="1358"/>
      <c r="DQL519" s="1358"/>
      <c r="DQM519" s="1358"/>
      <c r="DQN519" s="1358"/>
      <c r="DQO519" s="1358"/>
      <c r="DQP519" s="1358"/>
      <c r="DQQ519" s="1358"/>
      <c r="DQR519" s="1358"/>
      <c r="DQS519" s="1358"/>
      <c r="DQT519" s="1358"/>
      <c r="DQU519" s="1358"/>
      <c r="DQV519" s="1358"/>
      <c r="DQW519" s="1358"/>
      <c r="DQX519" s="1358"/>
      <c r="DQY519" s="1358"/>
      <c r="DQZ519" s="1358"/>
      <c r="DRA519" s="1358"/>
      <c r="DRB519" s="1358"/>
      <c r="DRC519" s="1358"/>
      <c r="DRD519" s="1358"/>
      <c r="DRE519" s="1358"/>
      <c r="DRF519" s="1358"/>
      <c r="DRG519" s="1358"/>
      <c r="DRH519" s="1358"/>
      <c r="DRI519" s="1358"/>
      <c r="DRJ519" s="1358"/>
      <c r="DRK519" s="1358"/>
      <c r="DRL519" s="1358"/>
      <c r="DRM519" s="1358"/>
      <c r="DRN519" s="1358"/>
      <c r="DRO519" s="1358"/>
      <c r="DRP519" s="1358"/>
      <c r="DRQ519" s="1358"/>
      <c r="DRR519" s="1358"/>
      <c r="DRS519" s="1358"/>
      <c r="DRT519" s="1358"/>
      <c r="DRU519" s="1358"/>
      <c r="DRV519" s="1358"/>
      <c r="DRW519" s="1358"/>
      <c r="DRX519" s="1358"/>
      <c r="DRY519" s="1358"/>
      <c r="DRZ519" s="1358"/>
      <c r="DSA519" s="1358"/>
      <c r="DSB519" s="1358"/>
      <c r="DSC519" s="1358"/>
      <c r="DSD519" s="1358"/>
      <c r="DSE519" s="1358"/>
      <c r="DSF519" s="1358"/>
      <c r="DSG519" s="1358"/>
      <c r="DSH519" s="1358"/>
      <c r="DSI519" s="1358"/>
      <c r="DSJ519" s="1358"/>
      <c r="DSK519" s="1358"/>
      <c r="DSL519" s="1358"/>
      <c r="DSM519" s="1358"/>
      <c r="DSN519" s="1358"/>
      <c r="DSO519" s="1358"/>
      <c r="DSP519" s="1358"/>
      <c r="DSQ519" s="1358"/>
      <c r="DSR519" s="1358"/>
      <c r="DSS519" s="1358"/>
      <c r="DST519" s="1358"/>
      <c r="DSU519" s="1358"/>
      <c r="DSV519" s="1358"/>
      <c r="DSW519" s="1358"/>
      <c r="DSX519" s="1358"/>
      <c r="DSY519" s="1358"/>
      <c r="DSZ519" s="1358"/>
      <c r="DTA519" s="1358"/>
      <c r="DTB519" s="1358"/>
      <c r="DTC519" s="1358"/>
      <c r="DTD519" s="1358"/>
      <c r="DTE519" s="1358"/>
      <c r="DTF519" s="1358"/>
      <c r="DTG519" s="1358"/>
      <c r="DTH519" s="1358"/>
      <c r="DTI519" s="1358"/>
      <c r="DTJ519" s="1358"/>
      <c r="DTK519" s="1358"/>
      <c r="DTL519" s="1358"/>
      <c r="DTM519" s="1358"/>
      <c r="DTN519" s="1358"/>
      <c r="DTO519" s="1358"/>
      <c r="DTP519" s="1358"/>
      <c r="DTQ519" s="1358"/>
      <c r="DTR519" s="1358"/>
      <c r="DTS519" s="1358"/>
      <c r="DTT519" s="1358"/>
      <c r="DTU519" s="1358"/>
      <c r="DTV519" s="1358"/>
      <c r="DTW519" s="1358"/>
      <c r="DTX519" s="1358"/>
      <c r="DTY519" s="1358"/>
      <c r="DTZ519" s="1358"/>
      <c r="DUA519" s="1358"/>
      <c r="DUB519" s="1358"/>
      <c r="DUC519" s="1358"/>
      <c r="DUD519" s="1358"/>
      <c r="DUE519" s="1358"/>
      <c r="DUF519" s="1358"/>
      <c r="DUG519" s="1358"/>
      <c r="DUH519" s="1358"/>
      <c r="DUI519" s="1358"/>
      <c r="DUJ519" s="1358"/>
      <c r="DUK519" s="1358"/>
      <c r="DUL519" s="1358"/>
      <c r="DUM519" s="1358"/>
      <c r="DUN519" s="1358"/>
      <c r="DUO519" s="1358"/>
      <c r="DUP519" s="1358"/>
      <c r="DUQ519" s="1358"/>
      <c r="DUR519" s="1358"/>
      <c r="DUS519" s="1358"/>
      <c r="DUT519" s="1358"/>
      <c r="DUU519" s="1358"/>
      <c r="DUV519" s="1358"/>
      <c r="DUW519" s="1358"/>
      <c r="DUX519" s="1358"/>
      <c r="DUY519" s="1358"/>
      <c r="DUZ519" s="1358"/>
      <c r="DVA519" s="1358"/>
      <c r="DVB519" s="1358"/>
      <c r="DVC519" s="1358"/>
      <c r="DVD519" s="1358"/>
      <c r="DVE519" s="1358"/>
      <c r="DVF519" s="1358"/>
      <c r="DVG519" s="1358"/>
      <c r="DVH519" s="1358"/>
      <c r="DVI519" s="1358"/>
      <c r="DVJ519" s="1358"/>
      <c r="DVK519" s="1358"/>
      <c r="DVL519" s="1358"/>
      <c r="DVM519" s="1358"/>
      <c r="DVN519" s="1358"/>
      <c r="DVO519" s="1358"/>
      <c r="DVP519" s="1358"/>
      <c r="DVQ519" s="1358"/>
      <c r="DVR519" s="1358"/>
      <c r="DVS519" s="1358"/>
      <c r="DVT519" s="1358"/>
      <c r="DVU519" s="1358"/>
      <c r="DVV519" s="1358"/>
      <c r="DVW519" s="1358"/>
      <c r="DVX519" s="1358"/>
      <c r="DVY519" s="1358"/>
      <c r="DVZ519" s="1358"/>
      <c r="DWA519" s="1358"/>
      <c r="DWB519" s="1358"/>
      <c r="DWC519" s="1358"/>
      <c r="DWD519" s="1358"/>
      <c r="DWE519" s="1358"/>
      <c r="DWF519" s="1358"/>
      <c r="DWG519" s="1358"/>
      <c r="DWH519" s="1358"/>
      <c r="DWI519" s="1358"/>
      <c r="DWJ519" s="1358"/>
      <c r="DWK519" s="1358"/>
      <c r="DWL519" s="1358"/>
      <c r="DWM519" s="1358"/>
      <c r="DWN519" s="1358"/>
      <c r="DWO519" s="1358"/>
      <c r="DWP519" s="1358"/>
      <c r="DWQ519" s="1358"/>
      <c r="DWR519" s="1358"/>
      <c r="DWS519" s="1358"/>
      <c r="DWT519" s="1358"/>
      <c r="DWU519" s="1358"/>
      <c r="DWV519" s="1358"/>
      <c r="DWW519" s="1358"/>
      <c r="DWX519" s="1358"/>
      <c r="DWY519" s="1358"/>
      <c r="DWZ519" s="1358"/>
      <c r="DXA519" s="1358"/>
      <c r="DXB519" s="1358"/>
      <c r="DXC519" s="1358"/>
      <c r="DXD519" s="1358"/>
      <c r="DXE519" s="1358"/>
      <c r="DXF519" s="1358"/>
      <c r="DXG519" s="1358"/>
      <c r="DXH519" s="1358"/>
      <c r="DXI519" s="1358"/>
      <c r="DXJ519" s="1358"/>
      <c r="DXK519" s="1358"/>
      <c r="DXL519" s="1358"/>
      <c r="DXM519" s="1358"/>
      <c r="DXN519" s="1358"/>
      <c r="DXO519" s="1358"/>
      <c r="DXP519" s="1358"/>
      <c r="DXQ519" s="1358"/>
      <c r="DXR519" s="1358"/>
      <c r="DXS519" s="1358"/>
      <c r="DXT519" s="1358"/>
      <c r="DXU519" s="1358"/>
      <c r="DXV519" s="1358"/>
      <c r="DXW519" s="1358"/>
      <c r="DXX519" s="1358"/>
      <c r="DXY519" s="1358"/>
      <c r="DXZ519" s="1358"/>
      <c r="DYA519" s="1358"/>
      <c r="DYB519" s="1358"/>
      <c r="DYC519" s="1358"/>
      <c r="DYD519" s="1358"/>
      <c r="DYE519" s="1358"/>
      <c r="DYF519" s="1358"/>
      <c r="DYG519" s="1358"/>
      <c r="DYH519" s="1358"/>
      <c r="DYI519" s="1358"/>
      <c r="DYJ519" s="1358"/>
      <c r="DYK519" s="1358"/>
      <c r="DYL519" s="1358"/>
      <c r="DYM519" s="1358"/>
      <c r="DYN519" s="1358"/>
      <c r="DYO519" s="1358"/>
      <c r="DYP519" s="1358"/>
      <c r="DYQ519" s="1358"/>
      <c r="DYR519" s="1358"/>
      <c r="DYS519" s="1358"/>
      <c r="DYT519" s="1358"/>
      <c r="DYU519" s="1358"/>
      <c r="DYV519" s="1358"/>
      <c r="DYW519" s="1358"/>
      <c r="DYX519" s="1358"/>
      <c r="DYY519" s="1358"/>
      <c r="DYZ519" s="1358"/>
      <c r="DZA519" s="1358"/>
      <c r="DZB519" s="1358"/>
      <c r="DZC519" s="1358"/>
      <c r="DZD519" s="1358"/>
      <c r="DZE519" s="1358"/>
      <c r="DZF519" s="1358"/>
      <c r="DZG519" s="1358"/>
      <c r="DZH519" s="1358"/>
      <c r="DZI519" s="1358"/>
      <c r="DZJ519" s="1358"/>
      <c r="DZK519" s="1358"/>
      <c r="DZL519" s="1358"/>
      <c r="DZM519" s="1358"/>
      <c r="DZN519" s="1358"/>
      <c r="DZO519" s="1358"/>
      <c r="DZP519" s="1358"/>
      <c r="DZQ519" s="1358"/>
      <c r="DZR519" s="1358"/>
      <c r="DZS519" s="1358"/>
      <c r="DZT519" s="1358"/>
      <c r="DZU519" s="1358"/>
      <c r="DZV519" s="1358"/>
      <c r="DZW519" s="1358"/>
      <c r="DZX519" s="1358"/>
      <c r="DZY519" s="1358"/>
      <c r="DZZ519" s="1358"/>
      <c r="EAA519" s="1358"/>
      <c r="EAB519" s="1358"/>
      <c r="EAC519" s="1358"/>
      <c r="EAD519" s="1358"/>
      <c r="EAE519" s="1358"/>
      <c r="EAF519" s="1358"/>
      <c r="EAG519" s="1358"/>
      <c r="EAH519" s="1358"/>
      <c r="EAI519" s="1358"/>
      <c r="EAJ519" s="1358"/>
      <c r="EAK519" s="1358"/>
      <c r="EAL519" s="1358"/>
      <c r="EAM519" s="1358"/>
      <c r="EAN519" s="1358"/>
      <c r="EAO519" s="1358"/>
      <c r="EAP519" s="1358"/>
      <c r="EAQ519" s="1358"/>
      <c r="EAR519" s="1358"/>
      <c r="EAS519" s="1358"/>
      <c r="EAT519" s="1358"/>
      <c r="EAU519" s="1358"/>
      <c r="EAV519" s="1358"/>
      <c r="EAW519" s="1358"/>
      <c r="EAX519" s="1358"/>
      <c r="EAY519" s="1358"/>
      <c r="EAZ519" s="1358"/>
      <c r="EBA519" s="1358"/>
      <c r="EBB519" s="1358"/>
      <c r="EBC519" s="1358"/>
      <c r="EBD519" s="1358"/>
      <c r="EBE519" s="1358"/>
      <c r="EBF519" s="1358"/>
      <c r="EBG519" s="1358"/>
      <c r="EBH519" s="1358"/>
      <c r="EBI519" s="1358"/>
      <c r="EBJ519" s="1358"/>
      <c r="EBK519" s="1358"/>
      <c r="EBL519" s="1358"/>
      <c r="EBM519" s="1358"/>
      <c r="EBN519" s="1358"/>
      <c r="EBO519" s="1358"/>
      <c r="EBP519" s="1358"/>
      <c r="EBQ519" s="1358"/>
      <c r="EBR519" s="1358"/>
      <c r="EBS519" s="1358"/>
      <c r="EBT519" s="1358"/>
      <c r="EBU519" s="1358"/>
      <c r="EBV519" s="1358"/>
      <c r="EBW519" s="1358"/>
      <c r="EBX519" s="1358"/>
      <c r="EBY519" s="1358"/>
      <c r="EBZ519" s="1358"/>
      <c r="ECA519" s="1358"/>
      <c r="ECB519" s="1358"/>
      <c r="ECC519" s="1358"/>
      <c r="ECD519" s="1358"/>
      <c r="ECE519" s="1358"/>
      <c r="ECF519" s="1358"/>
      <c r="ECG519" s="1358"/>
      <c r="ECH519" s="1358"/>
      <c r="ECI519" s="1358"/>
      <c r="ECJ519" s="1358"/>
      <c r="ECK519" s="1358"/>
      <c r="ECL519" s="1358"/>
      <c r="ECM519" s="1358"/>
      <c r="ECN519" s="1358"/>
      <c r="ECO519" s="1358"/>
      <c r="ECP519" s="1358"/>
      <c r="ECQ519" s="1358"/>
      <c r="ECR519" s="1358"/>
      <c r="ECS519" s="1358"/>
      <c r="ECT519" s="1358"/>
      <c r="ECU519" s="1358"/>
      <c r="ECV519" s="1358"/>
      <c r="ECW519" s="1358"/>
      <c r="ECX519" s="1358"/>
      <c r="ECY519" s="1358"/>
      <c r="ECZ519" s="1358"/>
      <c r="EDA519" s="1358"/>
      <c r="EDB519" s="1358"/>
      <c r="EDC519" s="1358"/>
      <c r="EDD519" s="1358"/>
      <c r="EDE519" s="1358"/>
      <c r="EDF519" s="1358"/>
      <c r="EDG519" s="1358"/>
      <c r="EDH519" s="1358"/>
      <c r="EDI519" s="1358"/>
      <c r="EDJ519" s="1358"/>
      <c r="EDK519" s="1358"/>
      <c r="EDL519" s="1358"/>
      <c r="EDM519" s="1358"/>
      <c r="EDN519" s="1358"/>
      <c r="EDO519" s="1358"/>
      <c r="EDP519" s="1358"/>
      <c r="EDQ519" s="1358"/>
      <c r="EDR519" s="1358"/>
      <c r="EDS519" s="1358"/>
      <c r="EDT519" s="1358"/>
      <c r="EDU519" s="1358"/>
      <c r="EDV519" s="1358"/>
      <c r="EDW519" s="1358"/>
      <c r="EDX519" s="1358"/>
      <c r="EDY519" s="1358"/>
      <c r="EDZ519" s="1358"/>
      <c r="EEA519" s="1358"/>
      <c r="EEB519" s="1358"/>
      <c r="EEC519" s="1358"/>
      <c r="EED519" s="1358"/>
      <c r="EEE519" s="1358"/>
      <c r="EEF519" s="1358"/>
      <c r="EEG519" s="1358"/>
      <c r="EEH519" s="1358"/>
      <c r="EEI519" s="1358"/>
      <c r="EEJ519" s="1358"/>
      <c r="EEK519" s="1358"/>
      <c r="EEL519" s="1358"/>
      <c r="EEM519" s="1358"/>
      <c r="EEN519" s="1358"/>
      <c r="EEO519" s="1358"/>
      <c r="EEP519" s="1358"/>
      <c r="EEQ519" s="1358"/>
      <c r="EER519" s="1358"/>
      <c r="EES519" s="1358"/>
      <c r="EET519" s="1358"/>
      <c r="EEU519" s="1358"/>
      <c r="EEV519" s="1358"/>
      <c r="EEW519" s="1358"/>
      <c r="EEX519" s="1358"/>
      <c r="EEY519" s="1358"/>
      <c r="EEZ519" s="1358"/>
      <c r="EFA519" s="1358"/>
      <c r="EFB519" s="1358"/>
      <c r="EFC519" s="1358"/>
      <c r="EFD519" s="1358"/>
      <c r="EFE519" s="1358"/>
      <c r="EFF519" s="1358"/>
      <c r="EFG519" s="1358"/>
      <c r="EFH519" s="1358"/>
      <c r="EFI519" s="1358"/>
      <c r="EFJ519" s="1358"/>
      <c r="EFK519" s="1358"/>
      <c r="EFL519" s="1358"/>
      <c r="EFM519" s="1358"/>
      <c r="EFN519" s="1358"/>
      <c r="EFO519" s="1358"/>
      <c r="EFP519" s="1358"/>
      <c r="EFQ519" s="1358"/>
      <c r="EFR519" s="1358"/>
      <c r="EFS519" s="1358"/>
      <c r="EFT519" s="1358"/>
      <c r="EFU519" s="1358"/>
      <c r="EFV519" s="1358"/>
      <c r="EFW519" s="1358"/>
      <c r="EFX519" s="1358"/>
      <c r="EFY519" s="1358"/>
      <c r="EFZ519" s="1358"/>
      <c r="EGA519" s="1358"/>
      <c r="EGB519" s="1358"/>
      <c r="EGC519" s="1358"/>
      <c r="EGD519" s="1358"/>
      <c r="EGE519" s="1358"/>
      <c r="EGF519" s="1358"/>
      <c r="EGG519" s="1358"/>
      <c r="EGH519" s="1358"/>
      <c r="EGI519" s="1358"/>
      <c r="EGJ519" s="1358"/>
      <c r="EGK519" s="1358"/>
      <c r="EGL519" s="1358"/>
      <c r="EGM519" s="1358"/>
      <c r="EGN519" s="1358"/>
      <c r="EGO519" s="1358"/>
      <c r="EGP519" s="1358"/>
      <c r="EGQ519" s="1358"/>
      <c r="EGR519" s="1358"/>
      <c r="EGS519" s="1358"/>
      <c r="EGT519" s="1358"/>
      <c r="EGU519" s="1358"/>
      <c r="EGV519" s="1358"/>
      <c r="EGW519" s="1358"/>
      <c r="EGX519" s="1358"/>
      <c r="EGY519" s="1358"/>
      <c r="EGZ519" s="1358"/>
      <c r="EHA519" s="1358"/>
      <c r="EHB519" s="1358"/>
      <c r="EHC519" s="1358"/>
      <c r="EHD519" s="1358"/>
      <c r="EHE519" s="1358"/>
      <c r="EHF519" s="1358"/>
      <c r="EHG519" s="1358"/>
      <c r="EHH519" s="1358"/>
      <c r="EHI519" s="1358"/>
      <c r="EHJ519" s="1358"/>
      <c r="EHK519" s="1358"/>
      <c r="EHL519" s="1358"/>
      <c r="EHM519" s="1358"/>
      <c r="EHN519" s="1358"/>
      <c r="EHO519" s="1358"/>
      <c r="EHP519" s="1358"/>
      <c r="EHQ519" s="1358"/>
      <c r="EHR519" s="1358"/>
      <c r="EHS519" s="1358"/>
      <c r="EHT519" s="1358"/>
      <c r="EHU519" s="1358"/>
      <c r="EHV519" s="1358"/>
      <c r="EHW519" s="1358"/>
      <c r="EHX519" s="1358"/>
      <c r="EHY519" s="1358"/>
      <c r="EHZ519" s="1358"/>
      <c r="EIA519" s="1358"/>
      <c r="EIB519" s="1358"/>
      <c r="EIC519" s="1358"/>
      <c r="EID519" s="1358"/>
      <c r="EIE519" s="1358"/>
      <c r="EIF519" s="1358"/>
      <c r="EIG519" s="1358"/>
      <c r="EIH519" s="1358"/>
      <c r="EII519" s="1358"/>
      <c r="EIJ519" s="1358"/>
      <c r="EIK519" s="1358"/>
      <c r="EIL519" s="1358"/>
      <c r="EIM519" s="1358"/>
      <c r="EIN519" s="1358"/>
      <c r="EIO519" s="1358"/>
      <c r="EIP519" s="1358"/>
      <c r="EIQ519" s="1358"/>
      <c r="EIR519" s="1358"/>
      <c r="EIS519" s="1358"/>
      <c r="EIT519" s="1358"/>
      <c r="EIU519" s="1358"/>
      <c r="EIV519" s="1358"/>
      <c r="EIW519" s="1358"/>
      <c r="EIX519" s="1358"/>
      <c r="EIY519" s="1358"/>
      <c r="EIZ519" s="1358"/>
      <c r="EJA519" s="1358"/>
      <c r="EJB519" s="1358"/>
      <c r="EJC519" s="1358"/>
      <c r="EJD519" s="1358"/>
      <c r="EJE519" s="1358"/>
      <c r="EJF519" s="1358"/>
      <c r="EJG519" s="1358"/>
      <c r="EJH519" s="1358"/>
      <c r="EJI519" s="1358"/>
      <c r="EJJ519" s="1358"/>
      <c r="EJK519" s="1358"/>
      <c r="EJL519" s="1358"/>
      <c r="EJM519" s="1358"/>
      <c r="EJN519" s="1358"/>
      <c r="EJO519" s="1358"/>
      <c r="EJP519" s="1358"/>
      <c r="EJQ519" s="1358"/>
      <c r="EJR519" s="1358"/>
      <c r="EJS519" s="1358"/>
      <c r="EJT519" s="1358"/>
      <c r="EJU519" s="1358"/>
      <c r="EJV519" s="1358"/>
      <c r="EJW519" s="1358"/>
      <c r="EJX519" s="1358"/>
      <c r="EJY519" s="1358"/>
      <c r="EJZ519" s="1358"/>
      <c r="EKA519" s="1358"/>
      <c r="EKB519" s="1358"/>
      <c r="EKC519" s="1358"/>
      <c r="EKD519" s="1358"/>
      <c r="EKE519" s="1358"/>
      <c r="EKF519" s="1358"/>
      <c r="EKG519" s="1358"/>
      <c r="EKH519" s="1358"/>
      <c r="EKI519" s="1358"/>
      <c r="EKJ519" s="1358"/>
      <c r="EKK519" s="1358"/>
      <c r="EKL519" s="1358"/>
      <c r="EKM519" s="1358"/>
      <c r="EKN519" s="1358"/>
      <c r="EKO519" s="1358"/>
      <c r="EKP519" s="1358"/>
      <c r="EKQ519" s="1358"/>
      <c r="EKR519" s="1358"/>
      <c r="EKS519" s="1358"/>
      <c r="EKT519" s="1358"/>
      <c r="EKU519" s="1358"/>
      <c r="EKV519" s="1358"/>
      <c r="EKW519" s="1358"/>
      <c r="EKX519" s="1358"/>
      <c r="EKY519" s="1358"/>
      <c r="EKZ519" s="1358"/>
      <c r="ELA519" s="1358"/>
      <c r="ELB519" s="1358"/>
      <c r="ELC519" s="1358"/>
      <c r="ELD519" s="1358"/>
      <c r="ELE519" s="1358"/>
      <c r="ELF519" s="1358"/>
      <c r="ELG519" s="1358"/>
      <c r="ELH519" s="1358"/>
      <c r="ELI519" s="1358"/>
      <c r="ELJ519" s="1358"/>
      <c r="ELK519" s="1358"/>
      <c r="ELL519" s="1358"/>
      <c r="ELM519" s="1358"/>
      <c r="ELN519" s="1358"/>
      <c r="ELO519" s="1358"/>
      <c r="ELP519" s="1358"/>
      <c r="ELQ519" s="1358"/>
      <c r="ELR519" s="1358"/>
      <c r="ELS519" s="1358"/>
      <c r="ELT519" s="1358"/>
      <c r="ELU519" s="1358"/>
      <c r="ELV519" s="1358"/>
      <c r="ELW519" s="1358"/>
      <c r="ELX519" s="1358"/>
      <c r="ELY519" s="1358"/>
      <c r="ELZ519" s="1358"/>
      <c r="EMA519" s="1358"/>
      <c r="EMB519" s="1358"/>
      <c r="EMC519" s="1358"/>
      <c r="EMD519" s="1358"/>
      <c r="EME519" s="1358"/>
      <c r="EMF519" s="1358"/>
      <c r="EMG519" s="1358"/>
      <c r="EMH519" s="1358"/>
      <c r="EMI519" s="1358"/>
      <c r="EMJ519" s="1358"/>
      <c r="EMK519" s="1358"/>
      <c r="EML519" s="1358"/>
      <c r="EMM519" s="1358"/>
      <c r="EMN519" s="1358"/>
      <c r="EMO519" s="1358"/>
      <c r="EMP519" s="1358"/>
      <c r="EMQ519" s="1358"/>
      <c r="EMR519" s="1358"/>
      <c r="EMS519" s="1358"/>
      <c r="EMT519" s="1358"/>
      <c r="EMU519" s="1358"/>
      <c r="EMV519" s="1358"/>
      <c r="EMW519" s="1358"/>
      <c r="EMX519" s="1358"/>
      <c r="EMY519" s="1358"/>
      <c r="EMZ519" s="1358"/>
      <c r="ENA519" s="1358"/>
      <c r="ENB519" s="1358"/>
      <c r="ENC519" s="1358"/>
      <c r="END519" s="1358"/>
      <c r="ENE519" s="1358"/>
      <c r="ENF519" s="1358"/>
      <c r="ENG519" s="1358"/>
      <c r="ENH519" s="1358"/>
      <c r="ENI519" s="1358"/>
      <c r="ENJ519" s="1358"/>
      <c r="ENK519" s="1358"/>
      <c r="ENL519" s="1358"/>
      <c r="ENM519" s="1358"/>
      <c r="ENN519" s="1358"/>
      <c r="ENO519" s="1358"/>
      <c r="ENP519" s="1358"/>
      <c r="ENQ519" s="1358"/>
      <c r="ENR519" s="1358"/>
      <c r="ENS519" s="1358"/>
      <c r="ENT519" s="1358"/>
      <c r="ENU519" s="1358"/>
      <c r="ENV519" s="1358"/>
      <c r="ENW519" s="1358"/>
      <c r="ENX519" s="1358"/>
      <c r="ENY519" s="1358"/>
      <c r="ENZ519" s="1358"/>
      <c r="EOA519" s="1358"/>
      <c r="EOB519" s="1358"/>
      <c r="EOC519" s="1358"/>
      <c r="EOD519" s="1358"/>
      <c r="EOE519" s="1358"/>
      <c r="EOF519" s="1358"/>
      <c r="EOG519" s="1358"/>
      <c r="EOH519" s="1358"/>
      <c r="EOI519" s="1358"/>
      <c r="EOJ519" s="1358"/>
      <c r="EOK519" s="1358"/>
      <c r="EOL519" s="1358"/>
      <c r="EOM519" s="1358"/>
      <c r="EON519" s="1358"/>
      <c r="EOO519" s="1358"/>
      <c r="EOP519" s="1358"/>
      <c r="EOQ519" s="1358"/>
      <c r="EOR519" s="1358"/>
      <c r="EOS519" s="1358"/>
      <c r="EOT519" s="1358"/>
      <c r="EOU519" s="1358"/>
      <c r="EOV519" s="1358"/>
      <c r="EOW519" s="1358"/>
      <c r="EOX519" s="1358"/>
      <c r="EOY519" s="1358"/>
      <c r="EOZ519" s="1358"/>
      <c r="EPA519" s="1358"/>
      <c r="EPB519" s="1358"/>
      <c r="EPC519" s="1358"/>
      <c r="EPD519" s="1358"/>
      <c r="EPE519" s="1358"/>
      <c r="EPF519" s="1358"/>
      <c r="EPG519" s="1358"/>
      <c r="EPH519" s="1358"/>
      <c r="EPI519" s="1358"/>
      <c r="EPJ519" s="1358"/>
      <c r="EPK519" s="1358"/>
      <c r="EPL519" s="1358"/>
      <c r="EPM519" s="1358"/>
      <c r="EPN519" s="1358"/>
      <c r="EPO519" s="1358"/>
      <c r="EPP519" s="1358"/>
      <c r="EPQ519" s="1358"/>
      <c r="EPR519" s="1358"/>
      <c r="EPS519" s="1358"/>
      <c r="EPT519" s="1358"/>
      <c r="EPU519" s="1358"/>
      <c r="EPV519" s="1358"/>
      <c r="EPW519" s="1358"/>
      <c r="EPX519" s="1358"/>
      <c r="EPY519" s="1358"/>
      <c r="EPZ519" s="1358"/>
      <c r="EQA519" s="1358"/>
      <c r="EQB519" s="1358"/>
      <c r="EQC519" s="1358"/>
      <c r="EQD519" s="1358"/>
      <c r="EQE519" s="1358"/>
      <c r="EQF519" s="1358"/>
      <c r="EQG519" s="1358"/>
      <c r="EQH519" s="1358"/>
      <c r="EQI519" s="1358"/>
      <c r="EQJ519" s="1358"/>
      <c r="EQK519" s="1358"/>
      <c r="EQL519" s="1358"/>
      <c r="EQM519" s="1358"/>
      <c r="EQN519" s="1358"/>
      <c r="EQO519" s="1358"/>
      <c r="EQP519" s="1358"/>
      <c r="EQQ519" s="1358"/>
      <c r="EQR519" s="1358"/>
      <c r="EQS519" s="1358"/>
      <c r="EQT519" s="1358"/>
      <c r="EQU519" s="1358"/>
      <c r="EQV519" s="1358"/>
      <c r="EQW519" s="1358"/>
      <c r="EQX519" s="1358"/>
      <c r="EQY519" s="1358"/>
      <c r="EQZ519" s="1358"/>
      <c r="ERA519" s="1358"/>
      <c r="ERB519" s="1358"/>
      <c r="ERC519" s="1358"/>
      <c r="ERD519" s="1358"/>
      <c r="ERE519" s="1358"/>
      <c r="ERF519" s="1358"/>
      <c r="ERG519" s="1358"/>
      <c r="ERH519" s="1358"/>
      <c r="ERI519" s="1358"/>
      <c r="ERJ519" s="1358"/>
      <c r="ERK519" s="1358"/>
      <c r="ERL519" s="1358"/>
      <c r="ERM519" s="1358"/>
      <c r="ERN519" s="1358"/>
      <c r="ERO519" s="1358"/>
      <c r="ERP519" s="1358"/>
      <c r="ERQ519" s="1358"/>
      <c r="ERR519" s="1358"/>
      <c r="ERS519" s="1358"/>
      <c r="ERT519" s="1358"/>
      <c r="ERU519" s="1358"/>
      <c r="ERV519" s="1358"/>
      <c r="ERW519" s="1358"/>
      <c r="ERX519" s="1358"/>
      <c r="ERY519" s="1358"/>
      <c r="ERZ519" s="1358"/>
      <c r="ESA519" s="1358"/>
      <c r="ESB519" s="1358"/>
      <c r="ESC519" s="1358"/>
      <c r="ESD519" s="1358"/>
      <c r="ESE519" s="1358"/>
      <c r="ESF519" s="1358"/>
      <c r="ESG519" s="1358"/>
      <c r="ESH519" s="1358"/>
      <c r="ESI519" s="1358"/>
      <c r="ESJ519" s="1358"/>
      <c r="ESK519" s="1358"/>
      <c r="ESL519" s="1358"/>
      <c r="ESM519" s="1358"/>
      <c r="ESN519" s="1358"/>
      <c r="ESO519" s="1358"/>
      <c r="ESP519" s="1358"/>
      <c r="ESQ519" s="1358"/>
      <c r="ESR519" s="1358"/>
      <c r="ESS519" s="1358"/>
      <c r="EST519" s="1358"/>
      <c r="ESU519" s="1358"/>
      <c r="ESV519" s="1358"/>
      <c r="ESW519" s="1358"/>
      <c r="ESX519" s="1358"/>
      <c r="ESY519" s="1358"/>
      <c r="ESZ519" s="1358"/>
      <c r="ETA519" s="1358"/>
      <c r="ETB519" s="1358"/>
      <c r="ETC519" s="1358"/>
      <c r="ETD519" s="1358"/>
      <c r="ETE519" s="1358"/>
      <c r="ETF519" s="1358"/>
      <c r="ETG519" s="1358"/>
      <c r="ETH519" s="1358"/>
      <c r="ETI519" s="1358"/>
      <c r="ETJ519" s="1358"/>
      <c r="ETK519" s="1358"/>
      <c r="ETL519" s="1358"/>
      <c r="ETM519" s="1358"/>
      <c r="ETN519" s="1358"/>
      <c r="ETO519" s="1358"/>
      <c r="ETP519" s="1358"/>
      <c r="ETQ519" s="1358"/>
      <c r="ETR519" s="1358"/>
      <c r="ETS519" s="1358"/>
      <c r="ETT519" s="1358"/>
      <c r="ETU519" s="1358"/>
      <c r="ETV519" s="1358"/>
      <c r="ETW519" s="1358"/>
      <c r="ETX519" s="1358"/>
      <c r="ETY519" s="1358"/>
      <c r="ETZ519" s="1358"/>
      <c r="EUA519" s="1358"/>
      <c r="EUB519" s="1358"/>
      <c r="EUC519" s="1358"/>
      <c r="EUD519" s="1358"/>
      <c r="EUE519" s="1358"/>
      <c r="EUF519" s="1358"/>
      <c r="EUG519" s="1358"/>
      <c r="EUH519" s="1358"/>
      <c r="EUI519" s="1358"/>
      <c r="EUJ519" s="1358"/>
      <c r="EUK519" s="1358"/>
      <c r="EUL519" s="1358"/>
      <c r="EUM519" s="1358"/>
      <c r="EUN519" s="1358"/>
      <c r="EUO519" s="1358"/>
      <c r="EUP519" s="1358"/>
      <c r="EUQ519" s="1358"/>
      <c r="EUR519" s="1358"/>
      <c r="EUS519" s="1358"/>
      <c r="EUT519" s="1358"/>
      <c r="EUU519" s="1358"/>
      <c r="EUV519" s="1358"/>
      <c r="EUW519" s="1358"/>
      <c r="EUX519" s="1358"/>
      <c r="EUY519" s="1358"/>
      <c r="EUZ519" s="1358"/>
      <c r="EVA519" s="1358"/>
      <c r="EVB519" s="1358"/>
      <c r="EVC519" s="1358"/>
      <c r="EVD519" s="1358"/>
      <c r="EVE519" s="1358"/>
      <c r="EVF519" s="1358"/>
      <c r="EVG519" s="1358"/>
      <c r="EVH519" s="1358"/>
      <c r="EVI519" s="1358"/>
      <c r="EVJ519" s="1358"/>
      <c r="EVK519" s="1358"/>
      <c r="EVL519" s="1358"/>
      <c r="EVM519" s="1358"/>
      <c r="EVN519" s="1358"/>
      <c r="EVO519" s="1358"/>
      <c r="EVP519" s="1358"/>
      <c r="EVQ519" s="1358"/>
      <c r="EVR519" s="1358"/>
      <c r="EVS519" s="1358"/>
      <c r="EVT519" s="1358"/>
      <c r="EVU519" s="1358"/>
      <c r="EVV519" s="1358"/>
      <c r="EVW519" s="1358"/>
      <c r="EVX519" s="1358"/>
      <c r="EVY519" s="1358"/>
      <c r="EVZ519" s="1358"/>
      <c r="EWA519" s="1358"/>
      <c r="EWB519" s="1358"/>
      <c r="EWC519" s="1358"/>
      <c r="EWD519" s="1358"/>
      <c r="EWE519" s="1358"/>
      <c r="EWF519" s="1358"/>
      <c r="EWG519" s="1358"/>
      <c r="EWH519" s="1358"/>
      <c r="EWI519" s="1358"/>
      <c r="EWJ519" s="1358"/>
      <c r="EWK519" s="1358"/>
      <c r="EWL519" s="1358"/>
      <c r="EWM519" s="1358"/>
      <c r="EWN519" s="1358"/>
      <c r="EWO519" s="1358"/>
      <c r="EWP519" s="1358"/>
      <c r="EWQ519" s="1358"/>
      <c r="EWR519" s="1358"/>
      <c r="EWS519" s="1358"/>
      <c r="EWT519" s="1358"/>
      <c r="EWU519" s="1358"/>
      <c r="EWV519" s="1358"/>
      <c r="EWW519" s="1358"/>
      <c r="EWX519" s="1358"/>
      <c r="EWY519" s="1358"/>
      <c r="EWZ519" s="1358"/>
      <c r="EXA519" s="1358"/>
      <c r="EXB519" s="1358"/>
      <c r="EXC519" s="1358"/>
      <c r="EXD519" s="1358"/>
      <c r="EXE519" s="1358"/>
      <c r="EXF519" s="1358"/>
      <c r="EXG519" s="1358"/>
      <c r="EXH519" s="1358"/>
      <c r="EXI519" s="1358"/>
      <c r="EXJ519" s="1358"/>
      <c r="EXK519" s="1358"/>
      <c r="EXL519" s="1358"/>
      <c r="EXM519" s="1358"/>
      <c r="EXN519" s="1358"/>
      <c r="EXO519" s="1358"/>
      <c r="EXP519" s="1358"/>
      <c r="EXQ519" s="1358"/>
      <c r="EXR519" s="1358"/>
      <c r="EXS519" s="1358"/>
      <c r="EXT519" s="1358"/>
      <c r="EXU519" s="1358"/>
      <c r="EXV519" s="1358"/>
      <c r="EXW519" s="1358"/>
      <c r="EXX519" s="1358"/>
      <c r="EXY519" s="1358"/>
      <c r="EXZ519" s="1358"/>
      <c r="EYA519" s="1358"/>
      <c r="EYB519" s="1358"/>
      <c r="EYC519" s="1358"/>
      <c r="EYD519" s="1358"/>
      <c r="EYE519" s="1358"/>
      <c r="EYF519" s="1358"/>
      <c r="EYG519" s="1358"/>
      <c r="EYH519" s="1358"/>
      <c r="EYI519" s="1358"/>
      <c r="EYJ519" s="1358"/>
      <c r="EYK519" s="1358"/>
      <c r="EYL519" s="1358"/>
      <c r="EYM519" s="1358"/>
      <c r="EYN519" s="1358"/>
      <c r="EYO519" s="1358"/>
      <c r="EYP519" s="1358"/>
      <c r="EYQ519" s="1358"/>
      <c r="EYR519" s="1358"/>
      <c r="EYS519" s="1358"/>
      <c r="EYT519" s="1358"/>
      <c r="EYU519" s="1358"/>
      <c r="EYV519" s="1358"/>
      <c r="EYW519" s="1358"/>
      <c r="EYX519" s="1358"/>
      <c r="EYY519" s="1358"/>
      <c r="EYZ519" s="1358"/>
      <c r="EZA519" s="1358"/>
      <c r="EZB519" s="1358"/>
      <c r="EZC519" s="1358"/>
      <c r="EZD519" s="1358"/>
      <c r="EZE519" s="1358"/>
      <c r="EZF519" s="1358"/>
      <c r="EZG519" s="1358"/>
      <c r="EZH519" s="1358"/>
      <c r="EZI519" s="1358"/>
      <c r="EZJ519" s="1358"/>
      <c r="EZK519" s="1358"/>
      <c r="EZL519" s="1358"/>
      <c r="EZM519" s="1358"/>
      <c r="EZN519" s="1358"/>
      <c r="EZO519" s="1358"/>
      <c r="EZP519" s="1358"/>
      <c r="EZQ519" s="1358"/>
      <c r="EZR519" s="1358"/>
      <c r="EZS519" s="1358"/>
      <c r="EZT519" s="1358"/>
      <c r="EZU519" s="1358"/>
      <c r="EZV519" s="1358"/>
      <c r="EZW519" s="1358"/>
      <c r="EZX519" s="1358"/>
      <c r="EZY519" s="1358"/>
      <c r="EZZ519" s="1358"/>
      <c r="FAA519" s="1358"/>
      <c r="FAB519" s="1358"/>
      <c r="FAC519" s="1358"/>
      <c r="FAD519" s="1358"/>
      <c r="FAE519" s="1358"/>
      <c r="FAF519" s="1358"/>
      <c r="FAG519" s="1358"/>
      <c r="FAH519" s="1358"/>
      <c r="FAI519" s="1358"/>
      <c r="FAJ519" s="1358"/>
      <c r="FAK519" s="1358"/>
      <c r="FAL519" s="1358"/>
      <c r="FAM519" s="1358"/>
      <c r="FAN519" s="1358"/>
      <c r="FAO519" s="1358"/>
      <c r="FAP519" s="1358"/>
      <c r="FAQ519" s="1358"/>
      <c r="FAR519" s="1358"/>
      <c r="FAS519" s="1358"/>
      <c r="FAT519" s="1358"/>
      <c r="FAU519" s="1358"/>
      <c r="FAV519" s="1358"/>
      <c r="FAW519" s="1358"/>
      <c r="FAX519" s="1358"/>
      <c r="FAY519" s="1358"/>
      <c r="FAZ519" s="1358"/>
      <c r="FBA519" s="1358"/>
      <c r="FBB519" s="1358"/>
      <c r="FBC519" s="1358"/>
      <c r="FBD519" s="1358"/>
      <c r="FBE519" s="1358"/>
      <c r="FBF519" s="1358"/>
      <c r="FBG519" s="1358"/>
      <c r="FBH519" s="1358"/>
      <c r="FBI519" s="1358"/>
      <c r="FBJ519" s="1358"/>
      <c r="FBK519" s="1358"/>
      <c r="FBL519" s="1358"/>
      <c r="FBM519" s="1358"/>
      <c r="FBN519" s="1358"/>
      <c r="FBO519" s="1358"/>
      <c r="FBP519" s="1358"/>
      <c r="FBQ519" s="1358"/>
      <c r="FBR519" s="1358"/>
      <c r="FBS519" s="1358"/>
      <c r="FBT519" s="1358"/>
      <c r="FBU519" s="1358"/>
      <c r="FBV519" s="1358"/>
      <c r="FBW519" s="1358"/>
      <c r="FBX519" s="1358"/>
      <c r="FBY519" s="1358"/>
      <c r="FBZ519" s="1358"/>
      <c r="FCA519" s="1358"/>
      <c r="FCB519" s="1358"/>
      <c r="FCC519" s="1358"/>
      <c r="FCD519" s="1358"/>
      <c r="FCE519" s="1358"/>
      <c r="FCF519" s="1358"/>
      <c r="FCG519" s="1358"/>
      <c r="FCH519" s="1358"/>
      <c r="FCI519" s="1358"/>
      <c r="FCJ519" s="1358"/>
      <c r="FCK519" s="1358"/>
      <c r="FCL519" s="1358"/>
      <c r="FCM519" s="1358"/>
      <c r="FCN519" s="1358"/>
      <c r="FCO519" s="1358"/>
      <c r="FCP519" s="1358"/>
      <c r="FCQ519" s="1358"/>
      <c r="FCR519" s="1358"/>
      <c r="FCS519" s="1358"/>
      <c r="FCT519" s="1358"/>
      <c r="FCU519" s="1358"/>
      <c r="FCV519" s="1358"/>
      <c r="FCW519" s="1358"/>
      <c r="FCX519" s="1358"/>
      <c r="FCY519" s="1358"/>
      <c r="FCZ519" s="1358"/>
      <c r="FDA519" s="1358"/>
      <c r="FDB519" s="1358"/>
      <c r="FDC519" s="1358"/>
      <c r="FDD519" s="1358"/>
      <c r="FDE519" s="1358"/>
      <c r="FDF519" s="1358"/>
      <c r="FDG519" s="1358"/>
      <c r="FDH519" s="1358"/>
      <c r="FDI519" s="1358"/>
      <c r="FDJ519" s="1358"/>
      <c r="FDK519" s="1358"/>
      <c r="FDL519" s="1358"/>
      <c r="FDM519" s="1358"/>
      <c r="FDN519" s="1358"/>
      <c r="FDO519" s="1358"/>
      <c r="FDP519" s="1358"/>
      <c r="FDQ519" s="1358"/>
      <c r="FDR519" s="1358"/>
      <c r="FDS519" s="1358"/>
      <c r="FDT519" s="1358"/>
      <c r="FDU519" s="1358"/>
      <c r="FDV519" s="1358"/>
      <c r="FDW519" s="1358"/>
      <c r="FDX519" s="1358"/>
      <c r="FDY519" s="1358"/>
      <c r="FDZ519" s="1358"/>
      <c r="FEA519" s="1358"/>
      <c r="FEB519" s="1358"/>
      <c r="FEC519" s="1358"/>
      <c r="FED519" s="1358"/>
      <c r="FEE519" s="1358"/>
      <c r="FEF519" s="1358"/>
      <c r="FEG519" s="1358"/>
      <c r="FEH519" s="1358"/>
      <c r="FEI519" s="1358"/>
      <c r="FEJ519" s="1358"/>
      <c r="FEK519" s="1358"/>
      <c r="FEL519" s="1358"/>
      <c r="FEM519" s="1358"/>
      <c r="FEN519" s="1358"/>
      <c r="FEO519" s="1358"/>
      <c r="FEP519" s="1358"/>
      <c r="FEQ519" s="1358"/>
      <c r="FER519" s="1358"/>
      <c r="FES519" s="1358"/>
      <c r="FET519" s="1358"/>
      <c r="FEU519" s="1358"/>
      <c r="FEV519" s="1358"/>
      <c r="FEW519" s="1358"/>
      <c r="FEX519" s="1358"/>
      <c r="FEY519" s="1358"/>
      <c r="FEZ519" s="1358"/>
      <c r="FFA519" s="1358"/>
      <c r="FFB519" s="1358"/>
      <c r="FFC519" s="1358"/>
      <c r="FFD519" s="1358"/>
      <c r="FFE519" s="1358"/>
      <c r="FFF519" s="1358"/>
      <c r="FFG519" s="1358"/>
      <c r="FFH519" s="1358"/>
      <c r="FFI519" s="1358"/>
      <c r="FFJ519" s="1358"/>
      <c r="FFK519" s="1358"/>
      <c r="FFL519" s="1358"/>
      <c r="FFM519" s="1358"/>
      <c r="FFN519" s="1358"/>
      <c r="FFO519" s="1358"/>
      <c r="FFP519" s="1358"/>
      <c r="FFQ519" s="1358"/>
      <c r="FFR519" s="1358"/>
      <c r="FFS519" s="1358"/>
      <c r="FFT519" s="1358"/>
      <c r="FFU519" s="1358"/>
      <c r="FFV519" s="1358"/>
      <c r="FFW519" s="1358"/>
      <c r="FFX519" s="1358"/>
      <c r="FFY519" s="1358"/>
      <c r="FFZ519" s="1358"/>
      <c r="FGA519" s="1358"/>
      <c r="FGB519" s="1358"/>
      <c r="FGC519" s="1358"/>
      <c r="FGD519" s="1358"/>
      <c r="FGE519" s="1358"/>
      <c r="FGF519" s="1358"/>
      <c r="FGG519" s="1358"/>
      <c r="FGH519" s="1358"/>
      <c r="FGI519" s="1358"/>
      <c r="FGJ519" s="1358"/>
      <c r="FGK519" s="1358"/>
      <c r="FGL519" s="1358"/>
      <c r="FGM519" s="1358"/>
      <c r="FGN519" s="1358"/>
      <c r="FGO519" s="1358"/>
      <c r="FGP519" s="1358"/>
      <c r="FGQ519" s="1358"/>
      <c r="FGR519" s="1358"/>
      <c r="FGS519" s="1358"/>
      <c r="FGT519" s="1358"/>
      <c r="FGU519" s="1358"/>
      <c r="FGV519" s="1358"/>
      <c r="FGW519" s="1358"/>
      <c r="FGX519" s="1358"/>
      <c r="FGY519" s="1358"/>
      <c r="FGZ519" s="1358"/>
      <c r="FHA519" s="1358"/>
      <c r="FHB519" s="1358"/>
      <c r="FHC519" s="1358"/>
      <c r="FHD519" s="1358"/>
      <c r="FHE519" s="1358"/>
      <c r="FHF519" s="1358"/>
      <c r="FHG519" s="1358"/>
      <c r="FHH519" s="1358"/>
      <c r="FHI519" s="1358"/>
      <c r="FHJ519" s="1358"/>
      <c r="FHK519" s="1358"/>
      <c r="FHL519" s="1358"/>
      <c r="FHM519" s="1358"/>
      <c r="FHN519" s="1358"/>
      <c r="FHO519" s="1358"/>
      <c r="FHP519" s="1358"/>
      <c r="FHQ519" s="1358"/>
      <c r="FHR519" s="1358"/>
      <c r="FHS519" s="1358"/>
      <c r="FHT519" s="1358"/>
      <c r="FHU519" s="1358"/>
      <c r="FHV519" s="1358"/>
      <c r="FHW519" s="1358"/>
      <c r="FHX519" s="1358"/>
      <c r="FHY519" s="1358"/>
      <c r="FHZ519" s="1358"/>
      <c r="FIA519" s="1358"/>
      <c r="FIB519" s="1358"/>
      <c r="FIC519" s="1358"/>
      <c r="FID519" s="1358"/>
      <c r="FIE519" s="1358"/>
      <c r="FIF519" s="1358"/>
      <c r="FIG519" s="1358"/>
      <c r="FIH519" s="1358"/>
      <c r="FII519" s="1358"/>
      <c r="FIJ519" s="1358"/>
      <c r="FIK519" s="1358"/>
      <c r="FIL519" s="1358"/>
      <c r="FIM519" s="1358"/>
      <c r="FIN519" s="1358"/>
      <c r="FIO519" s="1358"/>
      <c r="FIP519" s="1358"/>
      <c r="FIQ519" s="1358"/>
      <c r="FIR519" s="1358"/>
      <c r="FIS519" s="1358"/>
      <c r="FIT519" s="1358"/>
      <c r="FIU519" s="1358"/>
      <c r="FIV519" s="1358"/>
      <c r="FIW519" s="1358"/>
      <c r="FIX519" s="1358"/>
      <c r="FIY519" s="1358"/>
      <c r="FIZ519" s="1358"/>
      <c r="FJA519" s="1358"/>
      <c r="FJB519" s="1358"/>
      <c r="FJC519" s="1358"/>
      <c r="FJD519" s="1358"/>
      <c r="FJE519" s="1358"/>
      <c r="FJF519" s="1358"/>
      <c r="FJG519" s="1358"/>
      <c r="FJH519" s="1358"/>
      <c r="FJI519" s="1358"/>
      <c r="FJJ519" s="1358"/>
      <c r="FJK519" s="1358"/>
      <c r="FJL519" s="1358"/>
      <c r="FJM519" s="1358"/>
      <c r="FJN519" s="1358"/>
      <c r="FJO519" s="1358"/>
      <c r="FJP519" s="1358"/>
      <c r="FJQ519" s="1358"/>
      <c r="FJR519" s="1358"/>
      <c r="FJS519" s="1358"/>
      <c r="FJT519" s="1358"/>
      <c r="FJU519" s="1358"/>
      <c r="FJV519" s="1358"/>
      <c r="FJW519" s="1358"/>
      <c r="FJX519" s="1358"/>
      <c r="FJY519" s="1358"/>
      <c r="FJZ519" s="1358"/>
      <c r="FKA519" s="1358"/>
      <c r="FKB519" s="1358"/>
      <c r="FKC519" s="1358"/>
      <c r="FKD519" s="1358"/>
      <c r="FKE519" s="1358"/>
      <c r="FKF519" s="1358"/>
      <c r="FKG519" s="1358"/>
      <c r="FKH519" s="1358"/>
      <c r="FKI519" s="1358"/>
      <c r="FKJ519" s="1358"/>
      <c r="FKK519" s="1358"/>
      <c r="FKL519" s="1358"/>
      <c r="FKM519" s="1358"/>
      <c r="FKN519" s="1358"/>
      <c r="FKO519" s="1358"/>
      <c r="FKP519" s="1358"/>
      <c r="FKQ519" s="1358"/>
      <c r="FKR519" s="1358"/>
      <c r="FKS519" s="1358"/>
      <c r="FKT519" s="1358"/>
      <c r="FKU519" s="1358"/>
      <c r="FKV519" s="1358"/>
      <c r="FKW519" s="1358"/>
      <c r="FKX519" s="1358"/>
      <c r="FKY519" s="1358"/>
      <c r="FKZ519" s="1358"/>
      <c r="FLA519" s="1358"/>
      <c r="FLB519" s="1358"/>
      <c r="FLC519" s="1358"/>
      <c r="FLD519" s="1358"/>
      <c r="FLE519" s="1358"/>
      <c r="FLF519" s="1358"/>
      <c r="FLG519" s="1358"/>
      <c r="FLH519" s="1358"/>
      <c r="FLI519" s="1358"/>
      <c r="FLJ519" s="1358"/>
      <c r="FLK519" s="1358"/>
      <c r="FLL519" s="1358"/>
      <c r="FLM519" s="1358"/>
      <c r="FLN519" s="1358"/>
      <c r="FLO519" s="1358"/>
      <c r="FLP519" s="1358"/>
      <c r="FLQ519" s="1358"/>
      <c r="FLR519" s="1358"/>
      <c r="FLS519" s="1358"/>
      <c r="FLT519" s="1358"/>
      <c r="FLU519" s="1358"/>
      <c r="FLV519" s="1358"/>
      <c r="FLW519" s="1358"/>
      <c r="FLX519" s="1358"/>
      <c r="FLY519" s="1358"/>
      <c r="FLZ519" s="1358"/>
      <c r="FMA519" s="1358"/>
      <c r="FMB519" s="1358"/>
      <c r="FMC519" s="1358"/>
      <c r="FMD519" s="1358"/>
      <c r="FME519" s="1358"/>
      <c r="FMF519" s="1358"/>
      <c r="FMG519" s="1358"/>
      <c r="FMH519" s="1358"/>
      <c r="FMI519" s="1358"/>
      <c r="FMJ519" s="1358"/>
      <c r="FMK519" s="1358"/>
      <c r="FML519" s="1358"/>
      <c r="FMM519" s="1358"/>
      <c r="FMN519" s="1358"/>
      <c r="FMO519" s="1358"/>
      <c r="FMP519" s="1358"/>
      <c r="FMQ519" s="1358"/>
      <c r="FMR519" s="1358"/>
      <c r="FMS519" s="1358"/>
      <c r="FMT519" s="1358"/>
      <c r="FMU519" s="1358"/>
      <c r="FMV519" s="1358"/>
      <c r="FMW519" s="1358"/>
      <c r="FMX519" s="1358"/>
      <c r="FMY519" s="1358"/>
      <c r="FMZ519" s="1358"/>
      <c r="FNA519" s="1358"/>
      <c r="FNB519" s="1358"/>
      <c r="FNC519" s="1358"/>
      <c r="FND519" s="1358"/>
      <c r="FNE519" s="1358"/>
      <c r="FNF519" s="1358"/>
      <c r="FNG519" s="1358"/>
      <c r="FNH519" s="1358"/>
      <c r="FNI519" s="1358"/>
      <c r="FNJ519" s="1358"/>
      <c r="FNK519" s="1358"/>
      <c r="FNL519" s="1358"/>
      <c r="FNM519" s="1358"/>
      <c r="FNN519" s="1358"/>
      <c r="FNO519" s="1358"/>
      <c r="FNP519" s="1358"/>
      <c r="FNQ519" s="1358"/>
      <c r="FNR519" s="1358"/>
      <c r="FNS519" s="1358"/>
      <c r="FNT519" s="1358"/>
      <c r="FNU519" s="1358"/>
      <c r="FNV519" s="1358"/>
      <c r="FNW519" s="1358"/>
      <c r="FNX519" s="1358"/>
      <c r="FNY519" s="1358"/>
      <c r="FNZ519" s="1358"/>
      <c r="FOA519" s="1358"/>
      <c r="FOB519" s="1358"/>
      <c r="FOC519" s="1358"/>
      <c r="FOD519" s="1358"/>
      <c r="FOE519" s="1358"/>
      <c r="FOF519" s="1358"/>
      <c r="FOG519" s="1358"/>
      <c r="FOH519" s="1358"/>
      <c r="FOI519" s="1358"/>
      <c r="FOJ519" s="1358"/>
      <c r="FOK519" s="1358"/>
      <c r="FOL519" s="1358"/>
      <c r="FOM519" s="1358"/>
      <c r="FON519" s="1358"/>
      <c r="FOO519" s="1358"/>
      <c r="FOP519" s="1358"/>
      <c r="FOQ519" s="1358"/>
      <c r="FOR519" s="1358"/>
      <c r="FOS519" s="1358"/>
      <c r="FOT519" s="1358"/>
      <c r="FOU519" s="1358"/>
      <c r="FOV519" s="1358"/>
      <c r="FOW519" s="1358"/>
      <c r="FOX519" s="1358"/>
      <c r="FOY519" s="1358"/>
      <c r="FOZ519" s="1358"/>
      <c r="FPA519" s="1358"/>
      <c r="FPB519" s="1358"/>
      <c r="FPC519" s="1358"/>
      <c r="FPD519" s="1358"/>
      <c r="FPE519" s="1358"/>
      <c r="FPF519" s="1358"/>
      <c r="FPG519" s="1358"/>
      <c r="FPH519" s="1358"/>
      <c r="FPI519" s="1358"/>
      <c r="FPJ519" s="1358"/>
      <c r="FPK519" s="1358"/>
      <c r="FPL519" s="1358"/>
      <c r="FPM519" s="1358"/>
      <c r="FPN519" s="1358"/>
      <c r="FPO519" s="1358"/>
      <c r="FPP519" s="1358"/>
      <c r="FPQ519" s="1358"/>
      <c r="FPR519" s="1358"/>
      <c r="FPS519" s="1358"/>
      <c r="FPT519" s="1358"/>
      <c r="FPU519" s="1358"/>
      <c r="FPV519" s="1358"/>
      <c r="FPW519" s="1358"/>
      <c r="FPX519" s="1358"/>
      <c r="FPY519" s="1358"/>
      <c r="FPZ519" s="1358"/>
      <c r="FQA519" s="1358"/>
      <c r="FQB519" s="1358"/>
      <c r="FQC519" s="1358"/>
      <c r="FQD519" s="1358"/>
      <c r="FQE519" s="1358"/>
      <c r="FQF519" s="1358"/>
      <c r="FQG519" s="1358"/>
      <c r="FQH519" s="1358"/>
      <c r="FQI519" s="1358"/>
      <c r="FQJ519" s="1358"/>
      <c r="FQK519" s="1358"/>
      <c r="FQL519" s="1358"/>
      <c r="FQM519" s="1358"/>
      <c r="FQN519" s="1358"/>
      <c r="FQO519" s="1358"/>
      <c r="FQP519" s="1358"/>
      <c r="FQQ519" s="1358"/>
      <c r="FQR519" s="1358"/>
      <c r="FQS519" s="1358"/>
      <c r="FQT519" s="1358"/>
      <c r="FQU519" s="1358"/>
      <c r="FQV519" s="1358"/>
      <c r="FQW519" s="1358"/>
      <c r="FQX519" s="1358"/>
      <c r="FQY519" s="1358"/>
      <c r="FQZ519" s="1358"/>
      <c r="FRA519" s="1358"/>
      <c r="FRB519" s="1358"/>
      <c r="FRC519" s="1358"/>
      <c r="FRD519" s="1358"/>
      <c r="FRE519" s="1358"/>
      <c r="FRF519" s="1358"/>
      <c r="FRG519" s="1358"/>
      <c r="FRH519" s="1358"/>
      <c r="FRI519" s="1358"/>
      <c r="FRJ519" s="1358"/>
      <c r="FRK519" s="1358"/>
      <c r="FRL519" s="1358"/>
      <c r="FRM519" s="1358"/>
      <c r="FRN519" s="1358"/>
      <c r="FRO519" s="1358"/>
      <c r="FRP519" s="1358"/>
      <c r="FRQ519" s="1358"/>
      <c r="FRR519" s="1358"/>
      <c r="FRS519" s="1358"/>
      <c r="FRT519" s="1358"/>
      <c r="FRU519" s="1358"/>
      <c r="FRV519" s="1358"/>
      <c r="FRW519" s="1358"/>
      <c r="FRX519" s="1358"/>
      <c r="FRY519" s="1358"/>
      <c r="FRZ519" s="1358"/>
      <c r="FSA519" s="1358"/>
      <c r="FSB519" s="1358"/>
      <c r="FSC519" s="1358"/>
      <c r="FSD519" s="1358"/>
      <c r="FSE519" s="1358"/>
      <c r="FSF519" s="1358"/>
      <c r="FSG519" s="1358"/>
      <c r="FSH519" s="1358"/>
      <c r="FSI519" s="1358"/>
      <c r="FSJ519" s="1358"/>
      <c r="FSK519" s="1358"/>
      <c r="FSL519" s="1358"/>
      <c r="FSM519" s="1358"/>
      <c r="FSN519" s="1358"/>
      <c r="FSO519" s="1358"/>
      <c r="FSP519" s="1358"/>
      <c r="FSQ519" s="1358"/>
      <c r="FSR519" s="1358"/>
      <c r="FSS519" s="1358"/>
      <c r="FST519" s="1358"/>
      <c r="FSU519" s="1358"/>
      <c r="FSV519" s="1358"/>
      <c r="FSW519" s="1358"/>
      <c r="FSX519" s="1358"/>
      <c r="FSY519" s="1358"/>
      <c r="FSZ519" s="1358"/>
      <c r="FTA519" s="1358"/>
      <c r="FTB519" s="1358"/>
      <c r="FTC519" s="1358"/>
      <c r="FTD519" s="1358"/>
      <c r="FTE519" s="1358"/>
      <c r="FTF519" s="1358"/>
      <c r="FTG519" s="1358"/>
      <c r="FTH519" s="1358"/>
      <c r="FTI519" s="1358"/>
      <c r="FTJ519" s="1358"/>
      <c r="FTK519" s="1358"/>
      <c r="FTL519" s="1358"/>
      <c r="FTM519" s="1358"/>
      <c r="FTN519" s="1358"/>
      <c r="FTO519" s="1358"/>
      <c r="FTP519" s="1358"/>
      <c r="FTQ519" s="1358"/>
      <c r="FTR519" s="1358"/>
      <c r="FTS519" s="1358"/>
      <c r="FTT519" s="1358"/>
      <c r="FTU519" s="1358"/>
      <c r="FTV519" s="1358"/>
      <c r="FTW519" s="1358"/>
      <c r="FTX519" s="1358"/>
      <c r="FTY519" s="1358"/>
      <c r="FTZ519" s="1358"/>
      <c r="FUA519" s="1358"/>
      <c r="FUB519" s="1358"/>
      <c r="FUC519" s="1358"/>
      <c r="FUD519" s="1358"/>
      <c r="FUE519" s="1358"/>
      <c r="FUF519" s="1358"/>
      <c r="FUG519" s="1358"/>
      <c r="FUH519" s="1358"/>
      <c r="FUI519" s="1358"/>
      <c r="FUJ519" s="1358"/>
      <c r="FUK519" s="1358"/>
      <c r="FUL519" s="1358"/>
      <c r="FUM519" s="1358"/>
      <c r="FUN519" s="1358"/>
      <c r="FUO519" s="1358"/>
      <c r="FUP519" s="1358"/>
      <c r="FUQ519" s="1358"/>
      <c r="FUR519" s="1358"/>
      <c r="FUS519" s="1358"/>
      <c r="FUT519" s="1358"/>
      <c r="FUU519" s="1358"/>
      <c r="FUV519" s="1358"/>
      <c r="FUW519" s="1358"/>
      <c r="FUX519" s="1358"/>
      <c r="FUY519" s="1358"/>
      <c r="FUZ519" s="1358"/>
      <c r="FVA519" s="1358"/>
      <c r="FVB519" s="1358"/>
      <c r="FVC519" s="1358"/>
      <c r="FVD519" s="1358"/>
      <c r="FVE519" s="1358"/>
      <c r="FVF519" s="1358"/>
      <c r="FVG519" s="1358"/>
      <c r="FVH519" s="1358"/>
      <c r="FVI519" s="1358"/>
      <c r="FVJ519" s="1358"/>
      <c r="FVK519" s="1358"/>
      <c r="FVL519" s="1358"/>
      <c r="FVM519" s="1358"/>
      <c r="FVN519" s="1358"/>
      <c r="FVO519" s="1358"/>
      <c r="FVP519" s="1358"/>
      <c r="FVQ519" s="1358"/>
      <c r="FVR519" s="1358"/>
      <c r="FVS519" s="1358"/>
      <c r="FVT519" s="1358"/>
      <c r="FVU519" s="1358"/>
      <c r="FVV519" s="1358"/>
      <c r="FVW519" s="1358"/>
      <c r="FVX519" s="1358"/>
      <c r="FVY519" s="1358"/>
      <c r="FVZ519" s="1358"/>
      <c r="FWA519" s="1358"/>
      <c r="FWB519" s="1358"/>
      <c r="FWC519" s="1358"/>
      <c r="FWD519" s="1358"/>
      <c r="FWE519" s="1358"/>
      <c r="FWF519" s="1358"/>
      <c r="FWG519" s="1358"/>
      <c r="FWH519" s="1358"/>
      <c r="FWI519" s="1358"/>
      <c r="FWJ519" s="1358"/>
      <c r="FWK519" s="1358"/>
      <c r="FWL519" s="1358"/>
      <c r="FWM519" s="1358"/>
      <c r="FWN519" s="1358"/>
      <c r="FWO519" s="1358"/>
      <c r="FWP519" s="1358"/>
      <c r="FWQ519" s="1358"/>
      <c r="FWR519" s="1358"/>
      <c r="FWS519" s="1358"/>
      <c r="FWT519" s="1358"/>
      <c r="FWU519" s="1358"/>
      <c r="FWV519" s="1358"/>
      <c r="FWW519" s="1358"/>
      <c r="FWX519" s="1358"/>
      <c r="FWY519" s="1358"/>
      <c r="FWZ519" s="1358"/>
      <c r="FXA519" s="1358"/>
      <c r="FXB519" s="1358"/>
      <c r="FXC519" s="1358"/>
      <c r="FXD519" s="1358"/>
      <c r="FXE519" s="1358"/>
      <c r="FXF519" s="1358"/>
      <c r="FXG519" s="1358"/>
      <c r="FXH519" s="1358"/>
      <c r="FXI519" s="1358"/>
      <c r="FXJ519" s="1358"/>
      <c r="FXK519" s="1358"/>
      <c r="FXL519" s="1358"/>
      <c r="FXM519" s="1358"/>
      <c r="FXN519" s="1358"/>
      <c r="FXO519" s="1358"/>
      <c r="FXP519" s="1358"/>
      <c r="FXQ519" s="1358"/>
      <c r="FXR519" s="1358"/>
      <c r="FXS519" s="1358"/>
      <c r="FXT519" s="1358"/>
      <c r="FXU519" s="1358"/>
      <c r="FXV519" s="1358"/>
      <c r="FXW519" s="1358"/>
      <c r="FXX519" s="1358"/>
      <c r="FXY519" s="1358"/>
      <c r="FXZ519" s="1358"/>
      <c r="FYA519" s="1358"/>
      <c r="FYB519" s="1358"/>
      <c r="FYC519" s="1358"/>
      <c r="FYD519" s="1358"/>
      <c r="FYE519" s="1358"/>
      <c r="FYF519" s="1358"/>
      <c r="FYG519" s="1358"/>
      <c r="FYH519" s="1358"/>
      <c r="FYI519" s="1358"/>
      <c r="FYJ519" s="1358"/>
      <c r="FYK519" s="1358"/>
      <c r="FYL519" s="1358"/>
      <c r="FYM519" s="1358"/>
      <c r="FYN519" s="1358"/>
      <c r="FYO519" s="1358"/>
      <c r="FYP519" s="1358"/>
      <c r="FYQ519" s="1358"/>
      <c r="FYR519" s="1358"/>
      <c r="FYS519" s="1358"/>
      <c r="FYT519" s="1358"/>
      <c r="FYU519" s="1358"/>
      <c r="FYV519" s="1358"/>
      <c r="FYW519" s="1358"/>
      <c r="FYX519" s="1358"/>
      <c r="FYY519" s="1358"/>
      <c r="FYZ519" s="1358"/>
      <c r="FZA519" s="1358"/>
      <c r="FZB519" s="1358"/>
      <c r="FZC519" s="1358"/>
      <c r="FZD519" s="1358"/>
      <c r="FZE519" s="1358"/>
      <c r="FZF519" s="1358"/>
      <c r="FZG519" s="1358"/>
      <c r="FZH519" s="1358"/>
      <c r="FZI519" s="1358"/>
      <c r="FZJ519" s="1358"/>
      <c r="FZK519" s="1358"/>
      <c r="FZL519" s="1358"/>
      <c r="FZM519" s="1358"/>
      <c r="FZN519" s="1358"/>
      <c r="FZO519" s="1358"/>
      <c r="FZP519" s="1358"/>
      <c r="FZQ519" s="1358"/>
      <c r="FZR519" s="1358"/>
      <c r="FZS519" s="1358"/>
      <c r="FZT519" s="1358"/>
      <c r="FZU519" s="1358"/>
      <c r="FZV519" s="1358"/>
      <c r="FZW519" s="1358"/>
      <c r="FZX519" s="1358"/>
      <c r="FZY519" s="1358"/>
      <c r="FZZ519" s="1358"/>
      <c r="GAA519" s="1358"/>
      <c r="GAB519" s="1358"/>
      <c r="GAC519" s="1358"/>
      <c r="GAD519" s="1358"/>
      <c r="GAE519" s="1358"/>
      <c r="GAF519" s="1358"/>
      <c r="GAG519" s="1358"/>
      <c r="GAH519" s="1358"/>
      <c r="GAI519" s="1358"/>
      <c r="GAJ519" s="1358"/>
      <c r="GAK519" s="1358"/>
      <c r="GAL519" s="1358"/>
      <c r="GAM519" s="1358"/>
      <c r="GAN519" s="1358"/>
      <c r="GAO519" s="1358"/>
      <c r="GAP519" s="1358"/>
      <c r="GAQ519" s="1358"/>
      <c r="GAR519" s="1358"/>
      <c r="GAS519" s="1358"/>
      <c r="GAT519" s="1358"/>
      <c r="GAU519" s="1358"/>
      <c r="GAV519" s="1358"/>
      <c r="GAW519" s="1358"/>
      <c r="GAX519" s="1358"/>
      <c r="GAY519" s="1358"/>
      <c r="GAZ519" s="1358"/>
      <c r="GBA519" s="1358"/>
      <c r="GBB519" s="1358"/>
      <c r="GBC519" s="1358"/>
      <c r="GBD519" s="1358"/>
      <c r="GBE519" s="1358"/>
      <c r="GBF519" s="1358"/>
      <c r="GBG519" s="1358"/>
      <c r="GBH519" s="1358"/>
      <c r="GBI519" s="1358"/>
      <c r="GBJ519" s="1358"/>
      <c r="GBK519" s="1358"/>
      <c r="GBL519" s="1358"/>
      <c r="GBM519" s="1358"/>
      <c r="GBN519" s="1358"/>
      <c r="GBO519" s="1358"/>
      <c r="GBP519" s="1358"/>
      <c r="GBQ519" s="1358"/>
      <c r="GBR519" s="1358"/>
      <c r="GBS519" s="1358"/>
      <c r="GBT519" s="1358"/>
      <c r="GBU519" s="1358"/>
      <c r="GBV519" s="1358"/>
      <c r="GBW519" s="1358"/>
      <c r="GBX519" s="1358"/>
      <c r="GBY519" s="1358"/>
      <c r="GBZ519" s="1358"/>
      <c r="GCA519" s="1358"/>
      <c r="GCB519" s="1358"/>
      <c r="GCC519" s="1358"/>
      <c r="GCD519" s="1358"/>
      <c r="GCE519" s="1358"/>
      <c r="GCF519" s="1358"/>
      <c r="GCG519" s="1358"/>
      <c r="GCH519" s="1358"/>
      <c r="GCI519" s="1358"/>
      <c r="GCJ519" s="1358"/>
      <c r="GCK519" s="1358"/>
      <c r="GCL519" s="1358"/>
      <c r="GCM519" s="1358"/>
      <c r="GCN519" s="1358"/>
      <c r="GCO519" s="1358"/>
      <c r="GCP519" s="1358"/>
      <c r="GCQ519" s="1358"/>
      <c r="GCR519" s="1358"/>
      <c r="GCS519" s="1358"/>
      <c r="GCT519" s="1358"/>
      <c r="GCU519" s="1358"/>
      <c r="GCV519" s="1358"/>
      <c r="GCW519" s="1358"/>
      <c r="GCX519" s="1358"/>
      <c r="GCY519" s="1358"/>
      <c r="GCZ519" s="1358"/>
      <c r="GDA519" s="1358"/>
      <c r="GDB519" s="1358"/>
      <c r="GDC519" s="1358"/>
      <c r="GDD519" s="1358"/>
      <c r="GDE519" s="1358"/>
      <c r="GDF519" s="1358"/>
      <c r="GDG519" s="1358"/>
      <c r="GDH519" s="1358"/>
      <c r="GDI519" s="1358"/>
      <c r="GDJ519" s="1358"/>
      <c r="GDK519" s="1358"/>
      <c r="GDL519" s="1358"/>
      <c r="GDM519" s="1358"/>
      <c r="GDN519" s="1358"/>
      <c r="GDO519" s="1358"/>
      <c r="GDP519" s="1358"/>
      <c r="GDQ519" s="1358"/>
      <c r="GDR519" s="1358"/>
      <c r="GDS519" s="1358"/>
      <c r="GDT519" s="1358"/>
      <c r="GDU519" s="1358"/>
      <c r="GDV519" s="1358"/>
      <c r="GDW519" s="1358"/>
      <c r="GDX519" s="1358"/>
      <c r="GDY519" s="1358"/>
      <c r="GDZ519" s="1358"/>
      <c r="GEA519" s="1358"/>
      <c r="GEB519" s="1358"/>
      <c r="GEC519" s="1358"/>
      <c r="GED519" s="1358"/>
      <c r="GEE519" s="1358"/>
      <c r="GEF519" s="1358"/>
      <c r="GEG519" s="1358"/>
      <c r="GEH519" s="1358"/>
      <c r="GEI519" s="1358"/>
      <c r="GEJ519" s="1358"/>
      <c r="GEK519" s="1358"/>
      <c r="GEL519" s="1358"/>
      <c r="GEM519" s="1358"/>
      <c r="GEN519" s="1358"/>
      <c r="GEO519" s="1358"/>
      <c r="GEP519" s="1358"/>
      <c r="GEQ519" s="1358"/>
      <c r="GER519" s="1358"/>
      <c r="GES519" s="1358"/>
      <c r="GET519" s="1358"/>
      <c r="GEU519" s="1358"/>
      <c r="GEV519" s="1358"/>
      <c r="GEW519" s="1358"/>
      <c r="GEX519" s="1358"/>
      <c r="GEY519" s="1358"/>
      <c r="GEZ519" s="1358"/>
      <c r="GFA519" s="1358"/>
      <c r="GFB519" s="1358"/>
      <c r="GFC519" s="1358"/>
      <c r="GFD519" s="1358"/>
      <c r="GFE519" s="1358"/>
      <c r="GFF519" s="1358"/>
      <c r="GFG519" s="1358"/>
      <c r="GFH519" s="1358"/>
      <c r="GFI519" s="1358"/>
      <c r="GFJ519" s="1358"/>
      <c r="GFK519" s="1358"/>
      <c r="GFL519" s="1358"/>
      <c r="GFM519" s="1358"/>
      <c r="GFN519" s="1358"/>
      <c r="GFO519" s="1358"/>
      <c r="GFP519" s="1358"/>
      <c r="GFQ519" s="1358"/>
      <c r="GFR519" s="1358"/>
      <c r="GFS519" s="1358"/>
      <c r="GFT519" s="1358"/>
      <c r="GFU519" s="1358"/>
      <c r="GFV519" s="1358"/>
      <c r="GFW519" s="1358"/>
      <c r="GFX519" s="1358"/>
      <c r="GFY519" s="1358"/>
      <c r="GFZ519" s="1358"/>
      <c r="GGA519" s="1358"/>
      <c r="GGB519" s="1358"/>
      <c r="GGC519" s="1358"/>
      <c r="GGD519" s="1358"/>
      <c r="GGE519" s="1358"/>
      <c r="GGF519" s="1358"/>
      <c r="GGG519" s="1358"/>
      <c r="GGH519" s="1358"/>
      <c r="GGI519" s="1358"/>
      <c r="GGJ519" s="1358"/>
      <c r="GGK519" s="1358"/>
      <c r="GGL519" s="1358"/>
      <c r="GGM519" s="1358"/>
      <c r="GGN519" s="1358"/>
      <c r="GGO519" s="1358"/>
      <c r="GGP519" s="1358"/>
      <c r="GGQ519" s="1358"/>
      <c r="GGR519" s="1358"/>
      <c r="GGS519" s="1358"/>
      <c r="GGT519" s="1358"/>
      <c r="GGU519" s="1358"/>
      <c r="GGV519" s="1358"/>
      <c r="GGW519" s="1358"/>
      <c r="GGX519" s="1358"/>
      <c r="GGY519" s="1358"/>
      <c r="GGZ519" s="1358"/>
      <c r="GHA519" s="1358"/>
      <c r="GHB519" s="1358"/>
      <c r="GHC519" s="1358"/>
      <c r="GHD519" s="1358"/>
      <c r="GHE519" s="1358"/>
      <c r="GHF519" s="1358"/>
      <c r="GHG519" s="1358"/>
      <c r="GHH519" s="1358"/>
      <c r="GHI519" s="1358"/>
      <c r="GHJ519" s="1358"/>
      <c r="GHK519" s="1358"/>
      <c r="GHL519" s="1358"/>
      <c r="GHM519" s="1358"/>
      <c r="GHN519" s="1358"/>
      <c r="GHO519" s="1358"/>
      <c r="GHP519" s="1358"/>
      <c r="GHQ519" s="1358"/>
      <c r="GHR519" s="1358"/>
      <c r="GHS519" s="1358"/>
      <c r="GHT519" s="1358"/>
      <c r="GHU519" s="1358"/>
      <c r="GHV519" s="1358"/>
      <c r="GHW519" s="1358"/>
      <c r="GHX519" s="1358"/>
      <c r="GHY519" s="1358"/>
      <c r="GHZ519" s="1358"/>
      <c r="GIA519" s="1358"/>
      <c r="GIB519" s="1358"/>
      <c r="GIC519" s="1358"/>
      <c r="GID519" s="1358"/>
      <c r="GIE519" s="1358"/>
      <c r="GIF519" s="1358"/>
      <c r="GIG519" s="1358"/>
      <c r="GIH519" s="1358"/>
      <c r="GII519" s="1358"/>
      <c r="GIJ519" s="1358"/>
      <c r="GIK519" s="1358"/>
      <c r="GIL519" s="1358"/>
      <c r="GIM519" s="1358"/>
      <c r="GIN519" s="1358"/>
      <c r="GIO519" s="1358"/>
      <c r="GIP519" s="1358"/>
      <c r="GIQ519" s="1358"/>
      <c r="GIR519" s="1358"/>
      <c r="GIS519" s="1358"/>
      <c r="GIT519" s="1358"/>
      <c r="GIU519" s="1358"/>
      <c r="GIV519" s="1358"/>
      <c r="GIW519" s="1358"/>
      <c r="GIX519" s="1358"/>
      <c r="GIY519" s="1358"/>
      <c r="GIZ519" s="1358"/>
      <c r="GJA519" s="1358"/>
      <c r="GJB519" s="1358"/>
      <c r="GJC519" s="1358"/>
      <c r="GJD519" s="1358"/>
      <c r="GJE519" s="1358"/>
      <c r="GJF519" s="1358"/>
      <c r="GJG519" s="1358"/>
      <c r="GJH519" s="1358"/>
      <c r="GJI519" s="1358"/>
      <c r="GJJ519" s="1358"/>
      <c r="GJK519" s="1358"/>
      <c r="GJL519" s="1358"/>
      <c r="GJM519" s="1358"/>
      <c r="GJN519" s="1358"/>
      <c r="GJO519" s="1358"/>
      <c r="GJP519" s="1358"/>
      <c r="GJQ519" s="1358"/>
      <c r="GJR519" s="1358"/>
      <c r="GJS519" s="1358"/>
      <c r="GJT519" s="1358"/>
      <c r="GJU519" s="1358"/>
      <c r="GJV519" s="1358"/>
      <c r="GJW519" s="1358"/>
      <c r="GJX519" s="1358"/>
      <c r="GJY519" s="1358"/>
      <c r="GJZ519" s="1358"/>
      <c r="GKA519" s="1358"/>
      <c r="GKB519" s="1358"/>
      <c r="GKC519" s="1358"/>
      <c r="GKD519" s="1358"/>
      <c r="GKE519" s="1358"/>
      <c r="GKF519" s="1358"/>
      <c r="GKG519" s="1358"/>
      <c r="GKH519" s="1358"/>
      <c r="GKI519" s="1358"/>
      <c r="GKJ519" s="1358"/>
      <c r="GKK519" s="1358"/>
      <c r="GKL519" s="1358"/>
      <c r="GKM519" s="1358"/>
      <c r="GKN519" s="1358"/>
      <c r="GKO519" s="1358"/>
      <c r="GKP519" s="1358"/>
      <c r="GKQ519" s="1358"/>
      <c r="GKR519" s="1358"/>
      <c r="GKS519" s="1358"/>
      <c r="GKT519" s="1358"/>
      <c r="GKU519" s="1358"/>
      <c r="GKV519" s="1358"/>
      <c r="GKW519" s="1358"/>
      <c r="GKX519" s="1358"/>
      <c r="GKY519" s="1358"/>
      <c r="GKZ519" s="1358"/>
      <c r="GLA519" s="1358"/>
      <c r="GLB519" s="1358"/>
      <c r="GLC519" s="1358"/>
      <c r="GLD519" s="1358"/>
      <c r="GLE519" s="1358"/>
      <c r="GLF519" s="1358"/>
      <c r="GLG519" s="1358"/>
      <c r="GLH519" s="1358"/>
      <c r="GLI519" s="1358"/>
      <c r="GLJ519" s="1358"/>
      <c r="GLK519" s="1358"/>
      <c r="GLL519" s="1358"/>
      <c r="GLM519" s="1358"/>
      <c r="GLN519" s="1358"/>
      <c r="GLO519" s="1358"/>
      <c r="GLP519" s="1358"/>
      <c r="GLQ519" s="1358"/>
      <c r="GLR519" s="1358"/>
      <c r="GLS519" s="1358"/>
      <c r="GLT519" s="1358"/>
      <c r="GLU519" s="1358"/>
      <c r="GLV519" s="1358"/>
      <c r="GLW519" s="1358"/>
      <c r="GLX519" s="1358"/>
      <c r="GLY519" s="1358"/>
      <c r="GLZ519" s="1358"/>
      <c r="GMA519" s="1358"/>
      <c r="GMB519" s="1358"/>
      <c r="GMC519" s="1358"/>
      <c r="GMD519" s="1358"/>
      <c r="GME519" s="1358"/>
      <c r="GMF519" s="1358"/>
      <c r="GMG519" s="1358"/>
      <c r="GMH519" s="1358"/>
      <c r="GMI519" s="1358"/>
      <c r="GMJ519" s="1358"/>
      <c r="GMK519" s="1358"/>
      <c r="GML519" s="1358"/>
      <c r="GMM519" s="1358"/>
      <c r="GMN519" s="1358"/>
      <c r="GMO519" s="1358"/>
      <c r="GMP519" s="1358"/>
      <c r="GMQ519" s="1358"/>
      <c r="GMR519" s="1358"/>
      <c r="GMS519" s="1358"/>
      <c r="GMT519" s="1358"/>
      <c r="GMU519" s="1358"/>
      <c r="GMV519" s="1358"/>
      <c r="GMW519" s="1358"/>
      <c r="GMX519" s="1358"/>
      <c r="GMY519" s="1358"/>
      <c r="GMZ519" s="1358"/>
      <c r="GNA519" s="1358"/>
      <c r="GNB519" s="1358"/>
      <c r="GNC519" s="1358"/>
      <c r="GND519" s="1358"/>
      <c r="GNE519" s="1358"/>
      <c r="GNF519" s="1358"/>
      <c r="GNG519" s="1358"/>
      <c r="GNH519" s="1358"/>
      <c r="GNI519" s="1358"/>
      <c r="GNJ519" s="1358"/>
      <c r="GNK519" s="1358"/>
      <c r="GNL519" s="1358"/>
      <c r="GNM519" s="1358"/>
      <c r="GNN519" s="1358"/>
      <c r="GNO519" s="1358"/>
      <c r="GNP519" s="1358"/>
      <c r="GNQ519" s="1358"/>
      <c r="GNR519" s="1358"/>
      <c r="GNS519" s="1358"/>
      <c r="GNT519" s="1358"/>
      <c r="GNU519" s="1358"/>
      <c r="GNV519" s="1358"/>
      <c r="GNW519" s="1358"/>
      <c r="GNX519" s="1358"/>
      <c r="GNY519" s="1358"/>
      <c r="GNZ519" s="1358"/>
      <c r="GOA519" s="1358"/>
      <c r="GOB519" s="1358"/>
      <c r="GOC519" s="1358"/>
      <c r="GOD519" s="1358"/>
      <c r="GOE519" s="1358"/>
      <c r="GOF519" s="1358"/>
      <c r="GOG519" s="1358"/>
      <c r="GOH519" s="1358"/>
      <c r="GOI519" s="1358"/>
      <c r="GOJ519" s="1358"/>
      <c r="GOK519" s="1358"/>
      <c r="GOL519" s="1358"/>
      <c r="GOM519" s="1358"/>
      <c r="GON519" s="1358"/>
      <c r="GOO519" s="1358"/>
      <c r="GOP519" s="1358"/>
      <c r="GOQ519" s="1358"/>
      <c r="GOR519" s="1358"/>
      <c r="GOS519" s="1358"/>
      <c r="GOT519" s="1358"/>
      <c r="GOU519" s="1358"/>
      <c r="GOV519" s="1358"/>
      <c r="GOW519" s="1358"/>
      <c r="GOX519" s="1358"/>
      <c r="GOY519" s="1358"/>
      <c r="GOZ519" s="1358"/>
      <c r="GPA519" s="1358"/>
      <c r="GPB519" s="1358"/>
      <c r="GPC519" s="1358"/>
      <c r="GPD519" s="1358"/>
      <c r="GPE519" s="1358"/>
      <c r="GPF519" s="1358"/>
      <c r="GPG519" s="1358"/>
      <c r="GPH519" s="1358"/>
      <c r="GPI519" s="1358"/>
      <c r="GPJ519" s="1358"/>
      <c r="GPK519" s="1358"/>
      <c r="GPL519" s="1358"/>
      <c r="GPM519" s="1358"/>
      <c r="GPN519" s="1358"/>
      <c r="GPO519" s="1358"/>
      <c r="GPP519" s="1358"/>
      <c r="GPQ519" s="1358"/>
      <c r="GPR519" s="1358"/>
      <c r="GPS519" s="1358"/>
      <c r="GPT519" s="1358"/>
      <c r="GPU519" s="1358"/>
      <c r="GPV519" s="1358"/>
      <c r="GPW519" s="1358"/>
      <c r="GPX519" s="1358"/>
      <c r="GPY519" s="1358"/>
      <c r="GPZ519" s="1358"/>
      <c r="GQA519" s="1358"/>
      <c r="GQB519" s="1358"/>
      <c r="GQC519" s="1358"/>
      <c r="GQD519" s="1358"/>
      <c r="GQE519" s="1358"/>
      <c r="GQF519" s="1358"/>
      <c r="GQG519" s="1358"/>
      <c r="GQH519" s="1358"/>
      <c r="GQI519" s="1358"/>
      <c r="GQJ519" s="1358"/>
      <c r="GQK519" s="1358"/>
      <c r="GQL519" s="1358"/>
      <c r="GQM519" s="1358"/>
      <c r="GQN519" s="1358"/>
      <c r="GQO519" s="1358"/>
      <c r="GQP519" s="1358"/>
      <c r="GQQ519" s="1358"/>
      <c r="GQR519" s="1358"/>
      <c r="GQS519" s="1358"/>
      <c r="GQT519" s="1358"/>
      <c r="GQU519" s="1358"/>
      <c r="GQV519" s="1358"/>
      <c r="GQW519" s="1358"/>
      <c r="GQX519" s="1358"/>
      <c r="GQY519" s="1358"/>
      <c r="GQZ519" s="1358"/>
      <c r="GRA519" s="1358"/>
      <c r="GRB519" s="1358"/>
      <c r="GRC519" s="1358"/>
      <c r="GRD519" s="1358"/>
      <c r="GRE519" s="1358"/>
      <c r="GRF519" s="1358"/>
      <c r="GRG519" s="1358"/>
      <c r="GRH519" s="1358"/>
      <c r="GRI519" s="1358"/>
      <c r="GRJ519" s="1358"/>
      <c r="GRK519" s="1358"/>
      <c r="GRL519" s="1358"/>
      <c r="GRM519" s="1358"/>
      <c r="GRN519" s="1358"/>
      <c r="GRO519" s="1358"/>
      <c r="GRP519" s="1358"/>
      <c r="GRQ519" s="1358"/>
      <c r="GRR519" s="1358"/>
      <c r="GRS519" s="1358"/>
      <c r="GRT519" s="1358"/>
      <c r="GRU519" s="1358"/>
      <c r="GRV519" s="1358"/>
      <c r="GRW519" s="1358"/>
      <c r="GRX519" s="1358"/>
      <c r="GRY519" s="1358"/>
      <c r="GRZ519" s="1358"/>
      <c r="GSA519" s="1358"/>
      <c r="GSB519" s="1358"/>
      <c r="GSC519" s="1358"/>
      <c r="GSD519" s="1358"/>
      <c r="GSE519" s="1358"/>
      <c r="GSF519" s="1358"/>
      <c r="GSG519" s="1358"/>
      <c r="GSH519" s="1358"/>
      <c r="GSI519" s="1358"/>
      <c r="GSJ519" s="1358"/>
      <c r="GSK519" s="1358"/>
      <c r="GSL519" s="1358"/>
      <c r="GSM519" s="1358"/>
      <c r="GSN519" s="1358"/>
      <c r="GSO519" s="1358"/>
      <c r="GSP519" s="1358"/>
      <c r="GSQ519" s="1358"/>
      <c r="GSR519" s="1358"/>
      <c r="GSS519" s="1358"/>
      <c r="GST519" s="1358"/>
      <c r="GSU519" s="1358"/>
      <c r="GSV519" s="1358"/>
      <c r="GSW519" s="1358"/>
      <c r="GSX519" s="1358"/>
      <c r="GSY519" s="1358"/>
      <c r="GSZ519" s="1358"/>
      <c r="GTA519" s="1358"/>
      <c r="GTB519" s="1358"/>
      <c r="GTC519" s="1358"/>
      <c r="GTD519" s="1358"/>
      <c r="GTE519" s="1358"/>
      <c r="GTF519" s="1358"/>
      <c r="GTG519" s="1358"/>
      <c r="GTH519" s="1358"/>
      <c r="GTI519" s="1358"/>
      <c r="GTJ519" s="1358"/>
      <c r="GTK519" s="1358"/>
      <c r="GTL519" s="1358"/>
      <c r="GTM519" s="1358"/>
      <c r="GTN519" s="1358"/>
      <c r="GTO519" s="1358"/>
      <c r="GTP519" s="1358"/>
      <c r="GTQ519" s="1358"/>
      <c r="GTR519" s="1358"/>
      <c r="GTS519" s="1358"/>
      <c r="GTT519" s="1358"/>
      <c r="GTU519" s="1358"/>
      <c r="GTV519" s="1358"/>
      <c r="GTW519" s="1358"/>
      <c r="GTX519" s="1358"/>
      <c r="GTY519" s="1358"/>
      <c r="GTZ519" s="1358"/>
      <c r="GUA519" s="1358"/>
      <c r="GUB519" s="1358"/>
      <c r="GUC519" s="1358"/>
      <c r="GUD519" s="1358"/>
      <c r="GUE519" s="1358"/>
      <c r="GUF519" s="1358"/>
      <c r="GUG519" s="1358"/>
      <c r="GUH519" s="1358"/>
      <c r="GUI519" s="1358"/>
      <c r="GUJ519" s="1358"/>
      <c r="GUK519" s="1358"/>
      <c r="GUL519" s="1358"/>
      <c r="GUM519" s="1358"/>
      <c r="GUN519" s="1358"/>
      <c r="GUO519" s="1358"/>
      <c r="GUP519" s="1358"/>
      <c r="GUQ519" s="1358"/>
      <c r="GUR519" s="1358"/>
      <c r="GUS519" s="1358"/>
      <c r="GUT519" s="1358"/>
      <c r="GUU519" s="1358"/>
      <c r="GUV519" s="1358"/>
      <c r="GUW519" s="1358"/>
      <c r="GUX519" s="1358"/>
      <c r="GUY519" s="1358"/>
      <c r="GUZ519" s="1358"/>
      <c r="GVA519" s="1358"/>
      <c r="GVB519" s="1358"/>
      <c r="GVC519" s="1358"/>
      <c r="GVD519" s="1358"/>
      <c r="GVE519" s="1358"/>
      <c r="GVF519" s="1358"/>
      <c r="GVG519" s="1358"/>
      <c r="GVH519" s="1358"/>
      <c r="GVI519" s="1358"/>
      <c r="GVJ519" s="1358"/>
      <c r="GVK519" s="1358"/>
      <c r="GVL519" s="1358"/>
      <c r="GVM519" s="1358"/>
      <c r="GVN519" s="1358"/>
      <c r="GVO519" s="1358"/>
      <c r="GVP519" s="1358"/>
      <c r="GVQ519" s="1358"/>
      <c r="GVR519" s="1358"/>
      <c r="GVS519" s="1358"/>
      <c r="GVT519" s="1358"/>
      <c r="GVU519" s="1358"/>
      <c r="GVV519" s="1358"/>
      <c r="GVW519" s="1358"/>
      <c r="GVX519" s="1358"/>
      <c r="GVY519" s="1358"/>
      <c r="GVZ519" s="1358"/>
      <c r="GWA519" s="1358"/>
      <c r="GWB519" s="1358"/>
      <c r="GWC519" s="1358"/>
      <c r="GWD519" s="1358"/>
      <c r="GWE519" s="1358"/>
      <c r="GWF519" s="1358"/>
      <c r="GWG519" s="1358"/>
      <c r="GWH519" s="1358"/>
      <c r="GWI519" s="1358"/>
      <c r="GWJ519" s="1358"/>
      <c r="GWK519" s="1358"/>
      <c r="GWL519" s="1358"/>
      <c r="GWM519" s="1358"/>
      <c r="GWN519" s="1358"/>
      <c r="GWO519" s="1358"/>
      <c r="GWP519" s="1358"/>
      <c r="GWQ519" s="1358"/>
      <c r="GWR519" s="1358"/>
      <c r="GWS519" s="1358"/>
      <c r="GWT519" s="1358"/>
      <c r="GWU519" s="1358"/>
      <c r="GWV519" s="1358"/>
      <c r="GWW519" s="1358"/>
      <c r="GWX519" s="1358"/>
      <c r="GWY519" s="1358"/>
      <c r="GWZ519" s="1358"/>
      <c r="GXA519" s="1358"/>
      <c r="GXB519" s="1358"/>
      <c r="GXC519" s="1358"/>
      <c r="GXD519" s="1358"/>
      <c r="GXE519" s="1358"/>
      <c r="GXF519" s="1358"/>
      <c r="GXG519" s="1358"/>
      <c r="GXH519" s="1358"/>
      <c r="GXI519" s="1358"/>
      <c r="GXJ519" s="1358"/>
      <c r="GXK519" s="1358"/>
      <c r="GXL519" s="1358"/>
      <c r="GXM519" s="1358"/>
      <c r="GXN519" s="1358"/>
      <c r="GXO519" s="1358"/>
      <c r="GXP519" s="1358"/>
      <c r="GXQ519" s="1358"/>
      <c r="GXR519" s="1358"/>
      <c r="GXS519" s="1358"/>
      <c r="GXT519" s="1358"/>
      <c r="GXU519" s="1358"/>
      <c r="GXV519" s="1358"/>
      <c r="GXW519" s="1358"/>
      <c r="GXX519" s="1358"/>
      <c r="GXY519" s="1358"/>
      <c r="GXZ519" s="1358"/>
      <c r="GYA519" s="1358"/>
      <c r="GYB519" s="1358"/>
      <c r="GYC519" s="1358"/>
      <c r="GYD519" s="1358"/>
      <c r="GYE519" s="1358"/>
      <c r="GYF519" s="1358"/>
      <c r="GYG519" s="1358"/>
      <c r="GYH519" s="1358"/>
      <c r="GYI519" s="1358"/>
      <c r="GYJ519" s="1358"/>
      <c r="GYK519" s="1358"/>
      <c r="GYL519" s="1358"/>
      <c r="GYM519" s="1358"/>
      <c r="GYN519" s="1358"/>
      <c r="GYO519" s="1358"/>
      <c r="GYP519" s="1358"/>
      <c r="GYQ519" s="1358"/>
      <c r="GYR519" s="1358"/>
      <c r="GYS519" s="1358"/>
      <c r="GYT519" s="1358"/>
      <c r="GYU519" s="1358"/>
      <c r="GYV519" s="1358"/>
      <c r="GYW519" s="1358"/>
      <c r="GYX519" s="1358"/>
      <c r="GYY519" s="1358"/>
      <c r="GYZ519" s="1358"/>
      <c r="GZA519" s="1358"/>
      <c r="GZB519" s="1358"/>
      <c r="GZC519" s="1358"/>
      <c r="GZD519" s="1358"/>
      <c r="GZE519" s="1358"/>
      <c r="GZF519" s="1358"/>
      <c r="GZG519" s="1358"/>
      <c r="GZH519" s="1358"/>
      <c r="GZI519" s="1358"/>
      <c r="GZJ519" s="1358"/>
      <c r="GZK519" s="1358"/>
      <c r="GZL519" s="1358"/>
      <c r="GZM519" s="1358"/>
      <c r="GZN519" s="1358"/>
      <c r="GZO519" s="1358"/>
      <c r="GZP519" s="1358"/>
      <c r="GZQ519" s="1358"/>
      <c r="GZR519" s="1358"/>
      <c r="GZS519" s="1358"/>
      <c r="GZT519" s="1358"/>
      <c r="GZU519" s="1358"/>
      <c r="GZV519" s="1358"/>
      <c r="GZW519" s="1358"/>
      <c r="GZX519" s="1358"/>
      <c r="GZY519" s="1358"/>
      <c r="GZZ519" s="1358"/>
      <c r="HAA519" s="1358"/>
      <c r="HAB519" s="1358"/>
      <c r="HAC519" s="1358"/>
      <c r="HAD519" s="1358"/>
      <c r="HAE519" s="1358"/>
      <c r="HAF519" s="1358"/>
      <c r="HAG519" s="1358"/>
      <c r="HAH519" s="1358"/>
      <c r="HAI519" s="1358"/>
      <c r="HAJ519" s="1358"/>
      <c r="HAK519" s="1358"/>
      <c r="HAL519" s="1358"/>
      <c r="HAM519" s="1358"/>
      <c r="HAN519" s="1358"/>
      <c r="HAO519" s="1358"/>
      <c r="HAP519" s="1358"/>
      <c r="HAQ519" s="1358"/>
      <c r="HAR519" s="1358"/>
      <c r="HAS519" s="1358"/>
      <c r="HAT519" s="1358"/>
      <c r="HAU519" s="1358"/>
      <c r="HAV519" s="1358"/>
      <c r="HAW519" s="1358"/>
      <c r="HAX519" s="1358"/>
      <c r="HAY519" s="1358"/>
      <c r="HAZ519" s="1358"/>
      <c r="HBA519" s="1358"/>
      <c r="HBB519" s="1358"/>
      <c r="HBC519" s="1358"/>
      <c r="HBD519" s="1358"/>
      <c r="HBE519" s="1358"/>
      <c r="HBF519" s="1358"/>
      <c r="HBG519" s="1358"/>
      <c r="HBH519" s="1358"/>
      <c r="HBI519" s="1358"/>
      <c r="HBJ519" s="1358"/>
      <c r="HBK519" s="1358"/>
      <c r="HBL519" s="1358"/>
      <c r="HBM519" s="1358"/>
      <c r="HBN519" s="1358"/>
      <c r="HBO519" s="1358"/>
      <c r="HBP519" s="1358"/>
      <c r="HBQ519" s="1358"/>
      <c r="HBR519" s="1358"/>
      <c r="HBS519" s="1358"/>
      <c r="HBT519" s="1358"/>
      <c r="HBU519" s="1358"/>
      <c r="HBV519" s="1358"/>
      <c r="HBW519" s="1358"/>
      <c r="HBX519" s="1358"/>
      <c r="HBY519" s="1358"/>
      <c r="HBZ519" s="1358"/>
      <c r="HCA519" s="1358"/>
      <c r="HCB519" s="1358"/>
      <c r="HCC519" s="1358"/>
      <c r="HCD519" s="1358"/>
      <c r="HCE519" s="1358"/>
      <c r="HCF519" s="1358"/>
      <c r="HCG519" s="1358"/>
      <c r="HCH519" s="1358"/>
      <c r="HCI519" s="1358"/>
      <c r="HCJ519" s="1358"/>
      <c r="HCK519" s="1358"/>
      <c r="HCL519" s="1358"/>
      <c r="HCM519" s="1358"/>
      <c r="HCN519" s="1358"/>
      <c r="HCO519" s="1358"/>
      <c r="HCP519" s="1358"/>
      <c r="HCQ519" s="1358"/>
      <c r="HCR519" s="1358"/>
      <c r="HCS519" s="1358"/>
      <c r="HCT519" s="1358"/>
      <c r="HCU519" s="1358"/>
      <c r="HCV519" s="1358"/>
      <c r="HCW519" s="1358"/>
      <c r="HCX519" s="1358"/>
      <c r="HCY519" s="1358"/>
      <c r="HCZ519" s="1358"/>
      <c r="HDA519" s="1358"/>
      <c r="HDB519" s="1358"/>
      <c r="HDC519" s="1358"/>
      <c r="HDD519" s="1358"/>
      <c r="HDE519" s="1358"/>
      <c r="HDF519" s="1358"/>
      <c r="HDG519" s="1358"/>
      <c r="HDH519" s="1358"/>
      <c r="HDI519" s="1358"/>
      <c r="HDJ519" s="1358"/>
      <c r="HDK519" s="1358"/>
      <c r="HDL519" s="1358"/>
      <c r="HDM519" s="1358"/>
      <c r="HDN519" s="1358"/>
      <c r="HDO519" s="1358"/>
      <c r="HDP519" s="1358"/>
      <c r="HDQ519" s="1358"/>
      <c r="HDR519" s="1358"/>
      <c r="HDS519" s="1358"/>
      <c r="HDT519" s="1358"/>
      <c r="HDU519" s="1358"/>
      <c r="HDV519" s="1358"/>
      <c r="HDW519" s="1358"/>
      <c r="HDX519" s="1358"/>
      <c r="HDY519" s="1358"/>
      <c r="HDZ519" s="1358"/>
      <c r="HEA519" s="1358"/>
      <c r="HEB519" s="1358"/>
      <c r="HEC519" s="1358"/>
      <c r="HED519" s="1358"/>
      <c r="HEE519" s="1358"/>
      <c r="HEF519" s="1358"/>
      <c r="HEG519" s="1358"/>
      <c r="HEH519" s="1358"/>
      <c r="HEI519" s="1358"/>
      <c r="HEJ519" s="1358"/>
      <c r="HEK519" s="1358"/>
      <c r="HEL519" s="1358"/>
      <c r="HEM519" s="1358"/>
      <c r="HEN519" s="1358"/>
      <c r="HEO519" s="1358"/>
      <c r="HEP519" s="1358"/>
      <c r="HEQ519" s="1358"/>
      <c r="HER519" s="1358"/>
      <c r="HES519" s="1358"/>
      <c r="HET519" s="1358"/>
      <c r="HEU519" s="1358"/>
      <c r="HEV519" s="1358"/>
      <c r="HEW519" s="1358"/>
      <c r="HEX519" s="1358"/>
      <c r="HEY519" s="1358"/>
      <c r="HEZ519" s="1358"/>
      <c r="HFA519" s="1358"/>
      <c r="HFB519" s="1358"/>
      <c r="HFC519" s="1358"/>
      <c r="HFD519" s="1358"/>
      <c r="HFE519" s="1358"/>
      <c r="HFF519" s="1358"/>
      <c r="HFG519" s="1358"/>
      <c r="HFH519" s="1358"/>
      <c r="HFI519" s="1358"/>
      <c r="HFJ519" s="1358"/>
      <c r="HFK519" s="1358"/>
      <c r="HFL519" s="1358"/>
      <c r="HFM519" s="1358"/>
      <c r="HFN519" s="1358"/>
      <c r="HFO519" s="1358"/>
      <c r="HFP519" s="1358"/>
      <c r="HFQ519" s="1358"/>
      <c r="HFR519" s="1358"/>
      <c r="HFS519" s="1358"/>
      <c r="HFT519" s="1358"/>
      <c r="HFU519" s="1358"/>
      <c r="HFV519" s="1358"/>
      <c r="HFW519" s="1358"/>
      <c r="HFX519" s="1358"/>
      <c r="HFY519" s="1358"/>
      <c r="HFZ519" s="1358"/>
      <c r="HGA519" s="1358"/>
      <c r="HGB519" s="1358"/>
      <c r="HGC519" s="1358"/>
      <c r="HGD519" s="1358"/>
      <c r="HGE519" s="1358"/>
      <c r="HGF519" s="1358"/>
      <c r="HGG519" s="1358"/>
      <c r="HGH519" s="1358"/>
      <c r="HGI519" s="1358"/>
      <c r="HGJ519" s="1358"/>
      <c r="HGK519" s="1358"/>
      <c r="HGL519" s="1358"/>
      <c r="HGM519" s="1358"/>
      <c r="HGN519" s="1358"/>
      <c r="HGO519" s="1358"/>
      <c r="HGP519" s="1358"/>
      <c r="HGQ519" s="1358"/>
      <c r="HGR519" s="1358"/>
      <c r="HGS519" s="1358"/>
      <c r="HGT519" s="1358"/>
      <c r="HGU519" s="1358"/>
      <c r="HGV519" s="1358"/>
      <c r="HGW519" s="1358"/>
      <c r="HGX519" s="1358"/>
      <c r="HGY519" s="1358"/>
      <c r="HGZ519" s="1358"/>
      <c r="HHA519" s="1358"/>
      <c r="HHB519" s="1358"/>
      <c r="HHC519" s="1358"/>
      <c r="HHD519" s="1358"/>
      <c r="HHE519" s="1358"/>
      <c r="HHF519" s="1358"/>
      <c r="HHG519" s="1358"/>
      <c r="HHH519" s="1358"/>
      <c r="HHI519" s="1358"/>
      <c r="HHJ519" s="1358"/>
      <c r="HHK519" s="1358"/>
      <c r="HHL519" s="1358"/>
      <c r="HHM519" s="1358"/>
      <c r="HHN519" s="1358"/>
      <c r="HHO519" s="1358"/>
      <c r="HHP519" s="1358"/>
      <c r="HHQ519" s="1358"/>
      <c r="HHR519" s="1358"/>
      <c r="HHS519" s="1358"/>
      <c r="HHT519" s="1358"/>
      <c r="HHU519" s="1358"/>
      <c r="HHV519" s="1358"/>
      <c r="HHW519" s="1358"/>
      <c r="HHX519" s="1358"/>
      <c r="HHY519" s="1358"/>
      <c r="HHZ519" s="1358"/>
      <c r="HIA519" s="1358"/>
      <c r="HIB519" s="1358"/>
      <c r="HIC519" s="1358"/>
      <c r="HID519" s="1358"/>
      <c r="HIE519" s="1358"/>
      <c r="HIF519" s="1358"/>
      <c r="HIG519" s="1358"/>
      <c r="HIH519" s="1358"/>
      <c r="HII519" s="1358"/>
      <c r="HIJ519" s="1358"/>
      <c r="HIK519" s="1358"/>
      <c r="HIL519" s="1358"/>
      <c r="HIM519" s="1358"/>
      <c r="HIN519" s="1358"/>
      <c r="HIO519" s="1358"/>
      <c r="HIP519" s="1358"/>
      <c r="HIQ519" s="1358"/>
      <c r="HIR519" s="1358"/>
      <c r="HIS519" s="1358"/>
      <c r="HIT519" s="1358"/>
      <c r="HIU519" s="1358"/>
      <c r="HIV519" s="1358"/>
      <c r="HIW519" s="1358"/>
      <c r="HIX519" s="1358"/>
      <c r="HIY519" s="1358"/>
      <c r="HIZ519" s="1358"/>
      <c r="HJA519" s="1358"/>
      <c r="HJB519" s="1358"/>
      <c r="HJC519" s="1358"/>
      <c r="HJD519" s="1358"/>
      <c r="HJE519" s="1358"/>
      <c r="HJF519" s="1358"/>
      <c r="HJG519" s="1358"/>
      <c r="HJH519" s="1358"/>
      <c r="HJI519" s="1358"/>
      <c r="HJJ519" s="1358"/>
      <c r="HJK519" s="1358"/>
      <c r="HJL519" s="1358"/>
      <c r="HJM519" s="1358"/>
      <c r="HJN519" s="1358"/>
      <c r="HJO519" s="1358"/>
      <c r="HJP519" s="1358"/>
      <c r="HJQ519" s="1358"/>
      <c r="HJR519" s="1358"/>
      <c r="HJS519" s="1358"/>
      <c r="HJT519" s="1358"/>
      <c r="HJU519" s="1358"/>
      <c r="HJV519" s="1358"/>
      <c r="HJW519" s="1358"/>
      <c r="HJX519" s="1358"/>
      <c r="HJY519" s="1358"/>
      <c r="HJZ519" s="1358"/>
      <c r="HKA519" s="1358"/>
      <c r="HKB519" s="1358"/>
      <c r="HKC519" s="1358"/>
      <c r="HKD519" s="1358"/>
      <c r="HKE519" s="1358"/>
      <c r="HKF519" s="1358"/>
      <c r="HKG519" s="1358"/>
      <c r="HKH519" s="1358"/>
      <c r="HKI519" s="1358"/>
      <c r="HKJ519" s="1358"/>
      <c r="HKK519" s="1358"/>
      <c r="HKL519" s="1358"/>
      <c r="HKM519" s="1358"/>
      <c r="HKN519" s="1358"/>
      <c r="HKO519" s="1358"/>
      <c r="HKP519" s="1358"/>
      <c r="HKQ519" s="1358"/>
      <c r="HKR519" s="1358"/>
      <c r="HKS519" s="1358"/>
      <c r="HKT519" s="1358"/>
      <c r="HKU519" s="1358"/>
      <c r="HKV519" s="1358"/>
      <c r="HKW519" s="1358"/>
      <c r="HKX519" s="1358"/>
      <c r="HKY519" s="1358"/>
      <c r="HKZ519" s="1358"/>
      <c r="HLA519" s="1358"/>
      <c r="HLB519" s="1358"/>
      <c r="HLC519" s="1358"/>
      <c r="HLD519" s="1358"/>
      <c r="HLE519" s="1358"/>
      <c r="HLF519" s="1358"/>
      <c r="HLG519" s="1358"/>
      <c r="HLH519" s="1358"/>
      <c r="HLI519" s="1358"/>
      <c r="HLJ519" s="1358"/>
      <c r="HLK519" s="1358"/>
      <c r="HLL519" s="1358"/>
      <c r="HLM519" s="1358"/>
      <c r="HLN519" s="1358"/>
      <c r="HLO519" s="1358"/>
      <c r="HLP519" s="1358"/>
      <c r="HLQ519" s="1358"/>
      <c r="HLR519" s="1358"/>
      <c r="HLS519" s="1358"/>
      <c r="HLT519" s="1358"/>
      <c r="HLU519" s="1358"/>
      <c r="HLV519" s="1358"/>
      <c r="HLW519" s="1358"/>
      <c r="HLX519" s="1358"/>
      <c r="HLY519" s="1358"/>
      <c r="HLZ519" s="1358"/>
      <c r="HMA519" s="1358"/>
      <c r="HMB519" s="1358"/>
      <c r="HMC519" s="1358"/>
      <c r="HMD519" s="1358"/>
      <c r="HME519" s="1358"/>
      <c r="HMF519" s="1358"/>
      <c r="HMG519" s="1358"/>
      <c r="HMH519" s="1358"/>
      <c r="HMI519" s="1358"/>
      <c r="HMJ519" s="1358"/>
      <c r="HMK519" s="1358"/>
      <c r="HML519" s="1358"/>
      <c r="HMM519" s="1358"/>
      <c r="HMN519" s="1358"/>
      <c r="HMO519" s="1358"/>
      <c r="HMP519" s="1358"/>
      <c r="HMQ519" s="1358"/>
      <c r="HMR519" s="1358"/>
      <c r="HMS519" s="1358"/>
      <c r="HMT519" s="1358"/>
      <c r="HMU519" s="1358"/>
      <c r="HMV519" s="1358"/>
      <c r="HMW519" s="1358"/>
      <c r="HMX519" s="1358"/>
      <c r="HMY519" s="1358"/>
      <c r="HMZ519" s="1358"/>
      <c r="HNA519" s="1358"/>
      <c r="HNB519" s="1358"/>
      <c r="HNC519" s="1358"/>
      <c r="HND519" s="1358"/>
      <c r="HNE519" s="1358"/>
      <c r="HNF519" s="1358"/>
      <c r="HNG519" s="1358"/>
      <c r="HNH519" s="1358"/>
      <c r="HNI519" s="1358"/>
      <c r="HNJ519" s="1358"/>
      <c r="HNK519" s="1358"/>
      <c r="HNL519" s="1358"/>
      <c r="HNM519" s="1358"/>
      <c r="HNN519" s="1358"/>
      <c r="HNO519" s="1358"/>
      <c r="HNP519" s="1358"/>
      <c r="HNQ519" s="1358"/>
      <c r="HNR519" s="1358"/>
      <c r="HNS519" s="1358"/>
      <c r="HNT519" s="1358"/>
      <c r="HNU519" s="1358"/>
      <c r="HNV519" s="1358"/>
      <c r="HNW519" s="1358"/>
      <c r="HNX519" s="1358"/>
      <c r="HNY519" s="1358"/>
      <c r="HNZ519" s="1358"/>
      <c r="HOA519" s="1358"/>
      <c r="HOB519" s="1358"/>
      <c r="HOC519" s="1358"/>
      <c r="HOD519" s="1358"/>
      <c r="HOE519" s="1358"/>
      <c r="HOF519" s="1358"/>
      <c r="HOG519" s="1358"/>
      <c r="HOH519" s="1358"/>
      <c r="HOI519" s="1358"/>
      <c r="HOJ519" s="1358"/>
      <c r="HOK519" s="1358"/>
      <c r="HOL519" s="1358"/>
      <c r="HOM519" s="1358"/>
      <c r="HON519" s="1358"/>
      <c r="HOO519" s="1358"/>
      <c r="HOP519" s="1358"/>
      <c r="HOQ519" s="1358"/>
      <c r="HOR519" s="1358"/>
      <c r="HOS519" s="1358"/>
      <c r="HOT519" s="1358"/>
      <c r="HOU519" s="1358"/>
      <c r="HOV519" s="1358"/>
      <c r="HOW519" s="1358"/>
      <c r="HOX519" s="1358"/>
      <c r="HOY519" s="1358"/>
      <c r="HOZ519" s="1358"/>
      <c r="HPA519" s="1358"/>
      <c r="HPB519" s="1358"/>
      <c r="HPC519" s="1358"/>
      <c r="HPD519" s="1358"/>
      <c r="HPE519" s="1358"/>
      <c r="HPF519" s="1358"/>
      <c r="HPG519" s="1358"/>
      <c r="HPH519" s="1358"/>
      <c r="HPI519" s="1358"/>
      <c r="HPJ519" s="1358"/>
      <c r="HPK519" s="1358"/>
      <c r="HPL519" s="1358"/>
      <c r="HPM519" s="1358"/>
      <c r="HPN519" s="1358"/>
      <c r="HPO519" s="1358"/>
      <c r="HPP519" s="1358"/>
      <c r="HPQ519" s="1358"/>
      <c r="HPR519" s="1358"/>
      <c r="HPS519" s="1358"/>
      <c r="HPT519" s="1358"/>
      <c r="HPU519" s="1358"/>
      <c r="HPV519" s="1358"/>
      <c r="HPW519" s="1358"/>
      <c r="HPX519" s="1358"/>
      <c r="HPY519" s="1358"/>
      <c r="HPZ519" s="1358"/>
      <c r="HQA519" s="1358"/>
      <c r="HQB519" s="1358"/>
      <c r="HQC519" s="1358"/>
      <c r="HQD519" s="1358"/>
      <c r="HQE519" s="1358"/>
      <c r="HQF519" s="1358"/>
      <c r="HQG519" s="1358"/>
      <c r="HQH519" s="1358"/>
      <c r="HQI519" s="1358"/>
      <c r="HQJ519" s="1358"/>
      <c r="HQK519" s="1358"/>
      <c r="HQL519" s="1358"/>
      <c r="HQM519" s="1358"/>
      <c r="HQN519" s="1358"/>
      <c r="HQO519" s="1358"/>
      <c r="HQP519" s="1358"/>
      <c r="HQQ519" s="1358"/>
      <c r="HQR519" s="1358"/>
      <c r="HQS519" s="1358"/>
      <c r="HQT519" s="1358"/>
      <c r="HQU519" s="1358"/>
      <c r="HQV519" s="1358"/>
      <c r="HQW519" s="1358"/>
      <c r="HQX519" s="1358"/>
      <c r="HQY519" s="1358"/>
      <c r="HQZ519" s="1358"/>
      <c r="HRA519" s="1358"/>
      <c r="HRB519" s="1358"/>
      <c r="HRC519" s="1358"/>
      <c r="HRD519" s="1358"/>
      <c r="HRE519" s="1358"/>
      <c r="HRF519" s="1358"/>
      <c r="HRG519" s="1358"/>
      <c r="HRH519" s="1358"/>
      <c r="HRI519" s="1358"/>
      <c r="HRJ519" s="1358"/>
      <c r="HRK519" s="1358"/>
      <c r="HRL519" s="1358"/>
      <c r="HRM519" s="1358"/>
      <c r="HRN519" s="1358"/>
      <c r="HRO519" s="1358"/>
      <c r="HRP519" s="1358"/>
      <c r="HRQ519" s="1358"/>
      <c r="HRR519" s="1358"/>
      <c r="HRS519" s="1358"/>
      <c r="HRT519" s="1358"/>
      <c r="HRU519" s="1358"/>
      <c r="HRV519" s="1358"/>
      <c r="HRW519" s="1358"/>
      <c r="HRX519" s="1358"/>
      <c r="HRY519" s="1358"/>
      <c r="HRZ519" s="1358"/>
      <c r="HSA519" s="1358"/>
      <c r="HSB519" s="1358"/>
      <c r="HSC519" s="1358"/>
      <c r="HSD519" s="1358"/>
      <c r="HSE519" s="1358"/>
      <c r="HSF519" s="1358"/>
      <c r="HSG519" s="1358"/>
      <c r="HSH519" s="1358"/>
      <c r="HSI519" s="1358"/>
      <c r="HSJ519" s="1358"/>
      <c r="HSK519" s="1358"/>
      <c r="HSL519" s="1358"/>
      <c r="HSM519" s="1358"/>
      <c r="HSN519" s="1358"/>
      <c r="HSO519" s="1358"/>
      <c r="HSP519" s="1358"/>
      <c r="HSQ519" s="1358"/>
      <c r="HSR519" s="1358"/>
      <c r="HSS519" s="1358"/>
      <c r="HST519" s="1358"/>
      <c r="HSU519" s="1358"/>
      <c r="HSV519" s="1358"/>
      <c r="HSW519" s="1358"/>
      <c r="HSX519" s="1358"/>
      <c r="HSY519" s="1358"/>
      <c r="HSZ519" s="1358"/>
      <c r="HTA519" s="1358"/>
      <c r="HTB519" s="1358"/>
      <c r="HTC519" s="1358"/>
      <c r="HTD519" s="1358"/>
      <c r="HTE519" s="1358"/>
      <c r="HTF519" s="1358"/>
      <c r="HTG519" s="1358"/>
      <c r="HTH519" s="1358"/>
      <c r="HTI519" s="1358"/>
      <c r="HTJ519" s="1358"/>
      <c r="HTK519" s="1358"/>
      <c r="HTL519" s="1358"/>
      <c r="HTM519" s="1358"/>
      <c r="HTN519" s="1358"/>
      <c r="HTO519" s="1358"/>
      <c r="HTP519" s="1358"/>
      <c r="HTQ519" s="1358"/>
      <c r="HTR519" s="1358"/>
      <c r="HTS519" s="1358"/>
      <c r="HTT519" s="1358"/>
      <c r="HTU519" s="1358"/>
      <c r="HTV519" s="1358"/>
      <c r="HTW519" s="1358"/>
      <c r="HTX519" s="1358"/>
      <c r="HTY519" s="1358"/>
      <c r="HTZ519" s="1358"/>
      <c r="HUA519" s="1358"/>
      <c r="HUB519" s="1358"/>
      <c r="HUC519" s="1358"/>
      <c r="HUD519" s="1358"/>
      <c r="HUE519" s="1358"/>
      <c r="HUF519" s="1358"/>
      <c r="HUG519" s="1358"/>
      <c r="HUH519" s="1358"/>
      <c r="HUI519" s="1358"/>
      <c r="HUJ519" s="1358"/>
      <c r="HUK519" s="1358"/>
      <c r="HUL519" s="1358"/>
      <c r="HUM519" s="1358"/>
      <c r="HUN519" s="1358"/>
      <c r="HUO519" s="1358"/>
      <c r="HUP519" s="1358"/>
      <c r="HUQ519" s="1358"/>
      <c r="HUR519" s="1358"/>
      <c r="HUS519" s="1358"/>
      <c r="HUT519" s="1358"/>
      <c r="HUU519" s="1358"/>
      <c r="HUV519" s="1358"/>
      <c r="HUW519" s="1358"/>
      <c r="HUX519" s="1358"/>
      <c r="HUY519" s="1358"/>
      <c r="HUZ519" s="1358"/>
      <c r="HVA519" s="1358"/>
      <c r="HVB519" s="1358"/>
      <c r="HVC519" s="1358"/>
      <c r="HVD519" s="1358"/>
      <c r="HVE519" s="1358"/>
      <c r="HVF519" s="1358"/>
      <c r="HVG519" s="1358"/>
      <c r="HVH519" s="1358"/>
      <c r="HVI519" s="1358"/>
      <c r="HVJ519" s="1358"/>
      <c r="HVK519" s="1358"/>
      <c r="HVL519" s="1358"/>
      <c r="HVM519" s="1358"/>
      <c r="HVN519" s="1358"/>
      <c r="HVO519" s="1358"/>
      <c r="HVP519" s="1358"/>
      <c r="HVQ519" s="1358"/>
      <c r="HVR519" s="1358"/>
      <c r="HVS519" s="1358"/>
      <c r="HVT519" s="1358"/>
      <c r="HVU519" s="1358"/>
      <c r="HVV519" s="1358"/>
      <c r="HVW519" s="1358"/>
      <c r="HVX519" s="1358"/>
      <c r="HVY519" s="1358"/>
      <c r="HVZ519" s="1358"/>
      <c r="HWA519" s="1358"/>
      <c r="HWB519" s="1358"/>
      <c r="HWC519" s="1358"/>
      <c r="HWD519" s="1358"/>
      <c r="HWE519" s="1358"/>
      <c r="HWF519" s="1358"/>
      <c r="HWG519" s="1358"/>
      <c r="HWH519" s="1358"/>
      <c r="HWI519" s="1358"/>
      <c r="HWJ519" s="1358"/>
      <c r="HWK519" s="1358"/>
      <c r="HWL519" s="1358"/>
      <c r="HWM519" s="1358"/>
      <c r="HWN519" s="1358"/>
      <c r="HWO519" s="1358"/>
      <c r="HWP519" s="1358"/>
      <c r="HWQ519" s="1358"/>
      <c r="HWR519" s="1358"/>
      <c r="HWS519" s="1358"/>
      <c r="HWT519" s="1358"/>
      <c r="HWU519" s="1358"/>
      <c r="HWV519" s="1358"/>
      <c r="HWW519" s="1358"/>
      <c r="HWX519" s="1358"/>
      <c r="HWY519" s="1358"/>
      <c r="HWZ519" s="1358"/>
      <c r="HXA519" s="1358"/>
      <c r="HXB519" s="1358"/>
      <c r="HXC519" s="1358"/>
      <c r="HXD519" s="1358"/>
      <c r="HXE519" s="1358"/>
      <c r="HXF519" s="1358"/>
      <c r="HXG519" s="1358"/>
      <c r="HXH519" s="1358"/>
      <c r="HXI519" s="1358"/>
      <c r="HXJ519" s="1358"/>
      <c r="HXK519" s="1358"/>
      <c r="HXL519" s="1358"/>
      <c r="HXM519" s="1358"/>
      <c r="HXN519" s="1358"/>
      <c r="HXO519" s="1358"/>
      <c r="HXP519" s="1358"/>
      <c r="HXQ519" s="1358"/>
      <c r="HXR519" s="1358"/>
      <c r="HXS519" s="1358"/>
      <c r="HXT519" s="1358"/>
      <c r="HXU519" s="1358"/>
      <c r="HXV519" s="1358"/>
      <c r="HXW519" s="1358"/>
      <c r="HXX519" s="1358"/>
      <c r="HXY519" s="1358"/>
      <c r="HXZ519" s="1358"/>
      <c r="HYA519" s="1358"/>
      <c r="HYB519" s="1358"/>
      <c r="HYC519" s="1358"/>
      <c r="HYD519" s="1358"/>
      <c r="HYE519" s="1358"/>
      <c r="HYF519" s="1358"/>
      <c r="HYG519" s="1358"/>
      <c r="HYH519" s="1358"/>
      <c r="HYI519" s="1358"/>
      <c r="HYJ519" s="1358"/>
      <c r="HYK519" s="1358"/>
      <c r="HYL519" s="1358"/>
      <c r="HYM519" s="1358"/>
      <c r="HYN519" s="1358"/>
      <c r="HYO519" s="1358"/>
      <c r="HYP519" s="1358"/>
      <c r="HYQ519" s="1358"/>
      <c r="HYR519" s="1358"/>
      <c r="HYS519" s="1358"/>
      <c r="HYT519" s="1358"/>
      <c r="HYU519" s="1358"/>
      <c r="HYV519" s="1358"/>
      <c r="HYW519" s="1358"/>
      <c r="HYX519" s="1358"/>
      <c r="HYY519" s="1358"/>
      <c r="HYZ519" s="1358"/>
      <c r="HZA519" s="1358"/>
      <c r="HZB519" s="1358"/>
      <c r="HZC519" s="1358"/>
      <c r="HZD519" s="1358"/>
      <c r="HZE519" s="1358"/>
      <c r="HZF519" s="1358"/>
      <c r="HZG519" s="1358"/>
      <c r="HZH519" s="1358"/>
      <c r="HZI519" s="1358"/>
      <c r="HZJ519" s="1358"/>
      <c r="HZK519" s="1358"/>
      <c r="HZL519" s="1358"/>
      <c r="HZM519" s="1358"/>
      <c r="HZN519" s="1358"/>
      <c r="HZO519" s="1358"/>
      <c r="HZP519" s="1358"/>
      <c r="HZQ519" s="1358"/>
      <c r="HZR519" s="1358"/>
      <c r="HZS519" s="1358"/>
      <c r="HZT519" s="1358"/>
      <c r="HZU519" s="1358"/>
      <c r="HZV519" s="1358"/>
      <c r="HZW519" s="1358"/>
      <c r="HZX519" s="1358"/>
      <c r="HZY519" s="1358"/>
      <c r="HZZ519" s="1358"/>
      <c r="IAA519" s="1358"/>
      <c r="IAB519" s="1358"/>
      <c r="IAC519" s="1358"/>
      <c r="IAD519" s="1358"/>
      <c r="IAE519" s="1358"/>
      <c r="IAF519" s="1358"/>
      <c r="IAG519" s="1358"/>
      <c r="IAH519" s="1358"/>
      <c r="IAI519" s="1358"/>
      <c r="IAJ519" s="1358"/>
      <c r="IAK519" s="1358"/>
      <c r="IAL519" s="1358"/>
      <c r="IAM519" s="1358"/>
      <c r="IAN519" s="1358"/>
      <c r="IAO519" s="1358"/>
      <c r="IAP519" s="1358"/>
      <c r="IAQ519" s="1358"/>
      <c r="IAR519" s="1358"/>
      <c r="IAS519" s="1358"/>
      <c r="IAT519" s="1358"/>
      <c r="IAU519" s="1358"/>
      <c r="IAV519" s="1358"/>
      <c r="IAW519" s="1358"/>
      <c r="IAX519" s="1358"/>
      <c r="IAY519" s="1358"/>
      <c r="IAZ519" s="1358"/>
      <c r="IBA519" s="1358"/>
      <c r="IBB519" s="1358"/>
      <c r="IBC519" s="1358"/>
      <c r="IBD519" s="1358"/>
      <c r="IBE519" s="1358"/>
      <c r="IBF519" s="1358"/>
      <c r="IBG519" s="1358"/>
      <c r="IBH519" s="1358"/>
      <c r="IBI519" s="1358"/>
      <c r="IBJ519" s="1358"/>
      <c r="IBK519" s="1358"/>
      <c r="IBL519" s="1358"/>
      <c r="IBM519" s="1358"/>
      <c r="IBN519" s="1358"/>
      <c r="IBO519" s="1358"/>
      <c r="IBP519" s="1358"/>
      <c r="IBQ519" s="1358"/>
      <c r="IBR519" s="1358"/>
      <c r="IBS519" s="1358"/>
      <c r="IBT519" s="1358"/>
      <c r="IBU519" s="1358"/>
      <c r="IBV519" s="1358"/>
      <c r="IBW519" s="1358"/>
      <c r="IBX519" s="1358"/>
      <c r="IBY519" s="1358"/>
      <c r="IBZ519" s="1358"/>
      <c r="ICA519" s="1358"/>
      <c r="ICB519" s="1358"/>
      <c r="ICC519" s="1358"/>
      <c r="ICD519" s="1358"/>
      <c r="ICE519" s="1358"/>
      <c r="ICF519" s="1358"/>
      <c r="ICG519" s="1358"/>
      <c r="ICH519" s="1358"/>
      <c r="ICI519" s="1358"/>
      <c r="ICJ519" s="1358"/>
      <c r="ICK519" s="1358"/>
      <c r="ICL519" s="1358"/>
      <c r="ICM519" s="1358"/>
      <c r="ICN519" s="1358"/>
      <c r="ICO519" s="1358"/>
      <c r="ICP519" s="1358"/>
      <c r="ICQ519" s="1358"/>
      <c r="ICR519" s="1358"/>
      <c r="ICS519" s="1358"/>
      <c r="ICT519" s="1358"/>
      <c r="ICU519" s="1358"/>
      <c r="ICV519" s="1358"/>
      <c r="ICW519" s="1358"/>
      <c r="ICX519" s="1358"/>
      <c r="ICY519" s="1358"/>
      <c r="ICZ519" s="1358"/>
      <c r="IDA519" s="1358"/>
      <c r="IDB519" s="1358"/>
      <c r="IDC519" s="1358"/>
      <c r="IDD519" s="1358"/>
      <c r="IDE519" s="1358"/>
      <c r="IDF519" s="1358"/>
      <c r="IDG519" s="1358"/>
      <c r="IDH519" s="1358"/>
      <c r="IDI519" s="1358"/>
      <c r="IDJ519" s="1358"/>
      <c r="IDK519" s="1358"/>
      <c r="IDL519" s="1358"/>
      <c r="IDM519" s="1358"/>
      <c r="IDN519" s="1358"/>
      <c r="IDO519" s="1358"/>
      <c r="IDP519" s="1358"/>
      <c r="IDQ519" s="1358"/>
      <c r="IDR519" s="1358"/>
      <c r="IDS519" s="1358"/>
      <c r="IDT519" s="1358"/>
      <c r="IDU519" s="1358"/>
      <c r="IDV519" s="1358"/>
      <c r="IDW519" s="1358"/>
      <c r="IDX519" s="1358"/>
      <c r="IDY519" s="1358"/>
      <c r="IDZ519" s="1358"/>
      <c r="IEA519" s="1358"/>
      <c r="IEB519" s="1358"/>
      <c r="IEC519" s="1358"/>
      <c r="IED519" s="1358"/>
      <c r="IEE519" s="1358"/>
      <c r="IEF519" s="1358"/>
      <c r="IEG519" s="1358"/>
      <c r="IEH519" s="1358"/>
      <c r="IEI519" s="1358"/>
      <c r="IEJ519" s="1358"/>
      <c r="IEK519" s="1358"/>
      <c r="IEL519" s="1358"/>
      <c r="IEM519" s="1358"/>
      <c r="IEN519" s="1358"/>
      <c r="IEO519" s="1358"/>
      <c r="IEP519" s="1358"/>
      <c r="IEQ519" s="1358"/>
      <c r="IER519" s="1358"/>
      <c r="IES519" s="1358"/>
      <c r="IET519" s="1358"/>
      <c r="IEU519" s="1358"/>
      <c r="IEV519" s="1358"/>
      <c r="IEW519" s="1358"/>
      <c r="IEX519" s="1358"/>
      <c r="IEY519" s="1358"/>
      <c r="IEZ519" s="1358"/>
      <c r="IFA519" s="1358"/>
      <c r="IFB519" s="1358"/>
      <c r="IFC519" s="1358"/>
      <c r="IFD519" s="1358"/>
      <c r="IFE519" s="1358"/>
      <c r="IFF519" s="1358"/>
      <c r="IFG519" s="1358"/>
      <c r="IFH519" s="1358"/>
      <c r="IFI519" s="1358"/>
      <c r="IFJ519" s="1358"/>
      <c r="IFK519" s="1358"/>
      <c r="IFL519" s="1358"/>
      <c r="IFM519" s="1358"/>
      <c r="IFN519" s="1358"/>
      <c r="IFO519" s="1358"/>
      <c r="IFP519" s="1358"/>
      <c r="IFQ519" s="1358"/>
      <c r="IFR519" s="1358"/>
      <c r="IFS519" s="1358"/>
      <c r="IFT519" s="1358"/>
      <c r="IFU519" s="1358"/>
      <c r="IFV519" s="1358"/>
      <c r="IFW519" s="1358"/>
      <c r="IFX519" s="1358"/>
      <c r="IFY519" s="1358"/>
      <c r="IFZ519" s="1358"/>
      <c r="IGA519" s="1358"/>
      <c r="IGB519" s="1358"/>
      <c r="IGC519" s="1358"/>
      <c r="IGD519" s="1358"/>
      <c r="IGE519" s="1358"/>
      <c r="IGF519" s="1358"/>
      <c r="IGG519" s="1358"/>
      <c r="IGH519" s="1358"/>
      <c r="IGI519" s="1358"/>
      <c r="IGJ519" s="1358"/>
      <c r="IGK519" s="1358"/>
      <c r="IGL519" s="1358"/>
      <c r="IGM519" s="1358"/>
      <c r="IGN519" s="1358"/>
      <c r="IGO519" s="1358"/>
      <c r="IGP519" s="1358"/>
      <c r="IGQ519" s="1358"/>
      <c r="IGR519" s="1358"/>
      <c r="IGS519" s="1358"/>
      <c r="IGT519" s="1358"/>
      <c r="IGU519" s="1358"/>
      <c r="IGV519" s="1358"/>
      <c r="IGW519" s="1358"/>
      <c r="IGX519" s="1358"/>
      <c r="IGY519" s="1358"/>
      <c r="IGZ519" s="1358"/>
      <c r="IHA519" s="1358"/>
      <c r="IHB519" s="1358"/>
      <c r="IHC519" s="1358"/>
      <c r="IHD519" s="1358"/>
      <c r="IHE519" s="1358"/>
      <c r="IHF519" s="1358"/>
      <c r="IHG519" s="1358"/>
      <c r="IHH519" s="1358"/>
      <c r="IHI519" s="1358"/>
      <c r="IHJ519" s="1358"/>
      <c r="IHK519" s="1358"/>
      <c r="IHL519" s="1358"/>
      <c r="IHM519" s="1358"/>
      <c r="IHN519" s="1358"/>
      <c r="IHO519" s="1358"/>
      <c r="IHP519" s="1358"/>
      <c r="IHQ519" s="1358"/>
      <c r="IHR519" s="1358"/>
      <c r="IHS519" s="1358"/>
      <c r="IHT519" s="1358"/>
      <c r="IHU519" s="1358"/>
      <c r="IHV519" s="1358"/>
      <c r="IHW519" s="1358"/>
      <c r="IHX519" s="1358"/>
      <c r="IHY519" s="1358"/>
      <c r="IHZ519" s="1358"/>
      <c r="IIA519" s="1358"/>
      <c r="IIB519" s="1358"/>
      <c r="IIC519" s="1358"/>
      <c r="IID519" s="1358"/>
      <c r="IIE519" s="1358"/>
      <c r="IIF519" s="1358"/>
      <c r="IIG519" s="1358"/>
      <c r="IIH519" s="1358"/>
      <c r="III519" s="1358"/>
      <c r="IIJ519" s="1358"/>
      <c r="IIK519" s="1358"/>
      <c r="IIL519" s="1358"/>
      <c r="IIM519" s="1358"/>
      <c r="IIN519" s="1358"/>
      <c r="IIO519" s="1358"/>
      <c r="IIP519" s="1358"/>
      <c r="IIQ519" s="1358"/>
      <c r="IIR519" s="1358"/>
      <c r="IIS519" s="1358"/>
      <c r="IIT519" s="1358"/>
      <c r="IIU519" s="1358"/>
      <c r="IIV519" s="1358"/>
      <c r="IIW519" s="1358"/>
      <c r="IIX519" s="1358"/>
      <c r="IIY519" s="1358"/>
      <c r="IIZ519" s="1358"/>
      <c r="IJA519" s="1358"/>
      <c r="IJB519" s="1358"/>
      <c r="IJC519" s="1358"/>
      <c r="IJD519" s="1358"/>
      <c r="IJE519" s="1358"/>
      <c r="IJF519" s="1358"/>
      <c r="IJG519" s="1358"/>
      <c r="IJH519" s="1358"/>
      <c r="IJI519" s="1358"/>
      <c r="IJJ519" s="1358"/>
      <c r="IJK519" s="1358"/>
      <c r="IJL519" s="1358"/>
      <c r="IJM519" s="1358"/>
      <c r="IJN519" s="1358"/>
      <c r="IJO519" s="1358"/>
      <c r="IJP519" s="1358"/>
      <c r="IJQ519" s="1358"/>
      <c r="IJR519" s="1358"/>
      <c r="IJS519" s="1358"/>
      <c r="IJT519" s="1358"/>
      <c r="IJU519" s="1358"/>
      <c r="IJV519" s="1358"/>
      <c r="IJW519" s="1358"/>
      <c r="IJX519" s="1358"/>
      <c r="IJY519" s="1358"/>
      <c r="IJZ519" s="1358"/>
      <c r="IKA519" s="1358"/>
      <c r="IKB519" s="1358"/>
      <c r="IKC519" s="1358"/>
      <c r="IKD519" s="1358"/>
      <c r="IKE519" s="1358"/>
      <c r="IKF519" s="1358"/>
      <c r="IKG519" s="1358"/>
      <c r="IKH519" s="1358"/>
      <c r="IKI519" s="1358"/>
      <c r="IKJ519" s="1358"/>
      <c r="IKK519" s="1358"/>
      <c r="IKL519" s="1358"/>
      <c r="IKM519" s="1358"/>
      <c r="IKN519" s="1358"/>
      <c r="IKO519" s="1358"/>
      <c r="IKP519" s="1358"/>
      <c r="IKQ519" s="1358"/>
      <c r="IKR519" s="1358"/>
      <c r="IKS519" s="1358"/>
      <c r="IKT519" s="1358"/>
      <c r="IKU519" s="1358"/>
      <c r="IKV519" s="1358"/>
      <c r="IKW519" s="1358"/>
      <c r="IKX519" s="1358"/>
      <c r="IKY519" s="1358"/>
      <c r="IKZ519" s="1358"/>
      <c r="ILA519" s="1358"/>
      <c r="ILB519" s="1358"/>
      <c r="ILC519" s="1358"/>
      <c r="ILD519" s="1358"/>
      <c r="ILE519" s="1358"/>
      <c r="ILF519" s="1358"/>
      <c r="ILG519" s="1358"/>
      <c r="ILH519" s="1358"/>
      <c r="ILI519" s="1358"/>
      <c r="ILJ519" s="1358"/>
      <c r="ILK519" s="1358"/>
      <c r="ILL519" s="1358"/>
      <c r="ILM519" s="1358"/>
      <c r="ILN519" s="1358"/>
      <c r="ILO519" s="1358"/>
      <c r="ILP519" s="1358"/>
      <c r="ILQ519" s="1358"/>
      <c r="ILR519" s="1358"/>
      <c r="ILS519" s="1358"/>
      <c r="ILT519" s="1358"/>
      <c r="ILU519" s="1358"/>
      <c r="ILV519" s="1358"/>
      <c r="ILW519" s="1358"/>
      <c r="ILX519" s="1358"/>
      <c r="ILY519" s="1358"/>
      <c r="ILZ519" s="1358"/>
      <c r="IMA519" s="1358"/>
      <c r="IMB519" s="1358"/>
      <c r="IMC519" s="1358"/>
      <c r="IMD519" s="1358"/>
      <c r="IME519" s="1358"/>
      <c r="IMF519" s="1358"/>
      <c r="IMG519" s="1358"/>
      <c r="IMH519" s="1358"/>
      <c r="IMI519" s="1358"/>
      <c r="IMJ519" s="1358"/>
      <c r="IMK519" s="1358"/>
      <c r="IML519" s="1358"/>
      <c r="IMM519" s="1358"/>
      <c r="IMN519" s="1358"/>
      <c r="IMO519" s="1358"/>
      <c r="IMP519" s="1358"/>
      <c r="IMQ519" s="1358"/>
      <c r="IMR519" s="1358"/>
      <c r="IMS519" s="1358"/>
      <c r="IMT519" s="1358"/>
      <c r="IMU519" s="1358"/>
      <c r="IMV519" s="1358"/>
      <c r="IMW519" s="1358"/>
      <c r="IMX519" s="1358"/>
      <c r="IMY519" s="1358"/>
      <c r="IMZ519" s="1358"/>
      <c r="INA519" s="1358"/>
      <c r="INB519" s="1358"/>
      <c r="INC519" s="1358"/>
      <c r="IND519" s="1358"/>
      <c r="INE519" s="1358"/>
      <c r="INF519" s="1358"/>
      <c r="ING519" s="1358"/>
      <c r="INH519" s="1358"/>
      <c r="INI519" s="1358"/>
      <c r="INJ519" s="1358"/>
      <c r="INK519" s="1358"/>
      <c r="INL519" s="1358"/>
      <c r="INM519" s="1358"/>
      <c r="INN519" s="1358"/>
      <c r="INO519" s="1358"/>
      <c r="INP519" s="1358"/>
      <c r="INQ519" s="1358"/>
      <c r="INR519" s="1358"/>
      <c r="INS519" s="1358"/>
      <c r="INT519" s="1358"/>
      <c r="INU519" s="1358"/>
      <c r="INV519" s="1358"/>
      <c r="INW519" s="1358"/>
      <c r="INX519" s="1358"/>
      <c r="INY519" s="1358"/>
      <c r="INZ519" s="1358"/>
      <c r="IOA519" s="1358"/>
      <c r="IOB519" s="1358"/>
      <c r="IOC519" s="1358"/>
      <c r="IOD519" s="1358"/>
      <c r="IOE519" s="1358"/>
      <c r="IOF519" s="1358"/>
      <c r="IOG519" s="1358"/>
      <c r="IOH519" s="1358"/>
      <c r="IOI519" s="1358"/>
      <c r="IOJ519" s="1358"/>
      <c r="IOK519" s="1358"/>
      <c r="IOL519" s="1358"/>
      <c r="IOM519" s="1358"/>
      <c r="ION519" s="1358"/>
      <c r="IOO519" s="1358"/>
      <c r="IOP519" s="1358"/>
      <c r="IOQ519" s="1358"/>
      <c r="IOR519" s="1358"/>
      <c r="IOS519" s="1358"/>
      <c r="IOT519" s="1358"/>
      <c r="IOU519" s="1358"/>
      <c r="IOV519" s="1358"/>
      <c r="IOW519" s="1358"/>
      <c r="IOX519" s="1358"/>
      <c r="IOY519" s="1358"/>
      <c r="IOZ519" s="1358"/>
      <c r="IPA519" s="1358"/>
      <c r="IPB519" s="1358"/>
      <c r="IPC519" s="1358"/>
      <c r="IPD519" s="1358"/>
      <c r="IPE519" s="1358"/>
      <c r="IPF519" s="1358"/>
      <c r="IPG519" s="1358"/>
      <c r="IPH519" s="1358"/>
      <c r="IPI519" s="1358"/>
      <c r="IPJ519" s="1358"/>
      <c r="IPK519" s="1358"/>
      <c r="IPL519" s="1358"/>
      <c r="IPM519" s="1358"/>
      <c r="IPN519" s="1358"/>
      <c r="IPO519" s="1358"/>
      <c r="IPP519" s="1358"/>
      <c r="IPQ519" s="1358"/>
      <c r="IPR519" s="1358"/>
      <c r="IPS519" s="1358"/>
      <c r="IPT519" s="1358"/>
      <c r="IPU519" s="1358"/>
      <c r="IPV519" s="1358"/>
      <c r="IPW519" s="1358"/>
      <c r="IPX519" s="1358"/>
      <c r="IPY519" s="1358"/>
      <c r="IPZ519" s="1358"/>
      <c r="IQA519" s="1358"/>
      <c r="IQB519" s="1358"/>
      <c r="IQC519" s="1358"/>
      <c r="IQD519" s="1358"/>
      <c r="IQE519" s="1358"/>
      <c r="IQF519" s="1358"/>
      <c r="IQG519" s="1358"/>
      <c r="IQH519" s="1358"/>
      <c r="IQI519" s="1358"/>
      <c r="IQJ519" s="1358"/>
      <c r="IQK519" s="1358"/>
      <c r="IQL519" s="1358"/>
      <c r="IQM519" s="1358"/>
      <c r="IQN519" s="1358"/>
      <c r="IQO519" s="1358"/>
      <c r="IQP519" s="1358"/>
      <c r="IQQ519" s="1358"/>
      <c r="IQR519" s="1358"/>
      <c r="IQS519" s="1358"/>
      <c r="IQT519" s="1358"/>
      <c r="IQU519" s="1358"/>
      <c r="IQV519" s="1358"/>
      <c r="IQW519" s="1358"/>
      <c r="IQX519" s="1358"/>
      <c r="IQY519" s="1358"/>
      <c r="IQZ519" s="1358"/>
      <c r="IRA519" s="1358"/>
      <c r="IRB519" s="1358"/>
      <c r="IRC519" s="1358"/>
      <c r="IRD519" s="1358"/>
      <c r="IRE519" s="1358"/>
      <c r="IRF519" s="1358"/>
      <c r="IRG519" s="1358"/>
      <c r="IRH519" s="1358"/>
      <c r="IRI519" s="1358"/>
      <c r="IRJ519" s="1358"/>
      <c r="IRK519" s="1358"/>
      <c r="IRL519" s="1358"/>
      <c r="IRM519" s="1358"/>
      <c r="IRN519" s="1358"/>
      <c r="IRO519" s="1358"/>
      <c r="IRP519" s="1358"/>
      <c r="IRQ519" s="1358"/>
      <c r="IRR519" s="1358"/>
      <c r="IRS519" s="1358"/>
      <c r="IRT519" s="1358"/>
      <c r="IRU519" s="1358"/>
      <c r="IRV519" s="1358"/>
      <c r="IRW519" s="1358"/>
      <c r="IRX519" s="1358"/>
      <c r="IRY519" s="1358"/>
      <c r="IRZ519" s="1358"/>
      <c r="ISA519" s="1358"/>
      <c r="ISB519" s="1358"/>
      <c r="ISC519" s="1358"/>
      <c r="ISD519" s="1358"/>
      <c r="ISE519" s="1358"/>
      <c r="ISF519" s="1358"/>
      <c r="ISG519" s="1358"/>
      <c r="ISH519" s="1358"/>
      <c r="ISI519" s="1358"/>
      <c r="ISJ519" s="1358"/>
      <c r="ISK519" s="1358"/>
      <c r="ISL519" s="1358"/>
      <c r="ISM519" s="1358"/>
      <c r="ISN519" s="1358"/>
      <c r="ISO519" s="1358"/>
      <c r="ISP519" s="1358"/>
      <c r="ISQ519" s="1358"/>
      <c r="ISR519" s="1358"/>
      <c r="ISS519" s="1358"/>
      <c r="IST519" s="1358"/>
      <c r="ISU519" s="1358"/>
      <c r="ISV519" s="1358"/>
      <c r="ISW519" s="1358"/>
      <c r="ISX519" s="1358"/>
      <c r="ISY519" s="1358"/>
      <c r="ISZ519" s="1358"/>
      <c r="ITA519" s="1358"/>
      <c r="ITB519" s="1358"/>
      <c r="ITC519" s="1358"/>
      <c r="ITD519" s="1358"/>
      <c r="ITE519" s="1358"/>
      <c r="ITF519" s="1358"/>
      <c r="ITG519" s="1358"/>
      <c r="ITH519" s="1358"/>
      <c r="ITI519" s="1358"/>
      <c r="ITJ519" s="1358"/>
      <c r="ITK519" s="1358"/>
      <c r="ITL519" s="1358"/>
      <c r="ITM519" s="1358"/>
      <c r="ITN519" s="1358"/>
      <c r="ITO519" s="1358"/>
      <c r="ITP519" s="1358"/>
      <c r="ITQ519" s="1358"/>
      <c r="ITR519" s="1358"/>
      <c r="ITS519" s="1358"/>
      <c r="ITT519" s="1358"/>
      <c r="ITU519" s="1358"/>
      <c r="ITV519" s="1358"/>
      <c r="ITW519" s="1358"/>
      <c r="ITX519" s="1358"/>
      <c r="ITY519" s="1358"/>
      <c r="ITZ519" s="1358"/>
      <c r="IUA519" s="1358"/>
      <c r="IUB519" s="1358"/>
      <c r="IUC519" s="1358"/>
      <c r="IUD519" s="1358"/>
      <c r="IUE519" s="1358"/>
      <c r="IUF519" s="1358"/>
      <c r="IUG519" s="1358"/>
      <c r="IUH519" s="1358"/>
      <c r="IUI519" s="1358"/>
      <c r="IUJ519" s="1358"/>
      <c r="IUK519" s="1358"/>
      <c r="IUL519" s="1358"/>
      <c r="IUM519" s="1358"/>
      <c r="IUN519" s="1358"/>
      <c r="IUO519" s="1358"/>
      <c r="IUP519" s="1358"/>
      <c r="IUQ519" s="1358"/>
      <c r="IUR519" s="1358"/>
      <c r="IUS519" s="1358"/>
      <c r="IUT519" s="1358"/>
      <c r="IUU519" s="1358"/>
      <c r="IUV519" s="1358"/>
      <c r="IUW519" s="1358"/>
      <c r="IUX519" s="1358"/>
      <c r="IUY519" s="1358"/>
      <c r="IUZ519" s="1358"/>
      <c r="IVA519" s="1358"/>
      <c r="IVB519" s="1358"/>
      <c r="IVC519" s="1358"/>
      <c r="IVD519" s="1358"/>
      <c r="IVE519" s="1358"/>
      <c r="IVF519" s="1358"/>
      <c r="IVG519" s="1358"/>
      <c r="IVH519" s="1358"/>
      <c r="IVI519" s="1358"/>
      <c r="IVJ519" s="1358"/>
      <c r="IVK519" s="1358"/>
      <c r="IVL519" s="1358"/>
      <c r="IVM519" s="1358"/>
      <c r="IVN519" s="1358"/>
      <c r="IVO519" s="1358"/>
      <c r="IVP519" s="1358"/>
      <c r="IVQ519" s="1358"/>
      <c r="IVR519" s="1358"/>
      <c r="IVS519" s="1358"/>
      <c r="IVT519" s="1358"/>
      <c r="IVU519" s="1358"/>
      <c r="IVV519" s="1358"/>
      <c r="IVW519" s="1358"/>
      <c r="IVX519" s="1358"/>
      <c r="IVY519" s="1358"/>
      <c r="IVZ519" s="1358"/>
      <c r="IWA519" s="1358"/>
      <c r="IWB519" s="1358"/>
      <c r="IWC519" s="1358"/>
      <c r="IWD519" s="1358"/>
      <c r="IWE519" s="1358"/>
      <c r="IWF519" s="1358"/>
      <c r="IWG519" s="1358"/>
      <c r="IWH519" s="1358"/>
      <c r="IWI519" s="1358"/>
      <c r="IWJ519" s="1358"/>
      <c r="IWK519" s="1358"/>
      <c r="IWL519" s="1358"/>
      <c r="IWM519" s="1358"/>
      <c r="IWN519" s="1358"/>
      <c r="IWO519" s="1358"/>
      <c r="IWP519" s="1358"/>
      <c r="IWQ519" s="1358"/>
      <c r="IWR519" s="1358"/>
      <c r="IWS519" s="1358"/>
      <c r="IWT519" s="1358"/>
      <c r="IWU519" s="1358"/>
      <c r="IWV519" s="1358"/>
      <c r="IWW519" s="1358"/>
      <c r="IWX519" s="1358"/>
      <c r="IWY519" s="1358"/>
      <c r="IWZ519" s="1358"/>
      <c r="IXA519" s="1358"/>
      <c r="IXB519" s="1358"/>
      <c r="IXC519" s="1358"/>
      <c r="IXD519" s="1358"/>
      <c r="IXE519" s="1358"/>
      <c r="IXF519" s="1358"/>
      <c r="IXG519" s="1358"/>
      <c r="IXH519" s="1358"/>
      <c r="IXI519" s="1358"/>
      <c r="IXJ519" s="1358"/>
      <c r="IXK519" s="1358"/>
      <c r="IXL519" s="1358"/>
      <c r="IXM519" s="1358"/>
      <c r="IXN519" s="1358"/>
      <c r="IXO519" s="1358"/>
      <c r="IXP519" s="1358"/>
      <c r="IXQ519" s="1358"/>
      <c r="IXR519" s="1358"/>
      <c r="IXS519" s="1358"/>
      <c r="IXT519" s="1358"/>
      <c r="IXU519" s="1358"/>
      <c r="IXV519" s="1358"/>
      <c r="IXW519" s="1358"/>
      <c r="IXX519" s="1358"/>
      <c r="IXY519" s="1358"/>
      <c r="IXZ519" s="1358"/>
      <c r="IYA519" s="1358"/>
      <c r="IYB519" s="1358"/>
      <c r="IYC519" s="1358"/>
      <c r="IYD519" s="1358"/>
      <c r="IYE519" s="1358"/>
      <c r="IYF519" s="1358"/>
      <c r="IYG519" s="1358"/>
      <c r="IYH519" s="1358"/>
      <c r="IYI519" s="1358"/>
      <c r="IYJ519" s="1358"/>
      <c r="IYK519" s="1358"/>
      <c r="IYL519" s="1358"/>
      <c r="IYM519" s="1358"/>
      <c r="IYN519" s="1358"/>
      <c r="IYO519" s="1358"/>
      <c r="IYP519" s="1358"/>
      <c r="IYQ519" s="1358"/>
      <c r="IYR519" s="1358"/>
      <c r="IYS519" s="1358"/>
      <c r="IYT519" s="1358"/>
      <c r="IYU519" s="1358"/>
      <c r="IYV519" s="1358"/>
      <c r="IYW519" s="1358"/>
      <c r="IYX519" s="1358"/>
      <c r="IYY519" s="1358"/>
      <c r="IYZ519" s="1358"/>
      <c r="IZA519" s="1358"/>
      <c r="IZB519" s="1358"/>
      <c r="IZC519" s="1358"/>
      <c r="IZD519" s="1358"/>
      <c r="IZE519" s="1358"/>
      <c r="IZF519" s="1358"/>
      <c r="IZG519" s="1358"/>
      <c r="IZH519" s="1358"/>
      <c r="IZI519" s="1358"/>
      <c r="IZJ519" s="1358"/>
      <c r="IZK519" s="1358"/>
      <c r="IZL519" s="1358"/>
      <c r="IZM519" s="1358"/>
      <c r="IZN519" s="1358"/>
      <c r="IZO519" s="1358"/>
      <c r="IZP519" s="1358"/>
      <c r="IZQ519" s="1358"/>
      <c r="IZR519" s="1358"/>
      <c r="IZS519" s="1358"/>
      <c r="IZT519" s="1358"/>
      <c r="IZU519" s="1358"/>
      <c r="IZV519" s="1358"/>
      <c r="IZW519" s="1358"/>
      <c r="IZX519" s="1358"/>
      <c r="IZY519" s="1358"/>
      <c r="IZZ519" s="1358"/>
      <c r="JAA519" s="1358"/>
      <c r="JAB519" s="1358"/>
      <c r="JAC519" s="1358"/>
      <c r="JAD519" s="1358"/>
      <c r="JAE519" s="1358"/>
      <c r="JAF519" s="1358"/>
      <c r="JAG519" s="1358"/>
      <c r="JAH519" s="1358"/>
      <c r="JAI519" s="1358"/>
      <c r="JAJ519" s="1358"/>
      <c r="JAK519" s="1358"/>
      <c r="JAL519" s="1358"/>
      <c r="JAM519" s="1358"/>
      <c r="JAN519" s="1358"/>
      <c r="JAO519" s="1358"/>
      <c r="JAP519" s="1358"/>
      <c r="JAQ519" s="1358"/>
      <c r="JAR519" s="1358"/>
      <c r="JAS519" s="1358"/>
      <c r="JAT519" s="1358"/>
      <c r="JAU519" s="1358"/>
      <c r="JAV519" s="1358"/>
      <c r="JAW519" s="1358"/>
      <c r="JAX519" s="1358"/>
      <c r="JAY519" s="1358"/>
      <c r="JAZ519" s="1358"/>
      <c r="JBA519" s="1358"/>
      <c r="JBB519" s="1358"/>
      <c r="JBC519" s="1358"/>
      <c r="JBD519" s="1358"/>
      <c r="JBE519" s="1358"/>
      <c r="JBF519" s="1358"/>
      <c r="JBG519" s="1358"/>
      <c r="JBH519" s="1358"/>
      <c r="JBI519" s="1358"/>
      <c r="JBJ519" s="1358"/>
      <c r="JBK519" s="1358"/>
      <c r="JBL519" s="1358"/>
      <c r="JBM519" s="1358"/>
      <c r="JBN519" s="1358"/>
      <c r="JBO519" s="1358"/>
      <c r="JBP519" s="1358"/>
      <c r="JBQ519" s="1358"/>
      <c r="JBR519" s="1358"/>
      <c r="JBS519" s="1358"/>
      <c r="JBT519" s="1358"/>
      <c r="JBU519" s="1358"/>
      <c r="JBV519" s="1358"/>
      <c r="JBW519" s="1358"/>
      <c r="JBX519" s="1358"/>
      <c r="JBY519" s="1358"/>
      <c r="JBZ519" s="1358"/>
      <c r="JCA519" s="1358"/>
      <c r="JCB519" s="1358"/>
      <c r="JCC519" s="1358"/>
      <c r="JCD519" s="1358"/>
      <c r="JCE519" s="1358"/>
      <c r="JCF519" s="1358"/>
      <c r="JCG519" s="1358"/>
      <c r="JCH519" s="1358"/>
      <c r="JCI519" s="1358"/>
      <c r="JCJ519" s="1358"/>
      <c r="JCK519" s="1358"/>
      <c r="JCL519" s="1358"/>
      <c r="JCM519" s="1358"/>
      <c r="JCN519" s="1358"/>
      <c r="JCO519" s="1358"/>
      <c r="JCP519" s="1358"/>
      <c r="JCQ519" s="1358"/>
      <c r="JCR519" s="1358"/>
      <c r="JCS519" s="1358"/>
      <c r="JCT519" s="1358"/>
      <c r="JCU519" s="1358"/>
      <c r="JCV519" s="1358"/>
      <c r="JCW519" s="1358"/>
      <c r="JCX519" s="1358"/>
      <c r="JCY519" s="1358"/>
      <c r="JCZ519" s="1358"/>
      <c r="JDA519" s="1358"/>
      <c r="JDB519" s="1358"/>
      <c r="JDC519" s="1358"/>
      <c r="JDD519" s="1358"/>
      <c r="JDE519" s="1358"/>
      <c r="JDF519" s="1358"/>
      <c r="JDG519" s="1358"/>
      <c r="JDH519" s="1358"/>
      <c r="JDI519" s="1358"/>
      <c r="JDJ519" s="1358"/>
      <c r="JDK519" s="1358"/>
      <c r="JDL519" s="1358"/>
      <c r="JDM519" s="1358"/>
      <c r="JDN519" s="1358"/>
      <c r="JDO519" s="1358"/>
      <c r="JDP519" s="1358"/>
      <c r="JDQ519" s="1358"/>
      <c r="JDR519" s="1358"/>
      <c r="JDS519" s="1358"/>
      <c r="JDT519" s="1358"/>
      <c r="JDU519" s="1358"/>
      <c r="JDV519" s="1358"/>
      <c r="JDW519" s="1358"/>
      <c r="JDX519" s="1358"/>
      <c r="JDY519" s="1358"/>
      <c r="JDZ519" s="1358"/>
      <c r="JEA519" s="1358"/>
      <c r="JEB519" s="1358"/>
      <c r="JEC519" s="1358"/>
      <c r="JED519" s="1358"/>
      <c r="JEE519" s="1358"/>
      <c r="JEF519" s="1358"/>
      <c r="JEG519" s="1358"/>
      <c r="JEH519" s="1358"/>
      <c r="JEI519" s="1358"/>
      <c r="JEJ519" s="1358"/>
      <c r="JEK519" s="1358"/>
      <c r="JEL519" s="1358"/>
      <c r="JEM519" s="1358"/>
      <c r="JEN519" s="1358"/>
      <c r="JEO519" s="1358"/>
      <c r="JEP519" s="1358"/>
      <c r="JEQ519" s="1358"/>
      <c r="JER519" s="1358"/>
      <c r="JES519" s="1358"/>
      <c r="JET519" s="1358"/>
      <c r="JEU519" s="1358"/>
      <c r="JEV519" s="1358"/>
      <c r="JEW519" s="1358"/>
      <c r="JEX519" s="1358"/>
      <c r="JEY519" s="1358"/>
      <c r="JEZ519" s="1358"/>
      <c r="JFA519" s="1358"/>
      <c r="JFB519" s="1358"/>
      <c r="JFC519" s="1358"/>
      <c r="JFD519" s="1358"/>
      <c r="JFE519" s="1358"/>
      <c r="JFF519" s="1358"/>
      <c r="JFG519" s="1358"/>
      <c r="JFH519" s="1358"/>
      <c r="JFI519" s="1358"/>
      <c r="JFJ519" s="1358"/>
      <c r="JFK519" s="1358"/>
      <c r="JFL519" s="1358"/>
      <c r="JFM519" s="1358"/>
      <c r="JFN519" s="1358"/>
      <c r="JFO519" s="1358"/>
      <c r="JFP519" s="1358"/>
      <c r="JFQ519" s="1358"/>
      <c r="JFR519" s="1358"/>
      <c r="JFS519" s="1358"/>
      <c r="JFT519" s="1358"/>
      <c r="JFU519" s="1358"/>
      <c r="JFV519" s="1358"/>
      <c r="JFW519" s="1358"/>
      <c r="JFX519" s="1358"/>
      <c r="JFY519" s="1358"/>
      <c r="JFZ519" s="1358"/>
      <c r="JGA519" s="1358"/>
      <c r="JGB519" s="1358"/>
      <c r="JGC519" s="1358"/>
      <c r="JGD519" s="1358"/>
      <c r="JGE519" s="1358"/>
      <c r="JGF519" s="1358"/>
      <c r="JGG519" s="1358"/>
      <c r="JGH519" s="1358"/>
      <c r="JGI519" s="1358"/>
      <c r="JGJ519" s="1358"/>
      <c r="JGK519" s="1358"/>
      <c r="JGL519" s="1358"/>
      <c r="JGM519" s="1358"/>
      <c r="JGN519" s="1358"/>
      <c r="JGO519" s="1358"/>
      <c r="JGP519" s="1358"/>
      <c r="JGQ519" s="1358"/>
      <c r="JGR519" s="1358"/>
      <c r="JGS519" s="1358"/>
      <c r="JGT519" s="1358"/>
      <c r="JGU519" s="1358"/>
      <c r="JGV519" s="1358"/>
      <c r="JGW519" s="1358"/>
      <c r="JGX519" s="1358"/>
      <c r="JGY519" s="1358"/>
      <c r="JGZ519" s="1358"/>
      <c r="JHA519" s="1358"/>
      <c r="JHB519" s="1358"/>
      <c r="JHC519" s="1358"/>
      <c r="JHD519" s="1358"/>
      <c r="JHE519" s="1358"/>
      <c r="JHF519" s="1358"/>
      <c r="JHG519" s="1358"/>
      <c r="JHH519" s="1358"/>
      <c r="JHI519" s="1358"/>
      <c r="JHJ519" s="1358"/>
      <c r="JHK519" s="1358"/>
      <c r="JHL519" s="1358"/>
      <c r="JHM519" s="1358"/>
      <c r="JHN519" s="1358"/>
      <c r="JHO519" s="1358"/>
      <c r="JHP519" s="1358"/>
      <c r="JHQ519" s="1358"/>
      <c r="JHR519" s="1358"/>
      <c r="JHS519" s="1358"/>
      <c r="JHT519" s="1358"/>
      <c r="JHU519" s="1358"/>
      <c r="JHV519" s="1358"/>
      <c r="JHW519" s="1358"/>
      <c r="JHX519" s="1358"/>
      <c r="JHY519" s="1358"/>
      <c r="JHZ519" s="1358"/>
      <c r="JIA519" s="1358"/>
      <c r="JIB519" s="1358"/>
      <c r="JIC519" s="1358"/>
      <c r="JID519" s="1358"/>
      <c r="JIE519" s="1358"/>
      <c r="JIF519" s="1358"/>
      <c r="JIG519" s="1358"/>
      <c r="JIH519" s="1358"/>
      <c r="JII519" s="1358"/>
      <c r="JIJ519" s="1358"/>
      <c r="JIK519" s="1358"/>
      <c r="JIL519" s="1358"/>
      <c r="JIM519" s="1358"/>
      <c r="JIN519" s="1358"/>
      <c r="JIO519" s="1358"/>
      <c r="JIP519" s="1358"/>
      <c r="JIQ519" s="1358"/>
      <c r="JIR519" s="1358"/>
      <c r="JIS519" s="1358"/>
      <c r="JIT519" s="1358"/>
      <c r="JIU519" s="1358"/>
      <c r="JIV519" s="1358"/>
      <c r="JIW519" s="1358"/>
      <c r="JIX519" s="1358"/>
      <c r="JIY519" s="1358"/>
      <c r="JIZ519" s="1358"/>
      <c r="JJA519" s="1358"/>
      <c r="JJB519" s="1358"/>
      <c r="JJC519" s="1358"/>
      <c r="JJD519" s="1358"/>
      <c r="JJE519" s="1358"/>
      <c r="JJF519" s="1358"/>
      <c r="JJG519" s="1358"/>
      <c r="JJH519" s="1358"/>
      <c r="JJI519" s="1358"/>
      <c r="JJJ519" s="1358"/>
      <c r="JJK519" s="1358"/>
      <c r="JJL519" s="1358"/>
      <c r="JJM519" s="1358"/>
      <c r="JJN519" s="1358"/>
      <c r="JJO519" s="1358"/>
      <c r="JJP519" s="1358"/>
      <c r="JJQ519" s="1358"/>
      <c r="JJR519" s="1358"/>
      <c r="JJS519" s="1358"/>
      <c r="JJT519" s="1358"/>
      <c r="JJU519" s="1358"/>
      <c r="JJV519" s="1358"/>
      <c r="JJW519" s="1358"/>
      <c r="JJX519" s="1358"/>
      <c r="JJY519" s="1358"/>
      <c r="JJZ519" s="1358"/>
      <c r="JKA519" s="1358"/>
      <c r="JKB519" s="1358"/>
      <c r="JKC519" s="1358"/>
      <c r="JKD519" s="1358"/>
      <c r="JKE519" s="1358"/>
      <c r="JKF519" s="1358"/>
      <c r="JKG519" s="1358"/>
      <c r="JKH519" s="1358"/>
      <c r="JKI519" s="1358"/>
      <c r="JKJ519" s="1358"/>
      <c r="JKK519" s="1358"/>
      <c r="JKL519" s="1358"/>
      <c r="JKM519" s="1358"/>
      <c r="JKN519" s="1358"/>
      <c r="JKO519" s="1358"/>
      <c r="JKP519" s="1358"/>
      <c r="JKQ519" s="1358"/>
      <c r="JKR519" s="1358"/>
      <c r="JKS519" s="1358"/>
      <c r="JKT519" s="1358"/>
      <c r="JKU519" s="1358"/>
      <c r="JKV519" s="1358"/>
      <c r="JKW519" s="1358"/>
      <c r="JKX519" s="1358"/>
      <c r="JKY519" s="1358"/>
      <c r="JKZ519" s="1358"/>
      <c r="JLA519" s="1358"/>
      <c r="JLB519" s="1358"/>
      <c r="JLC519" s="1358"/>
      <c r="JLD519" s="1358"/>
      <c r="JLE519" s="1358"/>
      <c r="JLF519" s="1358"/>
      <c r="JLG519" s="1358"/>
      <c r="JLH519" s="1358"/>
      <c r="JLI519" s="1358"/>
      <c r="JLJ519" s="1358"/>
      <c r="JLK519" s="1358"/>
      <c r="JLL519" s="1358"/>
      <c r="JLM519" s="1358"/>
      <c r="JLN519" s="1358"/>
      <c r="JLO519" s="1358"/>
      <c r="JLP519" s="1358"/>
      <c r="JLQ519" s="1358"/>
      <c r="JLR519" s="1358"/>
      <c r="JLS519" s="1358"/>
      <c r="JLT519" s="1358"/>
      <c r="JLU519" s="1358"/>
      <c r="JLV519" s="1358"/>
      <c r="JLW519" s="1358"/>
      <c r="JLX519" s="1358"/>
      <c r="JLY519" s="1358"/>
      <c r="JLZ519" s="1358"/>
      <c r="JMA519" s="1358"/>
      <c r="JMB519" s="1358"/>
      <c r="JMC519" s="1358"/>
      <c r="JMD519" s="1358"/>
      <c r="JME519" s="1358"/>
      <c r="JMF519" s="1358"/>
      <c r="JMG519" s="1358"/>
      <c r="JMH519" s="1358"/>
      <c r="JMI519" s="1358"/>
      <c r="JMJ519" s="1358"/>
      <c r="JMK519" s="1358"/>
      <c r="JML519" s="1358"/>
      <c r="JMM519" s="1358"/>
      <c r="JMN519" s="1358"/>
      <c r="JMO519" s="1358"/>
      <c r="JMP519" s="1358"/>
      <c r="JMQ519" s="1358"/>
      <c r="JMR519" s="1358"/>
      <c r="JMS519" s="1358"/>
      <c r="JMT519" s="1358"/>
      <c r="JMU519" s="1358"/>
      <c r="JMV519" s="1358"/>
      <c r="JMW519" s="1358"/>
      <c r="JMX519" s="1358"/>
      <c r="JMY519" s="1358"/>
      <c r="JMZ519" s="1358"/>
      <c r="JNA519" s="1358"/>
      <c r="JNB519" s="1358"/>
      <c r="JNC519" s="1358"/>
      <c r="JND519" s="1358"/>
      <c r="JNE519" s="1358"/>
      <c r="JNF519" s="1358"/>
      <c r="JNG519" s="1358"/>
      <c r="JNH519" s="1358"/>
      <c r="JNI519" s="1358"/>
      <c r="JNJ519" s="1358"/>
      <c r="JNK519" s="1358"/>
      <c r="JNL519" s="1358"/>
      <c r="JNM519" s="1358"/>
      <c r="JNN519" s="1358"/>
      <c r="JNO519" s="1358"/>
      <c r="JNP519" s="1358"/>
      <c r="JNQ519" s="1358"/>
      <c r="JNR519" s="1358"/>
      <c r="JNS519" s="1358"/>
      <c r="JNT519" s="1358"/>
      <c r="JNU519" s="1358"/>
      <c r="JNV519" s="1358"/>
      <c r="JNW519" s="1358"/>
      <c r="JNX519" s="1358"/>
      <c r="JNY519" s="1358"/>
      <c r="JNZ519" s="1358"/>
      <c r="JOA519" s="1358"/>
      <c r="JOB519" s="1358"/>
      <c r="JOC519" s="1358"/>
      <c r="JOD519" s="1358"/>
      <c r="JOE519" s="1358"/>
      <c r="JOF519" s="1358"/>
      <c r="JOG519" s="1358"/>
      <c r="JOH519" s="1358"/>
      <c r="JOI519" s="1358"/>
      <c r="JOJ519" s="1358"/>
      <c r="JOK519" s="1358"/>
      <c r="JOL519" s="1358"/>
      <c r="JOM519" s="1358"/>
      <c r="JON519" s="1358"/>
      <c r="JOO519" s="1358"/>
      <c r="JOP519" s="1358"/>
      <c r="JOQ519" s="1358"/>
      <c r="JOR519" s="1358"/>
      <c r="JOS519" s="1358"/>
      <c r="JOT519" s="1358"/>
      <c r="JOU519" s="1358"/>
      <c r="JOV519" s="1358"/>
      <c r="JOW519" s="1358"/>
      <c r="JOX519" s="1358"/>
      <c r="JOY519" s="1358"/>
      <c r="JOZ519" s="1358"/>
      <c r="JPA519" s="1358"/>
      <c r="JPB519" s="1358"/>
      <c r="JPC519" s="1358"/>
      <c r="JPD519" s="1358"/>
      <c r="JPE519" s="1358"/>
      <c r="JPF519" s="1358"/>
      <c r="JPG519" s="1358"/>
      <c r="JPH519" s="1358"/>
      <c r="JPI519" s="1358"/>
      <c r="JPJ519" s="1358"/>
      <c r="JPK519" s="1358"/>
      <c r="JPL519" s="1358"/>
      <c r="JPM519" s="1358"/>
      <c r="JPN519" s="1358"/>
      <c r="JPO519" s="1358"/>
      <c r="JPP519" s="1358"/>
      <c r="JPQ519" s="1358"/>
      <c r="JPR519" s="1358"/>
      <c r="JPS519" s="1358"/>
      <c r="JPT519" s="1358"/>
      <c r="JPU519" s="1358"/>
      <c r="JPV519" s="1358"/>
      <c r="JPW519" s="1358"/>
      <c r="JPX519" s="1358"/>
      <c r="JPY519" s="1358"/>
      <c r="JPZ519" s="1358"/>
      <c r="JQA519" s="1358"/>
      <c r="JQB519" s="1358"/>
      <c r="JQC519" s="1358"/>
      <c r="JQD519" s="1358"/>
      <c r="JQE519" s="1358"/>
      <c r="JQF519" s="1358"/>
      <c r="JQG519" s="1358"/>
      <c r="JQH519" s="1358"/>
      <c r="JQI519" s="1358"/>
      <c r="JQJ519" s="1358"/>
      <c r="JQK519" s="1358"/>
      <c r="JQL519" s="1358"/>
      <c r="JQM519" s="1358"/>
      <c r="JQN519" s="1358"/>
      <c r="JQO519" s="1358"/>
      <c r="JQP519" s="1358"/>
      <c r="JQQ519" s="1358"/>
      <c r="JQR519" s="1358"/>
      <c r="JQS519" s="1358"/>
      <c r="JQT519" s="1358"/>
      <c r="JQU519" s="1358"/>
      <c r="JQV519" s="1358"/>
      <c r="JQW519" s="1358"/>
      <c r="JQX519" s="1358"/>
      <c r="JQY519" s="1358"/>
      <c r="JQZ519" s="1358"/>
      <c r="JRA519" s="1358"/>
      <c r="JRB519" s="1358"/>
      <c r="JRC519" s="1358"/>
      <c r="JRD519" s="1358"/>
      <c r="JRE519" s="1358"/>
      <c r="JRF519" s="1358"/>
      <c r="JRG519" s="1358"/>
      <c r="JRH519" s="1358"/>
      <c r="JRI519" s="1358"/>
      <c r="JRJ519" s="1358"/>
      <c r="JRK519" s="1358"/>
      <c r="JRL519" s="1358"/>
      <c r="JRM519" s="1358"/>
      <c r="JRN519" s="1358"/>
      <c r="JRO519" s="1358"/>
      <c r="JRP519" s="1358"/>
      <c r="JRQ519" s="1358"/>
      <c r="JRR519" s="1358"/>
      <c r="JRS519" s="1358"/>
      <c r="JRT519" s="1358"/>
      <c r="JRU519" s="1358"/>
      <c r="JRV519" s="1358"/>
      <c r="JRW519" s="1358"/>
      <c r="JRX519" s="1358"/>
      <c r="JRY519" s="1358"/>
      <c r="JRZ519" s="1358"/>
      <c r="JSA519" s="1358"/>
      <c r="JSB519" s="1358"/>
      <c r="JSC519" s="1358"/>
      <c r="JSD519" s="1358"/>
      <c r="JSE519" s="1358"/>
      <c r="JSF519" s="1358"/>
      <c r="JSG519" s="1358"/>
      <c r="JSH519" s="1358"/>
      <c r="JSI519" s="1358"/>
      <c r="JSJ519" s="1358"/>
      <c r="JSK519" s="1358"/>
      <c r="JSL519" s="1358"/>
      <c r="JSM519" s="1358"/>
      <c r="JSN519" s="1358"/>
      <c r="JSO519" s="1358"/>
      <c r="JSP519" s="1358"/>
      <c r="JSQ519" s="1358"/>
      <c r="JSR519" s="1358"/>
      <c r="JSS519" s="1358"/>
      <c r="JST519" s="1358"/>
      <c r="JSU519" s="1358"/>
      <c r="JSV519" s="1358"/>
      <c r="JSW519" s="1358"/>
      <c r="JSX519" s="1358"/>
      <c r="JSY519" s="1358"/>
      <c r="JSZ519" s="1358"/>
      <c r="JTA519" s="1358"/>
      <c r="JTB519" s="1358"/>
      <c r="JTC519" s="1358"/>
      <c r="JTD519" s="1358"/>
      <c r="JTE519" s="1358"/>
      <c r="JTF519" s="1358"/>
      <c r="JTG519" s="1358"/>
      <c r="JTH519" s="1358"/>
      <c r="JTI519" s="1358"/>
      <c r="JTJ519" s="1358"/>
      <c r="JTK519" s="1358"/>
      <c r="JTL519" s="1358"/>
      <c r="JTM519" s="1358"/>
      <c r="JTN519" s="1358"/>
      <c r="JTO519" s="1358"/>
      <c r="JTP519" s="1358"/>
      <c r="JTQ519" s="1358"/>
      <c r="JTR519" s="1358"/>
      <c r="JTS519" s="1358"/>
      <c r="JTT519" s="1358"/>
      <c r="JTU519" s="1358"/>
      <c r="JTV519" s="1358"/>
      <c r="JTW519" s="1358"/>
      <c r="JTX519" s="1358"/>
      <c r="JTY519" s="1358"/>
      <c r="JTZ519" s="1358"/>
      <c r="JUA519" s="1358"/>
      <c r="JUB519" s="1358"/>
      <c r="JUC519" s="1358"/>
      <c r="JUD519" s="1358"/>
      <c r="JUE519" s="1358"/>
      <c r="JUF519" s="1358"/>
      <c r="JUG519" s="1358"/>
      <c r="JUH519" s="1358"/>
      <c r="JUI519" s="1358"/>
      <c r="JUJ519" s="1358"/>
      <c r="JUK519" s="1358"/>
      <c r="JUL519" s="1358"/>
      <c r="JUM519" s="1358"/>
      <c r="JUN519" s="1358"/>
      <c r="JUO519" s="1358"/>
      <c r="JUP519" s="1358"/>
      <c r="JUQ519" s="1358"/>
      <c r="JUR519" s="1358"/>
      <c r="JUS519" s="1358"/>
      <c r="JUT519" s="1358"/>
      <c r="JUU519" s="1358"/>
      <c r="JUV519" s="1358"/>
      <c r="JUW519" s="1358"/>
      <c r="JUX519" s="1358"/>
      <c r="JUY519" s="1358"/>
      <c r="JUZ519" s="1358"/>
      <c r="JVA519" s="1358"/>
      <c r="JVB519" s="1358"/>
      <c r="JVC519" s="1358"/>
      <c r="JVD519" s="1358"/>
      <c r="JVE519" s="1358"/>
      <c r="JVF519" s="1358"/>
      <c r="JVG519" s="1358"/>
      <c r="JVH519" s="1358"/>
      <c r="JVI519" s="1358"/>
      <c r="JVJ519" s="1358"/>
      <c r="JVK519" s="1358"/>
      <c r="JVL519" s="1358"/>
      <c r="JVM519" s="1358"/>
      <c r="JVN519" s="1358"/>
      <c r="JVO519" s="1358"/>
      <c r="JVP519" s="1358"/>
      <c r="JVQ519" s="1358"/>
      <c r="JVR519" s="1358"/>
      <c r="JVS519" s="1358"/>
      <c r="JVT519" s="1358"/>
      <c r="JVU519" s="1358"/>
      <c r="JVV519" s="1358"/>
      <c r="JVW519" s="1358"/>
      <c r="JVX519" s="1358"/>
      <c r="JVY519" s="1358"/>
      <c r="JVZ519" s="1358"/>
      <c r="JWA519" s="1358"/>
      <c r="JWB519" s="1358"/>
      <c r="JWC519" s="1358"/>
      <c r="JWD519" s="1358"/>
      <c r="JWE519" s="1358"/>
      <c r="JWF519" s="1358"/>
      <c r="JWG519" s="1358"/>
      <c r="JWH519" s="1358"/>
      <c r="JWI519" s="1358"/>
      <c r="JWJ519" s="1358"/>
      <c r="JWK519" s="1358"/>
      <c r="JWL519" s="1358"/>
      <c r="JWM519" s="1358"/>
      <c r="JWN519" s="1358"/>
      <c r="JWO519" s="1358"/>
      <c r="JWP519" s="1358"/>
      <c r="JWQ519" s="1358"/>
      <c r="JWR519" s="1358"/>
      <c r="JWS519" s="1358"/>
      <c r="JWT519" s="1358"/>
      <c r="JWU519" s="1358"/>
      <c r="JWV519" s="1358"/>
      <c r="JWW519" s="1358"/>
      <c r="JWX519" s="1358"/>
      <c r="JWY519" s="1358"/>
      <c r="JWZ519" s="1358"/>
      <c r="JXA519" s="1358"/>
      <c r="JXB519" s="1358"/>
      <c r="JXC519" s="1358"/>
      <c r="JXD519" s="1358"/>
      <c r="JXE519" s="1358"/>
      <c r="JXF519" s="1358"/>
      <c r="JXG519" s="1358"/>
      <c r="JXH519" s="1358"/>
      <c r="JXI519" s="1358"/>
      <c r="JXJ519" s="1358"/>
      <c r="JXK519" s="1358"/>
      <c r="JXL519" s="1358"/>
      <c r="JXM519" s="1358"/>
      <c r="JXN519" s="1358"/>
      <c r="JXO519" s="1358"/>
      <c r="JXP519" s="1358"/>
      <c r="JXQ519" s="1358"/>
      <c r="JXR519" s="1358"/>
      <c r="JXS519" s="1358"/>
      <c r="JXT519" s="1358"/>
      <c r="JXU519" s="1358"/>
      <c r="JXV519" s="1358"/>
      <c r="JXW519" s="1358"/>
      <c r="JXX519" s="1358"/>
      <c r="JXY519" s="1358"/>
      <c r="JXZ519" s="1358"/>
      <c r="JYA519" s="1358"/>
      <c r="JYB519" s="1358"/>
      <c r="JYC519" s="1358"/>
      <c r="JYD519" s="1358"/>
      <c r="JYE519" s="1358"/>
      <c r="JYF519" s="1358"/>
      <c r="JYG519" s="1358"/>
      <c r="JYH519" s="1358"/>
      <c r="JYI519" s="1358"/>
      <c r="JYJ519" s="1358"/>
      <c r="JYK519" s="1358"/>
      <c r="JYL519" s="1358"/>
      <c r="JYM519" s="1358"/>
      <c r="JYN519" s="1358"/>
      <c r="JYO519" s="1358"/>
      <c r="JYP519" s="1358"/>
      <c r="JYQ519" s="1358"/>
      <c r="JYR519" s="1358"/>
      <c r="JYS519" s="1358"/>
      <c r="JYT519" s="1358"/>
      <c r="JYU519" s="1358"/>
      <c r="JYV519" s="1358"/>
      <c r="JYW519" s="1358"/>
      <c r="JYX519" s="1358"/>
      <c r="JYY519" s="1358"/>
      <c r="JYZ519" s="1358"/>
      <c r="JZA519" s="1358"/>
      <c r="JZB519" s="1358"/>
      <c r="JZC519" s="1358"/>
      <c r="JZD519" s="1358"/>
      <c r="JZE519" s="1358"/>
      <c r="JZF519" s="1358"/>
      <c r="JZG519" s="1358"/>
      <c r="JZH519" s="1358"/>
      <c r="JZI519" s="1358"/>
      <c r="JZJ519" s="1358"/>
      <c r="JZK519" s="1358"/>
      <c r="JZL519" s="1358"/>
      <c r="JZM519" s="1358"/>
      <c r="JZN519" s="1358"/>
      <c r="JZO519" s="1358"/>
      <c r="JZP519" s="1358"/>
      <c r="JZQ519" s="1358"/>
      <c r="JZR519" s="1358"/>
      <c r="JZS519" s="1358"/>
      <c r="JZT519" s="1358"/>
      <c r="JZU519" s="1358"/>
      <c r="JZV519" s="1358"/>
      <c r="JZW519" s="1358"/>
      <c r="JZX519" s="1358"/>
      <c r="JZY519" s="1358"/>
      <c r="JZZ519" s="1358"/>
      <c r="KAA519" s="1358"/>
      <c r="KAB519" s="1358"/>
      <c r="KAC519" s="1358"/>
      <c r="KAD519" s="1358"/>
      <c r="KAE519" s="1358"/>
      <c r="KAF519" s="1358"/>
      <c r="KAG519" s="1358"/>
      <c r="KAH519" s="1358"/>
      <c r="KAI519" s="1358"/>
      <c r="KAJ519" s="1358"/>
      <c r="KAK519" s="1358"/>
      <c r="KAL519" s="1358"/>
      <c r="KAM519" s="1358"/>
      <c r="KAN519" s="1358"/>
      <c r="KAO519" s="1358"/>
      <c r="KAP519" s="1358"/>
      <c r="KAQ519" s="1358"/>
      <c r="KAR519" s="1358"/>
      <c r="KAS519" s="1358"/>
      <c r="KAT519" s="1358"/>
      <c r="KAU519" s="1358"/>
      <c r="KAV519" s="1358"/>
      <c r="KAW519" s="1358"/>
      <c r="KAX519" s="1358"/>
      <c r="KAY519" s="1358"/>
      <c r="KAZ519" s="1358"/>
      <c r="KBA519" s="1358"/>
      <c r="KBB519" s="1358"/>
      <c r="KBC519" s="1358"/>
      <c r="KBD519" s="1358"/>
      <c r="KBE519" s="1358"/>
      <c r="KBF519" s="1358"/>
      <c r="KBG519" s="1358"/>
      <c r="KBH519" s="1358"/>
      <c r="KBI519" s="1358"/>
      <c r="KBJ519" s="1358"/>
      <c r="KBK519" s="1358"/>
      <c r="KBL519" s="1358"/>
      <c r="KBM519" s="1358"/>
      <c r="KBN519" s="1358"/>
      <c r="KBO519" s="1358"/>
      <c r="KBP519" s="1358"/>
      <c r="KBQ519" s="1358"/>
      <c r="KBR519" s="1358"/>
      <c r="KBS519" s="1358"/>
      <c r="KBT519" s="1358"/>
      <c r="KBU519" s="1358"/>
      <c r="KBV519" s="1358"/>
      <c r="KBW519" s="1358"/>
      <c r="KBX519" s="1358"/>
      <c r="KBY519" s="1358"/>
      <c r="KBZ519" s="1358"/>
      <c r="KCA519" s="1358"/>
      <c r="KCB519" s="1358"/>
      <c r="KCC519" s="1358"/>
      <c r="KCD519" s="1358"/>
      <c r="KCE519" s="1358"/>
      <c r="KCF519" s="1358"/>
      <c r="KCG519" s="1358"/>
      <c r="KCH519" s="1358"/>
      <c r="KCI519" s="1358"/>
      <c r="KCJ519" s="1358"/>
      <c r="KCK519" s="1358"/>
      <c r="KCL519" s="1358"/>
      <c r="KCM519" s="1358"/>
      <c r="KCN519" s="1358"/>
      <c r="KCO519" s="1358"/>
      <c r="KCP519" s="1358"/>
      <c r="KCQ519" s="1358"/>
      <c r="KCR519" s="1358"/>
      <c r="KCS519" s="1358"/>
      <c r="KCT519" s="1358"/>
      <c r="KCU519" s="1358"/>
      <c r="KCV519" s="1358"/>
      <c r="KCW519" s="1358"/>
      <c r="KCX519" s="1358"/>
      <c r="KCY519" s="1358"/>
      <c r="KCZ519" s="1358"/>
      <c r="KDA519" s="1358"/>
      <c r="KDB519" s="1358"/>
      <c r="KDC519" s="1358"/>
      <c r="KDD519" s="1358"/>
      <c r="KDE519" s="1358"/>
      <c r="KDF519" s="1358"/>
      <c r="KDG519" s="1358"/>
      <c r="KDH519" s="1358"/>
      <c r="KDI519" s="1358"/>
      <c r="KDJ519" s="1358"/>
      <c r="KDK519" s="1358"/>
      <c r="KDL519" s="1358"/>
      <c r="KDM519" s="1358"/>
      <c r="KDN519" s="1358"/>
      <c r="KDO519" s="1358"/>
      <c r="KDP519" s="1358"/>
      <c r="KDQ519" s="1358"/>
      <c r="KDR519" s="1358"/>
      <c r="KDS519" s="1358"/>
      <c r="KDT519" s="1358"/>
      <c r="KDU519" s="1358"/>
      <c r="KDV519" s="1358"/>
      <c r="KDW519" s="1358"/>
      <c r="KDX519" s="1358"/>
      <c r="KDY519" s="1358"/>
      <c r="KDZ519" s="1358"/>
      <c r="KEA519" s="1358"/>
      <c r="KEB519" s="1358"/>
      <c r="KEC519" s="1358"/>
      <c r="KED519" s="1358"/>
      <c r="KEE519" s="1358"/>
      <c r="KEF519" s="1358"/>
      <c r="KEG519" s="1358"/>
      <c r="KEH519" s="1358"/>
      <c r="KEI519" s="1358"/>
      <c r="KEJ519" s="1358"/>
      <c r="KEK519" s="1358"/>
      <c r="KEL519" s="1358"/>
      <c r="KEM519" s="1358"/>
      <c r="KEN519" s="1358"/>
      <c r="KEO519" s="1358"/>
      <c r="KEP519" s="1358"/>
      <c r="KEQ519" s="1358"/>
      <c r="KER519" s="1358"/>
      <c r="KES519" s="1358"/>
      <c r="KET519" s="1358"/>
      <c r="KEU519" s="1358"/>
      <c r="KEV519" s="1358"/>
      <c r="KEW519" s="1358"/>
      <c r="KEX519" s="1358"/>
      <c r="KEY519" s="1358"/>
      <c r="KEZ519" s="1358"/>
      <c r="KFA519" s="1358"/>
      <c r="KFB519" s="1358"/>
      <c r="KFC519" s="1358"/>
      <c r="KFD519" s="1358"/>
      <c r="KFE519" s="1358"/>
      <c r="KFF519" s="1358"/>
      <c r="KFG519" s="1358"/>
      <c r="KFH519" s="1358"/>
      <c r="KFI519" s="1358"/>
      <c r="KFJ519" s="1358"/>
      <c r="KFK519" s="1358"/>
      <c r="KFL519" s="1358"/>
      <c r="KFM519" s="1358"/>
      <c r="KFN519" s="1358"/>
      <c r="KFO519" s="1358"/>
      <c r="KFP519" s="1358"/>
      <c r="KFQ519" s="1358"/>
      <c r="KFR519" s="1358"/>
      <c r="KFS519" s="1358"/>
      <c r="KFT519" s="1358"/>
      <c r="KFU519" s="1358"/>
      <c r="KFV519" s="1358"/>
      <c r="KFW519" s="1358"/>
      <c r="KFX519" s="1358"/>
      <c r="KFY519" s="1358"/>
      <c r="KFZ519" s="1358"/>
      <c r="KGA519" s="1358"/>
      <c r="KGB519" s="1358"/>
      <c r="KGC519" s="1358"/>
      <c r="KGD519" s="1358"/>
      <c r="KGE519" s="1358"/>
      <c r="KGF519" s="1358"/>
      <c r="KGG519" s="1358"/>
      <c r="KGH519" s="1358"/>
      <c r="KGI519" s="1358"/>
      <c r="KGJ519" s="1358"/>
      <c r="KGK519" s="1358"/>
      <c r="KGL519" s="1358"/>
      <c r="KGM519" s="1358"/>
      <c r="KGN519" s="1358"/>
      <c r="KGO519" s="1358"/>
      <c r="KGP519" s="1358"/>
      <c r="KGQ519" s="1358"/>
      <c r="KGR519" s="1358"/>
      <c r="KGS519" s="1358"/>
      <c r="KGT519" s="1358"/>
      <c r="KGU519" s="1358"/>
      <c r="KGV519" s="1358"/>
      <c r="KGW519" s="1358"/>
      <c r="KGX519" s="1358"/>
      <c r="KGY519" s="1358"/>
      <c r="KGZ519" s="1358"/>
      <c r="KHA519" s="1358"/>
      <c r="KHB519" s="1358"/>
      <c r="KHC519" s="1358"/>
      <c r="KHD519" s="1358"/>
      <c r="KHE519" s="1358"/>
      <c r="KHF519" s="1358"/>
      <c r="KHG519" s="1358"/>
      <c r="KHH519" s="1358"/>
      <c r="KHI519" s="1358"/>
      <c r="KHJ519" s="1358"/>
      <c r="KHK519" s="1358"/>
      <c r="KHL519" s="1358"/>
      <c r="KHM519" s="1358"/>
      <c r="KHN519" s="1358"/>
      <c r="KHO519" s="1358"/>
      <c r="KHP519" s="1358"/>
      <c r="KHQ519" s="1358"/>
      <c r="KHR519" s="1358"/>
      <c r="KHS519" s="1358"/>
      <c r="KHT519" s="1358"/>
      <c r="KHU519" s="1358"/>
      <c r="KHV519" s="1358"/>
      <c r="KHW519" s="1358"/>
      <c r="KHX519" s="1358"/>
      <c r="KHY519" s="1358"/>
      <c r="KHZ519" s="1358"/>
      <c r="KIA519" s="1358"/>
      <c r="KIB519" s="1358"/>
      <c r="KIC519" s="1358"/>
      <c r="KID519" s="1358"/>
      <c r="KIE519" s="1358"/>
      <c r="KIF519" s="1358"/>
      <c r="KIG519" s="1358"/>
      <c r="KIH519" s="1358"/>
      <c r="KII519" s="1358"/>
      <c r="KIJ519" s="1358"/>
      <c r="KIK519" s="1358"/>
      <c r="KIL519" s="1358"/>
      <c r="KIM519" s="1358"/>
      <c r="KIN519" s="1358"/>
      <c r="KIO519" s="1358"/>
      <c r="KIP519" s="1358"/>
      <c r="KIQ519" s="1358"/>
      <c r="KIR519" s="1358"/>
      <c r="KIS519" s="1358"/>
      <c r="KIT519" s="1358"/>
      <c r="KIU519" s="1358"/>
      <c r="KIV519" s="1358"/>
      <c r="KIW519" s="1358"/>
      <c r="KIX519" s="1358"/>
      <c r="KIY519" s="1358"/>
      <c r="KIZ519" s="1358"/>
      <c r="KJA519" s="1358"/>
      <c r="KJB519" s="1358"/>
      <c r="KJC519" s="1358"/>
      <c r="KJD519" s="1358"/>
      <c r="KJE519" s="1358"/>
      <c r="KJF519" s="1358"/>
      <c r="KJG519" s="1358"/>
      <c r="KJH519" s="1358"/>
      <c r="KJI519" s="1358"/>
      <c r="KJJ519" s="1358"/>
      <c r="KJK519" s="1358"/>
      <c r="KJL519" s="1358"/>
      <c r="KJM519" s="1358"/>
      <c r="KJN519" s="1358"/>
      <c r="KJO519" s="1358"/>
      <c r="KJP519" s="1358"/>
      <c r="KJQ519" s="1358"/>
      <c r="KJR519" s="1358"/>
      <c r="KJS519" s="1358"/>
      <c r="KJT519" s="1358"/>
      <c r="KJU519" s="1358"/>
      <c r="KJV519" s="1358"/>
      <c r="KJW519" s="1358"/>
      <c r="KJX519" s="1358"/>
      <c r="KJY519" s="1358"/>
      <c r="KJZ519" s="1358"/>
      <c r="KKA519" s="1358"/>
      <c r="KKB519" s="1358"/>
      <c r="KKC519" s="1358"/>
      <c r="KKD519" s="1358"/>
      <c r="KKE519" s="1358"/>
      <c r="KKF519" s="1358"/>
      <c r="KKG519" s="1358"/>
      <c r="KKH519" s="1358"/>
      <c r="KKI519" s="1358"/>
      <c r="KKJ519" s="1358"/>
      <c r="KKK519" s="1358"/>
      <c r="KKL519" s="1358"/>
      <c r="KKM519" s="1358"/>
      <c r="KKN519" s="1358"/>
      <c r="KKO519" s="1358"/>
      <c r="KKP519" s="1358"/>
      <c r="KKQ519" s="1358"/>
      <c r="KKR519" s="1358"/>
      <c r="KKS519" s="1358"/>
      <c r="KKT519" s="1358"/>
      <c r="KKU519" s="1358"/>
      <c r="KKV519" s="1358"/>
      <c r="KKW519" s="1358"/>
      <c r="KKX519" s="1358"/>
      <c r="KKY519" s="1358"/>
      <c r="KKZ519" s="1358"/>
      <c r="KLA519" s="1358"/>
      <c r="KLB519" s="1358"/>
      <c r="KLC519" s="1358"/>
      <c r="KLD519" s="1358"/>
      <c r="KLE519" s="1358"/>
      <c r="KLF519" s="1358"/>
      <c r="KLG519" s="1358"/>
      <c r="KLH519" s="1358"/>
      <c r="KLI519" s="1358"/>
      <c r="KLJ519" s="1358"/>
      <c r="KLK519" s="1358"/>
      <c r="KLL519" s="1358"/>
      <c r="KLM519" s="1358"/>
      <c r="KLN519" s="1358"/>
      <c r="KLO519" s="1358"/>
      <c r="KLP519" s="1358"/>
      <c r="KLQ519" s="1358"/>
      <c r="KLR519" s="1358"/>
      <c r="KLS519" s="1358"/>
      <c r="KLT519" s="1358"/>
      <c r="KLU519" s="1358"/>
      <c r="KLV519" s="1358"/>
      <c r="KLW519" s="1358"/>
      <c r="KLX519" s="1358"/>
      <c r="KLY519" s="1358"/>
      <c r="KLZ519" s="1358"/>
      <c r="KMA519" s="1358"/>
      <c r="KMB519" s="1358"/>
      <c r="KMC519" s="1358"/>
      <c r="KMD519" s="1358"/>
      <c r="KME519" s="1358"/>
      <c r="KMF519" s="1358"/>
      <c r="KMG519" s="1358"/>
      <c r="KMH519" s="1358"/>
      <c r="KMI519" s="1358"/>
      <c r="KMJ519" s="1358"/>
      <c r="KMK519" s="1358"/>
      <c r="KML519" s="1358"/>
      <c r="KMM519" s="1358"/>
      <c r="KMN519" s="1358"/>
      <c r="KMO519" s="1358"/>
      <c r="KMP519" s="1358"/>
      <c r="KMQ519" s="1358"/>
      <c r="KMR519" s="1358"/>
      <c r="KMS519" s="1358"/>
      <c r="KMT519" s="1358"/>
      <c r="KMU519" s="1358"/>
      <c r="KMV519" s="1358"/>
      <c r="KMW519" s="1358"/>
      <c r="KMX519" s="1358"/>
      <c r="KMY519" s="1358"/>
      <c r="KMZ519" s="1358"/>
      <c r="KNA519" s="1358"/>
      <c r="KNB519" s="1358"/>
      <c r="KNC519" s="1358"/>
      <c r="KND519" s="1358"/>
      <c r="KNE519" s="1358"/>
      <c r="KNF519" s="1358"/>
      <c r="KNG519" s="1358"/>
      <c r="KNH519" s="1358"/>
      <c r="KNI519" s="1358"/>
      <c r="KNJ519" s="1358"/>
      <c r="KNK519" s="1358"/>
      <c r="KNL519" s="1358"/>
      <c r="KNM519" s="1358"/>
      <c r="KNN519" s="1358"/>
      <c r="KNO519" s="1358"/>
      <c r="KNP519" s="1358"/>
      <c r="KNQ519" s="1358"/>
      <c r="KNR519" s="1358"/>
      <c r="KNS519" s="1358"/>
      <c r="KNT519" s="1358"/>
      <c r="KNU519" s="1358"/>
      <c r="KNV519" s="1358"/>
      <c r="KNW519" s="1358"/>
      <c r="KNX519" s="1358"/>
      <c r="KNY519" s="1358"/>
      <c r="KNZ519" s="1358"/>
      <c r="KOA519" s="1358"/>
      <c r="KOB519" s="1358"/>
      <c r="KOC519" s="1358"/>
      <c r="KOD519" s="1358"/>
      <c r="KOE519" s="1358"/>
      <c r="KOF519" s="1358"/>
      <c r="KOG519" s="1358"/>
      <c r="KOH519" s="1358"/>
      <c r="KOI519" s="1358"/>
      <c r="KOJ519" s="1358"/>
      <c r="KOK519" s="1358"/>
      <c r="KOL519" s="1358"/>
      <c r="KOM519" s="1358"/>
      <c r="KON519" s="1358"/>
      <c r="KOO519" s="1358"/>
      <c r="KOP519" s="1358"/>
      <c r="KOQ519" s="1358"/>
      <c r="KOR519" s="1358"/>
      <c r="KOS519" s="1358"/>
      <c r="KOT519" s="1358"/>
      <c r="KOU519" s="1358"/>
      <c r="KOV519" s="1358"/>
      <c r="KOW519" s="1358"/>
      <c r="KOX519" s="1358"/>
      <c r="KOY519" s="1358"/>
      <c r="KOZ519" s="1358"/>
      <c r="KPA519" s="1358"/>
      <c r="KPB519" s="1358"/>
      <c r="KPC519" s="1358"/>
      <c r="KPD519" s="1358"/>
      <c r="KPE519" s="1358"/>
      <c r="KPF519" s="1358"/>
      <c r="KPG519" s="1358"/>
      <c r="KPH519" s="1358"/>
      <c r="KPI519" s="1358"/>
      <c r="KPJ519" s="1358"/>
      <c r="KPK519" s="1358"/>
      <c r="KPL519" s="1358"/>
      <c r="KPM519" s="1358"/>
      <c r="KPN519" s="1358"/>
      <c r="KPO519" s="1358"/>
      <c r="KPP519" s="1358"/>
      <c r="KPQ519" s="1358"/>
      <c r="KPR519" s="1358"/>
      <c r="KPS519" s="1358"/>
      <c r="KPT519" s="1358"/>
      <c r="KPU519" s="1358"/>
      <c r="KPV519" s="1358"/>
      <c r="KPW519" s="1358"/>
      <c r="KPX519" s="1358"/>
      <c r="KPY519" s="1358"/>
      <c r="KPZ519" s="1358"/>
      <c r="KQA519" s="1358"/>
      <c r="KQB519" s="1358"/>
      <c r="KQC519" s="1358"/>
      <c r="KQD519" s="1358"/>
      <c r="KQE519" s="1358"/>
      <c r="KQF519" s="1358"/>
      <c r="KQG519" s="1358"/>
      <c r="KQH519" s="1358"/>
      <c r="KQI519" s="1358"/>
      <c r="KQJ519" s="1358"/>
      <c r="KQK519" s="1358"/>
      <c r="KQL519" s="1358"/>
      <c r="KQM519" s="1358"/>
      <c r="KQN519" s="1358"/>
      <c r="KQO519" s="1358"/>
      <c r="KQP519" s="1358"/>
      <c r="KQQ519" s="1358"/>
      <c r="KQR519" s="1358"/>
      <c r="KQS519" s="1358"/>
      <c r="KQT519" s="1358"/>
      <c r="KQU519" s="1358"/>
      <c r="KQV519" s="1358"/>
      <c r="KQW519" s="1358"/>
      <c r="KQX519" s="1358"/>
      <c r="KQY519" s="1358"/>
      <c r="KQZ519" s="1358"/>
      <c r="KRA519" s="1358"/>
      <c r="KRB519" s="1358"/>
      <c r="KRC519" s="1358"/>
      <c r="KRD519" s="1358"/>
      <c r="KRE519" s="1358"/>
      <c r="KRF519" s="1358"/>
      <c r="KRG519" s="1358"/>
      <c r="KRH519" s="1358"/>
      <c r="KRI519" s="1358"/>
      <c r="KRJ519" s="1358"/>
      <c r="KRK519" s="1358"/>
      <c r="KRL519" s="1358"/>
      <c r="KRM519" s="1358"/>
      <c r="KRN519" s="1358"/>
      <c r="KRO519" s="1358"/>
      <c r="KRP519" s="1358"/>
      <c r="KRQ519" s="1358"/>
      <c r="KRR519" s="1358"/>
      <c r="KRS519" s="1358"/>
      <c r="KRT519" s="1358"/>
      <c r="KRU519" s="1358"/>
      <c r="KRV519" s="1358"/>
      <c r="KRW519" s="1358"/>
      <c r="KRX519" s="1358"/>
      <c r="KRY519" s="1358"/>
      <c r="KRZ519" s="1358"/>
      <c r="KSA519" s="1358"/>
      <c r="KSB519" s="1358"/>
      <c r="KSC519" s="1358"/>
      <c r="KSD519" s="1358"/>
      <c r="KSE519" s="1358"/>
      <c r="KSF519" s="1358"/>
      <c r="KSG519" s="1358"/>
      <c r="KSH519" s="1358"/>
      <c r="KSI519" s="1358"/>
      <c r="KSJ519" s="1358"/>
      <c r="KSK519" s="1358"/>
      <c r="KSL519" s="1358"/>
      <c r="KSM519" s="1358"/>
      <c r="KSN519" s="1358"/>
      <c r="KSO519" s="1358"/>
      <c r="KSP519" s="1358"/>
      <c r="KSQ519" s="1358"/>
      <c r="KSR519" s="1358"/>
      <c r="KSS519" s="1358"/>
      <c r="KST519" s="1358"/>
      <c r="KSU519" s="1358"/>
      <c r="KSV519" s="1358"/>
      <c r="KSW519" s="1358"/>
      <c r="KSX519" s="1358"/>
      <c r="KSY519" s="1358"/>
      <c r="KSZ519" s="1358"/>
      <c r="KTA519" s="1358"/>
      <c r="KTB519" s="1358"/>
      <c r="KTC519" s="1358"/>
      <c r="KTD519" s="1358"/>
      <c r="KTE519" s="1358"/>
      <c r="KTF519" s="1358"/>
      <c r="KTG519" s="1358"/>
      <c r="KTH519" s="1358"/>
      <c r="KTI519" s="1358"/>
      <c r="KTJ519" s="1358"/>
      <c r="KTK519" s="1358"/>
      <c r="KTL519" s="1358"/>
      <c r="KTM519" s="1358"/>
      <c r="KTN519" s="1358"/>
      <c r="KTO519" s="1358"/>
      <c r="KTP519" s="1358"/>
      <c r="KTQ519" s="1358"/>
      <c r="KTR519" s="1358"/>
      <c r="KTS519" s="1358"/>
      <c r="KTT519" s="1358"/>
      <c r="KTU519" s="1358"/>
      <c r="KTV519" s="1358"/>
      <c r="KTW519" s="1358"/>
      <c r="KTX519" s="1358"/>
      <c r="KTY519" s="1358"/>
      <c r="KTZ519" s="1358"/>
      <c r="KUA519" s="1358"/>
      <c r="KUB519" s="1358"/>
      <c r="KUC519" s="1358"/>
      <c r="KUD519" s="1358"/>
      <c r="KUE519" s="1358"/>
      <c r="KUF519" s="1358"/>
      <c r="KUG519" s="1358"/>
      <c r="KUH519" s="1358"/>
      <c r="KUI519" s="1358"/>
      <c r="KUJ519" s="1358"/>
      <c r="KUK519" s="1358"/>
      <c r="KUL519" s="1358"/>
      <c r="KUM519" s="1358"/>
      <c r="KUN519" s="1358"/>
      <c r="KUO519" s="1358"/>
      <c r="KUP519" s="1358"/>
      <c r="KUQ519" s="1358"/>
      <c r="KUR519" s="1358"/>
      <c r="KUS519" s="1358"/>
      <c r="KUT519" s="1358"/>
      <c r="KUU519" s="1358"/>
      <c r="KUV519" s="1358"/>
      <c r="KUW519" s="1358"/>
      <c r="KUX519" s="1358"/>
      <c r="KUY519" s="1358"/>
      <c r="KUZ519" s="1358"/>
      <c r="KVA519" s="1358"/>
      <c r="KVB519" s="1358"/>
      <c r="KVC519" s="1358"/>
      <c r="KVD519" s="1358"/>
      <c r="KVE519" s="1358"/>
      <c r="KVF519" s="1358"/>
      <c r="KVG519" s="1358"/>
      <c r="KVH519" s="1358"/>
      <c r="KVI519" s="1358"/>
      <c r="KVJ519" s="1358"/>
      <c r="KVK519" s="1358"/>
      <c r="KVL519" s="1358"/>
      <c r="KVM519" s="1358"/>
      <c r="KVN519" s="1358"/>
      <c r="KVO519" s="1358"/>
      <c r="KVP519" s="1358"/>
      <c r="KVQ519" s="1358"/>
      <c r="KVR519" s="1358"/>
      <c r="KVS519" s="1358"/>
      <c r="KVT519" s="1358"/>
      <c r="KVU519" s="1358"/>
      <c r="KVV519" s="1358"/>
      <c r="KVW519" s="1358"/>
      <c r="KVX519" s="1358"/>
      <c r="KVY519" s="1358"/>
      <c r="KVZ519" s="1358"/>
      <c r="KWA519" s="1358"/>
      <c r="KWB519" s="1358"/>
      <c r="KWC519" s="1358"/>
      <c r="KWD519" s="1358"/>
      <c r="KWE519" s="1358"/>
      <c r="KWF519" s="1358"/>
      <c r="KWG519" s="1358"/>
      <c r="KWH519" s="1358"/>
      <c r="KWI519" s="1358"/>
      <c r="KWJ519" s="1358"/>
      <c r="KWK519" s="1358"/>
      <c r="KWL519" s="1358"/>
      <c r="KWM519" s="1358"/>
      <c r="KWN519" s="1358"/>
      <c r="KWO519" s="1358"/>
      <c r="KWP519" s="1358"/>
      <c r="KWQ519" s="1358"/>
      <c r="KWR519" s="1358"/>
      <c r="KWS519" s="1358"/>
      <c r="KWT519" s="1358"/>
      <c r="KWU519" s="1358"/>
      <c r="KWV519" s="1358"/>
      <c r="KWW519" s="1358"/>
      <c r="KWX519" s="1358"/>
      <c r="KWY519" s="1358"/>
      <c r="KWZ519" s="1358"/>
      <c r="KXA519" s="1358"/>
      <c r="KXB519" s="1358"/>
      <c r="KXC519" s="1358"/>
      <c r="KXD519" s="1358"/>
      <c r="KXE519" s="1358"/>
      <c r="KXF519" s="1358"/>
      <c r="KXG519" s="1358"/>
      <c r="KXH519" s="1358"/>
      <c r="KXI519" s="1358"/>
      <c r="KXJ519" s="1358"/>
      <c r="KXK519" s="1358"/>
      <c r="KXL519" s="1358"/>
      <c r="KXM519" s="1358"/>
      <c r="KXN519" s="1358"/>
      <c r="KXO519" s="1358"/>
      <c r="KXP519" s="1358"/>
      <c r="KXQ519" s="1358"/>
      <c r="KXR519" s="1358"/>
      <c r="KXS519" s="1358"/>
      <c r="KXT519" s="1358"/>
      <c r="KXU519" s="1358"/>
      <c r="KXV519" s="1358"/>
      <c r="KXW519" s="1358"/>
      <c r="KXX519" s="1358"/>
      <c r="KXY519" s="1358"/>
      <c r="KXZ519" s="1358"/>
      <c r="KYA519" s="1358"/>
      <c r="KYB519" s="1358"/>
      <c r="KYC519" s="1358"/>
      <c r="KYD519" s="1358"/>
      <c r="KYE519" s="1358"/>
      <c r="KYF519" s="1358"/>
      <c r="KYG519" s="1358"/>
      <c r="KYH519" s="1358"/>
      <c r="KYI519" s="1358"/>
      <c r="KYJ519" s="1358"/>
      <c r="KYK519" s="1358"/>
      <c r="KYL519" s="1358"/>
      <c r="KYM519" s="1358"/>
      <c r="KYN519" s="1358"/>
      <c r="KYO519" s="1358"/>
      <c r="KYP519" s="1358"/>
      <c r="KYQ519" s="1358"/>
      <c r="KYR519" s="1358"/>
      <c r="KYS519" s="1358"/>
      <c r="KYT519" s="1358"/>
      <c r="KYU519" s="1358"/>
      <c r="KYV519" s="1358"/>
      <c r="KYW519" s="1358"/>
      <c r="KYX519" s="1358"/>
      <c r="KYY519" s="1358"/>
      <c r="KYZ519" s="1358"/>
      <c r="KZA519" s="1358"/>
      <c r="KZB519" s="1358"/>
      <c r="KZC519" s="1358"/>
      <c r="KZD519" s="1358"/>
      <c r="KZE519" s="1358"/>
      <c r="KZF519" s="1358"/>
      <c r="KZG519" s="1358"/>
      <c r="KZH519" s="1358"/>
      <c r="KZI519" s="1358"/>
      <c r="KZJ519" s="1358"/>
      <c r="KZK519" s="1358"/>
      <c r="KZL519" s="1358"/>
      <c r="KZM519" s="1358"/>
      <c r="KZN519" s="1358"/>
      <c r="KZO519" s="1358"/>
      <c r="KZP519" s="1358"/>
      <c r="KZQ519" s="1358"/>
      <c r="KZR519" s="1358"/>
      <c r="KZS519" s="1358"/>
      <c r="KZT519" s="1358"/>
      <c r="KZU519" s="1358"/>
      <c r="KZV519" s="1358"/>
      <c r="KZW519" s="1358"/>
      <c r="KZX519" s="1358"/>
      <c r="KZY519" s="1358"/>
      <c r="KZZ519" s="1358"/>
      <c r="LAA519" s="1358"/>
      <c r="LAB519" s="1358"/>
      <c r="LAC519" s="1358"/>
      <c r="LAD519" s="1358"/>
      <c r="LAE519" s="1358"/>
      <c r="LAF519" s="1358"/>
      <c r="LAG519" s="1358"/>
      <c r="LAH519" s="1358"/>
      <c r="LAI519" s="1358"/>
      <c r="LAJ519" s="1358"/>
      <c r="LAK519" s="1358"/>
      <c r="LAL519" s="1358"/>
      <c r="LAM519" s="1358"/>
      <c r="LAN519" s="1358"/>
      <c r="LAO519" s="1358"/>
      <c r="LAP519" s="1358"/>
      <c r="LAQ519" s="1358"/>
      <c r="LAR519" s="1358"/>
      <c r="LAS519" s="1358"/>
      <c r="LAT519" s="1358"/>
      <c r="LAU519" s="1358"/>
      <c r="LAV519" s="1358"/>
      <c r="LAW519" s="1358"/>
      <c r="LAX519" s="1358"/>
      <c r="LAY519" s="1358"/>
      <c r="LAZ519" s="1358"/>
      <c r="LBA519" s="1358"/>
      <c r="LBB519" s="1358"/>
      <c r="LBC519" s="1358"/>
      <c r="LBD519" s="1358"/>
      <c r="LBE519" s="1358"/>
      <c r="LBF519" s="1358"/>
      <c r="LBG519" s="1358"/>
      <c r="LBH519" s="1358"/>
      <c r="LBI519" s="1358"/>
      <c r="LBJ519" s="1358"/>
      <c r="LBK519" s="1358"/>
      <c r="LBL519" s="1358"/>
      <c r="LBM519" s="1358"/>
      <c r="LBN519" s="1358"/>
      <c r="LBO519" s="1358"/>
      <c r="LBP519" s="1358"/>
      <c r="LBQ519" s="1358"/>
      <c r="LBR519" s="1358"/>
      <c r="LBS519" s="1358"/>
      <c r="LBT519" s="1358"/>
      <c r="LBU519" s="1358"/>
      <c r="LBV519" s="1358"/>
      <c r="LBW519" s="1358"/>
      <c r="LBX519" s="1358"/>
      <c r="LBY519" s="1358"/>
      <c r="LBZ519" s="1358"/>
      <c r="LCA519" s="1358"/>
      <c r="LCB519" s="1358"/>
      <c r="LCC519" s="1358"/>
      <c r="LCD519" s="1358"/>
      <c r="LCE519" s="1358"/>
      <c r="LCF519" s="1358"/>
      <c r="LCG519" s="1358"/>
      <c r="LCH519" s="1358"/>
      <c r="LCI519" s="1358"/>
      <c r="LCJ519" s="1358"/>
      <c r="LCK519" s="1358"/>
      <c r="LCL519" s="1358"/>
      <c r="LCM519" s="1358"/>
      <c r="LCN519" s="1358"/>
      <c r="LCO519" s="1358"/>
      <c r="LCP519" s="1358"/>
      <c r="LCQ519" s="1358"/>
      <c r="LCR519" s="1358"/>
      <c r="LCS519" s="1358"/>
      <c r="LCT519" s="1358"/>
      <c r="LCU519" s="1358"/>
      <c r="LCV519" s="1358"/>
      <c r="LCW519" s="1358"/>
      <c r="LCX519" s="1358"/>
      <c r="LCY519" s="1358"/>
      <c r="LCZ519" s="1358"/>
      <c r="LDA519" s="1358"/>
      <c r="LDB519" s="1358"/>
      <c r="LDC519" s="1358"/>
      <c r="LDD519" s="1358"/>
      <c r="LDE519" s="1358"/>
      <c r="LDF519" s="1358"/>
      <c r="LDG519" s="1358"/>
      <c r="LDH519" s="1358"/>
      <c r="LDI519" s="1358"/>
      <c r="LDJ519" s="1358"/>
      <c r="LDK519" s="1358"/>
      <c r="LDL519" s="1358"/>
      <c r="LDM519" s="1358"/>
      <c r="LDN519" s="1358"/>
      <c r="LDO519" s="1358"/>
      <c r="LDP519" s="1358"/>
      <c r="LDQ519" s="1358"/>
      <c r="LDR519" s="1358"/>
      <c r="LDS519" s="1358"/>
      <c r="LDT519" s="1358"/>
      <c r="LDU519" s="1358"/>
      <c r="LDV519" s="1358"/>
      <c r="LDW519" s="1358"/>
      <c r="LDX519" s="1358"/>
      <c r="LDY519" s="1358"/>
      <c r="LDZ519" s="1358"/>
      <c r="LEA519" s="1358"/>
      <c r="LEB519" s="1358"/>
      <c r="LEC519" s="1358"/>
      <c r="LED519" s="1358"/>
      <c r="LEE519" s="1358"/>
      <c r="LEF519" s="1358"/>
      <c r="LEG519" s="1358"/>
      <c r="LEH519" s="1358"/>
      <c r="LEI519" s="1358"/>
      <c r="LEJ519" s="1358"/>
      <c r="LEK519" s="1358"/>
      <c r="LEL519" s="1358"/>
      <c r="LEM519" s="1358"/>
      <c r="LEN519" s="1358"/>
      <c r="LEO519" s="1358"/>
      <c r="LEP519" s="1358"/>
      <c r="LEQ519" s="1358"/>
      <c r="LER519" s="1358"/>
      <c r="LES519" s="1358"/>
      <c r="LET519" s="1358"/>
      <c r="LEU519" s="1358"/>
      <c r="LEV519" s="1358"/>
      <c r="LEW519" s="1358"/>
      <c r="LEX519" s="1358"/>
      <c r="LEY519" s="1358"/>
      <c r="LEZ519" s="1358"/>
      <c r="LFA519" s="1358"/>
      <c r="LFB519" s="1358"/>
      <c r="LFC519" s="1358"/>
      <c r="LFD519" s="1358"/>
      <c r="LFE519" s="1358"/>
      <c r="LFF519" s="1358"/>
      <c r="LFG519" s="1358"/>
      <c r="LFH519" s="1358"/>
      <c r="LFI519" s="1358"/>
      <c r="LFJ519" s="1358"/>
      <c r="LFK519" s="1358"/>
      <c r="LFL519" s="1358"/>
      <c r="LFM519" s="1358"/>
      <c r="LFN519" s="1358"/>
      <c r="LFO519" s="1358"/>
      <c r="LFP519" s="1358"/>
      <c r="LFQ519" s="1358"/>
      <c r="LFR519" s="1358"/>
      <c r="LFS519" s="1358"/>
      <c r="LFT519" s="1358"/>
      <c r="LFU519" s="1358"/>
      <c r="LFV519" s="1358"/>
      <c r="LFW519" s="1358"/>
      <c r="LFX519" s="1358"/>
      <c r="LFY519" s="1358"/>
      <c r="LFZ519" s="1358"/>
      <c r="LGA519" s="1358"/>
      <c r="LGB519" s="1358"/>
      <c r="LGC519" s="1358"/>
      <c r="LGD519" s="1358"/>
      <c r="LGE519" s="1358"/>
      <c r="LGF519" s="1358"/>
      <c r="LGG519" s="1358"/>
      <c r="LGH519" s="1358"/>
      <c r="LGI519" s="1358"/>
      <c r="LGJ519" s="1358"/>
      <c r="LGK519" s="1358"/>
      <c r="LGL519" s="1358"/>
      <c r="LGM519" s="1358"/>
      <c r="LGN519" s="1358"/>
      <c r="LGO519" s="1358"/>
      <c r="LGP519" s="1358"/>
      <c r="LGQ519" s="1358"/>
      <c r="LGR519" s="1358"/>
      <c r="LGS519" s="1358"/>
      <c r="LGT519" s="1358"/>
      <c r="LGU519" s="1358"/>
      <c r="LGV519" s="1358"/>
      <c r="LGW519" s="1358"/>
      <c r="LGX519" s="1358"/>
      <c r="LGY519" s="1358"/>
      <c r="LGZ519" s="1358"/>
      <c r="LHA519" s="1358"/>
      <c r="LHB519" s="1358"/>
      <c r="LHC519" s="1358"/>
      <c r="LHD519" s="1358"/>
      <c r="LHE519" s="1358"/>
      <c r="LHF519" s="1358"/>
      <c r="LHG519" s="1358"/>
      <c r="LHH519" s="1358"/>
      <c r="LHI519" s="1358"/>
      <c r="LHJ519" s="1358"/>
      <c r="LHK519" s="1358"/>
      <c r="LHL519" s="1358"/>
      <c r="LHM519" s="1358"/>
      <c r="LHN519" s="1358"/>
      <c r="LHO519" s="1358"/>
      <c r="LHP519" s="1358"/>
      <c r="LHQ519" s="1358"/>
      <c r="LHR519" s="1358"/>
      <c r="LHS519" s="1358"/>
      <c r="LHT519" s="1358"/>
      <c r="LHU519" s="1358"/>
      <c r="LHV519" s="1358"/>
      <c r="LHW519" s="1358"/>
      <c r="LHX519" s="1358"/>
      <c r="LHY519" s="1358"/>
      <c r="LHZ519" s="1358"/>
      <c r="LIA519" s="1358"/>
      <c r="LIB519" s="1358"/>
      <c r="LIC519" s="1358"/>
      <c r="LID519" s="1358"/>
      <c r="LIE519" s="1358"/>
      <c r="LIF519" s="1358"/>
      <c r="LIG519" s="1358"/>
      <c r="LIH519" s="1358"/>
      <c r="LII519" s="1358"/>
      <c r="LIJ519" s="1358"/>
      <c r="LIK519" s="1358"/>
      <c r="LIL519" s="1358"/>
      <c r="LIM519" s="1358"/>
      <c r="LIN519" s="1358"/>
      <c r="LIO519" s="1358"/>
      <c r="LIP519" s="1358"/>
      <c r="LIQ519" s="1358"/>
      <c r="LIR519" s="1358"/>
      <c r="LIS519" s="1358"/>
      <c r="LIT519" s="1358"/>
      <c r="LIU519" s="1358"/>
      <c r="LIV519" s="1358"/>
      <c r="LIW519" s="1358"/>
      <c r="LIX519" s="1358"/>
      <c r="LIY519" s="1358"/>
      <c r="LIZ519" s="1358"/>
      <c r="LJA519" s="1358"/>
      <c r="LJB519" s="1358"/>
      <c r="LJC519" s="1358"/>
      <c r="LJD519" s="1358"/>
      <c r="LJE519" s="1358"/>
      <c r="LJF519" s="1358"/>
      <c r="LJG519" s="1358"/>
      <c r="LJH519" s="1358"/>
      <c r="LJI519" s="1358"/>
      <c r="LJJ519" s="1358"/>
      <c r="LJK519" s="1358"/>
      <c r="LJL519" s="1358"/>
      <c r="LJM519" s="1358"/>
      <c r="LJN519" s="1358"/>
      <c r="LJO519" s="1358"/>
      <c r="LJP519" s="1358"/>
      <c r="LJQ519" s="1358"/>
      <c r="LJR519" s="1358"/>
      <c r="LJS519" s="1358"/>
      <c r="LJT519" s="1358"/>
      <c r="LJU519" s="1358"/>
      <c r="LJV519" s="1358"/>
      <c r="LJW519" s="1358"/>
      <c r="LJX519" s="1358"/>
      <c r="LJY519" s="1358"/>
      <c r="LJZ519" s="1358"/>
      <c r="LKA519" s="1358"/>
      <c r="LKB519" s="1358"/>
      <c r="LKC519" s="1358"/>
      <c r="LKD519" s="1358"/>
      <c r="LKE519" s="1358"/>
      <c r="LKF519" s="1358"/>
      <c r="LKG519" s="1358"/>
      <c r="LKH519" s="1358"/>
      <c r="LKI519" s="1358"/>
      <c r="LKJ519" s="1358"/>
      <c r="LKK519" s="1358"/>
      <c r="LKL519" s="1358"/>
      <c r="LKM519" s="1358"/>
      <c r="LKN519" s="1358"/>
      <c r="LKO519" s="1358"/>
      <c r="LKP519" s="1358"/>
      <c r="LKQ519" s="1358"/>
      <c r="LKR519" s="1358"/>
      <c r="LKS519" s="1358"/>
      <c r="LKT519" s="1358"/>
      <c r="LKU519" s="1358"/>
      <c r="LKV519" s="1358"/>
      <c r="LKW519" s="1358"/>
      <c r="LKX519" s="1358"/>
      <c r="LKY519" s="1358"/>
      <c r="LKZ519" s="1358"/>
      <c r="LLA519" s="1358"/>
      <c r="LLB519" s="1358"/>
      <c r="LLC519" s="1358"/>
      <c r="LLD519" s="1358"/>
      <c r="LLE519" s="1358"/>
      <c r="LLF519" s="1358"/>
      <c r="LLG519" s="1358"/>
      <c r="LLH519" s="1358"/>
      <c r="LLI519" s="1358"/>
      <c r="LLJ519" s="1358"/>
      <c r="LLK519" s="1358"/>
      <c r="LLL519" s="1358"/>
      <c r="LLM519" s="1358"/>
      <c r="LLN519" s="1358"/>
      <c r="LLO519" s="1358"/>
      <c r="LLP519" s="1358"/>
      <c r="LLQ519" s="1358"/>
      <c r="LLR519" s="1358"/>
      <c r="LLS519" s="1358"/>
      <c r="LLT519" s="1358"/>
      <c r="LLU519" s="1358"/>
      <c r="LLV519" s="1358"/>
      <c r="LLW519" s="1358"/>
      <c r="LLX519" s="1358"/>
      <c r="LLY519" s="1358"/>
      <c r="LLZ519" s="1358"/>
      <c r="LMA519" s="1358"/>
      <c r="LMB519" s="1358"/>
      <c r="LMC519" s="1358"/>
      <c r="LMD519" s="1358"/>
      <c r="LME519" s="1358"/>
      <c r="LMF519" s="1358"/>
      <c r="LMG519" s="1358"/>
      <c r="LMH519" s="1358"/>
      <c r="LMI519" s="1358"/>
      <c r="LMJ519" s="1358"/>
      <c r="LMK519" s="1358"/>
      <c r="LML519" s="1358"/>
      <c r="LMM519" s="1358"/>
      <c r="LMN519" s="1358"/>
      <c r="LMO519" s="1358"/>
      <c r="LMP519" s="1358"/>
      <c r="LMQ519" s="1358"/>
      <c r="LMR519" s="1358"/>
      <c r="LMS519" s="1358"/>
      <c r="LMT519" s="1358"/>
      <c r="LMU519" s="1358"/>
      <c r="LMV519" s="1358"/>
      <c r="LMW519" s="1358"/>
      <c r="LMX519" s="1358"/>
      <c r="LMY519" s="1358"/>
      <c r="LMZ519" s="1358"/>
      <c r="LNA519" s="1358"/>
      <c r="LNB519" s="1358"/>
      <c r="LNC519" s="1358"/>
      <c r="LND519" s="1358"/>
      <c r="LNE519" s="1358"/>
      <c r="LNF519" s="1358"/>
      <c r="LNG519" s="1358"/>
      <c r="LNH519" s="1358"/>
      <c r="LNI519" s="1358"/>
      <c r="LNJ519" s="1358"/>
      <c r="LNK519" s="1358"/>
      <c r="LNL519" s="1358"/>
      <c r="LNM519" s="1358"/>
      <c r="LNN519" s="1358"/>
      <c r="LNO519" s="1358"/>
      <c r="LNP519" s="1358"/>
      <c r="LNQ519" s="1358"/>
      <c r="LNR519" s="1358"/>
      <c r="LNS519" s="1358"/>
      <c r="LNT519" s="1358"/>
      <c r="LNU519" s="1358"/>
      <c r="LNV519" s="1358"/>
      <c r="LNW519" s="1358"/>
      <c r="LNX519" s="1358"/>
      <c r="LNY519" s="1358"/>
      <c r="LNZ519" s="1358"/>
      <c r="LOA519" s="1358"/>
      <c r="LOB519" s="1358"/>
      <c r="LOC519" s="1358"/>
      <c r="LOD519" s="1358"/>
      <c r="LOE519" s="1358"/>
      <c r="LOF519" s="1358"/>
      <c r="LOG519" s="1358"/>
      <c r="LOH519" s="1358"/>
      <c r="LOI519" s="1358"/>
      <c r="LOJ519" s="1358"/>
      <c r="LOK519" s="1358"/>
      <c r="LOL519" s="1358"/>
      <c r="LOM519" s="1358"/>
      <c r="LON519" s="1358"/>
      <c r="LOO519" s="1358"/>
      <c r="LOP519" s="1358"/>
      <c r="LOQ519" s="1358"/>
      <c r="LOR519" s="1358"/>
      <c r="LOS519" s="1358"/>
      <c r="LOT519" s="1358"/>
      <c r="LOU519" s="1358"/>
      <c r="LOV519" s="1358"/>
      <c r="LOW519" s="1358"/>
      <c r="LOX519" s="1358"/>
      <c r="LOY519" s="1358"/>
      <c r="LOZ519" s="1358"/>
      <c r="LPA519" s="1358"/>
      <c r="LPB519" s="1358"/>
      <c r="LPC519" s="1358"/>
      <c r="LPD519" s="1358"/>
      <c r="LPE519" s="1358"/>
      <c r="LPF519" s="1358"/>
      <c r="LPG519" s="1358"/>
      <c r="LPH519" s="1358"/>
      <c r="LPI519" s="1358"/>
      <c r="LPJ519" s="1358"/>
      <c r="LPK519" s="1358"/>
      <c r="LPL519" s="1358"/>
      <c r="LPM519" s="1358"/>
      <c r="LPN519" s="1358"/>
      <c r="LPO519" s="1358"/>
      <c r="LPP519" s="1358"/>
      <c r="LPQ519" s="1358"/>
      <c r="LPR519" s="1358"/>
      <c r="LPS519" s="1358"/>
      <c r="LPT519" s="1358"/>
      <c r="LPU519" s="1358"/>
      <c r="LPV519" s="1358"/>
      <c r="LPW519" s="1358"/>
      <c r="LPX519" s="1358"/>
      <c r="LPY519" s="1358"/>
      <c r="LPZ519" s="1358"/>
      <c r="LQA519" s="1358"/>
      <c r="LQB519" s="1358"/>
      <c r="LQC519" s="1358"/>
      <c r="LQD519" s="1358"/>
      <c r="LQE519" s="1358"/>
      <c r="LQF519" s="1358"/>
      <c r="LQG519" s="1358"/>
      <c r="LQH519" s="1358"/>
      <c r="LQI519" s="1358"/>
      <c r="LQJ519" s="1358"/>
      <c r="LQK519" s="1358"/>
      <c r="LQL519" s="1358"/>
      <c r="LQM519" s="1358"/>
      <c r="LQN519" s="1358"/>
      <c r="LQO519" s="1358"/>
      <c r="LQP519" s="1358"/>
      <c r="LQQ519" s="1358"/>
      <c r="LQR519" s="1358"/>
      <c r="LQS519" s="1358"/>
      <c r="LQT519" s="1358"/>
      <c r="LQU519" s="1358"/>
      <c r="LQV519" s="1358"/>
      <c r="LQW519" s="1358"/>
      <c r="LQX519" s="1358"/>
      <c r="LQY519" s="1358"/>
      <c r="LQZ519" s="1358"/>
      <c r="LRA519" s="1358"/>
      <c r="LRB519" s="1358"/>
      <c r="LRC519" s="1358"/>
      <c r="LRD519" s="1358"/>
      <c r="LRE519" s="1358"/>
      <c r="LRF519" s="1358"/>
      <c r="LRG519" s="1358"/>
      <c r="LRH519" s="1358"/>
      <c r="LRI519" s="1358"/>
      <c r="LRJ519" s="1358"/>
      <c r="LRK519" s="1358"/>
      <c r="LRL519" s="1358"/>
      <c r="LRM519" s="1358"/>
      <c r="LRN519" s="1358"/>
      <c r="LRO519" s="1358"/>
      <c r="LRP519" s="1358"/>
      <c r="LRQ519" s="1358"/>
      <c r="LRR519" s="1358"/>
      <c r="LRS519" s="1358"/>
      <c r="LRT519" s="1358"/>
      <c r="LRU519" s="1358"/>
      <c r="LRV519" s="1358"/>
      <c r="LRW519" s="1358"/>
      <c r="LRX519" s="1358"/>
      <c r="LRY519" s="1358"/>
      <c r="LRZ519" s="1358"/>
      <c r="LSA519" s="1358"/>
      <c r="LSB519" s="1358"/>
      <c r="LSC519" s="1358"/>
      <c r="LSD519" s="1358"/>
      <c r="LSE519" s="1358"/>
      <c r="LSF519" s="1358"/>
      <c r="LSG519" s="1358"/>
      <c r="LSH519" s="1358"/>
      <c r="LSI519" s="1358"/>
      <c r="LSJ519" s="1358"/>
      <c r="LSK519" s="1358"/>
      <c r="LSL519" s="1358"/>
      <c r="LSM519" s="1358"/>
      <c r="LSN519" s="1358"/>
      <c r="LSO519" s="1358"/>
      <c r="LSP519" s="1358"/>
      <c r="LSQ519" s="1358"/>
      <c r="LSR519" s="1358"/>
      <c r="LSS519" s="1358"/>
      <c r="LST519" s="1358"/>
      <c r="LSU519" s="1358"/>
      <c r="LSV519" s="1358"/>
      <c r="LSW519" s="1358"/>
      <c r="LSX519" s="1358"/>
      <c r="LSY519" s="1358"/>
      <c r="LSZ519" s="1358"/>
      <c r="LTA519" s="1358"/>
      <c r="LTB519" s="1358"/>
      <c r="LTC519" s="1358"/>
      <c r="LTD519" s="1358"/>
      <c r="LTE519" s="1358"/>
      <c r="LTF519" s="1358"/>
      <c r="LTG519" s="1358"/>
      <c r="LTH519" s="1358"/>
      <c r="LTI519" s="1358"/>
      <c r="LTJ519" s="1358"/>
      <c r="LTK519" s="1358"/>
      <c r="LTL519" s="1358"/>
      <c r="LTM519" s="1358"/>
      <c r="LTN519" s="1358"/>
      <c r="LTO519" s="1358"/>
      <c r="LTP519" s="1358"/>
      <c r="LTQ519" s="1358"/>
      <c r="LTR519" s="1358"/>
      <c r="LTS519" s="1358"/>
      <c r="LTT519" s="1358"/>
      <c r="LTU519" s="1358"/>
      <c r="LTV519" s="1358"/>
      <c r="LTW519" s="1358"/>
      <c r="LTX519" s="1358"/>
      <c r="LTY519" s="1358"/>
      <c r="LTZ519" s="1358"/>
      <c r="LUA519" s="1358"/>
      <c r="LUB519" s="1358"/>
      <c r="LUC519" s="1358"/>
      <c r="LUD519" s="1358"/>
      <c r="LUE519" s="1358"/>
      <c r="LUF519" s="1358"/>
      <c r="LUG519" s="1358"/>
      <c r="LUH519" s="1358"/>
      <c r="LUI519" s="1358"/>
      <c r="LUJ519" s="1358"/>
      <c r="LUK519" s="1358"/>
      <c r="LUL519" s="1358"/>
      <c r="LUM519" s="1358"/>
      <c r="LUN519" s="1358"/>
      <c r="LUO519" s="1358"/>
      <c r="LUP519" s="1358"/>
      <c r="LUQ519" s="1358"/>
      <c r="LUR519" s="1358"/>
      <c r="LUS519" s="1358"/>
      <c r="LUT519" s="1358"/>
      <c r="LUU519" s="1358"/>
      <c r="LUV519" s="1358"/>
      <c r="LUW519" s="1358"/>
      <c r="LUX519" s="1358"/>
      <c r="LUY519" s="1358"/>
      <c r="LUZ519" s="1358"/>
      <c r="LVA519" s="1358"/>
      <c r="LVB519" s="1358"/>
      <c r="LVC519" s="1358"/>
      <c r="LVD519" s="1358"/>
      <c r="LVE519" s="1358"/>
      <c r="LVF519" s="1358"/>
      <c r="LVG519" s="1358"/>
      <c r="LVH519" s="1358"/>
      <c r="LVI519" s="1358"/>
      <c r="LVJ519" s="1358"/>
      <c r="LVK519" s="1358"/>
      <c r="LVL519" s="1358"/>
      <c r="LVM519" s="1358"/>
      <c r="LVN519" s="1358"/>
      <c r="LVO519" s="1358"/>
      <c r="LVP519" s="1358"/>
      <c r="LVQ519" s="1358"/>
      <c r="LVR519" s="1358"/>
      <c r="LVS519" s="1358"/>
      <c r="LVT519" s="1358"/>
      <c r="LVU519" s="1358"/>
      <c r="LVV519" s="1358"/>
      <c r="LVW519" s="1358"/>
      <c r="LVX519" s="1358"/>
      <c r="LVY519" s="1358"/>
      <c r="LVZ519" s="1358"/>
      <c r="LWA519" s="1358"/>
      <c r="LWB519" s="1358"/>
      <c r="LWC519" s="1358"/>
      <c r="LWD519" s="1358"/>
      <c r="LWE519" s="1358"/>
      <c r="LWF519" s="1358"/>
      <c r="LWG519" s="1358"/>
      <c r="LWH519" s="1358"/>
      <c r="LWI519" s="1358"/>
      <c r="LWJ519" s="1358"/>
      <c r="LWK519" s="1358"/>
      <c r="LWL519" s="1358"/>
      <c r="LWM519" s="1358"/>
      <c r="LWN519" s="1358"/>
      <c r="LWO519" s="1358"/>
      <c r="LWP519" s="1358"/>
      <c r="LWQ519" s="1358"/>
      <c r="LWR519" s="1358"/>
      <c r="LWS519" s="1358"/>
      <c r="LWT519" s="1358"/>
      <c r="LWU519" s="1358"/>
      <c r="LWV519" s="1358"/>
      <c r="LWW519" s="1358"/>
      <c r="LWX519" s="1358"/>
      <c r="LWY519" s="1358"/>
      <c r="LWZ519" s="1358"/>
      <c r="LXA519" s="1358"/>
      <c r="LXB519" s="1358"/>
      <c r="LXC519" s="1358"/>
      <c r="LXD519" s="1358"/>
      <c r="LXE519" s="1358"/>
      <c r="LXF519" s="1358"/>
      <c r="LXG519" s="1358"/>
      <c r="LXH519" s="1358"/>
      <c r="LXI519" s="1358"/>
      <c r="LXJ519" s="1358"/>
      <c r="LXK519" s="1358"/>
      <c r="LXL519" s="1358"/>
      <c r="LXM519" s="1358"/>
      <c r="LXN519" s="1358"/>
      <c r="LXO519" s="1358"/>
      <c r="LXP519" s="1358"/>
      <c r="LXQ519" s="1358"/>
      <c r="LXR519" s="1358"/>
      <c r="LXS519" s="1358"/>
      <c r="LXT519" s="1358"/>
      <c r="LXU519" s="1358"/>
      <c r="LXV519" s="1358"/>
      <c r="LXW519" s="1358"/>
      <c r="LXX519" s="1358"/>
      <c r="LXY519" s="1358"/>
      <c r="LXZ519" s="1358"/>
      <c r="LYA519" s="1358"/>
      <c r="LYB519" s="1358"/>
      <c r="LYC519" s="1358"/>
      <c r="LYD519" s="1358"/>
      <c r="LYE519" s="1358"/>
      <c r="LYF519" s="1358"/>
      <c r="LYG519" s="1358"/>
      <c r="LYH519" s="1358"/>
      <c r="LYI519" s="1358"/>
      <c r="LYJ519" s="1358"/>
      <c r="LYK519" s="1358"/>
      <c r="LYL519" s="1358"/>
      <c r="LYM519" s="1358"/>
      <c r="LYN519" s="1358"/>
      <c r="LYO519" s="1358"/>
      <c r="LYP519" s="1358"/>
      <c r="LYQ519" s="1358"/>
      <c r="LYR519" s="1358"/>
      <c r="LYS519" s="1358"/>
      <c r="LYT519" s="1358"/>
      <c r="LYU519" s="1358"/>
      <c r="LYV519" s="1358"/>
      <c r="LYW519" s="1358"/>
      <c r="LYX519" s="1358"/>
      <c r="LYY519" s="1358"/>
      <c r="LYZ519" s="1358"/>
      <c r="LZA519" s="1358"/>
      <c r="LZB519" s="1358"/>
      <c r="LZC519" s="1358"/>
      <c r="LZD519" s="1358"/>
      <c r="LZE519" s="1358"/>
      <c r="LZF519" s="1358"/>
      <c r="LZG519" s="1358"/>
      <c r="LZH519" s="1358"/>
      <c r="LZI519" s="1358"/>
      <c r="LZJ519" s="1358"/>
      <c r="LZK519" s="1358"/>
      <c r="LZL519" s="1358"/>
      <c r="LZM519" s="1358"/>
      <c r="LZN519" s="1358"/>
      <c r="LZO519" s="1358"/>
      <c r="LZP519" s="1358"/>
      <c r="LZQ519" s="1358"/>
      <c r="LZR519" s="1358"/>
      <c r="LZS519" s="1358"/>
      <c r="LZT519" s="1358"/>
      <c r="LZU519" s="1358"/>
      <c r="LZV519" s="1358"/>
      <c r="LZW519" s="1358"/>
      <c r="LZX519" s="1358"/>
      <c r="LZY519" s="1358"/>
      <c r="LZZ519" s="1358"/>
      <c r="MAA519" s="1358"/>
      <c r="MAB519" s="1358"/>
      <c r="MAC519" s="1358"/>
      <c r="MAD519" s="1358"/>
      <c r="MAE519" s="1358"/>
      <c r="MAF519" s="1358"/>
      <c r="MAG519" s="1358"/>
      <c r="MAH519" s="1358"/>
      <c r="MAI519" s="1358"/>
      <c r="MAJ519" s="1358"/>
      <c r="MAK519" s="1358"/>
      <c r="MAL519" s="1358"/>
      <c r="MAM519" s="1358"/>
      <c r="MAN519" s="1358"/>
      <c r="MAO519" s="1358"/>
      <c r="MAP519" s="1358"/>
      <c r="MAQ519" s="1358"/>
      <c r="MAR519" s="1358"/>
      <c r="MAS519" s="1358"/>
      <c r="MAT519" s="1358"/>
      <c r="MAU519" s="1358"/>
      <c r="MAV519" s="1358"/>
      <c r="MAW519" s="1358"/>
      <c r="MAX519" s="1358"/>
      <c r="MAY519" s="1358"/>
      <c r="MAZ519" s="1358"/>
      <c r="MBA519" s="1358"/>
      <c r="MBB519" s="1358"/>
      <c r="MBC519" s="1358"/>
      <c r="MBD519" s="1358"/>
      <c r="MBE519" s="1358"/>
      <c r="MBF519" s="1358"/>
      <c r="MBG519" s="1358"/>
      <c r="MBH519" s="1358"/>
      <c r="MBI519" s="1358"/>
      <c r="MBJ519" s="1358"/>
      <c r="MBK519" s="1358"/>
      <c r="MBL519" s="1358"/>
      <c r="MBM519" s="1358"/>
      <c r="MBN519" s="1358"/>
      <c r="MBO519" s="1358"/>
      <c r="MBP519" s="1358"/>
      <c r="MBQ519" s="1358"/>
      <c r="MBR519" s="1358"/>
      <c r="MBS519" s="1358"/>
      <c r="MBT519" s="1358"/>
      <c r="MBU519" s="1358"/>
      <c r="MBV519" s="1358"/>
      <c r="MBW519" s="1358"/>
      <c r="MBX519" s="1358"/>
      <c r="MBY519" s="1358"/>
      <c r="MBZ519" s="1358"/>
      <c r="MCA519" s="1358"/>
      <c r="MCB519" s="1358"/>
      <c r="MCC519" s="1358"/>
      <c r="MCD519" s="1358"/>
      <c r="MCE519" s="1358"/>
      <c r="MCF519" s="1358"/>
      <c r="MCG519" s="1358"/>
      <c r="MCH519" s="1358"/>
      <c r="MCI519" s="1358"/>
      <c r="MCJ519" s="1358"/>
      <c r="MCK519" s="1358"/>
      <c r="MCL519" s="1358"/>
      <c r="MCM519" s="1358"/>
      <c r="MCN519" s="1358"/>
      <c r="MCO519" s="1358"/>
      <c r="MCP519" s="1358"/>
      <c r="MCQ519" s="1358"/>
      <c r="MCR519" s="1358"/>
      <c r="MCS519" s="1358"/>
      <c r="MCT519" s="1358"/>
      <c r="MCU519" s="1358"/>
      <c r="MCV519" s="1358"/>
      <c r="MCW519" s="1358"/>
      <c r="MCX519" s="1358"/>
      <c r="MCY519" s="1358"/>
      <c r="MCZ519" s="1358"/>
      <c r="MDA519" s="1358"/>
      <c r="MDB519" s="1358"/>
      <c r="MDC519" s="1358"/>
      <c r="MDD519" s="1358"/>
      <c r="MDE519" s="1358"/>
      <c r="MDF519" s="1358"/>
      <c r="MDG519" s="1358"/>
      <c r="MDH519" s="1358"/>
      <c r="MDI519" s="1358"/>
      <c r="MDJ519" s="1358"/>
      <c r="MDK519" s="1358"/>
      <c r="MDL519" s="1358"/>
      <c r="MDM519" s="1358"/>
      <c r="MDN519" s="1358"/>
      <c r="MDO519" s="1358"/>
      <c r="MDP519" s="1358"/>
      <c r="MDQ519" s="1358"/>
      <c r="MDR519" s="1358"/>
      <c r="MDS519" s="1358"/>
      <c r="MDT519" s="1358"/>
      <c r="MDU519" s="1358"/>
      <c r="MDV519" s="1358"/>
      <c r="MDW519" s="1358"/>
      <c r="MDX519" s="1358"/>
      <c r="MDY519" s="1358"/>
      <c r="MDZ519" s="1358"/>
      <c r="MEA519" s="1358"/>
      <c r="MEB519" s="1358"/>
      <c r="MEC519" s="1358"/>
      <c r="MED519" s="1358"/>
      <c r="MEE519" s="1358"/>
      <c r="MEF519" s="1358"/>
      <c r="MEG519" s="1358"/>
      <c r="MEH519" s="1358"/>
      <c r="MEI519" s="1358"/>
      <c r="MEJ519" s="1358"/>
      <c r="MEK519" s="1358"/>
      <c r="MEL519" s="1358"/>
      <c r="MEM519" s="1358"/>
      <c r="MEN519" s="1358"/>
      <c r="MEO519" s="1358"/>
      <c r="MEP519" s="1358"/>
      <c r="MEQ519" s="1358"/>
      <c r="MER519" s="1358"/>
      <c r="MES519" s="1358"/>
      <c r="MET519" s="1358"/>
      <c r="MEU519" s="1358"/>
      <c r="MEV519" s="1358"/>
      <c r="MEW519" s="1358"/>
      <c r="MEX519" s="1358"/>
      <c r="MEY519" s="1358"/>
      <c r="MEZ519" s="1358"/>
      <c r="MFA519" s="1358"/>
      <c r="MFB519" s="1358"/>
      <c r="MFC519" s="1358"/>
      <c r="MFD519" s="1358"/>
      <c r="MFE519" s="1358"/>
      <c r="MFF519" s="1358"/>
      <c r="MFG519" s="1358"/>
      <c r="MFH519" s="1358"/>
      <c r="MFI519" s="1358"/>
      <c r="MFJ519" s="1358"/>
      <c r="MFK519" s="1358"/>
      <c r="MFL519" s="1358"/>
      <c r="MFM519" s="1358"/>
      <c r="MFN519" s="1358"/>
      <c r="MFO519" s="1358"/>
      <c r="MFP519" s="1358"/>
      <c r="MFQ519" s="1358"/>
      <c r="MFR519" s="1358"/>
      <c r="MFS519" s="1358"/>
      <c r="MFT519" s="1358"/>
      <c r="MFU519" s="1358"/>
      <c r="MFV519" s="1358"/>
      <c r="MFW519" s="1358"/>
      <c r="MFX519" s="1358"/>
      <c r="MFY519" s="1358"/>
      <c r="MFZ519" s="1358"/>
      <c r="MGA519" s="1358"/>
      <c r="MGB519" s="1358"/>
      <c r="MGC519" s="1358"/>
      <c r="MGD519" s="1358"/>
      <c r="MGE519" s="1358"/>
      <c r="MGF519" s="1358"/>
      <c r="MGG519" s="1358"/>
      <c r="MGH519" s="1358"/>
      <c r="MGI519" s="1358"/>
      <c r="MGJ519" s="1358"/>
      <c r="MGK519" s="1358"/>
      <c r="MGL519" s="1358"/>
      <c r="MGM519" s="1358"/>
      <c r="MGN519" s="1358"/>
      <c r="MGO519" s="1358"/>
      <c r="MGP519" s="1358"/>
      <c r="MGQ519" s="1358"/>
      <c r="MGR519" s="1358"/>
      <c r="MGS519" s="1358"/>
      <c r="MGT519" s="1358"/>
      <c r="MGU519" s="1358"/>
      <c r="MGV519" s="1358"/>
      <c r="MGW519" s="1358"/>
      <c r="MGX519" s="1358"/>
      <c r="MGY519" s="1358"/>
      <c r="MGZ519" s="1358"/>
      <c r="MHA519" s="1358"/>
      <c r="MHB519" s="1358"/>
      <c r="MHC519" s="1358"/>
      <c r="MHD519" s="1358"/>
      <c r="MHE519" s="1358"/>
      <c r="MHF519" s="1358"/>
      <c r="MHG519" s="1358"/>
      <c r="MHH519" s="1358"/>
      <c r="MHI519" s="1358"/>
      <c r="MHJ519" s="1358"/>
      <c r="MHK519" s="1358"/>
      <c r="MHL519" s="1358"/>
      <c r="MHM519" s="1358"/>
      <c r="MHN519" s="1358"/>
      <c r="MHO519" s="1358"/>
      <c r="MHP519" s="1358"/>
      <c r="MHQ519" s="1358"/>
      <c r="MHR519" s="1358"/>
      <c r="MHS519" s="1358"/>
      <c r="MHT519" s="1358"/>
      <c r="MHU519" s="1358"/>
      <c r="MHV519" s="1358"/>
      <c r="MHW519" s="1358"/>
      <c r="MHX519" s="1358"/>
      <c r="MHY519" s="1358"/>
      <c r="MHZ519" s="1358"/>
      <c r="MIA519" s="1358"/>
      <c r="MIB519" s="1358"/>
      <c r="MIC519" s="1358"/>
      <c r="MID519" s="1358"/>
      <c r="MIE519" s="1358"/>
      <c r="MIF519" s="1358"/>
      <c r="MIG519" s="1358"/>
      <c r="MIH519" s="1358"/>
      <c r="MII519" s="1358"/>
      <c r="MIJ519" s="1358"/>
      <c r="MIK519" s="1358"/>
      <c r="MIL519" s="1358"/>
      <c r="MIM519" s="1358"/>
      <c r="MIN519" s="1358"/>
      <c r="MIO519" s="1358"/>
      <c r="MIP519" s="1358"/>
      <c r="MIQ519" s="1358"/>
      <c r="MIR519" s="1358"/>
      <c r="MIS519" s="1358"/>
      <c r="MIT519" s="1358"/>
      <c r="MIU519" s="1358"/>
      <c r="MIV519" s="1358"/>
      <c r="MIW519" s="1358"/>
      <c r="MIX519" s="1358"/>
      <c r="MIY519" s="1358"/>
      <c r="MIZ519" s="1358"/>
      <c r="MJA519" s="1358"/>
      <c r="MJB519" s="1358"/>
      <c r="MJC519" s="1358"/>
      <c r="MJD519" s="1358"/>
      <c r="MJE519" s="1358"/>
      <c r="MJF519" s="1358"/>
      <c r="MJG519" s="1358"/>
      <c r="MJH519" s="1358"/>
      <c r="MJI519" s="1358"/>
      <c r="MJJ519" s="1358"/>
      <c r="MJK519" s="1358"/>
      <c r="MJL519" s="1358"/>
      <c r="MJM519" s="1358"/>
      <c r="MJN519" s="1358"/>
      <c r="MJO519" s="1358"/>
      <c r="MJP519" s="1358"/>
      <c r="MJQ519" s="1358"/>
      <c r="MJR519" s="1358"/>
      <c r="MJS519" s="1358"/>
      <c r="MJT519" s="1358"/>
      <c r="MJU519" s="1358"/>
      <c r="MJV519" s="1358"/>
      <c r="MJW519" s="1358"/>
      <c r="MJX519" s="1358"/>
      <c r="MJY519" s="1358"/>
      <c r="MJZ519" s="1358"/>
      <c r="MKA519" s="1358"/>
      <c r="MKB519" s="1358"/>
      <c r="MKC519" s="1358"/>
      <c r="MKD519" s="1358"/>
      <c r="MKE519" s="1358"/>
      <c r="MKF519" s="1358"/>
      <c r="MKG519" s="1358"/>
      <c r="MKH519" s="1358"/>
      <c r="MKI519" s="1358"/>
      <c r="MKJ519" s="1358"/>
      <c r="MKK519" s="1358"/>
      <c r="MKL519" s="1358"/>
      <c r="MKM519" s="1358"/>
      <c r="MKN519" s="1358"/>
      <c r="MKO519" s="1358"/>
      <c r="MKP519" s="1358"/>
      <c r="MKQ519" s="1358"/>
      <c r="MKR519" s="1358"/>
      <c r="MKS519" s="1358"/>
      <c r="MKT519" s="1358"/>
      <c r="MKU519" s="1358"/>
      <c r="MKV519" s="1358"/>
      <c r="MKW519" s="1358"/>
      <c r="MKX519" s="1358"/>
      <c r="MKY519" s="1358"/>
      <c r="MKZ519" s="1358"/>
      <c r="MLA519" s="1358"/>
      <c r="MLB519" s="1358"/>
      <c r="MLC519" s="1358"/>
      <c r="MLD519" s="1358"/>
      <c r="MLE519" s="1358"/>
      <c r="MLF519" s="1358"/>
      <c r="MLG519" s="1358"/>
      <c r="MLH519" s="1358"/>
      <c r="MLI519" s="1358"/>
      <c r="MLJ519" s="1358"/>
      <c r="MLK519" s="1358"/>
      <c r="MLL519" s="1358"/>
      <c r="MLM519" s="1358"/>
      <c r="MLN519" s="1358"/>
      <c r="MLO519" s="1358"/>
      <c r="MLP519" s="1358"/>
      <c r="MLQ519" s="1358"/>
      <c r="MLR519" s="1358"/>
      <c r="MLS519" s="1358"/>
      <c r="MLT519" s="1358"/>
      <c r="MLU519" s="1358"/>
      <c r="MLV519" s="1358"/>
      <c r="MLW519" s="1358"/>
      <c r="MLX519" s="1358"/>
      <c r="MLY519" s="1358"/>
      <c r="MLZ519" s="1358"/>
      <c r="MMA519" s="1358"/>
      <c r="MMB519" s="1358"/>
      <c r="MMC519" s="1358"/>
      <c r="MMD519" s="1358"/>
      <c r="MME519" s="1358"/>
      <c r="MMF519" s="1358"/>
      <c r="MMG519" s="1358"/>
      <c r="MMH519" s="1358"/>
      <c r="MMI519" s="1358"/>
      <c r="MMJ519" s="1358"/>
      <c r="MMK519" s="1358"/>
      <c r="MML519" s="1358"/>
      <c r="MMM519" s="1358"/>
      <c r="MMN519" s="1358"/>
      <c r="MMO519" s="1358"/>
      <c r="MMP519" s="1358"/>
      <c r="MMQ519" s="1358"/>
      <c r="MMR519" s="1358"/>
      <c r="MMS519" s="1358"/>
      <c r="MMT519" s="1358"/>
      <c r="MMU519" s="1358"/>
      <c r="MMV519" s="1358"/>
      <c r="MMW519" s="1358"/>
      <c r="MMX519" s="1358"/>
      <c r="MMY519" s="1358"/>
      <c r="MMZ519" s="1358"/>
      <c r="MNA519" s="1358"/>
      <c r="MNB519" s="1358"/>
      <c r="MNC519" s="1358"/>
      <c r="MND519" s="1358"/>
      <c r="MNE519" s="1358"/>
      <c r="MNF519" s="1358"/>
      <c r="MNG519" s="1358"/>
      <c r="MNH519" s="1358"/>
      <c r="MNI519" s="1358"/>
      <c r="MNJ519" s="1358"/>
      <c r="MNK519" s="1358"/>
      <c r="MNL519" s="1358"/>
      <c r="MNM519" s="1358"/>
      <c r="MNN519" s="1358"/>
      <c r="MNO519" s="1358"/>
      <c r="MNP519" s="1358"/>
      <c r="MNQ519" s="1358"/>
      <c r="MNR519" s="1358"/>
      <c r="MNS519" s="1358"/>
      <c r="MNT519" s="1358"/>
      <c r="MNU519" s="1358"/>
      <c r="MNV519" s="1358"/>
      <c r="MNW519" s="1358"/>
      <c r="MNX519" s="1358"/>
      <c r="MNY519" s="1358"/>
      <c r="MNZ519" s="1358"/>
      <c r="MOA519" s="1358"/>
      <c r="MOB519" s="1358"/>
      <c r="MOC519" s="1358"/>
      <c r="MOD519" s="1358"/>
      <c r="MOE519" s="1358"/>
      <c r="MOF519" s="1358"/>
      <c r="MOG519" s="1358"/>
      <c r="MOH519" s="1358"/>
      <c r="MOI519" s="1358"/>
      <c r="MOJ519" s="1358"/>
      <c r="MOK519" s="1358"/>
      <c r="MOL519" s="1358"/>
      <c r="MOM519" s="1358"/>
      <c r="MON519" s="1358"/>
      <c r="MOO519" s="1358"/>
      <c r="MOP519" s="1358"/>
      <c r="MOQ519" s="1358"/>
      <c r="MOR519" s="1358"/>
      <c r="MOS519" s="1358"/>
      <c r="MOT519" s="1358"/>
      <c r="MOU519" s="1358"/>
      <c r="MOV519" s="1358"/>
      <c r="MOW519" s="1358"/>
      <c r="MOX519" s="1358"/>
      <c r="MOY519" s="1358"/>
      <c r="MOZ519" s="1358"/>
      <c r="MPA519" s="1358"/>
      <c r="MPB519" s="1358"/>
      <c r="MPC519" s="1358"/>
      <c r="MPD519" s="1358"/>
      <c r="MPE519" s="1358"/>
      <c r="MPF519" s="1358"/>
      <c r="MPG519" s="1358"/>
      <c r="MPH519" s="1358"/>
      <c r="MPI519" s="1358"/>
      <c r="MPJ519" s="1358"/>
      <c r="MPK519" s="1358"/>
      <c r="MPL519" s="1358"/>
      <c r="MPM519" s="1358"/>
      <c r="MPN519" s="1358"/>
      <c r="MPO519" s="1358"/>
      <c r="MPP519" s="1358"/>
      <c r="MPQ519" s="1358"/>
      <c r="MPR519" s="1358"/>
      <c r="MPS519" s="1358"/>
      <c r="MPT519" s="1358"/>
      <c r="MPU519" s="1358"/>
      <c r="MPV519" s="1358"/>
      <c r="MPW519" s="1358"/>
      <c r="MPX519" s="1358"/>
      <c r="MPY519" s="1358"/>
      <c r="MPZ519" s="1358"/>
      <c r="MQA519" s="1358"/>
      <c r="MQB519" s="1358"/>
      <c r="MQC519" s="1358"/>
      <c r="MQD519" s="1358"/>
      <c r="MQE519" s="1358"/>
      <c r="MQF519" s="1358"/>
      <c r="MQG519" s="1358"/>
      <c r="MQH519" s="1358"/>
      <c r="MQI519" s="1358"/>
      <c r="MQJ519" s="1358"/>
      <c r="MQK519" s="1358"/>
      <c r="MQL519" s="1358"/>
      <c r="MQM519" s="1358"/>
      <c r="MQN519" s="1358"/>
      <c r="MQO519" s="1358"/>
      <c r="MQP519" s="1358"/>
      <c r="MQQ519" s="1358"/>
      <c r="MQR519" s="1358"/>
      <c r="MQS519" s="1358"/>
      <c r="MQT519" s="1358"/>
      <c r="MQU519" s="1358"/>
      <c r="MQV519" s="1358"/>
      <c r="MQW519" s="1358"/>
      <c r="MQX519" s="1358"/>
      <c r="MQY519" s="1358"/>
      <c r="MQZ519" s="1358"/>
      <c r="MRA519" s="1358"/>
      <c r="MRB519" s="1358"/>
      <c r="MRC519" s="1358"/>
      <c r="MRD519" s="1358"/>
      <c r="MRE519" s="1358"/>
      <c r="MRF519" s="1358"/>
      <c r="MRG519" s="1358"/>
      <c r="MRH519" s="1358"/>
      <c r="MRI519" s="1358"/>
      <c r="MRJ519" s="1358"/>
      <c r="MRK519" s="1358"/>
      <c r="MRL519" s="1358"/>
      <c r="MRM519" s="1358"/>
      <c r="MRN519" s="1358"/>
      <c r="MRO519" s="1358"/>
      <c r="MRP519" s="1358"/>
      <c r="MRQ519" s="1358"/>
      <c r="MRR519" s="1358"/>
      <c r="MRS519" s="1358"/>
      <c r="MRT519" s="1358"/>
      <c r="MRU519" s="1358"/>
      <c r="MRV519" s="1358"/>
      <c r="MRW519" s="1358"/>
      <c r="MRX519" s="1358"/>
      <c r="MRY519" s="1358"/>
      <c r="MRZ519" s="1358"/>
      <c r="MSA519" s="1358"/>
      <c r="MSB519" s="1358"/>
      <c r="MSC519" s="1358"/>
      <c r="MSD519" s="1358"/>
      <c r="MSE519" s="1358"/>
      <c r="MSF519" s="1358"/>
      <c r="MSG519" s="1358"/>
      <c r="MSH519" s="1358"/>
      <c r="MSI519" s="1358"/>
      <c r="MSJ519" s="1358"/>
      <c r="MSK519" s="1358"/>
      <c r="MSL519" s="1358"/>
      <c r="MSM519" s="1358"/>
      <c r="MSN519" s="1358"/>
      <c r="MSO519" s="1358"/>
      <c r="MSP519" s="1358"/>
      <c r="MSQ519" s="1358"/>
      <c r="MSR519" s="1358"/>
      <c r="MSS519" s="1358"/>
      <c r="MST519" s="1358"/>
      <c r="MSU519" s="1358"/>
      <c r="MSV519" s="1358"/>
      <c r="MSW519" s="1358"/>
      <c r="MSX519" s="1358"/>
      <c r="MSY519" s="1358"/>
      <c r="MSZ519" s="1358"/>
      <c r="MTA519" s="1358"/>
      <c r="MTB519" s="1358"/>
      <c r="MTC519" s="1358"/>
      <c r="MTD519" s="1358"/>
      <c r="MTE519" s="1358"/>
      <c r="MTF519" s="1358"/>
      <c r="MTG519" s="1358"/>
      <c r="MTH519" s="1358"/>
      <c r="MTI519" s="1358"/>
      <c r="MTJ519" s="1358"/>
      <c r="MTK519" s="1358"/>
      <c r="MTL519" s="1358"/>
      <c r="MTM519" s="1358"/>
      <c r="MTN519" s="1358"/>
      <c r="MTO519" s="1358"/>
      <c r="MTP519" s="1358"/>
      <c r="MTQ519" s="1358"/>
      <c r="MTR519" s="1358"/>
      <c r="MTS519" s="1358"/>
      <c r="MTT519" s="1358"/>
      <c r="MTU519" s="1358"/>
      <c r="MTV519" s="1358"/>
      <c r="MTW519" s="1358"/>
      <c r="MTX519" s="1358"/>
      <c r="MTY519" s="1358"/>
      <c r="MTZ519" s="1358"/>
      <c r="MUA519" s="1358"/>
      <c r="MUB519" s="1358"/>
      <c r="MUC519" s="1358"/>
      <c r="MUD519" s="1358"/>
      <c r="MUE519" s="1358"/>
      <c r="MUF519" s="1358"/>
      <c r="MUG519" s="1358"/>
      <c r="MUH519" s="1358"/>
      <c r="MUI519" s="1358"/>
      <c r="MUJ519" s="1358"/>
      <c r="MUK519" s="1358"/>
      <c r="MUL519" s="1358"/>
      <c r="MUM519" s="1358"/>
      <c r="MUN519" s="1358"/>
      <c r="MUO519" s="1358"/>
      <c r="MUP519" s="1358"/>
      <c r="MUQ519" s="1358"/>
      <c r="MUR519" s="1358"/>
      <c r="MUS519" s="1358"/>
      <c r="MUT519" s="1358"/>
      <c r="MUU519" s="1358"/>
      <c r="MUV519" s="1358"/>
      <c r="MUW519" s="1358"/>
      <c r="MUX519" s="1358"/>
      <c r="MUY519" s="1358"/>
      <c r="MUZ519" s="1358"/>
      <c r="MVA519" s="1358"/>
      <c r="MVB519" s="1358"/>
      <c r="MVC519" s="1358"/>
      <c r="MVD519" s="1358"/>
      <c r="MVE519" s="1358"/>
      <c r="MVF519" s="1358"/>
      <c r="MVG519" s="1358"/>
      <c r="MVH519" s="1358"/>
      <c r="MVI519" s="1358"/>
      <c r="MVJ519" s="1358"/>
      <c r="MVK519" s="1358"/>
      <c r="MVL519" s="1358"/>
      <c r="MVM519" s="1358"/>
      <c r="MVN519" s="1358"/>
      <c r="MVO519" s="1358"/>
      <c r="MVP519" s="1358"/>
      <c r="MVQ519" s="1358"/>
      <c r="MVR519" s="1358"/>
      <c r="MVS519" s="1358"/>
      <c r="MVT519" s="1358"/>
      <c r="MVU519" s="1358"/>
      <c r="MVV519" s="1358"/>
      <c r="MVW519" s="1358"/>
      <c r="MVX519" s="1358"/>
      <c r="MVY519" s="1358"/>
      <c r="MVZ519" s="1358"/>
      <c r="MWA519" s="1358"/>
      <c r="MWB519" s="1358"/>
      <c r="MWC519" s="1358"/>
      <c r="MWD519" s="1358"/>
      <c r="MWE519" s="1358"/>
      <c r="MWF519" s="1358"/>
      <c r="MWG519" s="1358"/>
      <c r="MWH519" s="1358"/>
      <c r="MWI519" s="1358"/>
      <c r="MWJ519" s="1358"/>
      <c r="MWK519" s="1358"/>
      <c r="MWL519" s="1358"/>
      <c r="MWM519" s="1358"/>
      <c r="MWN519" s="1358"/>
      <c r="MWO519" s="1358"/>
      <c r="MWP519" s="1358"/>
      <c r="MWQ519" s="1358"/>
      <c r="MWR519" s="1358"/>
      <c r="MWS519" s="1358"/>
      <c r="MWT519" s="1358"/>
      <c r="MWU519" s="1358"/>
      <c r="MWV519" s="1358"/>
      <c r="MWW519" s="1358"/>
      <c r="MWX519" s="1358"/>
      <c r="MWY519" s="1358"/>
      <c r="MWZ519" s="1358"/>
      <c r="MXA519" s="1358"/>
      <c r="MXB519" s="1358"/>
      <c r="MXC519" s="1358"/>
      <c r="MXD519" s="1358"/>
      <c r="MXE519" s="1358"/>
      <c r="MXF519" s="1358"/>
      <c r="MXG519" s="1358"/>
      <c r="MXH519" s="1358"/>
      <c r="MXI519" s="1358"/>
      <c r="MXJ519" s="1358"/>
      <c r="MXK519" s="1358"/>
      <c r="MXL519" s="1358"/>
      <c r="MXM519" s="1358"/>
      <c r="MXN519" s="1358"/>
      <c r="MXO519" s="1358"/>
      <c r="MXP519" s="1358"/>
      <c r="MXQ519" s="1358"/>
      <c r="MXR519" s="1358"/>
      <c r="MXS519" s="1358"/>
      <c r="MXT519" s="1358"/>
      <c r="MXU519" s="1358"/>
      <c r="MXV519" s="1358"/>
      <c r="MXW519" s="1358"/>
      <c r="MXX519" s="1358"/>
      <c r="MXY519" s="1358"/>
      <c r="MXZ519" s="1358"/>
      <c r="MYA519" s="1358"/>
      <c r="MYB519" s="1358"/>
      <c r="MYC519" s="1358"/>
      <c r="MYD519" s="1358"/>
      <c r="MYE519" s="1358"/>
      <c r="MYF519" s="1358"/>
      <c r="MYG519" s="1358"/>
      <c r="MYH519" s="1358"/>
      <c r="MYI519" s="1358"/>
      <c r="MYJ519" s="1358"/>
      <c r="MYK519" s="1358"/>
      <c r="MYL519" s="1358"/>
      <c r="MYM519" s="1358"/>
      <c r="MYN519" s="1358"/>
      <c r="MYO519" s="1358"/>
      <c r="MYP519" s="1358"/>
      <c r="MYQ519" s="1358"/>
      <c r="MYR519" s="1358"/>
      <c r="MYS519" s="1358"/>
      <c r="MYT519" s="1358"/>
      <c r="MYU519" s="1358"/>
      <c r="MYV519" s="1358"/>
      <c r="MYW519" s="1358"/>
      <c r="MYX519" s="1358"/>
      <c r="MYY519" s="1358"/>
      <c r="MYZ519" s="1358"/>
      <c r="MZA519" s="1358"/>
      <c r="MZB519" s="1358"/>
      <c r="MZC519" s="1358"/>
      <c r="MZD519" s="1358"/>
      <c r="MZE519" s="1358"/>
      <c r="MZF519" s="1358"/>
      <c r="MZG519" s="1358"/>
      <c r="MZH519" s="1358"/>
      <c r="MZI519" s="1358"/>
      <c r="MZJ519" s="1358"/>
      <c r="MZK519" s="1358"/>
      <c r="MZL519" s="1358"/>
      <c r="MZM519" s="1358"/>
      <c r="MZN519" s="1358"/>
      <c r="MZO519" s="1358"/>
      <c r="MZP519" s="1358"/>
      <c r="MZQ519" s="1358"/>
      <c r="MZR519" s="1358"/>
      <c r="MZS519" s="1358"/>
      <c r="MZT519" s="1358"/>
      <c r="MZU519" s="1358"/>
      <c r="MZV519" s="1358"/>
      <c r="MZW519" s="1358"/>
      <c r="MZX519" s="1358"/>
      <c r="MZY519" s="1358"/>
      <c r="MZZ519" s="1358"/>
      <c r="NAA519" s="1358"/>
      <c r="NAB519" s="1358"/>
      <c r="NAC519" s="1358"/>
      <c r="NAD519" s="1358"/>
      <c r="NAE519" s="1358"/>
      <c r="NAF519" s="1358"/>
      <c r="NAG519" s="1358"/>
      <c r="NAH519" s="1358"/>
      <c r="NAI519" s="1358"/>
      <c r="NAJ519" s="1358"/>
      <c r="NAK519" s="1358"/>
      <c r="NAL519" s="1358"/>
      <c r="NAM519" s="1358"/>
      <c r="NAN519" s="1358"/>
      <c r="NAO519" s="1358"/>
      <c r="NAP519" s="1358"/>
      <c r="NAQ519" s="1358"/>
      <c r="NAR519" s="1358"/>
      <c r="NAS519" s="1358"/>
      <c r="NAT519" s="1358"/>
      <c r="NAU519" s="1358"/>
      <c r="NAV519" s="1358"/>
      <c r="NAW519" s="1358"/>
      <c r="NAX519" s="1358"/>
      <c r="NAY519" s="1358"/>
      <c r="NAZ519" s="1358"/>
      <c r="NBA519" s="1358"/>
      <c r="NBB519" s="1358"/>
      <c r="NBC519" s="1358"/>
      <c r="NBD519" s="1358"/>
      <c r="NBE519" s="1358"/>
      <c r="NBF519" s="1358"/>
      <c r="NBG519" s="1358"/>
      <c r="NBH519" s="1358"/>
      <c r="NBI519" s="1358"/>
      <c r="NBJ519" s="1358"/>
      <c r="NBK519" s="1358"/>
      <c r="NBL519" s="1358"/>
      <c r="NBM519" s="1358"/>
      <c r="NBN519" s="1358"/>
      <c r="NBO519" s="1358"/>
      <c r="NBP519" s="1358"/>
      <c r="NBQ519" s="1358"/>
      <c r="NBR519" s="1358"/>
      <c r="NBS519" s="1358"/>
      <c r="NBT519" s="1358"/>
      <c r="NBU519" s="1358"/>
      <c r="NBV519" s="1358"/>
      <c r="NBW519" s="1358"/>
      <c r="NBX519" s="1358"/>
      <c r="NBY519" s="1358"/>
      <c r="NBZ519" s="1358"/>
      <c r="NCA519" s="1358"/>
      <c r="NCB519" s="1358"/>
      <c r="NCC519" s="1358"/>
      <c r="NCD519" s="1358"/>
      <c r="NCE519" s="1358"/>
      <c r="NCF519" s="1358"/>
      <c r="NCG519" s="1358"/>
      <c r="NCH519" s="1358"/>
      <c r="NCI519" s="1358"/>
      <c r="NCJ519" s="1358"/>
      <c r="NCK519" s="1358"/>
      <c r="NCL519" s="1358"/>
      <c r="NCM519" s="1358"/>
      <c r="NCN519" s="1358"/>
      <c r="NCO519" s="1358"/>
      <c r="NCP519" s="1358"/>
      <c r="NCQ519" s="1358"/>
      <c r="NCR519" s="1358"/>
      <c r="NCS519" s="1358"/>
      <c r="NCT519" s="1358"/>
      <c r="NCU519" s="1358"/>
      <c r="NCV519" s="1358"/>
      <c r="NCW519" s="1358"/>
      <c r="NCX519" s="1358"/>
      <c r="NCY519" s="1358"/>
      <c r="NCZ519" s="1358"/>
      <c r="NDA519" s="1358"/>
      <c r="NDB519" s="1358"/>
      <c r="NDC519" s="1358"/>
      <c r="NDD519" s="1358"/>
      <c r="NDE519" s="1358"/>
      <c r="NDF519" s="1358"/>
      <c r="NDG519" s="1358"/>
      <c r="NDH519" s="1358"/>
      <c r="NDI519" s="1358"/>
      <c r="NDJ519" s="1358"/>
      <c r="NDK519" s="1358"/>
      <c r="NDL519" s="1358"/>
      <c r="NDM519" s="1358"/>
      <c r="NDN519" s="1358"/>
      <c r="NDO519" s="1358"/>
      <c r="NDP519" s="1358"/>
      <c r="NDQ519" s="1358"/>
      <c r="NDR519" s="1358"/>
      <c r="NDS519" s="1358"/>
      <c r="NDT519" s="1358"/>
      <c r="NDU519" s="1358"/>
      <c r="NDV519" s="1358"/>
      <c r="NDW519" s="1358"/>
      <c r="NDX519" s="1358"/>
      <c r="NDY519" s="1358"/>
      <c r="NDZ519" s="1358"/>
      <c r="NEA519" s="1358"/>
      <c r="NEB519" s="1358"/>
      <c r="NEC519" s="1358"/>
      <c r="NED519" s="1358"/>
      <c r="NEE519" s="1358"/>
      <c r="NEF519" s="1358"/>
      <c r="NEG519" s="1358"/>
      <c r="NEH519" s="1358"/>
      <c r="NEI519" s="1358"/>
      <c r="NEJ519" s="1358"/>
      <c r="NEK519" s="1358"/>
      <c r="NEL519" s="1358"/>
      <c r="NEM519" s="1358"/>
      <c r="NEN519" s="1358"/>
      <c r="NEO519" s="1358"/>
      <c r="NEP519" s="1358"/>
      <c r="NEQ519" s="1358"/>
      <c r="NER519" s="1358"/>
      <c r="NES519" s="1358"/>
      <c r="NET519" s="1358"/>
      <c r="NEU519" s="1358"/>
      <c r="NEV519" s="1358"/>
      <c r="NEW519" s="1358"/>
      <c r="NEX519" s="1358"/>
      <c r="NEY519" s="1358"/>
      <c r="NEZ519" s="1358"/>
      <c r="NFA519" s="1358"/>
      <c r="NFB519" s="1358"/>
      <c r="NFC519" s="1358"/>
      <c r="NFD519" s="1358"/>
      <c r="NFE519" s="1358"/>
      <c r="NFF519" s="1358"/>
      <c r="NFG519" s="1358"/>
      <c r="NFH519" s="1358"/>
      <c r="NFI519" s="1358"/>
      <c r="NFJ519" s="1358"/>
      <c r="NFK519" s="1358"/>
      <c r="NFL519" s="1358"/>
      <c r="NFM519" s="1358"/>
      <c r="NFN519" s="1358"/>
      <c r="NFO519" s="1358"/>
      <c r="NFP519" s="1358"/>
      <c r="NFQ519" s="1358"/>
      <c r="NFR519" s="1358"/>
      <c r="NFS519" s="1358"/>
      <c r="NFT519" s="1358"/>
      <c r="NFU519" s="1358"/>
      <c r="NFV519" s="1358"/>
      <c r="NFW519" s="1358"/>
      <c r="NFX519" s="1358"/>
      <c r="NFY519" s="1358"/>
      <c r="NFZ519" s="1358"/>
      <c r="NGA519" s="1358"/>
      <c r="NGB519" s="1358"/>
      <c r="NGC519" s="1358"/>
      <c r="NGD519" s="1358"/>
      <c r="NGE519" s="1358"/>
      <c r="NGF519" s="1358"/>
      <c r="NGG519" s="1358"/>
      <c r="NGH519" s="1358"/>
      <c r="NGI519" s="1358"/>
      <c r="NGJ519" s="1358"/>
      <c r="NGK519" s="1358"/>
      <c r="NGL519" s="1358"/>
      <c r="NGM519" s="1358"/>
      <c r="NGN519" s="1358"/>
      <c r="NGO519" s="1358"/>
      <c r="NGP519" s="1358"/>
      <c r="NGQ519" s="1358"/>
      <c r="NGR519" s="1358"/>
      <c r="NGS519" s="1358"/>
      <c r="NGT519" s="1358"/>
      <c r="NGU519" s="1358"/>
      <c r="NGV519" s="1358"/>
      <c r="NGW519" s="1358"/>
      <c r="NGX519" s="1358"/>
      <c r="NGY519" s="1358"/>
      <c r="NGZ519" s="1358"/>
      <c r="NHA519" s="1358"/>
      <c r="NHB519" s="1358"/>
      <c r="NHC519" s="1358"/>
      <c r="NHD519" s="1358"/>
      <c r="NHE519" s="1358"/>
      <c r="NHF519" s="1358"/>
      <c r="NHG519" s="1358"/>
      <c r="NHH519" s="1358"/>
      <c r="NHI519" s="1358"/>
      <c r="NHJ519" s="1358"/>
      <c r="NHK519" s="1358"/>
      <c r="NHL519" s="1358"/>
      <c r="NHM519" s="1358"/>
      <c r="NHN519" s="1358"/>
      <c r="NHO519" s="1358"/>
      <c r="NHP519" s="1358"/>
      <c r="NHQ519" s="1358"/>
      <c r="NHR519" s="1358"/>
      <c r="NHS519" s="1358"/>
      <c r="NHT519" s="1358"/>
      <c r="NHU519" s="1358"/>
      <c r="NHV519" s="1358"/>
      <c r="NHW519" s="1358"/>
      <c r="NHX519" s="1358"/>
      <c r="NHY519" s="1358"/>
      <c r="NHZ519" s="1358"/>
      <c r="NIA519" s="1358"/>
      <c r="NIB519" s="1358"/>
      <c r="NIC519" s="1358"/>
      <c r="NID519" s="1358"/>
      <c r="NIE519" s="1358"/>
      <c r="NIF519" s="1358"/>
      <c r="NIG519" s="1358"/>
      <c r="NIH519" s="1358"/>
      <c r="NII519" s="1358"/>
      <c r="NIJ519" s="1358"/>
      <c r="NIK519" s="1358"/>
      <c r="NIL519" s="1358"/>
      <c r="NIM519" s="1358"/>
      <c r="NIN519" s="1358"/>
      <c r="NIO519" s="1358"/>
      <c r="NIP519" s="1358"/>
      <c r="NIQ519" s="1358"/>
      <c r="NIR519" s="1358"/>
      <c r="NIS519" s="1358"/>
      <c r="NIT519" s="1358"/>
      <c r="NIU519" s="1358"/>
      <c r="NIV519" s="1358"/>
      <c r="NIW519" s="1358"/>
      <c r="NIX519" s="1358"/>
      <c r="NIY519" s="1358"/>
      <c r="NIZ519" s="1358"/>
      <c r="NJA519" s="1358"/>
      <c r="NJB519" s="1358"/>
      <c r="NJC519" s="1358"/>
      <c r="NJD519" s="1358"/>
      <c r="NJE519" s="1358"/>
      <c r="NJF519" s="1358"/>
      <c r="NJG519" s="1358"/>
      <c r="NJH519" s="1358"/>
      <c r="NJI519" s="1358"/>
      <c r="NJJ519" s="1358"/>
      <c r="NJK519" s="1358"/>
      <c r="NJL519" s="1358"/>
      <c r="NJM519" s="1358"/>
      <c r="NJN519" s="1358"/>
      <c r="NJO519" s="1358"/>
      <c r="NJP519" s="1358"/>
      <c r="NJQ519" s="1358"/>
      <c r="NJR519" s="1358"/>
      <c r="NJS519" s="1358"/>
      <c r="NJT519" s="1358"/>
      <c r="NJU519" s="1358"/>
      <c r="NJV519" s="1358"/>
      <c r="NJW519" s="1358"/>
      <c r="NJX519" s="1358"/>
      <c r="NJY519" s="1358"/>
      <c r="NJZ519" s="1358"/>
      <c r="NKA519" s="1358"/>
      <c r="NKB519" s="1358"/>
      <c r="NKC519" s="1358"/>
      <c r="NKD519" s="1358"/>
      <c r="NKE519" s="1358"/>
      <c r="NKF519" s="1358"/>
      <c r="NKG519" s="1358"/>
      <c r="NKH519" s="1358"/>
      <c r="NKI519" s="1358"/>
      <c r="NKJ519" s="1358"/>
      <c r="NKK519" s="1358"/>
      <c r="NKL519" s="1358"/>
      <c r="NKM519" s="1358"/>
      <c r="NKN519" s="1358"/>
      <c r="NKO519" s="1358"/>
      <c r="NKP519" s="1358"/>
      <c r="NKQ519" s="1358"/>
      <c r="NKR519" s="1358"/>
      <c r="NKS519" s="1358"/>
      <c r="NKT519" s="1358"/>
      <c r="NKU519" s="1358"/>
      <c r="NKV519" s="1358"/>
      <c r="NKW519" s="1358"/>
      <c r="NKX519" s="1358"/>
      <c r="NKY519" s="1358"/>
      <c r="NKZ519" s="1358"/>
      <c r="NLA519" s="1358"/>
      <c r="NLB519" s="1358"/>
      <c r="NLC519" s="1358"/>
      <c r="NLD519" s="1358"/>
      <c r="NLE519" s="1358"/>
      <c r="NLF519" s="1358"/>
      <c r="NLG519" s="1358"/>
      <c r="NLH519" s="1358"/>
      <c r="NLI519" s="1358"/>
      <c r="NLJ519" s="1358"/>
      <c r="NLK519" s="1358"/>
      <c r="NLL519" s="1358"/>
      <c r="NLM519" s="1358"/>
      <c r="NLN519" s="1358"/>
      <c r="NLO519" s="1358"/>
      <c r="NLP519" s="1358"/>
      <c r="NLQ519" s="1358"/>
      <c r="NLR519" s="1358"/>
      <c r="NLS519" s="1358"/>
      <c r="NLT519" s="1358"/>
      <c r="NLU519" s="1358"/>
      <c r="NLV519" s="1358"/>
      <c r="NLW519" s="1358"/>
      <c r="NLX519" s="1358"/>
      <c r="NLY519" s="1358"/>
      <c r="NLZ519" s="1358"/>
      <c r="NMA519" s="1358"/>
      <c r="NMB519" s="1358"/>
      <c r="NMC519" s="1358"/>
      <c r="NMD519" s="1358"/>
      <c r="NME519" s="1358"/>
      <c r="NMF519" s="1358"/>
      <c r="NMG519" s="1358"/>
      <c r="NMH519" s="1358"/>
      <c r="NMI519" s="1358"/>
      <c r="NMJ519" s="1358"/>
      <c r="NMK519" s="1358"/>
      <c r="NML519" s="1358"/>
      <c r="NMM519" s="1358"/>
      <c r="NMN519" s="1358"/>
      <c r="NMO519" s="1358"/>
      <c r="NMP519" s="1358"/>
      <c r="NMQ519" s="1358"/>
      <c r="NMR519" s="1358"/>
      <c r="NMS519" s="1358"/>
      <c r="NMT519" s="1358"/>
      <c r="NMU519" s="1358"/>
      <c r="NMV519" s="1358"/>
      <c r="NMW519" s="1358"/>
      <c r="NMX519" s="1358"/>
      <c r="NMY519" s="1358"/>
      <c r="NMZ519" s="1358"/>
      <c r="NNA519" s="1358"/>
      <c r="NNB519" s="1358"/>
      <c r="NNC519" s="1358"/>
      <c r="NND519" s="1358"/>
      <c r="NNE519" s="1358"/>
      <c r="NNF519" s="1358"/>
      <c r="NNG519" s="1358"/>
      <c r="NNH519" s="1358"/>
      <c r="NNI519" s="1358"/>
      <c r="NNJ519" s="1358"/>
      <c r="NNK519" s="1358"/>
      <c r="NNL519" s="1358"/>
      <c r="NNM519" s="1358"/>
      <c r="NNN519" s="1358"/>
      <c r="NNO519" s="1358"/>
      <c r="NNP519" s="1358"/>
      <c r="NNQ519" s="1358"/>
      <c r="NNR519" s="1358"/>
      <c r="NNS519" s="1358"/>
      <c r="NNT519" s="1358"/>
      <c r="NNU519" s="1358"/>
      <c r="NNV519" s="1358"/>
      <c r="NNW519" s="1358"/>
      <c r="NNX519" s="1358"/>
      <c r="NNY519" s="1358"/>
      <c r="NNZ519" s="1358"/>
      <c r="NOA519" s="1358"/>
      <c r="NOB519" s="1358"/>
      <c r="NOC519" s="1358"/>
      <c r="NOD519" s="1358"/>
      <c r="NOE519" s="1358"/>
      <c r="NOF519" s="1358"/>
      <c r="NOG519" s="1358"/>
      <c r="NOH519" s="1358"/>
      <c r="NOI519" s="1358"/>
      <c r="NOJ519" s="1358"/>
      <c r="NOK519" s="1358"/>
      <c r="NOL519" s="1358"/>
      <c r="NOM519" s="1358"/>
      <c r="NON519" s="1358"/>
      <c r="NOO519" s="1358"/>
      <c r="NOP519" s="1358"/>
      <c r="NOQ519" s="1358"/>
      <c r="NOR519" s="1358"/>
      <c r="NOS519" s="1358"/>
      <c r="NOT519" s="1358"/>
      <c r="NOU519" s="1358"/>
      <c r="NOV519" s="1358"/>
      <c r="NOW519" s="1358"/>
      <c r="NOX519" s="1358"/>
      <c r="NOY519" s="1358"/>
      <c r="NOZ519" s="1358"/>
      <c r="NPA519" s="1358"/>
      <c r="NPB519" s="1358"/>
      <c r="NPC519" s="1358"/>
      <c r="NPD519" s="1358"/>
      <c r="NPE519" s="1358"/>
      <c r="NPF519" s="1358"/>
      <c r="NPG519" s="1358"/>
      <c r="NPH519" s="1358"/>
      <c r="NPI519" s="1358"/>
      <c r="NPJ519" s="1358"/>
      <c r="NPK519" s="1358"/>
      <c r="NPL519" s="1358"/>
      <c r="NPM519" s="1358"/>
      <c r="NPN519" s="1358"/>
      <c r="NPO519" s="1358"/>
      <c r="NPP519" s="1358"/>
      <c r="NPQ519" s="1358"/>
      <c r="NPR519" s="1358"/>
      <c r="NPS519" s="1358"/>
      <c r="NPT519" s="1358"/>
      <c r="NPU519" s="1358"/>
      <c r="NPV519" s="1358"/>
      <c r="NPW519" s="1358"/>
      <c r="NPX519" s="1358"/>
      <c r="NPY519" s="1358"/>
      <c r="NPZ519" s="1358"/>
      <c r="NQA519" s="1358"/>
      <c r="NQB519" s="1358"/>
      <c r="NQC519" s="1358"/>
      <c r="NQD519" s="1358"/>
      <c r="NQE519" s="1358"/>
      <c r="NQF519" s="1358"/>
      <c r="NQG519" s="1358"/>
      <c r="NQH519" s="1358"/>
      <c r="NQI519" s="1358"/>
      <c r="NQJ519" s="1358"/>
      <c r="NQK519" s="1358"/>
      <c r="NQL519" s="1358"/>
      <c r="NQM519" s="1358"/>
      <c r="NQN519" s="1358"/>
      <c r="NQO519" s="1358"/>
      <c r="NQP519" s="1358"/>
      <c r="NQQ519" s="1358"/>
      <c r="NQR519" s="1358"/>
      <c r="NQS519" s="1358"/>
      <c r="NQT519" s="1358"/>
      <c r="NQU519" s="1358"/>
      <c r="NQV519" s="1358"/>
      <c r="NQW519" s="1358"/>
      <c r="NQX519" s="1358"/>
      <c r="NQY519" s="1358"/>
      <c r="NQZ519" s="1358"/>
      <c r="NRA519" s="1358"/>
      <c r="NRB519" s="1358"/>
      <c r="NRC519" s="1358"/>
      <c r="NRD519" s="1358"/>
      <c r="NRE519" s="1358"/>
      <c r="NRF519" s="1358"/>
      <c r="NRG519" s="1358"/>
      <c r="NRH519" s="1358"/>
      <c r="NRI519" s="1358"/>
      <c r="NRJ519" s="1358"/>
      <c r="NRK519" s="1358"/>
      <c r="NRL519" s="1358"/>
      <c r="NRM519" s="1358"/>
      <c r="NRN519" s="1358"/>
      <c r="NRO519" s="1358"/>
      <c r="NRP519" s="1358"/>
      <c r="NRQ519" s="1358"/>
      <c r="NRR519" s="1358"/>
      <c r="NRS519" s="1358"/>
      <c r="NRT519" s="1358"/>
      <c r="NRU519" s="1358"/>
      <c r="NRV519" s="1358"/>
      <c r="NRW519" s="1358"/>
      <c r="NRX519" s="1358"/>
      <c r="NRY519" s="1358"/>
      <c r="NRZ519" s="1358"/>
      <c r="NSA519" s="1358"/>
      <c r="NSB519" s="1358"/>
      <c r="NSC519" s="1358"/>
      <c r="NSD519" s="1358"/>
      <c r="NSE519" s="1358"/>
      <c r="NSF519" s="1358"/>
      <c r="NSG519" s="1358"/>
      <c r="NSH519" s="1358"/>
      <c r="NSI519" s="1358"/>
      <c r="NSJ519" s="1358"/>
      <c r="NSK519" s="1358"/>
      <c r="NSL519" s="1358"/>
      <c r="NSM519" s="1358"/>
      <c r="NSN519" s="1358"/>
      <c r="NSO519" s="1358"/>
      <c r="NSP519" s="1358"/>
      <c r="NSQ519" s="1358"/>
      <c r="NSR519" s="1358"/>
      <c r="NSS519" s="1358"/>
      <c r="NST519" s="1358"/>
      <c r="NSU519" s="1358"/>
      <c r="NSV519" s="1358"/>
      <c r="NSW519" s="1358"/>
      <c r="NSX519" s="1358"/>
      <c r="NSY519" s="1358"/>
      <c r="NSZ519" s="1358"/>
      <c r="NTA519" s="1358"/>
      <c r="NTB519" s="1358"/>
      <c r="NTC519" s="1358"/>
      <c r="NTD519" s="1358"/>
      <c r="NTE519" s="1358"/>
      <c r="NTF519" s="1358"/>
      <c r="NTG519" s="1358"/>
      <c r="NTH519" s="1358"/>
      <c r="NTI519" s="1358"/>
      <c r="NTJ519" s="1358"/>
      <c r="NTK519" s="1358"/>
      <c r="NTL519" s="1358"/>
      <c r="NTM519" s="1358"/>
      <c r="NTN519" s="1358"/>
      <c r="NTO519" s="1358"/>
      <c r="NTP519" s="1358"/>
      <c r="NTQ519" s="1358"/>
      <c r="NTR519" s="1358"/>
      <c r="NTS519" s="1358"/>
      <c r="NTT519" s="1358"/>
      <c r="NTU519" s="1358"/>
      <c r="NTV519" s="1358"/>
      <c r="NTW519" s="1358"/>
      <c r="NTX519" s="1358"/>
      <c r="NTY519" s="1358"/>
      <c r="NTZ519" s="1358"/>
      <c r="NUA519" s="1358"/>
      <c r="NUB519" s="1358"/>
      <c r="NUC519" s="1358"/>
      <c r="NUD519" s="1358"/>
      <c r="NUE519" s="1358"/>
      <c r="NUF519" s="1358"/>
      <c r="NUG519" s="1358"/>
      <c r="NUH519" s="1358"/>
      <c r="NUI519" s="1358"/>
      <c r="NUJ519" s="1358"/>
      <c r="NUK519" s="1358"/>
      <c r="NUL519" s="1358"/>
      <c r="NUM519" s="1358"/>
      <c r="NUN519" s="1358"/>
      <c r="NUO519" s="1358"/>
      <c r="NUP519" s="1358"/>
      <c r="NUQ519" s="1358"/>
      <c r="NUR519" s="1358"/>
      <c r="NUS519" s="1358"/>
      <c r="NUT519" s="1358"/>
      <c r="NUU519" s="1358"/>
      <c r="NUV519" s="1358"/>
      <c r="NUW519" s="1358"/>
      <c r="NUX519" s="1358"/>
      <c r="NUY519" s="1358"/>
      <c r="NUZ519" s="1358"/>
      <c r="NVA519" s="1358"/>
      <c r="NVB519" s="1358"/>
      <c r="NVC519" s="1358"/>
      <c r="NVD519" s="1358"/>
      <c r="NVE519" s="1358"/>
      <c r="NVF519" s="1358"/>
      <c r="NVG519" s="1358"/>
      <c r="NVH519" s="1358"/>
      <c r="NVI519" s="1358"/>
      <c r="NVJ519" s="1358"/>
      <c r="NVK519" s="1358"/>
      <c r="NVL519" s="1358"/>
      <c r="NVM519" s="1358"/>
      <c r="NVN519" s="1358"/>
      <c r="NVO519" s="1358"/>
      <c r="NVP519" s="1358"/>
      <c r="NVQ519" s="1358"/>
      <c r="NVR519" s="1358"/>
      <c r="NVS519" s="1358"/>
      <c r="NVT519" s="1358"/>
      <c r="NVU519" s="1358"/>
      <c r="NVV519" s="1358"/>
      <c r="NVW519" s="1358"/>
      <c r="NVX519" s="1358"/>
      <c r="NVY519" s="1358"/>
      <c r="NVZ519" s="1358"/>
      <c r="NWA519" s="1358"/>
      <c r="NWB519" s="1358"/>
      <c r="NWC519" s="1358"/>
      <c r="NWD519" s="1358"/>
      <c r="NWE519" s="1358"/>
      <c r="NWF519" s="1358"/>
      <c r="NWG519" s="1358"/>
      <c r="NWH519" s="1358"/>
      <c r="NWI519" s="1358"/>
      <c r="NWJ519" s="1358"/>
      <c r="NWK519" s="1358"/>
      <c r="NWL519" s="1358"/>
      <c r="NWM519" s="1358"/>
      <c r="NWN519" s="1358"/>
      <c r="NWO519" s="1358"/>
      <c r="NWP519" s="1358"/>
      <c r="NWQ519" s="1358"/>
      <c r="NWR519" s="1358"/>
      <c r="NWS519" s="1358"/>
      <c r="NWT519" s="1358"/>
      <c r="NWU519" s="1358"/>
      <c r="NWV519" s="1358"/>
      <c r="NWW519" s="1358"/>
      <c r="NWX519" s="1358"/>
      <c r="NWY519" s="1358"/>
      <c r="NWZ519" s="1358"/>
      <c r="NXA519" s="1358"/>
      <c r="NXB519" s="1358"/>
      <c r="NXC519" s="1358"/>
      <c r="NXD519" s="1358"/>
      <c r="NXE519" s="1358"/>
      <c r="NXF519" s="1358"/>
      <c r="NXG519" s="1358"/>
      <c r="NXH519" s="1358"/>
      <c r="NXI519" s="1358"/>
      <c r="NXJ519" s="1358"/>
      <c r="NXK519" s="1358"/>
      <c r="NXL519" s="1358"/>
      <c r="NXM519" s="1358"/>
      <c r="NXN519" s="1358"/>
      <c r="NXO519" s="1358"/>
      <c r="NXP519" s="1358"/>
      <c r="NXQ519" s="1358"/>
      <c r="NXR519" s="1358"/>
      <c r="NXS519" s="1358"/>
      <c r="NXT519" s="1358"/>
      <c r="NXU519" s="1358"/>
      <c r="NXV519" s="1358"/>
      <c r="NXW519" s="1358"/>
      <c r="NXX519" s="1358"/>
      <c r="NXY519" s="1358"/>
      <c r="NXZ519" s="1358"/>
      <c r="NYA519" s="1358"/>
      <c r="NYB519" s="1358"/>
      <c r="NYC519" s="1358"/>
      <c r="NYD519" s="1358"/>
      <c r="NYE519" s="1358"/>
      <c r="NYF519" s="1358"/>
      <c r="NYG519" s="1358"/>
      <c r="NYH519" s="1358"/>
      <c r="NYI519" s="1358"/>
      <c r="NYJ519" s="1358"/>
      <c r="NYK519" s="1358"/>
      <c r="NYL519" s="1358"/>
      <c r="NYM519" s="1358"/>
      <c r="NYN519" s="1358"/>
      <c r="NYO519" s="1358"/>
      <c r="NYP519" s="1358"/>
      <c r="NYQ519" s="1358"/>
      <c r="NYR519" s="1358"/>
      <c r="NYS519" s="1358"/>
      <c r="NYT519" s="1358"/>
      <c r="NYU519" s="1358"/>
      <c r="NYV519" s="1358"/>
      <c r="NYW519" s="1358"/>
      <c r="NYX519" s="1358"/>
      <c r="NYY519" s="1358"/>
      <c r="NYZ519" s="1358"/>
      <c r="NZA519" s="1358"/>
      <c r="NZB519" s="1358"/>
      <c r="NZC519" s="1358"/>
      <c r="NZD519" s="1358"/>
      <c r="NZE519" s="1358"/>
      <c r="NZF519" s="1358"/>
      <c r="NZG519" s="1358"/>
      <c r="NZH519" s="1358"/>
      <c r="NZI519" s="1358"/>
      <c r="NZJ519" s="1358"/>
      <c r="NZK519" s="1358"/>
      <c r="NZL519" s="1358"/>
      <c r="NZM519" s="1358"/>
      <c r="NZN519" s="1358"/>
      <c r="NZO519" s="1358"/>
      <c r="NZP519" s="1358"/>
      <c r="NZQ519" s="1358"/>
      <c r="NZR519" s="1358"/>
      <c r="NZS519" s="1358"/>
      <c r="NZT519" s="1358"/>
      <c r="NZU519" s="1358"/>
      <c r="NZV519" s="1358"/>
      <c r="NZW519" s="1358"/>
      <c r="NZX519" s="1358"/>
      <c r="NZY519" s="1358"/>
      <c r="NZZ519" s="1358"/>
      <c r="OAA519" s="1358"/>
      <c r="OAB519" s="1358"/>
      <c r="OAC519" s="1358"/>
      <c r="OAD519" s="1358"/>
      <c r="OAE519" s="1358"/>
      <c r="OAF519" s="1358"/>
      <c r="OAG519" s="1358"/>
      <c r="OAH519" s="1358"/>
      <c r="OAI519" s="1358"/>
      <c r="OAJ519" s="1358"/>
      <c r="OAK519" s="1358"/>
      <c r="OAL519" s="1358"/>
      <c r="OAM519" s="1358"/>
      <c r="OAN519" s="1358"/>
      <c r="OAO519" s="1358"/>
      <c r="OAP519" s="1358"/>
      <c r="OAQ519" s="1358"/>
      <c r="OAR519" s="1358"/>
      <c r="OAS519" s="1358"/>
      <c r="OAT519" s="1358"/>
      <c r="OAU519" s="1358"/>
      <c r="OAV519" s="1358"/>
      <c r="OAW519" s="1358"/>
      <c r="OAX519" s="1358"/>
      <c r="OAY519" s="1358"/>
      <c r="OAZ519" s="1358"/>
      <c r="OBA519" s="1358"/>
      <c r="OBB519" s="1358"/>
      <c r="OBC519" s="1358"/>
      <c r="OBD519" s="1358"/>
      <c r="OBE519" s="1358"/>
      <c r="OBF519" s="1358"/>
      <c r="OBG519" s="1358"/>
      <c r="OBH519" s="1358"/>
      <c r="OBI519" s="1358"/>
      <c r="OBJ519" s="1358"/>
      <c r="OBK519" s="1358"/>
      <c r="OBL519" s="1358"/>
      <c r="OBM519" s="1358"/>
      <c r="OBN519" s="1358"/>
      <c r="OBO519" s="1358"/>
      <c r="OBP519" s="1358"/>
      <c r="OBQ519" s="1358"/>
      <c r="OBR519" s="1358"/>
      <c r="OBS519" s="1358"/>
      <c r="OBT519" s="1358"/>
      <c r="OBU519" s="1358"/>
      <c r="OBV519" s="1358"/>
      <c r="OBW519" s="1358"/>
      <c r="OBX519" s="1358"/>
      <c r="OBY519" s="1358"/>
      <c r="OBZ519" s="1358"/>
      <c r="OCA519" s="1358"/>
      <c r="OCB519" s="1358"/>
      <c r="OCC519" s="1358"/>
      <c r="OCD519" s="1358"/>
      <c r="OCE519" s="1358"/>
      <c r="OCF519" s="1358"/>
      <c r="OCG519" s="1358"/>
      <c r="OCH519" s="1358"/>
      <c r="OCI519" s="1358"/>
      <c r="OCJ519" s="1358"/>
      <c r="OCK519" s="1358"/>
      <c r="OCL519" s="1358"/>
      <c r="OCM519" s="1358"/>
      <c r="OCN519" s="1358"/>
      <c r="OCO519" s="1358"/>
      <c r="OCP519" s="1358"/>
      <c r="OCQ519" s="1358"/>
      <c r="OCR519" s="1358"/>
      <c r="OCS519" s="1358"/>
      <c r="OCT519" s="1358"/>
      <c r="OCU519" s="1358"/>
      <c r="OCV519" s="1358"/>
      <c r="OCW519" s="1358"/>
      <c r="OCX519" s="1358"/>
      <c r="OCY519" s="1358"/>
      <c r="OCZ519" s="1358"/>
      <c r="ODA519" s="1358"/>
      <c r="ODB519" s="1358"/>
      <c r="ODC519" s="1358"/>
      <c r="ODD519" s="1358"/>
      <c r="ODE519" s="1358"/>
      <c r="ODF519" s="1358"/>
      <c r="ODG519" s="1358"/>
      <c r="ODH519" s="1358"/>
      <c r="ODI519" s="1358"/>
      <c r="ODJ519" s="1358"/>
      <c r="ODK519" s="1358"/>
      <c r="ODL519" s="1358"/>
      <c r="ODM519" s="1358"/>
      <c r="ODN519" s="1358"/>
      <c r="ODO519" s="1358"/>
      <c r="ODP519" s="1358"/>
      <c r="ODQ519" s="1358"/>
      <c r="ODR519" s="1358"/>
      <c r="ODS519" s="1358"/>
      <c r="ODT519" s="1358"/>
      <c r="ODU519" s="1358"/>
      <c r="ODV519" s="1358"/>
      <c r="ODW519" s="1358"/>
      <c r="ODX519" s="1358"/>
      <c r="ODY519" s="1358"/>
      <c r="ODZ519" s="1358"/>
      <c r="OEA519" s="1358"/>
      <c r="OEB519" s="1358"/>
      <c r="OEC519" s="1358"/>
      <c r="OED519" s="1358"/>
      <c r="OEE519" s="1358"/>
      <c r="OEF519" s="1358"/>
      <c r="OEG519" s="1358"/>
      <c r="OEH519" s="1358"/>
      <c r="OEI519" s="1358"/>
      <c r="OEJ519" s="1358"/>
      <c r="OEK519" s="1358"/>
      <c r="OEL519" s="1358"/>
      <c r="OEM519" s="1358"/>
      <c r="OEN519" s="1358"/>
      <c r="OEO519" s="1358"/>
      <c r="OEP519" s="1358"/>
      <c r="OEQ519" s="1358"/>
      <c r="OER519" s="1358"/>
      <c r="OES519" s="1358"/>
      <c r="OET519" s="1358"/>
      <c r="OEU519" s="1358"/>
      <c r="OEV519" s="1358"/>
      <c r="OEW519" s="1358"/>
      <c r="OEX519" s="1358"/>
      <c r="OEY519" s="1358"/>
      <c r="OEZ519" s="1358"/>
      <c r="OFA519" s="1358"/>
      <c r="OFB519" s="1358"/>
      <c r="OFC519" s="1358"/>
      <c r="OFD519" s="1358"/>
      <c r="OFE519" s="1358"/>
      <c r="OFF519" s="1358"/>
      <c r="OFG519" s="1358"/>
      <c r="OFH519" s="1358"/>
      <c r="OFI519" s="1358"/>
      <c r="OFJ519" s="1358"/>
      <c r="OFK519" s="1358"/>
      <c r="OFL519" s="1358"/>
      <c r="OFM519" s="1358"/>
      <c r="OFN519" s="1358"/>
      <c r="OFO519" s="1358"/>
      <c r="OFP519" s="1358"/>
      <c r="OFQ519" s="1358"/>
      <c r="OFR519" s="1358"/>
      <c r="OFS519" s="1358"/>
      <c r="OFT519" s="1358"/>
      <c r="OFU519" s="1358"/>
      <c r="OFV519" s="1358"/>
      <c r="OFW519" s="1358"/>
      <c r="OFX519" s="1358"/>
      <c r="OFY519" s="1358"/>
      <c r="OFZ519" s="1358"/>
      <c r="OGA519" s="1358"/>
      <c r="OGB519" s="1358"/>
      <c r="OGC519" s="1358"/>
      <c r="OGD519" s="1358"/>
      <c r="OGE519" s="1358"/>
      <c r="OGF519" s="1358"/>
      <c r="OGG519" s="1358"/>
      <c r="OGH519" s="1358"/>
      <c r="OGI519" s="1358"/>
      <c r="OGJ519" s="1358"/>
      <c r="OGK519" s="1358"/>
      <c r="OGL519" s="1358"/>
      <c r="OGM519" s="1358"/>
      <c r="OGN519" s="1358"/>
      <c r="OGO519" s="1358"/>
      <c r="OGP519" s="1358"/>
      <c r="OGQ519" s="1358"/>
      <c r="OGR519" s="1358"/>
      <c r="OGS519" s="1358"/>
      <c r="OGT519" s="1358"/>
      <c r="OGU519" s="1358"/>
      <c r="OGV519" s="1358"/>
      <c r="OGW519" s="1358"/>
      <c r="OGX519" s="1358"/>
      <c r="OGY519" s="1358"/>
      <c r="OGZ519" s="1358"/>
      <c r="OHA519" s="1358"/>
      <c r="OHB519" s="1358"/>
      <c r="OHC519" s="1358"/>
      <c r="OHD519" s="1358"/>
      <c r="OHE519" s="1358"/>
      <c r="OHF519" s="1358"/>
      <c r="OHG519" s="1358"/>
      <c r="OHH519" s="1358"/>
      <c r="OHI519" s="1358"/>
      <c r="OHJ519" s="1358"/>
      <c r="OHK519" s="1358"/>
      <c r="OHL519" s="1358"/>
      <c r="OHM519" s="1358"/>
      <c r="OHN519" s="1358"/>
      <c r="OHO519" s="1358"/>
      <c r="OHP519" s="1358"/>
      <c r="OHQ519" s="1358"/>
      <c r="OHR519" s="1358"/>
      <c r="OHS519" s="1358"/>
      <c r="OHT519" s="1358"/>
      <c r="OHU519" s="1358"/>
      <c r="OHV519" s="1358"/>
      <c r="OHW519" s="1358"/>
      <c r="OHX519" s="1358"/>
      <c r="OHY519" s="1358"/>
      <c r="OHZ519" s="1358"/>
      <c r="OIA519" s="1358"/>
      <c r="OIB519" s="1358"/>
      <c r="OIC519" s="1358"/>
      <c r="OID519" s="1358"/>
      <c r="OIE519" s="1358"/>
      <c r="OIF519" s="1358"/>
      <c r="OIG519" s="1358"/>
      <c r="OIH519" s="1358"/>
      <c r="OII519" s="1358"/>
      <c r="OIJ519" s="1358"/>
      <c r="OIK519" s="1358"/>
      <c r="OIL519" s="1358"/>
      <c r="OIM519" s="1358"/>
      <c r="OIN519" s="1358"/>
      <c r="OIO519" s="1358"/>
      <c r="OIP519" s="1358"/>
      <c r="OIQ519" s="1358"/>
      <c r="OIR519" s="1358"/>
      <c r="OIS519" s="1358"/>
      <c r="OIT519" s="1358"/>
      <c r="OIU519" s="1358"/>
      <c r="OIV519" s="1358"/>
      <c r="OIW519" s="1358"/>
      <c r="OIX519" s="1358"/>
      <c r="OIY519" s="1358"/>
      <c r="OIZ519" s="1358"/>
      <c r="OJA519" s="1358"/>
      <c r="OJB519" s="1358"/>
      <c r="OJC519" s="1358"/>
      <c r="OJD519" s="1358"/>
      <c r="OJE519" s="1358"/>
      <c r="OJF519" s="1358"/>
      <c r="OJG519" s="1358"/>
      <c r="OJH519" s="1358"/>
      <c r="OJI519" s="1358"/>
      <c r="OJJ519" s="1358"/>
      <c r="OJK519" s="1358"/>
      <c r="OJL519" s="1358"/>
      <c r="OJM519" s="1358"/>
      <c r="OJN519" s="1358"/>
      <c r="OJO519" s="1358"/>
      <c r="OJP519" s="1358"/>
      <c r="OJQ519" s="1358"/>
      <c r="OJR519" s="1358"/>
      <c r="OJS519" s="1358"/>
      <c r="OJT519" s="1358"/>
      <c r="OJU519" s="1358"/>
      <c r="OJV519" s="1358"/>
      <c r="OJW519" s="1358"/>
      <c r="OJX519" s="1358"/>
      <c r="OJY519" s="1358"/>
      <c r="OJZ519" s="1358"/>
      <c r="OKA519" s="1358"/>
      <c r="OKB519" s="1358"/>
      <c r="OKC519" s="1358"/>
      <c r="OKD519" s="1358"/>
      <c r="OKE519" s="1358"/>
      <c r="OKF519" s="1358"/>
      <c r="OKG519" s="1358"/>
      <c r="OKH519" s="1358"/>
      <c r="OKI519" s="1358"/>
      <c r="OKJ519" s="1358"/>
      <c r="OKK519" s="1358"/>
      <c r="OKL519" s="1358"/>
      <c r="OKM519" s="1358"/>
      <c r="OKN519" s="1358"/>
      <c r="OKO519" s="1358"/>
      <c r="OKP519" s="1358"/>
      <c r="OKQ519" s="1358"/>
      <c r="OKR519" s="1358"/>
      <c r="OKS519" s="1358"/>
      <c r="OKT519" s="1358"/>
      <c r="OKU519" s="1358"/>
      <c r="OKV519" s="1358"/>
      <c r="OKW519" s="1358"/>
      <c r="OKX519" s="1358"/>
      <c r="OKY519" s="1358"/>
      <c r="OKZ519" s="1358"/>
      <c r="OLA519" s="1358"/>
      <c r="OLB519" s="1358"/>
      <c r="OLC519" s="1358"/>
      <c r="OLD519" s="1358"/>
      <c r="OLE519" s="1358"/>
      <c r="OLF519" s="1358"/>
      <c r="OLG519" s="1358"/>
      <c r="OLH519" s="1358"/>
      <c r="OLI519" s="1358"/>
      <c r="OLJ519" s="1358"/>
      <c r="OLK519" s="1358"/>
      <c r="OLL519" s="1358"/>
      <c r="OLM519" s="1358"/>
      <c r="OLN519" s="1358"/>
      <c r="OLO519" s="1358"/>
      <c r="OLP519" s="1358"/>
      <c r="OLQ519" s="1358"/>
      <c r="OLR519" s="1358"/>
      <c r="OLS519" s="1358"/>
      <c r="OLT519" s="1358"/>
      <c r="OLU519" s="1358"/>
      <c r="OLV519" s="1358"/>
      <c r="OLW519" s="1358"/>
      <c r="OLX519" s="1358"/>
      <c r="OLY519" s="1358"/>
      <c r="OLZ519" s="1358"/>
      <c r="OMA519" s="1358"/>
      <c r="OMB519" s="1358"/>
      <c r="OMC519" s="1358"/>
      <c r="OMD519" s="1358"/>
      <c r="OME519" s="1358"/>
      <c r="OMF519" s="1358"/>
      <c r="OMG519" s="1358"/>
      <c r="OMH519" s="1358"/>
      <c r="OMI519" s="1358"/>
      <c r="OMJ519" s="1358"/>
      <c r="OMK519" s="1358"/>
      <c r="OML519" s="1358"/>
      <c r="OMM519" s="1358"/>
      <c r="OMN519" s="1358"/>
      <c r="OMO519" s="1358"/>
      <c r="OMP519" s="1358"/>
      <c r="OMQ519" s="1358"/>
      <c r="OMR519" s="1358"/>
      <c r="OMS519" s="1358"/>
      <c r="OMT519" s="1358"/>
      <c r="OMU519" s="1358"/>
      <c r="OMV519" s="1358"/>
      <c r="OMW519" s="1358"/>
      <c r="OMX519" s="1358"/>
      <c r="OMY519" s="1358"/>
      <c r="OMZ519" s="1358"/>
      <c r="ONA519" s="1358"/>
      <c r="ONB519" s="1358"/>
      <c r="ONC519" s="1358"/>
      <c r="OND519" s="1358"/>
      <c r="ONE519" s="1358"/>
      <c r="ONF519" s="1358"/>
      <c r="ONG519" s="1358"/>
      <c r="ONH519" s="1358"/>
      <c r="ONI519" s="1358"/>
      <c r="ONJ519" s="1358"/>
      <c r="ONK519" s="1358"/>
      <c r="ONL519" s="1358"/>
      <c r="ONM519" s="1358"/>
      <c r="ONN519" s="1358"/>
      <c r="ONO519" s="1358"/>
      <c r="ONP519" s="1358"/>
      <c r="ONQ519" s="1358"/>
      <c r="ONR519" s="1358"/>
      <c r="ONS519" s="1358"/>
      <c r="ONT519" s="1358"/>
      <c r="ONU519" s="1358"/>
      <c r="ONV519" s="1358"/>
      <c r="ONW519" s="1358"/>
      <c r="ONX519" s="1358"/>
      <c r="ONY519" s="1358"/>
      <c r="ONZ519" s="1358"/>
      <c r="OOA519" s="1358"/>
      <c r="OOB519" s="1358"/>
      <c r="OOC519" s="1358"/>
      <c r="OOD519" s="1358"/>
      <c r="OOE519" s="1358"/>
      <c r="OOF519" s="1358"/>
      <c r="OOG519" s="1358"/>
      <c r="OOH519" s="1358"/>
      <c r="OOI519" s="1358"/>
      <c r="OOJ519" s="1358"/>
      <c r="OOK519" s="1358"/>
      <c r="OOL519" s="1358"/>
      <c r="OOM519" s="1358"/>
      <c r="OON519" s="1358"/>
      <c r="OOO519" s="1358"/>
      <c r="OOP519" s="1358"/>
      <c r="OOQ519" s="1358"/>
      <c r="OOR519" s="1358"/>
      <c r="OOS519" s="1358"/>
      <c r="OOT519" s="1358"/>
      <c r="OOU519" s="1358"/>
      <c r="OOV519" s="1358"/>
      <c r="OOW519" s="1358"/>
      <c r="OOX519" s="1358"/>
      <c r="OOY519" s="1358"/>
      <c r="OOZ519" s="1358"/>
      <c r="OPA519" s="1358"/>
      <c r="OPB519" s="1358"/>
      <c r="OPC519" s="1358"/>
      <c r="OPD519" s="1358"/>
      <c r="OPE519" s="1358"/>
      <c r="OPF519" s="1358"/>
      <c r="OPG519" s="1358"/>
      <c r="OPH519" s="1358"/>
      <c r="OPI519" s="1358"/>
      <c r="OPJ519" s="1358"/>
      <c r="OPK519" s="1358"/>
      <c r="OPL519" s="1358"/>
      <c r="OPM519" s="1358"/>
      <c r="OPN519" s="1358"/>
      <c r="OPO519" s="1358"/>
      <c r="OPP519" s="1358"/>
      <c r="OPQ519" s="1358"/>
      <c r="OPR519" s="1358"/>
      <c r="OPS519" s="1358"/>
      <c r="OPT519" s="1358"/>
      <c r="OPU519" s="1358"/>
      <c r="OPV519" s="1358"/>
      <c r="OPW519" s="1358"/>
      <c r="OPX519" s="1358"/>
      <c r="OPY519" s="1358"/>
      <c r="OPZ519" s="1358"/>
      <c r="OQA519" s="1358"/>
      <c r="OQB519" s="1358"/>
      <c r="OQC519" s="1358"/>
      <c r="OQD519" s="1358"/>
      <c r="OQE519" s="1358"/>
      <c r="OQF519" s="1358"/>
      <c r="OQG519" s="1358"/>
      <c r="OQH519" s="1358"/>
      <c r="OQI519" s="1358"/>
      <c r="OQJ519" s="1358"/>
      <c r="OQK519" s="1358"/>
      <c r="OQL519" s="1358"/>
      <c r="OQM519" s="1358"/>
      <c r="OQN519" s="1358"/>
      <c r="OQO519" s="1358"/>
      <c r="OQP519" s="1358"/>
      <c r="OQQ519" s="1358"/>
      <c r="OQR519" s="1358"/>
      <c r="OQS519" s="1358"/>
      <c r="OQT519" s="1358"/>
      <c r="OQU519" s="1358"/>
      <c r="OQV519" s="1358"/>
      <c r="OQW519" s="1358"/>
      <c r="OQX519" s="1358"/>
      <c r="OQY519" s="1358"/>
      <c r="OQZ519" s="1358"/>
      <c r="ORA519" s="1358"/>
      <c r="ORB519" s="1358"/>
      <c r="ORC519" s="1358"/>
      <c r="ORD519" s="1358"/>
      <c r="ORE519" s="1358"/>
      <c r="ORF519" s="1358"/>
      <c r="ORG519" s="1358"/>
      <c r="ORH519" s="1358"/>
      <c r="ORI519" s="1358"/>
      <c r="ORJ519" s="1358"/>
      <c r="ORK519" s="1358"/>
      <c r="ORL519" s="1358"/>
      <c r="ORM519" s="1358"/>
      <c r="ORN519" s="1358"/>
      <c r="ORO519" s="1358"/>
      <c r="ORP519" s="1358"/>
      <c r="ORQ519" s="1358"/>
      <c r="ORR519" s="1358"/>
      <c r="ORS519" s="1358"/>
      <c r="ORT519" s="1358"/>
      <c r="ORU519" s="1358"/>
      <c r="ORV519" s="1358"/>
      <c r="ORW519" s="1358"/>
      <c r="ORX519" s="1358"/>
      <c r="ORY519" s="1358"/>
      <c r="ORZ519" s="1358"/>
      <c r="OSA519" s="1358"/>
      <c r="OSB519" s="1358"/>
      <c r="OSC519" s="1358"/>
      <c r="OSD519" s="1358"/>
      <c r="OSE519" s="1358"/>
      <c r="OSF519" s="1358"/>
      <c r="OSG519" s="1358"/>
      <c r="OSH519" s="1358"/>
      <c r="OSI519" s="1358"/>
      <c r="OSJ519" s="1358"/>
      <c r="OSK519" s="1358"/>
      <c r="OSL519" s="1358"/>
      <c r="OSM519" s="1358"/>
      <c r="OSN519" s="1358"/>
      <c r="OSO519" s="1358"/>
      <c r="OSP519" s="1358"/>
      <c r="OSQ519" s="1358"/>
      <c r="OSR519" s="1358"/>
      <c r="OSS519" s="1358"/>
      <c r="OST519" s="1358"/>
      <c r="OSU519" s="1358"/>
      <c r="OSV519" s="1358"/>
      <c r="OSW519" s="1358"/>
      <c r="OSX519" s="1358"/>
      <c r="OSY519" s="1358"/>
      <c r="OSZ519" s="1358"/>
      <c r="OTA519" s="1358"/>
      <c r="OTB519" s="1358"/>
      <c r="OTC519" s="1358"/>
      <c r="OTD519" s="1358"/>
      <c r="OTE519" s="1358"/>
      <c r="OTF519" s="1358"/>
      <c r="OTG519" s="1358"/>
      <c r="OTH519" s="1358"/>
      <c r="OTI519" s="1358"/>
      <c r="OTJ519" s="1358"/>
      <c r="OTK519" s="1358"/>
      <c r="OTL519" s="1358"/>
      <c r="OTM519" s="1358"/>
      <c r="OTN519" s="1358"/>
      <c r="OTO519" s="1358"/>
      <c r="OTP519" s="1358"/>
      <c r="OTQ519" s="1358"/>
      <c r="OTR519" s="1358"/>
      <c r="OTS519" s="1358"/>
      <c r="OTT519" s="1358"/>
      <c r="OTU519" s="1358"/>
      <c r="OTV519" s="1358"/>
      <c r="OTW519" s="1358"/>
      <c r="OTX519" s="1358"/>
      <c r="OTY519" s="1358"/>
      <c r="OTZ519" s="1358"/>
      <c r="OUA519" s="1358"/>
      <c r="OUB519" s="1358"/>
      <c r="OUC519" s="1358"/>
      <c r="OUD519" s="1358"/>
      <c r="OUE519" s="1358"/>
      <c r="OUF519" s="1358"/>
      <c r="OUG519" s="1358"/>
      <c r="OUH519" s="1358"/>
      <c r="OUI519" s="1358"/>
      <c r="OUJ519" s="1358"/>
      <c r="OUK519" s="1358"/>
      <c r="OUL519" s="1358"/>
      <c r="OUM519" s="1358"/>
      <c r="OUN519" s="1358"/>
      <c r="OUO519" s="1358"/>
      <c r="OUP519" s="1358"/>
      <c r="OUQ519" s="1358"/>
      <c r="OUR519" s="1358"/>
      <c r="OUS519" s="1358"/>
      <c r="OUT519" s="1358"/>
      <c r="OUU519" s="1358"/>
      <c r="OUV519" s="1358"/>
      <c r="OUW519" s="1358"/>
      <c r="OUX519" s="1358"/>
      <c r="OUY519" s="1358"/>
      <c r="OUZ519" s="1358"/>
      <c r="OVA519" s="1358"/>
      <c r="OVB519" s="1358"/>
      <c r="OVC519" s="1358"/>
      <c r="OVD519" s="1358"/>
      <c r="OVE519" s="1358"/>
      <c r="OVF519" s="1358"/>
      <c r="OVG519" s="1358"/>
      <c r="OVH519" s="1358"/>
      <c r="OVI519" s="1358"/>
      <c r="OVJ519" s="1358"/>
      <c r="OVK519" s="1358"/>
      <c r="OVL519" s="1358"/>
      <c r="OVM519" s="1358"/>
      <c r="OVN519" s="1358"/>
      <c r="OVO519" s="1358"/>
      <c r="OVP519" s="1358"/>
      <c r="OVQ519" s="1358"/>
      <c r="OVR519" s="1358"/>
      <c r="OVS519" s="1358"/>
      <c r="OVT519" s="1358"/>
      <c r="OVU519" s="1358"/>
      <c r="OVV519" s="1358"/>
      <c r="OVW519" s="1358"/>
      <c r="OVX519" s="1358"/>
      <c r="OVY519" s="1358"/>
      <c r="OVZ519" s="1358"/>
      <c r="OWA519" s="1358"/>
      <c r="OWB519" s="1358"/>
      <c r="OWC519" s="1358"/>
      <c r="OWD519" s="1358"/>
      <c r="OWE519" s="1358"/>
      <c r="OWF519" s="1358"/>
      <c r="OWG519" s="1358"/>
      <c r="OWH519" s="1358"/>
      <c r="OWI519" s="1358"/>
      <c r="OWJ519" s="1358"/>
      <c r="OWK519" s="1358"/>
      <c r="OWL519" s="1358"/>
      <c r="OWM519" s="1358"/>
      <c r="OWN519" s="1358"/>
      <c r="OWO519" s="1358"/>
      <c r="OWP519" s="1358"/>
      <c r="OWQ519" s="1358"/>
      <c r="OWR519" s="1358"/>
      <c r="OWS519" s="1358"/>
      <c r="OWT519" s="1358"/>
      <c r="OWU519" s="1358"/>
      <c r="OWV519" s="1358"/>
      <c r="OWW519" s="1358"/>
      <c r="OWX519" s="1358"/>
      <c r="OWY519" s="1358"/>
      <c r="OWZ519" s="1358"/>
      <c r="OXA519" s="1358"/>
      <c r="OXB519" s="1358"/>
      <c r="OXC519" s="1358"/>
      <c r="OXD519" s="1358"/>
      <c r="OXE519" s="1358"/>
      <c r="OXF519" s="1358"/>
      <c r="OXG519" s="1358"/>
      <c r="OXH519" s="1358"/>
      <c r="OXI519" s="1358"/>
      <c r="OXJ519" s="1358"/>
      <c r="OXK519" s="1358"/>
      <c r="OXL519" s="1358"/>
      <c r="OXM519" s="1358"/>
      <c r="OXN519" s="1358"/>
      <c r="OXO519" s="1358"/>
      <c r="OXP519" s="1358"/>
      <c r="OXQ519" s="1358"/>
      <c r="OXR519" s="1358"/>
      <c r="OXS519" s="1358"/>
      <c r="OXT519" s="1358"/>
      <c r="OXU519" s="1358"/>
      <c r="OXV519" s="1358"/>
      <c r="OXW519" s="1358"/>
      <c r="OXX519" s="1358"/>
      <c r="OXY519" s="1358"/>
      <c r="OXZ519" s="1358"/>
      <c r="OYA519" s="1358"/>
      <c r="OYB519" s="1358"/>
      <c r="OYC519" s="1358"/>
      <c r="OYD519" s="1358"/>
      <c r="OYE519" s="1358"/>
      <c r="OYF519" s="1358"/>
      <c r="OYG519" s="1358"/>
      <c r="OYH519" s="1358"/>
      <c r="OYI519" s="1358"/>
      <c r="OYJ519" s="1358"/>
      <c r="OYK519" s="1358"/>
      <c r="OYL519" s="1358"/>
      <c r="OYM519" s="1358"/>
      <c r="OYN519" s="1358"/>
      <c r="OYO519" s="1358"/>
      <c r="OYP519" s="1358"/>
      <c r="OYQ519" s="1358"/>
      <c r="OYR519" s="1358"/>
      <c r="OYS519" s="1358"/>
      <c r="OYT519" s="1358"/>
      <c r="OYU519" s="1358"/>
      <c r="OYV519" s="1358"/>
      <c r="OYW519" s="1358"/>
      <c r="OYX519" s="1358"/>
      <c r="OYY519" s="1358"/>
      <c r="OYZ519" s="1358"/>
      <c r="OZA519" s="1358"/>
      <c r="OZB519" s="1358"/>
      <c r="OZC519" s="1358"/>
      <c r="OZD519" s="1358"/>
      <c r="OZE519" s="1358"/>
      <c r="OZF519" s="1358"/>
      <c r="OZG519" s="1358"/>
      <c r="OZH519" s="1358"/>
      <c r="OZI519" s="1358"/>
      <c r="OZJ519" s="1358"/>
      <c r="OZK519" s="1358"/>
      <c r="OZL519" s="1358"/>
      <c r="OZM519" s="1358"/>
      <c r="OZN519" s="1358"/>
      <c r="OZO519" s="1358"/>
      <c r="OZP519" s="1358"/>
      <c r="OZQ519" s="1358"/>
      <c r="OZR519" s="1358"/>
      <c r="OZS519" s="1358"/>
      <c r="OZT519" s="1358"/>
      <c r="OZU519" s="1358"/>
      <c r="OZV519" s="1358"/>
      <c r="OZW519" s="1358"/>
      <c r="OZX519" s="1358"/>
      <c r="OZY519" s="1358"/>
      <c r="OZZ519" s="1358"/>
      <c r="PAA519" s="1358"/>
      <c r="PAB519" s="1358"/>
      <c r="PAC519" s="1358"/>
      <c r="PAD519" s="1358"/>
      <c r="PAE519" s="1358"/>
      <c r="PAF519" s="1358"/>
      <c r="PAG519" s="1358"/>
      <c r="PAH519" s="1358"/>
      <c r="PAI519" s="1358"/>
      <c r="PAJ519" s="1358"/>
      <c r="PAK519" s="1358"/>
      <c r="PAL519" s="1358"/>
      <c r="PAM519" s="1358"/>
      <c r="PAN519" s="1358"/>
      <c r="PAO519" s="1358"/>
      <c r="PAP519" s="1358"/>
      <c r="PAQ519" s="1358"/>
      <c r="PAR519" s="1358"/>
      <c r="PAS519" s="1358"/>
      <c r="PAT519" s="1358"/>
      <c r="PAU519" s="1358"/>
      <c r="PAV519" s="1358"/>
      <c r="PAW519" s="1358"/>
      <c r="PAX519" s="1358"/>
      <c r="PAY519" s="1358"/>
      <c r="PAZ519" s="1358"/>
      <c r="PBA519" s="1358"/>
      <c r="PBB519" s="1358"/>
      <c r="PBC519" s="1358"/>
      <c r="PBD519" s="1358"/>
      <c r="PBE519" s="1358"/>
      <c r="PBF519" s="1358"/>
      <c r="PBG519" s="1358"/>
      <c r="PBH519" s="1358"/>
      <c r="PBI519" s="1358"/>
      <c r="PBJ519" s="1358"/>
      <c r="PBK519" s="1358"/>
      <c r="PBL519" s="1358"/>
      <c r="PBM519" s="1358"/>
      <c r="PBN519" s="1358"/>
      <c r="PBO519" s="1358"/>
      <c r="PBP519" s="1358"/>
      <c r="PBQ519" s="1358"/>
      <c r="PBR519" s="1358"/>
      <c r="PBS519" s="1358"/>
      <c r="PBT519" s="1358"/>
      <c r="PBU519" s="1358"/>
      <c r="PBV519" s="1358"/>
      <c r="PBW519" s="1358"/>
      <c r="PBX519" s="1358"/>
      <c r="PBY519" s="1358"/>
      <c r="PBZ519" s="1358"/>
      <c r="PCA519" s="1358"/>
      <c r="PCB519" s="1358"/>
      <c r="PCC519" s="1358"/>
      <c r="PCD519" s="1358"/>
      <c r="PCE519" s="1358"/>
      <c r="PCF519" s="1358"/>
      <c r="PCG519" s="1358"/>
      <c r="PCH519" s="1358"/>
      <c r="PCI519" s="1358"/>
      <c r="PCJ519" s="1358"/>
      <c r="PCK519" s="1358"/>
      <c r="PCL519" s="1358"/>
      <c r="PCM519" s="1358"/>
      <c r="PCN519" s="1358"/>
      <c r="PCO519" s="1358"/>
      <c r="PCP519" s="1358"/>
      <c r="PCQ519" s="1358"/>
      <c r="PCR519" s="1358"/>
      <c r="PCS519" s="1358"/>
      <c r="PCT519" s="1358"/>
      <c r="PCU519" s="1358"/>
      <c r="PCV519" s="1358"/>
      <c r="PCW519" s="1358"/>
      <c r="PCX519" s="1358"/>
      <c r="PCY519" s="1358"/>
      <c r="PCZ519" s="1358"/>
      <c r="PDA519" s="1358"/>
      <c r="PDB519" s="1358"/>
      <c r="PDC519" s="1358"/>
      <c r="PDD519" s="1358"/>
      <c r="PDE519" s="1358"/>
      <c r="PDF519" s="1358"/>
      <c r="PDG519" s="1358"/>
      <c r="PDH519" s="1358"/>
      <c r="PDI519" s="1358"/>
      <c r="PDJ519" s="1358"/>
      <c r="PDK519" s="1358"/>
      <c r="PDL519" s="1358"/>
      <c r="PDM519" s="1358"/>
      <c r="PDN519" s="1358"/>
      <c r="PDO519" s="1358"/>
      <c r="PDP519" s="1358"/>
      <c r="PDQ519" s="1358"/>
      <c r="PDR519" s="1358"/>
      <c r="PDS519" s="1358"/>
      <c r="PDT519" s="1358"/>
      <c r="PDU519" s="1358"/>
      <c r="PDV519" s="1358"/>
      <c r="PDW519" s="1358"/>
      <c r="PDX519" s="1358"/>
      <c r="PDY519" s="1358"/>
      <c r="PDZ519" s="1358"/>
      <c r="PEA519" s="1358"/>
      <c r="PEB519" s="1358"/>
      <c r="PEC519" s="1358"/>
      <c r="PED519" s="1358"/>
      <c r="PEE519" s="1358"/>
      <c r="PEF519" s="1358"/>
      <c r="PEG519" s="1358"/>
      <c r="PEH519" s="1358"/>
      <c r="PEI519" s="1358"/>
      <c r="PEJ519" s="1358"/>
      <c r="PEK519" s="1358"/>
      <c r="PEL519" s="1358"/>
      <c r="PEM519" s="1358"/>
      <c r="PEN519" s="1358"/>
      <c r="PEO519" s="1358"/>
      <c r="PEP519" s="1358"/>
      <c r="PEQ519" s="1358"/>
      <c r="PER519" s="1358"/>
      <c r="PES519" s="1358"/>
      <c r="PET519" s="1358"/>
      <c r="PEU519" s="1358"/>
      <c r="PEV519" s="1358"/>
      <c r="PEW519" s="1358"/>
      <c r="PEX519" s="1358"/>
      <c r="PEY519" s="1358"/>
      <c r="PEZ519" s="1358"/>
      <c r="PFA519" s="1358"/>
      <c r="PFB519" s="1358"/>
      <c r="PFC519" s="1358"/>
      <c r="PFD519" s="1358"/>
      <c r="PFE519" s="1358"/>
      <c r="PFF519" s="1358"/>
      <c r="PFG519" s="1358"/>
      <c r="PFH519" s="1358"/>
      <c r="PFI519" s="1358"/>
      <c r="PFJ519" s="1358"/>
      <c r="PFK519" s="1358"/>
      <c r="PFL519" s="1358"/>
      <c r="PFM519" s="1358"/>
      <c r="PFN519" s="1358"/>
      <c r="PFO519" s="1358"/>
      <c r="PFP519" s="1358"/>
      <c r="PFQ519" s="1358"/>
      <c r="PFR519" s="1358"/>
      <c r="PFS519" s="1358"/>
      <c r="PFT519" s="1358"/>
      <c r="PFU519" s="1358"/>
      <c r="PFV519" s="1358"/>
      <c r="PFW519" s="1358"/>
      <c r="PFX519" s="1358"/>
      <c r="PFY519" s="1358"/>
      <c r="PFZ519" s="1358"/>
      <c r="PGA519" s="1358"/>
      <c r="PGB519" s="1358"/>
      <c r="PGC519" s="1358"/>
      <c r="PGD519" s="1358"/>
      <c r="PGE519" s="1358"/>
      <c r="PGF519" s="1358"/>
      <c r="PGG519" s="1358"/>
      <c r="PGH519" s="1358"/>
      <c r="PGI519" s="1358"/>
      <c r="PGJ519" s="1358"/>
      <c r="PGK519" s="1358"/>
      <c r="PGL519" s="1358"/>
      <c r="PGM519" s="1358"/>
      <c r="PGN519" s="1358"/>
      <c r="PGO519" s="1358"/>
      <c r="PGP519" s="1358"/>
      <c r="PGQ519" s="1358"/>
      <c r="PGR519" s="1358"/>
      <c r="PGS519" s="1358"/>
      <c r="PGT519" s="1358"/>
      <c r="PGU519" s="1358"/>
      <c r="PGV519" s="1358"/>
      <c r="PGW519" s="1358"/>
      <c r="PGX519" s="1358"/>
      <c r="PGY519" s="1358"/>
      <c r="PGZ519" s="1358"/>
      <c r="PHA519" s="1358"/>
      <c r="PHB519" s="1358"/>
      <c r="PHC519" s="1358"/>
      <c r="PHD519" s="1358"/>
      <c r="PHE519" s="1358"/>
      <c r="PHF519" s="1358"/>
      <c r="PHG519" s="1358"/>
      <c r="PHH519" s="1358"/>
      <c r="PHI519" s="1358"/>
      <c r="PHJ519" s="1358"/>
      <c r="PHK519" s="1358"/>
      <c r="PHL519" s="1358"/>
      <c r="PHM519" s="1358"/>
      <c r="PHN519" s="1358"/>
      <c r="PHO519" s="1358"/>
      <c r="PHP519" s="1358"/>
      <c r="PHQ519" s="1358"/>
      <c r="PHR519" s="1358"/>
      <c r="PHS519" s="1358"/>
      <c r="PHT519" s="1358"/>
      <c r="PHU519" s="1358"/>
      <c r="PHV519" s="1358"/>
      <c r="PHW519" s="1358"/>
      <c r="PHX519" s="1358"/>
      <c r="PHY519" s="1358"/>
      <c r="PHZ519" s="1358"/>
      <c r="PIA519" s="1358"/>
      <c r="PIB519" s="1358"/>
      <c r="PIC519" s="1358"/>
      <c r="PID519" s="1358"/>
      <c r="PIE519" s="1358"/>
      <c r="PIF519" s="1358"/>
      <c r="PIG519" s="1358"/>
      <c r="PIH519" s="1358"/>
      <c r="PII519" s="1358"/>
      <c r="PIJ519" s="1358"/>
      <c r="PIK519" s="1358"/>
      <c r="PIL519" s="1358"/>
      <c r="PIM519" s="1358"/>
      <c r="PIN519" s="1358"/>
      <c r="PIO519" s="1358"/>
      <c r="PIP519" s="1358"/>
      <c r="PIQ519" s="1358"/>
      <c r="PIR519" s="1358"/>
      <c r="PIS519" s="1358"/>
      <c r="PIT519" s="1358"/>
      <c r="PIU519" s="1358"/>
      <c r="PIV519" s="1358"/>
      <c r="PIW519" s="1358"/>
      <c r="PIX519" s="1358"/>
      <c r="PIY519" s="1358"/>
      <c r="PIZ519" s="1358"/>
      <c r="PJA519" s="1358"/>
      <c r="PJB519" s="1358"/>
      <c r="PJC519" s="1358"/>
      <c r="PJD519" s="1358"/>
      <c r="PJE519" s="1358"/>
      <c r="PJF519" s="1358"/>
      <c r="PJG519" s="1358"/>
      <c r="PJH519" s="1358"/>
      <c r="PJI519" s="1358"/>
      <c r="PJJ519" s="1358"/>
      <c r="PJK519" s="1358"/>
      <c r="PJL519" s="1358"/>
      <c r="PJM519" s="1358"/>
      <c r="PJN519" s="1358"/>
      <c r="PJO519" s="1358"/>
      <c r="PJP519" s="1358"/>
      <c r="PJQ519" s="1358"/>
      <c r="PJR519" s="1358"/>
      <c r="PJS519" s="1358"/>
      <c r="PJT519" s="1358"/>
      <c r="PJU519" s="1358"/>
      <c r="PJV519" s="1358"/>
      <c r="PJW519" s="1358"/>
      <c r="PJX519" s="1358"/>
      <c r="PJY519" s="1358"/>
      <c r="PJZ519" s="1358"/>
      <c r="PKA519" s="1358"/>
      <c r="PKB519" s="1358"/>
      <c r="PKC519" s="1358"/>
      <c r="PKD519" s="1358"/>
      <c r="PKE519" s="1358"/>
      <c r="PKF519" s="1358"/>
      <c r="PKG519" s="1358"/>
      <c r="PKH519" s="1358"/>
      <c r="PKI519" s="1358"/>
      <c r="PKJ519" s="1358"/>
      <c r="PKK519" s="1358"/>
      <c r="PKL519" s="1358"/>
      <c r="PKM519" s="1358"/>
      <c r="PKN519" s="1358"/>
      <c r="PKO519" s="1358"/>
      <c r="PKP519" s="1358"/>
      <c r="PKQ519" s="1358"/>
      <c r="PKR519" s="1358"/>
      <c r="PKS519" s="1358"/>
      <c r="PKT519" s="1358"/>
      <c r="PKU519" s="1358"/>
      <c r="PKV519" s="1358"/>
      <c r="PKW519" s="1358"/>
      <c r="PKX519" s="1358"/>
      <c r="PKY519" s="1358"/>
      <c r="PKZ519" s="1358"/>
      <c r="PLA519" s="1358"/>
      <c r="PLB519" s="1358"/>
      <c r="PLC519" s="1358"/>
      <c r="PLD519" s="1358"/>
      <c r="PLE519" s="1358"/>
      <c r="PLF519" s="1358"/>
      <c r="PLG519" s="1358"/>
      <c r="PLH519" s="1358"/>
      <c r="PLI519" s="1358"/>
      <c r="PLJ519" s="1358"/>
      <c r="PLK519" s="1358"/>
      <c r="PLL519" s="1358"/>
      <c r="PLM519" s="1358"/>
      <c r="PLN519" s="1358"/>
      <c r="PLO519" s="1358"/>
      <c r="PLP519" s="1358"/>
      <c r="PLQ519" s="1358"/>
      <c r="PLR519" s="1358"/>
      <c r="PLS519" s="1358"/>
      <c r="PLT519" s="1358"/>
      <c r="PLU519" s="1358"/>
      <c r="PLV519" s="1358"/>
      <c r="PLW519" s="1358"/>
      <c r="PLX519" s="1358"/>
      <c r="PLY519" s="1358"/>
      <c r="PLZ519" s="1358"/>
      <c r="PMA519" s="1358"/>
      <c r="PMB519" s="1358"/>
      <c r="PMC519" s="1358"/>
      <c r="PMD519" s="1358"/>
      <c r="PME519" s="1358"/>
      <c r="PMF519" s="1358"/>
      <c r="PMG519" s="1358"/>
      <c r="PMH519" s="1358"/>
      <c r="PMI519" s="1358"/>
      <c r="PMJ519" s="1358"/>
      <c r="PMK519" s="1358"/>
      <c r="PML519" s="1358"/>
      <c r="PMM519" s="1358"/>
      <c r="PMN519" s="1358"/>
      <c r="PMO519" s="1358"/>
      <c r="PMP519" s="1358"/>
      <c r="PMQ519" s="1358"/>
      <c r="PMR519" s="1358"/>
      <c r="PMS519" s="1358"/>
      <c r="PMT519" s="1358"/>
      <c r="PMU519" s="1358"/>
      <c r="PMV519" s="1358"/>
      <c r="PMW519" s="1358"/>
      <c r="PMX519" s="1358"/>
      <c r="PMY519" s="1358"/>
      <c r="PMZ519" s="1358"/>
      <c r="PNA519" s="1358"/>
      <c r="PNB519" s="1358"/>
      <c r="PNC519" s="1358"/>
      <c r="PND519" s="1358"/>
      <c r="PNE519" s="1358"/>
      <c r="PNF519" s="1358"/>
      <c r="PNG519" s="1358"/>
      <c r="PNH519" s="1358"/>
      <c r="PNI519" s="1358"/>
      <c r="PNJ519" s="1358"/>
      <c r="PNK519" s="1358"/>
      <c r="PNL519" s="1358"/>
      <c r="PNM519" s="1358"/>
      <c r="PNN519" s="1358"/>
      <c r="PNO519" s="1358"/>
      <c r="PNP519" s="1358"/>
      <c r="PNQ519" s="1358"/>
      <c r="PNR519" s="1358"/>
      <c r="PNS519" s="1358"/>
      <c r="PNT519" s="1358"/>
      <c r="PNU519" s="1358"/>
      <c r="PNV519" s="1358"/>
      <c r="PNW519" s="1358"/>
      <c r="PNX519" s="1358"/>
      <c r="PNY519" s="1358"/>
      <c r="PNZ519" s="1358"/>
      <c r="POA519" s="1358"/>
      <c r="POB519" s="1358"/>
      <c r="POC519" s="1358"/>
      <c r="POD519" s="1358"/>
      <c r="POE519" s="1358"/>
      <c r="POF519" s="1358"/>
      <c r="POG519" s="1358"/>
      <c r="POH519" s="1358"/>
      <c r="POI519" s="1358"/>
      <c r="POJ519" s="1358"/>
      <c r="POK519" s="1358"/>
      <c r="POL519" s="1358"/>
      <c r="POM519" s="1358"/>
      <c r="PON519" s="1358"/>
      <c r="POO519" s="1358"/>
      <c r="POP519" s="1358"/>
      <c r="POQ519" s="1358"/>
      <c r="POR519" s="1358"/>
      <c r="POS519" s="1358"/>
      <c r="POT519" s="1358"/>
      <c r="POU519" s="1358"/>
      <c r="POV519" s="1358"/>
      <c r="POW519" s="1358"/>
      <c r="POX519" s="1358"/>
      <c r="POY519" s="1358"/>
      <c r="POZ519" s="1358"/>
      <c r="PPA519" s="1358"/>
      <c r="PPB519" s="1358"/>
      <c r="PPC519" s="1358"/>
      <c r="PPD519" s="1358"/>
      <c r="PPE519" s="1358"/>
      <c r="PPF519" s="1358"/>
      <c r="PPG519" s="1358"/>
      <c r="PPH519" s="1358"/>
      <c r="PPI519" s="1358"/>
      <c r="PPJ519" s="1358"/>
      <c r="PPK519" s="1358"/>
      <c r="PPL519" s="1358"/>
      <c r="PPM519" s="1358"/>
      <c r="PPN519" s="1358"/>
      <c r="PPO519" s="1358"/>
      <c r="PPP519" s="1358"/>
      <c r="PPQ519" s="1358"/>
      <c r="PPR519" s="1358"/>
      <c r="PPS519" s="1358"/>
      <c r="PPT519" s="1358"/>
      <c r="PPU519" s="1358"/>
      <c r="PPV519" s="1358"/>
      <c r="PPW519" s="1358"/>
      <c r="PPX519" s="1358"/>
      <c r="PPY519" s="1358"/>
      <c r="PPZ519" s="1358"/>
      <c r="PQA519" s="1358"/>
      <c r="PQB519" s="1358"/>
      <c r="PQC519" s="1358"/>
      <c r="PQD519" s="1358"/>
      <c r="PQE519" s="1358"/>
      <c r="PQF519" s="1358"/>
      <c r="PQG519" s="1358"/>
      <c r="PQH519" s="1358"/>
      <c r="PQI519" s="1358"/>
      <c r="PQJ519" s="1358"/>
      <c r="PQK519" s="1358"/>
      <c r="PQL519" s="1358"/>
      <c r="PQM519" s="1358"/>
      <c r="PQN519" s="1358"/>
      <c r="PQO519" s="1358"/>
      <c r="PQP519" s="1358"/>
      <c r="PQQ519" s="1358"/>
      <c r="PQR519" s="1358"/>
      <c r="PQS519" s="1358"/>
      <c r="PQT519" s="1358"/>
      <c r="PQU519" s="1358"/>
      <c r="PQV519" s="1358"/>
      <c r="PQW519" s="1358"/>
      <c r="PQX519" s="1358"/>
      <c r="PQY519" s="1358"/>
      <c r="PQZ519" s="1358"/>
      <c r="PRA519" s="1358"/>
      <c r="PRB519" s="1358"/>
      <c r="PRC519" s="1358"/>
      <c r="PRD519" s="1358"/>
      <c r="PRE519" s="1358"/>
      <c r="PRF519" s="1358"/>
      <c r="PRG519" s="1358"/>
      <c r="PRH519" s="1358"/>
      <c r="PRI519" s="1358"/>
      <c r="PRJ519" s="1358"/>
      <c r="PRK519" s="1358"/>
      <c r="PRL519" s="1358"/>
      <c r="PRM519" s="1358"/>
      <c r="PRN519" s="1358"/>
      <c r="PRO519" s="1358"/>
      <c r="PRP519" s="1358"/>
      <c r="PRQ519" s="1358"/>
      <c r="PRR519" s="1358"/>
      <c r="PRS519" s="1358"/>
      <c r="PRT519" s="1358"/>
      <c r="PRU519" s="1358"/>
      <c r="PRV519" s="1358"/>
      <c r="PRW519" s="1358"/>
      <c r="PRX519" s="1358"/>
      <c r="PRY519" s="1358"/>
      <c r="PRZ519" s="1358"/>
      <c r="PSA519" s="1358"/>
      <c r="PSB519" s="1358"/>
      <c r="PSC519" s="1358"/>
      <c r="PSD519" s="1358"/>
      <c r="PSE519" s="1358"/>
      <c r="PSF519" s="1358"/>
      <c r="PSG519" s="1358"/>
      <c r="PSH519" s="1358"/>
      <c r="PSI519" s="1358"/>
      <c r="PSJ519" s="1358"/>
      <c r="PSK519" s="1358"/>
      <c r="PSL519" s="1358"/>
      <c r="PSM519" s="1358"/>
      <c r="PSN519" s="1358"/>
      <c r="PSO519" s="1358"/>
      <c r="PSP519" s="1358"/>
      <c r="PSQ519" s="1358"/>
      <c r="PSR519" s="1358"/>
      <c r="PSS519" s="1358"/>
      <c r="PST519" s="1358"/>
      <c r="PSU519" s="1358"/>
      <c r="PSV519" s="1358"/>
      <c r="PSW519" s="1358"/>
      <c r="PSX519" s="1358"/>
      <c r="PSY519" s="1358"/>
      <c r="PSZ519" s="1358"/>
      <c r="PTA519" s="1358"/>
      <c r="PTB519" s="1358"/>
      <c r="PTC519" s="1358"/>
      <c r="PTD519" s="1358"/>
      <c r="PTE519" s="1358"/>
      <c r="PTF519" s="1358"/>
      <c r="PTG519" s="1358"/>
      <c r="PTH519" s="1358"/>
      <c r="PTI519" s="1358"/>
      <c r="PTJ519" s="1358"/>
      <c r="PTK519" s="1358"/>
      <c r="PTL519" s="1358"/>
      <c r="PTM519" s="1358"/>
      <c r="PTN519" s="1358"/>
      <c r="PTO519" s="1358"/>
      <c r="PTP519" s="1358"/>
      <c r="PTQ519" s="1358"/>
      <c r="PTR519" s="1358"/>
      <c r="PTS519" s="1358"/>
      <c r="PTT519" s="1358"/>
      <c r="PTU519" s="1358"/>
      <c r="PTV519" s="1358"/>
      <c r="PTW519" s="1358"/>
      <c r="PTX519" s="1358"/>
      <c r="PTY519" s="1358"/>
      <c r="PTZ519" s="1358"/>
      <c r="PUA519" s="1358"/>
      <c r="PUB519" s="1358"/>
      <c r="PUC519" s="1358"/>
      <c r="PUD519" s="1358"/>
      <c r="PUE519" s="1358"/>
      <c r="PUF519" s="1358"/>
      <c r="PUG519" s="1358"/>
      <c r="PUH519" s="1358"/>
      <c r="PUI519" s="1358"/>
      <c r="PUJ519" s="1358"/>
      <c r="PUK519" s="1358"/>
      <c r="PUL519" s="1358"/>
      <c r="PUM519" s="1358"/>
      <c r="PUN519" s="1358"/>
      <c r="PUO519" s="1358"/>
      <c r="PUP519" s="1358"/>
      <c r="PUQ519" s="1358"/>
      <c r="PUR519" s="1358"/>
      <c r="PUS519" s="1358"/>
      <c r="PUT519" s="1358"/>
      <c r="PUU519" s="1358"/>
      <c r="PUV519" s="1358"/>
      <c r="PUW519" s="1358"/>
      <c r="PUX519" s="1358"/>
      <c r="PUY519" s="1358"/>
      <c r="PUZ519" s="1358"/>
      <c r="PVA519" s="1358"/>
      <c r="PVB519" s="1358"/>
      <c r="PVC519" s="1358"/>
      <c r="PVD519" s="1358"/>
      <c r="PVE519" s="1358"/>
      <c r="PVF519" s="1358"/>
      <c r="PVG519" s="1358"/>
      <c r="PVH519" s="1358"/>
      <c r="PVI519" s="1358"/>
      <c r="PVJ519" s="1358"/>
      <c r="PVK519" s="1358"/>
      <c r="PVL519" s="1358"/>
      <c r="PVM519" s="1358"/>
      <c r="PVN519" s="1358"/>
      <c r="PVO519" s="1358"/>
      <c r="PVP519" s="1358"/>
      <c r="PVQ519" s="1358"/>
      <c r="PVR519" s="1358"/>
      <c r="PVS519" s="1358"/>
      <c r="PVT519" s="1358"/>
      <c r="PVU519" s="1358"/>
      <c r="PVV519" s="1358"/>
      <c r="PVW519" s="1358"/>
      <c r="PVX519" s="1358"/>
      <c r="PVY519" s="1358"/>
      <c r="PVZ519" s="1358"/>
      <c r="PWA519" s="1358"/>
      <c r="PWB519" s="1358"/>
      <c r="PWC519" s="1358"/>
      <c r="PWD519" s="1358"/>
      <c r="PWE519" s="1358"/>
      <c r="PWF519" s="1358"/>
      <c r="PWG519" s="1358"/>
      <c r="PWH519" s="1358"/>
      <c r="PWI519" s="1358"/>
      <c r="PWJ519" s="1358"/>
      <c r="PWK519" s="1358"/>
      <c r="PWL519" s="1358"/>
      <c r="PWM519" s="1358"/>
      <c r="PWN519" s="1358"/>
      <c r="PWO519" s="1358"/>
      <c r="PWP519" s="1358"/>
      <c r="PWQ519" s="1358"/>
      <c r="PWR519" s="1358"/>
      <c r="PWS519" s="1358"/>
      <c r="PWT519" s="1358"/>
      <c r="PWU519" s="1358"/>
      <c r="PWV519" s="1358"/>
      <c r="PWW519" s="1358"/>
      <c r="PWX519" s="1358"/>
      <c r="PWY519" s="1358"/>
      <c r="PWZ519" s="1358"/>
      <c r="PXA519" s="1358"/>
      <c r="PXB519" s="1358"/>
      <c r="PXC519" s="1358"/>
      <c r="PXD519" s="1358"/>
      <c r="PXE519" s="1358"/>
      <c r="PXF519" s="1358"/>
      <c r="PXG519" s="1358"/>
      <c r="PXH519" s="1358"/>
      <c r="PXI519" s="1358"/>
      <c r="PXJ519" s="1358"/>
      <c r="PXK519" s="1358"/>
      <c r="PXL519" s="1358"/>
      <c r="PXM519" s="1358"/>
      <c r="PXN519" s="1358"/>
      <c r="PXO519" s="1358"/>
      <c r="PXP519" s="1358"/>
      <c r="PXQ519" s="1358"/>
      <c r="PXR519" s="1358"/>
      <c r="PXS519" s="1358"/>
      <c r="PXT519" s="1358"/>
      <c r="PXU519" s="1358"/>
      <c r="PXV519" s="1358"/>
      <c r="PXW519" s="1358"/>
      <c r="PXX519" s="1358"/>
      <c r="PXY519" s="1358"/>
      <c r="PXZ519" s="1358"/>
      <c r="PYA519" s="1358"/>
      <c r="PYB519" s="1358"/>
      <c r="PYC519" s="1358"/>
      <c r="PYD519" s="1358"/>
      <c r="PYE519" s="1358"/>
      <c r="PYF519" s="1358"/>
      <c r="PYG519" s="1358"/>
      <c r="PYH519" s="1358"/>
      <c r="PYI519" s="1358"/>
      <c r="PYJ519" s="1358"/>
      <c r="PYK519" s="1358"/>
      <c r="PYL519" s="1358"/>
      <c r="PYM519" s="1358"/>
      <c r="PYN519" s="1358"/>
      <c r="PYO519" s="1358"/>
      <c r="PYP519" s="1358"/>
      <c r="PYQ519" s="1358"/>
      <c r="PYR519" s="1358"/>
      <c r="PYS519" s="1358"/>
      <c r="PYT519" s="1358"/>
      <c r="PYU519" s="1358"/>
      <c r="PYV519" s="1358"/>
      <c r="PYW519" s="1358"/>
      <c r="PYX519" s="1358"/>
      <c r="PYY519" s="1358"/>
      <c r="PYZ519" s="1358"/>
      <c r="PZA519" s="1358"/>
      <c r="PZB519" s="1358"/>
      <c r="PZC519" s="1358"/>
      <c r="PZD519" s="1358"/>
      <c r="PZE519" s="1358"/>
      <c r="PZF519" s="1358"/>
      <c r="PZG519" s="1358"/>
      <c r="PZH519" s="1358"/>
      <c r="PZI519" s="1358"/>
      <c r="PZJ519" s="1358"/>
      <c r="PZK519" s="1358"/>
      <c r="PZL519" s="1358"/>
      <c r="PZM519" s="1358"/>
      <c r="PZN519" s="1358"/>
      <c r="PZO519" s="1358"/>
      <c r="PZP519" s="1358"/>
      <c r="PZQ519" s="1358"/>
      <c r="PZR519" s="1358"/>
      <c r="PZS519" s="1358"/>
      <c r="PZT519" s="1358"/>
      <c r="PZU519" s="1358"/>
      <c r="PZV519" s="1358"/>
      <c r="PZW519" s="1358"/>
      <c r="PZX519" s="1358"/>
      <c r="PZY519" s="1358"/>
      <c r="PZZ519" s="1358"/>
      <c r="QAA519" s="1358"/>
      <c r="QAB519" s="1358"/>
      <c r="QAC519" s="1358"/>
      <c r="QAD519" s="1358"/>
      <c r="QAE519" s="1358"/>
      <c r="QAF519" s="1358"/>
      <c r="QAG519" s="1358"/>
      <c r="QAH519" s="1358"/>
      <c r="QAI519" s="1358"/>
      <c r="QAJ519" s="1358"/>
      <c r="QAK519" s="1358"/>
      <c r="QAL519" s="1358"/>
      <c r="QAM519" s="1358"/>
      <c r="QAN519" s="1358"/>
      <c r="QAO519" s="1358"/>
      <c r="QAP519" s="1358"/>
      <c r="QAQ519" s="1358"/>
      <c r="QAR519" s="1358"/>
      <c r="QAS519" s="1358"/>
      <c r="QAT519" s="1358"/>
      <c r="QAU519" s="1358"/>
      <c r="QAV519" s="1358"/>
      <c r="QAW519" s="1358"/>
      <c r="QAX519" s="1358"/>
      <c r="QAY519" s="1358"/>
      <c r="QAZ519" s="1358"/>
      <c r="QBA519" s="1358"/>
      <c r="QBB519" s="1358"/>
      <c r="QBC519" s="1358"/>
      <c r="QBD519" s="1358"/>
      <c r="QBE519" s="1358"/>
      <c r="QBF519" s="1358"/>
      <c r="QBG519" s="1358"/>
      <c r="QBH519" s="1358"/>
      <c r="QBI519" s="1358"/>
      <c r="QBJ519" s="1358"/>
      <c r="QBK519" s="1358"/>
      <c r="QBL519" s="1358"/>
      <c r="QBM519" s="1358"/>
      <c r="QBN519" s="1358"/>
      <c r="QBO519" s="1358"/>
      <c r="QBP519" s="1358"/>
      <c r="QBQ519" s="1358"/>
      <c r="QBR519" s="1358"/>
      <c r="QBS519" s="1358"/>
      <c r="QBT519" s="1358"/>
      <c r="QBU519" s="1358"/>
      <c r="QBV519" s="1358"/>
      <c r="QBW519" s="1358"/>
      <c r="QBX519" s="1358"/>
      <c r="QBY519" s="1358"/>
      <c r="QBZ519" s="1358"/>
      <c r="QCA519" s="1358"/>
      <c r="QCB519" s="1358"/>
      <c r="QCC519" s="1358"/>
      <c r="QCD519" s="1358"/>
      <c r="QCE519" s="1358"/>
      <c r="QCF519" s="1358"/>
      <c r="QCG519" s="1358"/>
      <c r="QCH519" s="1358"/>
      <c r="QCI519" s="1358"/>
      <c r="QCJ519" s="1358"/>
      <c r="QCK519" s="1358"/>
      <c r="QCL519" s="1358"/>
      <c r="QCM519" s="1358"/>
      <c r="QCN519" s="1358"/>
      <c r="QCO519" s="1358"/>
      <c r="QCP519" s="1358"/>
      <c r="QCQ519" s="1358"/>
      <c r="QCR519" s="1358"/>
      <c r="QCS519" s="1358"/>
      <c r="QCT519" s="1358"/>
      <c r="QCU519" s="1358"/>
      <c r="QCV519" s="1358"/>
      <c r="QCW519" s="1358"/>
      <c r="QCX519" s="1358"/>
      <c r="QCY519" s="1358"/>
      <c r="QCZ519" s="1358"/>
      <c r="QDA519" s="1358"/>
      <c r="QDB519" s="1358"/>
      <c r="QDC519" s="1358"/>
      <c r="QDD519" s="1358"/>
      <c r="QDE519" s="1358"/>
      <c r="QDF519" s="1358"/>
      <c r="QDG519" s="1358"/>
      <c r="QDH519" s="1358"/>
      <c r="QDI519" s="1358"/>
      <c r="QDJ519" s="1358"/>
      <c r="QDK519" s="1358"/>
      <c r="QDL519" s="1358"/>
      <c r="QDM519" s="1358"/>
      <c r="QDN519" s="1358"/>
      <c r="QDO519" s="1358"/>
      <c r="QDP519" s="1358"/>
      <c r="QDQ519" s="1358"/>
      <c r="QDR519" s="1358"/>
      <c r="QDS519" s="1358"/>
      <c r="QDT519" s="1358"/>
      <c r="QDU519" s="1358"/>
      <c r="QDV519" s="1358"/>
      <c r="QDW519" s="1358"/>
      <c r="QDX519" s="1358"/>
      <c r="QDY519" s="1358"/>
      <c r="QDZ519" s="1358"/>
      <c r="QEA519" s="1358"/>
      <c r="QEB519" s="1358"/>
      <c r="QEC519" s="1358"/>
      <c r="QED519" s="1358"/>
      <c r="QEE519" s="1358"/>
      <c r="QEF519" s="1358"/>
      <c r="QEG519" s="1358"/>
      <c r="QEH519" s="1358"/>
      <c r="QEI519" s="1358"/>
      <c r="QEJ519" s="1358"/>
      <c r="QEK519" s="1358"/>
      <c r="QEL519" s="1358"/>
      <c r="QEM519" s="1358"/>
      <c r="QEN519" s="1358"/>
      <c r="QEO519" s="1358"/>
      <c r="QEP519" s="1358"/>
      <c r="QEQ519" s="1358"/>
      <c r="QER519" s="1358"/>
      <c r="QES519" s="1358"/>
      <c r="QET519" s="1358"/>
      <c r="QEU519" s="1358"/>
      <c r="QEV519" s="1358"/>
      <c r="QEW519" s="1358"/>
      <c r="QEX519" s="1358"/>
      <c r="QEY519" s="1358"/>
      <c r="QEZ519" s="1358"/>
      <c r="QFA519" s="1358"/>
      <c r="QFB519" s="1358"/>
      <c r="QFC519" s="1358"/>
      <c r="QFD519" s="1358"/>
      <c r="QFE519" s="1358"/>
      <c r="QFF519" s="1358"/>
      <c r="QFG519" s="1358"/>
      <c r="QFH519" s="1358"/>
      <c r="QFI519" s="1358"/>
      <c r="QFJ519" s="1358"/>
      <c r="QFK519" s="1358"/>
      <c r="QFL519" s="1358"/>
      <c r="QFM519" s="1358"/>
      <c r="QFN519" s="1358"/>
      <c r="QFO519" s="1358"/>
      <c r="QFP519" s="1358"/>
      <c r="QFQ519" s="1358"/>
      <c r="QFR519" s="1358"/>
      <c r="QFS519" s="1358"/>
      <c r="QFT519" s="1358"/>
      <c r="QFU519" s="1358"/>
      <c r="QFV519" s="1358"/>
      <c r="QFW519" s="1358"/>
      <c r="QFX519" s="1358"/>
      <c r="QFY519" s="1358"/>
      <c r="QFZ519" s="1358"/>
      <c r="QGA519" s="1358"/>
      <c r="QGB519" s="1358"/>
      <c r="QGC519" s="1358"/>
      <c r="QGD519" s="1358"/>
      <c r="QGE519" s="1358"/>
      <c r="QGF519" s="1358"/>
      <c r="QGG519" s="1358"/>
      <c r="QGH519" s="1358"/>
      <c r="QGI519" s="1358"/>
      <c r="QGJ519" s="1358"/>
      <c r="QGK519" s="1358"/>
      <c r="QGL519" s="1358"/>
      <c r="QGM519" s="1358"/>
      <c r="QGN519" s="1358"/>
      <c r="QGO519" s="1358"/>
      <c r="QGP519" s="1358"/>
      <c r="QGQ519" s="1358"/>
      <c r="QGR519" s="1358"/>
      <c r="QGS519" s="1358"/>
      <c r="QGT519" s="1358"/>
      <c r="QGU519" s="1358"/>
      <c r="QGV519" s="1358"/>
      <c r="QGW519" s="1358"/>
      <c r="QGX519" s="1358"/>
      <c r="QGY519" s="1358"/>
      <c r="QGZ519" s="1358"/>
      <c r="QHA519" s="1358"/>
      <c r="QHB519" s="1358"/>
      <c r="QHC519" s="1358"/>
      <c r="QHD519" s="1358"/>
      <c r="QHE519" s="1358"/>
      <c r="QHF519" s="1358"/>
      <c r="QHG519" s="1358"/>
      <c r="QHH519" s="1358"/>
      <c r="QHI519" s="1358"/>
      <c r="QHJ519" s="1358"/>
      <c r="QHK519" s="1358"/>
      <c r="QHL519" s="1358"/>
      <c r="QHM519" s="1358"/>
      <c r="QHN519" s="1358"/>
      <c r="QHO519" s="1358"/>
      <c r="QHP519" s="1358"/>
      <c r="QHQ519" s="1358"/>
      <c r="QHR519" s="1358"/>
      <c r="QHS519" s="1358"/>
      <c r="QHT519" s="1358"/>
      <c r="QHU519" s="1358"/>
      <c r="QHV519" s="1358"/>
      <c r="QHW519" s="1358"/>
      <c r="QHX519" s="1358"/>
      <c r="QHY519" s="1358"/>
      <c r="QHZ519" s="1358"/>
      <c r="QIA519" s="1358"/>
      <c r="QIB519" s="1358"/>
      <c r="QIC519" s="1358"/>
      <c r="QID519" s="1358"/>
      <c r="QIE519" s="1358"/>
      <c r="QIF519" s="1358"/>
      <c r="QIG519" s="1358"/>
      <c r="QIH519" s="1358"/>
      <c r="QII519" s="1358"/>
      <c r="QIJ519" s="1358"/>
      <c r="QIK519" s="1358"/>
      <c r="QIL519" s="1358"/>
      <c r="QIM519" s="1358"/>
      <c r="QIN519" s="1358"/>
      <c r="QIO519" s="1358"/>
      <c r="QIP519" s="1358"/>
      <c r="QIQ519" s="1358"/>
      <c r="QIR519" s="1358"/>
      <c r="QIS519" s="1358"/>
      <c r="QIT519" s="1358"/>
      <c r="QIU519" s="1358"/>
      <c r="QIV519" s="1358"/>
      <c r="QIW519" s="1358"/>
      <c r="QIX519" s="1358"/>
      <c r="QIY519" s="1358"/>
      <c r="QIZ519" s="1358"/>
      <c r="QJA519" s="1358"/>
      <c r="QJB519" s="1358"/>
      <c r="QJC519" s="1358"/>
      <c r="QJD519" s="1358"/>
      <c r="QJE519" s="1358"/>
      <c r="QJF519" s="1358"/>
      <c r="QJG519" s="1358"/>
      <c r="QJH519" s="1358"/>
      <c r="QJI519" s="1358"/>
      <c r="QJJ519" s="1358"/>
      <c r="QJK519" s="1358"/>
      <c r="QJL519" s="1358"/>
      <c r="QJM519" s="1358"/>
      <c r="QJN519" s="1358"/>
      <c r="QJO519" s="1358"/>
      <c r="QJP519" s="1358"/>
      <c r="QJQ519" s="1358"/>
      <c r="QJR519" s="1358"/>
      <c r="QJS519" s="1358"/>
      <c r="QJT519" s="1358"/>
      <c r="QJU519" s="1358"/>
      <c r="QJV519" s="1358"/>
      <c r="QJW519" s="1358"/>
      <c r="QJX519" s="1358"/>
      <c r="QJY519" s="1358"/>
      <c r="QJZ519" s="1358"/>
      <c r="QKA519" s="1358"/>
      <c r="QKB519" s="1358"/>
      <c r="QKC519" s="1358"/>
      <c r="QKD519" s="1358"/>
      <c r="QKE519" s="1358"/>
      <c r="QKF519" s="1358"/>
      <c r="QKG519" s="1358"/>
      <c r="QKH519" s="1358"/>
      <c r="QKI519" s="1358"/>
      <c r="QKJ519" s="1358"/>
      <c r="QKK519" s="1358"/>
      <c r="QKL519" s="1358"/>
      <c r="QKM519" s="1358"/>
      <c r="QKN519" s="1358"/>
      <c r="QKO519" s="1358"/>
      <c r="QKP519" s="1358"/>
      <c r="QKQ519" s="1358"/>
      <c r="QKR519" s="1358"/>
      <c r="QKS519" s="1358"/>
      <c r="QKT519" s="1358"/>
      <c r="QKU519" s="1358"/>
      <c r="QKV519" s="1358"/>
      <c r="QKW519" s="1358"/>
      <c r="QKX519" s="1358"/>
      <c r="QKY519" s="1358"/>
      <c r="QKZ519" s="1358"/>
      <c r="QLA519" s="1358"/>
      <c r="QLB519" s="1358"/>
      <c r="QLC519" s="1358"/>
      <c r="QLD519" s="1358"/>
      <c r="QLE519" s="1358"/>
      <c r="QLF519" s="1358"/>
      <c r="QLG519" s="1358"/>
      <c r="QLH519" s="1358"/>
      <c r="QLI519" s="1358"/>
      <c r="QLJ519" s="1358"/>
      <c r="QLK519" s="1358"/>
      <c r="QLL519" s="1358"/>
      <c r="QLM519" s="1358"/>
      <c r="QLN519" s="1358"/>
      <c r="QLO519" s="1358"/>
      <c r="QLP519" s="1358"/>
      <c r="QLQ519" s="1358"/>
      <c r="QLR519" s="1358"/>
      <c r="QLS519" s="1358"/>
      <c r="QLT519" s="1358"/>
      <c r="QLU519" s="1358"/>
      <c r="QLV519" s="1358"/>
      <c r="QLW519" s="1358"/>
      <c r="QLX519" s="1358"/>
      <c r="QLY519" s="1358"/>
      <c r="QLZ519" s="1358"/>
      <c r="QMA519" s="1358"/>
      <c r="QMB519" s="1358"/>
      <c r="QMC519" s="1358"/>
      <c r="QMD519" s="1358"/>
      <c r="QME519" s="1358"/>
      <c r="QMF519" s="1358"/>
      <c r="QMG519" s="1358"/>
      <c r="QMH519" s="1358"/>
      <c r="QMI519" s="1358"/>
      <c r="QMJ519" s="1358"/>
      <c r="QMK519" s="1358"/>
      <c r="QML519" s="1358"/>
      <c r="QMM519" s="1358"/>
      <c r="QMN519" s="1358"/>
      <c r="QMO519" s="1358"/>
      <c r="QMP519" s="1358"/>
      <c r="QMQ519" s="1358"/>
      <c r="QMR519" s="1358"/>
      <c r="QMS519" s="1358"/>
      <c r="QMT519" s="1358"/>
      <c r="QMU519" s="1358"/>
      <c r="QMV519" s="1358"/>
      <c r="QMW519" s="1358"/>
      <c r="QMX519" s="1358"/>
      <c r="QMY519" s="1358"/>
      <c r="QMZ519" s="1358"/>
      <c r="QNA519" s="1358"/>
      <c r="QNB519" s="1358"/>
      <c r="QNC519" s="1358"/>
      <c r="QND519" s="1358"/>
      <c r="QNE519" s="1358"/>
      <c r="QNF519" s="1358"/>
      <c r="QNG519" s="1358"/>
      <c r="QNH519" s="1358"/>
      <c r="QNI519" s="1358"/>
      <c r="QNJ519" s="1358"/>
      <c r="QNK519" s="1358"/>
      <c r="QNL519" s="1358"/>
      <c r="QNM519" s="1358"/>
      <c r="QNN519" s="1358"/>
      <c r="QNO519" s="1358"/>
      <c r="QNP519" s="1358"/>
      <c r="QNQ519" s="1358"/>
      <c r="QNR519" s="1358"/>
      <c r="QNS519" s="1358"/>
      <c r="QNT519" s="1358"/>
      <c r="QNU519" s="1358"/>
      <c r="QNV519" s="1358"/>
      <c r="QNW519" s="1358"/>
      <c r="QNX519" s="1358"/>
      <c r="QNY519" s="1358"/>
      <c r="QNZ519" s="1358"/>
      <c r="QOA519" s="1358"/>
      <c r="QOB519" s="1358"/>
      <c r="QOC519" s="1358"/>
      <c r="QOD519" s="1358"/>
      <c r="QOE519" s="1358"/>
      <c r="QOF519" s="1358"/>
      <c r="QOG519" s="1358"/>
      <c r="QOH519" s="1358"/>
      <c r="QOI519" s="1358"/>
      <c r="QOJ519" s="1358"/>
      <c r="QOK519" s="1358"/>
      <c r="QOL519" s="1358"/>
      <c r="QOM519" s="1358"/>
      <c r="QON519" s="1358"/>
      <c r="QOO519" s="1358"/>
      <c r="QOP519" s="1358"/>
      <c r="QOQ519" s="1358"/>
      <c r="QOR519" s="1358"/>
      <c r="QOS519" s="1358"/>
      <c r="QOT519" s="1358"/>
      <c r="QOU519" s="1358"/>
      <c r="QOV519" s="1358"/>
      <c r="QOW519" s="1358"/>
      <c r="QOX519" s="1358"/>
      <c r="QOY519" s="1358"/>
      <c r="QOZ519" s="1358"/>
      <c r="QPA519" s="1358"/>
      <c r="QPB519" s="1358"/>
      <c r="QPC519" s="1358"/>
      <c r="QPD519" s="1358"/>
      <c r="QPE519" s="1358"/>
      <c r="QPF519" s="1358"/>
      <c r="QPG519" s="1358"/>
      <c r="QPH519" s="1358"/>
      <c r="QPI519" s="1358"/>
      <c r="QPJ519" s="1358"/>
      <c r="QPK519" s="1358"/>
      <c r="QPL519" s="1358"/>
      <c r="QPM519" s="1358"/>
      <c r="QPN519" s="1358"/>
      <c r="QPO519" s="1358"/>
      <c r="QPP519" s="1358"/>
      <c r="QPQ519" s="1358"/>
      <c r="QPR519" s="1358"/>
      <c r="QPS519" s="1358"/>
      <c r="QPT519" s="1358"/>
      <c r="QPU519" s="1358"/>
      <c r="QPV519" s="1358"/>
      <c r="QPW519" s="1358"/>
      <c r="QPX519" s="1358"/>
      <c r="QPY519" s="1358"/>
      <c r="QPZ519" s="1358"/>
      <c r="QQA519" s="1358"/>
      <c r="QQB519" s="1358"/>
      <c r="QQC519" s="1358"/>
      <c r="QQD519" s="1358"/>
      <c r="QQE519" s="1358"/>
      <c r="QQF519" s="1358"/>
      <c r="QQG519" s="1358"/>
      <c r="QQH519" s="1358"/>
      <c r="QQI519" s="1358"/>
      <c r="QQJ519" s="1358"/>
      <c r="QQK519" s="1358"/>
      <c r="QQL519" s="1358"/>
      <c r="QQM519" s="1358"/>
      <c r="QQN519" s="1358"/>
      <c r="QQO519" s="1358"/>
      <c r="QQP519" s="1358"/>
      <c r="QQQ519" s="1358"/>
      <c r="QQR519" s="1358"/>
      <c r="QQS519" s="1358"/>
      <c r="QQT519" s="1358"/>
      <c r="QQU519" s="1358"/>
      <c r="QQV519" s="1358"/>
      <c r="QQW519" s="1358"/>
      <c r="QQX519" s="1358"/>
      <c r="QQY519" s="1358"/>
      <c r="QQZ519" s="1358"/>
      <c r="QRA519" s="1358"/>
      <c r="QRB519" s="1358"/>
      <c r="QRC519" s="1358"/>
      <c r="QRD519" s="1358"/>
      <c r="QRE519" s="1358"/>
      <c r="QRF519" s="1358"/>
      <c r="QRG519" s="1358"/>
      <c r="QRH519" s="1358"/>
      <c r="QRI519" s="1358"/>
      <c r="QRJ519" s="1358"/>
      <c r="QRK519" s="1358"/>
      <c r="QRL519" s="1358"/>
      <c r="QRM519" s="1358"/>
      <c r="QRN519" s="1358"/>
      <c r="QRO519" s="1358"/>
      <c r="QRP519" s="1358"/>
      <c r="QRQ519" s="1358"/>
      <c r="QRR519" s="1358"/>
      <c r="QRS519" s="1358"/>
      <c r="QRT519" s="1358"/>
      <c r="QRU519" s="1358"/>
      <c r="QRV519" s="1358"/>
      <c r="QRW519" s="1358"/>
      <c r="QRX519" s="1358"/>
      <c r="QRY519" s="1358"/>
      <c r="QRZ519" s="1358"/>
      <c r="QSA519" s="1358"/>
      <c r="QSB519" s="1358"/>
      <c r="QSC519" s="1358"/>
      <c r="QSD519" s="1358"/>
      <c r="QSE519" s="1358"/>
      <c r="QSF519" s="1358"/>
      <c r="QSG519" s="1358"/>
      <c r="QSH519" s="1358"/>
      <c r="QSI519" s="1358"/>
      <c r="QSJ519" s="1358"/>
      <c r="QSK519" s="1358"/>
      <c r="QSL519" s="1358"/>
      <c r="QSM519" s="1358"/>
      <c r="QSN519" s="1358"/>
      <c r="QSO519" s="1358"/>
      <c r="QSP519" s="1358"/>
      <c r="QSQ519" s="1358"/>
      <c r="QSR519" s="1358"/>
      <c r="QSS519" s="1358"/>
      <c r="QST519" s="1358"/>
      <c r="QSU519" s="1358"/>
      <c r="QSV519" s="1358"/>
      <c r="QSW519" s="1358"/>
      <c r="QSX519" s="1358"/>
      <c r="QSY519" s="1358"/>
      <c r="QSZ519" s="1358"/>
      <c r="QTA519" s="1358"/>
      <c r="QTB519" s="1358"/>
      <c r="QTC519" s="1358"/>
      <c r="QTD519" s="1358"/>
      <c r="QTE519" s="1358"/>
      <c r="QTF519" s="1358"/>
      <c r="QTG519" s="1358"/>
      <c r="QTH519" s="1358"/>
      <c r="QTI519" s="1358"/>
      <c r="QTJ519" s="1358"/>
      <c r="QTK519" s="1358"/>
      <c r="QTL519" s="1358"/>
      <c r="QTM519" s="1358"/>
      <c r="QTN519" s="1358"/>
      <c r="QTO519" s="1358"/>
      <c r="QTP519" s="1358"/>
      <c r="QTQ519" s="1358"/>
      <c r="QTR519" s="1358"/>
      <c r="QTS519" s="1358"/>
      <c r="QTT519" s="1358"/>
      <c r="QTU519" s="1358"/>
      <c r="QTV519" s="1358"/>
      <c r="QTW519" s="1358"/>
      <c r="QTX519" s="1358"/>
      <c r="QTY519" s="1358"/>
      <c r="QTZ519" s="1358"/>
      <c r="QUA519" s="1358"/>
      <c r="QUB519" s="1358"/>
      <c r="QUC519" s="1358"/>
      <c r="QUD519" s="1358"/>
      <c r="QUE519" s="1358"/>
      <c r="QUF519" s="1358"/>
      <c r="QUG519" s="1358"/>
      <c r="QUH519" s="1358"/>
      <c r="QUI519" s="1358"/>
      <c r="QUJ519" s="1358"/>
      <c r="QUK519" s="1358"/>
      <c r="QUL519" s="1358"/>
      <c r="QUM519" s="1358"/>
      <c r="QUN519" s="1358"/>
      <c r="QUO519" s="1358"/>
      <c r="QUP519" s="1358"/>
      <c r="QUQ519" s="1358"/>
      <c r="QUR519" s="1358"/>
      <c r="QUS519" s="1358"/>
      <c r="QUT519" s="1358"/>
      <c r="QUU519" s="1358"/>
      <c r="QUV519" s="1358"/>
      <c r="QUW519" s="1358"/>
      <c r="QUX519" s="1358"/>
      <c r="QUY519" s="1358"/>
      <c r="QUZ519" s="1358"/>
      <c r="QVA519" s="1358"/>
      <c r="QVB519" s="1358"/>
      <c r="QVC519" s="1358"/>
      <c r="QVD519" s="1358"/>
      <c r="QVE519" s="1358"/>
      <c r="QVF519" s="1358"/>
      <c r="QVG519" s="1358"/>
      <c r="QVH519" s="1358"/>
      <c r="QVI519" s="1358"/>
      <c r="QVJ519" s="1358"/>
      <c r="QVK519" s="1358"/>
      <c r="QVL519" s="1358"/>
      <c r="QVM519" s="1358"/>
      <c r="QVN519" s="1358"/>
      <c r="QVO519" s="1358"/>
      <c r="QVP519" s="1358"/>
      <c r="QVQ519" s="1358"/>
      <c r="QVR519" s="1358"/>
      <c r="QVS519" s="1358"/>
      <c r="QVT519" s="1358"/>
      <c r="QVU519" s="1358"/>
      <c r="QVV519" s="1358"/>
      <c r="QVW519" s="1358"/>
      <c r="QVX519" s="1358"/>
      <c r="QVY519" s="1358"/>
      <c r="QVZ519" s="1358"/>
      <c r="QWA519" s="1358"/>
      <c r="QWB519" s="1358"/>
      <c r="QWC519" s="1358"/>
      <c r="QWD519" s="1358"/>
      <c r="QWE519" s="1358"/>
      <c r="QWF519" s="1358"/>
      <c r="QWG519" s="1358"/>
      <c r="QWH519" s="1358"/>
      <c r="QWI519" s="1358"/>
      <c r="QWJ519" s="1358"/>
      <c r="QWK519" s="1358"/>
      <c r="QWL519" s="1358"/>
      <c r="QWM519" s="1358"/>
      <c r="QWN519" s="1358"/>
      <c r="QWO519" s="1358"/>
      <c r="QWP519" s="1358"/>
      <c r="QWQ519" s="1358"/>
      <c r="QWR519" s="1358"/>
      <c r="QWS519" s="1358"/>
      <c r="QWT519" s="1358"/>
      <c r="QWU519" s="1358"/>
      <c r="QWV519" s="1358"/>
      <c r="QWW519" s="1358"/>
      <c r="QWX519" s="1358"/>
      <c r="QWY519" s="1358"/>
      <c r="QWZ519" s="1358"/>
      <c r="QXA519" s="1358"/>
      <c r="QXB519" s="1358"/>
      <c r="QXC519" s="1358"/>
      <c r="QXD519" s="1358"/>
      <c r="QXE519" s="1358"/>
      <c r="QXF519" s="1358"/>
      <c r="QXG519" s="1358"/>
      <c r="QXH519" s="1358"/>
      <c r="QXI519" s="1358"/>
      <c r="QXJ519" s="1358"/>
      <c r="QXK519" s="1358"/>
      <c r="QXL519" s="1358"/>
      <c r="QXM519" s="1358"/>
      <c r="QXN519" s="1358"/>
      <c r="QXO519" s="1358"/>
      <c r="QXP519" s="1358"/>
      <c r="QXQ519" s="1358"/>
      <c r="QXR519" s="1358"/>
      <c r="QXS519" s="1358"/>
      <c r="QXT519" s="1358"/>
      <c r="QXU519" s="1358"/>
      <c r="QXV519" s="1358"/>
      <c r="QXW519" s="1358"/>
      <c r="QXX519" s="1358"/>
      <c r="QXY519" s="1358"/>
      <c r="QXZ519" s="1358"/>
      <c r="QYA519" s="1358"/>
      <c r="QYB519" s="1358"/>
      <c r="QYC519" s="1358"/>
      <c r="QYD519" s="1358"/>
      <c r="QYE519" s="1358"/>
      <c r="QYF519" s="1358"/>
      <c r="QYG519" s="1358"/>
      <c r="QYH519" s="1358"/>
      <c r="QYI519" s="1358"/>
      <c r="QYJ519" s="1358"/>
      <c r="QYK519" s="1358"/>
      <c r="QYL519" s="1358"/>
      <c r="QYM519" s="1358"/>
      <c r="QYN519" s="1358"/>
      <c r="QYO519" s="1358"/>
      <c r="QYP519" s="1358"/>
      <c r="QYQ519" s="1358"/>
      <c r="QYR519" s="1358"/>
      <c r="QYS519" s="1358"/>
      <c r="QYT519" s="1358"/>
      <c r="QYU519" s="1358"/>
      <c r="QYV519" s="1358"/>
      <c r="QYW519" s="1358"/>
      <c r="QYX519" s="1358"/>
      <c r="QYY519" s="1358"/>
      <c r="QYZ519" s="1358"/>
      <c r="QZA519" s="1358"/>
      <c r="QZB519" s="1358"/>
      <c r="QZC519" s="1358"/>
      <c r="QZD519" s="1358"/>
      <c r="QZE519" s="1358"/>
      <c r="QZF519" s="1358"/>
      <c r="QZG519" s="1358"/>
      <c r="QZH519" s="1358"/>
      <c r="QZI519" s="1358"/>
      <c r="QZJ519" s="1358"/>
      <c r="QZK519" s="1358"/>
      <c r="QZL519" s="1358"/>
      <c r="QZM519" s="1358"/>
      <c r="QZN519" s="1358"/>
      <c r="QZO519" s="1358"/>
      <c r="QZP519" s="1358"/>
      <c r="QZQ519" s="1358"/>
      <c r="QZR519" s="1358"/>
      <c r="QZS519" s="1358"/>
      <c r="QZT519" s="1358"/>
      <c r="QZU519" s="1358"/>
      <c r="QZV519" s="1358"/>
      <c r="QZW519" s="1358"/>
      <c r="QZX519" s="1358"/>
      <c r="QZY519" s="1358"/>
      <c r="QZZ519" s="1358"/>
      <c r="RAA519" s="1358"/>
      <c r="RAB519" s="1358"/>
      <c r="RAC519" s="1358"/>
      <c r="RAD519" s="1358"/>
      <c r="RAE519" s="1358"/>
      <c r="RAF519" s="1358"/>
      <c r="RAG519" s="1358"/>
      <c r="RAH519" s="1358"/>
      <c r="RAI519" s="1358"/>
      <c r="RAJ519" s="1358"/>
      <c r="RAK519" s="1358"/>
      <c r="RAL519" s="1358"/>
      <c r="RAM519" s="1358"/>
      <c r="RAN519" s="1358"/>
      <c r="RAO519" s="1358"/>
      <c r="RAP519" s="1358"/>
      <c r="RAQ519" s="1358"/>
      <c r="RAR519" s="1358"/>
      <c r="RAS519" s="1358"/>
      <c r="RAT519" s="1358"/>
      <c r="RAU519" s="1358"/>
      <c r="RAV519" s="1358"/>
      <c r="RAW519" s="1358"/>
      <c r="RAX519" s="1358"/>
      <c r="RAY519" s="1358"/>
      <c r="RAZ519" s="1358"/>
      <c r="RBA519" s="1358"/>
      <c r="RBB519" s="1358"/>
      <c r="RBC519" s="1358"/>
      <c r="RBD519" s="1358"/>
      <c r="RBE519" s="1358"/>
      <c r="RBF519" s="1358"/>
      <c r="RBG519" s="1358"/>
      <c r="RBH519" s="1358"/>
      <c r="RBI519" s="1358"/>
      <c r="RBJ519" s="1358"/>
      <c r="RBK519" s="1358"/>
      <c r="RBL519" s="1358"/>
      <c r="RBM519" s="1358"/>
      <c r="RBN519" s="1358"/>
      <c r="RBO519" s="1358"/>
      <c r="RBP519" s="1358"/>
      <c r="RBQ519" s="1358"/>
      <c r="RBR519" s="1358"/>
      <c r="RBS519" s="1358"/>
      <c r="RBT519" s="1358"/>
      <c r="RBU519" s="1358"/>
      <c r="RBV519" s="1358"/>
      <c r="RBW519" s="1358"/>
      <c r="RBX519" s="1358"/>
      <c r="RBY519" s="1358"/>
      <c r="RBZ519" s="1358"/>
      <c r="RCA519" s="1358"/>
      <c r="RCB519" s="1358"/>
      <c r="RCC519" s="1358"/>
      <c r="RCD519" s="1358"/>
      <c r="RCE519" s="1358"/>
      <c r="RCF519" s="1358"/>
      <c r="RCG519" s="1358"/>
      <c r="RCH519" s="1358"/>
      <c r="RCI519" s="1358"/>
      <c r="RCJ519" s="1358"/>
      <c r="RCK519" s="1358"/>
      <c r="RCL519" s="1358"/>
      <c r="RCM519" s="1358"/>
      <c r="RCN519" s="1358"/>
      <c r="RCO519" s="1358"/>
      <c r="RCP519" s="1358"/>
      <c r="RCQ519" s="1358"/>
      <c r="RCR519" s="1358"/>
      <c r="RCS519" s="1358"/>
      <c r="RCT519" s="1358"/>
      <c r="RCU519" s="1358"/>
      <c r="RCV519" s="1358"/>
      <c r="RCW519" s="1358"/>
      <c r="RCX519" s="1358"/>
      <c r="RCY519" s="1358"/>
      <c r="RCZ519" s="1358"/>
      <c r="RDA519" s="1358"/>
      <c r="RDB519" s="1358"/>
      <c r="RDC519" s="1358"/>
      <c r="RDD519" s="1358"/>
      <c r="RDE519" s="1358"/>
      <c r="RDF519" s="1358"/>
      <c r="RDG519" s="1358"/>
      <c r="RDH519" s="1358"/>
      <c r="RDI519" s="1358"/>
      <c r="RDJ519" s="1358"/>
      <c r="RDK519" s="1358"/>
      <c r="RDL519" s="1358"/>
      <c r="RDM519" s="1358"/>
      <c r="RDN519" s="1358"/>
      <c r="RDO519" s="1358"/>
      <c r="RDP519" s="1358"/>
      <c r="RDQ519" s="1358"/>
      <c r="RDR519" s="1358"/>
      <c r="RDS519" s="1358"/>
      <c r="RDT519" s="1358"/>
      <c r="RDU519" s="1358"/>
      <c r="RDV519" s="1358"/>
      <c r="RDW519" s="1358"/>
      <c r="RDX519" s="1358"/>
      <c r="RDY519" s="1358"/>
      <c r="RDZ519" s="1358"/>
      <c r="REA519" s="1358"/>
      <c r="REB519" s="1358"/>
      <c r="REC519" s="1358"/>
      <c r="RED519" s="1358"/>
      <c r="REE519" s="1358"/>
      <c r="REF519" s="1358"/>
      <c r="REG519" s="1358"/>
      <c r="REH519" s="1358"/>
      <c r="REI519" s="1358"/>
      <c r="REJ519" s="1358"/>
      <c r="REK519" s="1358"/>
      <c r="REL519" s="1358"/>
      <c r="REM519" s="1358"/>
      <c r="REN519" s="1358"/>
      <c r="REO519" s="1358"/>
      <c r="REP519" s="1358"/>
      <c r="REQ519" s="1358"/>
      <c r="RER519" s="1358"/>
      <c r="RES519" s="1358"/>
      <c r="RET519" s="1358"/>
      <c r="REU519" s="1358"/>
      <c r="REV519" s="1358"/>
      <c r="REW519" s="1358"/>
      <c r="REX519" s="1358"/>
      <c r="REY519" s="1358"/>
      <c r="REZ519" s="1358"/>
      <c r="RFA519" s="1358"/>
      <c r="RFB519" s="1358"/>
      <c r="RFC519" s="1358"/>
      <c r="RFD519" s="1358"/>
      <c r="RFE519" s="1358"/>
      <c r="RFF519" s="1358"/>
      <c r="RFG519" s="1358"/>
      <c r="RFH519" s="1358"/>
      <c r="RFI519" s="1358"/>
      <c r="RFJ519" s="1358"/>
      <c r="RFK519" s="1358"/>
      <c r="RFL519" s="1358"/>
      <c r="RFM519" s="1358"/>
      <c r="RFN519" s="1358"/>
      <c r="RFO519" s="1358"/>
      <c r="RFP519" s="1358"/>
      <c r="RFQ519" s="1358"/>
      <c r="RFR519" s="1358"/>
      <c r="RFS519" s="1358"/>
      <c r="RFT519" s="1358"/>
      <c r="RFU519" s="1358"/>
      <c r="RFV519" s="1358"/>
      <c r="RFW519" s="1358"/>
      <c r="RFX519" s="1358"/>
      <c r="RFY519" s="1358"/>
      <c r="RFZ519" s="1358"/>
      <c r="RGA519" s="1358"/>
      <c r="RGB519" s="1358"/>
      <c r="RGC519" s="1358"/>
      <c r="RGD519" s="1358"/>
      <c r="RGE519" s="1358"/>
      <c r="RGF519" s="1358"/>
      <c r="RGG519" s="1358"/>
      <c r="RGH519" s="1358"/>
      <c r="RGI519" s="1358"/>
      <c r="RGJ519" s="1358"/>
      <c r="RGK519" s="1358"/>
      <c r="RGL519" s="1358"/>
      <c r="RGM519" s="1358"/>
      <c r="RGN519" s="1358"/>
      <c r="RGO519" s="1358"/>
      <c r="RGP519" s="1358"/>
      <c r="RGQ519" s="1358"/>
      <c r="RGR519" s="1358"/>
      <c r="RGS519" s="1358"/>
      <c r="RGT519" s="1358"/>
      <c r="RGU519" s="1358"/>
      <c r="RGV519" s="1358"/>
      <c r="RGW519" s="1358"/>
      <c r="RGX519" s="1358"/>
      <c r="RGY519" s="1358"/>
      <c r="RGZ519" s="1358"/>
      <c r="RHA519" s="1358"/>
      <c r="RHB519" s="1358"/>
      <c r="RHC519" s="1358"/>
      <c r="RHD519" s="1358"/>
      <c r="RHE519" s="1358"/>
      <c r="RHF519" s="1358"/>
      <c r="RHG519" s="1358"/>
      <c r="RHH519" s="1358"/>
      <c r="RHI519" s="1358"/>
      <c r="RHJ519" s="1358"/>
      <c r="RHK519" s="1358"/>
      <c r="RHL519" s="1358"/>
      <c r="RHM519" s="1358"/>
      <c r="RHN519" s="1358"/>
      <c r="RHO519" s="1358"/>
      <c r="RHP519" s="1358"/>
      <c r="RHQ519" s="1358"/>
      <c r="RHR519" s="1358"/>
      <c r="RHS519" s="1358"/>
      <c r="RHT519" s="1358"/>
      <c r="RHU519" s="1358"/>
      <c r="RHV519" s="1358"/>
      <c r="RHW519" s="1358"/>
      <c r="RHX519" s="1358"/>
      <c r="RHY519" s="1358"/>
      <c r="RHZ519" s="1358"/>
      <c r="RIA519" s="1358"/>
      <c r="RIB519" s="1358"/>
      <c r="RIC519" s="1358"/>
      <c r="RID519" s="1358"/>
      <c r="RIE519" s="1358"/>
      <c r="RIF519" s="1358"/>
      <c r="RIG519" s="1358"/>
      <c r="RIH519" s="1358"/>
      <c r="RII519" s="1358"/>
      <c r="RIJ519" s="1358"/>
      <c r="RIK519" s="1358"/>
      <c r="RIL519" s="1358"/>
      <c r="RIM519" s="1358"/>
      <c r="RIN519" s="1358"/>
      <c r="RIO519" s="1358"/>
      <c r="RIP519" s="1358"/>
      <c r="RIQ519" s="1358"/>
      <c r="RIR519" s="1358"/>
      <c r="RIS519" s="1358"/>
      <c r="RIT519" s="1358"/>
      <c r="RIU519" s="1358"/>
      <c r="RIV519" s="1358"/>
      <c r="RIW519" s="1358"/>
      <c r="RIX519" s="1358"/>
      <c r="RIY519" s="1358"/>
      <c r="RIZ519" s="1358"/>
      <c r="RJA519" s="1358"/>
      <c r="RJB519" s="1358"/>
      <c r="RJC519" s="1358"/>
      <c r="RJD519" s="1358"/>
      <c r="RJE519" s="1358"/>
      <c r="RJF519" s="1358"/>
      <c r="RJG519" s="1358"/>
      <c r="RJH519" s="1358"/>
      <c r="RJI519" s="1358"/>
      <c r="RJJ519" s="1358"/>
      <c r="RJK519" s="1358"/>
      <c r="RJL519" s="1358"/>
      <c r="RJM519" s="1358"/>
      <c r="RJN519" s="1358"/>
      <c r="RJO519" s="1358"/>
      <c r="RJP519" s="1358"/>
      <c r="RJQ519" s="1358"/>
      <c r="RJR519" s="1358"/>
      <c r="RJS519" s="1358"/>
      <c r="RJT519" s="1358"/>
      <c r="RJU519" s="1358"/>
      <c r="RJV519" s="1358"/>
      <c r="RJW519" s="1358"/>
      <c r="RJX519" s="1358"/>
      <c r="RJY519" s="1358"/>
      <c r="RJZ519" s="1358"/>
      <c r="RKA519" s="1358"/>
      <c r="RKB519" s="1358"/>
      <c r="RKC519" s="1358"/>
      <c r="RKD519" s="1358"/>
      <c r="RKE519" s="1358"/>
      <c r="RKF519" s="1358"/>
      <c r="RKG519" s="1358"/>
      <c r="RKH519" s="1358"/>
      <c r="RKI519" s="1358"/>
      <c r="RKJ519" s="1358"/>
      <c r="RKK519" s="1358"/>
      <c r="RKL519" s="1358"/>
      <c r="RKM519" s="1358"/>
      <c r="RKN519" s="1358"/>
      <c r="RKO519" s="1358"/>
      <c r="RKP519" s="1358"/>
      <c r="RKQ519" s="1358"/>
      <c r="RKR519" s="1358"/>
      <c r="RKS519" s="1358"/>
      <c r="RKT519" s="1358"/>
      <c r="RKU519" s="1358"/>
      <c r="RKV519" s="1358"/>
      <c r="RKW519" s="1358"/>
      <c r="RKX519" s="1358"/>
      <c r="RKY519" s="1358"/>
      <c r="RKZ519" s="1358"/>
      <c r="RLA519" s="1358"/>
      <c r="RLB519" s="1358"/>
      <c r="RLC519" s="1358"/>
      <c r="RLD519" s="1358"/>
      <c r="RLE519" s="1358"/>
      <c r="RLF519" s="1358"/>
      <c r="RLG519" s="1358"/>
      <c r="RLH519" s="1358"/>
      <c r="RLI519" s="1358"/>
      <c r="RLJ519" s="1358"/>
      <c r="RLK519" s="1358"/>
      <c r="RLL519" s="1358"/>
      <c r="RLM519" s="1358"/>
      <c r="RLN519" s="1358"/>
      <c r="RLO519" s="1358"/>
      <c r="RLP519" s="1358"/>
      <c r="RLQ519" s="1358"/>
      <c r="RLR519" s="1358"/>
      <c r="RLS519" s="1358"/>
      <c r="RLT519" s="1358"/>
      <c r="RLU519" s="1358"/>
      <c r="RLV519" s="1358"/>
      <c r="RLW519" s="1358"/>
      <c r="RLX519" s="1358"/>
      <c r="RLY519" s="1358"/>
      <c r="RLZ519" s="1358"/>
      <c r="RMA519" s="1358"/>
      <c r="RMB519" s="1358"/>
      <c r="RMC519" s="1358"/>
      <c r="RMD519" s="1358"/>
      <c r="RME519" s="1358"/>
      <c r="RMF519" s="1358"/>
      <c r="RMG519" s="1358"/>
      <c r="RMH519" s="1358"/>
      <c r="RMI519" s="1358"/>
      <c r="RMJ519" s="1358"/>
      <c r="RMK519" s="1358"/>
      <c r="RML519" s="1358"/>
      <c r="RMM519" s="1358"/>
      <c r="RMN519" s="1358"/>
      <c r="RMO519" s="1358"/>
      <c r="RMP519" s="1358"/>
      <c r="RMQ519" s="1358"/>
      <c r="RMR519" s="1358"/>
      <c r="RMS519" s="1358"/>
      <c r="RMT519" s="1358"/>
      <c r="RMU519" s="1358"/>
      <c r="RMV519" s="1358"/>
      <c r="RMW519" s="1358"/>
      <c r="RMX519" s="1358"/>
      <c r="RMY519" s="1358"/>
      <c r="RMZ519" s="1358"/>
      <c r="RNA519" s="1358"/>
      <c r="RNB519" s="1358"/>
      <c r="RNC519" s="1358"/>
      <c r="RND519" s="1358"/>
      <c r="RNE519" s="1358"/>
      <c r="RNF519" s="1358"/>
      <c r="RNG519" s="1358"/>
      <c r="RNH519" s="1358"/>
      <c r="RNI519" s="1358"/>
      <c r="RNJ519" s="1358"/>
      <c r="RNK519" s="1358"/>
      <c r="RNL519" s="1358"/>
      <c r="RNM519" s="1358"/>
      <c r="RNN519" s="1358"/>
      <c r="RNO519" s="1358"/>
      <c r="RNP519" s="1358"/>
      <c r="RNQ519" s="1358"/>
      <c r="RNR519" s="1358"/>
      <c r="RNS519" s="1358"/>
      <c r="RNT519" s="1358"/>
      <c r="RNU519" s="1358"/>
      <c r="RNV519" s="1358"/>
      <c r="RNW519" s="1358"/>
      <c r="RNX519" s="1358"/>
      <c r="RNY519" s="1358"/>
      <c r="RNZ519" s="1358"/>
      <c r="ROA519" s="1358"/>
      <c r="ROB519" s="1358"/>
      <c r="ROC519" s="1358"/>
      <c r="ROD519" s="1358"/>
      <c r="ROE519" s="1358"/>
      <c r="ROF519" s="1358"/>
      <c r="ROG519" s="1358"/>
      <c r="ROH519" s="1358"/>
      <c r="ROI519" s="1358"/>
      <c r="ROJ519" s="1358"/>
      <c r="ROK519" s="1358"/>
      <c r="ROL519" s="1358"/>
      <c r="ROM519" s="1358"/>
      <c r="RON519" s="1358"/>
      <c r="ROO519" s="1358"/>
      <c r="ROP519" s="1358"/>
      <c r="ROQ519" s="1358"/>
      <c r="ROR519" s="1358"/>
      <c r="ROS519" s="1358"/>
      <c r="ROT519" s="1358"/>
      <c r="ROU519" s="1358"/>
      <c r="ROV519" s="1358"/>
      <c r="ROW519" s="1358"/>
      <c r="ROX519" s="1358"/>
      <c r="ROY519" s="1358"/>
      <c r="ROZ519" s="1358"/>
      <c r="RPA519" s="1358"/>
      <c r="RPB519" s="1358"/>
      <c r="RPC519" s="1358"/>
      <c r="RPD519" s="1358"/>
      <c r="RPE519" s="1358"/>
      <c r="RPF519" s="1358"/>
      <c r="RPG519" s="1358"/>
      <c r="RPH519" s="1358"/>
      <c r="RPI519" s="1358"/>
      <c r="RPJ519" s="1358"/>
      <c r="RPK519" s="1358"/>
      <c r="RPL519" s="1358"/>
      <c r="RPM519" s="1358"/>
      <c r="RPN519" s="1358"/>
      <c r="RPO519" s="1358"/>
      <c r="RPP519" s="1358"/>
      <c r="RPQ519" s="1358"/>
      <c r="RPR519" s="1358"/>
      <c r="RPS519" s="1358"/>
      <c r="RPT519" s="1358"/>
      <c r="RPU519" s="1358"/>
      <c r="RPV519" s="1358"/>
      <c r="RPW519" s="1358"/>
      <c r="RPX519" s="1358"/>
      <c r="RPY519" s="1358"/>
      <c r="RPZ519" s="1358"/>
      <c r="RQA519" s="1358"/>
      <c r="RQB519" s="1358"/>
      <c r="RQC519" s="1358"/>
      <c r="RQD519" s="1358"/>
      <c r="RQE519" s="1358"/>
      <c r="RQF519" s="1358"/>
      <c r="RQG519" s="1358"/>
      <c r="RQH519" s="1358"/>
      <c r="RQI519" s="1358"/>
      <c r="RQJ519" s="1358"/>
      <c r="RQK519" s="1358"/>
      <c r="RQL519" s="1358"/>
      <c r="RQM519" s="1358"/>
      <c r="RQN519" s="1358"/>
      <c r="RQO519" s="1358"/>
      <c r="RQP519" s="1358"/>
      <c r="RQQ519" s="1358"/>
      <c r="RQR519" s="1358"/>
      <c r="RQS519" s="1358"/>
      <c r="RQT519" s="1358"/>
      <c r="RQU519" s="1358"/>
      <c r="RQV519" s="1358"/>
      <c r="RQW519" s="1358"/>
      <c r="RQX519" s="1358"/>
      <c r="RQY519" s="1358"/>
      <c r="RQZ519" s="1358"/>
      <c r="RRA519" s="1358"/>
      <c r="RRB519" s="1358"/>
      <c r="RRC519" s="1358"/>
      <c r="RRD519" s="1358"/>
      <c r="RRE519" s="1358"/>
      <c r="RRF519" s="1358"/>
      <c r="RRG519" s="1358"/>
      <c r="RRH519" s="1358"/>
      <c r="RRI519" s="1358"/>
      <c r="RRJ519" s="1358"/>
      <c r="RRK519" s="1358"/>
      <c r="RRL519" s="1358"/>
      <c r="RRM519" s="1358"/>
      <c r="RRN519" s="1358"/>
      <c r="RRO519" s="1358"/>
      <c r="RRP519" s="1358"/>
      <c r="RRQ519" s="1358"/>
      <c r="RRR519" s="1358"/>
      <c r="RRS519" s="1358"/>
      <c r="RRT519" s="1358"/>
      <c r="RRU519" s="1358"/>
      <c r="RRV519" s="1358"/>
      <c r="RRW519" s="1358"/>
      <c r="RRX519" s="1358"/>
      <c r="RRY519" s="1358"/>
      <c r="RRZ519" s="1358"/>
      <c r="RSA519" s="1358"/>
      <c r="RSB519" s="1358"/>
      <c r="RSC519" s="1358"/>
      <c r="RSD519" s="1358"/>
      <c r="RSE519" s="1358"/>
      <c r="RSF519" s="1358"/>
      <c r="RSG519" s="1358"/>
      <c r="RSH519" s="1358"/>
      <c r="RSI519" s="1358"/>
      <c r="RSJ519" s="1358"/>
      <c r="RSK519" s="1358"/>
      <c r="RSL519" s="1358"/>
      <c r="RSM519" s="1358"/>
      <c r="RSN519" s="1358"/>
      <c r="RSO519" s="1358"/>
      <c r="RSP519" s="1358"/>
      <c r="RSQ519" s="1358"/>
      <c r="RSR519" s="1358"/>
      <c r="RSS519" s="1358"/>
      <c r="RST519" s="1358"/>
      <c r="RSU519" s="1358"/>
      <c r="RSV519" s="1358"/>
      <c r="RSW519" s="1358"/>
      <c r="RSX519" s="1358"/>
      <c r="RSY519" s="1358"/>
      <c r="RSZ519" s="1358"/>
      <c r="RTA519" s="1358"/>
      <c r="RTB519" s="1358"/>
      <c r="RTC519" s="1358"/>
      <c r="RTD519" s="1358"/>
      <c r="RTE519" s="1358"/>
      <c r="RTF519" s="1358"/>
      <c r="RTG519" s="1358"/>
      <c r="RTH519" s="1358"/>
      <c r="RTI519" s="1358"/>
      <c r="RTJ519" s="1358"/>
      <c r="RTK519" s="1358"/>
      <c r="RTL519" s="1358"/>
      <c r="RTM519" s="1358"/>
      <c r="RTN519" s="1358"/>
      <c r="RTO519" s="1358"/>
      <c r="RTP519" s="1358"/>
      <c r="RTQ519" s="1358"/>
      <c r="RTR519" s="1358"/>
      <c r="RTS519" s="1358"/>
      <c r="RTT519" s="1358"/>
      <c r="RTU519" s="1358"/>
      <c r="RTV519" s="1358"/>
      <c r="RTW519" s="1358"/>
      <c r="RTX519" s="1358"/>
      <c r="RTY519" s="1358"/>
      <c r="RTZ519" s="1358"/>
      <c r="RUA519" s="1358"/>
      <c r="RUB519" s="1358"/>
      <c r="RUC519" s="1358"/>
      <c r="RUD519" s="1358"/>
      <c r="RUE519" s="1358"/>
      <c r="RUF519" s="1358"/>
      <c r="RUG519" s="1358"/>
      <c r="RUH519" s="1358"/>
      <c r="RUI519" s="1358"/>
      <c r="RUJ519" s="1358"/>
      <c r="RUK519" s="1358"/>
      <c r="RUL519" s="1358"/>
      <c r="RUM519" s="1358"/>
      <c r="RUN519" s="1358"/>
      <c r="RUO519" s="1358"/>
      <c r="RUP519" s="1358"/>
      <c r="RUQ519" s="1358"/>
      <c r="RUR519" s="1358"/>
      <c r="RUS519" s="1358"/>
      <c r="RUT519" s="1358"/>
      <c r="RUU519" s="1358"/>
      <c r="RUV519" s="1358"/>
      <c r="RUW519" s="1358"/>
      <c r="RUX519" s="1358"/>
      <c r="RUY519" s="1358"/>
      <c r="RUZ519" s="1358"/>
      <c r="RVA519" s="1358"/>
      <c r="RVB519" s="1358"/>
      <c r="RVC519" s="1358"/>
      <c r="RVD519" s="1358"/>
      <c r="RVE519" s="1358"/>
      <c r="RVF519" s="1358"/>
      <c r="RVG519" s="1358"/>
      <c r="RVH519" s="1358"/>
      <c r="RVI519" s="1358"/>
      <c r="RVJ519" s="1358"/>
      <c r="RVK519" s="1358"/>
      <c r="RVL519" s="1358"/>
      <c r="RVM519" s="1358"/>
      <c r="RVN519" s="1358"/>
      <c r="RVO519" s="1358"/>
      <c r="RVP519" s="1358"/>
      <c r="RVQ519" s="1358"/>
      <c r="RVR519" s="1358"/>
      <c r="RVS519" s="1358"/>
      <c r="RVT519" s="1358"/>
      <c r="RVU519" s="1358"/>
      <c r="RVV519" s="1358"/>
      <c r="RVW519" s="1358"/>
      <c r="RVX519" s="1358"/>
      <c r="RVY519" s="1358"/>
      <c r="RVZ519" s="1358"/>
      <c r="RWA519" s="1358"/>
      <c r="RWB519" s="1358"/>
      <c r="RWC519" s="1358"/>
      <c r="RWD519" s="1358"/>
      <c r="RWE519" s="1358"/>
      <c r="RWF519" s="1358"/>
      <c r="RWG519" s="1358"/>
      <c r="RWH519" s="1358"/>
      <c r="RWI519" s="1358"/>
      <c r="RWJ519" s="1358"/>
      <c r="RWK519" s="1358"/>
      <c r="RWL519" s="1358"/>
      <c r="RWM519" s="1358"/>
      <c r="RWN519" s="1358"/>
      <c r="RWO519" s="1358"/>
      <c r="RWP519" s="1358"/>
      <c r="RWQ519" s="1358"/>
      <c r="RWR519" s="1358"/>
      <c r="RWS519" s="1358"/>
      <c r="RWT519" s="1358"/>
      <c r="RWU519" s="1358"/>
      <c r="RWV519" s="1358"/>
      <c r="RWW519" s="1358"/>
      <c r="RWX519" s="1358"/>
      <c r="RWY519" s="1358"/>
      <c r="RWZ519" s="1358"/>
      <c r="RXA519" s="1358"/>
      <c r="RXB519" s="1358"/>
      <c r="RXC519" s="1358"/>
      <c r="RXD519" s="1358"/>
      <c r="RXE519" s="1358"/>
      <c r="RXF519" s="1358"/>
      <c r="RXG519" s="1358"/>
      <c r="RXH519" s="1358"/>
      <c r="RXI519" s="1358"/>
      <c r="RXJ519" s="1358"/>
      <c r="RXK519" s="1358"/>
      <c r="RXL519" s="1358"/>
      <c r="RXM519" s="1358"/>
      <c r="RXN519" s="1358"/>
      <c r="RXO519" s="1358"/>
      <c r="RXP519" s="1358"/>
      <c r="RXQ519" s="1358"/>
      <c r="RXR519" s="1358"/>
      <c r="RXS519" s="1358"/>
      <c r="RXT519" s="1358"/>
      <c r="RXU519" s="1358"/>
      <c r="RXV519" s="1358"/>
      <c r="RXW519" s="1358"/>
      <c r="RXX519" s="1358"/>
      <c r="RXY519" s="1358"/>
      <c r="RXZ519" s="1358"/>
      <c r="RYA519" s="1358"/>
      <c r="RYB519" s="1358"/>
      <c r="RYC519" s="1358"/>
      <c r="RYD519" s="1358"/>
      <c r="RYE519" s="1358"/>
      <c r="RYF519" s="1358"/>
      <c r="RYG519" s="1358"/>
      <c r="RYH519" s="1358"/>
      <c r="RYI519" s="1358"/>
      <c r="RYJ519" s="1358"/>
      <c r="RYK519" s="1358"/>
      <c r="RYL519" s="1358"/>
      <c r="RYM519" s="1358"/>
      <c r="RYN519" s="1358"/>
      <c r="RYO519" s="1358"/>
      <c r="RYP519" s="1358"/>
      <c r="RYQ519" s="1358"/>
      <c r="RYR519" s="1358"/>
      <c r="RYS519" s="1358"/>
      <c r="RYT519" s="1358"/>
      <c r="RYU519" s="1358"/>
      <c r="RYV519" s="1358"/>
      <c r="RYW519" s="1358"/>
      <c r="RYX519" s="1358"/>
      <c r="RYY519" s="1358"/>
      <c r="RYZ519" s="1358"/>
      <c r="RZA519" s="1358"/>
      <c r="RZB519" s="1358"/>
      <c r="RZC519" s="1358"/>
      <c r="RZD519" s="1358"/>
      <c r="RZE519" s="1358"/>
      <c r="RZF519" s="1358"/>
      <c r="RZG519" s="1358"/>
      <c r="RZH519" s="1358"/>
      <c r="RZI519" s="1358"/>
      <c r="RZJ519" s="1358"/>
      <c r="RZK519" s="1358"/>
      <c r="RZL519" s="1358"/>
      <c r="RZM519" s="1358"/>
      <c r="RZN519" s="1358"/>
      <c r="RZO519" s="1358"/>
      <c r="RZP519" s="1358"/>
      <c r="RZQ519" s="1358"/>
      <c r="RZR519" s="1358"/>
      <c r="RZS519" s="1358"/>
      <c r="RZT519" s="1358"/>
      <c r="RZU519" s="1358"/>
      <c r="RZV519" s="1358"/>
      <c r="RZW519" s="1358"/>
      <c r="RZX519" s="1358"/>
      <c r="RZY519" s="1358"/>
      <c r="RZZ519" s="1358"/>
      <c r="SAA519" s="1358"/>
      <c r="SAB519" s="1358"/>
      <c r="SAC519" s="1358"/>
      <c r="SAD519" s="1358"/>
      <c r="SAE519" s="1358"/>
      <c r="SAF519" s="1358"/>
      <c r="SAG519" s="1358"/>
      <c r="SAH519" s="1358"/>
      <c r="SAI519" s="1358"/>
      <c r="SAJ519" s="1358"/>
      <c r="SAK519" s="1358"/>
      <c r="SAL519" s="1358"/>
      <c r="SAM519" s="1358"/>
      <c r="SAN519" s="1358"/>
      <c r="SAO519" s="1358"/>
      <c r="SAP519" s="1358"/>
      <c r="SAQ519" s="1358"/>
      <c r="SAR519" s="1358"/>
      <c r="SAS519" s="1358"/>
      <c r="SAT519" s="1358"/>
      <c r="SAU519" s="1358"/>
      <c r="SAV519" s="1358"/>
      <c r="SAW519" s="1358"/>
      <c r="SAX519" s="1358"/>
      <c r="SAY519" s="1358"/>
      <c r="SAZ519" s="1358"/>
      <c r="SBA519" s="1358"/>
      <c r="SBB519" s="1358"/>
      <c r="SBC519" s="1358"/>
      <c r="SBD519" s="1358"/>
      <c r="SBE519" s="1358"/>
      <c r="SBF519" s="1358"/>
      <c r="SBG519" s="1358"/>
      <c r="SBH519" s="1358"/>
      <c r="SBI519" s="1358"/>
      <c r="SBJ519" s="1358"/>
      <c r="SBK519" s="1358"/>
      <c r="SBL519" s="1358"/>
      <c r="SBM519" s="1358"/>
      <c r="SBN519" s="1358"/>
      <c r="SBO519" s="1358"/>
      <c r="SBP519" s="1358"/>
      <c r="SBQ519" s="1358"/>
      <c r="SBR519" s="1358"/>
      <c r="SBS519" s="1358"/>
      <c r="SBT519" s="1358"/>
      <c r="SBU519" s="1358"/>
      <c r="SBV519" s="1358"/>
      <c r="SBW519" s="1358"/>
      <c r="SBX519" s="1358"/>
      <c r="SBY519" s="1358"/>
      <c r="SBZ519" s="1358"/>
      <c r="SCA519" s="1358"/>
      <c r="SCB519" s="1358"/>
      <c r="SCC519" s="1358"/>
      <c r="SCD519" s="1358"/>
      <c r="SCE519" s="1358"/>
      <c r="SCF519" s="1358"/>
      <c r="SCG519" s="1358"/>
      <c r="SCH519" s="1358"/>
      <c r="SCI519" s="1358"/>
      <c r="SCJ519" s="1358"/>
      <c r="SCK519" s="1358"/>
      <c r="SCL519" s="1358"/>
      <c r="SCM519" s="1358"/>
      <c r="SCN519" s="1358"/>
      <c r="SCO519" s="1358"/>
      <c r="SCP519" s="1358"/>
      <c r="SCQ519" s="1358"/>
      <c r="SCR519" s="1358"/>
      <c r="SCS519" s="1358"/>
      <c r="SCT519" s="1358"/>
      <c r="SCU519" s="1358"/>
      <c r="SCV519" s="1358"/>
      <c r="SCW519" s="1358"/>
      <c r="SCX519" s="1358"/>
      <c r="SCY519" s="1358"/>
      <c r="SCZ519" s="1358"/>
      <c r="SDA519" s="1358"/>
      <c r="SDB519" s="1358"/>
      <c r="SDC519" s="1358"/>
      <c r="SDD519" s="1358"/>
      <c r="SDE519" s="1358"/>
      <c r="SDF519" s="1358"/>
      <c r="SDG519" s="1358"/>
      <c r="SDH519" s="1358"/>
      <c r="SDI519" s="1358"/>
      <c r="SDJ519" s="1358"/>
      <c r="SDK519" s="1358"/>
      <c r="SDL519" s="1358"/>
      <c r="SDM519" s="1358"/>
      <c r="SDN519" s="1358"/>
      <c r="SDO519" s="1358"/>
      <c r="SDP519" s="1358"/>
      <c r="SDQ519" s="1358"/>
      <c r="SDR519" s="1358"/>
      <c r="SDS519" s="1358"/>
      <c r="SDT519" s="1358"/>
      <c r="SDU519" s="1358"/>
      <c r="SDV519" s="1358"/>
      <c r="SDW519" s="1358"/>
      <c r="SDX519" s="1358"/>
      <c r="SDY519" s="1358"/>
      <c r="SDZ519" s="1358"/>
      <c r="SEA519" s="1358"/>
      <c r="SEB519" s="1358"/>
      <c r="SEC519" s="1358"/>
      <c r="SED519" s="1358"/>
      <c r="SEE519" s="1358"/>
      <c r="SEF519" s="1358"/>
      <c r="SEG519" s="1358"/>
      <c r="SEH519" s="1358"/>
      <c r="SEI519" s="1358"/>
      <c r="SEJ519" s="1358"/>
      <c r="SEK519" s="1358"/>
      <c r="SEL519" s="1358"/>
      <c r="SEM519" s="1358"/>
      <c r="SEN519" s="1358"/>
      <c r="SEO519" s="1358"/>
      <c r="SEP519" s="1358"/>
      <c r="SEQ519" s="1358"/>
      <c r="SER519" s="1358"/>
      <c r="SES519" s="1358"/>
      <c r="SET519" s="1358"/>
      <c r="SEU519" s="1358"/>
      <c r="SEV519" s="1358"/>
      <c r="SEW519" s="1358"/>
      <c r="SEX519" s="1358"/>
      <c r="SEY519" s="1358"/>
      <c r="SEZ519" s="1358"/>
      <c r="SFA519" s="1358"/>
      <c r="SFB519" s="1358"/>
      <c r="SFC519" s="1358"/>
      <c r="SFD519" s="1358"/>
      <c r="SFE519" s="1358"/>
      <c r="SFF519" s="1358"/>
      <c r="SFG519" s="1358"/>
      <c r="SFH519" s="1358"/>
      <c r="SFI519" s="1358"/>
      <c r="SFJ519" s="1358"/>
      <c r="SFK519" s="1358"/>
      <c r="SFL519" s="1358"/>
      <c r="SFM519" s="1358"/>
      <c r="SFN519" s="1358"/>
      <c r="SFO519" s="1358"/>
      <c r="SFP519" s="1358"/>
      <c r="SFQ519" s="1358"/>
      <c r="SFR519" s="1358"/>
      <c r="SFS519" s="1358"/>
      <c r="SFT519" s="1358"/>
      <c r="SFU519" s="1358"/>
      <c r="SFV519" s="1358"/>
      <c r="SFW519" s="1358"/>
      <c r="SFX519" s="1358"/>
      <c r="SFY519" s="1358"/>
      <c r="SFZ519" s="1358"/>
      <c r="SGA519" s="1358"/>
      <c r="SGB519" s="1358"/>
      <c r="SGC519" s="1358"/>
      <c r="SGD519" s="1358"/>
      <c r="SGE519" s="1358"/>
      <c r="SGF519" s="1358"/>
      <c r="SGG519" s="1358"/>
      <c r="SGH519" s="1358"/>
      <c r="SGI519" s="1358"/>
      <c r="SGJ519" s="1358"/>
      <c r="SGK519" s="1358"/>
      <c r="SGL519" s="1358"/>
      <c r="SGM519" s="1358"/>
      <c r="SGN519" s="1358"/>
      <c r="SGO519" s="1358"/>
      <c r="SGP519" s="1358"/>
      <c r="SGQ519" s="1358"/>
      <c r="SGR519" s="1358"/>
      <c r="SGS519" s="1358"/>
      <c r="SGT519" s="1358"/>
      <c r="SGU519" s="1358"/>
      <c r="SGV519" s="1358"/>
      <c r="SGW519" s="1358"/>
      <c r="SGX519" s="1358"/>
      <c r="SGY519" s="1358"/>
      <c r="SGZ519" s="1358"/>
      <c r="SHA519" s="1358"/>
      <c r="SHB519" s="1358"/>
      <c r="SHC519" s="1358"/>
      <c r="SHD519" s="1358"/>
      <c r="SHE519" s="1358"/>
      <c r="SHF519" s="1358"/>
      <c r="SHG519" s="1358"/>
      <c r="SHH519" s="1358"/>
      <c r="SHI519" s="1358"/>
      <c r="SHJ519" s="1358"/>
      <c r="SHK519" s="1358"/>
      <c r="SHL519" s="1358"/>
      <c r="SHM519" s="1358"/>
      <c r="SHN519" s="1358"/>
      <c r="SHO519" s="1358"/>
      <c r="SHP519" s="1358"/>
      <c r="SHQ519" s="1358"/>
      <c r="SHR519" s="1358"/>
      <c r="SHS519" s="1358"/>
      <c r="SHT519" s="1358"/>
      <c r="SHU519" s="1358"/>
      <c r="SHV519" s="1358"/>
      <c r="SHW519" s="1358"/>
      <c r="SHX519" s="1358"/>
      <c r="SHY519" s="1358"/>
      <c r="SHZ519" s="1358"/>
      <c r="SIA519" s="1358"/>
      <c r="SIB519" s="1358"/>
      <c r="SIC519" s="1358"/>
      <c r="SID519" s="1358"/>
      <c r="SIE519" s="1358"/>
      <c r="SIF519" s="1358"/>
      <c r="SIG519" s="1358"/>
      <c r="SIH519" s="1358"/>
      <c r="SII519" s="1358"/>
      <c r="SIJ519" s="1358"/>
      <c r="SIK519" s="1358"/>
      <c r="SIL519" s="1358"/>
      <c r="SIM519" s="1358"/>
      <c r="SIN519" s="1358"/>
      <c r="SIO519" s="1358"/>
      <c r="SIP519" s="1358"/>
      <c r="SIQ519" s="1358"/>
      <c r="SIR519" s="1358"/>
      <c r="SIS519" s="1358"/>
      <c r="SIT519" s="1358"/>
      <c r="SIU519" s="1358"/>
      <c r="SIV519" s="1358"/>
      <c r="SIW519" s="1358"/>
      <c r="SIX519" s="1358"/>
      <c r="SIY519" s="1358"/>
      <c r="SIZ519" s="1358"/>
      <c r="SJA519" s="1358"/>
      <c r="SJB519" s="1358"/>
      <c r="SJC519" s="1358"/>
      <c r="SJD519" s="1358"/>
      <c r="SJE519" s="1358"/>
      <c r="SJF519" s="1358"/>
      <c r="SJG519" s="1358"/>
      <c r="SJH519" s="1358"/>
      <c r="SJI519" s="1358"/>
      <c r="SJJ519" s="1358"/>
      <c r="SJK519" s="1358"/>
      <c r="SJL519" s="1358"/>
      <c r="SJM519" s="1358"/>
      <c r="SJN519" s="1358"/>
      <c r="SJO519" s="1358"/>
      <c r="SJP519" s="1358"/>
      <c r="SJQ519" s="1358"/>
      <c r="SJR519" s="1358"/>
      <c r="SJS519" s="1358"/>
      <c r="SJT519" s="1358"/>
      <c r="SJU519" s="1358"/>
      <c r="SJV519" s="1358"/>
      <c r="SJW519" s="1358"/>
      <c r="SJX519" s="1358"/>
      <c r="SJY519" s="1358"/>
      <c r="SJZ519" s="1358"/>
      <c r="SKA519" s="1358"/>
      <c r="SKB519" s="1358"/>
      <c r="SKC519" s="1358"/>
      <c r="SKD519" s="1358"/>
      <c r="SKE519" s="1358"/>
      <c r="SKF519" s="1358"/>
      <c r="SKG519" s="1358"/>
      <c r="SKH519" s="1358"/>
      <c r="SKI519" s="1358"/>
      <c r="SKJ519" s="1358"/>
      <c r="SKK519" s="1358"/>
      <c r="SKL519" s="1358"/>
      <c r="SKM519" s="1358"/>
      <c r="SKN519" s="1358"/>
      <c r="SKO519" s="1358"/>
      <c r="SKP519" s="1358"/>
      <c r="SKQ519" s="1358"/>
      <c r="SKR519" s="1358"/>
      <c r="SKS519" s="1358"/>
      <c r="SKT519" s="1358"/>
      <c r="SKU519" s="1358"/>
      <c r="SKV519" s="1358"/>
      <c r="SKW519" s="1358"/>
      <c r="SKX519" s="1358"/>
      <c r="SKY519" s="1358"/>
      <c r="SKZ519" s="1358"/>
      <c r="SLA519" s="1358"/>
      <c r="SLB519" s="1358"/>
      <c r="SLC519" s="1358"/>
      <c r="SLD519" s="1358"/>
      <c r="SLE519" s="1358"/>
      <c r="SLF519" s="1358"/>
      <c r="SLG519" s="1358"/>
      <c r="SLH519" s="1358"/>
      <c r="SLI519" s="1358"/>
      <c r="SLJ519" s="1358"/>
      <c r="SLK519" s="1358"/>
      <c r="SLL519" s="1358"/>
      <c r="SLM519" s="1358"/>
      <c r="SLN519" s="1358"/>
      <c r="SLO519" s="1358"/>
      <c r="SLP519" s="1358"/>
      <c r="SLQ519" s="1358"/>
      <c r="SLR519" s="1358"/>
      <c r="SLS519" s="1358"/>
      <c r="SLT519" s="1358"/>
      <c r="SLU519" s="1358"/>
      <c r="SLV519" s="1358"/>
      <c r="SLW519" s="1358"/>
      <c r="SLX519" s="1358"/>
      <c r="SLY519" s="1358"/>
      <c r="SLZ519" s="1358"/>
      <c r="SMA519" s="1358"/>
      <c r="SMB519" s="1358"/>
      <c r="SMC519" s="1358"/>
      <c r="SMD519" s="1358"/>
      <c r="SME519" s="1358"/>
      <c r="SMF519" s="1358"/>
      <c r="SMG519" s="1358"/>
      <c r="SMH519" s="1358"/>
      <c r="SMI519" s="1358"/>
      <c r="SMJ519" s="1358"/>
      <c r="SMK519" s="1358"/>
      <c r="SML519" s="1358"/>
      <c r="SMM519" s="1358"/>
      <c r="SMN519" s="1358"/>
      <c r="SMO519" s="1358"/>
      <c r="SMP519" s="1358"/>
      <c r="SMQ519" s="1358"/>
      <c r="SMR519" s="1358"/>
      <c r="SMS519" s="1358"/>
      <c r="SMT519" s="1358"/>
      <c r="SMU519" s="1358"/>
      <c r="SMV519" s="1358"/>
      <c r="SMW519" s="1358"/>
      <c r="SMX519" s="1358"/>
      <c r="SMY519" s="1358"/>
      <c r="SMZ519" s="1358"/>
      <c r="SNA519" s="1358"/>
      <c r="SNB519" s="1358"/>
      <c r="SNC519" s="1358"/>
      <c r="SND519" s="1358"/>
      <c r="SNE519" s="1358"/>
      <c r="SNF519" s="1358"/>
      <c r="SNG519" s="1358"/>
      <c r="SNH519" s="1358"/>
      <c r="SNI519" s="1358"/>
      <c r="SNJ519" s="1358"/>
      <c r="SNK519" s="1358"/>
      <c r="SNL519" s="1358"/>
      <c r="SNM519" s="1358"/>
      <c r="SNN519" s="1358"/>
      <c r="SNO519" s="1358"/>
      <c r="SNP519" s="1358"/>
      <c r="SNQ519" s="1358"/>
      <c r="SNR519" s="1358"/>
      <c r="SNS519" s="1358"/>
      <c r="SNT519" s="1358"/>
      <c r="SNU519" s="1358"/>
      <c r="SNV519" s="1358"/>
      <c r="SNW519" s="1358"/>
      <c r="SNX519" s="1358"/>
      <c r="SNY519" s="1358"/>
      <c r="SNZ519" s="1358"/>
      <c r="SOA519" s="1358"/>
      <c r="SOB519" s="1358"/>
      <c r="SOC519" s="1358"/>
      <c r="SOD519" s="1358"/>
      <c r="SOE519" s="1358"/>
      <c r="SOF519" s="1358"/>
      <c r="SOG519" s="1358"/>
      <c r="SOH519" s="1358"/>
      <c r="SOI519" s="1358"/>
      <c r="SOJ519" s="1358"/>
      <c r="SOK519" s="1358"/>
      <c r="SOL519" s="1358"/>
      <c r="SOM519" s="1358"/>
      <c r="SON519" s="1358"/>
      <c r="SOO519" s="1358"/>
      <c r="SOP519" s="1358"/>
      <c r="SOQ519" s="1358"/>
      <c r="SOR519" s="1358"/>
      <c r="SOS519" s="1358"/>
      <c r="SOT519" s="1358"/>
      <c r="SOU519" s="1358"/>
      <c r="SOV519" s="1358"/>
      <c r="SOW519" s="1358"/>
      <c r="SOX519" s="1358"/>
      <c r="SOY519" s="1358"/>
      <c r="SOZ519" s="1358"/>
      <c r="SPA519" s="1358"/>
      <c r="SPB519" s="1358"/>
      <c r="SPC519" s="1358"/>
      <c r="SPD519" s="1358"/>
      <c r="SPE519" s="1358"/>
      <c r="SPF519" s="1358"/>
      <c r="SPG519" s="1358"/>
      <c r="SPH519" s="1358"/>
      <c r="SPI519" s="1358"/>
      <c r="SPJ519" s="1358"/>
      <c r="SPK519" s="1358"/>
      <c r="SPL519" s="1358"/>
      <c r="SPM519" s="1358"/>
      <c r="SPN519" s="1358"/>
      <c r="SPO519" s="1358"/>
      <c r="SPP519" s="1358"/>
      <c r="SPQ519" s="1358"/>
      <c r="SPR519" s="1358"/>
      <c r="SPS519" s="1358"/>
      <c r="SPT519" s="1358"/>
      <c r="SPU519" s="1358"/>
      <c r="SPV519" s="1358"/>
      <c r="SPW519" s="1358"/>
      <c r="SPX519" s="1358"/>
      <c r="SPY519" s="1358"/>
      <c r="SPZ519" s="1358"/>
      <c r="SQA519" s="1358"/>
      <c r="SQB519" s="1358"/>
      <c r="SQC519" s="1358"/>
      <c r="SQD519" s="1358"/>
      <c r="SQE519" s="1358"/>
      <c r="SQF519" s="1358"/>
      <c r="SQG519" s="1358"/>
      <c r="SQH519" s="1358"/>
      <c r="SQI519" s="1358"/>
      <c r="SQJ519" s="1358"/>
      <c r="SQK519" s="1358"/>
      <c r="SQL519" s="1358"/>
      <c r="SQM519" s="1358"/>
      <c r="SQN519" s="1358"/>
      <c r="SQO519" s="1358"/>
      <c r="SQP519" s="1358"/>
      <c r="SQQ519" s="1358"/>
      <c r="SQR519" s="1358"/>
      <c r="SQS519" s="1358"/>
      <c r="SQT519" s="1358"/>
      <c r="SQU519" s="1358"/>
      <c r="SQV519" s="1358"/>
      <c r="SQW519" s="1358"/>
      <c r="SQX519" s="1358"/>
      <c r="SQY519" s="1358"/>
      <c r="SQZ519" s="1358"/>
      <c r="SRA519" s="1358"/>
      <c r="SRB519" s="1358"/>
      <c r="SRC519" s="1358"/>
      <c r="SRD519" s="1358"/>
      <c r="SRE519" s="1358"/>
      <c r="SRF519" s="1358"/>
      <c r="SRG519" s="1358"/>
      <c r="SRH519" s="1358"/>
      <c r="SRI519" s="1358"/>
      <c r="SRJ519" s="1358"/>
      <c r="SRK519" s="1358"/>
      <c r="SRL519" s="1358"/>
      <c r="SRM519" s="1358"/>
      <c r="SRN519" s="1358"/>
      <c r="SRO519" s="1358"/>
      <c r="SRP519" s="1358"/>
      <c r="SRQ519" s="1358"/>
      <c r="SRR519" s="1358"/>
      <c r="SRS519" s="1358"/>
      <c r="SRT519" s="1358"/>
      <c r="SRU519" s="1358"/>
      <c r="SRV519" s="1358"/>
      <c r="SRW519" s="1358"/>
      <c r="SRX519" s="1358"/>
      <c r="SRY519" s="1358"/>
      <c r="SRZ519" s="1358"/>
      <c r="SSA519" s="1358"/>
      <c r="SSB519" s="1358"/>
      <c r="SSC519" s="1358"/>
      <c r="SSD519" s="1358"/>
      <c r="SSE519" s="1358"/>
      <c r="SSF519" s="1358"/>
      <c r="SSG519" s="1358"/>
      <c r="SSH519" s="1358"/>
      <c r="SSI519" s="1358"/>
      <c r="SSJ519" s="1358"/>
      <c r="SSK519" s="1358"/>
      <c r="SSL519" s="1358"/>
      <c r="SSM519" s="1358"/>
      <c r="SSN519" s="1358"/>
      <c r="SSO519" s="1358"/>
      <c r="SSP519" s="1358"/>
      <c r="SSQ519" s="1358"/>
      <c r="SSR519" s="1358"/>
      <c r="SSS519" s="1358"/>
      <c r="SST519" s="1358"/>
      <c r="SSU519" s="1358"/>
      <c r="SSV519" s="1358"/>
      <c r="SSW519" s="1358"/>
      <c r="SSX519" s="1358"/>
      <c r="SSY519" s="1358"/>
      <c r="SSZ519" s="1358"/>
      <c r="STA519" s="1358"/>
      <c r="STB519" s="1358"/>
      <c r="STC519" s="1358"/>
      <c r="STD519" s="1358"/>
      <c r="STE519" s="1358"/>
      <c r="STF519" s="1358"/>
      <c r="STG519" s="1358"/>
      <c r="STH519" s="1358"/>
      <c r="STI519" s="1358"/>
      <c r="STJ519" s="1358"/>
      <c r="STK519" s="1358"/>
      <c r="STL519" s="1358"/>
      <c r="STM519" s="1358"/>
      <c r="STN519" s="1358"/>
      <c r="STO519" s="1358"/>
      <c r="STP519" s="1358"/>
      <c r="STQ519" s="1358"/>
      <c r="STR519" s="1358"/>
      <c r="STS519" s="1358"/>
      <c r="STT519" s="1358"/>
      <c r="STU519" s="1358"/>
      <c r="STV519" s="1358"/>
      <c r="STW519" s="1358"/>
      <c r="STX519" s="1358"/>
      <c r="STY519" s="1358"/>
      <c r="STZ519" s="1358"/>
      <c r="SUA519" s="1358"/>
      <c r="SUB519" s="1358"/>
      <c r="SUC519" s="1358"/>
      <c r="SUD519" s="1358"/>
      <c r="SUE519" s="1358"/>
      <c r="SUF519" s="1358"/>
      <c r="SUG519" s="1358"/>
      <c r="SUH519" s="1358"/>
      <c r="SUI519" s="1358"/>
      <c r="SUJ519" s="1358"/>
      <c r="SUK519" s="1358"/>
      <c r="SUL519" s="1358"/>
      <c r="SUM519" s="1358"/>
      <c r="SUN519" s="1358"/>
      <c r="SUO519" s="1358"/>
      <c r="SUP519" s="1358"/>
      <c r="SUQ519" s="1358"/>
      <c r="SUR519" s="1358"/>
      <c r="SUS519" s="1358"/>
      <c r="SUT519" s="1358"/>
      <c r="SUU519" s="1358"/>
      <c r="SUV519" s="1358"/>
      <c r="SUW519" s="1358"/>
      <c r="SUX519" s="1358"/>
      <c r="SUY519" s="1358"/>
      <c r="SUZ519" s="1358"/>
      <c r="SVA519" s="1358"/>
      <c r="SVB519" s="1358"/>
      <c r="SVC519" s="1358"/>
      <c r="SVD519" s="1358"/>
      <c r="SVE519" s="1358"/>
      <c r="SVF519" s="1358"/>
      <c r="SVG519" s="1358"/>
      <c r="SVH519" s="1358"/>
      <c r="SVI519" s="1358"/>
      <c r="SVJ519" s="1358"/>
      <c r="SVK519" s="1358"/>
      <c r="SVL519" s="1358"/>
      <c r="SVM519" s="1358"/>
      <c r="SVN519" s="1358"/>
      <c r="SVO519" s="1358"/>
      <c r="SVP519" s="1358"/>
      <c r="SVQ519" s="1358"/>
      <c r="SVR519" s="1358"/>
      <c r="SVS519" s="1358"/>
      <c r="SVT519" s="1358"/>
      <c r="SVU519" s="1358"/>
      <c r="SVV519" s="1358"/>
      <c r="SVW519" s="1358"/>
      <c r="SVX519" s="1358"/>
      <c r="SVY519" s="1358"/>
      <c r="SVZ519" s="1358"/>
      <c r="SWA519" s="1358"/>
      <c r="SWB519" s="1358"/>
      <c r="SWC519" s="1358"/>
      <c r="SWD519" s="1358"/>
      <c r="SWE519" s="1358"/>
      <c r="SWF519" s="1358"/>
      <c r="SWG519" s="1358"/>
      <c r="SWH519" s="1358"/>
      <c r="SWI519" s="1358"/>
      <c r="SWJ519" s="1358"/>
      <c r="SWK519" s="1358"/>
      <c r="SWL519" s="1358"/>
      <c r="SWM519" s="1358"/>
      <c r="SWN519" s="1358"/>
      <c r="SWO519" s="1358"/>
      <c r="SWP519" s="1358"/>
      <c r="SWQ519" s="1358"/>
      <c r="SWR519" s="1358"/>
      <c r="SWS519" s="1358"/>
      <c r="SWT519" s="1358"/>
      <c r="SWU519" s="1358"/>
      <c r="SWV519" s="1358"/>
      <c r="SWW519" s="1358"/>
      <c r="SWX519" s="1358"/>
      <c r="SWY519" s="1358"/>
      <c r="SWZ519" s="1358"/>
      <c r="SXA519" s="1358"/>
      <c r="SXB519" s="1358"/>
      <c r="SXC519" s="1358"/>
      <c r="SXD519" s="1358"/>
      <c r="SXE519" s="1358"/>
      <c r="SXF519" s="1358"/>
      <c r="SXG519" s="1358"/>
      <c r="SXH519" s="1358"/>
      <c r="SXI519" s="1358"/>
      <c r="SXJ519" s="1358"/>
      <c r="SXK519" s="1358"/>
      <c r="SXL519" s="1358"/>
      <c r="SXM519" s="1358"/>
      <c r="SXN519" s="1358"/>
      <c r="SXO519" s="1358"/>
      <c r="SXP519" s="1358"/>
      <c r="SXQ519" s="1358"/>
      <c r="SXR519" s="1358"/>
      <c r="SXS519" s="1358"/>
      <c r="SXT519" s="1358"/>
      <c r="SXU519" s="1358"/>
      <c r="SXV519" s="1358"/>
      <c r="SXW519" s="1358"/>
      <c r="SXX519" s="1358"/>
      <c r="SXY519" s="1358"/>
      <c r="SXZ519" s="1358"/>
      <c r="SYA519" s="1358"/>
      <c r="SYB519" s="1358"/>
      <c r="SYC519" s="1358"/>
      <c r="SYD519" s="1358"/>
      <c r="SYE519" s="1358"/>
      <c r="SYF519" s="1358"/>
      <c r="SYG519" s="1358"/>
      <c r="SYH519" s="1358"/>
      <c r="SYI519" s="1358"/>
      <c r="SYJ519" s="1358"/>
      <c r="SYK519" s="1358"/>
      <c r="SYL519" s="1358"/>
      <c r="SYM519" s="1358"/>
      <c r="SYN519" s="1358"/>
      <c r="SYO519" s="1358"/>
      <c r="SYP519" s="1358"/>
      <c r="SYQ519" s="1358"/>
      <c r="SYR519" s="1358"/>
      <c r="SYS519" s="1358"/>
      <c r="SYT519" s="1358"/>
      <c r="SYU519" s="1358"/>
      <c r="SYV519" s="1358"/>
      <c r="SYW519" s="1358"/>
      <c r="SYX519" s="1358"/>
      <c r="SYY519" s="1358"/>
      <c r="SYZ519" s="1358"/>
      <c r="SZA519" s="1358"/>
      <c r="SZB519" s="1358"/>
      <c r="SZC519" s="1358"/>
      <c r="SZD519" s="1358"/>
      <c r="SZE519" s="1358"/>
      <c r="SZF519" s="1358"/>
      <c r="SZG519" s="1358"/>
      <c r="SZH519" s="1358"/>
      <c r="SZI519" s="1358"/>
      <c r="SZJ519" s="1358"/>
      <c r="SZK519" s="1358"/>
      <c r="SZL519" s="1358"/>
      <c r="SZM519" s="1358"/>
      <c r="SZN519" s="1358"/>
      <c r="SZO519" s="1358"/>
      <c r="SZP519" s="1358"/>
      <c r="SZQ519" s="1358"/>
      <c r="SZR519" s="1358"/>
      <c r="SZS519" s="1358"/>
      <c r="SZT519" s="1358"/>
      <c r="SZU519" s="1358"/>
      <c r="SZV519" s="1358"/>
      <c r="SZW519" s="1358"/>
      <c r="SZX519" s="1358"/>
      <c r="SZY519" s="1358"/>
      <c r="SZZ519" s="1358"/>
      <c r="TAA519" s="1358"/>
      <c r="TAB519" s="1358"/>
      <c r="TAC519" s="1358"/>
      <c r="TAD519" s="1358"/>
      <c r="TAE519" s="1358"/>
      <c r="TAF519" s="1358"/>
      <c r="TAG519" s="1358"/>
      <c r="TAH519" s="1358"/>
      <c r="TAI519" s="1358"/>
      <c r="TAJ519" s="1358"/>
      <c r="TAK519" s="1358"/>
      <c r="TAL519" s="1358"/>
      <c r="TAM519" s="1358"/>
      <c r="TAN519" s="1358"/>
      <c r="TAO519" s="1358"/>
      <c r="TAP519" s="1358"/>
      <c r="TAQ519" s="1358"/>
      <c r="TAR519" s="1358"/>
      <c r="TAS519" s="1358"/>
      <c r="TAT519" s="1358"/>
      <c r="TAU519" s="1358"/>
      <c r="TAV519" s="1358"/>
      <c r="TAW519" s="1358"/>
      <c r="TAX519" s="1358"/>
      <c r="TAY519" s="1358"/>
      <c r="TAZ519" s="1358"/>
      <c r="TBA519" s="1358"/>
      <c r="TBB519" s="1358"/>
      <c r="TBC519" s="1358"/>
      <c r="TBD519" s="1358"/>
      <c r="TBE519" s="1358"/>
      <c r="TBF519" s="1358"/>
      <c r="TBG519" s="1358"/>
      <c r="TBH519" s="1358"/>
      <c r="TBI519" s="1358"/>
      <c r="TBJ519" s="1358"/>
      <c r="TBK519" s="1358"/>
      <c r="TBL519" s="1358"/>
      <c r="TBM519" s="1358"/>
      <c r="TBN519" s="1358"/>
      <c r="TBO519" s="1358"/>
      <c r="TBP519" s="1358"/>
      <c r="TBQ519" s="1358"/>
      <c r="TBR519" s="1358"/>
      <c r="TBS519" s="1358"/>
      <c r="TBT519" s="1358"/>
      <c r="TBU519" s="1358"/>
      <c r="TBV519" s="1358"/>
      <c r="TBW519" s="1358"/>
      <c r="TBX519" s="1358"/>
      <c r="TBY519" s="1358"/>
      <c r="TBZ519" s="1358"/>
      <c r="TCA519" s="1358"/>
      <c r="TCB519" s="1358"/>
      <c r="TCC519" s="1358"/>
      <c r="TCD519" s="1358"/>
      <c r="TCE519" s="1358"/>
      <c r="TCF519" s="1358"/>
      <c r="TCG519" s="1358"/>
      <c r="TCH519" s="1358"/>
      <c r="TCI519" s="1358"/>
      <c r="TCJ519" s="1358"/>
      <c r="TCK519" s="1358"/>
      <c r="TCL519" s="1358"/>
      <c r="TCM519" s="1358"/>
      <c r="TCN519" s="1358"/>
      <c r="TCO519" s="1358"/>
      <c r="TCP519" s="1358"/>
      <c r="TCQ519" s="1358"/>
      <c r="TCR519" s="1358"/>
      <c r="TCS519" s="1358"/>
      <c r="TCT519" s="1358"/>
      <c r="TCU519" s="1358"/>
      <c r="TCV519" s="1358"/>
      <c r="TCW519" s="1358"/>
      <c r="TCX519" s="1358"/>
      <c r="TCY519" s="1358"/>
      <c r="TCZ519" s="1358"/>
      <c r="TDA519" s="1358"/>
      <c r="TDB519" s="1358"/>
      <c r="TDC519" s="1358"/>
      <c r="TDD519" s="1358"/>
      <c r="TDE519" s="1358"/>
      <c r="TDF519" s="1358"/>
      <c r="TDG519" s="1358"/>
      <c r="TDH519" s="1358"/>
      <c r="TDI519" s="1358"/>
      <c r="TDJ519" s="1358"/>
      <c r="TDK519" s="1358"/>
      <c r="TDL519" s="1358"/>
      <c r="TDM519" s="1358"/>
      <c r="TDN519" s="1358"/>
      <c r="TDO519" s="1358"/>
      <c r="TDP519" s="1358"/>
      <c r="TDQ519" s="1358"/>
      <c r="TDR519" s="1358"/>
      <c r="TDS519" s="1358"/>
      <c r="TDT519" s="1358"/>
      <c r="TDU519" s="1358"/>
      <c r="TDV519" s="1358"/>
      <c r="TDW519" s="1358"/>
      <c r="TDX519" s="1358"/>
      <c r="TDY519" s="1358"/>
      <c r="TDZ519" s="1358"/>
      <c r="TEA519" s="1358"/>
      <c r="TEB519" s="1358"/>
      <c r="TEC519" s="1358"/>
      <c r="TED519" s="1358"/>
      <c r="TEE519" s="1358"/>
      <c r="TEF519" s="1358"/>
      <c r="TEG519" s="1358"/>
      <c r="TEH519" s="1358"/>
      <c r="TEI519" s="1358"/>
      <c r="TEJ519" s="1358"/>
      <c r="TEK519" s="1358"/>
      <c r="TEL519" s="1358"/>
      <c r="TEM519" s="1358"/>
      <c r="TEN519" s="1358"/>
      <c r="TEO519" s="1358"/>
      <c r="TEP519" s="1358"/>
      <c r="TEQ519" s="1358"/>
      <c r="TER519" s="1358"/>
      <c r="TES519" s="1358"/>
      <c r="TET519" s="1358"/>
      <c r="TEU519" s="1358"/>
      <c r="TEV519" s="1358"/>
      <c r="TEW519" s="1358"/>
      <c r="TEX519" s="1358"/>
      <c r="TEY519" s="1358"/>
      <c r="TEZ519" s="1358"/>
      <c r="TFA519" s="1358"/>
      <c r="TFB519" s="1358"/>
      <c r="TFC519" s="1358"/>
      <c r="TFD519" s="1358"/>
      <c r="TFE519" s="1358"/>
      <c r="TFF519" s="1358"/>
      <c r="TFG519" s="1358"/>
      <c r="TFH519" s="1358"/>
      <c r="TFI519" s="1358"/>
      <c r="TFJ519" s="1358"/>
      <c r="TFK519" s="1358"/>
      <c r="TFL519" s="1358"/>
      <c r="TFM519" s="1358"/>
      <c r="TFN519" s="1358"/>
      <c r="TFO519" s="1358"/>
      <c r="TFP519" s="1358"/>
      <c r="TFQ519" s="1358"/>
      <c r="TFR519" s="1358"/>
      <c r="TFS519" s="1358"/>
      <c r="TFT519" s="1358"/>
      <c r="TFU519" s="1358"/>
      <c r="TFV519" s="1358"/>
      <c r="TFW519" s="1358"/>
      <c r="TFX519" s="1358"/>
      <c r="TFY519" s="1358"/>
      <c r="TFZ519" s="1358"/>
      <c r="TGA519" s="1358"/>
      <c r="TGB519" s="1358"/>
      <c r="TGC519" s="1358"/>
      <c r="TGD519" s="1358"/>
      <c r="TGE519" s="1358"/>
      <c r="TGF519" s="1358"/>
      <c r="TGG519" s="1358"/>
      <c r="TGH519" s="1358"/>
      <c r="TGI519" s="1358"/>
      <c r="TGJ519" s="1358"/>
      <c r="TGK519" s="1358"/>
      <c r="TGL519" s="1358"/>
      <c r="TGM519" s="1358"/>
      <c r="TGN519" s="1358"/>
      <c r="TGO519" s="1358"/>
      <c r="TGP519" s="1358"/>
      <c r="TGQ519" s="1358"/>
      <c r="TGR519" s="1358"/>
      <c r="TGS519" s="1358"/>
      <c r="TGT519" s="1358"/>
      <c r="TGU519" s="1358"/>
      <c r="TGV519" s="1358"/>
      <c r="TGW519" s="1358"/>
      <c r="TGX519" s="1358"/>
      <c r="TGY519" s="1358"/>
      <c r="TGZ519" s="1358"/>
      <c r="THA519" s="1358"/>
      <c r="THB519" s="1358"/>
      <c r="THC519" s="1358"/>
      <c r="THD519" s="1358"/>
      <c r="THE519" s="1358"/>
      <c r="THF519" s="1358"/>
      <c r="THG519" s="1358"/>
      <c r="THH519" s="1358"/>
      <c r="THI519" s="1358"/>
      <c r="THJ519" s="1358"/>
      <c r="THK519" s="1358"/>
      <c r="THL519" s="1358"/>
      <c r="THM519" s="1358"/>
      <c r="THN519" s="1358"/>
      <c r="THO519" s="1358"/>
      <c r="THP519" s="1358"/>
      <c r="THQ519" s="1358"/>
      <c r="THR519" s="1358"/>
      <c r="THS519" s="1358"/>
      <c r="THT519" s="1358"/>
      <c r="THU519" s="1358"/>
      <c r="THV519" s="1358"/>
      <c r="THW519" s="1358"/>
      <c r="THX519" s="1358"/>
      <c r="THY519" s="1358"/>
      <c r="THZ519" s="1358"/>
      <c r="TIA519" s="1358"/>
      <c r="TIB519" s="1358"/>
      <c r="TIC519" s="1358"/>
      <c r="TID519" s="1358"/>
      <c r="TIE519" s="1358"/>
      <c r="TIF519" s="1358"/>
      <c r="TIG519" s="1358"/>
      <c r="TIH519" s="1358"/>
      <c r="TII519" s="1358"/>
      <c r="TIJ519" s="1358"/>
      <c r="TIK519" s="1358"/>
      <c r="TIL519" s="1358"/>
      <c r="TIM519" s="1358"/>
      <c r="TIN519" s="1358"/>
      <c r="TIO519" s="1358"/>
      <c r="TIP519" s="1358"/>
      <c r="TIQ519" s="1358"/>
      <c r="TIR519" s="1358"/>
      <c r="TIS519" s="1358"/>
      <c r="TIT519" s="1358"/>
      <c r="TIU519" s="1358"/>
      <c r="TIV519" s="1358"/>
      <c r="TIW519" s="1358"/>
      <c r="TIX519" s="1358"/>
      <c r="TIY519" s="1358"/>
      <c r="TIZ519" s="1358"/>
      <c r="TJA519" s="1358"/>
      <c r="TJB519" s="1358"/>
      <c r="TJC519" s="1358"/>
      <c r="TJD519" s="1358"/>
      <c r="TJE519" s="1358"/>
      <c r="TJF519" s="1358"/>
      <c r="TJG519" s="1358"/>
      <c r="TJH519" s="1358"/>
      <c r="TJI519" s="1358"/>
      <c r="TJJ519" s="1358"/>
      <c r="TJK519" s="1358"/>
      <c r="TJL519" s="1358"/>
      <c r="TJM519" s="1358"/>
      <c r="TJN519" s="1358"/>
      <c r="TJO519" s="1358"/>
      <c r="TJP519" s="1358"/>
      <c r="TJQ519" s="1358"/>
      <c r="TJR519" s="1358"/>
      <c r="TJS519" s="1358"/>
      <c r="TJT519" s="1358"/>
      <c r="TJU519" s="1358"/>
      <c r="TJV519" s="1358"/>
      <c r="TJW519" s="1358"/>
      <c r="TJX519" s="1358"/>
      <c r="TJY519" s="1358"/>
      <c r="TJZ519" s="1358"/>
      <c r="TKA519" s="1358"/>
      <c r="TKB519" s="1358"/>
      <c r="TKC519" s="1358"/>
      <c r="TKD519" s="1358"/>
      <c r="TKE519" s="1358"/>
      <c r="TKF519" s="1358"/>
      <c r="TKG519" s="1358"/>
      <c r="TKH519" s="1358"/>
      <c r="TKI519" s="1358"/>
      <c r="TKJ519" s="1358"/>
      <c r="TKK519" s="1358"/>
      <c r="TKL519" s="1358"/>
      <c r="TKM519" s="1358"/>
      <c r="TKN519" s="1358"/>
      <c r="TKO519" s="1358"/>
      <c r="TKP519" s="1358"/>
      <c r="TKQ519" s="1358"/>
      <c r="TKR519" s="1358"/>
      <c r="TKS519" s="1358"/>
      <c r="TKT519" s="1358"/>
      <c r="TKU519" s="1358"/>
      <c r="TKV519" s="1358"/>
      <c r="TKW519" s="1358"/>
      <c r="TKX519" s="1358"/>
      <c r="TKY519" s="1358"/>
      <c r="TKZ519" s="1358"/>
      <c r="TLA519" s="1358"/>
      <c r="TLB519" s="1358"/>
      <c r="TLC519" s="1358"/>
      <c r="TLD519" s="1358"/>
      <c r="TLE519" s="1358"/>
      <c r="TLF519" s="1358"/>
      <c r="TLG519" s="1358"/>
      <c r="TLH519" s="1358"/>
      <c r="TLI519" s="1358"/>
      <c r="TLJ519" s="1358"/>
      <c r="TLK519" s="1358"/>
      <c r="TLL519" s="1358"/>
      <c r="TLM519" s="1358"/>
      <c r="TLN519" s="1358"/>
      <c r="TLO519" s="1358"/>
      <c r="TLP519" s="1358"/>
      <c r="TLQ519" s="1358"/>
      <c r="TLR519" s="1358"/>
      <c r="TLS519" s="1358"/>
      <c r="TLT519" s="1358"/>
      <c r="TLU519" s="1358"/>
      <c r="TLV519" s="1358"/>
      <c r="TLW519" s="1358"/>
      <c r="TLX519" s="1358"/>
      <c r="TLY519" s="1358"/>
      <c r="TLZ519" s="1358"/>
      <c r="TMA519" s="1358"/>
      <c r="TMB519" s="1358"/>
      <c r="TMC519" s="1358"/>
      <c r="TMD519" s="1358"/>
      <c r="TME519" s="1358"/>
      <c r="TMF519" s="1358"/>
      <c r="TMG519" s="1358"/>
      <c r="TMH519" s="1358"/>
      <c r="TMI519" s="1358"/>
      <c r="TMJ519" s="1358"/>
      <c r="TMK519" s="1358"/>
      <c r="TML519" s="1358"/>
      <c r="TMM519" s="1358"/>
      <c r="TMN519" s="1358"/>
      <c r="TMO519" s="1358"/>
      <c r="TMP519" s="1358"/>
      <c r="TMQ519" s="1358"/>
      <c r="TMR519" s="1358"/>
      <c r="TMS519" s="1358"/>
      <c r="TMT519" s="1358"/>
      <c r="TMU519" s="1358"/>
      <c r="TMV519" s="1358"/>
      <c r="TMW519" s="1358"/>
      <c r="TMX519" s="1358"/>
      <c r="TMY519" s="1358"/>
      <c r="TMZ519" s="1358"/>
      <c r="TNA519" s="1358"/>
      <c r="TNB519" s="1358"/>
      <c r="TNC519" s="1358"/>
      <c r="TND519" s="1358"/>
      <c r="TNE519" s="1358"/>
      <c r="TNF519" s="1358"/>
      <c r="TNG519" s="1358"/>
      <c r="TNH519" s="1358"/>
      <c r="TNI519" s="1358"/>
      <c r="TNJ519" s="1358"/>
      <c r="TNK519" s="1358"/>
      <c r="TNL519" s="1358"/>
      <c r="TNM519" s="1358"/>
      <c r="TNN519" s="1358"/>
      <c r="TNO519" s="1358"/>
      <c r="TNP519" s="1358"/>
      <c r="TNQ519" s="1358"/>
      <c r="TNR519" s="1358"/>
      <c r="TNS519" s="1358"/>
      <c r="TNT519" s="1358"/>
      <c r="TNU519" s="1358"/>
      <c r="TNV519" s="1358"/>
      <c r="TNW519" s="1358"/>
      <c r="TNX519" s="1358"/>
      <c r="TNY519" s="1358"/>
      <c r="TNZ519" s="1358"/>
      <c r="TOA519" s="1358"/>
      <c r="TOB519" s="1358"/>
      <c r="TOC519" s="1358"/>
      <c r="TOD519" s="1358"/>
      <c r="TOE519" s="1358"/>
      <c r="TOF519" s="1358"/>
      <c r="TOG519" s="1358"/>
      <c r="TOH519" s="1358"/>
      <c r="TOI519" s="1358"/>
      <c r="TOJ519" s="1358"/>
      <c r="TOK519" s="1358"/>
      <c r="TOL519" s="1358"/>
      <c r="TOM519" s="1358"/>
      <c r="TON519" s="1358"/>
      <c r="TOO519" s="1358"/>
      <c r="TOP519" s="1358"/>
      <c r="TOQ519" s="1358"/>
      <c r="TOR519" s="1358"/>
      <c r="TOS519" s="1358"/>
      <c r="TOT519" s="1358"/>
      <c r="TOU519" s="1358"/>
      <c r="TOV519" s="1358"/>
      <c r="TOW519" s="1358"/>
      <c r="TOX519" s="1358"/>
      <c r="TOY519" s="1358"/>
      <c r="TOZ519" s="1358"/>
      <c r="TPA519" s="1358"/>
      <c r="TPB519" s="1358"/>
      <c r="TPC519" s="1358"/>
      <c r="TPD519" s="1358"/>
      <c r="TPE519" s="1358"/>
      <c r="TPF519" s="1358"/>
      <c r="TPG519" s="1358"/>
      <c r="TPH519" s="1358"/>
      <c r="TPI519" s="1358"/>
      <c r="TPJ519" s="1358"/>
      <c r="TPK519" s="1358"/>
      <c r="TPL519" s="1358"/>
      <c r="TPM519" s="1358"/>
      <c r="TPN519" s="1358"/>
      <c r="TPO519" s="1358"/>
      <c r="TPP519" s="1358"/>
      <c r="TPQ519" s="1358"/>
      <c r="TPR519" s="1358"/>
      <c r="TPS519" s="1358"/>
      <c r="TPT519" s="1358"/>
      <c r="TPU519" s="1358"/>
      <c r="TPV519" s="1358"/>
      <c r="TPW519" s="1358"/>
      <c r="TPX519" s="1358"/>
      <c r="TPY519" s="1358"/>
      <c r="TPZ519" s="1358"/>
      <c r="TQA519" s="1358"/>
      <c r="TQB519" s="1358"/>
      <c r="TQC519" s="1358"/>
      <c r="TQD519" s="1358"/>
      <c r="TQE519" s="1358"/>
      <c r="TQF519" s="1358"/>
      <c r="TQG519" s="1358"/>
      <c r="TQH519" s="1358"/>
      <c r="TQI519" s="1358"/>
      <c r="TQJ519" s="1358"/>
      <c r="TQK519" s="1358"/>
      <c r="TQL519" s="1358"/>
      <c r="TQM519" s="1358"/>
      <c r="TQN519" s="1358"/>
      <c r="TQO519" s="1358"/>
      <c r="TQP519" s="1358"/>
      <c r="TQQ519" s="1358"/>
      <c r="TQR519" s="1358"/>
      <c r="TQS519" s="1358"/>
      <c r="TQT519" s="1358"/>
      <c r="TQU519" s="1358"/>
      <c r="TQV519" s="1358"/>
      <c r="TQW519" s="1358"/>
      <c r="TQX519" s="1358"/>
      <c r="TQY519" s="1358"/>
      <c r="TQZ519" s="1358"/>
      <c r="TRA519" s="1358"/>
      <c r="TRB519" s="1358"/>
      <c r="TRC519" s="1358"/>
      <c r="TRD519" s="1358"/>
      <c r="TRE519" s="1358"/>
      <c r="TRF519" s="1358"/>
      <c r="TRG519" s="1358"/>
      <c r="TRH519" s="1358"/>
      <c r="TRI519" s="1358"/>
      <c r="TRJ519" s="1358"/>
      <c r="TRK519" s="1358"/>
      <c r="TRL519" s="1358"/>
      <c r="TRM519" s="1358"/>
      <c r="TRN519" s="1358"/>
      <c r="TRO519" s="1358"/>
      <c r="TRP519" s="1358"/>
      <c r="TRQ519" s="1358"/>
      <c r="TRR519" s="1358"/>
      <c r="TRS519" s="1358"/>
      <c r="TRT519" s="1358"/>
      <c r="TRU519" s="1358"/>
      <c r="TRV519" s="1358"/>
      <c r="TRW519" s="1358"/>
      <c r="TRX519" s="1358"/>
      <c r="TRY519" s="1358"/>
      <c r="TRZ519" s="1358"/>
      <c r="TSA519" s="1358"/>
      <c r="TSB519" s="1358"/>
      <c r="TSC519" s="1358"/>
      <c r="TSD519" s="1358"/>
      <c r="TSE519" s="1358"/>
      <c r="TSF519" s="1358"/>
      <c r="TSG519" s="1358"/>
      <c r="TSH519" s="1358"/>
      <c r="TSI519" s="1358"/>
      <c r="TSJ519" s="1358"/>
      <c r="TSK519" s="1358"/>
      <c r="TSL519" s="1358"/>
      <c r="TSM519" s="1358"/>
      <c r="TSN519" s="1358"/>
      <c r="TSO519" s="1358"/>
      <c r="TSP519" s="1358"/>
      <c r="TSQ519" s="1358"/>
      <c r="TSR519" s="1358"/>
      <c r="TSS519" s="1358"/>
      <c r="TST519" s="1358"/>
      <c r="TSU519" s="1358"/>
      <c r="TSV519" s="1358"/>
      <c r="TSW519" s="1358"/>
      <c r="TSX519" s="1358"/>
      <c r="TSY519" s="1358"/>
      <c r="TSZ519" s="1358"/>
      <c r="TTA519" s="1358"/>
      <c r="TTB519" s="1358"/>
      <c r="TTC519" s="1358"/>
      <c r="TTD519" s="1358"/>
      <c r="TTE519" s="1358"/>
      <c r="TTF519" s="1358"/>
      <c r="TTG519" s="1358"/>
      <c r="TTH519" s="1358"/>
      <c r="TTI519" s="1358"/>
      <c r="TTJ519" s="1358"/>
      <c r="TTK519" s="1358"/>
      <c r="TTL519" s="1358"/>
      <c r="TTM519" s="1358"/>
      <c r="TTN519" s="1358"/>
      <c r="TTO519" s="1358"/>
      <c r="TTP519" s="1358"/>
      <c r="TTQ519" s="1358"/>
      <c r="TTR519" s="1358"/>
      <c r="TTS519" s="1358"/>
      <c r="TTT519" s="1358"/>
      <c r="TTU519" s="1358"/>
      <c r="TTV519" s="1358"/>
      <c r="TTW519" s="1358"/>
      <c r="TTX519" s="1358"/>
      <c r="TTY519" s="1358"/>
      <c r="TTZ519" s="1358"/>
      <c r="TUA519" s="1358"/>
      <c r="TUB519" s="1358"/>
      <c r="TUC519" s="1358"/>
      <c r="TUD519" s="1358"/>
      <c r="TUE519" s="1358"/>
      <c r="TUF519" s="1358"/>
      <c r="TUG519" s="1358"/>
      <c r="TUH519" s="1358"/>
      <c r="TUI519" s="1358"/>
      <c r="TUJ519" s="1358"/>
      <c r="TUK519" s="1358"/>
      <c r="TUL519" s="1358"/>
      <c r="TUM519" s="1358"/>
      <c r="TUN519" s="1358"/>
      <c r="TUO519" s="1358"/>
      <c r="TUP519" s="1358"/>
      <c r="TUQ519" s="1358"/>
      <c r="TUR519" s="1358"/>
      <c r="TUS519" s="1358"/>
      <c r="TUT519" s="1358"/>
      <c r="TUU519" s="1358"/>
      <c r="TUV519" s="1358"/>
      <c r="TUW519" s="1358"/>
      <c r="TUX519" s="1358"/>
      <c r="TUY519" s="1358"/>
      <c r="TUZ519" s="1358"/>
      <c r="TVA519" s="1358"/>
      <c r="TVB519" s="1358"/>
      <c r="TVC519" s="1358"/>
      <c r="TVD519" s="1358"/>
      <c r="TVE519" s="1358"/>
      <c r="TVF519" s="1358"/>
      <c r="TVG519" s="1358"/>
      <c r="TVH519" s="1358"/>
      <c r="TVI519" s="1358"/>
      <c r="TVJ519" s="1358"/>
      <c r="TVK519" s="1358"/>
      <c r="TVL519" s="1358"/>
      <c r="TVM519" s="1358"/>
      <c r="TVN519" s="1358"/>
      <c r="TVO519" s="1358"/>
      <c r="TVP519" s="1358"/>
      <c r="TVQ519" s="1358"/>
      <c r="TVR519" s="1358"/>
      <c r="TVS519" s="1358"/>
      <c r="TVT519" s="1358"/>
      <c r="TVU519" s="1358"/>
      <c r="TVV519" s="1358"/>
      <c r="TVW519" s="1358"/>
      <c r="TVX519" s="1358"/>
      <c r="TVY519" s="1358"/>
      <c r="TVZ519" s="1358"/>
      <c r="TWA519" s="1358"/>
      <c r="TWB519" s="1358"/>
      <c r="TWC519" s="1358"/>
      <c r="TWD519" s="1358"/>
      <c r="TWE519" s="1358"/>
      <c r="TWF519" s="1358"/>
      <c r="TWG519" s="1358"/>
      <c r="TWH519" s="1358"/>
      <c r="TWI519" s="1358"/>
      <c r="TWJ519" s="1358"/>
      <c r="TWK519" s="1358"/>
      <c r="TWL519" s="1358"/>
      <c r="TWM519" s="1358"/>
      <c r="TWN519" s="1358"/>
      <c r="TWO519" s="1358"/>
      <c r="TWP519" s="1358"/>
      <c r="TWQ519" s="1358"/>
      <c r="TWR519" s="1358"/>
      <c r="TWS519" s="1358"/>
      <c r="TWT519" s="1358"/>
      <c r="TWU519" s="1358"/>
      <c r="TWV519" s="1358"/>
      <c r="TWW519" s="1358"/>
      <c r="TWX519" s="1358"/>
      <c r="TWY519" s="1358"/>
      <c r="TWZ519" s="1358"/>
      <c r="TXA519" s="1358"/>
      <c r="TXB519" s="1358"/>
      <c r="TXC519" s="1358"/>
      <c r="TXD519" s="1358"/>
      <c r="TXE519" s="1358"/>
      <c r="TXF519" s="1358"/>
      <c r="TXG519" s="1358"/>
      <c r="TXH519" s="1358"/>
      <c r="TXI519" s="1358"/>
      <c r="TXJ519" s="1358"/>
      <c r="TXK519" s="1358"/>
      <c r="TXL519" s="1358"/>
      <c r="TXM519" s="1358"/>
      <c r="TXN519" s="1358"/>
      <c r="TXO519" s="1358"/>
      <c r="TXP519" s="1358"/>
      <c r="TXQ519" s="1358"/>
      <c r="TXR519" s="1358"/>
      <c r="TXS519" s="1358"/>
      <c r="TXT519" s="1358"/>
      <c r="TXU519" s="1358"/>
      <c r="TXV519" s="1358"/>
      <c r="TXW519" s="1358"/>
      <c r="TXX519" s="1358"/>
      <c r="TXY519" s="1358"/>
      <c r="TXZ519" s="1358"/>
      <c r="TYA519" s="1358"/>
      <c r="TYB519" s="1358"/>
      <c r="TYC519" s="1358"/>
      <c r="TYD519" s="1358"/>
      <c r="TYE519" s="1358"/>
      <c r="TYF519" s="1358"/>
      <c r="TYG519" s="1358"/>
      <c r="TYH519" s="1358"/>
      <c r="TYI519" s="1358"/>
      <c r="TYJ519" s="1358"/>
      <c r="TYK519" s="1358"/>
      <c r="TYL519" s="1358"/>
      <c r="TYM519" s="1358"/>
      <c r="TYN519" s="1358"/>
      <c r="TYO519" s="1358"/>
      <c r="TYP519" s="1358"/>
      <c r="TYQ519" s="1358"/>
      <c r="TYR519" s="1358"/>
      <c r="TYS519" s="1358"/>
      <c r="TYT519" s="1358"/>
      <c r="TYU519" s="1358"/>
      <c r="TYV519" s="1358"/>
      <c r="TYW519" s="1358"/>
      <c r="TYX519" s="1358"/>
      <c r="TYY519" s="1358"/>
      <c r="TYZ519" s="1358"/>
      <c r="TZA519" s="1358"/>
      <c r="TZB519" s="1358"/>
      <c r="TZC519" s="1358"/>
      <c r="TZD519" s="1358"/>
      <c r="TZE519" s="1358"/>
      <c r="TZF519" s="1358"/>
      <c r="TZG519" s="1358"/>
      <c r="TZH519" s="1358"/>
      <c r="TZI519" s="1358"/>
      <c r="TZJ519" s="1358"/>
      <c r="TZK519" s="1358"/>
      <c r="TZL519" s="1358"/>
      <c r="TZM519" s="1358"/>
      <c r="TZN519" s="1358"/>
      <c r="TZO519" s="1358"/>
      <c r="TZP519" s="1358"/>
      <c r="TZQ519" s="1358"/>
      <c r="TZR519" s="1358"/>
      <c r="TZS519" s="1358"/>
      <c r="TZT519" s="1358"/>
      <c r="TZU519" s="1358"/>
      <c r="TZV519" s="1358"/>
      <c r="TZW519" s="1358"/>
      <c r="TZX519" s="1358"/>
      <c r="TZY519" s="1358"/>
      <c r="TZZ519" s="1358"/>
      <c r="UAA519" s="1358"/>
      <c r="UAB519" s="1358"/>
      <c r="UAC519" s="1358"/>
      <c r="UAD519" s="1358"/>
      <c r="UAE519" s="1358"/>
      <c r="UAF519" s="1358"/>
      <c r="UAG519" s="1358"/>
      <c r="UAH519" s="1358"/>
      <c r="UAI519" s="1358"/>
      <c r="UAJ519" s="1358"/>
      <c r="UAK519" s="1358"/>
      <c r="UAL519" s="1358"/>
      <c r="UAM519" s="1358"/>
      <c r="UAN519" s="1358"/>
      <c r="UAO519" s="1358"/>
      <c r="UAP519" s="1358"/>
      <c r="UAQ519" s="1358"/>
      <c r="UAR519" s="1358"/>
      <c r="UAS519" s="1358"/>
      <c r="UAT519" s="1358"/>
      <c r="UAU519" s="1358"/>
      <c r="UAV519" s="1358"/>
      <c r="UAW519" s="1358"/>
      <c r="UAX519" s="1358"/>
      <c r="UAY519" s="1358"/>
      <c r="UAZ519" s="1358"/>
      <c r="UBA519" s="1358"/>
      <c r="UBB519" s="1358"/>
      <c r="UBC519" s="1358"/>
      <c r="UBD519" s="1358"/>
      <c r="UBE519" s="1358"/>
      <c r="UBF519" s="1358"/>
      <c r="UBG519" s="1358"/>
      <c r="UBH519" s="1358"/>
      <c r="UBI519" s="1358"/>
      <c r="UBJ519" s="1358"/>
      <c r="UBK519" s="1358"/>
      <c r="UBL519" s="1358"/>
      <c r="UBM519" s="1358"/>
      <c r="UBN519" s="1358"/>
      <c r="UBO519" s="1358"/>
      <c r="UBP519" s="1358"/>
      <c r="UBQ519" s="1358"/>
      <c r="UBR519" s="1358"/>
      <c r="UBS519" s="1358"/>
      <c r="UBT519" s="1358"/>
      <c r="UBU519" s="1358"/>
      <c r="UBV519" s="1358"/>
      <c r="UBW519" s="1358"/>
      <c r="UBX519" s="1358"/>
      <c r="UBY519" s="1358"/>
      <c r="UBZ519" s="1358"/>
      <c r="UCA519" s="1358"/>
      <c r="UCB519" s="1358"/>
      <c r="UCC519" s="1358"/>
      <c r="UCD519" s="1358"/>
      <c r="UCE519" s="1358"/>
      <c r="UCF519" s="1358"/>
      <c r="UCG519" s="1358"/>
      <c r="UCH519" s="1358"/>
      <c r="UCI519" s="1358"/>
      <c r="UCJ519" s="1358"/>
      <c r="UCK519" s="1358"/>
      <c r="UCL519" s="1358"/>
      <c r="UCM519" s="1358"/>
      <c r="UCN519" s="1358"/>
      <c r="UCO519" s="1358"/>
      <c r="UCP519" s="1358"/>
      <c r="UCQ519" s="1358"/>
      <c r="UCR519" s="1358"/>
      <c r="UCS519" s="1358"/>
      <c r="UCT519" s="1358"/>
      <c r="UCU519" s="1358"/>
      <c r="UCV519" s="1358"/>
      <c r="UCW519" s="1358"/>
      <c r="UCX519" s="1358"/>
      <c r="UCY519" s="1358"/>
      <c r="UCZ519" s="1358"/>
      <c r="UDA519" s="1358"/>
      <c r="UDB519" s="1358"/>
      <c r="UDC519" s="1358"/>
      <c r="UDD519" s="1358"/>
      <c r="UDE519" s="1358"/>
      <c r="UDF519" s="1358"/>
      <c r="UDG519" s="1358"/>
      <c r="UDH519" s="1358"/>
      <c r="UDI519" s="1358"/>
      <c r="UDJ519" s="1358"/>
      <c r="UDK519" s="1358"/>
      <c r="UDL519" s="1358"/>
      <c r="UDM519" s="1358"/>
      <c r="UDN519" s="1358"/>
      <c r="UDO519" s="1358"/>
      <c r="UDP519" s="1358"/>
      <c r="UDQ519" s="1358"/>
      <c r="UDR519" s="1358"/>
      <c r="UDS519" s="1358"/>
      <c r="UDT519" s="1358"/>
      <c r="UDU519" s="1358"/>
      <c r="UDV519" s="1358"/>
      <c r="UDW519" s="1358"/>
      <c r="UDX519" s="1358"/>
      <c r="UDY519" s="1358"/>
      <c r="UDZ519" s="1358"/>
      <c r="UEA519" s="1358"/>
      <c r="UEB519" s="1358"/>
      <c r="UEC519" s="1358"/>
      <c r="UED519" s="1358"/>
      <c r="UEE519" s="1358"/>
      <c r="UEF519" s="1358"/>
      <c r="UEG519" s="1358"/>
      <c r="UEH519" s="1358"/>
      <c r="UEI519" s="1358"/>
      <c r="UEJ519" s="1358"/>
      <c r="UEK519" s="1358"/>
      <c r="UEL519" s="1358"/>
      <c r="UEM519" s="1358"/>
      <c r="UEN519" s="1358"/>
      <c r="UEO519" s="1358"/>
      <c r="UEP519" s="1358"/>
      <c r="UEQ519" s="1358"/>
      <c r="UER519" s="1358"/>
      <c r="UES519" s="1358"/>
      <c r="UET519" s="1358"/>
      <c r="UEU519" s="1358"/>
      <c r="UEV519" s="1358"/>
      <c r="UEW519" s="1358"/>
      <c r="UEX519" s="1358"/>
      <c r="UEY519" s="1358"/>
      <c r="UEZ519" s="1358"/>
      <c r="UFA519" s="1358"/>
      <c r="UFB519" s="1358"/>
      <c r="UFC519" s="1358"/>
      <c r="UFD519" s="1358"/>
      <c r="UFE519" s="1358"/>
      <c r="UFF519" s="1358"/>
      <c r="UFG519" s="1358"/>
      <c r="UFH519" s="1358"/>
      <c r="UFI519" s="1358"/>
      <c r="UFJ519" s="1358"/>
      <c r="UFK519" s="1358"/>
      <c r="UFL519" s="1358"/>
      <c r="UFM519" s="1358"/>
      <c r="UFN519" s="1358"/>
      <c r="UFO519" s="1358"/>
      <c r="UFP519" s="1358"/>
      <c r="UFQ519" s="1358"/>
      <c r="UFR519" s="1358"/>
      <c r="UFS519" s="1358"/>
      <c r="UFT519" s="1358"/>
      <c r="UFU519" s="1358"/>
      <c r="UFV519" s="1358"/>
      <c r="UFW519" s="1358"/>
      <c r="UFX519" s="1358"/>
      <c r="UFY519" s="1358"/>
      <c r="UFZ519" s="1358"/>
      <c r="UGA519" s="1358"/>
      <c r="UGB519" s="1358"/>
      <c r="UGC519" s="1358"/>
      <c r="UGD519" s="1358"/>
      <c r="UGE519" s="1358"/>
      <c r="UGF519" s="1358"/>
      <c r="UGG519" s="1358"/>
      <c r="UGH519" s="1358"/>
      <c r="UGI519" s="1358"/>
      <c r="UGJ519" s="1358"/>
      <c r="UGK519" s="1358"/>
      <c r="UGL519" s="1358"/>
      <c r="UGM519" s="1358"/>
      <c r="UGN519" s="1358"/>
      <c r="UGO519" s="1358"/>
      <c r="UGP519" s="1358"/>
      <c r="UGQ519" s="1358"/>
      <c r="UGR519" s="1358"/>
      <c r="UGS519" s="1358"/>
      <c r="UGT519" s="1358"/>
      <c r="UGU519" s="1358"/>
      <c r="UGV519" s="1358"/>
      <c r="UGW519" s="1358"/>
      <c r="UGX519" s="1358"/>
      <c r="UGY519" s="1358"/>
      <c r="UGZ519" s="1358"/>
      <c r="UHA519" s="1358"/>
      <c r="UHB519" s="1358"/>
      <c r="UHC519" s="1358"/>
      <c r="UHD519" s="1358"/>
      <c r="UHE519" s="1358"/>
      <c r="UHF519" s="1358"/>
      <c r="UHG519" s="1358"/>
      <c r="UHH519" s="1358"/>
      <c r="UHI519" s="1358"/>
      <c r="UHJ519" s="1358"/>
      <c r="UHK519" s="1358"/>
      <c r="UHL519" s="1358"/>
      <c r="UHM519" s="1358"/>
      <c r="UHN519" s="1358"/>
      <c r="UHO519" s="1358"/>
      <c r="UHP519" s="1358"/>
      <c r="UHQ519" s="1358"/>
      <c r="UHR519" s="1358"/>
      <c r="UHS519" s="1358"/>
      <c r="UHT519" s="1358"/>
      <c r="UHU519" s="1358"/>
      <c r="UHV519" s="1358"/>
      <c r="UHW519" s="1358"/>
      <c r="UHX519" s="1358"/>
      <c r="UHY519" s="1358"/>
      <c r="UHZ519" s="1358"/>
      <c r="UIA519" s="1358"/>
      <c r="UIB519" s="1358"/>
      <c r="UIC519" s="1358"/>
      <c r="UID519" s="1358"/>
      <c r="UIE519" s="1358"/>
      <c r="UIF519" s="1358"/>
      <c r="UIG519" s="1358"/>
      <c r="UIH519" s="1358"/>
      <c r="UII519" s="1358"/>
      <c r="UIJ519" s="1358"/>
      <c r="UIK519" s="1358"/>
      <c r="UIL519" s="1358"/>
      <c r="UIM519" s="1358"/>
      <c r="UIN519" s="1358"/>
      <c r="UIO519" s="1358"/>
      <c r="UIP519" s="1358"/>
      <c r="UIQ519" s="1358"/>
      <c r="UIR519" s="1358"/>
      <c r="UIS519" s="1358"/>
      <c r="UIT519" s="1358"/>
      <c r="UIU519" s="1358"/>
      <c r="UIV519" s="1358"/>
      <c r="UIW519" s="1358"/>
      <c r="UIX519" s="1358"/>
      <c r="UIY519" s="1358"/>
      <c r="UIZ519" s="1358"/>
      <c r="UJA519" s="1358"/>
      <c r="UJB519" s="1358"/>
      <c r="UJC519" s="1358"/>
      <c r="UJD519" s="1358"/>
      <c r="UJE519" s="1358"/>
      <c r="UJF519" s="1358"/>
      <c r="UJG519" s="1358"/>
      <c r="UJH519" s="1358"/>
      <c r="UJI519" s="1358"/>
      <c r="UJJ519" s="1358"/>
      <c r="UJK519" s="1358"/>
      <c r="UJL519" s="1358"/>
      <c r="UJM519" s="1358"/>
      <c r="UJN519" s="1358"/>
      <c r="UJO519" s="1358"/>
      <c r="UJP519" s="1358"/>
      <c r="UJQ519" s="1358"/>
      <c r="UJR519" s="1358"/>
      <c r="UJS519" s="1358"/>
      <c r="UJT519" s="1358"/>
      <c r="UJU519" s="1358"/>
      <c r="UJV519" s="1358"/>
      <c r="UJW519" s="1358"/>
      <c r="UJX519" s="1358"/>
      <c r="UJY519" s="1358"/>
      <c r="UJZ519" s="1358"/>
      <c r="UKA519" s="1358"/>
      <c r="UKB519" s="1358"/>
      <c r="UKC519" s="1358"/>
      <c r="UKD519" s="1358"/>
      <c r="UKE519" s="1358"/>
      <c r="UKF519" s="1358"/>
      <c r="UKG519" s="1358"/>
      <c r="UKH519" s="1358"/>
      <c r="UKI519" s="1358"/>
      <c r="UKJ519" s="1358"/>
      <c r="UKK519" s="1358"/>
      <c r="UKL519" s="1358"/>
      <c r="UKM519" s="1358"/>
      <c r="UKN519" s="1358"/>
      <c r="UKO519" s="1358"/>
      <c r="UKP519" s="1358"/>
      <c r="UKQ519" s="1358"/>
      <c r="UKR519" s="1358"/>
      <c r="UKS519" s="1358"/>
      <c r="UKT519" s="1358"/>
      <c r="UKU519" s="1358"/>
      <c r="UKV519" s="1358"/>
      <c r="UKW519" s="1358"/>
      <c r="UKX519" s="1358"/>
      <c r="UKY519" s="1358"/>
      <c r="UKZ519" s="1358"/>
      <c r="ULA519" s="1358"/>
      <c r="ULB519" s="1358"/>
      <c r="ULC519" s="1358"/>
      <c r="ULD519" s="1358"/>
      <c r="ULE519" s="1358"/>
      <c r="ULF519" s="1358"/>
      <c r="ULG519" s="1358"/>
      <c r="ULH519" s="1358"/>
      <c r="ULI519" s="1358"/>
      <c r="ULJ519" s="1358"/>
      <c r="ULK519" s="1358"/>
      <c r="ULL519" s="1358"/>
      <c r="ULM519" s="1358"/>
      <c r="ULN519" s="1358"/>
      <c r="ULO519" s="1358"/>
      <c r="ULP519" s="1358"/>
      <c r="ULQ519" s="1358"/>
      <c r="ULR519" s="1358"/>
      <c r="ULS519" s="1358"/>
      <c r="ULT519" s="1358"/>
      <c r="ULU519" s="1358"/>
      <c r="ULV519" s="1358"/>
      <c r="ULW519" s="1358"/>
      <c r="ULX519" s="1358"/>
      <c r="ULY519" s="1358"/>
      <c r="ULZ519" s="1358"/>
      <c r="UMA519" s="1358"/>
      <c r="UMB519" s="1358"/>
      <c r="UMC519" s="1358"/>
      <c r="UMD519" s="1358"/>
      <c r="UME519" s="1358"/>
      <c r="UMF519" s="1358"/>
      <c r="UMG519" s="1358"/>
      <c r="UMH519" s="1358"/>
      <c r="UMI519" s="1358"/>
      <c r="UMJ519" s="1358"/>
      <c r="UMK519" s="1358"/>
      <c r="UML519" s="1358"/>
      <c r="UMM519" s="1358"/>
      <c r="UMN519" s="1358"/>
      <c r="UMO519" s="1358"/>
      <c r="UMP519" s="1358"/>
      <c r="UMQ519" s="1358"/>
      <c r="UMR519" s="1358"/>
      <c r="UMS519" s="1358"/>
      <c r="UMT519" s="1358"/>
      <c r="UMU519" s="1358"/>
      <c r="UMV519" s="1358"/>
      <c r="UMW519" s="1358"/>
      <c r="UMX519" s="1358"/>
      <c r="UMY519" s="1358"/>
      <c r="UMZ519" s="1358"/>
      <c r="UNA519" s="1358"/>
      <c r="UNB519" s="1358"/>
      <c r="UNC519" s="1358"/>
      <c r="UND519" s="1358"/>
      <c r="UNE519" s="1358"/>
      <c r="UNF519" s="1358"/>
      <c r="UNG519" s="1358"/>
      <c r="UNH519" s="1358"/>
      <c r="UNI519" s="1358"/>
      <c r="UNJ519" s="1358"/>
      <c r="UNK519" s="1358"/>
      <c r="UNL519" s="1358"/>
      <c r="UNM519" s="1358"/>
      <c r="UNN519" s="1358"/>
      <c r="UNO519" s="1358"/>
      <c r="UNP519" s="1358"/>
      <c r="UNQ519" s="1358"/>
      <c r="UNR519" s="1358"/>
      <c r="UNS519" s="1358"/>
      <c r="UNT519" s="1358"/>
      <c r="UNU519" s="1358"/>
      <c r="UNV519" s="1358"/>
      <c r="UNW519" s="1358"/>
      <c r="UNX519" s="1358"/>
      <c r="UNY519" s="1358"/>
      <c r="UNZ519" s="1358"/>
      <c r="UOA519" s="1358"/>
      <c r="UOB519" s="1358"/>
      <c r="UOC519" s="1358"/>
      <c r="UOD519" s="1358"/>
      <c r="UOE519" s="1358"/>
      <c r="UOF519" s="1358"/>
      <c r="UOG519" s="1358"/>
      <c r="UOH519" s="1358"/>
      <c r="UOI519" s="1358"/>
      <c r="UOJ519" s="1358"/>
      <c r="UOK519" s="1358"/>
      <c r="UOL519" s="1358"/>
      <c r="UOM519" s="1358"/>
      <c r="UON519" s="1358"/>
      <c r="UOO519" s="1358"/>
      <c r="UOP519" s="1358"/>
      <c r="UOQ519" s="1358"/>
      <c r="UOR519" s="1358"/>
      <c r="UOS519" s="1358"/>
      <c r="UOT519" s="1358"/>
      <c r="UOU519" s="1358"/>
      <c r="UOV519" s="1358"/>
      <c r="UOW519" s="1358"/>
      <c r="UOX519" s="1358"/>
      <c r="UOY519" s="1358"/>
      <c r="UOZ519" s="1358"/>
      <c r="UPA519" s="1358"/>
      <c r="UPB519" s="1358"/>
      <c r="UPC519" s="1358"/>
      <c r="UPD519" s="1358"/>
      <c r="UPE519" s="1358"/>
      <c r="UPF519" s="1358"/>
      <c r="UPG519" s="1358"/>
      <c r="UPH519" s="1358"/>
      <c r="UPI519" s="1358"/>
      <c r="UPJ519" s="1358"/>
      <c r="UPK519" s="1358"/>
      <c r="UPL519" s="1358"/>
      <c r="UPM519" s="1358"/>
      <c r="UPN519" s="1358"/>
      <c r="UPO519" s="1358"/>
      <c r="UPP519" s="1358"/>
      <c r="UPQ519" s="1358"/>
      <c r="UPR519" s="1358"/>
      <c r="UPS519" s="1358"/>
      <c r="UPT519" s="1358"/>
      <c r="UPU519" s="1358"/>
      <c r="UPV519" s="1358"/>
      <c r="UPW519" s="1358"/>
      <c r="UPX519" s="1358"/>
      <c r="UPY519" s="1358"/>
      <c r="UPZ519" s="1358"/>
      <c r="UQA519" s="1358"/>
      <c r="UQB519" s="1358"/>
      <c r="UQC519" s="1358"/>
      <c r="UQD519" s="1358"/>
      <c r="UQE519" s="1358"/>
      <c r="UQF519" s="1358"/>
      <c r="UQG519" s="1358"/>
      <c r="UQH519" s="1358"/>
      <c r="UQI519" s="1358"/>
      <c r="UQJ519" s="1358"/>
      <c r="UQK519" s="1358"/>
      <c r="UQL519" s="1358"/>
      <c r="UQM519" s="1358"/>
      <c r="UQN519" s="1358"/>
      <c r="UQO519" s="1358"/>
      <c r="UQP519" s="1358"/>
      <c r="UQQ519" s="1358"/>
      <c r="UQR519" s="1358"/>
      <c r="UQS519" s="1358"/>
      <c r="UQT519" s="1358"/>
      <c r="UQU519" s="1358"/>
      <c r="UQV519" s="1358"/>
      <c r="UQW519" s="1358"/>
      <c r="UQX519" s="1358"/>
      <c r="UQY519" s="1358"/>
      <c r="UQZ519" s="1358"/>
      <c r="URA519" s="1358"/>
      <c r="URB519" s="1358"/>
      <c r="URC519" s="1358"/>
      <c r="URD519" s="1358"/>
      <c r="URE519" s="1358"/>
      <c r="URF519" s="1358"/>
      <c r="URG519" s="1358"/>
      <c r="URH519" s="1358"/>
      <c r="URI519" s="1358"/>
      <c r="URJ519" s="1358"/>
      <c r="URK519" s="1358"/>
      <c r="URL519" s="1358"/>
      <c r="URM519" s="1358"/>
      <c r="URN519" s="1358"/>
      <c r="URO519" s="1358"/>
      <c r="URP519" s="1358"/>
      <c r="URQ519" s="1358"/>
      <c r="URR519" s="1358"/>
      <c r="URS519" s="1358"/>
      <c r="URT519" s="1358"/>
      <c r="URU519" s="1358"/>
      <c r="URV519" s="1358"/>
      <c r="URW519" s="1358"/>
      <c r="URX519" s="1358"/>
      <c r="URY519" s="1358"/>
      <c r="URZ519" s="1358"/>
      <c r="USA519" s="1358"/>
      <c r="USB519" s="1358"/>
      <c r="USC519" s="1358"/>
      <c r="USD519" s="1358"/>
      <c r="USE519" s="1358"/>
      <c r="USF519" s="1358"/>
      <c r="USG519" s="1358"/>
      <c r="USH519" s="1358"/>
      <c r="USI519" s="1358"/>
      <c r="USJ519" s="1358"/>
      <c r="USK519" s="1358"/>
      <c r="USL519" s="1358"/>
      <c r="USM519" s="1358"/>
      <c r="USN519" s="1358"/>
      <c r="USO519" s="1358"/>
      <c r="USP519" s="1358"/>
      <c r="USQ519" s="1358"/>
      <c r="USR519" s="1358"/>
      <c r="USS519" s="1358"/>
      <c r="UST519" s="1358"/>
      <c r="USU519" s="1358"/>
      <c r="USV519" s="1358"/>
      <c r="USW519" s="1358"/>
      <c r="USX519" s="1358"/>
      <c r="USY519" s="1358"/>
      <c r="USZ519" s="1358"/>
      <c r="UTA519" s="1358"/>
      <c r="UTB519" s="1358"/>
      <c r="UTC519" s="1358"/>
      <c r="UTD519" s="1358"/>
      <c r="UTE519" s="1358"/>
      <c r="UTF519" s="1358"/>
      <c r="UTG519" s="1358"/>
      <c r="UTH519" s="1358"/>
      <c r="UTI519" s="1358"/>
      <c r="UTJ519" s="1358"/>
      <c r="UTK519" s="1358"/>
      <c r="UTL519" s="1358"/>
      <c r="UTM519" s="1358"/>
      <c r="UTN519" s="1358"/>
      <c r="UTO519" s="1358"/>
      <c r="UTP519" s="1358"/>
      <c r="UTQ519" s="1358"/>
      <c r="UTR519" s="1358"/>
      <c r="UTS519" s="1358"/>
      <c r="UTT519" s="1358"/>
      <c r="UTU519" s="1358"/>
      <c r="UTV519" s="1358"/>
      <c r="UTW519" s="1358"/>
      <c r="UTX519" s="1358"/>
      <c r="UTY519" s="1358"/>
      <c r="UTZ519" s="1358"/>
      <c r="UUA519" s="1358"/>
      <c r="UUB519" s="1358"/>
      <c r="UUC519" s="1358"/>
      <c r="UUD519" s="1358"/>
      <c r="UUE519" s="1358"/>
      <c r="UUF519" s="1358"/>
      <c r="UUG519" s="1358"/>
      <c r="UUH519" s="1358"/>
      <c r="UUI519" s="1358"/>
      <c r="UUJ519" s="1358"/>
      <c r="UUK519" s="1358"/>
      <c r="UUL519" s="1358"/>
      <c r="UUM519" s="1358"/>
      <c r="UUN519" s="1358"/>
      <c r="UUO519" s="1358"/>
      <c r="UUP519" s="1358"/>
      <c r="UUQ519" s="1358"/>
      <c r="UUR519" s="1358"/>
      <c r="UUS519" s="1358"/>
      <c r="UUT519" s="1358"/>
      <c r="UUU519" s="1358"/>
      <c r="UUV519" s="1358"/>
      <c r="UUW519" s="1358"/>
      <c r="UUX519" s="1358"/>
      <c r="UUY519" s="1358"/>
      <c r="UUZ519" s="1358"/>
      <c r="UVA519" s="1358"/>
      <c r="UVB519" s="1358"/>
      <c r="UVC519" s="1358"/>
      <c r="UVD519" s="1358"/>
      <c r="UVE519" s="1358"/>
      <c r="UVF519" s="1358"/>
      <c r="UVG519" s="1358"/>
      <c r="UVH519" s="1358"/>
      <c r="UVI519" s="1358"/>
      <c r="UVJ519" s="1358"/>
      <c r="UVK519" s="1358"/>
      <c r="UVL519" s="1358"/>
      <c r="UVM519" s="1358"/>
      <c r="UVN519" s="1358"/>
      <c r="UVO519" s="1358"/>
      <c r="UVP519" s="1358"/>
      <c r="UVQ519" s="1358"/>
      <c r="UVR519" s="1358"/>
      <c r="UVS519" s="1358"/>
      <c r="UVT519" s="1358"/>
      <c r="UVU519" s="1358"/>
      <c r="UVV519" s="1358"/>
      <c r="UVW519" s="1358"/>
      <c r="UVX519" s="1358"/>
      <c r="UVY519" s="1358"/>
      <c r="UVZ519" s="1358"/>
      <c r="UWA519" s="1358"/>
      <c r="UWB519" s="1358"/>
      <c r="UWC519" s="1358"/>
      <c r="UWD519" s="1358"/>
      <c r="UWE519" s="1358"/>
      <c r="UWF519" s="1358"/>
      <c r="UWG519" s="1358"/>
      <c r="UWH519" s="1358"/>
      <c r="UWI519" s="1358"/>
      <c r="UWJ519" s="1358"/>
      <c r="UWK519" s="1358"/>
      <c r="UWL519" s="1358"/>
      <c r="UWM519" s="1358"/>
      <c r="UWN519" s="1358"/>
      <c r="UWO519" s="1358"/>
      <c r="UWP519" s="1358"/>
      <c r="UWQ519" s="1358"/>
      <c r="UWR519" s="1358"/>
      <c r="UWS519" s="1358"/>
      <c r="UWT519" s="1358"/>
      <c r="UWU519" s="1358"/>
      <c r="UWV519" s="1358"/>
      <c r="UWW519" s="1358"/>
      <c r="UWX519" s="1358"/>
      <c r="UWY519" s="1358"/>
      <c r="UWZ519" s="1358"/>
      <c r="UXA519" s="1358"/>
      <c r="UXB519" s="1358"/>
      <c r="UXC519" s="1358"/>
      <c r="UXD519" s="1358"/>
      <c r="UXE519" s="1358"/>
      <c r="UXF519" s="1358"/>
      <c r="UXG519" s="1358"/>
      <c r="UXH519" s="1358"/>
      <c r="UXI519" s="1358"/>
      <c r="UXJ519" s="1358"/>
      <c r="UXK519" s="1358"/>
      <c r="UXL519" s="1358"/>
      <c r="UXM519" s="1358"/>
      <c r="UXN519" s="1358"/>
      <c r="UXO519" s="1358"/>
      <c r="UXP519" s="1358"/>
      <c r="UXQ519" s="1358"/>
      <c r="UXR519" s="1358"/>
      <c r="UXS519" s="1358"/>
      <c r="UXT519" s="1358"/>
      <c r="UXU519" s="1358"/>
      <c r="UXV519" s="1358"/>
      <c r="UXW519" s="1358"/>
      <c r="UXX519" s="1358"/>
      <c r="UXY519" s="1358"/>
      <c r="UXZ519" s="1358"/>
      <c r="UYA519" s="1358"/>
      <c r="UYB519" s="1358"/>
      <c r="UYC519" s="1358"/>
      <c r="UYD519" s="1358"/>
      <c r="UYE519" s="1358"/>
      <c r="UYF519" s="1358"/>
      <c r="UYG519" s="1358"/>
      <c r="UYH519" s="1358"/>
      <c r="UYI519" s="1358"/>
      <c r="UYJ519" s="1358"/>
      <c r="UYK519" s="1358"/>
      <c r="UYL519" s="1358"/>
      <c r="UYM519" s="1358"/>
      <c r="UYN519" s="1358"/>
      <c r="UYO519" s="1358"/>
      <c r="UYP519" s="1358"/>
      <c r="UYQ519" s="1358"/>
      <c r="UYR519" s="1358"/>
      <c r="UYS519" s="1358"/>
      <c r="UYT519" s="1358"/>
      <c r="UYU519" s="1358"/>
      <c r="UYV519" s="1358"/>
      <c r="UYW519" s="1358"/>
      <c r="UYX519" s="1358"/>
      <c r="UYY519" s="1358"/>
      <c r="UYZ519" s="1358"/>
      <c r="UZA519" s="1358"/>
      <c r="UZB519" s="1358"/>
      <c r="UZC519" s="1358"/>
      <c r="UZD519" s="1358"/>
      <c r="UZE519" s="1358"/>
      <c r="UZF519" s="1358"/>
      <c r="UZG519" s="1358"/>
      <c r="UZH519" s="1358"/>
      <c r="UZI519" s="1358"/>
      <c r="UZJ519" s="1358"/>
      <c r="UZK519" s="1358"/>
      <c r="UZL519" s="1358"/>
      <c r="UZM519" s="1358"/>
      <c r="UZN519" s="1358"/>
      <c r="UZO519" s="1358"/>
      <c r="UZP519" s="1358"/>
      <c r="UZQ519" s="1358"/>
      <c r="UZR519" s="1358"/>
      <c r="UZS519" s="1358"/>
      <c r="UZT519" s="1358"/>
      <c r="UZU519" s="1358"/>
      <c r="UZV519" s="1358"/>
      <c r="UZW519" s="1358"/>
      <c r="UZX519" s="1358"/>
      <c r="UZY519" s="1358"/>
      <c r="UZZ519" s="1358"/>
      <c r="VAA519" s="1358"/>
      <c r="VAB519" s="1358"/>
      <c r="VAC519" s="1358"/>
      <c r="VAD519" s="1358"/>
      <c r="VAE519" s="1358"/>
      <c r="VAF519" s="1358"/>
      <c r="VAG519" s="1358"/>
      <c r="VAH519" s="1358"/>
      <c r="VAI519" s="1358"/>
      <c r="VAJ519" s="1358"/>
      <c r="VAK519" s="1358"/>
      <c r="VAL519" s="1358"/>
      <c r="VAM519" s="1358"/>
      <c r="VAN519" s="1358"/>
      <c r="VAO519" s="1358"/>
      <c r="VAP519" s="1358"/>
      <c r="VAQ519" s="1358"/>
      <c r="VAR519" s="1358"/>
      <c r="VAS519" s="1358"/>
      <c r="VAT519" s="1358"/>
      <c r="VAU519" s="1358"/>
      <c r="VAV519" s="1358"/>
      <c r="VAW519" s="1358"/>
      <c r="VAX519" s="1358"/>
      <c r="VAY519" s="1358"/>
      <c r="VAZ519" s="1358"/>
      <c r="VBA519" s="1358"/>
      <c r="VBB519" s="1358"/>
      <c r="VBC519" s="1358"/>
      <c r="VBD519" s="1358"/>
      <c r="VBE519" s="1358"/>
      <c r="VBF519" s="1358"/>
      <c r="VBG519" s="1358"/>
      <c r="VBH519" s="1358"/>
      <c r="VBI519" s="1358"/>
      <c r="VBJ519" s="1358"/>
      <c r="VBK519" s="1358"/>
      <c r="VBL519" s="1358"/>
      <c r="VBM519" s="1358"/>
      <c r="VBN519" s="1358"/>
      <c r="VBO519" s="1358"/>
      <c r="VBP519" s="1358"/>
      <c r="VBQ519" s="1358"/>
      <c r="VBR519" s="1358"/>
      <c r="VBS519" s="1358"/>
      <c r="VBT519" s="1358"/>
      <c r="VBU519" s="1358"/>
      <c r="VBV519" s="1358"/>
      <c r="VBW519" s="1358"/>
      <c r="VBX519" s="1358"/>
      <c r="VBY519" s="1358"/>
      <c r="VBZ519" s="1358"/>
      <c r="VCA519" s="1358"/>
      <c r="VCB519" s="1358"/>
      <c r="VCC519" s="1358"/>
      <c r="VCD519" s="1358"/>
      <c r="VCE519" s="1358"/>
      <c r="VCF519" s="1358"/>
      <c r="VCG519" s="1358"/>
      <c r="VCH519" s="1358"/>
      <c r="VCI519" s="1358"/>
      <c r="VCJ519" s="1358"/>
      <c r="VCK519" s="1358"/>
      <c r="VCL519" s="1358"/>
      <c r="VCM519" s="1358"/>
      <c r="VCN519" s="1358"/>
      <c r="VCO519" s="1358"/>
      <c r="VCP519" s="1358"/>
      <c r="VCQ519" s="1358"/>
      <c r="VCR519" s="1358"/>
      <c r="VCS519" s="1358"/>
      <c r="VCT519" s="1358"/>
      <c r="VCU519" s="1358"/>
      <c r="VCV519" s="1358"/>
      <c r="VCW519" s="1358"/>
      <c r="VCX519" s="1358"/>
      <c r="VCY519" s="1358"/>
      <c r="VCZ519" s="1358"/>
      <c r="VDA519" s="1358"/>
      <c r="VDB519" s="1358"/>
      <c r="VDC519" s="1358"/>
      <c r="VDD519" s="1358"/>
      <c r="VDE519" s="1358"/>
      <c r="VDF519" s="1358"/>
      <c r="VDG519" s="1358"/>
      <c r="VDH519" s="1358"/>
      <c r="VDI519" s="1358"/>
      <c r="VDJ519" s="1358"/>
      <c r="VDK519" s="1358"/>
      <c r="VDL519" s="1358"/>
      <c r="VDM519" s="1358"/>
      <c r="VDN519" s="1358"/>
      <c r="VDO519" s="1358"/>
      <c r="VDP519" s="1358"/>
      <c r="VDQ519" s="1358"/>
      <c r="VDR519" s="1358"/>
      <c r="VDS519" s="1358"/>
      <c r="VDT519" s="1358"/>
      <c r="VDU519" s="1358"/>
      <c r="VDV519" s="1358"/>
      <c r="VDW519" s="1358"/>
      <c r="VDX519" s="1358"/>
      <c r="VDY519" s="1358"/>
      <c r="VDZ519" s="1358"/>
      <c r="VEA519" s="1358"/>
      <c r="VEB519" s="1358"/>
      <c r="VEC519" s="1358"/>
      <c r="VED519" s="1358"/>
      <c r="VEE519" s="1358"/>
      <c r="VEF519" s="1358"/>
      <c r="VEG519" s="1358"/>
      <c r="VEH519" s="1358"/>
      <c r="VEI519" s="1358"/>
      <c r="VEJ519" s="1358"/>
      <c r="VEK519" s="1358"/>
      <c r="VEL519" s="1358"/>
      <c r="VEM519" s="1358"/>
      <c r="VEN519" s="1358"/>
      <c r="VEO519" s="1358"/>
      <c r="VEP519" s="1358"/>
      <c r="VEQ519" s="1358"/>
      <c r="VER519" s="1358"/>
      <c r="VES519" s="1358"/>
      <c r="VET519" s="1358"/>
      <c r="VEU519" s="1358"/>
      <c r="VEV519" s="1358"/>
      <c r="VEW519" s="1358"/>
      <c r="VEX519" s="1358"/>
      <c r="VEY519" s="1358"/>
      <c r="VEZ519" s="1358"/>
      <c r="VFA519" s="1358"/>
      <c r="VFB519" s="1358"/>
      <c r="VFC519" s="1358"/>
      <c r="VFD519" s="1358"/>
      <c r="VFE519" s="1358"/>
      <c r="VFF519" s="1358"/>
      <c r="VFG519" s="1358"/>
      <c r="VFH519" s="1358"/>
      <c r="VFI519" s="1358"/>
      <c r="VFJ519" s="1358"/>
      <c r="VFK519" s="1358"/>
      <c r="VFL519" s="1358"/>
      <c r="VFM519" s="1358"/>
      <c r="VFN519" s="1358"/>
      <c r="VFO519" s="1358"/>
      <c r="VFP519" s="1358"/>
      <c r="VFQ519" s="1358"/>
      <c r="VFR519" s="1358"/>
      <c r="VFS519" s="1358"/>
      <c r="VFT519" s="1358"/>
      <c r="VFU519" s="1358"/>
      <c r="VFV519" s="1358"/>
      <c r="VFW519" s="1358"/>
      <c r="VFX519" s="1358"/>
      <c r="VFY519" s="1358"/>
      <c r="VFZ519" s="1358"/>
      <c r="VGA519" s="1358"/>
      <c r="VGB519" s="1358"/>
      <c r="VGC519" s="1358"/>
      <c r="VGD519" s="1358"/>
      <c r="VGE519" s="1358"/>
      <c r="VGF519" s="1358"/>
      <c r="VGG519" s="1358"/>
      <c r="VGH519" s="1358"/>
      <c r="VGI519" s="1358"/>
      <c r="VGJ519" s="1358"/>
      <c r="VGK519" s="1358"/>
      <c r="VGL519" s="1358"/>
      <c r="VGM519" s="1358"/>
      <c r="VGN519" s="1358"/>
      <c r="VGO519" s="1358"/>
      <c r="VGP519" s="1358"/>
      <c r="VGQ519" s="1358"/>
      <c r="VGR519" s="1358"/>
      <c r="VGS519" s="1358"/>
      <c r="VGT519" s="1358"/>
      <c r="VGU519" s="1358"/>
      <c r="VGV519" s="1358"/>
      <c r="VGW519" s="1358"/>
      <c r="VGX519" s="1358"/>
      <c r="VGY519" s="1358"/>
      <c r="VGZ519" s="1358"/>
      <c r="VHA519" s="1358"/>
      <c r="VHB519" s="1358"/>
      <c r="VHC519" s="1358"/>
      <c r="VHD519" s="1358"/>
      <c r="VHE519" s="1358"/>
      <c r="VHF519" s="1358"/>
      <c r="VHG519" s="1358"/>
      <c r="VHH519" s="1358"/>
      <c r="VHI519" s="1358"/>
      <c r="VHJ519" s="1358"/>
      <c r="VHK519" s="1358"/>
      <c r="VHL519" s="1358"/>
      <c r="VHM519" s="1358"/>
      <c r="VHN519" s="1358"/>
      <c r="VHO519" s="1358"/>
      <c r="VHP519" s="1358"/>
      <c r="VHQ519" s="1358"/>
      <c r="VHR519" s="1358"/>
      <c r="VHS519" s="1358"/>
      <c r="VHT519" s="1358"/>
      <c r="VHU519" s="1358"/>
      <c r="VHV519" s="1358"/>
      <c r="VHW519" s="1358"/>
      <c r="VHX519" s="1358"/>
      <c r="VHY519" s="1358"/>
      <c r="VHZ519" s="1358"/>
      <c r="VIA519" s="1358"/>
      <c r="VIB519" s="1358"/>
      <c r="VIC519" s="1358"/>
      <c r="VID519" s="1358"/>
      <c r="VIE519" s="1358"/>
      <c r="VIF519" s="1358"/>
      <c r="VIG519" s="1358"/>
      <c r="VIH519" s="1358"/>
      <c r="VII519" s="1358"/>
      <c r="VIJ519" s="1358"/>
      <c r="VIK519" s="1358"/>
      <c r="VIL519" s="1358"/>
      <c r="VIM519" s="1358"/>
      <c r="VIN519" s="1358"/>
      <c r="VIO519" s="1358"/>
      <c r="VIP519" s="1358"/>
      <c r="VIQ519" s="1358"/>
      <c r="VIR519" s="1358"/>
      <c r="VIS519" s="1358"/>
      <c r="VIT519" s="1358"/>
      <c r="VIU519" s="1358"/>
      <c r="VIV519" s="1358"/>
      <c r="VIW519" s="1358"/>
      <c r="VIX519" s="1358"/>
      <c r="VIY519" s="1358"/>
      <c r="VIZ519" s="1358"/>
      <c r="VJA519" s="1358"/>
      <c r="VJB519" s="1358"/>
      <c r="VJC519" s="1358"/>
      <c r="VJD519" s="1358"/>
      <c r="VJE519" s="1358"/>
      <c r="VJF519" s="1358"/>
      <c r="VJG519" s="1358"/>
      <c r="VJH519" s="1358"/>
      <c r="VJI519" s="1358"/>
      <c r="VJJ519" s="1358"/>
      <c r="VJK519" s="1358"/>
      <c r="VJL519" s="1358"/>
      <c r="VJM519" s="1358"/>
      <c r="VJN519" s="1358"/>
      <c r="VJO519" s="1358"/>
      <c r="VJP519" s="1358"/>
      <c r="VJQ519" s="1358"/>
      <c r="VJR519" s="1358"/>
      <c r="VJS519" s="1358"/>
      <c r="VJT519" s="1358"/>
      <c r="VJU519" s="1358"/>
      <c r="VJV519" s="1358"/>
      <c r="VJW519" s="1358"/>
      <c r="VJX519" s="1358"/>
      <c r="VJY519" s="1358"/>
      <c r="VJZ519" s="1358"/>
      <c r="VKA519" s="1358"/>
      <c r="VKB519" s="1358"/>
      <c r="VKC519" s="1358"/>
      <c r="VKD519" s="1358"/>
      <c r="VKE519" s="1358"/>
      <c r="VKF519" s="1358"/>
      <c r="VKG519" s="1358"/>
      <c r="VKH519" s="1358"/>
      <c r="VKI519" s="1358"/>
      <c r="VKJ519" s="1358"/>
      <c r="VKK519" s="1358"/>
      <c r="VKL519" s="1358"/>
      <c r="VKM519" s="1358"/>
      <c r="VKN519" s="1358"/>
      <c r="VKO519" s="1358"/>
      <c r="VKP519" s="1358"/>
      <c r="VKQ519" s="1358"/>
      <c r="VKR519" s="1358"/>
      <c r="VKS519" s="1358"/>
      <c r="VKT519" s="1358"/>
      <c r="VKU519" s="1358"/>
      <c r="VKV519" s="1358"/>
      <c r="VKW519" s="1358"/>
      <c r="VKX519" s="1358"/>
      <c r="VKY519" s="1358"/>
      <c r="VKZ519" s="1358"/>
      <c r="VLA519" s="1358"/>
      <c r="VLB519" s="1358"/>
      <c r="VLC519" s="1358"/>
      <c r="VLD519" s="1358"/>
      <c r="VLE519" s="1358"/>
      <c r="VLF519" s="1358"/>
      <c r="VLG519" s="1358"/>
      <c r="VLH519" s="1358"/>
      <c r="VLI519" s="1358"/>
      <c r="VLJ519" s="1358"/>
      <c r="VLK519" s="1358"/>
      <c r="VLL519" s="1358"/>
      <c r="VLM519" s="1358"/>
      <c r="VLN519" s="1358"/>
      <c r="VLO519" s="1358"/>
      <c r="VLP519" s="1358"/>
      <c r="VLQ519" s="1358"/>
      <c r="VLR519" s="1358"/>
      <c r="VLS519" s="1358"/>
      <c r="VLT519" s="1358"/>
      <c r="VLU519" s="1358"/>
      <c r="VLV519" s="1358"/>
      <c r="VLW519" s="1358"/>
      <c r="VLX519" s="1358"/>
      <c r="VLY519" s="1358"/>
      <c r="VLZ519" s="1358"/>
      <c r="VMA519" s="1358"/>
      <c r="VMB519" s="1358"/>
      <c r="VMC519" s="1358"/>
      <c r="VMD519" s="1358"/>
      <c r="VME519" s="1358"/>
      <c r="VMF519" s="1358"/>
      <c r="VMG519" s="1358"/>
      <c r="VMH519" s="1358"/>
      <c r="VMI519" s="1358"/>
      <c r="VMJ519" s="1358"/>
      <c r="VMK519" s="1358"/>
      <c r="VML519" s="1358"/>
      <c r="VMM519" s="1358"/>
      <c r="VMN519" s="1358"/>
      <c r="VMO519" s="1358"/>
      <c r="VMP519" s="1358"/>
      <c r="VMQ519" s="1358"/>
      <c r="VMR519" s="1358"/>
      <c r="VMS519" s="1358"/>
      <c r="VMT519" s="1358"/>
      <c r="VMU519" s="1358"/>
      <c r="VMV519" s="1358"/>
      <c r="VMW519" s="1358"/>
      <c r="VMX519" s="1358"/>
      <c r="VMY519" s="1358"/>
      <c r="VMZ519" s="1358"/>
      <c r="VNA519" s="1358"/>
      <c r="VNB519" s="1358"/>
      <c r="VNC519" s="1358"/>
      <c r="VND519" s="1358"/>
      <c r="VNE519" s="1358"/>
      <c r="VNF519" s="1358"/>
      <c r="VNG519" s="1358"/>
      <c r="VNH519" s="1358"/>
      <c r="VNI519" s="1358"/>
      <c r="VNJ519" s="1358"/>
      <c r="VNK519" s="1358"/>
      <c r="VNL519" s="1358"/>
      <c r="VNM519" s="1358"/>
      <c r="VNN519" s="1358"/>
      <c r="VNO519" s="1358"/>
      <c r="VNP519" s="1358"/>
      <c r="VNQ519" s="1358"/>
      <c r="VNR519" s="1358"/>
      <c r="VNS519" s="1358"/>
      <c r="VNT519" s="1358"/>
      <c r="VNU519" s="1358"/>
      <c r="VNV519" s="1358"/>
      <c r="VNW519" s="1358"/>
      <c r="VNX519" s="1358"/>
      <c r="VNY519" s="1358"/>
      <c r="VNZ519" s="1358"/>
      <c r="VOA519" s="1358"/>
      <c r="VOB519" s="1358"/>
      <c r="VOC519" s="1358"/>
      <c r="VOD519" s="1358"/>
      <c r="VOE519" s="1358"/>
      <c r="VOF519" s="1358"/>
      <c r="VOG519" s="1358"/>
      <c r="VOH519" s="1358"/>
      <c r="VOI519" s="1358"/>
      <c r="VOJ519" s="1358"/>
      <c r="VOK519" s="1358"/>
      <c r="VOL519" s="1358"/>
      <c r="VOM519" s="1358"/>
      <c r="VON519" s="1358"/>
      <c r="VOO519" s="1358"/>
      <c r="VOP519" s="1358"/>
      <c r="VOQ519" s="1358"/>
      <c r="VOR519" s="1358"/>
      <c r="VOS519" s="1358"/>
      <c r="VOT519" s="1358"/>
      <c r="VOU519" s="1358"/>
      <c r="VOV519" s="1358"/>
      <c r="VOW519" s="1358"/>
      <c r="VOX519" s="1358"/>
      <c r="VOY519" s="1358"/>
      <c r="VOZ519" s="1358"/>
      <c r="VPA519" s="1358"/>
      <c r="VPB519" s="1358"/>
      <c r="VPC519" s="1358"/>
      <c r="VPD519" s="1358"/>
      <c r="VPE519" s="1358"/>
      <c r="VPF519" s="1358"/>
      <c r="VPG519" s="1358"/>
      <c r="VPH519" s="1358"/>
      <c r="VPI519" s="1358"/>
      <c r="VPJ519" s="1358"/>
      <c r="VPK519" s="1358"/>
      <c r="VPL519" s="1358"/>
      <c r="VPM519" s="1358"/>
      <c r="VPN519" s="1358"/>
      <c r="VPO519" s="1358"/>
      <c r="VPP519" s="1358"/>
      <c r="VPQ519" s="1358"/>
      <c r="VPR519" s="1358"/>
      <c r="VPS519" s="1358"/>
      <c r="VPT519" s="1358"/>
      <c r="VPU519" s="1358"/>
      <c r="VPV519" s="1358"/>
      <c r="VPW519" s="1358"/>
      <c r="VPX519" s="1358"/>
      <c r="VPY519" s="1358"/>
      <c r="VPZ519" s="1358"/>
      <c r="VQA519" s="1358"/>
      <c r="VQB519" s="1358"/>
      <c r="VQC519" s="1358"/>
      <c r="VQD519" s="1358"/>
      <c r="VQE519" s="1358"/>
      <c r="VQF519" s="1358"/>
      <c r="VQG519" s="1358"/>
      <c r="VQH519" s="1358"/>
      <c r="VQI519" s="1358"/>
      <c r="VQJ519" s="1358"/>
      <c r="VQK519" s="1358"/>
      <c r="VQL519" s="1358"/>
      <c r="VQM519" s="1358"/>
      <c r="VQN519" s="1358"/>
      <c r="VQO519" s="1358"/>
      <c r="VQP519" s="1358"/>
      <c r="VQQ519" s="1358"/>
      <c r="VQR519" s="1358"/>
      <c r="VQS519" s="1358"/>
      <c r="VQT519" s="1358"/>
      <c r="VQU519" s="1358"/>
      <c r="VQV519" s="1358"/>
      <c r="VQW519" s="1358"/>
      <c r="VQX519" s="1358"/>
      <c r="VQY519" s="1358"/>
      <c r="VQZ519" s="1358"/>
      <c r="VRA519" s="1358"/>
      <c r="VRB519" s="1358"/>
      <c r="VRC519" s="1358"/>
      <c r="VRD519" s="1358"/>
      <c r="VRE519" s="1358"/>
      <c r="VRF519" s="1358"/>
      <c r="VRG519" s="1358"/>
      <c r="VRH519" s="1358"/>
      <c r="VRI519" s="1358"/>
      <c r="VRJ519" s="1358"/>
      <c r="VRK519" s="1358"/>
      <c r="VRL519" s="1358"/>
      <c r="VRM519" s="1358"/>
      <c r="VRN519" s="1358"/>
      <c r="VRO519" s="1358"/>
      <c r="VRP519" s="1358"/>
      <c r="VRQ519" s="1358"/>
      <c r="VRR519" s="1358"/>
      <c r="VRS519" s="1358"/>
      <c r="VRT519" s="1358"/>
      <c r="VRU519" s="1358"/>
      <c r="VRV519" s="1358"/>
      <c r="VRW519" s="1358"/>
      <c r="VRX519" s="1358"/>
      <c r="VRY519" s="1358"/>
      <c r="VRZ519" s="1358"/>
      <c r="VSA519" s="1358"/>
      <c r="VSB519" s="1358"/>
      <c r="VSC519" s="1358"/>
      <c r="VSD519" s="1358"/>
      <c r="VSE519" s="1358"/>
      <c r="VSF519" s="1358"/>
      <c r="VSG519" s="1358"/>
      <c r="VSH519" s="1358"/>
      <c r="VSI519" s="1358"/>
      <c r="VSJ519" s="1358"/>
      <c r="VSK519" s="1358"/>
      <c r="VSL519" s="1358"/>
      <c r="VSM519" s="1358"/>
      <c r="VSN519" s="1358"/>
      <c r="VSO519" s="1358"/>
      <c r="VSP519" s="1358"/>
      <c r="VSQ519" s="1358"/>
      <c r="VSR519" s="1358"/>
      <c r="VSS519" s="1358"/>
      <c r="VST519" s="1358"/>
      <c r="VSU519" s="1358"/>
      <c r="VSV519" s="1358"/>
      <c r="VSW519" s="1358"/>
      <c r="VSX519" s="1358"/>
      <c r="VSY519" s="1358"/>
      <c r="VSZ519" s="1358"/>
      <c r="VTA519" s="1358"/>
      <c r="VTB519" s="1358"/>
      <c r="VTC519" s="1358"/>
      <c r="VTD519" s="1358"/>
      <c r="VTE519" s="1358"/>
      <c r="VTF519" s="1358"/>
      <c r="VTG519" s="1358"/>
      <c r="VTH519" s="1358"/>
      <c r="VTI519" s="1358"/>
      <c r="VTJ519" s="1358"/>
      <c r="VTK519" s="1358"/>
      <c r="VTL519" s="1358"/>
      <c r="VTM519" s="1358"/>
      <c r="VTN519" s="1358"/>
      <c r="VTO519" s="1358"/>
      <c r="VTP519" s="1358"/>
      <c r="VTQ519" s="1358"/>
      <c r="VTR519" s="1358"/>
      <c r="VTS519" s="1358"/>
      <c r="VTT519" s="1358"/>
      <c r="VTU519" s="1358"/>
      <c r="VTV519" s="1358"/>
      <c r="VTW519" s="1358"/>
      <c r="VTX519" s="1358"/>
      <c r="VTY519" s="1358"/>
      <c r="VTZ519" s="1358"/>
      <c r="VUA519" s="1358"/>
      <c r="VUB519" s="1358"/>
      <c r="VUC519" s="1358"/>
      <c r="VUD519" s="1358"/>
      <c r="VUE519" s="1358"/>
      <c r="VUF519" s="1358"/>
      <c r="VUG519" s="1358"/>
      <c r="VUH519" s="1358"/>
      <c r="VUI519" s="1358"/>
      <c r="VUJ519" s="1358"/>
      <c r="VUK519" s="1358"/>
      <c r="VUL519" s="1358"/>
      <c r="VUM519" s="1358"/>
      <c r="VUN519" s="1358"/>
      <c r="VUO519" s="1358"/>
      <c r="VUP519" s="1358"/>
      <c r="VUQ519" s="1358"/>
      <c r="VUR519" s="1358"/>
      <c r="VUS519" s="1358"/>
      <c r="VUT519" s="1358"/>
      <c r="VUU519" s="1358"/>
      <c r="VUV519" s="1358"/>
      <c r="VUW519" s="1358"/>
      <c r="VUX519" s="1358"/>
      <c r="VUY519" s="1358"/>
      <c r="VUZ519" s="1358"/>
      <c r="VVA519" s="1358"/>
      <c r="VVB519" s="1358"/>
      <c r="VVC519" s="1358"/>
      <c r="VVD519" s="1358"/>
      <c r="VVE519" s="1358"/>
      <c r="VVF519" s="1358"/>
      <c r="VVG519" s="1358"/>
      <c r="VVH519" s="1358"/>
      <c r="VVI519" s="1358"/>
      <c r="VVJ519" s="1358"/>
      <c r="VVK519" s="1358"/>
      <c r="VVL519" s="1358"/>
      <c r="VVM519" s="1358"/>
      <c r="VVN519" s="1358"/>
      <c r="VVO519" s="1358"/>
      <c r="VVP519" s="1358"/>
      <c r="VVQ519" s="1358"/>
      <c r="VVR519" s="1358"/>
      <c r="VVS519" s="1358"/>
      <c r="VVT519" s="1358"/>
      <c r="VVU519" s="1358"/>
      <c r="VVV519" s="1358"/>
      <c r="VVW519" s="1358"/>
      <c r="VVX519" s="1358"/>
      <c r="VVY519" s="1358"/>
      <c r="VVZ519" s="1358"/>
      <c r="VWA519" s="1358"/>
      <c r="VWB519" s="1358"/>
      <c r="VWC519" s="1358"/>
      <c r="VWD519" s="1358"/>
      <c r="VWE519" s="1358"/>
      <c r="VWF519" s="1358"/>
      <c r="VWG519" s="1358"/>
      <c r="VWH519" s="1358"/>
      <c r="VWI519" s="1358"/>
      <c r="VWJ519" s="1358"/>
      <c r="VWK519" s="1358"/>
      <c r="VWL519" s="1358"/>
      <c r="VWM519" s="1358"/>
      <c r="VWN519" s="1358"/>
      <c r="VWO519" s="1358"/>
      <c r="VWP519" s="1358"/>
      <c r="VWQ519" s="1358"/>
      <c r="VWR519" s="1358"/>
      <c r="VWS519" s="1358"/>
      <c r="VWT519" s="1358"/>
      <c r="VWU519" s="1358"/>
      <c r="VWV519" s="1358"/>
      <c r="VWW519" s="1358"/>
      <c r="VWX519" s="1358"/>
      <c r="VWY519" s="1358"/>
      <c r="VWZ519" s="1358"/>
      <c r="VXA519" s="1358"/>
      <c r="VXB519" s="1358"/>
      <c r="VXC519" s="1358"/>
      <c r="VXD519" s="1358"/>
      <c r="VXE519" s="1358"/>
      <c r="VXF519" s="1358"/>
      <c r="VXG519" s="1358"/>
      <c r="VXH519" s="1358"/>
      <c r="VXI519" s="1358"/>
      <c r="VXJ519" s="1358"/>
      <c r="VXK519" s="1358"/>
      <c r="VXL519" s="1358"/>
      <c r="VXM519" s="1358"/>
      <c r="VXN519" s="1358"/>
      <c r="VXO519" s="1358"/>
      <c r="VXP519" s="1358"/>
      <c r="VXQ519" s="1358"/>
      <c r="VXR519" s="1358"/>
      <c r="VXS519" s="1358"/>
      <c r="VXT519" s="1358"/>
      <c r="VXU519" s="1358"/>
      <c r="VXV519" s="1358"/>
      <c r="VXW519" s="1358"/>
      <c r="VXX519" s="1358"/>
      <c r="VXY519" s="1358"/>
      <c r="VXZ519" s="1358"/>
      <c r="VYA519" s="1358"/>
      <c r="VYB519" s="1358"/>
      <c r="VYC519" s="1358"/>
      <c r="VYD519" s="1358"/>
      <c r="VYE519" s="1358"/>
      <c r="VYF519" s="1358"/>
      <c r="VYG519" s="1358"/>
      <c r="VYH519" s="1358"/>
      <c r="VYI519" s="1358"/>
      <c r="VYJ519" s="1358"/>
      <c r="VYK519" s="1358"/>
      <c r="VYL519" s="1358"/>
      <c r="VYM519" s="1358"/>
      <c r="VYN519" s="1358"/>
      <c r="VYO519" s="1358"/>
      <c r="VYP519" s="1358"/>
      <c r="VYQ519" s="1358"/>
      <c r="VYR519" s="1358"/>
      <c r="VYS519" s="1358"/>
      <c r="VYT519" s="1358"/>
      <c r="VYU519" s="1358"/>
      <c r="VYV519" s="1358"/>
      <c r="VYW519" s="1358"/>
      <c r="VYX519" s="1358"/>
      <c r="VYY519" s="1358"/>
      <c r="VYZ519" s="1358"/>
      <c r="VZA519" s="1358"/>
      <c r="VZB519" s="1358"/>
      <c r="VZC519" s="1358"/>
      <c r="VZD519" s="1358"/>
      <c r="VZE519" s="1358"/>
      <c r="VZF519" s="1358"/>
      <c r="VZG519" s="1358"/>
      <c r="VZH519" s="1358"/>
      <c r="VZI519" s="1358"/>
      <c r="VZJ519" s="1358"/>
      <c r="VZK519" s="1358"/>
      <c r="VZL519" s="1358"/>
      <c r="VZM519" s="1358"/>
      <c r="VZN519" s="1358"/>
      <c r="VZO519" s="1358"/>
      <c r="VZP519" s="1358"/>
      <c r="VZQ519" s="1358"/>
      <c r="VZR519" s="1358"/>
      <c r="VZS519" s="1358"/>
      <c r="VZT519" s="1358"/>
      <c r="VZU519" s="1358"/>
      <c r="VZV519" s="1358"/>
      <c r="VZW519" s="1358"/>
      <c r="VZX519" s="1358"/>
      <c r="VZY519" s="1358"/>
      <c r="VZZ519" s="1358"/>
      <c r="WAA519" s="1358"/>
      <c r="WAB519" s="1358"/>
      <c r="WAC519" s="1358"/>
      <c r="WAD519" s="1358"/>
      <c r="WAE519" s="1358"/>
      <c r="WAF519" s="1358"/>
      <c r="WAG519" s="1358"/>
      <c r="WAH519" s="1358"/>
      <c r="WAI519" s="1358"/>
      <c r="WAJ519" s="1358"/>
      <c r="WAK519" s="1358"/>
      <c r="WAL519" s="1358"/>
      <c r="WAM519" s="1358"/>
      <c r="WAN519" s="1358"/>
      <c r="WAO519" s="1358"/>
      <c r="WAP519" s="1358"/>
      <c r="WAQ519" s="1358"/>
      <c r="WAR519" s="1358"/>
      <c r="WAS519" s="1358"/>
      <c r="WAT519" s="1358"/>
      <c r="WAU519" s="1358"/>
      <c r="WAV519" s="1358"/>
      <c r="WAW519" s="1358"/>
      <c r="WAX519" s="1358"/>
      <c r="WAY519" s="1358"/>
      <c r="WAZ519" s="1358"/>
      <c r="WBA519" s="1358"/>
      <c r="WBB519" s="1358"/>
      <c r="WBC519" s="1358"/>
      <c r="WBD519" s="1358"/>
      <c r="WBE519" s="1358"/>
      <c r="WBF519" s="1358"/>
      <c r="WBG519" s="1358"/>
      <c r="WBH519" s="1358"/>
      <c r="WBI519" s="1358"/>
      <c r="WBJ519" s="1358"/>
      <c r="WBK519" s="1358"/>
      <c r="WBL519" s="1358"/>
      <c r="WBM519" s="1358"/>
      <c r="WBN519" s="1358"/>
      <c r="WBO519" s="1358"/>
      <c r="WBP519" s="1358"/>
      <c r="WBQ519" s="1358"/>
      <c r="WBR519" s="1358"/>
      <c r="WBS519" s="1358"/>
      <c r="WBT519" s="1358"/>
      <c r="WBU519" s="1358"/>
      <c r="WBV519" s="1358"/>
      <c r="WBW519" s="1358"/>
      <c r="WBX519" s="1358"/>
      <c r="WBY519" s="1358"/>
      <c r="WBZ519" s="1358"/>
      <c r="WCA519" s="1358"/>
      <c r="WCB519" s="1358"/>
      <c r="WCC519" s="1358"/>
      <c r="WCD519" s="1358"/>
      <c r="WCE519" s="1358"/>
      <c r="WCF519" s="1358"/>
      <c r="WCG519" s="1358"/>
      <c r="WCH519" s="1358"/>
      <c r="WCI519" s="1358"/>
      <c r="WCJ519" s="1358"/>
      <c r="WCK519" s="1358"/>
      <c r="WCL519" s="1358"/>
      <c r="WCM519" s="1358"/>
      <c r="WCN519" s="1358"/>
      <c r="WCO519" s="1358"/>
      <c r="WCP519" s="1358"/>
      <c r="WCQ519" s="1358"/>
      <c r="WCR519" s="1358"/>
      <c r="WCS519" s="1358"/>
      <c r="WCT519" s="1358"/>
      <c r="WCU519" s="1358"/>
      <c r="WCV519" s="1358"/>
      <c r="WCW519" s="1358"/>
      <c r="WCX519" s="1358"/>
      <c r="WCY519" s="1358"/>
      <c r="WCZ519" s="1358"/>
      <c r="WDA519" s="1358"/>
      <c r="WDB519" s="1358"/>
      <c r="WDC519" s="1358"/>
      <c r="WDD519" s="1358"/>
      <c r="WDE519" s="1358"/>
      <c r="WDF519" s="1358"/>
      <c r="WDG519" s="1358"/>
      <c r="WDH519" s="1358"/>
      <c r="WDI519" s="1358"/>
      <c r="WDJ519" s="1358"/>
      <c r="WDK519" s="1358"/>
      <c r="WDL519" s="1358"/>
      <c r="WDM519" s="1358"/>
      <c r="WDN519" s="1358"/>
      <c r="WDO519" s="1358"/>
      <c r="WDP519" s="1358"/>
      <c r="WDQ519" s="1358"/>
      <c r="WDR519" s="1358"/>
      <c r="WDS519" s="1358"/>
      <c r="WDT519" s="1358"/>
      <c r="WDU519" s="1358"/>
      <c r="WDV519" s="1358"/>
      <c r="WDW519" s="1358"/>
      <c r="WDX519" s="1358"/>
      <c r="WDY519" s="1358"/>
      <c r="WDZ519" s="1358"/>
      <c r="WEA519" s="1358"/>
      <c r="WEB519" s="1358"/>
      <c r="WEC519" s="1358"/>
      <c r="WED519" s="1358"/>
      <c r="WEE519" s="1358"/>
      <c r="WEF519" s="1358"/>
      <c r="WEG519" s="1358"/>
      <c r="WEH519" s="1358"/>
      <c r="WEI519" s="1358"/>
      <c r="WEJ519" s="1358"/>
      <c r="WEK519" s="1358"/>
      <c r="WEL519" s="1358"/>
      <c r="WEM519" s="1358"/>
      <c r="WEN519" s="1358"/>
      <c r="WEO519" s="1358"/>
      <c r="WEP519" s="1358"/>
      <c r="WEQ519" s="1358"/>
      <c r="WER519" s="1358"/>
      <c r="WES519" s="1358"/>
      <c r="WET519" s="1358"/>
      <c r="WEU519" s="1358"/>
      <c r="WEV519" s="1358"/>
      <c r="WEW519" s="1358"/>
      <c r="WEX519" s="1358"/>
      <c r="WEY519" s="1358"/>
      <c r="WEZ519" s="1358"/>
      <c r="WFA519" s="1358"/>
      <c r="WFB519" s="1358"/>
      <c r="WFC519" s="1358"/>
      <c r="WFD519" s="1358"/>
      <c r="WFE519" s="1358"/>
      <c r="WFF519" s="1358"/>
      <c r="WFG519" s="1358"/>
      <c r="WFH519" s="1358"/>
      <c r="WFI519" s="1358"/>
      <c r="WFJ519" s="1358"/>
      <c r="WFK519" s="1358"/>
      <c r="WFL519" s="1358"/>
      <c r="WFM519" s="1358"/>
      <c r="WFN519" s="1358"/>
      <c r="WFO519" s="1358"/>
      <c r="WFP519" s="1358"/>
      <c r="WFQ519" s="1358"/>
      <c r="WFR519" s="1358"/>
      <c r="WFS519" s="1358"/>
      <c r="WFT519" s="1358"/>
      <c r="WFU519" s="1358"/>
      <c r="WFV519" s="1358"/>
      <c r="WFW519" s="1358"/>
      <c r="WFX519" s="1358"/>
      <c r="WFY519" s="1358"/>
      <c r="WFZ519" s="1358"/>
      <c r="WGA519" s="1358"/>
      <c r="WGB519" s="1358"/>
      <c r="WGC519" s="1358"/>
      <c r="WGD519" s="1358"/>
      <c r="WGE519" s="1358"/>
      <c r="WGF519" s="1358"/>
      <c r="WGG519" s="1358"/>
      <c r="WGH519" s="1358"/>
      <c r="WGI519" s="1358"/>
      <c r="WGJ519" s="1358"/>
      <c r="WGK519" s="1358"/>
      <c r="WGL519" s="1358"/>
      <c r="WGM519" s="1358"/>
      <c r="WGN519" s="1358"/>
      <c r="WGO519" s="1358"/>
      <c r="WGP519" s="1358"/>
      <c r="WGQ519" s="1358"/>
      <c r="WGR519" s="1358"/>
      <c r="WGS519" s="1358"/>
      <c r="WGT519" s="1358"/>
      <c r="WGU519" s="1358"/>
      <c r="WGV519" s="1358"/>
      <c r="WGW519" s="1358"/>
      <c r="WGX519" s="1358"/>
      <c r="WGY519" s="1358"/>
      <c r="WGZ519" s="1358"/>
      <c r="WHA519" s="1358"/>
      <c r="WHB519" s="1358"/>
      <c r="WHC519" s="1358"/>
      <c r="WHD519" s="1358"/>
      <c r="WHE519" s="1358"/>
      <c r="WHF519" s="1358"/>
      <c r="WHG519" s="1358"/>
      <c r="WHH519" s="1358"/>
      <c r="WHI519" s="1358"/>
      <c r="WHJ519" s="1358"/>
      <c r="WHK519" s="1358"/>
      <c r="WHL519" s="1358"/>
      <c r="WHM519" s="1358"/>
      <c r="WHN519" s="1358"/>
      <c r="WHO519" s="1358"/>
      <c r="WHP519" s="1358"/>
      <c r="WHQ519" s="1358"/>
      <c r="WHR519" s="1358"/>
      <c r="WHS519" s="1358"/>
      <c r="WHT519" s="1358"/>
      <c r="WHU519" s="1358"/>
      <c r="WHV519" s="1358"/>
      <c r="WHW519" s="1358"/>
      <c r="WHX519" s="1358"/>
      <c r="WHY519" s="1358"/>
      <c r="WHZ519" s="1358"/>
      <c r="WIA519" s="1358"/>
      <c r="WIB519" s="1358"/>
      <c r="WIC519" s="1358"/>
      <c r="WID519" s="1358"/>
      <c r="WIE519" s="1358"/>
      <c r="WIF519" s="1358"/>
      <c r="WIG519" s="1358"/>
      <c r="WIH519" s="1358"/>
      <c r="WII519" s="1358"/>
      <c r="WIJ519" s="1358"/>
      <c r="WIK519" s="1358"/>
      <c r="WIL519" s="1358"/>
      <c r="WIM519" s="1358"/>
      <c r="WIN519" s="1358"/>
      <c r="WIO519" s="1358"/>
      <c r="WIP519" s="1358"/>
      <c r="WIQ519" s="1358"/>
      <c r="WIR519" s="1358"/>
      <c r="WIS519" s="1358"/>
      <c r="WIT519" s="1358"/>
      <c r="WIU519" s="1358"/>
      <c r="WIV519" s="1358"/>
      <c r="WIW519" s="1358"/>
      <c r="WIX519" s="1358"/>
      <c r="WIY519" s="1358"/>
      <c r="WIZ519" s="1358"/>
      <c r="WJA519" s="1358"/>
      <c r="WJB519" s="1358"/>
      <c r="WJC519" s="1358"/>
      <c r="WJD519" s="1358"/>
      <c r="WJE519" s="1358"/>
      <c r="WJF519" s="1358"/>
      <c r="WJG519" s="1358"/>
      <c r="WJH519" s="1358"/>
      <c r="WJI519" s="1358"/>
      <c r="WJJ519" s="1358"/>
      <c r="WJK519" s="1358"/>
      <c r="WJL519" s="1358"/>
      <c r="WJM519" s="1358"/>
      <c r="WJN519" s="1358"/>
      <c r="WJO519" s="1358"/>
      <c r="WJP519" s="1358"/>
      <c r="WJQ519" s="1358"/>
      <c r="WJR519" s="1358"/>
      <c r="WJS519" s="1358"/>
      <c r="WJT519" s="1358"/>
      <c r="WJU519" s="1358"/>
      <c r="WJV519" s="1358"/>
      <c r="WJW519" s="1358"/>
      <c r="WJX519" s="1358"/>
      <c r="WJY519" s="1358"/>
      <c r="WJZ519" s="1358"/>
      <c r="WKA519" s="1358"/>
      <c r="WKB519" s="1358"/>
      <c r="WKC519" s="1358"/>
      <c r="WKD519" s="1358"/>
      <c r="WKE519" s="1358"/>
      <c r="WKF519" s="1358"/>
      <c r="WKG519" s="1358"/>
      <c r="WKH519" s="1358"/>
      <c r="WKI519" s="1358"/>
      <c r="WKJ519" s="1358"/>
      <c r="WKK519" s="1358"/>
      <c r="WKL519" s="1358"/>
      <c r="WKM519" s="1358"/>
      <c r="WKN519" s="1358"/>
      <c r="WKO519" s="1358"/>
      <c r="WKP519" s="1358"/>
      <c r="WKQ519" s="1358"/>
      <c r="WKR519" s="1358"/>
      <c r="WKS519" s="1358"/>
      <c r="WKT519" s="1358"/>
      <c r="WKU519" s="1358"/>
      <c r="WKV519" s="1358"/>
      <c r="WKW519" s="1358"/>
      <c r="WKX519" s="1358"/>
      <c r="WKY519" s="1358"/>
      <c r="WKZ519" s="1358"/>
      <c r="WLA519" s="1358"/>
      <c r="WLB519" s="1358"/>
      <c r="WLC519" s="1358"/>
      <c r="WLD519" s="1358"/>
      <c r="WLE519" s="1358"/>
      <c r="WLF519" s="1358"/>
      <c r="WLG519" s="1358"/>
      <c r="WLH519" s="1358"/>
      <c r="WLI519" s="1358"/>
      <c r="WLJ519" s="1358"/>
      <c r="WLK519" s="1358"/>
      <c r="WLL519" s="1358"/>
      <c r="WLM519" s="1358"/>
      <c r="WLN519" s="1358"/>
      <c r="WLO519" s="1358"/>
      <c r="WLP519" s="1358"/>
      <c r="WLQ519" s="1358"/>
      <c r="WLR519" s="1358"/>
      <c r="WLS519" s="1358"/>
      <c r="WLT519" s="1358"/>
      <c r="WLU519" s="1358"/>
      <c r="WLV519" s="1358"/>
      <c r="WLW519" s="1358"/>
      <c r="WLX519" s="1358"/>
      <c r="WLY519" s="1358"/>
      <c r="WLZ519" s="1358"/>
      <c r="WMA519" s="1358"/>
      <c r="WMB519" s="1358"/>
      <c r="WMC519" s="1358"/>
      <c r="WMD519" s="1358"/>
      <c r="WME519" s="1358"/>
      <c r="WMF519" s="1358"/>
      <c r="WMG519" s="1358"/>
      <c r="WMH519" s="1358"/>
      <c r="WMI519" s="1358"/>
      <c r="WMJ519" s="1358"/>
      <c r="WMK519" s="1358"/>
      <c r="WML519" s="1358"/>
      <c r="WMM519" s="1358"/>
      <c r="WMN519" s="1358"/>
      <c r="WMO519" s="1358"/>
      <c r="WMP519" s="1358"/>
      <c r="WMQ519" s="1358"/>
      <c r="WMR519" s="1358"/>
      <c r="WMS519" s="1358"/>
      <c r="WMT519" s="1358"/>
      <c r="WMU519" s="1358"/>
      <c r="WMV519" s="1358"/>
      <c r="WMW519" s="1358"/>
      <c r="WMX519" s="1358"/>
      <c r="WMY519" s="1358"/>
      <c r="WMZ519" s="1358"/>
      <c r="WNA519" s="1358"/>
      <c r="WNB519" s="1358"/>
      <c r="WNC519" s="1358"/>
      <c r="WND519" s="1358"/>
      <c r="WNE519" s="1358"/>
      <c r="WNF519" s="1358"/>
      <c r="WNG519" s="1358"/>
      <c r="WNH519" s="1358"/>
      <c r="WNI519" s="1358"/>
      <c r="WNJ519" s="1358"/>
      <c r="WNK519" s="1358"/>
      <c r="WNL519" s="1358"/>
      <c r="WNM519" s="1358"/>
      <c r="WNN519" s="1358"/>
      <c r="WNO519" s="1358"/>
      <c r="WNP519" s="1358"/>
      <c r="WNQ519" s="1358"/>
      <c r="WNR519" s="1358"/>
      <c r="WNS519" s="1358"/>
      <c r="WNT519" s="1358"/>
      <c r="WNU519" s="1358"/>
      <c r="WNV519" s="1358"/>
      <c r="WNW519" s="1358"/>
      <c r="WNX519" s="1358"/>
      <c r="WNY519" s="1358"/>
      <c r="WNZ519" s="1358"/>
      <c r="WOA519" s="1358"/>
      <c r="WOB519" s="1358"/>
      <c r="WOC519" s="1358"/>
      <c r="WOD519" s="1358"/>
      <c r="WOE519" s="1358"/>
      <c r="WOF519" s="1358"/>
      <c r="WOG519" s="1358"/>
      <c r="WOH519" s="1358"/>
      <c r="WOI519" s="1358"/>
      <c r="WOJ519" s="1358"/>
      <c r="WOK519" s="1358"/>
      <c r="WOL519" s="1358"/>
      <c r="WOM519" s="1358"/>
      <c r="WON519" s="1358"/>
      <c r="WOO519" s="1358"/>
      <c r="WOP519" s="1358"/>
      <c r="WOQ519" s="1358"/>
      <c r="WOR519" s="1358"/>
      <c r="WOS519" s="1358"/>
      <c r="WOT519" s="1358"/>
      <c r="WOU519" s="1358"/>
      <c r="WOV519" s="1358"/>
      <c r="WOW519" s="1358"/>
      <c r="WOX519" s="1358"/>
      <c r="WOY519" s="1358"/>
      <c r="WOZ519" s="1358"/>
      <c r="WPA519" s="1358"/>
      <c r="WPB519" s="1358"/>
      <c r="WPC519" s="1358"/>
      <c r="WPD519" s="1358"/>
      <c r="WPE519" s="1358"/>
      <c r="WPF519" s="1358"/>
      <c r="WPG519" s="1358"/>
      <c r="WPH519" s="1358"/>
      <c r="WPI519" s="1358"/>
      <c r="WPJ519" s="1358"/>
      <c r="WPK519" s="1358"/>
      <c r="WPL519" s="1358"/>
      <c r="WPM519" s="1358"/>
      <c r="WPN519" s="1358"/>
      <c r="WPO519" s="1358"/>
      <c r="WPP519" s="1358"/>
      <c r="WPQ519" s="1358"/>
      <c r="WPR519" s="1358"/>
      <c r="WPS519" s="1358"/>
      <c r="WPT519" s="1358"/>
      <c r="WPU519" s="1358"/>
      <c r="WPV519" s="1358"/>
      <c r="WPW519" s="1358"/>
      <c r="WPX519" s="1358"/>
      <c r="WPY519" s="1358"/>
      <c r="WPZ519" s="1358"/>
      <c r="WQA519" s="1358"/>
      <c r="WQB519" s="1358"/>
      <c r="WQC519" s="1358"/>
      <c r="WQD519" s="1358"/>
      <c r="WQE519" s="1358"/>
      <c r="WQF519" s="1358"/>
      <c r="WQG519" s="1358"/>
      <c r="WQH519" s="1358"/>
      <c r="WQI519" s="1358"/>
      <c r="WQJ519" s="1358"/>
      <c r="WQK519" s="1358"/>
      <c r="WQL519" s="1358"/>
      <c r="WQM519" s="1358"/>
      <c r="WQN519" s="1358"/>
      <c r="WQO519" s="1358"/>
      <c r="WQP519" s="1358"/>
      <c r="WQQ519" s="1358"/>
      <c r="WQR519" s="1358"/>
      <c r="WQS519" s="1358"/>
      <c r="WQT519" s="1358"/>
      <c r="WQU519" s="1358"/>
      <c r="WQV519" s="1358"/>
      <c r="WQW519" s="1358"/>
      <c r="WQX519" s="1358"/>
      <c r="WQY519" s="1358"/>
      <c r="WQZ519" s="1358"/>
      <c r="WRA519" s="1358"/>
      <c r="WRB519" s="1358"/>
      <c r="WRC519" s="1358"/>
      <c r="WRD519" s="1358"/>
      <c r="WRE519" s="1358"/>
      <c r="WRF519" s="1358"/>
      <c r="WRG519" s="1358"/>
      <c r="WRH519" s="1358"/>
      <c r="WRI519" s="1358"/>
      <c r="WRJ519" s="1359"/>
      <c r="WRK519" s="1360"/>
      <c r="WRL519" s="1361"/>
      <c r="WRM519" s="1362"/>
      <c r="WRN519" s="1368"/>
      <c r="WRO519" s="1363"/>
      <c r="WRP519" s="1364"/>
      <c r="WRQ519" s="1365"/>
      <c r="WRR519" s="1364"/>
      <c r="WRS519" s="1366"/>
      <c r="WRT519" s="1367"/>
      <c r="WRU519" s="1363"/>
      <c r="WRV519" s="1363"/>
      <c r="WRW519" s="1363"/>
      <c r="WRX519" s="1358"/>
      <c r="WRY519" s="1358"/>
      <c r="WRZ519" s="1358"/>
      <c r="WSA519" s="1358"/>
      <c r="WSB519" s="1359"/>
      <c r="WSC519" s="1360"/>
      <c r="WSD519" s="1361"/>
      <c r="WSE519" s="1362"/>
      <c r="WSF519" s="1368"/>
      <c r="WSG519" s="1363"/>
      <c r="WSH519" s="1364"/>
      <c r="WSI519" s="1365"/>
      <c r="WSJ519" s="1364"/>
      <c r="WSK519" s="1366"/>
      <c r="WSL519" s="1367"/>
      <c r="WSM519" s="1363"/>
      <c r="WSN519" s="1363"/>
      <c r="WSO519" s="1363"/>
      <c r="WSP519" s="1358"/>
      <c r="WSQ519" s="1358"/>
      <c r="WSR519" s="1358"/>
      <c r="WSS519" s="1358"/>
      <c r="WST519" s="1359"/>
      <c r="WSU519" s="1360"/>
      <c r="WSV519" s="1361"/>
      <c r="WSW519" s="1362"/>
      <c r="WSX519" s="1368"/>
      <c r="WSY519" s="1363"/>
      <c r="WSZ519" s="1364"/>
      <c r="WTA519" s="1365"/>
      <c r="WTB519" s="1364"/>
      <c r="WTC519" s="1366"/>
      <c r="WTD519" s="1367"/>
      <c r="WTE519" s="1363"/>
      <c r="WTF519" s="1363"/>
      <c r="WTG519" s="1363"/>
      <c r="WTH519" s="1358"/>
      <c r="WTI519" s="1358"/>
      <c r="WTJ519" s="1358"/>
      <c r="WTK519" s="1358"/>
      <c r="WTL519" s="1359"/>
      <c r="WTM519" s="1360"/>
      <c r="WTN519" s="1361"/>
      <c r="WTO519" s="1362"/>
      <c r="WTP519" s="1368"/>
      <c r="WTQ519" s="1363"/>
      <c r="WTR519" s="1364"/>
      <c r="WTS519" s="1365"/>
      <c r="WTT519" s="1364"/>
      <c r="WTU519" s="1366"/>
      <c r="WTV519" s="1367"/>
      <c r="WTW519" s="1363"/>
      <c r="WTX519" s="1363"/>
      <c r="WTY519" s="1363"/>
      <c r="WTZ519" s="1358"/>
      <c r="WUA519" s="1358"/>
      <c r="WUB519" s="1358"/>
      <c r="WUC519" s="1358"/>
      <c r="WUD519" s="1359"/>
      <c r="WUE519" s="1360"/>
      <c r="WUF519" s="1361"/>
      <c r="WUG519" s="1362"/>
      <c r="WUH519" s="1368"/>
      <c r="WUI519" s="1363"/>
      <c r="WUJ519" s="1364"/>
      <c r="WUK519" s="1365"/>
      <c r="WUL519" s="1364"/>
      <c r="WUM519" s="1366"/>
      <c r="WUN519" s="1367"/>
      <c r="WUO519" s="1363"/>
      <c r="WUP519" s="1363"/>
      <c r="WUQ519" s="1363"/>
      <c r="WUR519" s="1358"/>
      <c r="WUS519" s="1358"/>
      <c r="WUT519" s="1358"/>
      <c r="WUU519" s="1358"/>
      <c r="WUV519" s="1359"/>
      <c r="WUW519" s="1360"/>
      <c r="WUX519" s="1361"/>
      <c r="WUY519" s="1362"/>
      <c r="WUZ519" s="1368"/>
      <c r="WVA519" s="1363"/>
      <c r="WVB519" s="1364"/>
      <c r="WVC519" s="1365"/>
      <c r="WVD519" s="1364"/>
      <c r="WVE519" s="1366"/>
      <c r="WVF519" s="1367"/>
      <c r="WVG519" s="1363"/>
      <c r="WVH519" s="1363"/>
      <c r="WVI519" s="1363"/>
      <c r="WVJ519" s="1358"/>
      <c r="WVK519" s="1358"/>
      <c r="WVL519" s="1358"/>
      <c r="WVM519" s="1358"/>
      <c r="WVN519" s="1359"/>
      <c r="WVO519" s="1360"/>
      <c r="WVP519" s="1361"/>
      <c r="WVQ519" s="1362"/>
      <c r="WVR519" s="1368"/>
      <c r="WVS519" s="1363"/>
      <c r="WVT519" s="1364"/>
      <c r="WVU519" s="1365"/>
      <c r="WVV519" s="1364"/>
      <c r="WVW519" s="1366"/>
      <c r="WVX519" s="1367"/>
      <c r="WVY519" s="1363"/>
      <c r="WVZ519" s="1363"/>
      <c r="WWA519" s="1363"/>
      <c r="WWB519" s="1358"/>
      <c r="WWC519" s="1358"/>
      <c r="WWD519" s="1358"/>
      <c r="WWE519" s="1358"/>
      <c r="WWF519" s="1359"/>
      <c r="WWG519" s="1360"/>
      <c r="WWH519" s="1361"/>
      <c r="WWI519" s="1362"/>
      <c r="WWJ519" s="1368"/>
      <c r="WWK519" s="1363"/>
      <c r="WWL519" s="1364"/>
      <c r="WWM519" s="1365"/>
      <c r="WWN519" s="1364"/>
      <c r="WWO519" s="1366"/>
      <c r="WWP519" s="1367"/>
      <c r="WWQ519" s="1363"/>
      <c r="WWR519" s="1363"/>
      <c r="WWS519" s="1363"/>
      <c r="WWT519" s="1358"/>
      <c r="WWU519" s="1358"/>
      <c r="WWV519" s="1358"/>
      <c r="WWW519" s="1358"/>
      <c r="WWX519" s="1359"/>
      <c r="WWY519" s="1360"/>
      <c r="WWZ519" s="1361"/>
      <c r="WXA519" s="1362"/>
      <c r="WXB519" s="1368"/>
      <c r="WXC519" s="1363"/>
      <c r="WXD519" s="1364"/>
      <c r="WXE519" s="1365"/>
      <c r="WXF519" s="1364"/>
      <c r="WXG519" s="1366"/>
      <c r="WXH519" s="1367"/>
      <c r="WXI519" s="1363"/>
      <c r="WXJ519" s="1363"/>
      <c r="WXK519" s="1363"/>
      <c r="WXL519" s="1358"/>
      <c r="WXM519" s="1358"/>
      <c r="WXN519" s="1358"/>
      <c r="WXO519" s="1358"/>
      <c r="WXP519" s="1359"/>
      <c r="WXQ519" s="1360"/>
      <c r="WXR519" s="1361"/>
      <c r="WXS519" s="1362"/>
      <c r="WXT519" s="1368"/>
      <c r="WXU519" s="1363"/>
      <c r="WXV519" s="1364"/>
      <c r="WXW519" s="1365"/>
      <c r="WXX519" s="1364"/>
      <c r="WXY519" s="1366"/>
      <c r="WXZ519" s="1367"/>
      <c r="WYA519" s="1363"/>
      <c r="WYB519" s="1363"/>
      <c r="WYC519" s="1363"/>
      <c r="WYD519" s="1358"/>
      <c r="WYE519" s="1358"/>
      <c r="WYF519" s="1358"/>
      <c r="WYG519" s="1358"/>
      <c r="WYH519" s="1359"/>
      <c r="WYI519" s="1360"/>
      <c r="WYJ519" s="1361"/>
      <c r="WYK519" s="1362"/>
      <c r="WYL519" s="1368"/>
      <c r="WYM519" s="1363"/>
      <c r="WYN519" s="1364"/>
      <c r="WYO519" s="1365"/>
      <c r="WYP519" s="1364"/>
      <c r="WYQ519" s="1366"/>
      <c r="WYR519" s="1367"/>
      <c r="WYS519" s="1363"/>
      <c r="WYT519" s="1363"/>
      <c r="WYU519" s="1363"/>
      <c r="WYV519" s="1358"/>
      <c r="WYW519" s="1358"/>
      <c r="WYX519" s="1358"/>
      <c r="WYY519" s="1358"/>
      <c r="WYZ519" s="1359"/>
      <c r="WZA519" s="1360"/>
      <c r="WZB519" s="1361"/>
      <c r="WZC519" s="1362"/>
      <c r="WZD519" s="1368"/>
      <c r="WZE519" s="1363"/>
      <c r="WZF519" s="1364"/>
      <c r="WZG519" s="1365"/>
      <c r="WZH519" s="1364"/>
      <c r="WZI519" s="1366"/>
      <c r="WZJ519" s="1367"/>
      <c r="WZK519" s="1363"/>
      <c r="WZL519" s="1363"/>
      <c r="WZM519" s="1363"/>
      <c r="WZN519" s="1358"/>
      <c r="WZO519" s="1358"/>
      <c r="WZP519" s="1358"/>
      <c r="WZQ519" s="1358"/>
      <c r="WZR519" s="1359"/>
      <c r="WZS519" s="1360"/>
      <c r="WZT519" s="1361"/>
      <c r="WZU519" s="1362"/>
      <c r="WZV519" s="1368"/>
      <c r="WZW519" s="1363"/>
      <c r="WZX519" s="1364"/>
      <c r="WZY519" s="1365"/>
      <c r="WZZ519" s="1364"/>
      <c r="XAA519" s="1366"/>
      <c r="XAB519" s="1367"/>
      <c r="XAC519" s="1363"/>
      <c r="XAD519" s="1363"/>
      <c r="XAE519" s="1363"/>
      <c r="XAF519" s="1358"/>
      <c r="XAG519" s="1358"/>
      <c r="XAH519" s="1358"/>
      <c r="XAI519" s="1358"/>
      <c r="XAJ519" s="1359"/>
      <c r="XAK519" s="1360"/>
      <c r="XAL519" s="1361"/>
      <c r="XAM519" s="1362"/>
      <c r="XAN519" s="1368"/>
      <c r="XAO519" s="1363"/>
      <c r="XAP519" s="1364"/>
      <c r="XAQ519" s="1365"/>
      <c r="XAR519" s="1364"/>
      <c r="XAS519" s="1366"/>
      <c r="XAT519" s="1367"/>
      <c r="XAU519" s="1363"/>
      <c r="XAV519" s="1363"/>
      <c r="XAW519" s="1363"/>
      <c r="XAX519" s="1358"/>
      <c r="XAY519" s="1358"/>
      <c r="XAZ519" s="1358"/>
      <c r="XBA519" s="1358"/>
      <c r="XBB519" s="1359"/>
      <c r="XBC519" s="1360"/>
      <c r="XBD519" s="1361"/>
      <c r="XBE519" s="1362"/>
      <c r="XBF519" s="1368"/>
      <c r="XBG519" s="1363"/>
      <c r="XBH519" s="1364"/>
      <c r="XBI519" s="1365"/>
      <c r="XBJ519" s="1364"/>
      <c r="XBK519" s="1366"/>
      <c r="XBL519" s="1367"/>
      <c r="XBM519" s="1363"/>
      <c r="XBN519" s="1363"/>
      <c r="XBO519" s="1363"/>
      <c r="XBP519" s="1358"/>
      <c r="XBQ519" s="1358"/>
      <c r="XBR519" s="1358"/>
      <c r="XBS519" s="1358"/>
      <c r="XBT519" s="1359"/>
      <c r="XBU519" s="1360"/>
      <c r="XBV519" s="1361"/>
      <c r="XBW519" s="1362"/>
      <c r="XBX519" s="1368"/>
      <c r="XBY519" s="1363"/>
      <c r="XBZ519" s="1364"/>
      <c r="XCA519" s="1365"/>
      <c r="XCB519" s="1364"/>
      <c r="XCC519" s="1366"/>
      <c r="XCD519" s="1367"/>
      <c r="XCE519" s="1363"/>
      <c r="XCF519" s="1363"/>
      <c r="XCG519" s="1363"/>
      <c r="XCH519" s="1358"/>
      <c r="XCI519" s="1358"/>
      <c r="XCJ519" s="1358"/>
      <c r="XCK519" s="1358"/>
      <c r="XCL519" s="1359"/>
      <c r="XCM519" s="1360"/>
      <c r="XCN519" s="1361"/>
      <c r="XCO519" s="1362"/>
      <c r="XCP519" s="1368"/>
      <c r="XCQ519" s="1363"/>
      <c r="XCR519" s="1364"/>
      <c r="XCS519" s="1365"/>
      <c r="XCT519" s="1364"/>
      <c r="XCU519" s="1366"/>
      <c r="XCV519" s="1367"/>
      <c r="XCW519" s="1363"/>
      <c r="XCX519" s="1363"/>
      <c r="XCY519" s="1363"/>
      <c r="XCZ519" s="1358"/>
      <c r="XDA519" s="1358"/>
      <c r="XDB519" s="1358"/>
      <c r="XDC519" s="1358"/>
      <c r="XDD519" s="1359"/>
      <c r="XDE519" s="1360"/>
      <c r="XDF519" s="1361"/>
      <c r="XDG519" s="1362"/>
      <c r="XDH519" s="1368"/>
      <c r="XDI519" s="1363"/>
      <c r="XDJ519" s="1364"/>
      <c r="XDK519" s="1365"/>
      <c r="XDL519" s="1364"/>
      <c r="XDM519" s="1366"/>
      <c r="XDN519" s="1367"/>
      <c r="XDO519" s="1363"/>
      <c r="XDP519" s="1363"/>
      <c r="XDQ519" s="1363"/>
      <c r="XDR519" s="1358"/>
      <c r="XDS519" s="1358"/>
      <c r="XDT519" s="1358"/>
      <c r="XDU519" s="1358"/>
      <c r="XDV519" s="1359"/>
      <c r="XDW519" s="1360"/>
      <c r="XDX519" s="1361"/>
      <c r="XDY519" s="1362"/>
      <c r="XDZ519" s="1368"/>
      <c r="XEA519" s="1363"/>
      <c r="XEB519" s="1364"/>
      <c r="XEC519" s="1365"/>
      <c r="XED519" s="1364"/>
      <c r="XEE519" s="1366"/>
      <c r="XEF519" s="1367"/>
      <c r="XEG519" s="1363"/>
      <c r="XEH519" s="1363"/>
      <c r="XEI519" s="1363"/>
      <c r="XEJ519" s="1358"/>
      <c r="XEK519" s="1358"/>
      <c r="XEL519" s="1358"/>
      <c r="XEM519" s="1358"/>
      <c r="XEN519" s="1359"/>
      <c r="XEO519" s="1360"/>
      <c r="XEP519" s="1361"/>
      <c r="XEQ519" s="1362"/>
      <c r="XER519" s="1368"/>
      <c r="XES519" s="1363"/>
      <c r="XET519" s="1364"/>
      <c r="XEU519" s="1365"/>
      <c r="XEV519" s="1364"/>
      <c r="XEW519" s="1366"/>
      <c r="XEX519" s="1367"/>
      <c r="XEY519" s="1363"/>
      <c r="XEZ519" s="1363"/>
      <c r="XFA519" s="1363"/>
    </row>
    <row r="520" spans="1:16381" s="1414" customFormat="1" ht="28.8" x14ac:dyDescent="0.3">
      <c r="A520" s="1358" t="s">
        <v>264</v>
      </c>
      <c r="B520" s="1359" t="s">
        <v>280</v>
      </c>
      <c r="C520" s="1360" t="s">
        <v>3858</v>
      </c>
      <c r="D520" s="1361" t="s">
        <v>34</v>
      </c>
      <c r="E520" s="1362" t="s">
        <v>282</v>
      </c>
      <c r="F520" s="1368" t="s">
        <v>285</v>
      </c>
      <c r="G520" s="1363">
        <v>1.5348999999999999</v>
      </c>
      <c r="H520" s="1364">
        <v>29500.78</v>
      </c>
      <c r="I520" s="1365" t="s">
        <v>267</v>
      </c>
      <c r="J520" s="1364">
        <v>29500.78</v>
      </c>
      <c r="K520" s="1366">
        <v>0</v>
      </c>
      <c r="L520" s="1367">
        <v>0</v>
      </c>
      <c r="M520" s="1363" t="s">
        <v>290</v>
      </c>
      <c r="N520" s="1363" t="s">
        <v>3859</v>
      </c>
      <c r="O520" s="1363" t="s">
        <v>3860</v>
      </c>
      <c r="P520" s="1358" t="s">
        <v>40</v>
      </c>
      <c r="Q520" s="1358"/>
      <c r="R520" s="1358" t="s">
        <v>64</v>
      </c>
      <c r="S520" s="1358"/>
      <c r="T520" s="1358"/>
      <c r="U520" s="1358"/>
      <c r="V520" s="1358" t="s">
        <v>40</v>
      </c>
      <c r="W520" s="1358"/>
      <c r="X520" s="1358" t="s">
        <v>40</v>
      </c>
      <c r="Y520" s="1358"/>
      <c r="Z520" s="1358" t="s">
        <v>64</v>
      </c>
      <c r="AA520" s="1358"/>
      <c r="AB520" s="1358" t="s">
        <v>40</v>
      </c>
      <c r="AC520" s="1358"/>
      <c r="AD520" s="1358"/>
      <c r="AE520" s="1598">
        <v>46203</v>
      </c>
      <c r="AF520" s="1358" t="s">
        <v>247</v>
      </c>
      <c r="AG520" s="1358">
        <v>2023</v>
      </c>
      <c r="AH520" s="1364">
        <v>145972.80951799999</v>
      </c>
      <c r="AI520" s="1564">
        <v>1760507060816</v>
      </c>
      <c r="AJ520" s="1358"/>
      <c r="AK520" s="1358" t="s">
        <v>43</v>
      </c>
      <c r="AL520" s="1358" t="s">
        <v>41</v>
      </c>
      <c r="AM520" s="1358">
        <v>0</v>
      </c>
      <c r="AN520" s="1358" t="s">
        <v>40</v>
      </c>
      <c r="AO520" s="1358"/>
      <c r="AP520" s="1358"/>
      <c r="AQ520" s="1358"/>
      <c r="AR520" s="1358"/>
      <c r="AS520" s="1358"/>
      <c r="AT520" s="1358"/>
      <c r="AU520" s="1358"/>
      <c r="AV520" s="1358"/>
      <c r="AW520" s="1358"/>
      <c r="AX520" s="1358"/>
      <c r="AY520" s="1358"/>
      <c r="AZ520" s="1358"/>
      <c r="BA520" s="1358"/>
      <c r="BB520" s="1358"/>
      <c r="BC520" s="1358"/>
      <c r="BD520" s="1358"/>
      <c r="BE520" s="1358"/>
      <c r="BF520" s="1358"/>
      <c r="BG520" s="1358"/>
      <c r="BH520" s="1358"/>
      <c r="BI520" s="1358"/>
      <c r="BJ520" s="1358"/>
      <c r="BK520" s="1358"/>
      <c r="BL520" s="1358"/>
      <c r="BM520" s="1358"/>
      <c r="BN520" s="1358"/>
      <c r="BO520" s="1358"/>
      <c r="BP520" s="1358"/>
      <c r="BQ520" s="1358"/>
      <c r="BR520" s="1358"/>
      <c r="BS520" s="1358"/>
      <c r="BT520" s="1358"/>
      <c r="BU520" s="1358"/>
      <c r="BV520" s="1358"/>
      <c r="BW520" s="1358"/>
      <c r="BX520" s="1358"/>
      <c r="BY520" s="1358"/>
      <c r="BZ520" s="1358"/>
      <c r="CA520" s="1358"/>
      <c r="CB520" s="1358"/>
      <c r="CC520" s="1358"/>
      <c r="CD520" s="1358"/>
      <c r="CE520" s="1358"/>
      <c r="CF520" s="1358"/>
      <c r="CG520" s="1358"/>
      <c r="CH520" s="1358"/>
      <c r="CI520" s="1358"/>
      <c r="CJ520" s="1358"/>
      <c r="CK520" s="1358"/>
      <c r="CL520" s="1358"/>
      <c r="CM520" s="1358"/>
      <c r="CN520" s="1358"/>
      <c r="CO520" s="1358"/>
      <c r="CP520" s="1358"/>
      <c r="CQ520" s="1358"/>
      <c r="CR520" s="1358"/>
      <c r="CS520" s="1358"/>
      <c r="CT520" s="1358"/>
      <c r="CU520" s="1358"/>
      <c r="CV520" s="1358"/>
      <c r="CW520" s="1358"/>
      <c r="CX520" s="1358"/>
      <c r="CY520" s="1358"/>
      <c r="CZ520" s="1358"/>
      <c r="DA520" s="1358"/>
      <c r="DB520" s="1358"/>
      <c r="DC520" s="1358"/>
      <c r="DD520" s="1358"/>
      <c r="DE520" s="1358"/>
      <c r="DF520" s="1358"/>
      <c r="DG520" s="1358"/>
      <c r="DH520" s="1358"/>
      <c r="DI520" s="1358"/>
      <c r="DJ520" s="1358"/>
      <c r="DK520" s="1358"/>
      <c r="DL520" s="1358"/>
      <c r="DM520" s="1358"/>
      <c r="DN520" s="1358"/>
      <c r="DO520" s="1358"/>
      <c r="DP520" s="1358"/>
      <c r="DQ520" s="1358"/>
      <c r="DR520" s="1358"/>
      <c r="DS520" s="1358"/>
      <c r="DT520" s="1358"/>
      <c r="DU520" s="1358"/>
      <c r="DV520" s="1358"/>
      <c r="DW520" s="1358"/>
      <c r="DX520" s="1358"/>
      <c r="DY520" s="1358"/>
      <c r="DZ520" s="1358"/>
      <c r="EA520" s="1358"/>
      <c r="EB520" s="1358"/>
      <c r="EC520" s="1358"/>
      <c r="ED520" s="1358"/>
      <c r="EE520" s="1358"/>
      <c r="EF520" s="1358"/>
      <c r="EG520" s="1358"/>
      <c r="EH520" s="1358"/>
      <c r="EI520" s="1358"/>
      <c r="EJ520" s="1358"/>
      <c r="EK520" s="1358"/>
      <c r="EL520" s="1358"/>
      <c r="EM520" s="1358"/>
      <c r="EN520" s="1358"/>
      <c r="EO520" s="1358"/>
      <c r="EP520" s="1358"/>
      <c r="EQ520" s="1358"/>
      <c r="ER520" s="1358"/>
      <c r="ES520" s="1358"/>
      <c r="ET520" s="1358"/>
      <c r="EU520" s="1358"/>
      <c r="EV520" s="1358"/>
      <c r="EW520" s="1358"/>
      <c r="EX520" s="1358"/>
      <c r="EY520" s="1358"/>
      <c r="EZ520" s="1358"/>
      <c r="FA520" s="1358"/>
      <c r="FB520" s="1358"/>
      <c r="FC520" s="1358"/>
      <c r="FD520" s="1358"/>
      <c r="FE520" s="1358"/>
      <c r="FF520" s="1358"/>
      <c r="FG520" s="1358"/>
      <c r="FH520" s="1358"/>
      <c r="FI520" s="1358"/>
      <c r="FJ520" s="1358"/>
      <c r="FK520" s="1358"/>
      <c r="FL520" s="1358"/>
      <c r="FM520" s="1358"/>
      <c r="FN520" s="1358"/>
      <c r="FO520" s="1358"/>
      <c r="FP520" s="1358"/>
      <c r="FQ520" s="1358"/>
      <c r="FR520" s="1358"/>
      <c r="FS520" s="1358"/>
      <c r="FT520" s="1358"/>
      <c r="FU520" s="1358"/>
      <c r="FV520" s="1358"/>
      <c r="FW520" s="1358"/>
      <c r="FX520" s="1358"/>
      <c r="FY520" s="1358"/>
      <c r="FZ520" s="1358"/>
      <c r="GA520" s="1358"/>
      <c r="GB520" s="1358"/>
      <c r="GC520" s="1358"/>
      <c r="GD520" s="1358"/>
      <c r="GE520" s="1358"/>
      <c r="GF520" s="1358"/>
      <c r="GG520" s="1358"/>
      <c r="GH520" s="1358"/>
      <c r="GI520" s="1358"/>
      <c r="GJ520" s="1358"/>
      <c r="GK520" s="1358"/>
      <c r="GL520" s="1358"/>
      <c r="GM520" s="1358"/>
      <c r="GN520" s="1358"/>
      <c r="GO520" s="1358"/>
      <c r="GP520" s="1358"/>
      <c r="GQ520" s="1358"/>
      <c r="GR520" s="1358"/>
      <c r="GS520" s="1358"/>
      <c r="GT520" s="1358"/>
      <c r="GU520" s="1358"/>
      <c r="GV520" s="1358"/>
      <c r="GW520" s="1358"/>
      <c r="GX520" s="1358"/>
      <c r="GY520" s="1358"/>
      <c r="GZ520" s="1358"/>
      <c r="HA520" s="1358"/>
      <c r="HB520" s="1358"/>
      <c r="HC520" s="1358"/>
      <c r="HD520" s="1358"/>
      <c r="HE520" s="1358"/>
      <c r="HF520" s="1358"/>
      <c r="HG520" s="1358"/>
      <c r="HH520" s="1358"/>
      <c r="HI520" s="1358"/>
      <c r="HJ520" s="1358"/>
      <c r="HK520" s="1358"/>
      <c r="HL520" s="1358"/>
      <c r="HM520" s="1358"/>
      <c r="HN520" s="1358"/>
      <c r="HO520" s="1358"/>
      <c r="HP520" s="1358"/>
      <c r="HQ520" s="1358"/>
      <c r="HR520" s="1358"/>
      <c r="HS520" s="1358"/>
      <c r="HT520" s="1358"/>
      <c r="HU520" s="1358"/>
      <c r="HV520" s="1358"/>
      <c r="HW520" s="1358"/>
      <c r="HX520" s="1358"/>
      <c r="HY520" s="1358"/>
      <c r="HZ520" s="1358"/>
      <c r="IA520" s="1358"/>
      <c r="IB520" s="1358"/>
      <c r="IC520" s="1358"/>
      <c r="ID520" s="1358"/>
      <c r="IE520" s="1358"/>
      <c r="IF520" s="1358"/>
      <c r="IG520" s="1358"/>
      <c r="IH520" s="1358"/>
      <c r="II520" s="1358"/>
      <c r="IJ520" s="1358"/>
      <c r="IK520" s="1358"/>
      <c r="IL520" s="1358"/>
      <c r="IM520" s="1358"/>
      <c r="IN520" s="1358"/>
      <c r="IO520" s="1358"/>
      <c r="IP520" s="1358"/>
      <c r="IQ520" s="1358"/>
      <c r="IR520" s="1358"/>
      <c r="IS520" s="1358"/>
      <c r="IT520" s="1358"/>
      <c r="IU520" s="1358"/>
      <c r="IV520" s="1358"/>
      <c r="IW520" s="1358"/>
      <c r="IX520" s="1358"/>
      <c r="IY520" s="1358"/>
      <c r="IZ520" s="1358"/>
      <c r="JA520" s="1358"/>
      <c r="JB520" s="1358"/>
      <c r="JC520" s="1358"/>
      <c r="JD520" s="1358"/>
      <c r="JE520" s="1358"/>
      <c r="JF520" s="1358"/>
      <c r="JG520" s="1358"/>
      <c r="JH520" s="1358"/>
      <c r="JI520" s="1358"/>
      <c r="JJ520" s="1358"/>
      <c r="JK520" s="1358"/>
      <c r="JL520" s="1358"/>
      <c r="JM520" s="1358"/>
      <c r="JN520" s="1358"/>
      <c r="JO520" s="1358"/>
      <c r="JP520" s="1358"/>
      <c r="JQ520" s="1358"/>
      <c r="JR520" s="1358"/>
      <c r="JS520" s="1358"/>
      <c r="JT520" s="1358"/>
      <c r="JU520" s="1358"/>
      <c r="JV520" s="1358"/>
      <c r="JW520" s="1358"/>
      <c r="JX520" s="1358"/>
      <c r="JY520" s="1358"/>
      <c r="JZ520" s="1358"/>
      <c r="KA520" s="1358"/>
      <c r="KB520" s="1358"/>
      <c r="KC520" s="1358"/>
      <c r="KD520" s="1358"/>
      <c r="KE520" s="1358"/>
      <c r="KF520" s="1358"/>
      <c r="KG520" s="1358"/>
      <c r="KH520" s="1358"/>
      <c r="KI520" s="1358"/>
      <c r="KJ520" s="1358"/>
      <c r="KK520" s="1358"/>
      <c r="KL520" s="1358"/>
      <c r="KM520" s="1358"/>
      <c r="KN520" s="1358"/>
      <c r="KO520" s="1358"/>
      <c r="KP520" s="1358"/>
      <c r="KQ520" s="1358"/>
      <c r="KR520" s="1358"/>
      <c r="KS520" s="1358"/>
      <c r="KT520" s="1358"/>
      <c r="KU520" s="1358"/>
      <c r="KV520" s="1358"/>
      <c r="KW520" s="1358"/>
      <c r="KX520" s="1358"/>
      <c r="KY520" s="1358"/>
      <c r="KZ520" s="1358"/>
      <c r="LA520" s="1358"/>
      <c r="LB520" s="1358"/>
      <c r="LC520" s="1358"/>
      <c r="LD520" s="1358"/>
      <c r="LE520" s="1358"/>
      <c r="LF520" s="1358"/>
      <c r="LG520" s="1358"/>
      <c r="LH520" s="1358"/>
      <c r="LI520" s="1358"/>
      <c r="LJ520" s="1358"/>
      <c r="LK520" s="1358"/>
      <c r="LL520" s="1358"/>
      <c r="LM520" s="1358"/>
      <c r="LN520" s="1358"/>
      <c r="LO520" s="1358"/>
      <c r="LP520" s="1358"/>
      <c r="LQ520" s="1358"/>
      <c r="LR520" s="1358"/>
      <c r="LS520" s="1358"/>
      <c r="LT520" s="1358"/>
      <c r="LU520" s="1358"/>
      <c r="LV520" s="1358"/>
      <c r="LW520" s="1358"/>
      <c r="LX520" s="1358"/>
      <c r="LY520" s="1358"/>
      <c r="LZ520" s="1358"/>
      <c r="MA520" s="1358"/>
      <c r="MB520" s="1358"/>
      <c r="MC520" s="1358"/>
      <c r="MD520" s="1358"/>
      <c r="ME520" s="1358"/>
      <c r="MF520" s="1358"/>
      <c r="MG520" s="1358"/>
      <c r="MH520" s="1358"/>
      <c r="MI520" s="1358"/>
      <c r="MJ520" s="1358"/>
      <c r="MK520" s="1358"/>
      <c r="ML520" s="1358"/>
      <c r="MM520" s="1358"/>
      <c r="MN520" s="1358"/>
      <c r="MO520" s="1358"/>
      <c r="MP520" s="1358"/>
      <c r="MQ520" s="1358"/>
      <c r="MR520" s="1358"/>
      <c r="MS520" s="1358"/>
      <c r="MT520" s="1358"/>
      <c r="MU520" s="1358"/>
      <c r="MV520" s="1358"/>
      <c r="MW520" s="1358"/>
      <c r="MX520" s="1358"/>
      <c r="MY520" s="1358"/>
      <c r="MZ520" s="1358"/>
      <c r="NA520" s="1358"/>
      <c r="NB520" s="1358"/>
      <c r="NC520" s="1358"/>
      <c r="ND520" s="1358"/>
      <c r="NE520" s="1358"/>
      <c r="NF520" s="1358"/>
      <c r="NG520" s="1358"/>
      <c r="NH520" s="1358"/>
      <c r="NI520" s="1358"/>
      <c r="NJ520" s="1358"/>
      <c r="NK520" s="1358"/>
      <c r="NL520" s="1358"/>
      <c r="NM520" s="1358"/>
      <c r="NN520" s="1358"/>
      <c r="NO520" s="1358"/>
      <c r="NP520" s="1358"/>
      <c r="NQ520" s="1358"/>
      <c r="NR520" s="1358"/>
      <c r="NS520" s="1358"/>
      <c r="NT520" s="1358"/>
      <c r="NU520" s="1358"/>
      <c r="NV520" s="1358"/>
      <c r="NW520" s="1358"/>
      <c r="NX520" s="1358"/>
      <c r="NY520" s="1358"/>
      <c r="NZ520" s="1358"/>
      <c r="OA520" s="1358"/>
      <c r="OB520" s="1358"/>
      <c r="OC520" s="1358"/>
      <c r="OD520" s="1358"/>
      <c r="OE520" s="1358"/>
      <c r="OF520" s="1358"/>
      <c r="OG520" s="1358"/>
      <c r="OH520" s="1358"/>
      <c r="OI520" s="1358"/>
      <c r="OJ520" s="1358"/>
      <c r="OK520" s="1358"/>
      <c r="OL520" s="1358"/>
      <c r="OM520" s="1358"/>
      <c r="ON520" s="1358"/>
      <c r="OO520" s="1358"/>
      <c r="OP520" s="1358"/>
      <c r="OQ520" s="1358"/>
      <c r="OR520" s="1358"/>
      <c r="OS520" s="1358"/>
      <c r="OT520" s="1358"/>
      <c r="OU520" s="1358"/>
      <c r="OV520" s="1358"/>
      <c r="OW520" s="1358"/>
      <c r="OX520" s="1358"/>
      <c r="OY520" s="1358"/>
      <c r="OZ520" s="1358"/>
      <c r="PA520" s="1358"/>
      <c r="PB520" s="1358"/>
      <c r="PC520" s="1358"/>
      <c r="PD520" s="1358"/>
      <c r="PE520" s="1358"/>
      <c r="PF520" s="1358"/>
      <c r="PG520" s="1358"/>
      <c r="PH520" s="1358"/>
      <c r="PI520" s="1358"/>
      <c r="PJ520" s="1358"/>
      <c r="PK520" s="1358"/>
      <c r="PL520" s="1358"/>
      <c r="PM520" s="1358"/>
      <c r="PN520" s="1358"/>
      <c r="PO520" s="1358"/>
      <c r="PP520" s="1358"/>
      <c r="PQ520" s="1358"/>
      <c r="PR520" s="1358"/>
      <c r="PS520" s="1358"/>
      <c r="PT520" s="1358"/>
      <c r="PU520" s="1358"/>
      <c r="PV520" s="1358"/>
      <c r="PW520" s="1358"/>
      <c r="PX520" s="1358"/>
      <c r="PY520" s="1358"/>
      <c r="PZ520" s="1358"/>
      <c r="QA520" s="1358"/>
      <c r="QB520" s="1358"/>
      <c r="QC520" s="1358"/>
      <c r="QD520" s="1358"/>
      <c r="QE520" s="1358"/>
      <c r="QF520" s="1358"/>
      <c r="QG520" s="1358"/>
      <c r="QH520" s="1358"/>
      <c r="QI520" s="1358"/>
      <c r="QJ520" s="1358"/>
      <c r="QK520" s="1358"/>
      <c r="QL520" s="1358"/>
      <c r="QM520" s="1358"/>
      <c r="QN520" s="1358"/>
      <c r="QO520" s="1358"/>
      <c r="QP520" s="1358"/>
      <c r="QQ520" s="1358"/>
      <c r="QR520" s="1358"/>
      <c r="QS520" s="1358"/>
      <c r="QT520" s="1358"/>
      <c r="QU520" s="1358"/>
      <c r="QV520" s="1358"/>
      <c r="QW520" s="1358"/>
      <c r="QX520" s="1358"/>
      <c r="QY520" s="1358"/>
      <c r="QZ520" s="1358"/>
      <c r="RA520" s="1358"/>
      <c r="RB520" s="1358"/>
      <c r="RC520" s="1358"/>
      <c r="RD520" s="1358"/>
      <c r="RE520" s="1358"/>
      <c r="RF520" s="1358"/>
      <c r="RG520" s="1358"/>
      <c r="RH520" s="1358"/>
      <c r="RI520" s="1358"/>
      <c r="RJ520" s="1358"/>
      <c r="RK520" s="1358"/>
      <c r="RL520" s="1358"/>
      <c r="RM520" s="1358"/>
      <c r="RN520" s="1358"/>
      <c r="RO520" s="1358"/>
      <c r="RP520" s="1358"/>
      <c r="RQ520" s="1358"/>
      <c r="RR520" s="1358"/>
      <c r="RS520" s="1358"/>
      <c r="RT520" s="1358"/>
      <c r="RU520" s="1358"/>
      <c r="RV520" s="1358"/>
      <c r="RW520" s="1358"/>
      <c r="RX520" s="1358"/>
      <c r="RY520" s="1358"/>
      <c r="RZ520" s="1358"/>
      <c r="SA520" s="1358"/>
      <c r="SB520" s="1358"/>
      <c r="SC520" s="1358"/>
      <c r="SD520" s="1358"/>
      <c r="SE520" s="1358"/>
      <c r="SF520" s="1358"/>
      <c r="SG520" s="1358"/>
      <c r="SH520" s="1358"/>
      <c r="SI520" s="1358"/>
      <c r="SJ520" s="1358"/>
      <c r="SK520" s="1358"/>
      <c r="SL520" s="1358"/>
      <c r="SM520" s="1358"/>
      <c r="SN520" s="1358"/>
      <c r="SO520" s="1358"/>
      <c r="SP520" s="1358"/>
      <c r="SQ520" s="1358"/>
      <c r="SR520" s="1358"/>
      <c r="SS520" s="1358"/>
      <c r="ST520" s="1358"/>
      <c r="SU520" s="1358"/>
      <c r="SV520" s="1358"/>
      <c r="SW520" s="1358"/>
      <c r="SX520" s="1358"/>
      <c r="SY520" s="1358"/>
      <c r="SZ520" s="1358"/>
      <c r="TA520" s="1358"/>
      <c r="TB520" s="1358"/>
      <c r="TC520" s="1358"/>
      <c r="TD520" s="1358"/>
      <c r="TE520" s="1358"/>
      <c r="TF520" s="1358"/>
      <c r="TG520" s="1358"/>
      <c r="TH520" s="1358"/>
      <c r="TI520" s="1358"/>
      <c r="TJ520" s="1358"/>
      <c r="TK520" s="1358"/>
      <c r="TL520" s="1358"/>
      <c r="TM520" s="1358"/>
      <c r="TN520" s="1358"/>
      <c r="TO520" s="1358"/>
      <c r="TP520" s="1358"/>
      <c r="TQ520" s="1358"/>
      <c r="TR520" s="1358"/>
      <c r="TS520" s="1358"/>
      <c r="TT520" s="1358"/>
      <c r="TU520" s="1358"/>
      <c r="TV520" s="1358"/>
      <c r="TW520" s="1358"/>
      <c r="TX520" s="1358"/>
      <c r="TY520" s="1358"/>
      <c r="TZ520" s="1358"/>
      <c r="UA520" s="1358"/>
      <c r="UB520" s="1358"/>
      <c r="UC520" s="1358"/>
      <c r="UD520" s="1358"/>
      <c r="UE520" s="1358"/>
      <c r="UF520" s="1358"/>
      <c r="UG520" s="1358"/>
      <c r="UH520" s="1358"/>
      <c r="UI520" s="1358"/>
      <c r="UJ520" s="1358"/>
      <c r="UK520" s="1358"/>
      <c r="UL520" s="1358"/>
      <c r="UM520" s="1358"/>
      <c r="UN520" s="1358"/>
      <c r="UO520" s="1358"/>
      <c r="UP520" s="1358"/>
      <c r="UQ520" s="1358"/>
      <c r="UR520" s="1358"/>
      <c r="US520" s="1358"/>
      <c r="UT520" s="1358"/>
      <c r="UU520" s="1358"/>
      <c r="UV520" s="1358"/>
      <c r="UW520" s="1358"/>
      <c r="UX520" s="1358"/>
      <c r="UY520" s="1358"/>
      <c r="UZ520" s="1358"/>
      <c r="VA520" s="1358"/>
      <c r="VB520" s="1358"/>
      <c r="VC520" s="1358"/>
      <c r="VD520" s="1358"/>
      <c r="VE520" s="1358"/>
      <c r="VF520" s="1358"/>
      <c r="VG520" s="1358"/>
      <c r="VH520" s="1358"/>
      <c r="VI520" s="1358"/>
      <c r="VJ520" s="1358"/>
      <c r="VK520" s="1358"/>
      <c r="VL520" s="1358"/>
      <c r="VM520" s="1358"/>
      <c r="VN520" s="1358"/>
      <c r="VO520" s="1358"/>
      <c r="VP520" s="1358"/>
      <c r="VQ520" s="1358"/>
      <c r="VR520" s="1358"/>
      <c r="VS520" s="1358"/>
      <c r="VT520" s="1358"/>
      <c r="VU520" s="1358"/>
      <c r="VV520" s="1358"/>
      <c r="VW520" s="1358"/>
      <c r="VX520" s="1358"/>
      <c r="VY520" s="1358"/>
      <c r="VZ520" s="1358"/>
      <c r="WA520" s="1358"/>
      <c r="WB520" s="1358"/>
      <c r="WC520" s="1358"/>
      <c r="WD520" s="1358"/>
      <c r="WE520" s="1358"/>
      <c r="WF520" s="1358"/>
      <c r="WG520" s="1358"/>
      <c r="WH520" s="1358"/>
      <c r="WI520" s="1358"/>
      <c r="WJ520" s="1358"/>
      <c r="WK520" s="1358"/>
      <c r="WL520" s="1358"/>
      <c r="WM520" s="1358"/>
      <c r="WN520" s="1358"/>
      <c r="WO520" s="1358"/>
      <c r="WP520" s="1358"/>
      <c r="WQ520" s="1358"/>
      <c r="WR520" s="1358"/>
      <c r="WS520" s="1358"/>
      <c r="WT520" s="1358"/>
      <c r="WU520" s="1358"/>
      <c r="WV520" s="1358"/>
      <c r="WW520" s="1358"/>
      <c r="WX520" s="1358"/>
      <c r="WY520" s="1358"/>
      <c r="WZ520" s="1358"/>
      <c r="XA520" s="1358"/>
      <c r="XB520" s="1358"/>
      <c r="XC520" s="1358"/>
      <c r="XD520" s="1358"/>
      <c r="XE520" s="1358"/>
      <c r="XF520" s="1358"/>
      <c r="XG520" s="1358"/>
      <c r="XH520" s="1358"/>
      <c r="XI520" s="1358"/>
      <c r="XJ520" s="1358"/>
      <c r="XK520" s="1358"/>
      <c r="XL520" s="1358"/>
      <c r="XM520" s="1358"/>
      <c r="XN520" s="1358"/>
      <c r="XO520" s="1358"/>
      <c r="XP520" s="1358"/>
      <c r="XQ520" s="1358"/>
      <c r="XR520" s="1358"/>
      <c r="XS520" s="1358"/>
      <c r="XT520" s="1358"/>
      <c r="XU520" s="1358"/>
      <c r="XV520" s="1358"/>
      <c r="XW520" s="1358"/>
      <c r="XX520" s="1358"/>
      <c r="XY520" s="1358"/>
      <c r="XZ520" s="1358"/>
      <c r="YA520" s="1358"/>
      <c r="YB520" s="1358"/>
      <c r="YC520" s="1358"/>
      <c r="YD520" s="1358"/>
      <c r="YE520" s="1358"/>
      <c r="YF520" s="1358"/>
      <c r="YG520" s="1358"/>
      <c r="YH520" s="1358"/>
      <c r="YI520" s="1358"/>
      <c r="YJ520" s="1358"/>
      <c r="YK520" s="1358"/>
      <c r="YL520" s="1358"/>
      <c r="YM520" s="1358"/>
      <c r="YN520" s="1358"/>
      <c r="YO520" s="1358"/>
      <c r="YP520" s="1358"/>
      <c r="YQ520" s="1358"/>
      <c r="YR520" s="1358"/>
      <c r="YS520" s="1358"/>
      <c r="YT520" s="1358"/>
      <c r="YU520" s="1358"/>
      <c r="YV520" s="1358"/>
      <c r="YW520" s="1358"/>
      <c r="YX520" s="1358"/>
      <c r="YY520" s="1358"/>
      <c r="YZ520" s="1358"/>
      <c r="ZA520" s="1358"/>
      <c r="ZB520" s="1358"/>
      <c r="ZC520" s="1358"/>
      <c r="ZD520" s="1358"/>
      <c r="ZE520" s="1358"/>
      <c r="ZF520" s="1358"/>
      <c r="ZG520" s="1358"/>
      <c r="ZH520" s="1358"/>
      <c r="ZI520" s="1358"/>
      <c r="ZJ520" s="1358"/>
      <c r="ZK520" s="1358"/>
      <c r="ZL520" s="1358"/>
      <c r="ZM520" s="1358"/>
      <c r="ZN520" s="1358"/>
      <c r="ZO520" s="1358"/>
      <c r="ZP520" s="1358"/>
      <c r="ZQ520" s="1358"/>
      <c r="ZR520" s="1358"/>
      <c r="ZS520" s="1358"/>
      <c r="ZT520" s="1358"/>
      <c r="ZU520" s="1358"/>
      <c r="ZV520" s="1358"/>
      <c r="ZW520" s="1358"/>
      <c r="ZX520" s="1358"/>
      <c r="ZY520" s="1358"/>
      <c r="ZZ520" s="1358"/>
      <c r="AAA520" s="1358"/>
      <c r="AAB520" s="1358"/>
      <c r="AAC520" s="1358"/>
      <c r="AAD520" s="1358"/>
      <c r="AAE520" s="1358"/>
      <c r="AAF520" s="1358"/>
      <c r="AAG520" s="1358"/>
      <c r="AAH520" s="1358"/>
      <c r="AAI520" s="1358"/>
      <c r="AAJ520" s="1358"/>
      <c r="AAK520" s="1358"/>
      <c r="AAL520" s="1358"/>
      <c r="AAM520" s="1358"/>
      <c r="AAN520" s="1358"/>
      <c r="AAO520" s="1358"/>
      <c r="AAP520" s="1358"/>
      <c r="AAQ520" s="1358"/>
      <c r="AAR520" s="1358"/>
      <c r="AAS520" s="1358"/>
      <c r="AAT520" s="1358"/>
      <c r="AAU520" s="1358"/>
      <c r="AAV520" s="1358"/>
      <c r="AAW520" s="1358"/>
      <c r="AAX520" s="1358"/>
      <c r="AAY520" s="1358"/>
      <c r="AAZ520" s="1358"/>
      <c r="ABA520" s="1358"/>
      <c r="ABB520" s="1358"/>
      <c r="ABC520" s="1358"/>
      <c r="ABD520" s="1358"/>
      <c r="ABE520" s="1358"/>
      <c r="ABF520" s="1358"/>
      <c r="ABG520" s="1358"/>
      <c r="ABH520" s="1358"/>
      <c r="ABI520" s="1358"/>
      <c r="ABJ520" s="1358"/>
      <c r="ABK520" s="1358"/>
      <c r="ABL520" s="1358"/>
      <c r="ABM520" s="1358"/>
      <c r="ABN520" s="1358"/>
      <c r="ABO520" s="1358"/>
      <c r="ABP520" s="1358"/>
      <c r="ABQ520" s="1358"/>
      <c r="ABR520" s="1358"/>
      <c r="ABS520" s="1358"/>
      <c r="ABT520" s="1358"/>
      <c r="ABU520" s="1358"/>
      <c r="ABV520" s="1358"/>
      <c r="ABW520" s="1358"/>
      <c r="ABX520" s="1358"/>
      <c r="ABY520" s="1358"/>
      <c r="ABZ520" s="1358"/>
      <c r="ACA520" s="1358"/>
      <c r="ACB520" s="1358"/>
      <c r="ACC520" s="1358"/>
      <c r="ACD520" s="1358"/>
      <c r="ACE520" s="1358"/>
      <c r="ACF520" s="1358"/>
      <c r="ACG520" s="1358"/>
      <c r="ACH520" s="1358"/>
      <c r="ACI520" s="1358"/>
      <c r="ACJ520" s="1358"/>
      <c r="ACK520" s="1358"/>
      <c r="ACL520" s="1358"/>
      <c r="ACM520" s="1358"/>
      <c r="ACN520" s="1358"/>
      <c r="ACO520" s="1358"/>
      <c r="ACP520" s="1358"/>
      <c r="ACQ520" s="1358"/>
      <c r="ACR520" s="1358"/>
      <c r="ACS520" s="1358"/>
      <c r="ACT520" s="1358"/>
      <c r="ACU520" s="1358"/>
      <c r="ACV520" s="1358"/>
      <c r="ACW520" s="1358"/>
      <c r="ACX520" s="1358"/>
      <c r="ACY520" s="1358"/>
      <c r="ACZ520" s="1358"/>
      <c r="ADA520" s="1358"/>
      <c r="ADB520" s="1358"/>
      <c r="ADC520" s="1358"/>
      <c r="ADD520" s="1358"/>
      <c r="ADE520" s="1358"/>
      <c r="ADF520" s="1358"/>
      <c r="ADG520" s="1358"/>
      <c r="ADH520" s="1358"/>
      <c r="ADI520" s="1358"/>
      <c r="ADJ520" s="1358"/>
      <c r="ADK520" s="1358"/>
      <c r="ADL520" s="1358"/>
      <c r="ADM520" s="1358"/>
      <c r="ADN520" s="1358"/>
      <c r="ADO520" s="1358"/>
      <c r="ADP520" s="1358"/>
      <c r="ADQ520" s="1358"/>
      <c r="ADR520" s="1358"/>
      <c r="ADS520" s="1358"/>
      <c r="ADT520" s="1358"/>
      <c r="ADU520" s="1358"/>
      <c r="ADV520" s="1358"/>
      <c r="ADW520" s="1358"/>
      <c r="ADX520" s="1358"/>
      <c r="ADY520" s="1358"/>
      <c r="ADZ520" s="1358"/>
      <c r="AEA520" s="1358"/>
      <c r="AEB520" s="1358"/>
      <c r="AEC520" s="1358"/>
      <c r="AED520" s="1358"/>
      <c r="AEE520" s="1358"/>
      <c r="AEF520" s="1358"/>
      <c r="AEG520" s="1358"/>
      <c r="AEH520" s="1358"/>
      <c r="AEI520" s="1358"/>
      <c r="AEJ520" s="1358"/>
      <c r="AEK520" s="1358"/>
      <c r="AEL520" s="1358"/>
      <c r="AEM520" s="1358"/>
      <c r="AEN520" s="1358"/>
      <c r="AEO520" s="1358"/>
      <c r="AEP520" s="1358"/>
      <c r="AEQ520" s="1358"/>
      <c r="AER520" s="1358"/>
      <c r="AES520" s="1358"/>
      <c r="AET520" s="1358"/>
      <c r="AEU520" s="1358"/>
      <c r="AEV520" s="1358"/>
      <c r="AEW520" s="1358"/>
      <c r="AEX520" s="1358"/>
      <c r="AEY520" s="1358"/>
      <c r="AEZ520" s="1358"/>
      <c r="AFA520" s="1358"/>
      <c r="AFB520" s="1358"/>
      <c r="AFC520" s="1358"/>
      <c r="AFD520" s="1358"/>
      <c r="AFE520" s="1358"/>
      <c r="AFF520" s="1358"/>
      <c r="AFG520" s="1358"/>
      <c r="AFH520" s="1358"/>
      <c r="AFI520" s="1358"/>
      <c r="AFJ520" s="1358"/>
      <c r="AFK520" s="1358"/>
      <c r="AFL520" s="1358"/>
      <c r="AFM520" s="1358"/>
      <c r="AFN520" s="1358"/>
      <c r="AFO520" s="1358"/>
      <c r="AFP520" s="1358"/>
      <c r="AFQ520" s="1358"/>
      <c r="AFR520" s="1358"/>
      <c r="AFS520" s="1358"/>
      <c r="AFT520" s="1358"/>
      <c r="AFU520" s="1358"/>
      <c r="AFV520" s="1358"/>
      <c r="AFW520" s="1358"/>
      <c r="AFX520" s="1358"/>
      <c r="AFY520" s="1358"/>
      <c r="AFZ520" s="1358"/>
      <c r="AGA520" s="1358"/>
      <c r="AGB520" s="1358"/>
      <c r="AGC520" s="1358"/>
      <c r="AGD520" s="1358"/>
      <c r="AGE520" s="1358"/>
      <c r="AGF520" s="1358"/>
      <c r="AGG520" s="1358"/>
      <c r="AGH520" s="1358"/>
      <c r="AGI520" s="1358"/>
      <c r="AGJ520" s="1358"/>
      <c r="AGK520" s="1358"/>
      <c r="AGL520" s="1358"/>
      <c r="AGM520" s="1358"/>
      <c r="AGN520" s="1358"/>
      <c r="AGO520" s="1358"/>
      <c r="AGP520" s="1358"/>
      <c r="AGQ520" s="1358"/>
      <c r="AGR520" s="1358"/>
      <c r="AGS520" s="1358"/>
      <c r="AGT520" s="1358"/>
      <c r="AGU520" s="1358"/>
      <c r="AGV520" s="1358"/>
      <c r="AGW520" s="1358"/>
      <c r="AGX520" s="1358"/>
      <c r="AGY520" s="1358"/>
      <c r="AGZ520" s="1358"/>
      <c r="AHA520" s="1358"/>
      <c r="AHB520" s="1358"/>
      <c r="AHC520" s="1358"/>
      <c r="AHD520" s="1358"/>
      <c r="AHE520" s="1358"/>
      <c r="AHF520" s="1358"/>
      <c r="AHG520" s="1358"/>
      <c r="AHH520" s="1358"/>
      <c r="AHI520" s="1358"/>
      <c r="AHJ520" s="1358"/>
      <c r="AHK520" s="1358"/>
      <c r="AHL520" s="1358"/>
      <c r="AHM520" s="1358"/>
      <c r="AHN520" s="1358"/>
      <c r="AHO520" s="1358"/>
      <c r="AHP520" s="1358"/>
      <c r="AHQ520" s="1358"/>
      <c r="AHR520" s="1358"/>
      <c r="AHS520" s="1358"/>
      <c r="AHT520" s="1358"/>
      <c r="AHU520" s="1358"/>
      <c r="AHV520" s="1358"/>
      <c r="AHW520" s="1358"/>
      <c r="AHX520" s="1358"/>
      <c r="AHY520" s="1358"/>
      <c r="AHZ520" s="1358"/>
      <c r="AIA520" s="1358"/>
      <c r="AIB520" s="1358"/>
      <c r="AIC520" s="1358"/>
      <c r="AID520" s="1358"/>
      <c r="AIE520" s="1358"/>
      <c r="AIF520" s="1358"/>
      <c r="AIG520" s="1358"/>
      <c r="AIH520" s="1358"/>
      <c r="AII520" s="1358"/>
      <c r="AIJ520" s="1358"/>
      <c r="AIK520" s="1358"/>
      <c r="AIL520" s="1358"/>
      <c r="AIM520" s="1358"/>
      <c r="AIN520" s="1358"/>
      <c r="AIO520" s="1358"/>
      <c r="AIP520" s="1358"/>
      <c r="AIQ520" s="1358"/>
      <c r="AIR520" s="1358"/>
      <c r="AIS520" s="1358"/>
      <c r="AIT520" s="1358"/>
      <c r="AIU520" s="1358"/>
      <c r="AIV520" s="1358"/>
      <c r="AIW520" s="1358"/>
      <c r="AIX520" s="1358"/>
      <c r="AIY520" s="1358"/>
      <c r="AIZ520" s="1358"/>
      <c r="AJA520" s="1358"/>
      <c r="AJB520" s="1358"/>
      <c r="AJC520" s="1358"/>
      <c r="AJD520" s="1358"/>
      <c r="AJE520" s="1358"/>
      <c r="AJF520" s="1358"/>
      <c r="AJG520" s="1358"/>
      <c r="AJH520" s="1358"/>
      <c r="AJI520" s="1358"/>
      <c r="AJJ520" s="1358"/>
      <c r="AJK520" s="1358"/>
      <c r="AJL520" s="1358"/>
      <c r="AJM520" s="1358"/>
      <c r="AJN520" s="1358"/>
      <c r="AJO520" s="1358"/>
      <c r="AJP520" s="1358"/>
      <c r="AJQ520" s="1358"/>
      <c r="AJR520" s="1358"/>
      <c r="AJS520" s="1358"/>
      <c r="AJT520" s="1358"/>
      <c r="AJU520" s="1358"/>
      <c r="AJV520" s="1358"/>
      <c r="AJW520" s="1358"/>
      <c r="AJX520" s="1358"/>
      <c r="AJY520" s="1358"/>
      <c r="AJZ520" s="1358"/>
      <c r="AKA520" s="1358"/>
      <c r="AKB520" s="1358"/>
      <c r="AKC520" s="1358"/>
      <c r="AKD520" s="1358"/>
      <c r="AKE520" s="1358"/>
      <c r="AKF520" s="1358"/>
      <c r="AKG520" s="1358"/>
      <c r="AKH520" s="1358"/>
      <c r="AKI520" s="1358"/>
      <c r="AKJ520" s="1358"/>
      <c r="AKK520" s="1358"/>
      <c r="AKL520" s="1358"/>
      <c r="AKM520" s="1358"/>
      <c r="AKN520" s="1358"/>
      <c r="AKO520" s="1358"/>
      <c r="AKP520" s="1358"/>
      <c r="AKQ520" s="1358"/>
      <c r="AKR520" s="1358"/>
      <c r="AKS520" s="1358"/>
      <c r="AKT520" s="1358"/>
      <c r="AKU520" s="1358"/>
      <c r="AKV520" s="1358"/>
      <c r="AKW520" s="1358"/>
      <c r="AKX520" s="1358"/>
      <c r="AKY520" s="1358"/>
      <c r="AKZ520" s="1358"/>
      <c r="ALA520" s="1358"/>
      <c r="ALB520" s="1358"/>
      <c r="ALC520" s="1358"/>
      <c r="ALD520" s="1358"/>
      <c r="ALE520" s="1358"/>
      <c r="ALF520" s="1358"/>
      <c r="ALG520" s="1358"/>
      <c r="ALH520" s="1358"/>
      <c r="ALI520" s="1358"/>
      <c r="ALJ520" s="1358"/>
      <c r="ALK520" s="1358"/>
      <c r="ALL520" s="1358"/>
      <c r="ALM520" s="1358"/>
      <c r="ALN520" s="1358"/>
      <c r="ALO520" s="1358"/>
      <c r="ALP520" s="1358"/>
      <c r="ALQ520" s="1358"/>
      <c r="ALR520" s="1358"/>
      <c r="ALS520" s="1358"/>
      <c r="ALT520" s="1358"/>
      <c r="ALU520" s="1358"/>
      <c r="ALV520" s="1358"/>
      <c r="ALW520" s="1358"/>
      <c r="ALX520" s="1358"/>
      <c r="ALY520" s="1358"/>
      <c r="ALZ520" s="1358"/>
      <c r="AMA520" s="1358"/>
      <c r="AMB520" s="1358"/>
      <c r="AMC520" s="1358"/>
      <c r="AMD520" s="1358"/>
      <c r="AME520" s="1358"/>
      <c r="AMF520" s="1358"/>
      <c r="AMG520" s="1358"/>
      <c r="AMH520" s="1358"/>
      <c r="AMI520" s="1358"/>
      <c r="AMJ520" s="1358"/>
      <c r="AMK520" s="1358"/>
      <c r="AML520" s="1358"/>
      <c r="AMM520" s="1358"/>
      <c r="AMN520" s="1358"/>
      <c r="AMO520" s="1358"/>
      <c r="AMP520" s="1358"/>
      <c r="AMQ520" s="1358"/>
      <c r="AMR520" s="1358"/>
      <c r="AMS520" s="1358"/>
      <c r="AMT520" s="1358"/>
      <c r="AMU520" s="1358"/>
      <c r="AMV520" s="1358"/>
      <c r="AMW520" s="1358"/>
      <c r="AMX520" s="1358"/>
      <c r="AMY520" s="1358"/>
      <c r="AMZ520" s="1358"/>
      <c r="ANA520" s="1358"/>
      <c r="ANB520" s="1358"/>
      <c r="ANC520" s="1358"/>
      <c r="AND520" s="1358"/>
      <c r="ANE520" s="1358"/>
      <c r="ANF520" s="1358"/>
      <c r="ANG520" s="1358"/>
      <c r="ANH520" s="1358"/>
      <c r="ANI520" s="1358"/>
      <c r="ANJ520" s="1358"/>
      <c r="ANK520" s="1358"/>
      <c r="ANL520" s="1358"/>
      <c r="ANM520" s="1358"/>
      <c r="ANN520" s="1358"/>
      <c r="ANO520" s="1358"/>
      <c r="ANP520" s="1358"/>
      <c r="ANQ520" s="1358"/>
      <c r="ANR520" s="1358"/>
      <c r="ANS520" s="1358"/>
      <c r="ANT520" s="1358"/>
      <c r="ANU520" s="1358"/>
      <c r="ANV520" s="1358"/>
      <c r="ANW520" s="1358"/>
      <c r="ANX520" s="1358"/>
      <c r="ANY520" s="1358"/>
      <c r="ANZ520" s="1358"/>
      <c r="AOA520" s="1358"/>
      <c r="AOB520" s="1358"/>
      <c r="AOC520" s="1358"/>
      <c r="AOD520" s="1358"/>
      <c r="AOE520" s="1358"/>
      <c r="AOF520" s="1358"/>
      <c r="AOG520" s="1358"/>
      <c r="AOH520" s="1358"/>
      <c r="AOI520" s="1358"/>
      <c r="AOJ520" s="1358"/>
      <c r="AOK520" s="1358"/>
      <c r="AOL520" s="1358"/>
      <c r="AOM520" s="1358"/>
      <c r="AON520" s="1358"/>
      <c r="AOO520" s="1358"/>
      <c r="AOP520" s="1358"/>
      <c r="AOQ520" s="1358"/>
      <c r="AOR520" s="1358"/>
      <c r="AOS520" s="1358"/>
      <c r="AOT520" s="1358"/>
      <c r="AOU520" s="1358"/>
      <c r="AOV520" s="1358"/>
      <c r="AOW520" s="1358"/>
      <c r="AOX520" s="1358"/>
      <c r="AOY520" s="1358"/>
      <c r="AOZ520" s="1358"/>
      <c r="APA520" s="1358"/>
      <c r="APB520" s="1358"/>
      <c r="APC520" s="1358"/>
      <c r="APD520" s="1358"/>
      <c r="APE520" s="1358"/>
      <c r="APF520" s="1358"/>
      <c r="APG520" s="1358"/>
      <c r="APH520" s="1358"/>
      <c r="API520" s="1358"/>
      <c r="APJ520" s="1358"/>
      <c r="APK520" s="1358"/>
      <c r="APL520" s="1358"/>
      <c r="APM520" s="1358"/>
      <c r="APN520" s="1358"/>
      <c r="APO520" s="1358"/>
      <c r="APP520" s="1358"/>
      <c r="APQ520" s="1358"/>
      <c r="APR520" s="1358"/>
      <c r="APS520" s="1358"/>
      <c r="APT520" s="1358"/>
      <c r="APU520" s="1358"/>
      <c r="APV520" s="1358"/>
      <c r="APW520" s="1358"/>
      <c r="APX520" s="1358"/>
      <c r="APY520" s="1358"/>
      <c r="APZ520" s="1358"/>
      <c r="AQA520" s="1358"/>
      <c r="AQB520" s="1358"/>
      <c r="AQC520" s="1358"/>
      <c r="AQD520" s="1358"/>
      <c r="AQE520" s="1358"/>
      <c r="AQF520" s="1358"/>
      <c r="AQG520" s="1358"/>
      <c r="AQH520" s="1358"/>
      <c r="AQI520" s="1358"/>
      <c r="AQJ520" s="1358"/>
      <c r="AQK520" s="1358"/>
      <c r="AQL520" s="1358"/>
      <c r="AQM520" s="1358"/>
      <c r="AQN520" s="1358"/>
      <c r="AQO520" s="1358"/>
      <c r="AQP520" s="1358"/>
      <c r="AQQ520" s="1358"/>
      <c r="AQR520" s="1358"/>
      <c r="AQS520" s="1358"/>
      <c r="AQT520" s="1358"/>
      <c r="AQU520" s="1358"/>
      <c r="AQV520" s="1358"/>
      <c r="AQW520" s="1358"/>
      <c r="AQX520" s="1358"/>
      <c r="AQY520" s="1358"/>
      <c r="AQZ520" s="1358"/>
      <c r="ARA520" s="1358"/>
      <c r="ARB520" s="1358"/>
      <c r="ARC520" s="1358"/>
      <c r="ARD520" s="1358"/>
      <c r="ARE520" s="1358"/>
      <c r="ARF520" s="1358"/>
      <c r="ARG520" s="1358"/>
      <c r="ARH520" s="1358"/>
      <c r="ARI520" s="1358"/>
      <c r="ARJ520" s="1358"/>
      <c r="ARK520" s="1358"/>
      <c r="ARL520" s="1358"/>
      <c r="ARM520" s="1358"/>
      <c r="ARN520" s="1358"/>
      <c r="ARO520" s="1358"/>
      <c r="ARP520" s="1358"/>
      <c r="ARQ520" s="1358"/>
      <c r="ARR520" s="1358"/>
      <c r="ARS520" s="1358"/>
      <c r="ART520" s="1358"/>
      <c r="ARU520" s="1358"/>
      <c r="ARV520" s="1358"/>
      <c r="ARW520" s="1358"/>
      <c r="ARX520" s="1358"/>
      <c r="ARY520" s="1358"/>
      <c r="ARZ520" s="1358"/>
      <c r="ASA520" s="1358"/>
      <c r="ASB520" s="1358"/>
      <c r="ASC520" s="1358"/>
      <c r="ASD520" s="1358"/>
      <c r="ASE520" s="1358"/>
      <c r="ASF520" s="1358"/>
      <c r="ASG520" s="1358"/>
      <c r="ASH520" s="1358"/>
      <c r="ASI520" s="1358"/>
      <c r="ASJ520" s="1358"/>
      <c r="ASK520" s="1358"/>
      <c r="ASL520" s="1358"/>
      <c r="ASM520" s="1358"/>
      <c r="ASN520" s="1358"/>
      <c r="ASO520" s="1358"/>
      <c r="ASP520" s="1358"/>
      <c r="ASQ520" s="1358"/>
      <c r="ASR520" s="1358"/>
      <c r="ASS520" s="1358"/>
      <c r="AST520" s="1358"/>
      <c r="ASU520" s="1358"/>
      <c r="ASV520" s="1358"/>
      <c r="ASW520" s="1358"/>
      <c r="ASX520" s="1358"/>
      <c r="ASY520" s="1358"/>
      <c r="ASZ520" s="1358"/>
      <c r="ATA520" s="1358"/>
      <c r="ATB520" s="1358"/>
      <c r="ATC520" s="1358"/>
      <c r="ATD520" s="1358"/>
      <c r="ATE520" s="1358"/>
      <c r="ATF520" s="1358"/>
      <c r="ATG520" s="1358"/>
      <c r="ATH520" s="1358"/>
      <c r="ATI520" s="1358"/>
      <c r="ATJ520" s="1358"/>
      <c r="ATK520" s="1358"/>
      <c r="ATL520" s="1358"/>
      <c r="ATM520" s="1358"/>
      <c r="ATN520" s="1358"/>
      <c r="ATO520" s="1358"/>
      <c r="ATP520" s="1358"/>
      <c r="ATQ520" s="1358"/>
      <c r="ATR520" s="1358"/>
      <c r="ATS520" s="1358"/>
      <c r="ATT520" s="1358"/>
      <c r="ATU520" s="1358"/>
      <c r="ATV520" s="1358"/>
      <c r="ATW520" s="1358"/>
      <c r="ATX520" s="1358"/>
      <c r="ATY520" s="1358"/>
      <c r="ATZ520" s="1358"/>
      <c r="AUA520" s="1358"/>
      <c r="AUB520" s="1358"/>
      <c r="AUC520" s="1358"/>
      <c r="AUD520" s="1358"/>
      <c r="AUE520" s="1358"/>
      <c r="AUF520" s="1358"/>
      <c r="AUG520" s="1358"/>
      <c r="AUH520" s="1358"/>
      <c r="AUI520" s="1358"/>
      <c r="AUJ520" s="1358"/>
      <c r="AUK520" s="1358"/>
      <c r="AUL520" s="1358"/>
      <c r="AUM520" s="1358"/>
      <c r="AUN520" s="1358"/>
      <c r="AUO520" s="1358"/>
      <c r="AUP520" s="1358"/>
      <c r="AUQ520" s="1358"/>
      <c r="AUR520" s="1358"/>
      <c r="AUS520" s="1358"/>
      <c r="AUT520" s="1358"/>
      <c r="AUU520" s="1358"/>
      <c r="AUV520" s="1358"/>
      <c r="AUW520" s="1358"/>
      <c r="AUX520" s="1358"/>
      <c r="AUY520" s="1358"/>
      <c r="AUZ520" s="1358"/>
      <c r="AVA520" s="1358"/>
      <c r="AVB520" s="1358"/>
      <c r="AVC520" s="1358"/>
      <c r="AVD520" s="1358"/>
      <c r="AVE520" s="1358"/>
      <c r="AVF520" s="1358"/>
      <c r="AVG520" s="1358"/>
      <c r="AVH520" s="1358"/>
      <c r="AVI520" s="1358"/>
      <c r="AVJ520" s="1358"/>
      <c r="AVK520" s="1358"/>
      <c r="AVL520" s="1358"/>
      <c r="AVM520" s="1358"/>
      <c r="AVN520" s="1358"/>
      <c r="AVO520" s="1358"/>
      <c r="AVP520" s="1358"/>
      <c r="AVQ520" s="1358"/>
      <c r="AVR520" s="1358"/>
      <c r="AVS520" s="1358"/>
      <c r="AVT520" s="1358"/>
      <c r="AVU520" s="1358"/>
      <c r="AVV520" s="1358"/>
      <c r="AVW520" s="1358"/>
      <c r="AVX520" s="1358"/>
      <c r="AVY520" s="1358"/>
      <c r="AVZ520" s="1358"/>
      <c r="AWA520" s="1358"/>
      <c r="AWB520" s="1358"/>
      <c r="AWC520" s="1358"/>
      <c r="AWD520" s="1358"/>
      <c r="AWE520" s="1358"/>
      <c r="AWF520" s="1358"/>
      <c r="AWG520" s="1358"/>
      <c r="AWH520" s="1358"/>
      <c r="AWI520" s="1358"/>
      <c r="AWJ520" s="1358"/>
      <c r="AWK520" s="1358"/>
      <c r="AWL520" s="1358"/>
      <c r="AWM520" s="1358"/>
      <c r="AWN520" s="1358"/>
      <c r="AWO520" s="1358"/>
      <c r="AWP520" s="1358"/>
      <c r="AWQ520" s="1358"/>
      <c r="AWR520" s="1358"/>
      <c r="AWS520" s="1358"/>
      <c r="AWT520" s="1358"/>
      <c r="AWU520" s="1358"/>
      <c r="AWV520" s="1358"/>
      <c r="AWW520" s="1358"/>
      <c r="AWX520" s="1358"/>
      <c r="AWY520" s="1358"/>
      <c r="AWZ520" s="1358"/>
      <c r="AXA520" s="1358"/>
      <c r="AXB520" s="1358"/>
      <c r="AXC520" s="1358"/>
      <c r="AXD520" s="1358"/>
      <c r="AXE520" s="1358"/>
      <c r="AXF520" s="1358"/>
      <c r="AXG520" s="1358"/>
      <c r="AXH520" s="1358"/>
      <c r="AXI520" s="1358"/>
      <c r="AXJ520" s="1358"/>
      <c r="AXK520" s="1358"/>
      <c r="AXL520" s="1358"/>
      <c r="AXM520" s="1358"/>
      <c r="AXN520" s="1358"/>
      <c r="AXO520" s="1358"/>
      <c r="AXP520" s="1358"/>
      <c r="AXQ520" s="1358"/>
      <c r="AXR520" s="1358"/>
      <c r="AXS520" s="1358"/>
      <c r="AXT520" s="1358"/>
      <c r="AXU520" s="1358"/>
      <c r="AXV520" s="1358"/>
      <c r="AXW520" s="1358"/>
      <c r="AXX520" s="1358"/>
      <c r="AXY520" s="1358"/>
      <c r="AXZ520" s="1358"/>
      <c r="AYA520" s="1358"/>
      <c r="AYB520" s="1358"/>
      <c r="AYC520" s="1358"/>
      <c r="AYD520" s="1358"/>
      <c r="AYE520" s="1358"/>
      <c r="AYF520" s="1358"/>
      <c r="AYG520" s="1358"/>
      <c r="AYH520" s="1358"/>
      <c r="AYI520" s="1358"/>
      <c r="AYJ520" s="1358"/>
      <c r="AYK520" s="1358"/>
      <c r="AYL520" s="1358"/>
      <c r="AYM520" s="1358"/>
      <c r="AYN520" s="1358"/>
      <c r="AYO520" s="1358"/>
      <c r="AYP520" s="1358"/>
      <c r="AYQ520" s="1358"/>
      <c r="AYR520" s="1358"/>
      <c r="AYS520" s="1358"/>
      <c r="AYT520" s="1358"/>
      <c r="AYU520" s="1358"/>
      <c r="AYV520" s="1358"/>
      <c r="AYW520" s="1358"/>
      <c r="AYX520" s="1358"/>
      <c r="AYY520" s="1358"/>
      <c r="AYZ520" s="1358"/>
      <c r="AZA520" s="1358"/>
      <c r="AZB520" s="1358"/>
      <c r="AZC520" s="1358"/>
      <c r="AZD520" s="1358"/>
      <c r="AZE520" s="1358"/>
      <c r="AZF520" s="1358"/>
      <c r="AZG520" s="1358"/>
      <c r="AZH520" s="1358"/>
      <c r="AZI520" s="1358"/>
      <c r="AZJ520" s="1358"/>
      <c r="AZK520" s="1358"/>
      <c r="AZL520" s="1358"/>
      <c r="AZM520" s="1358"/>
      <c r="AZN520" s="1358"/>
      <c r="AZO520" s="1358"/>
      <c r="AZP520" s="1358"/>
      <c r="AZQ520" s="1358"/>
      <c r="AZR520" s="1358"/>
      <c r="AZS520" s="1358"/>
      <c r="AZT520" s="1358"/>
      <c r="AZU520" s="1358"/>
      <c r="AZV520" s="1358"/>
      <c r="AZW520" s="1358"/>
      <c r="AZX520" s="1358"/>
      <c r="AZY520" s="1358"/>
      <c r="AZZ520" s="1358"/>
      <c r="BAA520" s="1358"/>
      <c r="BAB520" s="1358"/>
      <c r="BAC520" s="1358"/>
      <c r="BAD520" s="1358"/>
      <c r="BAE520" s="1358"/>
      <c r="BAF520" s="1358"/>
      <c r="BAG520" s="1358"/>
      <c r="BAH520" s="1358"/>
      <c r="BAI520" s="1358"/>
      <c r="BAJ520" s="1358"/>
      <c r="BAK520" s="1358"/>
      <c r="BAL520" s="1358"/>
      <c r="BAM520" s="1358"/>
      <c r="BAN520" s="1358"/>
      <c r="BAO520" s="1358"/>
      <c r="BAP520" s="1358"/>
      <c r="BAQ520" s="1358"/>
      <c r="BAR520" s="1358"/>
      <c r="BAS520" s="1358"/>
      <c r="BAT520" s="1358"/>
      <c r="BAU520" s="1358"/>
      <c r="BAV520" s="1358"/>
      <c r="BAW520" s="1358"/>
      <c r="BAX520" s="1358"/>
      <c r="BAY520" s="1358"/>
      <c r="BAZ520" s="1358"/>
      <c r="BBA520" s="1358"/>
      <c r="BBB520" s="1358"/>
      <c r="BBC520" s="1358"/>
      <c r="BBD520" s="1358"/>
      <c r="BBE520" s="1358"/>
      <c r="BBF520" s="1358"/>
      <c r="BBG520" s="1358"/>
      <c r="BBH520" s="1358"/>
      <c r="BBI520" s="1358"/>
      <c r="BBJ520" s="1358"/>
      <c r="BBK520" s="1358"/>
      <c r="BBL520" s="1358"/>
      <c r="BBM520" s="1358"/>
      <c r="BBN520" s="1358"/>
      <c r="BBO520" s="1358"/>
      <c r="BBP520" s="1358"/>
      <c r="BBQ520" s="1358"/>
      <c r="BBR520" s="1358"/>
      <c r="BBS520" s="1358"/>
      <c r="BBT520" s="1358"/>
      <c r="BBU520" s="1358"/>
      <c r="BBV520" s="1358"/>
      <c r="BBW520" s="1358"/>
      <c r="BBX520" s="1358"/>
      <c r="BBY520" s="1358"/>
      <c r="BBZ520" s="1358"/>
      <c r="BCA520" s="1358"/>
      <c r="BCB520" s="1358"/>
      <c r="BCC520" s="1358"/>
      <c r="BCD520" s="1358"/>
      <c r="BCE520" s="1358"/>
      <c r="BCF520" s="1358"/>
      <c r="BCG520" s="1358"/>
      <c r="BCH520" s="1358"/>
      <c r="BCI520" s="1358"/>
      <c r="BCJ520" s="1358"/>
      <c r="BCK520" s="1358"/>
      <c r="BCL520" s="1358"/>
      <c r="BCM520" s="1358"/>
      <c r="BCN520" s="1358"/>
      <c r="BCO520" s="1358"/>
      <c r="BCP520" s="1358"/>
      <c r="BCQ520" s="1358"/>
      <c r="BCR520" s="1358"/>
      <c r="BCS520" s="1358"/>
      <c r="BCT520" s="1358"/>
      <c r="BCU520" s="1358"/>
      <c r="BCV520" s="1358"/>
      <c r="BCW520" s="1358"/>
      <c r="BCX520" s="1358"/>
      <c r="BCY520" s="1358"/>
      <c r="BCZ520" s="1358"/>
      <c r="BDA520" s="1358"/>
      <c r="BDB520" s="1358"/>
      <c r="BDC520" s="1358"/>
      <c r="BDD520" s="1358"/>
      <c r="BDE520" s="1358"/>
      <c r="BDF520" s="1358"/>
      <c r="BDG520" s="1358"/>
      <c r="BDH520" s="1358"/>
      <c r="BDI520" s="1358"/>
      <c r="BDJ520" s="1358"/>
      <c r="BDK520" s="1358"/>
      <c r="BDL520" s="1358"/>
      <c r="BDM520" s="1358"/>
      <c r="BDN520" s="1358"/>
      <c r="BDO520" s="1358"/>
      <c r="BDP520" s="1358"/>
      <c r="BDQ520" s="1358"/>
      <c r="BDR520" s="1358"/>
      <c r="BDS520" s="1358"/>
      <c r="BDT520" s="1358"/>
      <c r="BDU520" s="1358"/>
      <c r="BDV520" s="1358"/>
      <c r="BDW520" s="1358"/>
      <c r="BDX520" s="1358"/>
      <c r="BDY520" s="1358"/>
      <c r="BDZ520" s="1358"/>
      <c r="BEA520" s="1358"/>
      <c r="BEB520" s="1358"/>
      <c r="BEC520" s="1358"/>
      <c r="BED520" s="1358"/>
      <c r="BEE520" s="1358"/>
      <c r="BEF520" s="1358"/>
      <c r="BEG520" s="1358"/>
      <c r="BEH520" s="1358"/>
      <c r="BEI520" s="1358"/>
      <c r="BEJ520" s="1358"/>
      <c r="BEK520" s="1358"/>
      <c r="BEL520" s="1358"/>
      <c r="BEM520" s="1358"/>
      <c r="BEN520" s="1358"/>
      <c r="BEO520" s="1358"/>
      <c r="BEP520" s="1358"/>
      <c r="BEQ520" s="1358"/>
      <c r="BER520" s="1358"/>
      <c r="BES520" s="1358"/>
      <c r="BET520" s="1358"/>
      <c r="BEU520" s="1358"/>
      <c r="BEV520" s="1358"/>
      <c r="BEW520" s="1358"/>
      <c r="BEX520" s="1358"/>
      <c r="BEY520" s="1358"/>
      <c r="BEZ520" s="1358"/>
      <c r="BFA520" s="1358"/>
      <c r="BFB520" s="1358"/>
      <c r="BFC520" s="1358"/>
      <c r="BFD520" s="1358"/>
      <c r="BFE520" s="1358"/>
      <c r="BFF520" s="1358"/>
      <c r="BFG520" s="1358"/>
      <c r="BFH520" s="1358"/>
      <c r="BFI520" s="1358"/>
      <c r="BFJ520" s="1358"/>
      <c r="BFK520" s="1358"/>
      <c r="BFL520" s="1358"/>
      <c r="BFM520" s="1358"/>
      <c r="BFN520" s="1358"/>
      <c r="BFO520" s="1358"/>
      <c r="BFP520" s="1358"/>
      <c r="BFQ520" s="1358"/>
      <c r="BFR520" s="1358"/>
      <c r="BFS520" s="1358"/>
      <c r="BFT520" s="1358"/>
      <c r="BFU520" s="1358"/>
      <c r="BFV520" s="1358"/>
      <c r="BFW520" s="1358"/>
      <c r="BFX520" s="1358"/>
      <c r="BFY520" s="1358"/>
      <c r="BFZ520" s="1358"/>
      <c r="BGA520" s="1358"/>
      <c r="BGB520" s="1358"/>
      <c r="BGC520" s="1358"/>
      <c r="BGD520" s="1358"/>
      <c r="BGE520" s="1358"/>
      <c r="BGF520" s="1358"/>
      <c r="BGG520" s="1358"/>
      <c r="BGH520" s="1358"/>
      <c r="BGI520" s="1358"/>
      <c r="BGJ520" s="1358"/>
      <c r="BGK520" s="1358"/>
      <c r="BGL520" s="1358"/>
      <c r="BGM520" s="1358"/>
      <c r="BGN520" s="1358"/>
      <c r="BGO520" s="1358"/>
      <c r="BGP520" s="1358"/>
      <c r="BGQ520" s="1358"/>
      <c r="BGR520" s="1358"/>
      <c r="BGS520" s="1358"/>
      <c r="BGT520" s="1358"/>
      <c r="BGU520" s="1358"/>
      <c r="BGV520" s="1358"/>
      <c r="BGW520" s="1358"/>
      <c r="BGX520" s="1358"/>
      <c r="BGY520" s="1358"/>
      <c r="BGZ520" s="1358"/>
      <c r="BHA520" s="1358"/>
      <c r="BHB520" s="1358"/>
      <c r="BHC520" s="1358"/>
      <c r="BHD520" s="1358"/>
      <c r="BHE520" s="1358"/>
      <c r="BHF520" s="1358"/>
      <c r="BHG520" s="1358"/>
      <c r="BHH520" s="1358"/>
      <c r="BHI520" s="1358"/>
      <c r="BHJ520" s="1358"/>
      <c r="BHK520" s="1358"/>
      <c r="BHL520" s="1358"/>
      <c r="BHM520" s="1358"/>
      <c r="BHN520" s="1358"/>
      <c r="BHO520" s="1358"/>
      <c r="BHP520" s="1358"/>
      <c r="BHQ520" s="1358"/>
      <c r="BHR520" s="1358"/>
      <c r="BHS520" s="1358"/>
      <c r="BHT520" s="1358"/>
      <c r="BHU520" s="1358"/>
      <c r="BHV520" s="1358"/>
      <c r="BHW520" s="1358"/>
      <c r="BHX520" s="1358"/>
      <c r="BHY520" s="1358"/>
      <c r="BHZ520" s="1358"/>
      <c r="BIA520" s="1358"/>
      <c r="BIB520" s="1358"/>
      <c r="BIC520" s="1358"/>
      <c r="BID520" s="1358"/>
      <c r="BIE520" s="1358"/>
      <c r="BIF520" s="1358"/>
      <c r="BIG520" s="1358"/>
      <c r="BIH520" s="1358"/>
      <c r="BII520" s="1358"/>
      <c r="BIJ520" s="1358"/>
      <c r="BIK520" s="1358"/>
      <c r="BIL520" s="1358"/>
      <c r="BIM520" s="1358"/>
      <c r="BIN520" s="1358"/>
      <c r="BIO520" s="1358"/>
      <c r="BIP520" s="1358"/>
      <c r="BIQ520" s="1358"/>
      <c r="BIR520" s="1358"/>
      <c r="BIS520" s="1358"/>
      <c r="BIT520" s="1358"/>
      <c r="BIU520" s="1358"/>
      <c r="BIV520" s="1358"/>
      <c r="BIW520" s="1358"/>
      <c r="BIX520" s="1358"/>
      <c r="BIY520" s="1358"/>
      <c r="BIZ520" s="1358"/>
      <c r="BJA520" s="1358"/>
      <c r="BJB520" s="1358"/>
      <c r="BJC520" s="1358"/>
      <c r="BJD520" s="1358"/>
      <c r="BJE520" s="1358"/>
      <c r="BJF520" s="1358"/>
      <c r="BJG520" s="1358"/>
      <c r="BJH520" s="1358"/>
      <c r="BJI520" s="1358"/>
      <c r="BJJ520" s="1358"/>
      <c r="BJK520" s="1358"/>
      <c r="BJL520" s="1358"/>
      <c r="BJM520" s="1358"/>
      <c r="BJN520" s="1358"/>
      <c r="BJO520" s="1358"/>
      <c r="BJP520" s="1358"/>
      <c r="BJQ520" s="1358"/>
      <c r="BJR520" s="1358"/>
      <c r="BJS520" s="1358"/>
      <c r="BJT520" s="1358"/>
      <c r="BJU520" s="1358"/>
      <c r="BJV520" s="1358"/>
      <c r="BJW520" s="1358"/>
      <c r="BJX520" s="1358"/>
      <c r="BJY520" s="1358"/>
      <c r="BJZ520" s="1358"/>
      <c r="BKA520" s="1358"/>
      <c r="BKB520" s="1358"/>
      <c r="BKC520" s="1358"/>
      <c r="BKD520" s="1358"/>
      <c r="BKE520" s="1358"/>
      <c r="BKF520" s="1358"/>
      <c r="BKG520" s="1358"/>
      <c r="BKH520" s="1358"/>
      <c r="BKI520" s="1358"/>
      <c r="BKJ520" s="1358"/>
      <c r="BKK520" s="1358"/>
      <c r="BKL520" s="1358"/>
      <c r="BKM520" s="1358"/>
      <c r="BKN520" s="1358"/>
      <c r="BKO520" s="1358"/>
      <c r="BKP520" s="1358"/>
      <c r="BKQ520" s="1358"/>
      <c r="BKR520" s="1358"/>
      <c r="BKS520" s="1358"/>
      <c r="BKT520" s="1358"/>
      <c r="BKU520" s="1358"/>
      <c r="BKV520" s="1358"/>
      <c r="BKW520" s="1358"/>
      <c r="BKX520" s="1358"/>
      <c r="BKY520" s="1358"/>
      <c r="BKZ520" s="1358"/>
      <c r="BLA520" s="1358"/>
      <c r="BLB520" s="1358"/>
      <c r="BLC520" s="1358"/>
      <c r="BLD520" s="1358"/>
      <c r="BLE520" s="1358"/>
      <c r="BLF520" s="1358"/>
      <c r="BLG520" s="1358"/>
      <c r="BLH520" s="1358"/>
      <c r="BLI520" s="1358"/>
      <c r="BLJ520" s="1358"/>
      <c r="BLK520" s="1358"/>
      <c r="BLL520" s="1358"/>
      <c r="BLM520" s="1358"/>
      <c r="BLN520" s="1358"/>
      <c r="BLO520" s="1358"/>
      <c r="BLP520" s="1358"/>
      <c r="BLQ520" s="1358"/>
      <c r="BLR520" s="1358"/>
      <c r="BLS520" s="1358"/>
      <c r="BLT520" s="1358"/>
      <c r="BLU520" s="1358"/>
      <c r="BLV520" s="1358"/>
      <c r="BLW520" s="1358"/>
      <c r="BLX520" s="1358"/>
      <c r="BLY520" s="1358"/>
      <c r="BLZ520" s="1358"/>
      <c r="BMA520" s="1358"/>
      <c r="BMB520" s="1358"/>
      <c r="BMC520" s="1358"/>
      <c r="BMD520" s="1358"/>
      <c r="BME520" s="1358"/>
      <c r="BMF520" s="1358"/>
      <c r="BMG520" s="1358"/>
      <c r="BMH520" s="1358"/>
      <c r="BMI520" s="1358"/>
      <c r="BMJ520" s="1358"/>
      <c r="BMK520" s="1358"/>
      <c r="BML520" s="1358"/>
      <c r="BMM520" s="1358"/>
      <c r="BMN520" s="1358"/>
      <c r="BMO520" s="1358"/>
      <c r="BMP520" s="1358"/>
      <c r="BMQ520" s="1358"/>
      <c r="BMR520" s="1358"/>
      <c r="BMS520" s="1358"/>
      <c r="BMT520" s="1358"/>
      <c r="BMU520" s="1358"/>
      <c r="BMV520" s="1358"/>
      <c r="BMW520" s="1358"/>
      <c r="BMX520" s="1358"/>
      <c r="BMY520" s="1358"/>
      <c r="BMZ520" s="1358"/>
      <c r="BNA520" s="1358"/>
      <c r="BNB520" s="1358"/>
      <c r="BNC520" s="1358"/>
      <c r="BND520" s="1358"/>
      <c r="BNE520" s="1358"/>
      <c r="BNF520" s="1358"/>
      <c r="BNG520" s="1358"/>
      <c r="BNH520" s="1358"/>
      <c r="BNI520" s="1358"/>
      <c r="BNJ520" s="1358"/>
      <c r="BNK520" s="1358"/>
      <c r="BNL520" s="1358"/>
      <c r="BNM520" s="1358"/>
      <c r="BNN520" s="1358"/>
      <c r="BNO520" s="1358"/>
      <c r="BNP520" s="1358"/>
      <c r="BNQ520" s="1358"/>
      <c r="BNR520" s="1358"/>
      <c r="BNS520" s="1358"/>
      <c r="BNT520" s="1358"/>
      <c r="BNU520" s="1358"/>
      <c r="BNV520" s="1358"/>
      <c r="BNW520" s="1358"/>
      <c r="BNX520" s="1358"/>
      <c r="BNY520" s="1358"/>
      <c r="BNZ520" s="1358"/>
      <c r="BOA520" s="1358"/>
      <c r="BOB520" s="1358"/>
      <c r="BOC520" s="1358"/>
      <c r="BOD520" s="1358"/>
      <c r="BOE520" s="1358"/>
      <c r="BOF520" s="1358"/>
      <c r="BOG520" s="1358"/>
      <c r="BOH520" s="1358"/>
      <c r="BOI520" s="1358"/>
      <c r="BOJ520" s="1358"/>
      <c r="BOK520" s="1358"/>
      <c r="BOL520" s="1358"/>
      <c r="BOM520" s="1358"/>
      <c r="BON520" s="1358"/>
      <c r="BOO520" s="1358"/>
      <c r="BOP520" s="1358"/>
      <c r="BOQ520" s="1358"/>
      <c r="BOR520" s="1358"/>
      <c r="BOS520" s="1358"/>
      <c r="BOT520" s="1358"/>
      <c r="BOU520" s="1358"/>
      <c r="BOV520" s="1358"/>
      <c r="BOW520" s="1358"/>
      <c r="BOX520" s="1358"/>
      <c r="BOY520" s="1358"/>
      <c r="BOZ520" s="1358"/>
      <c r="BPA520" s="1358"/>
      <c r="BPB520" s="1358"/>
      <c r="BPC520" s="1358"/>
      <c r="BPD520" s="1358"/>
      <c r="BPE520" s="1358"/>
      <c r="BPF520" s="1358"/>
      <c r="BPG520" s="1358"/>
      <c r="BPH520" s="1358"/>
      <c r="BPI520" s="1358"/>
      <c r="BPJ520" s="1358"/>
      <c r="BPK520" s="1358"/>
      <c r="BPL520" s="1358"/>
      <c r="BPM520" s="1358"/>
      <c r="BPN520" s="1358"/>
      <c r="BPO520" s="1358"/>
      <c r="BPP520" s="1358"/>
      <c r="BPQ520" s="1358"/>
      <c r="BPR520" s="1358"/>
      <c r="BPS520" s="1358"/>
      <c r="BPT520" s="1358"/>
      <c r="BPU520" s="1358"/>
      <c r="BPV520" s="1358"/>
      <c r="BPW520" s="1358"/>
      <c r="BPX520" s="1358"/>
      <c r="BPY520" s="1358"/>
      <c r="BPZ520" s="1358"/>
      <c r="BQA520" s="1358"/>
      <c r="BQB520" s="1358"/>
      <c r="BQC520" s="1358"/>
      <c r="BQD520" s="1358"/>
      <c r="BQE520" s="1358"/>
      <c r="BQF520" s="1358"/>
      <c r="BQG520" s="1358"/>
      <c r="BQH520" s="1358"/>
      <c r="BQI520" s="1358"/>
      <c r="BQJ520" s="1358"/>
      <c r="BQK520" s="1358"/>
      <c r="BQL520" s="1358"/>
      <c r="BQM520" s="1358"/>
      <c r="BQN520" s="1358"/>
      <c r="BQO520" s="1358"/>
      <c r="BQP520" s="1358"/>
      <c r="BQQ520" s="1358"/>
      <c r="BQR520" s="1358"/>
      <c r="BQS520" s="1358"/>
      <c r="BQT520" s="1358"/>
      <c r="BQU520" s="1358"/>
      <c r="BQV520" s="1358"/>
      <c r="BQW520" s="1358"/>
      <c r="BQX520" s="1358"/>
      <c r="BQY520" s="1358"/>
      <c r="BQZ520" s="1358"/>
      <c r="BRA520" s="1358"/>
      <c r="BRB520" s="1358"/>
      <c r="BRC520" s="1358"/>
      <c r="BRD520" s="1358"/>
      <c r="BRE520" s="1358"/>
      <c r="BRF520" s="1358"/>
      <c r="BRG520" s="1358"/>
      <c r="BRH520" s="1358"/>
      <c r="BRI520" s="1358"/>
      <c r="BRJ520" s="1358"/>
      <c r="BRK520" s="1358"/>
      <c r="BRL520" s="1358"/>
      <c r="BRM520" s="1358"/>
      <c r="BRN520" s="1358"/>
      <c r="BRO520" s="1358"/>
      <c r="BRP520" s="1358"/>
      <c r="BRQ520" s="1358"/>
      <c r="BRR520" s="1358"/>
      <c r="BRS520" s="1358"/>
      <c r="BRT520" s="1358"/>
      <c r="BRU520" s="1358"/>
      <c r="BRV520" s="1358"/>
      <c r="BRW520" s="1358"/>
      <c r="BRX520" s="1358"/>
      <c r="BRY520" s="1358"/>
      <c r="BRZ520" s="1358"/>
      <c r="BSA520" s="1358"/>
      <c r="BSB520" s="1358"/>
      <c r="BSC520" s="1358"/>
      <c r="BSD520" s="1358"/>
      <c r="BSE520" s="1358"/>
      <c r="BSF520" s="1358"/>
      <c r="BSG520" s="1358"/>
      <c r="BSH520" s="1358"/>
      <c r="BSI520" s="1358"/>
      <c r="BSJ520" s="1358"/>
      <c r="BSK520" s="1358"/>
      <c r="BSL520" s="1358"/>
      <c r="BSM520" s="1358"/>
      <c r="BSN520" s="1358"/>
      <c r="BSO520" s="1358"/>
      <c r="BSP520" s="1358"/>
      <c r="BSQ520" s="1358"/>
      <c r="BSR520" s="1358"/>
      <c r="BSS520" s="1358"/>
      <c r="BST520" s="1358"/>
      <c r="BSU520" s="1358"/>
      <c r="BSV520" s="1358"/>
      <c r="BSW520" s="1358"/>
      <c r="BSX520" s="1358"/>
      <c r="BSY520" s="1358"/>
      <c r="BSZ520" s="1358"/>
      <c r="BTA520" s="1358"/>
      <c r="BTB520" s="1358"/>
      <c r="BTC520" s="1358"/>
      <c r="BTD520" s="1358"/>
      <c r="BTE520" s="1358"/>
      <c r="BTF520" s="1358"/>
      <c r="BTG520" s="1358"/>
      <c r="BTH520" s="1358"/>
      <c r="BTI520" s="1358"/>
      <c r="BTJ520" s="1358"/>
      <c r="BTK520" s="1358"/>
      <c r="BTL520" s="1358"/>
      <c r="BTM520" s="1358"/>
      <c r="BTN520" s="1358"/>
      <c r="BTO520" s="1358"/>
      <c r="BTP520" s="1358"/>
      <c r="BTQ520" s="1358"/>
      <c r="BTR520" s="1358"/>
      <c r="BTS520" s="1358"/>
      <c r="BTT520" s="1358"/>
      <c r="BTU520" s="1358"/>
      <c r="BTV520" s="1358"/>
      <c r="BTW520" s="1358"/>
      <c r="BTX520" s="1358"/>
      <c r="BTY520" s="1358"/>
      <c r="BTZ520" s="1358"/>
      <c r="BUA520" s="1358"/>
      <c r="BUB520" s="1358"/>
      <c r="BUC520" s="1358"/>
      <c r="BUD520" s="1358"/>
      <c r="BUE520" s="1358"/>
      <c r="BUF520" s="1358"/>
      <c r="BUG520" s="1358"/>
      <c r="BUH520" s="1358"/>
      <c r="BUI520" s="1358"/>
      <c r="BUJ520" s="1358"/>
      <c r="BUK520" s="1358"/>
      <c r="BUL520" s="1358"/>
      <c r="BUM520" s="1358"/>
      <c r="BUN520" s="1358"/>
      <c r="BUO520" s="1358"/>
      <c r="BUP520" s="1358"/>
      <c r="BUQ520" s="1358"/>
      <c r="BUR520" s="1358"/>
      <c r="BUS520" s="1358"/>
      <c r="BUT520" s="1358"/>
      <c r="BUU520" s="1358"/>
      <c r="BUV520" s="1358"/>
      <c r="BUW520" s="1358"/>
      <c r="BUX520" s="1358"/>
      <c r="BUY520" s="1358"/>
      <c r="BUZ520" s="1358"/>
      <c r="BVA520" s="1358"/>
      <c r="BVB520" s="1358"/>
      <c r="BVC520" s="1358"/>
      <c r="BVD520" s="1358"/>
      <c r="BVE520" s="1358"/>
      <c r="BVF520" s="1358"/>
      <c r="BVG520" s="1358"/>
      <c r="BVH520" s="1358"/>
      <c r="BVI520" s="1358"/>
      <c r="BVJ520" s="1358"/>
      <c r="BVK520" s="1358"/>
      <c r="BVL520" s="1358"/>
      <c r="BVM520" s="1358"/>
      <c r="BVN520" s="1358"/>
      <c r="BVO520" s="1358"/>
      <c r="BVP520" s="1358"/>
      <c r="BVQ520" s="1358"/>
      <c r="BVR520" s="1358"/>
      <c r="BVS520" s="1358"/>
      <c r="BVT520" s="1358"/>
      <c r="BVU520" s="1358"/>
      <c r="BVV520" s="1358"/>
      <c r="BVW520" s="1358"/>
      <c r="BVX520" s="1358"/>
      <c r="BVY520" s="1358"/>
      <c r="BVZ520" s="1358"/>
      <c r="BWA520" s="1358"/>
      <c r="BWB520" s="1358"/>
      <c r="BWC520" s="1358"/>
      <c r="BWD520" s="1358"/>
      <c r="BWE520" s="1358"/>
      <c r="BWF520" s="1358"/>
      <c r="BWG520" s="1358"/>
      <c r="BWH520" s="1358"/>
      <c r="BWI520" s="1358"/>
      <c r="BWJ520" s="1358"/>
      <c r="BWK520" s="1358"/>
      <c r="BWL520" s="1358"/>
      <c r="BWM520" s="1358"/>
      <c r="BWN520" s="1358"/>
      <c r="BWO520" s="1358"/>
      <c r="BWP520" s="1358"/>
      <c r="BWQ520" s="1358"/>
      <c r="BWR520" s="1358"/>
      <c r="BWS520" s="1358"/>
      <c r="BWT520" s="1358"/>
      <c r="BWU520" s="1358"/>
      <c r="BWV520" s="1358"/>
      <c r="BWW520" s="1358"/>
      <c r="BWX520" s="1358"/>
      <c r="BWY520" s="1358"/>
      <c r="BWZ520" s="1358"/>
      <c r="BXA520" s="1358"/>
      <c r="BXB520" s="1358"/>
      <c r="BXC520" s="1358"/>
      <c r="BXD520" s="1358"/>
      <c r="BXE520" s="1358"/>
      <c r="BXF520" s="1358"/>
      <c r="BXG520" s="1358"/>
      <c r="BXH520" s="1358"/>
      <c r="BXI520" s="1358"/>
      <c r="BXJ520" s="1358"/>
      <c r="BXK520" s="1358"/>
      <c r="BXL520" s="1358"/>
      <c r="BXM520" s="1358"/>
      <c r="BXN520" s="1358"/>
      <c r="BXO520" s="1358"/>
      <c r="BXP520" s="1358"/>
      <c r="BXQ520" s="1358"/>
      <c r="BXR520" s="1358"/>
      <c r="BXS520" s="1358"/>
      <c r="BXT520" s="1358"/>
      <c r="BXU520" s="1358"/>
      <c r="BXV520" s="1358"/>
      <c r="BXW520" s="1358"/>
      <c r="BXX520" s="1358"/>
      <c r="BXY520" s="1358"/>
      <c r="BXZ520" s="1358"/>
      <c r="BYA520" s="1358"/>
      <c r="BYB520" s="1358"/>
      <c r="BYC520" s="1358"/>
      <c r="BYD520" s="1358"/>
      <c r="BYE520" s="1358"/>
      <c r="BYF520" s="1358"/>
      <c r="BYG520" s="1358"/>
      <c r="BYH520" s="1358"/>
      <c r="BYI520" s="1358"/>
      <c r="BYJ520" s="1358"/>
      <c r="BYK520" s="1358"/>
      <c r="BYL520" s="1358"/>
      <c r="BYM520" s="1358"/>
      <c r="BYN520" s="1358"/>
      <c r="BYO520" s="1358"/>
      <c r="BYP520" s="1358"/>
      <c r="BYQ520" s="1358"/>
      <c r="BYR520" s="1358"/>
      <c r="BYS520" s="1358"/>
      <c r="BYT520" s="1358"/>
      <c r="BYU520" s="1358"/>
      <c r="BYV520" s="1358"/>
      <c r="BYW520" s="1358"/>
      <c r="BYX520" s="1358"/>
      <c r="BYY520" s="1358"/>
      <c r="BYZ520" s="1358"/>
      <c r="BZA520" s="1358"/>
      <c r="BZB520" s="1358"/>
      <c r="BZC520" s="1358"/>
      <c r="BZD520" s="1358"/>
      <c r="BZE520" s="1358"/>
      <c r="BZF520" s="1358"/>
      <c r="BZG520" s="1358"/>
      <c r="BZH520" s="1358"/>
      <c r="BZI520" s="1358"/>
      <c r="BZJ520" s="1358"/>
      <c r="BZK520" s="1358"/>
      <c r="BZL520" s="1358"/>
      <c r="BZM520" s="1358"/>
      <c r="BZN520" s="1358"/>
      <c r="BZO520" s="1358"/>
      <c r="BZP520" s="1358"/>
      <c r="BZQ520" s="1358"/>
      <c r="BZR520" s="1358"/>
      <c r="BZS520" s="1358"/>
      <c r="BZT520" s="1358"/>
      <c r="BZU520" s="1358"/>
      <c r="BZV520" s="1358"/>
      <c r="BZW520" s="1358"/>
      <c r="BZX520" s="1358"/>
      <c r="BZY520" s="1358"/>
      <c r="BZZ520" s="1358"/>
      <c r="CAA520" s="1358"/>
      <c r="CAB520" s="1358"/>
      <c r="CAC520" s="1358"/>
      <c r="CAD520" s="1358"/>
      <c r="CAE520" s="1358"/>
      <c r="CAF520" s="1358"/>
      <c r="CAG520" s="1358"/>
      <c r="CAH520" s="1358"/>
      <c r="CAI520" s="1358"/>
      <c r="CAJ520" s="1358"/>
      <c r="CAK520" s="1358"/>
      <c r="CAL520" s="1358"/>
      <c r="CAM520" s="1358"/>
      <c r="CAN520" s="1358"/>
      <c r="CAO520" s="1358"/>
      <c r="CAP520" s="1358"/>
      <c r="CAQ520" s="1358"/>
      <c r="CAR520" s="1358"/>
      <c r="CAS520" s="1358"/>
      <c r="CAT520" s="1358"/>
      <c r="CAU520" s="1358"/>
      <c r="CAV520" s="1358"/>
      <c r="CAW520" s="1358"/>
      <c r="CAX520" s="1358"/>
      <c r="CAY520" s="1358"/>
      <c r="CAZ520" s="1358"/>
      <c r="CBA520" s="1358"/>
      <c r="CBB520" s="1358"/>
      <c r="CBC520" s="1358"/>
      <c r="CBD520" s="1358"/>
      <c r="CBE520" s="1358"/>
      <c r="CBF520" s="1358"/>
      <c r="CBG520" s="1358"/>
      <c r="CBH520" s="1358"/>
      <c r="CBI520" s="1358"/>
      <c r="CBJ520" s="1358"/>
      <c r="CBK520" s="1358"/>
      <c r="CBL520" s="1358"/>
      <c r="CBM520" s="1358"/>
      <c r="CBN520" s="1358"/>
      <c r="CBO520" s="1358"/>
      <c r="CBP520" s="1358"/>
      <c r="CBQ520" s="1358"/>
      <c r="CBR520" s="1358"/>
      <c r="CBS520" s="1358"/>
      <c r="CBT520" s="1358"/>
      <c r="CBU520" s="1358"/>
      <c r="CBV520" s="1358"/>
      <c r="CBW520" s="1358"/>
      <c r="CBX520" s="1358"/>
      <c r="CBY520" s="1358"/>
      <c r="CBZ520" s="1358"/>
      <c r="CCA520" s="1358"/>
      <c r="CCB520" s="1358"/>
      <c r="CCC520" s="1358"/>
      <c r="CCD520" s="1358"/>
      <c r="CCE520" s="1358"/>
      <c r="CCF520" s="1358"/>
      <c r="CCG520" s="1358"/>
      <c r="CCH520" s="1358"/>
      <c r="CCI520" s="1358"/>
      <c r="CCJ520" s="1358"/>
      <c r="CCK520" s="1358"/>
      <c r="CCL520" s="1358"/>
      <c r="CCM520" s="1358"/>
      <c r="CCN520" s="1358"/>
      <c r="CCO520" s="1358"/>
      <c r="CCP520" s="1358"/>
      <c r="CCQ520" s="1358"/>
      <c r="CCR520" s="1358"/>
      <c r="CCS520" s="1358"/>
      <c r="CCT520" s="1358"/>
      <c r="CCU520" s="1358"/>
      <c r="CCV520" s="1358"/>
      <c r="CCW520" s="1358"/>
      <c r="CCX520" s="1358"/>
      <c r="CCY520" s="1358"/>
      <c r="CCZ520" s="1358"/>
      <c r="CDA520" s="1358"/>
      <c r="CDB520" s="1358"/>
      <c r="CDC520" s="1358"/>
      <c r="CDD520" s="1358"/>
      <c r="CDE520" s="1358"/>
      <c r="CDF520" s="1358"/>
      <c r="CDG520" s="1358"/>
      <c r="CDH520" s="1358"/>
      <c r="CDI520" s="1358"/>
      <c r="CDJ520" s="1358"/>
      <c r="CDK520" s="1358"/>
      <c r="CDL520" s="1358"/>
      <c r="CDM520" s="1358"/>
      <c r="CDN520" s="1358"/>
      <c r="CDO520" s="1358"/>
      <c r="CDP520" s="1358"/>
      <c r="CDQ520" s="1358"/>
      <c r="CDR520" s="1358"/>
      <c r="CDS520" s="1358"/>
      <c r="CDT520" s="1358"/>
      <c r="CDU520" s="1358"/>
      <c r="CDV520" s="1358"/>
      <c r="CDW520" s="1358"/>
      <c r="CDX520" s="1358"/>
      <c r="CDY520" s="1358"/>
      <c r="CDZ520" s="1358"/>
      <c r="CEA520" s="1358"/>
      <c r="CEB520" s="1358"/>
      <c r="CEC520" s="1358"/>
      <c r="CED520" s="1358"/>
      <c r="CEE520" s="1358"/>
      <c r="CEF520" s="1358"/>
      <c r="CEG520" s="1358"/>
      <c r="CEH520" s="1358"/>
      <c r="CEI520" s="1358"/>
      <c r="CEJ520" s="1358"/>
      <c r="CEK520" s="1358"/>
      <c r="CEL520" s="1358"/>
      <c r="CEM520" s="1358"/>
      <c r="CEN520" s="1358"/>
      <c r="CEO520" s="1358"/>
      <c r="CEP520" s="1358"/>
      <c r="CEQ520" s="1358"/>
      <c r="CER520" s="1358"/>
      <c r="CES520" s="1358"/>
      <c r="CET520" s="1358"/>
      <c r="CEU520" s="1358"/>
      <c r="CEV520" s="1358"/>
      <c r="CEW520" s="1358"/>
      <c r="CEX520" s="1358"/>
      <c r="CEY520" s="1358"/>
      <c r="CEZ520" s="1358"/>
      <c r="CFA520" s="1358"/>
      <c r="CFB520" s="1358"/>
      <c r="CFC520" s="1358"/>
      <c r="CFD520" s="1358"/>
      <c r="CFE520" s="1358"/>
      <c r="CFF520" s="1358"/>
      <c r="CFG520" s="1358"/>
      <c r="CFH520" s="1358"/>
      <c r="CFI520" s="1358"/>
      <c r="CFJ520" s="1358"/>
      <c r="CFK520" s="1358"/>
      <c r="CFL520" s="1358"/>
      <c r="CFM520" s="1358"/>
      <c r="CFN520" s="1358"/>
      <c r="CFO520" s="1358"/>
      <c r="CFP520" s="1358"/>
      <c r="CFQ520" s="1358"/>
      <c r="CFR520" s="1358"/>
      <c r="CFS520" s="1358"/>
      <c r="CFT520" s="1358"/>
      <c r="CFU520" s="1358"/>
      <c r="CFV520" s="1358"/>
      <c r="CFW520" s="1358"/>
      <c r="CFX520" s="1358"/>
      <c r="CFY520" s="1358"/>
      <c r="CFZ520" s="1358"/>
      <c r="CGA520" s="1358"/>
      <c r="CGB520" s="1358"/>
      <c r="CGC520" s="1358"/>
      <c r="CGD520" s="1358"/>
      <c r="CGE520" s="1358"/>
      <c r="CGF520" s="1358"/>
      <c r="CGG520" s="1358"/>
      <c r="CGH520" s="1358"/>
      <c r="CGI520" s="1358"/>
      <c r="CGJ520" s="1358"/>
      <c r="CGK520" s="1358"/>
      <c r="CGL520" s="1358"/>
      <c r="CGM520" s="1358"/>
      <c r="CGN520" s="1358"/>
      <c r="CGO520" s="1358"/>
      <c r="CGP520" s="1358"/>
      <c r="CGQ520" s="1358"/>
      <c r="CGR520" s="1358"/>
      <c r="CGS520" s="1358"/>
      <c r="CGT520" s="1358"/>
      <c r="CGU520" s="1358"/>
      <c r="CGV520" s="1358"/>
      <c r="CGW520" s="1358"/>
      <c r="CGX520" s="1358"/>
      <c r="CGY520" s="1358"/>
      <c r="CGZ520" s="1358"/>
      <c r="CHA520" s="1358"/>
      <c r="CHB520" s="1358"/>
      <c r="CHC520" s="1358"/>
      <c r="CHD520" s="1358"/>
      <c r="CHE520" s="1358"/>
      <c r="CHF520" s="1358"/>
      <c r="CHG520" s="1358"/>
      <c r="CHH520" s="1358"/>
      <c r="CHI520" s="1358"/>
      <c r="CHJ520" s="1358"/>
      <c r="CHK520" s="1358"/>
      <c r="CHL520" s="1358"/>
      <c r="CHM520" s="1358"/>
      <c r="CHN520" s="1358"/>
      <c r="CHO520" s="1358"/>
      <c r="CHP520" s="1358"/>
      <c r="CHQ520" s="1358"/>
      <c r="CHR520" s="1358"/>
      <c r="CHS520" s="1358"/>
      <c r="CHT520" s="1358"/>
      <c r="CHU520" s="1358"/>
      <c r="CHV520" s="1358"/>
      <c r="CHW520" s="1358"/>
      <c r="CHX520" s="1358"/>
      <c r="CHY520" s="1358"/>
      <c r="CHZ520" s="1358"/>
      <c r="CIA520" s="1358"/>
      <c r="CIB520" s="1358"/>
      <c r="CIC520" s="1358"/>
      <c r="CID520" s="1358"/>
      <c r="CIE520" s="1358"/>
      <c r="CIF520" s="1358"/>
      <c r="CIG520" s="1358"/>
      <c r="CIH520" s="1358"/>
      <c r="CII520" s="1358"/>
      <c r="CIJ520" s="1358"/>
      <c r="CIK520" s="1358"/>
      <c r="CIL520" s="1358"/>
      <c r="CIM520" s="1358"/>
      <c r="CIN520" s="1358"/>
      <c r="CIO520" s="1358"/>
      <c r="CIP520" s="1358"/>
      <c r="CIQ520" s="1358"/>
      <c r="CIR520" s="1358"/>
      <c r="CIS520" s="1358"/>
      <c r="CIT520" s="1358"/>
      <c r="CIU520" s="1358"/>
      <c r="CIV520" s="1358"/>
      <c r="CIW520" s="1358"/>
      <c r="CIX520" s="1358"/>
      <c r="CIY520" s="1358"/>
      <c r="CIZ520" s="1358"/>
      <c r="CJA520" s="1358"/>
      <c r="CJB520" s="1358"/>
      <c r="CJC520" s="1358"/>
      <c r="CJD520" s="1358"/>
      <c r="CJE520" s="1358"/>
      <c r="CJF520" s="1358"/>
      <c r="CJG520" s="1358"/>
      <c r="CJH520" s="1358"/>
      <c r="CJI520" s="1358"/>
      <c r="CJJ520" s="1358"/>
      <c r="CJK520" s="1358"/>
      <c r="CJL520" s="1358"/>
      <c r="CJM520" s="1358"/>
      <c r="CJN520" s="1358"/>
      <c r="CJO520" s="1358"/>
      <c r="CJP520" s="1358"/>
      <c r="CJQ520" s="1358"/>
      <c r="CJR520" s="1358"/>
      <c r="CJS520" s="1358"/>
      <c r="CJT520" s="1358"/>
      <c r="CJU520" s="1358"/>
      <c r="CJV520" s="1358"/>
      <c r="CJW520" s="1358"/>
      <c r="CJX520" s="1358"/>
      <c r="CJY520" s="1358"/>
      <c r="CJZ520" s="1358"/>
      <c r="CKA520" s="1358"/>
      <c r="CKB520" s="1358"/>
      <c r="CKC520" s="1358"/>
      <c r="CKD520" s="1358"/>
      <c r="CKE520" s="1358"/>
      <c r="CKF520" s="1358"/>
      <c r="CKG520" s="1358"/>
      <c r="CKH520" s="1358"/>
      <c r="CKI520" s="1358"/>
      <c r="CKJ520" s="1358"/>
      <c r="CKK520" s="1358"/>
      <c r="CKL520" s="1358"/>
      <c r="CKM520" s="1358"/>
      <c r="CKN520" s="1358"/>
      <c r="CKO520" s="1358"/>
      <c r="CKP520" s="1358"/>
      <c r="CKQ520" s="1358"/>
      <c r="CKR520" s="1358"/>
      <c r="CKS520" s="1358"/>
      <c r="CKT520" s="1358"/>
      <c r="CKU520" s="1358"/>
      <c r="CKV520" s="1358"/>
      <c r="CKW520" s="1358"/>
      <c r="CKX520" s="1358"/>
      <c r="CKY520" s="1358"/>
      <c r="CKZ520" s="1358"/>
      <c r="CLA520" s="1358"/>
      <c r="CLB520" s="1358"/>
      <c r="CLC520" s="1358"/>
      <c r="CLD520" s="1358"/>
      <c r="CLE520" s="1358"/>
      <c r="CLF520" s="1358"/>
      <c r="CLG520" s="1358"/>
      <c r="CLH520" s="1358"/>
      <c r="CLI520" s="1358"/>
      <c r="CLJ520" s="1358"/>
      <c r="CLK520" s="1358"/>
      <c r="CLL520" s="1358"/>
      <c r="CLM520" s="1358"/>
      <c r="CLN520" s="1358"/>
      <c r="CLO520" s="1358"/>
      <c r="CLP520" s="1358"/>
      <c r="CLQ520" s="1358"/>
      <c r="CLR520" s="1358"/>
      <c r="CLS520" s="1358"/>
      <c r="CLT520" s="1358"/>
      <c r="CLU520" s="1358"/>
      <c r="CLV520" s="1358"/>
      <c r="CLW520" s="1358"/>
      <c r="CLX520" s="1358"/>
      <c r="CLY520" s="1358"/>
      <c r="CLZ520" s="1358"/>
      <c r="CMA520" s="1358"/>
      <c r="CMB520" s="1358"/>
      <c r="CMC520" s="1358"/>
      <c r="CMD520" s="1358"/>
      <c r="CME520" s="1358"/>
      <c r="CMF520" s="1358"/>
      <c r="CMG520" s="1358"/>
      <c r="CMH520" s="1358"/>
      <c r="CMI520" s="1358"/>
      <c r="CMJ520" s="1358"/>
      <c r="CMK520" s="1358"/>
      <c r="CML520" s="1358"/>
      <c r="CMM520" s="1358"/>
      <c r="CMN520" s="1358"/>
      <c r="CMO520" s="1358"/>
      <c r="CMP520" s="1358"/>
      <c r="CMQ520" s="1358"/>
      <c r="CMR520" s="1358"/>
      <c r="CMS520" s="1358"/>
      <c r="CMT520" s="1358"/>
      <c r="CMU520" s="1358"/>
      <c r="CMV520" s="1358"/>
      <c r="CMW520" s="1358"/>
      <c r="CMX520" s="1358"/>
      <c r="CMY520" s="1358"/>
      <c r="CMZ520" s="1358"/>
      <c r="CNA520" s="1358"/>
      <c r="CNB520" s="1358"/>
      <c r="CNC520" s="1358"/>
      <c r="CND520" s="1358"/>
      <c r="CNE520" s="1358"/>
      <c r="CNF520" s="1358"/>
      <c r="CNG520" s="1358"/>
      <c r="CNH520" s="1358"/>
      <c r="CNI520" s="1358"/>
      <c r="CNJ520" s="1358"/>
      <c r="CNK520" s="1358"/>
      <c r="CNL520" s="1358"/>
      <c r="CNM520" s="1358"/>
      <c r="CNN520" s="1358"/>
      <c r="CNO520" s="1358"/>
      <c r="CNP520" s="1358"/>
      <c r="CNQ520" s="1358"/>
      <c r="CNR520" s="1358"/>
      <c r="CNS520" s="1358"/>
      <c r="CNT520" s="1358"/>
      <c r="CNU520" s="1358"/>
      <c r="CNV520" s="1358"/>
      <c r="CNW520" s="1358"/>
      <c r="CNX520" s="1358"/>
      <c r="CNY520" s="1358"/>
      <c r="CNZ520" s="1358"/>
      <c r="COA520" s="1358"/>
      <c r="COB520" s="1358"/>
      <c r="COC520" s="1358"/>
      <c r="COD520" s="1358"/>
      <c r="COE520" s="1358"/>
      <c r="COF520" s="1358"/>
      <c r="COG520" s="1358"/>
      <c r="COH520" s="1358"/>
      <c r="COI520" s="1358"/>
      <c r="COJ520" s="1358"/>
      <c r="COK520" s="1358"/>
      <c r="COL520" s="1358"/>
      <c r="COM520" s="1358"/>
      <c r="CON520" s="1358"/>
      <c r="COO520" s="1358"/>
      <c r="COP520" s="1358"/>
      <c r="COQ520" s="1358"/>
      <c r="COR520" s="1358"/>
      <c r="COS520" s="1358"/>
      <c r="COT520" s="1358"/>
      <c r="COU520" s="1358"/>
      <c r="COV520" s="1358"/>
      <c r="COW520" s="1358"/>
      <c r="COX520" s="1358"/>
      <c r="COY520" s="1358"/>
      <c r="COZ520" s="1358"/>
      <c r="CPA520" s="1358"/>
      <c r="CPB520" s="1358"/>
      <c r="CPC520" s="1358"/>
      <c r="CPD520" s="1358"/>
      <c r="CPE520" s="1358"/>
      <c r="CPF520" s="1358"/>
      <c r="CPG520" s="1358"/>
      <c r="CPH520" s="1358"/>
      <c r="CPI520" s="1358"/>
      <c r="CPJ520" s="1358"/>
      <c r="CPK520" s="1358"/>
      <c r="CPL520" s="1358"/>
      <c r="CPM520" s="1358"/>
      <c r="CPN520" s="1358"/>
      <c r="CPO520" s="1358"/>
      <c r="CPP520" s="1358"/>
      <c r="CPQ520" s="1358"/>
      <c r="CPR520" s="1358"/>
      <c r="CPS520" s="1358"/>
      <c r="CPT520" s="1358"/>
      <c r="CPU520" s="1358"/>
      <c r="CPV520" s="1358"/>
      <c r="CPW520" s="1358"/>
      <c r="CPX520" s="1358"/>
      <c r="CPY520" s="1358"/>
      <c r="CPZ520" s="1358"/>
      <c r="CQA520" s="1358"/>
      <c r="CQB520" s="1358"/>
      <c r="CQC520" s="1358"/>
      <c r="CQD520" s="1358"/>
      <c r="CQE520" s="1358"/>
      <c r="CQF520" s="1358"/>
      <c r="CQG520" s="1358"/>
      <c r="CQH520" s="1358"/>
      <c r="CQI520" s="1358"/>
      <c r="CQJ520" s="1358"/>
      <c r="CQK520" s="1358"/>
      <c r="CQL520" s="1358"/>
      <c r="CQM520" s="1358"/>
      <c r="CQN520" s="1358"/>
      <c r="CQO520" s="1358"/>
      <c r="CQP520" s="1358"/>
      <c r="CQQ520" s="1358"/>
      <c r="CQR520" s="1358"/>
      <c r="CQS520" s="1358"/>
      <c r="CQT520" s="1358"/>
      <c r="CQU520" s="1358"/>
      <c r="CQV520" s="1358"/>
      <c r="CQW520" s="1358"/>
      <c r="CQX520" s="1358"/>
      <c r="CQY520" s="1358"/>
      <c r="CQZ520" s="1358"/>
      <c r="CRA520" s="1358"/>
      <c r="CRB520" s="1358"/>
      <c r="CRC520" s="1358"/>
      <c r="CRD520" s="1358"/>
      <c r="CRE520" s="1358"/>
      <c r="CRF520" s="1358"/>
      <c r="CRG520" s="1358"/>
      <c r="CRH520" s="1358"/>
      <c r="CRI520" s="1358"/>
      <c r="CRJ520" s="1358"/>
      <c r="CRK520" s="1358"/>
      <c r="CRL520" s="1358"/>
      <c r="CRM520" s="1358"/>
      <c r="CRN520" s="1358"/>
      <c r="CRO520" s="1358"/>
      <c r="CRP520" s="1358"/>
      <c r="CRQ520" s="1358"/>
      <c r="CRR520" s="1358"/>
      <c r="CRS520" s="1358"/>
      <c r="CRT520" s="1358"/>
      <c r="CRU520" s="1358"/>
      <c r="CRV520" s="1358"/>
      <c r="CRW520" s="1358"/>
      <c r="CRX520" s="1358"/>
      <c r="CRY520" s="1358"/>
      <c r="CRZ520" s="1358"/>
      <c r="CSA520" s="1358"/>
      <c r="CSB520" s="1358"/>
      <c r="CSC520" s="1358"/>
      <c r="CSD520" s="1358"/>
      <c r="CSE520" s="1358"/>
      <c r="CSF520" s="1358"/>
      <c r="CSG520" s="1358"/>
      <c r="CSH520" s="1358"/>
      <c r="CSI520" s="1358"/>
      <c r="CSJ520" s="1358"/>
      <c r="CSK520" s="1358"/>
      <c r="CSL520" s="1358"/>
      <c r="CSM520" s="1358"/>
      <c r="CSN520" s="1358"/>
      <c r="CSO520" s="1358"/>
      <c r="CSP520" s="1358"/>
      <c r="CSQ520" s="1358"/>
      <c r="CSR520" s="1358"/>
      <c r="CSS520" s="1358"/>
      <c r="CST520" s="1358"/>
      <c r="CSU520" s="1358"/>
      <c r="CSV520" s="1358"/>
      <c r="CSW520" s="1358"/>
      <c r="CSX520" s="1358"/>
      <c r="CSY520" s="1358"/>
      <c r="CSZ520" s="1358"/>
      <c r="CTA520" s="1358"/>
      <c r="CTB520" s="1358"/>
      <c r="CTC520" s="1358"/>
      <c r="CTD520" s="1358"/>
      <c r="CTE520" s="1358"/>
      <c r="CTF520" s="1358"/>
      <c r="CTG520" s="1358"/>
      <c r="CTH520" s="1358"/>
      <c r="CTI520" s="1358"/>
      <c r="CTJ520" s="1358"/>
      <c r="CTK520" s="1358"/>
      <c r="CTL520" s="1358"/>
      <c r="CTM520" s="1358"/>
      <c r="CTN520" s="1358"/>
      <c r="CTO520" s="1358"/>
      <c r="CTP520" s="1358"/>
      <c r="CTQ520" s="1358"/>
      <c r="CTR520" s="1358"/>
      <c r="CTS520" s="1358"/>
      <c r="CTT520" s="1358"/>
      <c r="CTU520" s="1358"/>
      <c r="CTV520" s="1358"/>
      <c r="CTW520" s="1358"/>
      <c r="CTX520" s="1358"/>
      <c r="CTY520" s="1358"/>
      <c r="CTZ520" s="1358"/>
      <c r="CUA520" s="1358"/>
      <c r="CUB520" s="1358"/>
      <c r="CUC520" s="1358"/>
      <c r="CUD520" s="1358"/>
      <c r="CUE520" s="1358"/>
      <c r="CUF520" s="1358"/>
      <c r="CUG520" s="1358"/>
      <c r="CUH520" s="1358"/>
      <c r="CUI520" s="1358"/>
      <c r="CUJ520" s="1358"/>
      <c r="CUK520" s="1358"/>
      <c r="CUL520" s="1358"/>
      <c r="CUM520" s="1358"/>
      <c r="CUN520" s="1358"/>
      <c r="CUO520" s="1358"/>
      <c r="CUP520" s="1358"/>
      <c r="CUQ520" s="1358"/>
      <c r="CUR520" s="1358"/>
      <c r="CUS520" s="1358"/>
      <c r="CUT520" s="1358"/>
      <c r="CUU520" s="1358"/>
      <c r="CUV520" s="1358"/>
      <c r="CUW520" s="1358"/>
      <c r="CUX520" s="1358"/>
      <c r="CUY520" s="1358"/>
      <c r="CUZ520" s="1358"/>
      <c r="CVA520" s="1358"/>
      <c r="CVB520" s="1358"/>
      <c r="CVC520" s="1358"/>
      <c r="CVD520" s="1358"/>
      <c r="CVE520" s="1358"/>
      <c r="CVF520" s="1358"/>
      <c r="CVG520" s="1358"/>
      <c r="CVH520" s="1358"/>
      <c r="CVI520" s="1358"/>
      <c r="CVJ520" s="1358"/>
      <c r="CVK520" s="1358"/>
      <c r="CVL520" s="1358"/>
      <c r="CVM520" s="1358"/>
      <c r="CVN520" s="1358"/>
      <c r="CVO520" s="1358"/>
      <c r="CVP520" s="1358"/>
      <c r="CVQ520" s="1358"/>
      <c r="CVR520" s="1358"/>
      <c r="CVS520" s="1358"/>
      <c r="CVT520" s="1358"/>
      <c r="CVU520" s="1358"/>
      <c r="CVV520" s="1358"/>
      <c r="CVW520" s="1358"/>
      <c r="CVX520" s="1358"/>
      <c r="CVY520" s="1358"/>
      <c r="CVZ520" s="1358"/>
      <c r="CWA520" s="1358"/>
      <c r="CWB520" s="1358"/>
      <c r="CWC520" s="1358"/>
      <c r="CWD520" s="1358"/>
      <c r="CWE520" s="1358"/>
      <c r="CWF520" s="1358"/>
      <c r="CWG520" s="1358"/>
      <c r="CWH520" s="1358"/>
      <c r="CWI520" s="1358"/>
      <c r="CWJ520" s="1358"/>
      <c r="CWK520" s="1358"/>
      <c r="CWL520" s="1358"/>
      <c r="CWM520" s="1358"/>
      <c r="CWN520" s="1358"/>
      <c r="CWO520" s="1358"/>
      <c r="CWP520" s="1358"/>
      <c r="CWQ520" s="1358"/>
      <c r="CWR520" s="1358"/>
      <c r="CWS520" s="1358"/>
      <c r="CWT520" s="1358"/>
      <c r="CWU520" s="1358"/>
      <c r="CWV520" s="1358"/>
      <c r="CWW520" s="1358"/>
      <c r="CWX520" s="1358"/>
      <c r="CWY520" s="1358"/>
      <c r="CWZ520" s="1358"/>
      <c r="CXA520" s="1358"/>
      <c r="CXB520" s="1358"/>
      <c r="CXC520" s="1358"/>
      <c r="CXD520" s="1358"/>
      <c r="CXE520" s="1358"/>
      <c r="CXF520" s="1358"/>
      <c r="CXG520" s="1358"/>
      <c r="CXH520" s="1358"/>
      <c r="CXI520" s="1358"/>
      <c r="CXJ520" s="1358"/>
      <c r="CXK520" s="1358"/>
      <c r="CXL520" s="1358"/>
      <c r="CXM520" s="1358"/>
      <c r="CXN520" s="1358"/>
      <c r="CXO520" s="1358"/>
      <c r="CXP520" s="1358"/>
      <c r="CXQ520" s="1358"/>
      <c r="CXR520" s="1358"/>
      <c r="CXS520" s="1358"/>
      <c r="CXT520" s="1358"/>
      <c r="CXU520" s="1358"/>
      <c r="CXV520" s="1358"/>
      <c r="CXW520" s="1358"/>
      <c r="CXX520" s="1358"/>
      <c r="CXY520" s="1358"/>
      <c r="CXZ520" s="1358"/>
      <c r="CYA520" s="1358"/>
      <c r="CYB520" s="1358"/>
      <c r="CYC520" s="1358"/>
      <c r="CYD520" s="1358"/>
      <c r="CYE520" s="1358"/>
      <c r="CYF520" s="1358"/>
      <c r="CYG520" s="1358"/>
      <c r="CYH520" s="1358"/>
      <c r="CYI520" s="1358"/>
      <c r="CYJ520" s="1358"/>
      <c r="CYK520" s="1358"/>
      <c r="CYL520" s="1358"/>
      <c r="CYM520" s="1358"/>
      <c r="CYN520" s="1358"/>
      <c r="CYO520" s="1358"/>
      <c r="CYP520" s="1358"/>
      <c r="CYQ520" s="1358"/>
      <c r="CYR520" s="1358"/>
      <c r="CYS520" s="1358"/>
      <c r="CYT520" s="1358"/>
      <c r="CYU520" s="1358"/>
      <c r="CYV520" s="1358"/>
      <c r="CYW520" s="1358"/>
      <c r="CYX520" s="1358"/>
      <c r="CYY520" s="1358"/>
      <c r="CYZ520" s="1358"/>
      <c r="CZA520" s="1358"/>
      <c r="CZB520" s="1358"/>
      <c r="CZC520" s="1358"/>
      <c r="CZD520" s="1358"/>
      <c r="CZE520" s="1358"/>
      <c r="CZF520" s="1358"/>
      <c r="CZG520" s="1358"/>
      <c r="CZH520" s="1358"/>
      <c r="CZI520" s="1358"/>
      <c r="CZJ520" s="1358"/>
      <c r="CZK520" s="1358"/>
      <c r="CZL520" s="1358"/>
      <c r="CZM520" s="1358"/>
      <c r="CZN520" s="1358"/>
      <c r="CZO520" s="1358"/>
      <c r="CZP520" s="1358"/>
      <c r="CZQ520" s="1358"/>
      <c r="CZR520" s="1358"/>
      <c r="CZS520" s="1358"/>
      <c r="CZT520" s="1358"/>
      <c r="CZU520" s="1358"/>
      <c r="CZV520" s="1358"/>
      <c r="CZW520" s="1358"/>
      <c r="CZX520" s="1358"/>
      <c r="CZY520" s="1358"/>
      <c r="CZZ520" s="1358"/>
      <c r="DAA520" s="1358"/>
      <c r="DAB520" s="1358"/>
      <c r="DAC520" s="1358"/>
      <c r="DAD520" s="1358"/>
      <c r="DAE520" s="1358"/>
      <c r="DAF520" s="1358"/>
      <c r="DAG520" s="1358"/>
      <c r="DAH520" s="1358"/>
      <c r="DAI520" s="1358"/>
      <c r="DAJ520" s="1358"/>
      <c r="DAK520" s="1358"/>
      <c r="DAL520" s="1358"/>
      <c r="DAM520" s="1358"/>
      <c r="DAN520" s="1358"/>
      <c r="DAO520" s="1358"/>
      <c r="DAP520" s="1358"/>
      <c r="DAQ520" s="1358"/>
      <c r="DAR520" s="1358"/>
      <c r="DAS520" s="1358"/>
      <c r="DAT520" s="1358"/>
      <c r="DAU520" s="1358"/>
      <c r="DAV520" s="1358"/>
      <c r="DAW520" s="1358"/>
      <c r="DAX520" s="1358"/>
      <c r="DAY520" s="1358"/>
      <c r="DAZ520" s="1358"/>
      <c r="DBA520" s="1358"/>
      <c r="DBB520" s="1358"/>
      <c r="DBC520" s="1358"/>
      <c r="DBD520" s="1358"/>
      <c r="DBE520" s="1358"/>
      <c r="DBF520" s="1358"/>
      <c r="DBG520" s="1358"/>
      <c r="DBH520" s="1358"/>
      <c r="DBI520" s="1358"/>
      <c r="DBJ520" s="1358"/>
      <c r="DBK520" s="1358"/>
      <c r="DBL520" s="1358"/>
      <c r="DBM520" s="1358"/>
      <c r="DBN520" s="1358"/>
      <c r="DBO520" s="1358"/>
      <c r="DBP520" s="1358"/>
      <c r="DBQ520" s="1358"/>
      <c r="DBR520" s="1358"/>
      <c r="DBS520" s="1358"/>
      <c r="DBT520" s="1358"/>
      <c r="DBU520" s="1358"/>
      <c r="DBV520" s="1358"/>
      <c r="DBW520" s="1358"/>
      <c r="DBX520" s="1358"/>
      <c r="DBY520" s="1358"/>
      <c r="DBZ520" s="1358"/>
      <c r="DCA520" s="1358"/>
      <c r="DCB520" s="1358"/>
      <c r="DCC520" s="1358"/>
      <c r="DCD520" s="1358"/>
      <c r="DCE520" s="1358"/>
      <c r="DCF520" s="1358"/>
      <c r="DCG520" s="1358"/>
      <c r="DCH520" s="1358"/>
      <c r="DCI520" s="1358"/>
      <c r="DCJ520" s="1358"/>
      <c r="DCK520" s="1358"/>
      <c r="DCL520" s="1358"/>
      <c r="DCM520" s="1358"/>
      <c r="DCN520" s="1358"/>
      <c r="DCO520" s="1358"/>
      <c r="DCP520" s="1358"/>
      <c r="DCQ520" s="1358"/>
      <c r="DCR520" s="1358"/>
      <c r="DCS520" s="1358"/>
      <c r="DCT520" s="1358"/>
      <c r="DCU520" s="1358"/>
      <c r="DCV520" s="1358"/>
      <c r="DCW520" s="1358"/>
      <c r="DCX520" s="1358"/>
      <c r="DCY520" s="1358"/>
      <c r="DCZ520" s="1358"/>
      <c r="DDA520" s="1358"/>
      <c r="DDB520" s="1358"/>
      <c r="DDC520" s="1358"/>
      <c r="DDD520" s="1358"/>
      <c r="DDE520" s="1358"/>
      <c r="DDF520" s="1358"/>
      <c r="DDG520" s="1358"/>
      <c r="DDH520" s="1358"/>
      <c r="DDI520" s="1358"/>
      <c r="DDJ520" s="1358"/>
      <c r="DDK520" s="1358"/>
      <c r="DDL520" s="1358"/>
      <c r="DDM520" s="1358"/>
      <c r="DDN520" s="1358"/>
      <c r="DDO520" s="1358"/>
      <c r="DDP520" s="1358"/>
      <c r="DDQ520" s="1358"/>
      <c r="DDR520" s="1358"/>
      <c r="DDS520" s="1358"/>
      <c r="DDT520" s="1358"/>
      <c r="DDU520" s="1358"/>
      <c r="DDV520" s="1358"/>
      <c r="DDW520" s="1358"/>
      <c r="DDX520" s="1358"/>
      <c r="DDY520" s="1358"/>
      <c r="DDZ520" s="1358"/>
      <c r="DEA520" s="1358"/>
      <c r="DEB520" s="1358"/>
      <c r="DEC520" s="1358"/>
      <c r="DED520" s="1358"/>
      <c r="DEE520" s="1358"/>
      <c r="DEF520" s="1358"/>
      <c r="DEG520" s="1358"/>
      <c r="DEH520" s="1358"/>
      <c r="DEI520" s="1358"/>
      <c r="DEJ520" s="1358"/>
      <c r="DEK520" s="1358"/>
      <c r="DEL520" s="1358"/>
      <c r="DEM520" s="1358"/>
      <c r="DEN520" s="1358"/>
      <c r="DEO520" s="1358"/>
      <c r="DEP520" s="1358"/>
      <c r="DEQ520" s="1358"/>
      <c r="DER520" s="1358"/>
      <c r="DES520" s="1358"/>
      <c r="DET520" s="1358"/>
      <c r="DEU520" s="1358"/>
      <c r="DEV520" s="1358"/>
      <c r="DEW520" s="1358"/>
      <c r="DEX520" s="1358"/>
      <c r="DEY520" s="1358"/>
      <c r="DEZ520" s="1358"/>
      <c r="DFA520" s="1358"/>
      <c r="DFB520" s="1358"/>
      <c r="DFC520" s="1358"/>
      <c r="DFD520" s="1358"/>
      <c r="DFE520" s="1358"/>
      <c r="DFF520" s="1358"/>
      <c r="DFG520" s="1358"/>
      <c r="DFH520" s="1358"/>
      <c r="DFI520" s="1358"/>
      <c r="DFJ520" s="1358"/>
      <c r="DFK520" s="1358"/>
      <c r="DFL520" s="1358"/>
      <c r="DFM520" s="1358"/>
      <c r="DFN520" s="1358"/>
      <c r="DFO520" s="1358"/>
      <c r="DFP520" s="1358"/>
      <c r="DFQ520" s="1358"/>
      <c r="DFR520" s="1358"/>
      <c r="DFS520" s="1358"/>
      <c r="DFT520" s="1358"/>
      <c r="DFU520" s="1358"/>
      <c r="DFV520" s="1358"/>
      <c r="DFW520" s="1358"/>
      <c r="DFX520" s="1358"/>
      <c r="DFY520" s="1358"/>
      <c r="DFZ520" s="1358"/>
      <c r="DGA520" s="1358"/>
      <c r="DGB520" s="1358"/>
      <c r="DGC520" s="1358"/>
      <c r="DGD520" s="1358"/>
      <c r="DGE520" s="1358"/>
      <c r="DGF520" s="1358"/>
      <c r="DGG520" s="1358"/>
      <c r="DGH520" s="1358"/>
      <c r="DGI520" s="1358"/>
      <c r="DGJ520" s="1358"/>
      <c r="DGK520" s="1358"/>
      <c r="DGL520" s="1358"/>
      <c r="DGM520" s="1358"/>
      <c r="DGN520" s="1358"/>
      <c r="DGO520" s="1358"/>
      <c r="DGP520" s="1358"/>
      <c r="DGQ520" s="1358"/>
      <c r="DGR520" s="1358"/>
      <c r="DGS520" s="1358"/>
      <c r="DGT520" s="1358"/>
      <c r="DGU520" s="1358"/>
      <c r="DGV520" s="1358"/>
      <c r="DGW520" s="1358"/>
      <c r="DGX520" s="1358"/>
      <c r="DGY520" s="1358"/>
      <c r="DGZ520" s="1358"/>
      <c r="DHA520" s="1358"/>
      <c r="DHB520" s="1358"/>
      <c r="DHC520" s="1358"/>
      <c r="DHD520" s="1358"/>
      <c r="DHE520" s="1358"/>
      <c r="DHF520" s="1358"/>
      <c r="DHG520" s="1358"/>
      <c r="DHH520" s="1358"/>
      <c r="DHI520" s="1358"/>
      <c r="DHJ520" s="1358"/>
      <c r="DHK520" s="1358"/>
      <c r="DHL520" s="1358"/>
      <c r="DHM520" s="1358"/>
      <c r="DHN520" s="1358"/>
      <c r="DHO520" s="1358"/>
      <c r="DHP520" s="1358"/>
      <c r="DHQ520" s="1358"/>
      <c r="DHR520" s="1358"/>
      <c r="DHS520" s="1358"/>
      <c r="DHT520" s="1358"/>
      <c r="DHU520" s="1358"/>
      <c r="DHV520" s="1358"/>
      <c r="DHW520" s="1358"/>
      <c r="DHX520" s="1358"/>
      <c r="DHY520" s="1358"/>
      <c r="DHZ520" s="1358"/>
      <c r="DIA520" s="1358"/>
      <c r="DIB520" s="1358"/>
      <c r="DIC520" s="1358"/>
      <c r="DID520" s="1358"/>
      <c r="DIE520" s="1358"/>
      <c r="DIF520" s="1358"/>
      <c r="DIG520" s="1358"/>
      <c r="DIH520" s="1358"/>
      <c r="DII520" s="1358"/>
      <c r="DIJ520" s="1358"/>
      <c r="DIK520" s="1358"/>
      <c r="DIL520" s="1358"/>
      <c r="DIM520" s="1358"/>
      <c r="DIN520" s="1358"/>
      <c r="DIO520" s="1358"/>
      <c r="DIP520" s="1358"/>
      <c r="DIQ520" s="1358"/>
      <c r="DIR520" s="1358"/>
      <c r="DIS520" s="1358"/>
      <c r="DIT520" s="1358"/>
      <c r="DIU520" s="1358"/>
      <c r="DIV520" s="1358"/>
      <c r="DIW520" s="1358"/>
      <c r="DIX520" s="1358"/>
      <c r="DIY520" s="1358"/>
      <c r="DIZ520" s="1358"/>
      <c r="DJA520" s="1358"/>
      <c r="DJB520" s="1358"/>
      <c r="DJC520" s="1358"/>
      <c r="DJD520" s="1358"/>
      <c r="DJE520" s="1358"/>
      <c r="DJF520" s="1358"/>
      <c r="DJG520" s="1358"/>
      <c r="DJH520" s="1358"/>
      <c r="DJI520" s="1358"/>
      <c r="DJJ520" s="1358"/>
      <c r="DJK520" s="1358"/>
      <c r="DJL520" s="1358"/>
      <c r="DJM520" s="1358"/>
      <c r="DJN520" s="1358"/>
      <c r="DJO520" s="1358"/>
      <c r="DJP520" s="1358"/>
      <c r="DJQ520" s="1358"/>
      <c r="DJR520" s="1358"/>
      <c r="DJS520" s="1358"/>
      <c r="DJT520" s="1358"/>
      <c r="DJU520" s="1358"/>
      <c r="DJV520" s="1358"/>
      <c r="DJW520" s="1358"/>
      <c r="DJX520" s="1358"/>
      <c r="DJY520" s="1358"/>
      <c r="DJZ520" s="1358"/>
      <c r="DKA520" s="1358"/>
      <c r="DKB520" s="1358"/>
      <c r="DKC520" s="1358"/>
      <c r="DKD520" s="1358"/>
      <c r="DKE520" s="1358"/>
      <c r="DKF520" s="1358"/>
      <c r="DKG520" s="1358"/>
      <c r="DKH520" s="1358"/>
      <c r="DKI520" s="1358"/>
      <c r="DKJ520" s="1358"/>
      <c r="DKK520" s="1358"/>
      <c r="DKL520" s="1358"/>
      <c r="DKM520" s="1358"/>
      <c r="DKN520" s="1358"/>
      <c r="DKO520" s="1358"/>
      <c r="DKP520" s="1358"/>
      <c r="DKQ520" s="1358"/>
      <c r="DKR520" s="1358"/>
      <c r="DKS520" s="1358"/>
      <c r="DKT520" s="1358"/>
      <c r="DKU520" s="1358"/>
      <c r="DKV520" s="1358"/>
      <c r="DKW520" s="1358"/>
      <c r="DKX520" s="1358"/>
      <c r="DKY520" s="1358"/>
      <c r="DKZ520" s="1358"/>
      <c r="DLA520" s="1358"/>
      <c r="DLB520" s="1358"/>
      <c r="DLC520" s="1358"/>
      <c r="DLD520" s="1358"/>
      <c r="DLE520" s="1358"/>
      <c r="DLF520" s="1358"/>
      <c r="DLG520" s="1358"/>
      <c r="DLH520" s="1358"/>
      <c r="DLI520" s="1358"/>
      <c r="DLJ520" s="1358"/>
      <c r="DLK520" s="1358"/>
      <c r="DLL520" s="1358"/>
      <c r="DLM520" s="1358"/>
      <c r="DLN520" s="1358"/>
      <c r="DLO520" s="1358"/>
      <c r="DLP520" s="1358"/>
      <c r="DLQ520" s="1358"/>
      <c r="DLR520" s="1358"/>
      <c r="DLS520" s="1358"/>
      <c r="DLT520" s="1358"/>
      <c r="DLU520" s="1358"/>
      <c r="DLV520" s="1358"/>
      <c r="DLW520" s="1358"/>
      <c r="DLX520" s="1358"/>
      <c r="DLY520" s="1358"/>
      <c r="DLZ520" s="1358"/>
      <c r="DMA520" s="1358"/>
      <c r="DMB520" s="1358"/>
      <c r="DMC520" s="1358"/>
      <c r="DMD520" s="1358"/>
      <c r="DME520" s="1358"/>
      <c r="DMF520" s="1358"/>
      <c r="DMG520" s="1358"/>
      <c r="DMH520" s="1358"/>
      <c r="DMI520" s="1358"/>
      <c r="DMJ520" s="1358"/>
      <c r="DMK520" s="1358"/>
      <c r="DML520" s="1358"/>
      <c r="DMM520" s="1358"/>
      <c r="DMN520" s="1358"/>
      <c r="DMO520" s="1358"/>
      <c r="DMP520" s="1358"/>
      <c r="DMQ520" s="1358"/>
      <c r="DMR520" s="1358"/>
      <c r="DMS520" s="1358"/>
      <c r="DMT520" s="1358"/>
      <c r="DMU520" s="1358"/>
      <c r="DMV520" s="1358"/>
      <c r="DMW520" s="1358"/>
      <c r="DMX520" s="1358"/>
      <c r="DMY520" s="1358"/>
      <c r="DMZ520" s="1358"/>
      <c r="DNA520" s="1358"/>
      <c r="DNB520" s="1358"/>
      <c r="DNC520" s="1358"/>
      <c r="DND520" s="1358"/>
      <c r="DNE520" s="1358"/>
      <c r="DNF520" s="1358"/>
      <c r="DNG520" s="1358"/>
      <c r="DNH520" s="1358"/>
      <c r="DNI520" s="1358"/>
      <c r="DNJ520" s="1358"/>
      <c r="DNK520" s="1358"/>
      <c r="DNL520" s="1358"/>
      <c r="DNM520" s="1358"/>
      <c r="DNN520" s="1358"/>
      <c r="DNO520" s="1358"/>
      <c r="DNP520" s="1358"/>
      <c r="DNQ520" s="1358"/>
      <c r="DNR520" s="1358"/>
      <c r="DNS520" s="1358"/>
      <c r="DNT520" s="1358"/>
      <c r="DNU520" s="1358"/>
      <c r="DNV520" s="1358"/>
      <c r="DNW520" s="1358"/>
      <c r="DNX520" s="1358"/>
      <c r="DNY520" s="1358"/>
      <c r="DNZ520" s="1358"/>
      <c r="DOA520" s="1358"/>
      <c r="DOB520" s="1358"/>
      <c r="DOC520" s="1358"/>
      <c r="DOD520" s="1358"/>
      <c r="DOE520" s="1358"/>
      <c r="DOF520" s="1358"/>
      <c r="DOG520" s="1358"/>
      <c r="DOH520" s="1358"/>
      <c r="DOI520" s="1358"/>
      <c r="DOJ520" s="1358"/>
      <c r="DOK520" s="1358"/>
      <c r="DOL520" s="1358"/>
      <c r="DOM520" s="1358"/>
      <c r="DON520" s="1358"/>
      <c r="DOO520" s="1358"/>
      <c r="DOP520" s="1358"/>
      <c r="DOQ520" s="1358"/>
      <c r="DOR520" s="1358"/>
      <c r="DOS520" s="1358"/>
      <c r="DOT520" s="1358"/>
      <c r="DOU520" s="1358"/>
      <c r="DOV520" s="1358"/>
      <c r="DOW520" s="1358"/>
      <c r="DOX520" s="1358"/>
      <c r="DOY520" s="1358"/>
      <c r="DOZ520" s="1358"/>
      <c r="DPA520" s="1358"/>
      <c r="DPB520" s="1358"/>
      <c r="DPC520" s="1358"/>
      <c r="DPD520" s="1358"/>
      <c r="DPE520" s="1358"/>
      <c r="DPF520" s="1358"/>
      <c r="DPG520" s="1358"/>
      <c r="DPH520" s="1358"/>
      <c r="DPI520" s="1358"/>
      <c r="DPJ520" s="1358"/>
      <c r="DPK520" s="1358"/>
      <c r="DPL520" s="1358"/>
      <c r="DPM520" s="1358"/>
      <c r="DPN520" s="1358"/>
      <c r="DPO520" s="1358"/>
      <c r="DPP520" s="1358"/>
      <c r="DPQ520" s="1358"/>
      <c r="DPR520" s="1358"/>
      <c r="DPS520" s="1358"/>
      <c r="DPT520" s="1358"/>
      <c r="DPU520" s="1358"/>
      <c r="DPV520" s="1358"/>
      <c r="DPW520" s="1358"/>
      <c r="DPX520" s="1358"/>
      <c r="DPY520" s="1358"/>
      <c r="DPZ520" s="1358"/>
      <c r="DQA520" s="1358"/>
      <c r="DQB520" s="1358"/>
      <c r="DQC520" s="1358"/>
      <c r="DQD520" s="1358"/>
      <c r="DQE520" s="1358"/>
      <c r="DQF520" s="1358"/>
      <c r="DQG520" s="1358"/>
      <c r="DQH520" s="1358"/>
      <c r="DQI520" s="1358"/>
      <c r="DQJ520" s="1358"/>
      <c r="DQK520" s="1358"/>
      <c r="DQL520" s="1358"/>
      <c r="DQM520" s="1358"/>
      <c r="DQN520" s="1358"/>
      <c r="DQO520" s="1358"/>
      <c r="DQP520" s="1358"/>
      <c r="DQQ520" s="1358"/>
      <c r="DQR520" s="1358"/>
      <c r="DQS520" s="1358"/>
      <c r="DQT520" s="1358"/>
      <c r="DQU520" s="1358"/>
      <c r="DQV520" s="1358"/>
      <c r="DQW520" s="1358"/>
      <c r="DQX520" s="1358"/>
      <c r="DQY520" s="1358"/>
      <c r="DQZ520" s="1358"/>
      <c r="DRA520" s="1358"/>
      <c r="DRB520" s="1358"/>
      <c r="DRC520" s="1358"/>
      <c r="DRD520" s="1358"/>
      <c r="DRE520" s="1358"/>
      <c r="DRF520" s="1358"/>
      <c r="DRG520" s="1358"/>
      <c r="DRH520" s="1358"/>
      <c r="DRI520" s="1358"/>
      <c r="DRJ520" s="1358"/>
      <c r="DRK520" s="1358"/>
      <c r="DRL520" s="1358"/>
      <c r="DRM520" s="1358"/>
      <c r="DRN520" s="1358"/>
      <c r="DRO520" s="1358"/>
      <c r="DRP520" s="1358"/>
      <c r="DRQ520" s="1358"/>
      <c r="DRR520" s="1358"/>
      <c r="DRS520" s="1358"/>
      <c r="DRT520" s="1358"/>
      <c r="DRU520" s="1358"/>
      <c r="DRV520" s="1358"/>
      <c r="DRW520" s="1358"/>
      <c r="DRX520" s="1358"/>
      <c r="DRY520" s="1358"/>
      <c r="DRZ520" s="1358"/>
      <c r="DSA520" s="1358"/>
      <c r="DSB520" s="1358"/>
      <c r="DSC520" s="1358"/>
      <c r="DSD520" s="1358"/>
      <c r="DSE520" s="1358"/>
      <c r="DSF520" s="1358"/>
      <c r="DSG520" s="1358"/>
      <c r="DSH520" s="1358"/>
      <c r="DSI520" s="1358"/>
      <c r="DSJ520" s="1358"/>
      <c r="DSK520" s="1358"/>
      <c r="DSL520" s="1358"/>
      <c r="DSM520" s="1358"/>
      <c r="DSN520" s="1358"/>
      <c r="DSO520" s="1358"/>
      <c r="DSP520" s="1358"/>
      <c r="DSQ520" s="1358"/>
      <c r="DSR520" s="1358"/>
      <c r="DSS520" s="1358"/>
      <c r="DST520" s="1358"/>
      <c r="DSU520" s="1358"/>
      <c r="DSV520" s="1358"/>
      <c r="DSW520" s="1358"/>
      <c r="DSX520" s="1358"/>
      <c r="DSY520" s="1358"/>
      <c r="DSZ520" s="1358"/>
      <c r="DTA520" s="1358"/>
      <c r="DTB520" s="1358"/>
      <c r="DTC520" s="1358"/>
      <c r="DTD520" s="1358"/>
      <c r="DTE520" s="1358"/>
      <c r="DTF520" s="1358"/>
      <c r="DTG520" s="1358"/>
      <c r="DTH520" s="1358"/>
      <c r="DTI520" s="1358"/>
      <c r="DTJ520" s="1358"/>
      <c r="DTK520" s="1358"/>
      <c r="DTL520" s="1358"/>
      <c r="DTM520" s="1358"/>
      <c r="DTN520" s="1358"/>
      <c r="DTO520" s="1358"/>
      <c r="DTP520" s="1358"/>
      <c r="DTQ520" s="1358"/>
      <c r="DTR520" s="1358"/>
      <c r="DTS520" s="1358"/>
      <c r="DTT520" s="1358"/>
      <c r="DTU520" s="1358"/>
      <c r="DTV520" s="1358"/>
      <c r="DTW520" s="1358"/>
      <c r="DTX520" s="1358"/>
      <c r="DTY520" s="1358"/>
      <c r="DTZ520" s="1358"/>
      <c r="DUA520" s="1358"/>
      <c r="DUB520" s="1358"/>
      <c r="DUC520" s="1358"/>
      <c r="DUD520" s="1358"/>
      <c r="DUE520" s="1358"/>
      <c r="DUF520" s="1358"/>
      <c r="DUG520" s="1358"/>
      <c r="DUH520" s="1358"/>
      <c r="DUI520" s="1358"/>
      <c r="DUJ520" s="1358"/>
      <c r="DUK520" s="1358"/>
      <c r="DUL520" s="1358"/>
      <c r="DUM520" s="1358"/>
      <c r="DUN520" s="1358"/>
      <c r="DUO520" s="1358"/>
      <c r="DUP520" s="1358"/>
      <c r="DUQ520" s="1358"/>
      <c r="DUR520" s="1358"/>
      <c r="DUS520" s="1358"/>
      <c r="DUT520" s="1358"/>
      <c r="DUU520" s="1358"/>
      <c r="DUV520" s="1358"/>
      <c r="DUW520" s="1358"/>
      <c r="DUX520" s="1358"/>
      <c r="DUY520" s="1358"/>
      <c r="DUZ520" s="1358"/>
      <c r="DVA520" s="1358"/>
      <c r="DVB520" s="1358"/>
      <c r="DVC520" s="1358"/>
      <c r="DVD520" s="1358"/>
      <c r="DVE520" s="1358"/>
      <c r="DVF520" s="1358"/>
      <c r="DVG520" s="1358"/>
      <c r="DVH520" s="1358"/>
      <c r="DVI520" s="1358"/>
      <c r="DVJ520" s="1358"/>
      <c r="DVK520" s="1358"/>
      <c r="DVL520" s="1358"/>
      <c r="DVM520" s="1358"/>
      <c r="DVN520" s="1358"/>
      <c r="DVO520" s="1358"/>
      <c r="DVP520" s="1358"/>
      <c r="DVQ520" s="1358"/>
      <c r="DVR520" s="1358"/>
      <c r="DVS520" s="1358"/>
      <c r="DVT520" s="1358"/>
      <c r="DVU520" s="1358"/>
      <c r="DVV520" s="1358"/>
      <c r="DVW520" s="1358"/>
      <c r="DVX520" s="1358"/>
      <c r="DVY520" s="1358"/>
      <c r="DVZ520" s="1358"/>
      <c r="DWA520" s="1358"/>
      <c r="DWB520" s="1358"/>
      <c r="DWC520" s="1358"/>
      <c r="DWD520" s="1358"/>
      <c r="DWE520" s="1358"/>
      <c r="DWF520" s="1358"/>
      <c r="DWG520" s="1358"/>
      <c r="DWH520" s="1358"/>
      <c r="DWI520" s="1358"/>
      <c r="DWJ520" s="1358"/>
      <c r="DWK520" s="1358"/>
      <c r="DWL520" s="1358"/>
      <c r="DWM520" s="1358"/>
      <c r="DWN520" s="1358"/>
      <c r="DWO520" s="1358"/>
      <c r="DWP520" s="1358"/>
      <c r="DWQ520" s="1358"/>
      <c r="DWR520" s="1358"/>
      <c r="DWS520" s="1358"/>
      <c r="DWT520" s="1358"/>
      <c r="DWU520" s="1358"/>
      <c r="DWV520" s="1358"/>
      <c r="DWW520" s="1358"/>
      <c r="DWX520" s="1358"/>
      <c r="DWY520" s="1358"/>
      <c r="DWZ520" s="1358"/>
      <c r="DXA520" s="1358"/>
      <c r="DXB520" s="1358"/>
      <c r="DXC520" s="1358"/>
      <c r="DXD520" s="1358"/>
      <c r="DXE520" s="1358"/>
      <c r="DXF520" s="1358"/>
      <c r="DXG520" s="1358"/>
      <c r="DXH520" s="1358"/>
      <c r="DXI520" s="1358"/>
      <c r="DXJ520" s="1358"/>
      <c r="DXK520" s="1358"/>
      <c r="DXL520" s="1358"/>
      <c r="DXM520" s="1358"/>
      <c r="DXN520" s="1358"/>
      <c r="DXO520" s="1358"/>
      <c r="DXP520" s="1358"/>
      <c r="DXQ520" s="1358"/>
      <c r="DXR520" s="1358"/>
      <c r="DXS520" s="1358"/>
      <c r="DXT520" s="1358"/>
      <c r="DXU520" s="1358"/>
      <c r="DXV520" s="1358"/>
      <c r="DXW520" s="1358"/>
      <c r="DXX520" s="1358"/>
      <c r="DXY520" s="1358"/>
      <c r="DXZ520" s="1358"/>
      <c r="DYA520" s="1358"/>
      <c r="DYB520" s="1358"/>
      <c r="DYC520" s="1358"/>
      <c r="DYD520" s="1358"/>
      <c r="DYE520" s="1358"/>
      <c r="DYF520" s="1358"/>
      <c r="DYG520" s="1358"/>
      <c r="DYH520" s="1358"/>
      <c r="DYI520" s="1358"/>
      <c r="DYJ520" s="1358"/>
      <c r="DYK520" s="1358"/>
      <c r="DYL520" s="1358"/>
      <c r="DYM520" s="1358"/>
      <c r="DYN520" s="1358"/>
      <c r="DYO520" s="1358"/>
      <c r="DYP520" s="1358"/>
      <c r="DYQ520" s="1358"/>
      <c r="DYR520" s="1358"/>
      <c r="DYS520" s="1358"/>
      <c r="DYT520" s="1358"/>
      <c r="DYU520" s="1358"/>
      <c r="DYV520" s="1358"/>
      <c r="DYW520" s="1358"/>
      <c r="DYX520" s="1358"/>
      <c r="DYY520" s="1358"/>
      <c r="DYZ520" s="1358"/>
      <c r="DZA520" s="1358"/>
      <c r="DZB520" s="1358"/>
      <c r="DZC520" s="1358"/>
      <c r="DZD520" s="1358"/>
      <c r="DZE520" s="1358"/>
      <c r="DZF520" s="1358"/>
      <c r="DZG520" s="1358"/>
      <c r="DZH520" s="1358"/>
      <c r="DZI520" s="1358"/>
      <c r="DZJ520" s="1358"/>
      <c r="DZK520" s="1358"/>
      <c r="DZL520" s="1358"/>
      <c r="DZM520" s="1358"/>
      <c r="DZN520" s="1358"/>
      <c r="DZO520" s="1358"/>
      <c r="DZP520" s="1358"/>
      <c r="DZQ520" s="1358"/>
      <c r="DZR520" s="1358"/>
      <c r="DZS520" s="1358"/>
      <c r="DZT520" s="1358"/>
      <c r="DZU520" s="1358"/>
      <c r="DZV520" s="1358"/>
      <c r="DZW520" s="1358"/>
      <c r="DZX520" s="1358"/>
      <c r="DZY520" s="1358"/>
      <c r="DZZ520" s="1358"/>
      <c r="EAA520" s="1358"/>
      <c r="EAB520" s="1358"/>
      <c r="EAC520" s="1358"/>
      <c r="EAD520" s="1358"/>
      <c r="EAE520" s="1358"/>
      <c r="EAF520" s="1358"/>
      <c r="EAG520" s="1358"/>
      <c r="EAH520" s="1358"/>
      <c r="EAI520" s="1358"/>
      <c r="EAJ520" s="1358"/>
      <c r="EAK520" s="1358"/>
      <c r="EAL520" s="1358"/>
      <c r="EAM520" s="1358"/>
      <c r="EAN520" s="1358"/>
      <c r="EAO520" s="1358"/>
      <c r="EAP520" s="1358"/>
      <c r="EAQ520" s="1358"/>
      <c r="EAR520" s="1358"/>
      <c r="EAS520" s="1358"/>
      <c r="EAT520" s="1358"/>
      <c r="EAU520" s="1358"/>
      <c r="EAV520" s="1358"/>
      <c r="EAW520" s="1358"/>
      <c r="EAX520" s="1358"/>
      <c r="EAY520" s="1358"/>
      <c r="EAZ520" s="1358"/>
      <c r="EBA520" s="1358"/>
      <c r="EBB520" s="1358"/>
      <c r="EBC520" s="1358"/>
      <c r="EBD520" s="1358"/>
      <c r="EBE520" s="1358"/>
      <c r="EBF520" s="1358"/>
      <c r="EBG520" s="1358"/>
      <c r="EBH520" s="1358"/>
      <c r="EBI520" s="1358"/>
      <c r="EBJ520" s="1358"/>
      <c r="EBK520" s="1358"/>
      <c r="EBL520" s="1358"/>
      <c r="EBM520" s="1358"/>
      <c r="EBN520" s="1358"/>
      <c r="EBO520" s="1358"/>
      <c r="EBP520" s="1358"/>
      <c r="EBQ520" s="1358"/>
      <c r="EBR520" s="1358"/>
      <c r="EBS520" s="1358"/>
      <c r="EBT520" s="1358"/>
      <c r="EBU520" s="1358"/>
      <c r="EBV520" s="1358"/>
      <c r="EBW520" s="1358"/>
      <c r="EBX520" s="1358"/>
      <c r="EBY520" s="1358"/>
      <c r="EBZ520" s="1358"/>
      <c r="ECA520" s="1358"/>
      <c r="ECB520" s="1358"/>
      <c r="ECC520" s="1358"/>
      <c r="ECD520" s="1358"/>
      <c r="ECE520" s="1358"/>
      <c r="ECF520" s="1358"/>
      <c r="ECG520" s="1358"/>
      <c r="ECH520" s="1358"/>
      <c r="ECI520" s="1358"/>
      <c r="ECJ520" s="1358"/>
      <c r="ECK520" s="1358"/>
      <c r="ECL520" s="1358"/>
      <c r="ECM520" s="1358"/>
      <c r="ECN520" s="1358"/>
      <c r="ECO520" s="1358"/>
      <c r="ECP520" s="1358"/>
      <c r="ECQ520" s="1358"/>
      <c r="ECR520" s="1358"/>
      <c r="ECS520" s="1358"/>
      <c r="ECT520" s="1358"/>
      <c r="ECU520" s="1358"/>
      <c r="ECV520" s="1358"/>
      <c r="ECW520" s="1358"/>
      <c r="ECX520" s="1358"/>
      <c r="ECY520" s="1358"/>
      <c r="ECZ520" s="1358"/>
      <c r="EDA520" s="1358"/>
      <c r="EDB520" s="1358"/>
      <c r="EDC520" s="1358"/>
      <c r="EDD520" s="1358"/>
      <c r="EDE520" s="1358"/>
      <c r="EDF520" s="1358"/>
      <c r="EDG520" s="1358"/>
      <c r="EDH520" s="1358"/>
      <c r="EDI520" s="1358"/>
      <c r="EDJ520" s="1358"/>
      <c r="EDK520" s="1358"/>
      <c r="EDL520" s="1358"/>
      <c r="EDM520" s="1358"/>
      <c r="EDN520" s="1358"/>
      <c r="EDO520" s="1358"/>
      <c r="EDP520" s="1358"/>
      <c r="EDQ520" s="1358"/>
      <c r="EDR520" s="1358"/>
      <c r="EDS520" s="1358"/>
      <c r="EDT520" s="1358"/>
      <c r="EDU520" s="1358"/>
      <c r="EDV520" s="1358"/>
      <c r="EDW520" s="1358"/>
      <c r="EDX520" s="1358"/>
      <c r="EDY520" s="1358"/>
      <c r="EDZ520" s="1358"/>
      <c r="EEA520" s="1358"/>
      <c r="EEB520" s="1358"/>
      <c r="EEC520" s="1358"/>
      <c r="EED520" s="1358"/>
      <c r="EEE520" s="1358"/>
      <c r="EEF520" s="1358"/>
      <c r="EEG520" s="1358"/>
      <c r="EEH520" s="1358"/>
      <c r="EEI520" s="1358"/>
      <c r="EEJ520" s="1358"/>
      <c r="EEK520" s="1358"/>
      <c r="EEL520" s="1358"/>
      <c r="EEM520" s="1358"/>
      <c r="EEN520" s="1358"/>
      <c r="EEO520" s="1358"/>
      <c r="EEP520" s="1358"/>
      <c r="EEQ520" s="1358"/>
      <c r="EER520" s="1358"/>
      <c r="EES520" s="1358"/>
      <c r="EET520" s="1358"/>
      <c r="EEU520" s="1358"/>
      <c r="EEV520" s="1358"/>
      <c r="EEW520" s="1358"/>
      <c r="EEX520" s="1358"/>
      <c r="EEY520" s="1358"/>
      <c r="EEZ520" s="1358"/>
      <c r="EFA520" s="1358"/>
      <c r="EFB520" s="1358"/>
      <c r="EFC520" s="1358"/>
      <c r="EFD520" s="1358"/>
      <c r="EFE520" s="1358"/>
      <c r="EFF520" s="1358"/>
      <c r="EFG520" s="1358"/>
      <c r="EFH520" s="1358"/>
      <c r="EFI520" s="1358"/>
      <c r="EFJ520" s="1358"/>
      <c r="EFK520" s="1358"/>
      <c r="EFL520" s="1358"/>
      <c r="EFM520" s="1358"/>
      <c r="EFN520" s="1358"/>
      <c r="EFO520" s="1358"/>
      <c r="EFP520" s="1358"/>
      <c r="EFQ520" s="1358"/>
      <c r="EFR520" s="1358"/>
      <c r="EFS520" s="1358"/>
      <c r="EFT520" s="1358"/>
      <c r="EFU520" s="1358"/>
      <c r="EFV520" s="1358"/>
      <c r="EFW520" s="1358"/>
      <c r="EFX520" s="1358"/>
      <c r="EFY520" s="1358"/>
      <c r="EFZ520" s="1358"/>
      <c r="EGA520" s="1358"/>
      <c r="EGB520" s="1358"/>
      <c r="EGC520" s="1358"/>
      <c r="EGD520" s="1358"/>
      <c r="EGE520" s="1358"/>
      <c r="EGF520" s="1358"/>
      <c r="EGG520" s="1358"/>
      <c r="EGH520" s="1358"/>
      <c r="EGI520" s="1358"/>
      <c r="EGJ520" s="1358"/>
      <c r="EGK520" s="1358"/>
      <c r="EGL520" s="1358"/>
      <c r="EGM520" s="1358"/>
      <c r="EGN520" s="1358"/>
      <c r="EGO520" s="1358"/>
      <c r="EGP520" s="1358"/>
      <c r="EGQ520" s="1358"/>
      <c r="EGR520" s="1358"/>
      <c r="EGS520" s="1358"/>
      <c r="EGT520" s="1358"/>
      <c r="EGU520" s="1358"/>
      <c r="EGV520" s="1358"/>
      <c r="EGW520" s="1358"/>
      <c r="EGX520" s="1358"/>
      <c r="EGY520" s="1358"/>
      <c r="EGZ520" s="1358"/>
      <c r="EHA520" s="1358"/>
      <c r="EHB520" s="1358"/>
      <c r="EHC520" s="1358"/>
      <c r="EHD520" s="1358"/>
      <c r="EHE520" s="1358"/>
      <c r="EHF520" s="1358"/>
      <c r="EHG520" s="1358"/>
      <c r="EHH520" s="1358"/>
      <c r="EHI520" s="1358"/>
      <c r="EHJ520" s="1358"/>
      <c r="EHK520" s="1358"/>
      <c r="EHL520" s="1358"/>
      <c r="EHM520" s="1358"/>
      <c r="EHN520" s="1358"/>
      <c r="EHO520" s="1358"/>
      <c r="EHP520" s="1358"/>
      <c r="EHQ520" s="1358"/>
      <c r="EHR520" s="1358"/>
      <c r="EHS520" s="1358"/>
      <c r="EHT520" s="1358"/>
      <c r="EHU520" s="1358"/>
      <c r="EHV520" s="1358"/>
      <c r="EHW520" s="1358"/>
      <c r="EHX520" s="1358"/>
      <c r="EHY520" s="1358"/>
      <c r="EHZ520" s="1358"/>
      <c r="EIA520" s="1358"/>
      <c r="EIB520" s="1358"/>
      <c r="EIC520" s="1358"/>
      <c r="EID520" s="1358"/>
      <c r="EIE520" s="1358"/>
      <c r="EIF520" s="1358"/>
      <c r="EIG520" s="1358"/>
      <c r="EIH520" s="1358"/>
      <c r="EII520" s="1358"/>
      <c r="EIJ520" s="1358"/>
      <c r="EIK520" s="1358"/>
      <c r="EIL520" s="1358"/>
      <c r="EIM520" s="1358"/>
      <c r="EIN520" s="1358"/>
      <c r="EIO520" s="1358"/>
      <c r="EIP520" s="1358"/>
      <c r="EIQ520" s="1358"/>
      <c r="EIR520" s="1358"/>
      <c r="EIS520" s="1358"/>
      <c r="EIT520" s="1358"/>
      <c r="EIU520" s="1358"/>
      <c r="EIV520" s="1358"/>
      <c r="EIW520" s="1358"/>
      <c r="EIX520" s="1358"/>
      <c r="EIY520" s="1358"/>
      <c r="EIZ520" s="1358"/>
      <c r="EJA520" s="1358"/>
      <c r="EJB520" s="1358"/>
      <c r="EJC520" s="1358"/>
      <c r="EJD520" s="1358"/>
      <c r="EJE520" s="1358"/>
      <c r="EJF520" s="1358"/>
      <c r="EJG520" s="1358"/>
      <c r="EJH520" s="1358"/>
      <c r="EJI520" s="1358"/>
      <c r="EJJ520" s="1358"/>
      <c r="EJK520" s="1358"/>
      <c r="EJL520" s="1358"/>
      <c r="EJM520" s="1358"/>
      <c r="EJN520" s="1358"/>
      <c r="EJO520" s="1358"/>
      <c r="EJP520" s="1358"/>
      <c r="EJQ520" s="1358"/>
      <c r="EJR520" s="1358"/>
      <c r="EJS520" s="1358"/>
      <c r="EJT520" s="1358"/>
      <c r="EJU520" s="1358"/>
      <c r="EJV520" s="1358"/>
      <c r="EJW520" s="1358"/>
      <c r="EJX520" s="1358"/>
      <c r="EJY520" s="1358"/>
      <c r="EJZ520" s="1358"/>
      <c r="EKA520" s="1358"/>
      <c r="EKB520" s="1358"/>
      <c r="EKC520" s="1358"/>
      <c r="EKD520" s="1358"/>
      <c r="EKE520" s="1358"/>
      <c r="EKF520" s="1358"/>
      <c r="EKG520" s="1358"/>
      <c r="EKH520" s="1358"/>
      <c r="EKI520" s="1358"/>
      <c r="EKJ520" s="1358"/>
      <c r="EKK520" s="1358"/>
      <c r="EKL520" s="1358"/>
      <c r="EKM520" s="1358"/>
      <c r="EKN520" s="1358"/>
      <c r="EKO520" s="1358"/>
      <c r="EKP520" s="1358"/>
      <c r="EKQ520" s="1358"/>
      <c r="EKR520" s="1358"/>
      <c r="EKS520" s="1358"/>
      <c r="EKT520" s="1358"/>
      <c r="EKU520" s="1358"/>
      <c r="EKV520" s="1358"/>
      <c r="EKW520" s="1358"/>
      <c r="EKX520" s="1358"/>
      <c r="EKY520" s="1358"/>
      <c r="EKZ520" s="1358"/>
      <c r="ELA520" s="1358"/>
      <c r="ELB520" s="1358"/>
      <c r="ELC520" s="1358"/>
      <c r="ELD520" s="1358"/>
      <c r="ELE520" s="1358"/>
      <c r="ELF520" s="1358"/>
      <c r="ELG520" s="1358"/>
      <c r="ELH520" s="1358"/>
      <c r="ELI520" s="1358"/>
      <c r="ELJ520" s="1358"/>
      <c r="ELK520" s="1358"/>
      <c r="ELL520" s="1358"/>
      <c r="ELM520" s="1358"/>
      <c r="ELN520" s="1358"/>
      <c r="ELO520" s="1358"/>
      <c r="ELP520" s="1358"/>
      <c r="ELQ520" s="1358"/>
      <c r="ELR520" s="1358"/>
      <c r="ELS520" s="1358"/>
      <c r="ELT520" s="1358"/>
      <c r="ELU520" s="1358"/>
      <c r="ELV520" s="1358"/>
      <c r="ELW520" s="1358"/>
      <c r="ELX520" s="1358"/>
      <c r="ELY520" s="1358"/>
      <c r="ELZ520" s="1358"/>
      <c r="EMA520" s="1358"/>
      <c r="EMB520" s="1358"/>
      <c r="EMC520" s="1358"/>
      <c r="EMD520" s="1358"/>
      <c r="EME520" s="1358"/>
      <c r="EMF520" s="1358"/>
      <c r="EMG520" s="1358"/>
      <c r="EMH520" s="1358"/>
      <c r="EMI520" s="1358"/>
      <c r="EMJ520" s="1358"/>
      <c r="EMK520" s="1358"/>
      <c r="EML520" s="1358"/>
      <c r="EMM520" s="1358"/>
      <c r="EMN520" s="1358"/>
      <c r="EMO520" s="1358"/>
      <c r="EMP520" s="1358"/>
      <c r="EMQ520" s="1358"/>
      <c r="EMR520" s="1358"/>
      <c r="EMS520" s="1358"/>
      <c r="EMT520" s="1358"/>
      <c r="EMU520" s="1358"/>
      <c r="EMV520" s="1358"/>
      <c r="EMW520" s="1358"/>
      <c r="EMX520" s="1358"/>
      <c r="EMY520" s="1358"/>
      <c r="EMZ520" s="1358"/>
      <c r="ENA520" s="1358"/>
      <c r="ENB520" s="1358"/>
      <c r="ENC520" s="1358"/>
      <c r="END520" s="1358"/>
      <c r="ENE520" s="1358"/>
      <c r="ENF520" s="1358"/>
      <c r="ENG520" s="1358"/>
      <c r="ENH520" s="1358"/>
      <c r="ENI520" s="1358"/>
      <c r="ENJ520" s="1358"/>
      <c r="ENK520" s="1358"/>
      <c r="ENL520" s="1358"/>
      <c r="ENM520" s="1358"/>
      <c r="ENN520" s="1358"/>
      <c r="ENO520" s="1358"/>
      <c r="ENP520" s="1358"/>
      <c r="ENQ520" s="1358"/>
      <c r="ENR520" s="1358"/>
      <c r="ENS520" s="1358"/>
      <c r="ENT520" s="1358"/>
      <c r="ENU520" s="1358"/>
      <c r="ENV520" s="1358"/>
      <c r="ENW520" s="1358"/>
      <c r="ENX520" s="1358"/>
      <c r="ENY520" s="1358"/>
      <c r="ENZ520" s="1358"/>
      <c r="EOA520" s="1358"/>
      <c r="EOB520" s="1358"/>
      <c r="EOC520" s="1358"/>
      <c r="EOD520" s="1358"/>
      <c r="EOE520" s="1358"/>
      <c r="EOF520" s="1358"/>
      <c r="EOG520" s="1358"/>
      <c r="EOH520" s="1358"/>
      <c r="EOI520" s="1358"/>
      <c r="EOJ520" s="1358"/>
      <c r="EOK520" s="1358"/>
      <c r="EOL520" s="1358"/>
      <c r="EOM520" s="1358"/>
      <c r="EON520" s="1358"/>
      <c r="EOO520" s="1358"/>
      <c r="EOP520" s="1358"/>
      <c r="EOQ520" s="1358"/>
      <c r="EOR520" s="1358"/>
      <c r="EOS520" s="1358"/>
      <c r="EOT520" s="1358"/>
      <c r="EOU520" s="1358"/>
      <c r="EOV520" s="1358"/>
      <c r="EOW520" s="1358"/>
      <c r="EOX520" s="1358"/>
      <c r="EOY520" s="1358"/>
      <c r="EOZ520" s="1358"/>
      <c r="EPA520" s="1358"/>
      <c r="EPB520" s="1358"/>
      <c r="EPC520" s="1358"/>
      <c r="EPD520" s="1358"/>
      <c r="EPE520" s="1358"/>
      <c r="EPF520" s="1358"/>
      <c r="EPG520" s="1358"/>
      <c r="EPH520" s="1358"/>
      <c r="EPI520" s="1358"/>
      <c r="EPJ520" s="1358"/>
      <c r="EPK520" s="1358"/>
      <c r="EPL520" s="1358"/>
      <c r="EPM520" s="1358"/>
      <c r="EPN520" s="1358"/>
      <c r="EPO520" s="1358"/>
      <c r="EPP520" s="1358"/>
      <c r="EPQ520" s="1358"/>
      <c r="EPR520" s="1358"/>
      <c r="EPS520" s="1358"/>
      <c r="EPT520" s="1358"/>
      <c r="EPU520" s="1358"/>
      <c r="EPV520" s="1358"/>
      <c r="EPW520" s="1358"/>
      <c r="EPX520" s="1358"/>
      <c r="EPY520" s="1358"/>
      <c r="EPZ520" s="1358"/>
      <c r="EQA520" s="1358"/>
      <c r="EQB520" s="1358"/>
      <c r="EQC520" s="1358"/>
      <c r="EQD520" s="1358"/>
      <c r="EQE520" s="1358"/>
      <c r="EQF520" s="1358"/>
      <c r="EQG520" s="1358"/>
      <c r="EQH520" s="1358"/>
      <c r="EQI520" s="1358"/>
      <c r="EQJ520" s="1358"/>
      <c r="EQK520" s="1358"/>
      <c r="EQL520" s="1358"/>
      <c r="EQM520" s="1358"/>
      <c r="EQN520" s="1358"/>
      <c r="EQO520" s="1358"/>
      <c r="EQP520" s="1358"/>
      <c r="EQQ520" s="1358"/>
      <c r="EQR520" s="1358"/>
      <c r="EQS520" s="1358"/>
      <c r="EQT520" s="1358"/>
      <c r="EQU520" s="1358"/>
      <c r="EQV520" s="1358"/>
      <c r="EQW520" s="1358"/>
      <c r="EQX520" s="1358"/>
      <c r="EQY520" s="1358"/>
      <c r="EQZ520" s="1358"/>
      <c r="ERA520" s="1358"/>
      <c r="ERB520" s="1358"/>
      <c r="ERC520" s="1358"/>
      <c r="ERD520" s="1358"/>
      <c r="ERE520" s="1358"/>
      <c r="ERF520" s="1358"/>
      <c r="ERG520" s="1358"/>
      <c r="ERH520" s="1358"/>
      <c r="ERI520" s="1358"/>
      <c r="ERJ520" s="1358"/>
      <c r="ERK520" s="1358"/>
      <c r="ERL520" s="1358"/>
      <c r="ERM520" s="1358"/>
      <c r="ERN520" s="1358"/>
      <c r="ERO520" s="1358"/>
      <c r="ERP520" s="1358"/>
      <c r="ERQ520" s="1358"/>
      <c r="ERR520" s="1358"/>
      <c r="ERS520" s="1358"/>
      <c r="ERT520" s="1358"/>
      <c r="ERU520" s="1358"/>
      <c r="ERV520" s="1358"/>
      <c r="ERW520" s="1358"/>
      <c r="ERX520" s="1358"/>
      <c r="ERY520" s="1358"/>
      <c r="ERZ520" s="1358"/>
      <c r="ESA520" s="1358"/>
      <c r="ESB520" s="1358"/>
      <c r="ESC520" s="1358"/>
      <c r="ESD520" s="1358"/>
      <c r="ESE520" s="1358"/>
      <c r="ESF520" s="1358"/>
      <c r="ESG520" s="1358"/>
      <c r="ESH520" s="1358"/>
      <c r="ESI520" s="1358"/>
      <c r="ESJ520" s="1358"/>
      <c r="ESK520" s="1358"/>
      <c r="ESL520" s="1358"/>
      <c r="ESM520" s="1358"/>
      <c r="ESN520" s="1358"/>
      <c r="ESO520" s="1358"/>
      <c r="ESP520" s="1358"/>
      <c r="ESQ520" s="1358"/>
      <c r="ESR520" s="1358"/>
      <c r="ESS520" s="1358"/>
      <c r="EST520" s="1358"/>
      <c r="ESU520" s="1358"/>
      <c r="ESV520" s="1358"/>
      <c r="ESW520" s="1358"/>
      <c r="ESX520" s="1358"/>
      <c r="ESY520" s="1358"/>
      <c r="ESZ520" s="1358"/>
      <c r="ETA520" s="1358"/>
      <c r="ETB520" s="1358"/>
      <c r="ETC520" s="1358"/>
      <c r="ETD520" s="1358"/>
      <c r="ETE520" s="1358"/>
      <c r="ETF520" s="1358"/>
      <c r="ETG520" s="1358"/>
      <c r="ETH520" s="1358"/>
      <c r="ETI520" s="1358"/>
      <c r="ETJ520" s="1358"/>
      <c r="ETK520" s="1358"/>
      <c r="ETL520" s="1358"/>
      <c r="ETM520" s="1358"/>
      <c r="ETN520" s="1358"/>
      <c r="ETO520" s="1358"/>
      <c r="ETP520" s="1358"/>
      <c r="ETQ520" s="1358"/>
      <c r="ETR520" s="1358"/>
      <c r="ETS520" s="1358"/>
      <c r="ETT520" s="1358"/>
      <c r="ETU520" s="1358"/>
      <c r="ETV520" s="1358"/>
      <c r="ETW520" s="1358"/>
      <c r="ETX520" s="1358"/>
      <c r="ETY520" s="1358"/>
      <c r="ETZ520" s="1358"/>
      <c r="EUA520" s="1358"/>
      <c r="EUB520" s="1358"/>
      <c r="EUC520" s="1358"/>
      <c r="EUD520" s="1358"/>
      <c r="EUE520" s="1358"/>
      <c r="EUF520" s="1358"/>
      <c r="EUG520" s="1358"/>
      <c r="EUH520" s="1358"/>
      <c r="EUI520" s="1358"/>
      <c r="EUJ520" s="1358"/>
      <c r="EUK520" s="1358"/>
      <c r="EUL520" s="1358"/>
      <c r="EUM520" s="1358"/>
      <c r="EUN520" s="1358"/>
      <c r="EUO520" s="1358"/>
      <c r="EUP520" s="1358"/>
      <c r="EUQ520" s="1358"/>
      <c r="EUR520" s="1358"/>
      <c r="EUS520" s="1358"/>
      <c r="EUT520" s="1358"/>
      <c r="EUU520" s="1358"/>
      <c r="EUV520" s="1358"/>
      <c r="EUW520" s="1358"/>
      <c r="EUX520" s="1358"/>
      <c r="EUY520" s="1358"/>
      <c r="EUZ520" s="1358"/>
      <c r="EVA520" s="1358"/>
      <c r="EVB520" s="1358"/>
      <c r="EVC520" s="1358"/>
      <c r="EVD520" s="1358"/>
      <c r="EVE520" s="1358"/>
      <c r="EVF520" s="1358"/>
      <c r="EVG520" s="1358"/>
      <c r="EVH520" s="1358"/>
      <c r="EVI520" s="1358"/>
      <c r="EVJ520" s="1358"/>
      <c r="EVK520" s="1358"/>
      <c r="EVL520" s="1358"/>
      <c r="EVM520" s="1358"/>
      <c r="EVN520" s="1358"/>
      <c r="EVO520" s="1358"/>
      <c r="EVP520" s="1358"/>
      <c r="EVQ520" s="1358"/>
      <c r="EVR520" s="1358"/>
      <c r="EVS520" s="1358"/>
      <c r="EVT520" s="1358"/>
      <c r="EVU520" s="1358"/>
      <c r="EVV520" s="1358"/>
      <c r="EVW520" s="1358"/>
      <c r="EVX520" s="1358"/>
      <c r="EVY520" s="1358"/>
      <c r="EVZ520" s="1358"/>
      <c r="EWA520" s="1358"/>
      <c r="EWB520" s="1358"/>
      <c r="EWC520" s="1358"/>
      <c r="EWD520" s="1358"/>
      <c r="EWE520" s="1358"/>
      <c r="EWF520" s="1358"/>
      <c r="EWG520" s="1358"/>
      <c r="EWH520" s="1358"/>
      <c r="EWI520" s="1358"/>
      <c r="EWJ520" s="1358"/>
      <c r="EWK520" s="1358"/>
      <c r="EWL520" s="1358"/>
      <c r="EWM520" s="1358"/>
      <c r="EWN520" s="1358"/>
      <c r="EWO520" s="1358"/>
      <c r="EWP520" s="1358"/>
      <c r="EWQ520" s="1358"/>
      <c r="EWR520" s="1358"/>
      <c r="EWS520" s="1358"/>
      <c r="EWT520" s="1358"/>
      <c r="EWU520" s="1358"/>
      <c r="EWV520" s="1358"/>
      <c r="EWW520" s="1358"/>
      <c r="EWX520" s="1358"/>
      <c r="EWY520" s="1358"/>
      <c r="EWZ520" s="1358"/>
      <c r="EXA520" s="1358"/>
      <c r="EXB520" s="1358"/>
      <c r="EXC520" s="1358"/>
      <c r="EXD520" s="1358"/>
      <c r="EXE520" s="1358"/>
      <c r="EXF520" s="1358"/>
      <c r="EXG520" s="1358"/>
      <c r="EXH520" s="1358"/>
      <c r="EXI520" s="1358"/>
      <c r="EXJ520" s="1358"/>
      <c r="EXK520" s="1358"/>
      <c r="EXL520" s="1358"/>
      <c r="EXM520" s="1358"/>
      <c r="EXN520" s="1358"/>
      <c r="EXO520" s="1358"/>
      <c r="EXP520" s="1358"/>
      <c r="EXQ520" s="1358"/>
      <c r="EXR520" s="1358"/>
      <c r="EXS520" s="1358"/>
      <c r="EXT520" s="1358"/>
      <c r="EXU520" s="1358"/>
      <c r="EXV520" s="1358"/>
      <c r="EXW520" s="1358"/>
      <c r="EXX520" s="1358"/>
      <c r="EXY520" s="1358"/>
      <c r="EXZ520" s="1358"/>
      <c r="EYA520" s="1358"/>
      <c r="EYB520" s="1358"/>
      <c r="EYC520" s="1358"/>
      <c r="EYD520" s="1358"/>
      <c r="EYE520" s="1358"/>
      <c r="EYF520" s="1358"/>
      <c r="EYG520" s="1358"/>
      <c r="EYH520" s="1358"/>
      <c r="EYI520" s="1358"/>
      <c r="EYJ520" s="1358"/>
      <c r="EYK520" s="1358"/>
      <c r="EYL520" s="1358"/>
      <c r="EYM520" s="1358"/>
      <c r="EYN520" s="1358"/>
      <c r="EYO520" s="1358"/>
      <c r="EYP520" s="1358"/>
      <c r="EYQ520" s="1358"/>
      <c r="EYR520" s="1358"/>
      <c r="EYS520" s="1358"/>
      <c r="EYT520" s="1358"/>
      <c r="EYU520" s="1358"/>
      <c r="EYV520" s="1358"/>
      <c r="EYW520" s="1358"/>
      <c r="EYX520" s="1358"/>
      <c r="EYY520" s="1358"/>
      <c r="EYZ520" s="1358"/>
      <c r="EZA520" s="1358"/>
      <c r="EZB520" s="1358"/>
      <c r="EZC520" s="1358"/>
      <c r="EZD520" s="1358"/>
      <c r="EZE520" s="1358"/>
      <c r="EZF520" s="1358"/>
      <c r="EZG520" s="1358"/>
      <c r="EZH520" s="1358"/>
      <c r="EZI520" s="1358"/>
      <c r="EZJ520" s="1358"/>
      <c r="EZK520" s="1358"/>
      <c r="EZL520" s="1358"/>
      <c r="EZM520" s="1358"/>
      <c r="EZN520" s="1358"/>
      <c r="EZO520" s="1358"/>
      <c r="EZP520" s="1358"/>
      <c r="EZQ520" s="1358"/>
      <c r="EZR520" s="1358"/>
      <c r="EZS520" s="1358"/>
      <c r="EZT520" s="1358"/>
      <c r="EZU520" s="1358"/>
      <c r="EZV520" s="1358"/>
      <c r="EZW520" s="1358"/>
      <c r="EZX520" s="1358"/>
      <c r="EZY520" s="1358"/>
      <c r="EZZ520" s="1358"/>
      <c r="FAA520" s="1358"/>
      <c r="FAB520" s="1358"/>
      <c r="FAC520" s="1358"/>
      <c r="FAD520" s="1358"/>
      <c r="FAE520" s="1358"/>
      <c r="FAF520" s="1358"/>
      <c r="FAG520" s="1358"/>
      <c r="FAH520" s="1358"/>
      <c r="FAI520" s="1358"/>
      <c r="FAJ520" s="1358"/>
      <c r="FAK520" s="1358"/>
      <c r="FAL520" s="1358"/>
      <c r="FAM520" s="1358"/>
      <c r="FAN520" s="1358"/>
      <c r="FAO520" s="1358"/>
      <c r="FAP520" s="1358"/>
      <c r="FAQ520" s="1358"/>
      <c r="FAR520" s="1358"/>
      <c r="FAS520" s="1358"/>
      <c r="FAT520" s="1358"/>
      <c r="FAU520" s="1358"/>
      <c r="FAV520" s="1358"/>
      <c r="FAW520" s="1358"/>
      <c r="FAX520" s="1358"/>
      <c r="FAY520" s="1358"/>
      <c r="FAZ520" s="1358"/>
      <c r="FBA520" s="1358"/>
      <c r="FBB520" s="1358"/>
      <c r="FBC520" s="1358"/>
      <c r="FBD520" s="1358"/>
      <c r="FBE520" s="1358"/>
      <c r="FBF520" s="1358"/>
      <c r="FBG520" s="1358"/>
      <c r="FBH520" s="1358"/>
      <c r="FBI520" s="1358"/>
      <c r="FBJ520" s="1358"/>
      <c r="FBK520" s="1358"/>
      <c r="FBL520" s="1358"/>
      <c r="FBM520" s="1358"/>
      <c r="FBN520" s="1358"/>
      <c r="FBO520" s="1358"/>
      <c r="FBP520" s="1358"/>
      <c r="FBQ520" s="1358"/>
      <c r="FBR520" s="1358"/>
      <c r="FBS520" s="1358"/>
      <c r="FBT520" s="1358"/>
      <c r="FBU520" s="1358"/>
      <c r="FBV520" s="1358"/>
      <c r="FBW520" s="1358"/>
      <c r="FBX520" s="1358"/>
      <c r="FBY520" s="1358"/>
      <c r="FBZ520" s="1358"/>
      <c r="FCA520" s="1358"/>
      <c r="FCB520" s="1358"/>
      <c r="FCC520" s="1358"/>
      <c r="FCD520" s="1358"/>
      <c r="FCE520" s="1358"/>
      <c r="FCF520" s="1358"/>
      <c r="FCG520" s="1358"/>
      <c r="FCH520" s="1358"/>
      <c r="FCI520" s="1358"/>
      <c r="FCJ520" s="1358"/>
      <c r="FCK520" s="1358"/>
      <c r="FCL520" s="1358"/>
      <c r="FCM520" s="1358"/>
      <c r="FCN520" s="1358"/>
      <c r="FCO520" s="1358"/>
      <c r="FCP520" s="1358"/>
      <c r="FCQ520" s="1358"/>
      <c r="FCR520" s="1358"/>
      <c r="FCS520" s="1358"/>
      <c r="FCT520" s="1358"/>
      <c r="FCU520" s="1358"/>
      <c r="FCV520" s="1358"/>
      <c r="FCW520" s="1358"/>
      <c r="FCX520" s="1358"/>
      <c r="FCY520" s="1358"/>
      <c r="FCZ520" s="1358"/>
      <c r="FDA520" s="1358"/>
      <c r="FDB520" s="1358"/>
      <c r="FDC520" s="1358"/>
      <c r="FDD520" s="1358"/>
      <c r="FDE520" s="1358"/>
      <c r="FDF520" s="1358"/>
      <c r="FDG520" s="1358"/>
      <c r="FDH520" s="1358"/>
      <c r="FDI520" s="1358"/>
      <c r="FDJ520" s="1358"/>
      <c r="FDK520" s="1358"/>
      <c r="FDL520" s="1358"/>
      <c r="FDM520" s="1358"/>
      <c r="FDN520" s="1358"/>
      <c r="FDO520" s="1358"/>
      <c r="FDP520" s="1358"/>
      <c r="FDQ520" s="1358"/>
      <c r="FDR520" s="1358"/>
      <c r="FDS520" s="1358"/>
      <c r="FDT520" s="1358"/>
      <c r="FDU520" s="1358"/>
      <c r="FDV520" s="1358"/>
      <c r="FDW520" s="1358"/>
      <c r="FDX520" s="1358"/>
      <c r="FDY520" s="1358"/>
      <c r="FDZ520" s="1358"/>
      <c r="FEA520" s="1358"/>
      <c r="FEB520" s="1358"/>
      <c r="FEC520" s="1358"/>
      <c r="FED520" s="1358"/>
      <c r="FEE520" s="1358"/>
      <c r="FEF520" s="1358"/>
      <c r="FEG520" s="1358"/>
      <c r="FEH520" s="1358"/>
      <c r="FEI520" s="1358"/>
      <c r="FEJ520" s="1358"/>
      <c r="FEK520" s="1358"/>
      <c r="FEL520" s="1358"/>
      <c r="FEM520" s="1358"/>
      <c r="FEN520" s="1358"/>
      <c r="FEO520" s="1358"/>
      <c r="FEP520" s="1358"/>
      <c r="FEQ520" s="1358"/>
      <c r="FER520" s="1358"/>
      <c r="FES520" s="1358"/>
      <c r="FET520" s="1358"/>
      <c r="FEU520" s="1358"/>
      <c r="FEV520" s="1358"/>
      <c r="FEW520" s="1358"/>
      <c r="FEX520" s="1358"/>
      <c r="FEY520" s="1358"/>
      <c r="FEZ520" s="1358"/>
      <c r="FFA520" s="1358"/>
      <c r="FFB520" s="1358"/>
      <c r="FFC520" s="1358"/>
      <c r="FFD520" s="1358"/>
      <c r="FFE520" s="1358"/>
      <c r="FFF520" s="1358"/>
      <c r="FFG520" s="1358"/>
      <c r="FFH520" s="1358"/>
      <c r="FFI520" s="1358"/>
      <c r="FFJ520" s="1358"/>
      <c r="FFK520" s="1358"/>
      <c r="FFL520" s="1358"/>
      <c r="FFM520" s="1358"/>
      <c r="FFN520" s="1358"/>
      <c r="FFO520" s="1358"/>
      <c r="FFP520" s="1358"/>
      <c r="FFQ520" s="1358"/>
      <c r="FFR520" s="1358"/>
      <c r="FFS520" s="1358"/>
      <c r="FFT520" s="1358"/>
      <c r="FFU520" s="1358"/>
      <c r="FFV520" s="1358"/>
      <c r="FFW520" s="1358"/>
      <c r="FFX520" s="1358"/>
      <c r="FFY520" s="1358"/>
      <c r="FFZ520" s="1358"/>
      <c r="FGA520" s="1358"/>
      <c r="FGB520" s="1358"/>
      <c r="FGC520" s="1358"/>
      <c r="FGD520" s="1358"/>
      <c r="FGE520" s="1358"/>
      <c r="FGF520" s="1358"/>
      <c r="FGG520" s="1358"/>
      <c r="FGH520" s="1358"/>
      <c r="FGI520" s="1358"/>
      <c r="FGJ520" s="1358"/>
      <c r="FGK520" s="1358"/>
      <c r="FGL520" s="1358"/>
      <c r="FGM520" s="1358"/>
      <c r="FGN520" s="1358"/>
      <c r="FGO520" s="1358"/>
      <c r="FGP520" s="1358"/>
      <c r="FGQ520" s="1358"/>
      <c r="FGR520" s="1358"/>
      <c r="FGS520" s="1358"/>
      <c r="FGT520" s="1358"/>
      <c r="FGU520" s="1358"/>
      <c r="FGV520" s="1358"/>
      <c r="FGW520" s="1358"/>
      <c r="FGX520" s="1358"/>
      <c r="FGY520" s="1358"/>
      <c r="FGZ520" s="1358"/>
      <c r="FHA520" s="1358"/>
      <c r="FHB520" s="1358"/>
      <c r="FHC520" s="1358"/>
      <c r="FHD520" s="1358"/>
      <c r="FHE520" s="1358"/>
      <c r="FHF520" s="1358"/>
      <c r="FHG520" s="1358"/>
      <c r="FHH520" s="1358"/>
      <c r="FHI520" s="1358"/>
      <c r="FHJ520" s="1358"/>
      <c r="FHK520" s="1358"/>
      <c r="FHL520" s="1358"/>
      <c r="FHM520" s="1358"/>
      <c r="FHN520" s="1358"/>
      <c r="FHO520" s="1358"/>
      <c r="FHP520" s="1358"/>
      <c r="FHQ520" s="1358"/>
      <c r="FHR520" s="1358"/>
      <c r="FHS520" s="1358"/>
      <c r="FHT520" s="1358"/>
      <c r="FHU520" s="1358"/>
      <c r="FHV520" s="1358"/>
      <c r="FHW520" s="1358"/>
      <c r="FHX520" s="1358"/>
      <c r="FHY520" s="1358"/>
      <c r="FHZ520" s="1358"/>
      <c r="FIA520" s="1358"/>
      <c r="FIB520" s="1358"/>
      <c r="FIC520" s="1358"/>
      <c r="FID520" s="1358"/>
      <c r="FIE520" s="1358"/>
      <c r="FIF520" s="1358"/>
      <c r="FIG520" s="1358"/>
      <c r="FIH520" s="1358"/>
      <c r="FII520" s="1358"/>
      <c r="FIJ520" s="1358"/>
      <c r="FIK520" s="1358"/>
      <c r="FIL520" s="1358"/>
      <c r="FIM520" s="1358"/>
      <c r="FIN520" s="1358"/>
      <c r="FIO520" s="1358"/>
      <c r="FIP520" s="1358"/>
      <c r="FIQ520" s="1358"/>
      <c r="FIR520" s="1358"/>
      <c r="FIS520" s="1358"/>
      <c r="FIT520" s="1358"/>
      <c r="FIU520" s="1358"/>
      <c r="FIV520" s="1358"/>
      <c r="FIW520" s="1358"/>
      <c r="FIX520" s="1358"/>
      <c r="FIY520" s="1358"/>
      <c r="FIZ520" s="1358"/>
      <c r="FJA520" s="1358"/>
      <c r="FJB520" s="1358"/>
      <c r="FJC520" s="1358"/>
      <c r="FJD520" s="1358"/>
      <c r="FJE520" s="1358"/>
      <c r="FJF520" s="1358"/>
      <c r="FJG520" s="1358"/>
      <c r="FJH520" s="1358"/>
      <c r="FJI520" s="1358"/>
      <c r="FJJ520" s="1358"/>
      <c r="FJK520" s="1358"/>
      <c r="FJL520" s="1358"/>
      <c r="FJM520" s="1358"/>
      <c r="FJN520" s="1358"/>
      <c r="FJO520" s="1358"/>
      <c r="FJP520" s="1358"/>
      <c r="FJQ520" s="1358"/>
      <c r="FJR520" s="1358"/>
      <c r="FJS520" s="1358"/>
      <c r="FJT520" s="1358"/>
      <c r="FJU520" s="1358"/>
      <c r="FJV520" s="1358"/>
      <c r="FJW520" s="1358"/>
      <c r="FJX520" s="1358"/>
      <c r="FJY520" s="1358"/>
      <c r="FJZ520" s="1358"/>
      <c r="FKA520" s="1358"/>
      <c r="FKB520" s="1358"/>
      <c r="FKC520" s="1358"/>
      <c r="FKD520" s="1358"/>
      <c r="FKE520" s="1358"/>
      <c r="FKF520" s="1358"/>
      <c r="FKG520" s="1358"/>
      <c r="FKH520" s="1358"/>
      <c r="FKI520" s="1358"/>
      <c r="FKJ520" s="1358"/>
      <c r="FKK520" s="1358"/>
      <c r="FKL520" s="1358"/>
      <c r="FKM520" s="1358"/>
      <c r="FKN520" s="1358"/>
      <c r="FKO520" s="1358"/>
      <c r="FKP520" s="1358"/>
      <c r="FKQ520" s="1358"/>
      <c r="FKR520" s="1358"/>
      <c r="FKS520" s="1358"/>
      <c r="FKT520" s="1358"/>
      <c r="FKU520" s="1358"/>
      <c r="FKV520" s="1358"/>
      <c r="FKW520" s="1358"/>
      <c r="FKX520" s="1358"/>
      <c r="FKY520" s="1358"/>
      <c r="FKZ520" s="1358"/>
      <c r="FLA520" s="1358"/>
      <c r="FLB520" s="1358"/>
      <c r="FLC520" s="1358"/>
      <c r="FLD520" s="1358"/>
      <c r="FLE520" s="1358"/>
      <c r="FLF520" s="1358"/>
      <c r="FLG520" s="1358"/>
      <c r="FLH520" s="1358"/>
      <c r="FLI520" s="1358"/>
      <c r="FLJ520" s="1358"/>
      <c r="FLK520" s="1358"/>
      <c r="FLL520" s="1358"/>
      <c r="FLM520" s="1358"/>
      <c r="FLN520" s="1358"/>
      <c r="FLO520" s="1358"/>
      <c r="FLP520" s="1358"/>
      <c r="FLQ520" s="1358"/>
      <c r="FLR520" s="1358"/>
      <c r="FLS520" s="1358"/>
      <c r="FLT520" s="1358"/>
      <c r="FLU520" s="1358"/>
      <c r="FLV520" s="1358"/>
      <c r="FLW520" s="1358"/>
      <c r="FLX520" s="1358"/>
      <c r="FLY520" s="1358"/>
      <c r="FLZ520" s="1358"/>
      <c r="FMA520" s="1358"/>
      <c r="FMB520" s="1358"/>
      <c r="FMC520" s="1358"/>
      <c r="FMD520" s="1358"/>
      <c r="FME520" s="1358"/>
      <c r="FMF520" s="1358"/>
      <c r="FMG520" s="1358"/>
      <c r="FMH520" s="1358"/>
      <c r="FMI520" s="1358"/>
      <c r="FMJ520" s="1358"/>
      <c r="FMK520" s="1358"/>
      <c r="FML520" s="1358"/>
      <c r="FMM520" s="1358"/>
      <c r="FMN520" s="1358"/>
      <c r="FMO520" s="1358"/>
      <c r="FMP520" s="1358"/>
      <c r="FMQ520" s="1358"/>
      <c r="FMR520" s="1358"/>
      <c r="FMS520" s="1358"/>
      <c r="FMT520" s="1358"/>
      <c r="FMU520" s="1358"/>
      <c r="FMV520" s="1358"/>
      <c r="FMW520" s="1358"/>
      <c r="FMX520" s="1358"/>
      <c r="FMY520" s="1358"/>
      <c r="FMZ520" s="1358"/>
      <c r="FNA520" s="1358"/>
      <c r="FNB520" s="1358"/>
      <c r="FNC520" s="1358"/>
      <c r="FND520" s="1358"/>
      <c r="FNE520" s="1358"/>
      <c r="FNF520" s="1358"/>
      <c r="FNG520" s="1358"/>
      <c r="FNH520" s="1358"/>
      <c r="FNI520" s="1358"/>
      <c r="FNJ520" s="1358"/>
      <c r="FNK520" s="1358"/>
      <c r="FNL520" s="1358"/>
      <c r="FNM520" s="1358"/>
      <c r="FNN520" s="1358"/>
      <c r="FNO520" s="1358"/>
      <c r="FNP520" s="1358"/>
      <c r="FNQ520" s="1358"/>
      <c r="FNR520" s="1358"/>
      <c r="FNS520" s="1358"/>
      <c r="FNT520" s="1358"/>
      <c r="FNU520" s="1358"/>
      <c r="FNV520" s="1358"/>
      <c r="FNW520" s="1358"/>
      <c r="FNX520" s="1358"/>
      <c r="FNY520" s="1358"/>
      <c r="FNZ520" s="1358"/>
      <c r="FOA520" s="1358"/>
      <c r="FOB520" s="1358"/>
      <c r="FOC520" s="1358"/>
      <c r="FOD520" s="1358"/>
      <c r="FOE520" s="1358"/>
      <c r="FOF520" s="1358"/>
      <c r="FOG520" s="1358"/>
      <c r="FOH520" s="1358"/>
      <c r="FOI520" s="1358"/>
      <c r="FOJ520" s="1358"/>
      <c r="FOK520" s="1358"/>
      <c r="FOL520" s="1358"/>
      <c r="FOM520" s="1358"/>
      <c r="FON520" s="1358"/>
      <c r="FOO520" s="1358"/>
      <c r="FOP520" s="1358"/>
      <c r="FOQ520" s="1358"/>
      <c r="FOR520" s="1358"/>
      <c r="FOS520" s="1358"/>
      <c r="FOT520" s="1358"/>
      <c r="FOU520" s="1358"/>
      <c r="FOV520" s="1358"/>
      <c r="FOW520" s="1358"/>
      <c r="FOX520" s="1358"/>
      <c r="FOY520" s="1358"/>
      <c r="FOZ520" s="1358"/>
      <c r="FPA520" s="1358"/>
      <c r="FPB520" s="1358"/>
      <c r="FPC520" s="1358"/>
      <c r="FPD520" s="1358"/>
      <c r="FPE520" s="1358"/>
      <c r="FPF520" s="1358"/>
      <c r="FPG520" s="1358"/>
      <c r="FPH520" s="1358"/>
      <c r="FPI520" s="1358"/>
      <c r="FPJ520" s="1358"/>
      <c r="FPK520" s="1358"/>
      <c r="FPL520" s="1358"/>
      <c r="FPM520" s="1358"/>
      <c r="FPN520" s="1358"/>
      <c r="FPO520" s="1358"/>
      <c r="FPP520" s="1358"/>
      <c r="FPQ520" s="1358"/>
      <c r="FPR520" s="1358"/>
      <c r="FPS520" s="1358"/>
      <c r="FPT520" s="1358"/>
      <c r="FPU520" s="1358"/>
      <c r="FPV520" s="1358"/>
      <c r="FPW520" s="1358"/>
      <c r="FPX520" s="1358"/>
      <c r="FPY520" s="1358"/>
      <c r="FPZ520" s="1358"/>
      <c r="FQA520" s="1358"/>
      <c r="FQB520" s="1358"/>
      <c r="FQC520" s="1358"/>
      <c r="FQD520" s="1358"/>
      <c r="FQE520" s="1358"/>
      <c r="FQF520" s="1358"/>
      <c r="FQG520" s="1358"/>
      <c r="FQH520" s="1358"/>
      <c r="FQI520" s="1358"/>
      <c r="FQJ520" s="1358"/>
      <c r="FQK520" s="1358"/>
      <c r="FQL520" s="1358"/>
      <c r="FQM520" s="1358"/>
      <c r="FQN520" s="1358"/>
      <c r="FQO520" s="1358"/>
      <c r="FQP520" s="1358"/>
      <c r="FQQ520" s="1358"/>
      <c r="FQR520" s="1358"/>
      <c r="FQS520" s="1358"/>
      <c r="FQT520" s="1358"/>
      <c r="FQU520" s="1358"/>
      <c r="FQV520" s="1358"/>
      <c r="FQW520" s="1358"/>
      <c r="FQX520" s="1358"/>
      <c r="FQY520" s="1358"/>
      <c r="FQZ520" s="1358"/>
      <c r="FRA520" s="1358"/>
      <c r="FRB520" s="1358"/>
      <c r="FRC520" s="1358"/>
      <c r="FRD520" s="1358"/>
      <c r="FRE520" s="1358"/>
      <c r="FRF520" s="1358"/>
      <c r="FRG520" s="1358"/>
      <c r="FRH520" s="1358"/>
      <c r="FRI520" s="1358"/>
      <c r="FRJ520" s="1358"/>
      <c r="FRK520" s="1358"/>
      <c r="FRL520" s="1358"/>
      <c r="FRM520" s="1358"/>
      <c r="FRN520" s="1358"/>
      <c r="FRO520" s="1358"/>
      <c r="FRP520" s="1358"/>
      <c r="FRQ520" s="1358"/>
      <c r="FRR520" s="1358"/>
      <c r="FRS520" s="1358"/>
      <c r="FRT520" s="1358"/>
      <c r="FRU520" s="1358"/>
      <c r="FRV520" s="1358"/>
      <c r="FRW520" s="1358"/>
      <c r="FRX520" s="1358"/>
      <c r="FRY520" s="1358"/>
      <c r="FRZ520" s="1358"/>
      <c r="FSA520" s="1358"/>
      <c r="FSB520" s="1358"/>
      <c r="FSC520" s="1358"/>
      <c r="FSD520" s="1358"/>
      <c r="FSE520" s="1358"/>
      <c r="FSF520" s="1358"/>
      <c r="FSG520" s="1358"/>
      <c r="FSH520" s="1358"/>
      <c r="FSI520" s="1358"/>
      <c r="FSJ520" s="1358"/>
      <c r="FSK520" s="1358"/>
      <c r="FSL520" s="1358"/>
      <c r="FSM520" s="1358"/>
      <c r="FSN520" s="1358"/>
      <c r="FSO520" s="1358"/>
      <c r="FSP520" s="1358"/>
      <c r="FSQ520" s="1358"/>
      <c r="FSR520" s="1358"/>
      <c r="FSS520" s="1358"/>
      <c r="FST520" s="1358"/>
      <c r="FSU520" s="1358"/>
      <c r="FSV520" s="1358"/>
      <c r="FSW520" s="1358"/>
      <c r="FSX520" s="1358"/>
      <c r="FSY520" s="1358"/>
      <c r="FSZ520" s="1358"/>
      <c r="FTA520" s="1358"/>
      <c r="FTB520" s="1358"/>
      <c r="FTC520" s="1358"/>
      <c r="FTD520" s="1358"/>
      <c r="FTE520" s="1358"/>
      <c r="FTF520" s="1358"/>
      <c r="FTG520" s="1358"/>
      <c r="FTH520" s="1358"/>
      <c r="FTI520" s="1358"/>
      <c r="FTJ520" s="1358"/>
      <c r="FTK520" s="1358"/>
      <c r="FTL520" s="1358"/>
      <c r="FTM520" s="1358"/>
      <c r="FTN520" s="1358"/>
      <c r="FTO520" s="1358"/>
      <c r="FTP520" s="1358"/>
      <c r="FTQ520" s="1358"/>
      <c r="FTR520" s="1358"/>
      <c r="FTS520" s="1358"/>
      <c r="FTT520" s="1358"/>
      <c r="FTU520" s="1358"/>
      <c r="FTV520" s="1358"/>
      <c r="FTW520" s="1358"/>
      <c r="FTX520" s="1358"/>
      <c r="FTY520" s="1358"/>
      <c r="FTZ520" s="1358"/>
      <c r="FUA520" s="1358"/>
      <c r="FUB520" s="1358"/>
      <c r="FUC520" s="1358"/>
      <c r="FUD520" s="1358"/>
      <c r="FUE520" s="1358"/>
      <c r="FUF520" s="1358"/>
      <c r="FUG520" s="1358"/>
      <c r="FUH520" s="1358"/>
      <c r="FUI520" s="1358"/>
      <c r="FUJ520" s="1358"/>
      <c r="FUK520" s="1358"/>
      <c r="FUL520" s="1358"/>
      <c r="FUM520" s="1358"/>
      <c r="FUN520" s="1358"/>
      <c r="FUO520" s="1358"/>
      <c r="FUP520" s="1358"/>
      <c r="FUQ520" s="1358"/>
      <c r="FUR520" s="1358"/>
      <c r="FUS520" s="1358"/>
      <c r="FUT520" s="1358"/>
      <c r="FUU520" s="1358"/>
      <c r="FUV520" s="1358"/>
      <c r="FUW520" s="1358"/>
      <c r="FUX520" s="1358"/>
      <c r="FUY520" s="1358"/>
      <c r="FUZ520" s="1358"/>
      <c r="FVA520" s="1358"/>
      <c r="FVB520" s="1358"/>
      <c r="FVC520" s="1358"/>
      <c r="FVD520" s="1358"/>
      <c r="FVE520" s="1358"/>
      <c r="FVF520" s="1358"/>
      <c r="FVG520" s="1358"/>
      <c r="FVH520" s="1358"/>
      <c r="FVI520" s="1358"/>
      <c r="FVJ520" s="1358"/>
      <c r="FVK520" s="1358"/>
      <c r="FVL520" s="1358"/>
      <c r="FVM520" s="1358"/>
      <c r="FVN520" s="1358"/>
      <c r="FVO520" s="1358"/>
      <c r="FVP520" s="1358"/>
      <c r="FVQ520" s="1358"/>
      <c r="FVR520" s="1358"/>
      <c r="FVS520" s="1358"/>
      <c r="FVT520" s="1358"/>
      <c r="FVU520" s="1358"/>
      <c r="FVV520" s="1358"/>
      <c r="FVW520" s="1358"/>
      <c r="FVX520" s="1358"/>
      <c r="FVY520" s="1358"/>
      <c r="FVZ520" s="1358"/>
      <c r="FWA520" s="1358"/>
      <c r="FWB520" s="1358"/>
      <c r="FWC520" s="1358"/>
      <c r="FWD520" s="1358"/>
      <c r="FWE520" s="1358"/>
      <c r="FWF520" s="1358"/>
      <c r="FWG520" s="1358"/>
      <c r="FWH520" s="1358"/>
      <c r="FWI520" s="1358"/>
      <c r="FWJ520" s="1358"/>
      <c r="FWK520" s="1358"/>
      <c r="FWL520" s="1358"/>
      <c r="FWM520" s="1358"/>
      <c r="FWN520" s="1358"/>
      <c r="FWO520" s="1358"/>
      <c r="FWP520" s="1358"/>
      <c r="FWQ520" s="1358"/>
      <c r="FWR520" s="1358"/>
      <c r="FWS520" s="1358"/>
      <c r="FWT520" s="1358"/>
      <c r="FWU520" s="1358"/>
      <c r="FWV520" s="1358"/>
      <c r="FWW520" s="1358"/>
      <c r="FWX520" s="1358"/>
      <c r="FWY520" s="1358"/>
      <c r="FWZ520" s="1358"/>
      <c r="FXA520" s="1358"/>
      <c r="FXB520" s="1358"/>
      <c r="FXC520" s="1358"/>
      <c r="FXD520" s="1358"/>
      <c r="FXE520" s="1358"/>
      <c r="FXF520" s="1358"/>
      <c r="FXG520" s="1358"/>
      <c r="FXH520" s="1358"/>
      <c r="FXI520" s="1358"/>
      <c r="FXJ520" s="1358"/>
      <c r="FXK520" s="1358"/>
      <c r="FXL520" s="1358"/>
      <c r="FXM520" s="1358"/>
      <c r="FXN520" s="1358"/>
      <c r="FXO520" s="1358"/>
      <c r="FXP520" s="1358"/>
      <c r="FXQ520" s="1358"/>
      <c r="FXR520" s="1358"/>
      <c r="FXS520" s="1358"/>
      <c r="FXT520" s="1358"/>
      <c r="FXU520" s="1358"/>
      <c r="FXV520" s="1358"/>
      <c r="FXW520" s="1358"/>
      <c r="FXX520" s="1358"/>
      <c r="FXY520" s="1358"/>
      <c r="FXZ520" s="1358"/>
      <c r="FYA520" s="1358"/>
      <c r="FYB520" s="1358"/>
      <c r="FYC520" s="1358"/>
      <c r="FYD520" s="1358"/>
      <c r="FYE520" s="1358"/>
      <c r="FYF520" s="1358"/>
      <c r="FYG520" s="1358"/>
      <c r="FYH520" s="1358"/>
      <c r="FYI520" s="1358"/>
      <c r="FYJ520" s="1358"/>
      <c r="FYK520" s="1358"/>
      <c r="FYL520" s="1358"/>
      <c r="FYM520" s="1358"/>
      <c r="FYN520" s="1358"/>
      <c r="FYO520" s="1358"/>
      <c r="FYP520" s="1358"/>
      <c r="FYQ520" s="1358"/>
      <c r="FYR520" s="1358"/>
      <c r="FYS520" s="1358"/>
      <c r="FYT520" s="1358"/>
      <c r="FYU520" s="1358"/>
      <c r="FYV520" s="1358"/>
      <c r="FYW520" s="1358"/>
      <c r="FYX520" s="1358"/>
      <c r="FYY520" s="1358"/>
      <c r="FYZ520" s="1358"/>
      <c r="FZA520" s="1358"/>
      <c r="FZB520" s="1358"/>
      <c r="FZC520" s="1358"/>
      <c r="FZD520" s="1358"/>
      <c r="FZE520" s="1358"/>
      <c r="FZF520" s="1358"/>
      <c r="FZG520" s="1358"/>
      <c r="FZH520" s="1358"/>
      <c r="FZI520" s="1358"/>
      <c r="FZJ520" s="1358"/>
      <c r="FZK520" s="1358"/>
      <c r="FZL520" s="1358"/>
      <c r="FZM520" s="1358"/>
      <c r="FZN520" s="1358"/>
      <c r="FZO520" s="1358"/>
      <c r="FZP520" s="1358"/>
      <c r="FZQ520" s="1358"/>
      <c r="FZR520" s="1358"/>
      <c r="FZS520" s="1358"/>
      <c r="FZT520" s="1358"/>
      <c r="FZU520" s="1358"/>
      <c r="FZV520" s="1358"/>
      <c r="FZW520" s="1358"/>
      <c r="FZX520" s="1358"/>
      <c r="FZY520" s="1358"/>
      <c r="FZZ520" s="1358"/>
      <c r="GAA520" s="1358"/>
      <c r="GAB520" s="1358"/>
      <c r="GAC520" s="1358"/>
      <c r="GAD520" s="1358"/>
      <c r="GAE520" s="1358"/>
      <c r="GAF520" s="1358"/>
      <c r="GAG520" s="1358"/>
      <c r="GAH520" s="1358"/>
      <c r="GAI520" s="1358"/>
      <c r="GAJ520" s="1358"/>
      <c r="GAK520" s="1358"/>
      <c r="GAL520" s="1358"/>
      <c r="GAM520" s="1358"/>
      <c r="GAN520" s="1358"/>
      <c r="GAO520" s="1358"/>
      <c r="GAP520" s="1358"/>
      <c r="GAQ520" s="1358"/>
      <c r="GAR520" s="1358"/>
      <c r="GAS520" s="1358"/>
      <c r="GAT520" s="1358"/>
      <c r="GAU520" s="1358"/>
      <c r="GAV520" s="1358"/>
      <c r="GAW520" s="1358"/>
      <c r="GAX520" s="1358"/>
      <c r="GAY520" s="1358"/>
      <c r="GAZ520" s="1358"/>
      <c r="GBA520" s="1358"/>
      <c r="GBB520" s="1358"/>
      <c r="GBC520" s="1358"/>
      <c r="GBD520" s="1358"/>
      <c r="GBE520" s="1358"/>
      <c r="GBF520" s="1358"/>
      <c r="GBG520" s="1358"/>
      <c r="GBH520" s="1358"/>
      <c r="GBI520" s="1358"/>
      <c r="GBJ520" s="1358"/>
      <c r="GBK520" s="1358"/>
      <c r="GBL520" s="1358"/>
      <c r="GBM520" s="1358"/>
      <c r="GBN520" s="1358"/>
      <c r="GBO520" s="1358"/>
      <c r="GBP520" s="1358"/>
      <c r="GBQ520" s="1358"/>
      <c r="GBR520" s="1358"/>
      <c r="GBS520" s="1358"/>
      <c r="GBT520" s="1358"/>
      <c r="GBU520" s="1358"/>
      <c r="GBV520" s="1358"/>
      <c r="GBW520" s="1358"/>
      <c r="GBX520" s="1358"/>
      <c r="GBY520" s="1358"/>
      <c r="GBZ520" s="1358"/>
      <c r="GCA520" s="1358"/>
      <c r="GCB520" s="1358"/>
      <c r="GCC520" s="1358"/>
      <c r="GCD520" s="1358"/>
      <c r="GCE520" s="1358"/>
      <c r="GCF520" s="1358"/>
      <c r="GCG520" s="1358"/>
      <c r="GCH520" s="1358"/>
      <c r="GCI520" s="1358"/>
      <c r="GCJ520" s="1358"/>
      <c r="GCK520" s="1358"/>
      <c r="GCL520" s="1358"/>
      <c r="GCM520" s="1358"/>
      <c r="GCN520" s="1358"/>
      <c r="GCO520" s="1358"/>
      <c r="GCP520" s="1358"/>
      <c r="GCQ520" s="1358"/>
      <c r="GCR520" s="1358"/>
      <c r="GCS520" s="1358"/>
      <c r="GCT520" s="1358"/>
      <c r="GCU520" s="1358"/>
      <c r="GCV520" s="1358"/>
      <c r="GCW520" s="1358"/>
      <c r="GCX520" s="1358"/>
      <c r="GCY520" s="1358"/>
      <c r="GCZ520" s="1358"/>
      <c r="GDA520" s="1358"/>
      <c r="GDB520" s="1358"/>
      <c r="GDC520" s="1358"/>
      <c r="GDD520" s="1358"/>
      <c r="GDE520" s="1358"/>
      <c r="GDF520" s="1358"/>
      <c r="GDG520" s="1358"/>
      <c r="GDH520" s="1358"/>
      <c r="GDI520" s="1358"/>
      <c r="GDJ520" s="1358"/>
      <c r="GDK520" s="1358"/>
      <c r="GDL520" s="1358"/>
      <c r="GDM520" s="1358"/>
      <c r="GDN520" s="1358"/>
      <c r="GDO520" s="1358"/>
      <c r="GDP520" s="1358"/>
      <c r="GDQ520" s="1358"/>
      <c r="GDR520" s="1358"/>
      <c r="GDS520" s="1358"/>
      <c r="GDT520" s="1358"/>
      <c r="GDU520" s="1358"/>
      <c r="GDV520" s="1358"/>
      <c r="GDW520" s="1358"/>
      <c r="GDX520" s="1358"/>
      <c r="GDY520" s="1358"/>
      <c r="GDZ520" s="1358"/>
      <c r="GEA520" s="1358"/>
      <c r="GEB520" s="1358"/>
      <c r="GEC520" s="1358"/>
      <c r="GED520" s="1358"/>
      <c r="GEE520" s="1358"/>
      <c r="GEF520" s="1358"/>
      <c r="GEG520" s="1358"/>
      <c r="GEH520" s="1358"/>
      <c r="GEI520" s="1358"/>
      <c r="GEJ520" s="1358"/>
      <c r="GEK520" s="1358"/>
      <c r="GEL520" s="1358"/>
      <c r="GEM520" s="1358"/>
      <c r="GEN520" s="1358"/>
      <c r="GEO520" s="1358"/>
      <c r="GEP520" s="1358"/>
      <c r="GEQ520" s="1358"/>
      <c r="GER520" s="1358"/>
      <c r="GES520" s="1358"/>
      <c r="GET520" s="1358"/>
      <c r="GEU520" s="1358"/>
      <c r="GEV520" s="1358"/>
      <c r="GEW520" s="1358"/>
      <c r="GEX520" s="1358"/>
      <c r="GEY520" s="1358"/>
      <c r="GEZ520" s="1358"/>
      <c r="GFA520" s="1358"/>
      <c r="GFB520" s="1358"/>
      <c r="GFC520" s="1358"/>
      <c r="GFD520" s="1358"/>
      <c r="GFE520" s="1358"/>
      <c r="GFF520" s="1358"/>
      <c r="GFG520" s="1358"/>
      <c r="GFH520" s="1358"/>
      <c r="GFI520" s="1358"/>
      <c r="GFJ520" s="1358"/>
      <c r="GFK520" s="1358"/>
      <c r="GFL520" s="1358"/>
      <c r="GFM520" s="1358"/>
      <c r="GFN520" s="1358"/>
      <c r="GFO520" s="1358"/>
      <c r="GFP520" s="1358"/>
      <c r="GFQ520" s="1358"/>
      <c r="GFR520" s="1358"/>
      <c r="GFS520" s="1358"/>
      <c r="GFT520" s="1358"/>
      <c r="GFU520" s="1358"/>
      <c r="GFV520" s="1358"/>
      <c r="GFW520" s="1358"/>
      <c r="GFX520" s="1358"/>
      <c r="GFY520" s="1358"/>
      <c r="GFZ520" s="1358"/>
      <c r="GGA520" s="1358"/>
      <c r="GGB520" s="1358"/>
      <c r="GGC520" s="1358"/>
      <c r="GGD520" s="1358"/>
      <c r="GGE520" s="1358"/>
      <c r="GGF520" s="1358"/>
      <c r="GGG520" s="1358"/>
      <c r="GGH520" s="1358"/>
      <c r="GGI520" s="1358"/>
      <c r="GGJ520" s="1358"/>
      <c r="GGK520" s="1358"/>
      <c r="GGL520" s="1358"/>
      <c r="GGM520" s="1358"/>
      <c r="GGN520" s="1358"/>
      <c r="GGO520" s="1358"/>
      <c r="GGP520" s="1358"/>
      <c r="GGQ520" s="1358"/>
      <c r="GGR520" s="1358"/>
      <c r="GGS520" s="1358"/>
      <c r="GGT520" s="1358"/>
      <c r="GGU520" s="1358"/>
      <c r="GGV520" s="1358"/>
      <c r="GGW520" s="1358"/>
      <c r="GGX520" s="1358"/>
      <c r="GGY520" s="1358"/>
      <c r="GGZ520" s="1358"/>
      <c r="GHA520" s="1358"/>
      <c r="GHB520" s="1358"/>
      <c r="GHC520" s="1358"/>
      <c r="GHD520" s="1358"/>
      <c r="GHE520" s="1358"/>
      <c r="GHF520" s="1358"/>
      <c r="GHG520" s="1358"/>
      <c r="GHH520" s="1358"/>
      <c r="GHI520" s="1358"/>
      <c r="GHJ520" s="1358"/>
      <c r="GHK520" s="1358"/>
      <c r="GHL520" s="1358"/>
      <c r="GHM520" s="1358"/>
      <c r="GHN520" s="1358"/>
      <c r="GHO520" s="1358"/>
      <c r="GHP520" s="1358"/>
      <c r="GHQ520" s="1358"/>
      <c r="GHR520" s="1358"/>
      <c r="GHS520" s="1358"/>
      <c r="GHT520" s="1358"/>
      <c r="GHU520" s="1358"/>
      <c r="GHV520" s="1358"/>
      <c r="GHW520" s="1358"/>
      <c r="GHX520" s="1358"/>
      <c r="GHY520" s="1358"/>
      <c r="GHZ520" s="1358"/>
      <c r="GIA520" s="1358"/>
      <c r="GIB520" s="1358"/>
      <c r="GIC520" s="1358"/>
      <c r="GID520" s="1358"/>
      <c r="GIE520" s="1358"/>
      <c r="GIF520" s="1358"/>
      <c r="GIG520" s="1358"/>
      <c r="GIH520" s="1358"/>
      <c r="GII520" s="1358"/>
      <c r="GIJ520" s="1358"/>
      <c r="GIK520" s="1358"/>
      <c r="GIL520" s="1358"/>
      <c r="GIM520" s="1358"/>
      <c r="GIN520" s="1358"/>
      <c r="GIO520" s="1358"/>
      <c r="GIP520" s="1358"/>
      <c r="GIQ520" s="1358"/>
      <c r="GIR520" s="1358"/>
      <c r="GIS520" s="1358"/>
      <c r="GIT520" s="1358"/>
      <c r="GIU520" s="1358"/>
      <c r="GIV520" s="1358"/>
      <c r="GIW520" s="1358"/>
      <c r="GIX520" s="1358"/>
      <c r="GIY520" s="1358"/>
      <c r="GIZ520" s="1358"/>
      <c r="GJA520" s="1358"/>
      <c r="GJB520" s="1358"/>
      <c r="GJC520" s="1358"/>
      <c r="GJD520" s="1358"/>
      <c r="GJE520" s="1358"/>
      <c r="GJF520" s="1358"/>
      <c r="GJG520" s="1358"/>
      <c r="GJH520" s="1358"/>
      <c r="GJI520" s="1358"/>
      <c r="GJJ520" s="1358"/>
      <c r="GJK520" s="1358"/>
      <c r="GJL520" s="1358"/>
      <c r="GJM520" s="1358"/>
      <c r="GJN520" s="1358"/>
      <c r="GJO520" s="1358"/>
      <c r="GJP520" s="1358"/>
      <c r="GJQ520" s="1358"/>
      <c r="GJR520" s="1358"/>
      <c r="GJS520" s="1358"/>
      <c r="GJT520" s="1358"/>
      <c r="GJU520" s="1358"/>
      <c r="GJV520" s="1358"/>
      <c r="GJW520" s="1358"/>
      <c r="GJX520" s="1358"/>
      <c r="GJY520" s="1358"/>
      <c r="GJZ520" s="1358"/>
      <c r="GKA520" s="1358"/>
      <c r="GKB520" s="1358"/>
      <c r="GKC520" s="1358"/>
      <c r="GKD520" s="1358"/>
      <c r="GKE520" s="1358"/>
      <c r="GKF520" s="1358"/>
      <c r="GKG520" s="1358"/>
      <c r="GKH520" s="1358"/>
      <c r="GKI520" s="1358"/>
      <c r="GKJ520" s="1358"/>
      <c r="GKK520" s="1358"/>
      <c r="GKL520" s="1358"/>
      <c r="GKM520" s="1358"/>
      <c r="GKN520" s="1358"/>
      <c r="GKO520" s="1358"/>
      <c r="GKP520" s="1358"/>
      <c r="GKQ520" s="1358"/>
      <c r="GKR520" s="1358"/>
      <c r="GKS520" s="1358"/>
      <c r="GKT520" s="1358"/>
      <c r="GKU520" s="1358"/>
      <c r="GKV520" s="1358"/>
      <c r="GKW520" s="1358"/>
      <c r="GKX520" s="1358"/>
      <c r="GKY520" s="1358"/>
      <c r="GKZ520" s="1358"/>
      <c r="GLA520" s="1358"/>
      <c r="GLB520" s="1358"/>
      <c r="GLC520" s="1358"/>
      <c r="GLD520" s="1358"/>
      <c r="GLE520" s="1358"/>
      <c r="GLF520" s="1358"/>
      <c r="GLG520" s="1358"/>
      <c r="GLH520" s="1358"/>
      <c r="GLI520" s="1358"/>
      <c r="GLJ520" s="1358"/>
      <c r="GLK520" s="1358"/>
      <c r="GLL520" s="1358"/>
      <c r="GLM520" s="1358"/>
      <c r="GLN520" s="1358"/>
      <c r="GLO520" s="1358"/>
      <c r="GLP520" s="1358"/>
      <c r="GLQ520" s="1358"/>
      <c r="GLR520" s="1358"/>
      <c r="GLS520" s="1358"/>
      <c r="GLT520" s="1358"/>
      <c r="GLU520" s="1358"/>
      <c r="GLV520" s="1358"/>
      <c r="GLW520" s="1358"/>
      <c r="GLX520" s="1358"/>
      <c r="GLY520" s="1358"/>
      <c r="GLZ520" s="1358"/>
      <c r="GMA520" s="1358"/>
      <c r="GMB520" s="1358"/>
      <c r="GMC520" s="1358"/>
      <c r="GMD520" s="1358"/>
      <c r="GME520" s="1358"/>
      <c r="GMF520" s="1358"/>
      <c r="GMG520" s="1358"/>
      <c r="GMH520" s="1358"/>
      <c r="GMI520" s="1358"/>
      <c r="GMJ520" s="1358"/>
      <c r="GMK520" s="1358"/>
      <c r="GML520" s="1358"/>
      <c r="GMM520" s="1358"/>
      <c r="GMN520" s="1358"/>
      <c r="GMO520" s="1358"/>
      <c r="GMP520" s="1358"/>
      <c r="GMQ520" s="1358"/>
      <c r="GMR520" s="1358"/>
      <c r="GMS520" s="1358"/>
      <c r="GMT520" s="1358"/>
      <c r="GMU520" s="1358"/>
      <c r="GMV520" s="1358"/>
      <c r="GMW520" s="1358"/>
      <c r="GMX520" s="1358"/>
      <c r="GMY520" s="1358"/>
      <c r="GMZ520" s="1358"/>
      <c r="GNA520" s="1358"/>
      <c r="GNB520" s="1358"/>
      <c r="GNC520" s="1358"/>
      <c r="GND520" s="1358"/>
      <c r="GNE520" s="1358"/>
      <c r="GNF520" s="1358"/>
      <c r="GNG520" s="1358"/>
      <c r="GNH520" s="1358"/>
      <c r="GNI520" s="1358"/>
      <c r="GNJ520" s="1358"/>
      <c r="GNK520" s="1358"/>
      <c r="GNL520" s="1358"/>
      <c r="GNM520" s="1358"/>
      <c r="GNN520" s="1358"/>
      <c r="GNO520" s="1358"/>
      <c r="GNP520" s="1358"/>
      <c r="GNQ520" s="1358"/>
      <c r="GNR520" s="1358"/>
      <c r="GNS520" s="1358"/>
      <c r="GNT520" s="1358"/>
      <c r="GNU520" s="1358"/>
      <c r="GNV520" s="1358"/>
      <c r="GNW520" s="1358"/>
      <c r="GNX520" s="1358"/>
      <c r="GNY520" s="1358"/>
      <c r="GNZ520" s="1358"/>
      <c r="GOA520" s="1358"/>
      <c r="GOB520" s="1358"/>
      <c r="GOC520" s="1358"/>
      <c r="GOD520" s="1358"/>
      <c r="GOE520" s="1358"/>
      <c r="GOF520" s="1358"/>
      <c r="GOG520" s="1358"/>
      <c r="GOH520" s="1358"/>
      <c r="GOI520" s="1358"/>
      <c r="GOJ520" s="1358"/>
      <c r="GOK520" s="1358"/>
      <c r="GOL520" s="1358"/>
      <c r="GOM520" s="1358"/>
      <c r="GON520" s="1358"/>
      <c r="GOO520" s="1358"/>
      <c r="GOP520" s="1358"/>
      <c r="GOQ520" s="1358"/>
      <c r="GOR520" s="1358"/>
      <c r="GOS520" s="1358"/>
      <c r="GOT520" s="1358"/>
      <c r="GOU520" s="1358"/>
      <c r="GOV520" s="1358"/>
      <c r="GOW520" s="1358"/>
      <c r="GOX520" s="1358"/>
      <c r="GOY520" s="1358"/>
      <c r="GOZ520" s="1358"/>
      <c r="GPA520" s="1358"/>
      <c r="GPB520" s="1358"/>
      <c r="GPC520" s="1358"/>
      <c r="GPD520" s="1358"/>
      <c r="GPE520" s="1358"/>
      <c r="GPF520" s="1358"/>
      <c r="GPG520" s="1358"/>
      <c r="GPH520" s="1358"/>
      <c r="GPI520" s="1358"/>
      <c r="GPJ520" s="1358"/>
      <c r="GPK520" s="1358"/>
      <c r="GPL520" s="1358"/>
      <c r="GPM520" s="1358"/>
      <c r="GPN520" s="1358"/>
      <c r="GPO520" s="1358"/>
      <c r="GPP520" s="1358"/>
      <c r="GPQ520" s="1358"/>
      <c r="GPR520" s="1358"/>
      <c r="GPS520" s="1358"/>
      <c r="GPT520" s="1358"/>
      <c r="GPU520" s="1358"/>
      <c r="GPV520" s="1358"/>
      <c r="GPW520" s="1358"/>
      <c r="GPX520" s="1358"/>
      <c r="GPY520" s="1358"/>
      <c r="GPZ520" s="1358"/>
      <c r="GQA520" s="1358"/>
      <c r="GQB520" s="1358"/>
      <c r="GQC520" s="1358"/>
      <c r="GQD520" s="1358"/>
      <c r="GQE520" s="1358"/>
      <c r="GQF520" s="1358"/>
      <c r="GQG520" s="1358"/>
      <c r="GQH520" s="1358"/>
      <c r="GQI520" s="1358"/>
      <c r="GQJ520" s="1358"/>
      <c r="GQK520" s="1358"/>
      <c r="GQL520" s="1358"/>
      <c r="GQM520" s="1358"/>
      <c r="GQN520" s="1358"/>
      <c r="GQO520" s="1358"/>
      <c r="GQP520" s="1358"/>
      <c r="GQQ520" s="1358"/>
      <c r="GQR520" s="1358"/>
      <c r="GQS520" s="1358"/>
      <c r="GQT520" s="1358"/>
      <c r="GQU520" s="1358"/>
      <c r="GQV520" s="1358"/>
      <c r="GQW520" s="1358"/>
      <c r="GQX520" s="1358"/>
      <c r="GQY520" s="1358"/>
      <c r="GQZ520" s="1358"/>
      <c r="GRA520" s="1358"/>
      <c r="GRB520" s="1358"/>
      <c r="GRC520" s="1358"/>
      <c r="GRD520" s="1358"/>
      <c r="GRE520" s="1358"/>
      <c r="GRF520" s="1358"/>
      <c r="GRG520" s="1358"/>
      <c r="GRH520" s="1358"/>
      <c r="GRI520" s="1358"/>
      <c r="GRJ520" s="1358"/>
      <c r="GRK520" s="1358"/>
      <c r="GRL520" s="1358"/>
      <c r="GRM520" s="1358"/>
      <c r="GRN520" s="1358"/>
      <c r="GRO520" s="1358"/>
      <c r="GRP520" s="1358"/>
      <c r="GRQ520" s="1358"/>
      <c r="GRR520" s="1358"/>
      <c r="GRS520" s="1358"/>
      <c r="GRT520" s="1358"/>
      <c r="GRU520" s="1358"/>
      <c r="GRV520" s="1358"/>
      <c r="GRW520" s="1358"/>
      <c r="GRX520" s="1358"/>
      <c r="GRY520" s="1358"/>
      <c r="GRZ520" s="1358"/>
      <c r="GSA520" s="1358"/>
      <c r="GSB520" s="1358"/>
      <c r="GSC520" s="1358"/>
      <c r="GSD520" s="1358"/>
      <c r="GSE520" s="1358"/>
      <c r="GSF520" s="1358"/>
      <c r="GSG520" s="1358"/>
      <c r="GSH520" s="1358"/>
      <c r="GSI520" s="1358"/>
      <c r="GSJ520" s="1358"/>
      <c r="GSK520" s="1358"/>
      <c r="GSL520" s="1358"/>
      <c r="GSM520" s="1358"/>
      <c r="GSN520" s="1358"/>
      <c r="GSO520" s="1358"/>
      <c r="GSP520" s="1358"/>
      <c r="GSQ520" s="1358"/>
      <c r="GSR520" s="1358"/>
      <c r="GSS520" s="1358"/>
      <c r="GST520" s="1358"/>
      <c r="GSU520" s="1358"/>
      <c r="GSV520" s="1358"/>
      <c r="GSW520" s="1358"/>
      <c r="GSX520" s="1358"/>
      <c r="GSY520" s="1358"/>
      <c r="GSZ520" s="1358"/>
      <c r="GTA520" s="1358"/>
      <c r="GTB520" s="1358"/>
      <c r="GTC520" s="1358"/>
      <c r="GTD520" s="1358"/>
      <c r="GTE520" s="1358"/>
      <c r="GTF520" s="1358"/>
      <c r="GTG520" s="1358"/>
      <c r="GTH520" s="1358"/>
      <c r="GTI520" s="1358"/>
      <c r="GTJ520" s="1358"/>
      <c r="GTK520" s="1358"/>
      <c r="GTL520" s="1358"/>
      <c r="GTM520" s="1358"/>
      <c r="GTN520" s="1358"/>
      <c r="GTO520" s="1358"/>
      <c r="GTP520" s="1358"/>
      <c r="GTQ520" s="1358"/>
      <c r="GTR520" s="1358"/>
      <c r="GTS520" s="1358"/>
      <c r="GTT520" s="1358"/>
      <c r="GTU520" s="1358"/>
      <c r="GTV520" s="1358"/>
      <c r="GTW520" s="1358"/>
      <c r="GTX520" s="1358"/>
      <c r="GTY520" s="1358"/>
      <c r="GTZ520" s="1358"/>
      <c r="GUA520" s="1358"/>
      <c r="GUB520" s="1358"/>
      <c r="GUC520" s="1358"/>
      <c r="GUD520" s="1358"/>
      <c r="GUE520" s="1358"/>
      <c r="GUF520" s="1358"/>
      <c r="GUG520" s="1358"/>
      <c r="GUH520" s="1358"/>
      <c r="GUI520" s="1358"/>
      <c r="GUJ520" s="1358"/>
      <c r="GUK520" s="1358"/>
      <c r="GUL520" s="1358"/>
      <c r="GUM520" s="1358"/>
      <c r="GUN520" s="1358"/>
      <c r="GUO520" s="1358"/>
      <c r="GUP520" s="1358"/>
      <c r="GUQ520" s="1358"/>
      <c r="GUR520" s="1358"/>
      <c r="GUS520" s="1358"/>
      <c r="GUT520" s="1358"/>
      <c r="GUU520" s="1358"/>
      <c r="GUV520" s="1358"/>
      <c r="GUW520" s="1358"/>
      <c r="GUX520" s="1358"/>
      <c r="GUY520" s="1358"/>
      <c r="GUZ520" s="1358"/>
      <c r="GVA520" s="1358"/>
      <c r="GVB520" s="1358"/>
      <c r="GVC520" s="1358"/>
      <c r="GVD520" s="1358"/>
      <c r="GVE520" s="1358"/>
      <c r="GVF520" s="1358"/>
      <c r="GVG520" s="1358"/>
      <c r="GVH520" s="1358"/>
      <c r="GVI520" s="1358"/>
      <c r="GVJ520" s="1358"/>
      <c r="GVK520" s="1358"/>
      <c r="GVL520" s="1358"/>
      <c r="GVM520" s="1358"/>
      <c r="GVN520" s="1358"/>
      <c r="GVO520" s="1358"/>
      <c r="GVP520" s="1358"/>
      <c r="GVQ520" s="1358"/>
      <c r="GVR520" s="1358"/>
      <c r="GVS520" s="1358"/>
      <c r="GVT520" s="1358"/>
      <c r="GVU520" s="1358"/>
      <c r="GVV520" s="1358"/>
      <c r="GVW520" s="1358"/>
      <c r="GVX520" s="1358"/>
      <c r="GVY520" s="1358"/>
      <c r="GVZ520" s="1358"/>
      <c r="GWA520" s="1358"/>
      <c r="GWB520" s="1358"/>
      <c r="GWC520" s="1358"/>
      <c r="GWD520" s="1358"/>
      <c r="GWE520" s="1358"/>
      <c r="GWF520" s="1358"/>
      <c r="GWG520" s="1358"/>
      <c r="GWH520" s="1358"/>
      <c r="GWI520" s="1358"/>
      <c r="GWJ520" s="1358"/>
      <c r="GWK520" s="1358"/>
      <c r="GWL520" s="1358"/>
      <c r="GWM520" s="1358"/>
      <c r="GWN520" s="1358"/>
      <c r="GWO520" s="1358"/>
      <c r="GWP520" s="1358"/>
      <c r="GWQ520" s="1358"/>
      <c r="GWR520" s="1358"/>
      <c r="GWS520" s="1358"/>
      <c r="GWT520" s="1358"/>
      <c r="GWU520" s="1358"/>
      <c r="GWV520" s="1358"/>
      <c r="GWW520" s="1358"/>
      <c r="GWX520" s="1358"/>
      <c r="GWY520" s="1358"/>
      <c r="GWZ520" s="1358"/>
      <c r="GXA520" s="1358"/>
      <c r="GXB520" s="1358"/>
      <c r="GXC520" s="1358"/>
      <c r="GXD520" s="1358"/>
      <c r="GXE520" s="1358"/>
      <c r="GXF520" s="1358"/>
      <c r="GXG520" s="1358"/>
      <c r="GXH520" s="1358"/>
      <c r="GXI520" s="1358"/>
      <c r="GXJ520" s="1358"/>
      <c r="GXK520" s="1358"/>
      <c r="GXL520" s="1358"/>
      <c r="GXM520" s="1358"/>
      <c r="GXN520" s="1358"/>
      <c r="GXO520" s="1358"/>
      <c r="GXP520" s="1358"/>
      <c r="GXQ520" s="1358"/>
      <c r="GXR520" s="1358"/>
      <c r="GXS520" s="1358"/>
      <c r="GXT520" s="1358"/>
      <c r="GXU520" s="1358"/>
      <c r="GXV520" s="1358"/>
      <c r="GXW520" s="1358"/>
      <c r="GXX520" s="1358"/>
      <c r="GXY520" s="1358"/>
      <c r="GXZ520" s="1358"/>
      <c r="GYA520" s="1358"/>
      <c r="GYB520" s="1358"/>
      <c r="GYC520" s="1358"/>
      <c r="GYD520" s="1358"/>
      <c r="GYE520" s="1358"/>
      <c r="GYF520" s="1358"/>
      <c r="GYG520" s="1358"/>
      <c r="GYH520" s="1358"/>
      <c r="GYI520" s="1358"/>
      <c r="GYJ520" s="1358"/>
      <c r="GYK520" s="1358"/>
      <c r="GYL520" s="1358"/>
      <c r="GYM520" s="1358"/>
      <c r="GYN520" s="1358"/>
      <c r="GYO520" s="1358"/>
      <c r="GYP520" s="1358"/>
      <c r="GYQ520" s="1358"/>
      <c r="GYR520" s="1358"/>
      <c r="GYS520" s="1358"/>
      <c r="GYT520" s="1358"/>
      <c r="GYU520" s="1358"/>
      <c r="GYV520" s="1358"/>
      <c r="GYW520" s="1358"/>
      <c r="GYX520" s="1358"/>
      <c r="GYY520" s="1358"/>
      <c r="GYZ520" s="1358"/>
      <c r="GZA520" s="1358"/>
      <c r="GZB520" s="1358"/>
      <c r="GZC520" s="1358"/>
      <c r="GZD520" s="1358"/>
      <c r="GZE520" s="1358"/>
      <c r="GZF520" s="1358"/>
      <c r="GZG520" s="1358"/>
      <c r="GZH520" s="1358"/>
      <c r="GZI520" s="1358"/>
      <c r="GZJ520" s="1358"/>
      <c r="GZK520" s="1358"/>
      <c r="GZL520" s="1358"/>
      <c r="GZM520" s="1358"/>
      <c r="GZN520" s="1358"/>
      <c r="GZO520" s="1358"/>
      <c r="GZP520" s="1358"/>
      <c r="GZQ520" s="1358"/>
      <c r="GZR520" s="1358"/>
      <c r="GZS520" s="1358"/>
      <c r="GZT520" s="1358"/>
      <c r="GZU520" s="1358"/>
      <c r="GZV520" s="1358"/>
      <c r="GZW520" s="1358"/>
      <c r="GZX520" s="1358"/>
      <c r="GZY520" s="1358"/>
      <c r="GZZ520" s="1358"/>
      <c r="HAA520" s="1358"/>
      <c r="HAB520" s="1358"/>
      <c r="HAC520" s="1358"/>
      <c r="HAD520" s="1358"/>
      <c r="HAE520" s="1358"/>
      <c r="HAF520" s="1358"/>
      <c r="HAG520" s="1358"/>
      <c r="HAH520" s="1358"/>
      <c r="HAI520" s="1358"/>
      <c r="HAJ520" s="1358"/>
      <c r="HAK520" s="1358"/>
      <c r="HAL520" s="1358"/>
      <c r="HAM520" s="1358"/>
      <c r="HAN520" s="1358"/>
      <c r="HAO520" s="1358"/>
      <c r="HAP520" s="1358"/>
      <c r="HAQ520" s="1358"/>
      <c r="HAR520" s="1358"/>
      <c r="HAS520" s="1358"/>
      <c r="HAT520" s="1358"/>
      <c r="HAU520" s="1358"/>
      <c r="HAV520" s="1358"/>
      <c r="HAW520" s="1358"/>
      <c r="HAX520" s="1358"/>
      <c r="HAY520" s="1358"/>
      <c r="HAZ520" s="1358"/>
      <c r="HBA520" s="1358"/>
      <c r="HBB520" s="1358"/>
      <c r="HBC520" s="1358"/>
      <c r="HBD520" s="1358"/>
      <c r="HBE520" s="1358"/>
      <c r="HBF520" s="1358"/>
      <c r="HBG520" s="1358"/>
      <c r="HBH520" s="1358"/>
      <c r="HBI520" s="1358"/>
      <c r="HBJ520" s="1358"/>
      <c r="HBK520" s="1358"/>
      <c r="HBL520" s="1358"/>
      <c r="HBM520" s="1358"/>
      <c r="HBN520" s="1358"/>
      <c r="HBO520" s="1358"/>
      <c r="HBP520" s="1358"/>
      <c r="HBQ520" s="1358"/>
      <c r="HBR520" s="1358"/>
      <c r="HBS520" s="1358"/>
      <c r="HBT520" s="1358"/>
      <c r="HBU520" s="1358"/>
      <c r="HBV520" s="1358"/>
      <c r="HBW520" s="1358"/>
      <c r="HBX520" s="1358"/>
      <c r="HBY520" s="1358"/>
      <c r="HBZ520" s="1358"/>
      <c r="HCA520" s="1358"/>
      <c r="HCB520" s="1358"/>
      <c r="HCC520" s="1358"/>
      <c r="HCD520" s="1358"/>
      <c r="HCE520" s="1358"/>
      <c r="HCF520" s="1358"/>
      <c r="HCG520" s="1358"/>
      <c r="HCH520" s="1358"/>
      <c r="HCI520" s="1358"/>
      <c r="HCJ520" s="1358"/>
      <c r="HCK520" s="1358"/>
      <c r="HCL520" s="1358"/>
      <c r="HCM520" s="1358"/>
      <c r="HCN520" s="1358"/>
      <c r="HCO520" s="1358"/>
      <c r="HCP520" s="1358"/>
      <c r="HCQ520" s="1358"/>
      <c r="HCR520" s="1358"/>
      <c r="HCS520" s="1358"/>
      <c r="HCT520" s="1358"/>
      <c r="HCU520" s="1358"/>
      <c r="HCV520" s="1358"/>
      <c r="HCW520" s="1358"/>
      <c r="HCX520" s="1358"/>
      <c r="HCY520" s="1358"/>
      <c r="HCZ520" s="1358"/>
      <c r="HDA520" s="1358"/>
      <c r="HDB520" s="1358"/>
      <c r="HDC520" s="1358"/>
      <c r="HDD520" s="1358"/>
      <c r="HDE520" s="1358"/>
      <c r="HDF520" s="1358"/>
      <c r="HDG520" s="1358"/>
      <c r="HDH520" s="1358"/>
      <c r="HDI520" s="1358"/>
      <c r="HDJ520" s="1358"/>
      <c r="HDK520" s="1358"/>
      <c r="HDL520" s="1358"/>
      <c r="HDM520" s="1358"/>
      <c r="HDN520" s="1358"/>
      <c r="HDO520" s="1358"/>
      <c r="HDP520" s="1358"/>
      <c r="HDQ520" s="1358"/>
      <c r="HDR520" s="1358"/>
      <c r="HDS520" s="1358"/>
      <c r="HDT520" s="1358"/>
      <c r="HDU520" s="1358"/>
      <c r="HDV520" s="1358"/>
      <c r="HDW520" s="1358"/>
      <c r="HDX520" s="1358"/>
      <c r="HDY520" s="1358"/>
      <c r="HDZ520" s="1358"/>
      <c r="HEA520" s="1358"/>
      <c r="HEB520" s="1358"/>
      <c r="HEC520" s="1358"/>
      <c r="HED520" s="1358"/>
      <c r="HEE520" s="1358"/>
      <c r="HEF520" s="1358"/>
      <c r="HEG520" s="1358"/>
      <c r="HEH520" s="1358"/>
      <c r="HEI520" s="1358"/>
      <c r="HEJ520" s="1358"/>
      <c r="HEK520" s="1358"/>
      <c r="HEL520" s="1358"/>
      <c r="HEM520" s="1358"/>
      <c r="HEN520" s="1358"/>
      <c r="HEO520" s="1358"/>
      <c r="HEP520" s="1358"/>
      <c r="HEQ520" s="1358"/>
      <c r="HER520" s="1358"/>
      <c r="HES520" s="1358"/>
      <c r="HET520" s="1358"/>
      <c r="HEU520" s="1358"/>
      <c r="HEV520" s="1358"/>
      <c r="HEW520" s="1358"/>
      <c r="HEX520" s="1358"/>
      <c r="HEY520" s="1358"/>
      <c r="HEZ520" s="1358"/>
      <c r="HFA520" s="1358"/>
      <c r="HFB520" s="1358"/>
      <c r="HFC520" s="1358"/>
      <c r="HFD520" s="1358"/>
      <c r="HFE520" s="1358"/>
      <c r="HFF520" s="1358"/>
      <c r="HFG520" s="1358"/>
      <c r="HFH520" s="1358"/>
      <c r="HFI520" s="1358"/>
      <c r="HFJ520" s="1358"/>
      <c r="HFK520" s="1358"/>
      <c r="HFL520" s="1358"/>
      <c r="HFM520" s="1358"/>
      <c r="HFN520" s="1358"/>
      <c r="HFO520" s="1358"/>
      <c r="HFP520" s="1358"/>
      <c r="HFQ520" s="1358"/>
      <c r="HFR520" s="1358"/>
      <c r="HFS520" s="1358"/>
      <c r="HFT520" s="1358"/>
      <c r="HFU520" s="1358"/>
      <c r="HFV520" s="1358"/>
      <c r="HFW520" s="1358"/>
      <c r="HFX520" s="1358"/>
      <c r="HFY520" s="1358"/>
      <c r="HFZ520" s="1358"/>
      <c r="HGA520" s="1358"/>
      <c r="HGB520" s="1358"/>
      <c r="HGC520" s="1358"/>
      <c r="HGD520" s="1358"/>
      <c r="HGE520" s="1358"/>
      <c r="HGF520" s="1358"/>
      <c r="HGG520" s="1358"/>
      <c r="HGH520" s="1358"/>
      <c r="HGI520" s="1358"/>
      <c r="HGJ520" s="1358"/>
      <c r="HGK520" s="1358"/>
      <c r="HGL520" s="1358"/>
      <c r="HGM520" s="1358"/>
      <c r="HGN520" s="1358"/>
      <c r="HGO520" s="1358"/>
      <c r="HGP520" s="1358"/>
      <c r="HGQ520" s="1358"/>
      <c r="HGR520" s="1358"/>
      <c r="HGS520" s="1358"/>
      <c r="HGT520" s="1358"/>
      <c r="HGU520" s="1358"/>
      <c r="HGV520" s="1358"/>
      <c r="HGW520" s="1358"/>
      <c r="HGX520" s="1358"/>
      <c r="HGY520" s="1358"/>
      <c r="HGZ520" s="1358"/>
      <c r="HHA520" s="1358"/>
      <c r="HHB520" s="1358"/>
      <c r="HHC520" s="1358"/>
      <c r="HHD520" s="1358"/>
      <c r="HHE520" s="1358"/>
      <c r="HHF520" s="1358"/>
      <c r="HHG520" s="1358"/>
      <c r="HHH520" s="1358"/>
      <c r="HHI520" s="1358"/>
      <c r="HHJ520" s="1358"/>
      <c r="HHK520" s="1358"/>
      <c r="HHL520" s="1358"/>
      <c r="HHM520" s="1358"/>
      <c r="HHN520" s="1358"/>
      <c r="HHO520" s="1358"/>
      <c r="HHP520" s="1358"/>
      <c r="HHQ520" s="1358"/>
      <c r="HHR520" s="1358"/>
      <c r="HHS520" s="1358"/>
      <c r="HHT520" s="1358"/>
      <c r="HHU520" s="1358"/>
      <c r="HHV520" s="1358"/>
      <c r="HHW520" s="1358"/>
      <c r="HHX520" s="1358"/>
      <c r="HHY520" s="1358"/>
      <c r="HHZ520" s="1358"/>
      <c r="HIA520" s="1358"/>
      <c r="HIB520" s="1358"/>
      <c r="HIC520" s="1358"/>
      <c r="HID520" s="1358"/>
      <c r="HIE520" s="1358"/>
      <c r="HIF520" s="1358"/>
      <c r="HIG520" s="1358"/>
      <c r="HIH520" s="1358"/>
      <c r="HII520" s="1358"/>
      <c r="HIJ520" s="1358"/>
      <c r="HIK520" s="1358"/>
      <c r="HIL520" s="1358"/>
      <c r="HIM520" s="1358"/>
      <c r="HIN520" s="1358"/>
      <c r="HIO520" s="1358"/>
      <c r="HIP520" s="1358"/>
      <c r="HIQ520" s="1358"/>
      <c r="HIR520" s="1358"/>
      <c r="HIS520" s="1358"/>
      <c r="HIT520" s="1358"/>
      <c r="HIU520" s="1358"/>
      <c r="HIV520" s="1358"/>
      <c r="HIW520" s="1358"/>
      <c r="HIX520" s="1358"/>
      <c r="HIY520" s="1358"/>
      <c r="HIZ520" s="1358"/>
      <c r="HJA520" s="1358"/>
      <c r="HJB520" s="1358"/>
      <c r="HJC520" s="1358"/>
      <c r="HJD520" s="1358"/>
      <c r="HJE520" s="1358"/>
      <c r="HJF520" s="1358"/>
      <c r="HJG520" s="1358"/>
      <c r="HJH520" s="1358"/>
      <c r="HJI520" s="1358"/>
      <c r="HJJ520" s="1358"/>
      <c r="HJK520" s="1358"/>
      <c r="HJL520" s="1358"/>
      <c r="HJM520" s="1358"/>
      <c r="HJN520" s="1358"/>
      <c r="HJO520" s="1358"/>
      <c r="HJP520" s="1358"/>
      <c r="HJQ520" s="1358"/>
      <c r="HJR520" s="1358"/>
      <c r="HJS520" s="1358"/>
      <c r="HJT520" s="1358"/>
      <c r="HJU520" s="1358"/>
      <c r="HJV520" s="1358"/>
      <c r="HJW520" s="1358"/>
      <c r="HJX520" s="1358"/>
      <c r="HJY520" s="1358"/>
      <c r="HJZ520" s="1358"/>
      <c r="HKA520" s="1358"/>
      <c r="HKB520" s="1358"/>
      <c r="HKC520" s="1358"/>
      <c r="HKD520" s="1358"/>
      <c r="HKE520" s="1358"/>
      <c r="HKF520" s="1358"/>
      <c r="HKG520" s="1358"/>
      <c r="HKH520" s="1358"/>
      <c r="HKI520" s="1358"/>
      <c r="HKJ520" s="1358"/>
      <c r="HKK520" s="1358"/>
      <c r="HKL520" s="1358"/>
      <c r="HKM520" s="1358"/>
      <c r="HKN520" s="1358"/>
      <c r="HKO520" s="1358"/>
      <c r="HKP520" s="1358"/>
      <c r="HKQ520" s="1358"/>
      <c r="HKR520" s="1358"/>
      <c r="HKS520" s="1358"/>
      <c r="HKT520" s="1358"/>
      <c r="HKU520" s="1358"/>
      <c r="HKV520" s="1358"/>
      <c r="HKW520" s="1358"/>
      <c r="HKX520" s="1358"/>
      <c r="HKY520" s="1358"/>
      <c r="HKZ520" s="1358"/>
      <c r="HLA520" s="1358"/>
      <c r="HLB520" s="1358"/>
      <c r="HLC520" s="1358"/>
      <c r="HLD520" s="1358"/>
      <c r="HLE520" s="1358"/>
      <c r="HLF520" s="1358"/>
      <c r="HLG520" s="1358"/>
      <c r="HLH520" s="1358"/>
      <c r="HLI520" s="1358"/>
      <c r="HLJ520" s="1358"/>
      <c r="HLK520" s="1358"/>
      <c r="HLL520" s="1358"/>
      <c r="HLM520" s="1358"/>
      <c r="HLN520" s="1358"/>
      <c r="HLO520" s="1358"/>
      <c r="HLP520" s="1358"/>
      <c r="HLQ520" s="1358"/>
      <c r="HLR520" s="1358"/>
      <c r="HLS520" s="1358"/>
      <c r="HLT520" s="1358"/>
      <c r="HLU520" s="1358"/>
      <c r="HLV520" s="1358"/>
      <c r="HLW520" s="1358"/>
      <c r="HLX520" s="1358"/>
      <c r="HLY520" s="1358"/>
      <c r="HLZ520" s="1358"/>
      <c r="HMA520" s="1358"/>
      <c r="HMB520" s="1358"/>
      <c r="HMC520" s="1358"/>
      <c r="HMD520" s="1358"/>
      <c r="HME520" s="1358"/>
      <c r="HMF520" s="1358"/>
      <c r="HMG520" s="1358"/>
      <c r="HMH520" s="1358"/>
      <c r="HMI520" s="1358"/>
      <c r="HMJ520" s="1358"/>
      <c r="HMK520" s="1358"/>
      <c r="HML520" s="1358"/>
      <c r="HMM520" s="1358"/>
      <c r="HMN520" s="1358"/>
      <c r="HMO520" s="1358"/>
      <c r="HMP520" s="1358"/>
      <c r="HMQ520" s="1358"/>
      <c r="HMR520" s="1358"/>
      <c r="HMS520" s="1358"/>
      <c r="HMT520" s="1358"/>
      <c r="HMU520" s="1358"/>
      <c r="HMV520" s="1358"/>
      <c r="HMW520" s="1358"/>
      <c r="HMX520" s="1358"/>
      <c r="HMY520" s="1358"/>
      <c r="HMZ520" s="1358"/>
      <c r="HNA520" s="1358"/>
      <c r="HNB520" s="1358"/>
      <c r="HNC520" s="1358"/>
      <c r="HND520" s="1358"/>
      <c r="HNE520" s="1358"/>
      <c r="HNF520" s="1358"/>
      <c r="HNG520" s="1358"/>
      <c r="HNH520" s="1358"/>
      <c r="HNI520" s="1358"/>
      <c r="HNJ520" s="1358"/>
      <c r="HNK520" s="1358"/>
      <c r="HNL520" s="1358"/>
      <c r="HNM520" s="1358"/>
      <c r="HNN520" s="1358"/>
      <c r="HNO520" s="1358"/>
      <c r="HNP520" s="1358"/>
      <c r="HNQ520" s="1358"/>
      <c r="HNR520" s="1358"/>
      <c r="HNS520" s="1358"/>
      <c r="HNT520" s="1358"/>
      <c r="HNU520" s="1358"/>
      <c r="HNV520" s="1358"/>
      <c r="HNW520" s="1358"/>
      <c r="HNX520" s="1358"/>
      <c r="HNY520" s="1358"/>
      <c r="HNZ520" s="1358"/>
      <c r="HOA520" s="1358"/>
      <c r="HOB520" s="1358"/>
      <c r="HOC520" s="1358"/>
      <c r="HOD520" s="1358"/>
      <c r="HOE520" s="1358"/>
      <c r="HOF520" s="1358"/>
      <c r="HOG520" s="1358"/>
      <c r="HOH520" s="1358"/>
      <c r="HOI520" s="1358"/>
      <c r="HOJ520" s="1358"/>
      <c r="HOK520" s="1358"/>
      <c r="HOL520" s="1358"/>
      <c r="HOM520" s="1358"/>
      <c r="HON520" s="1358"/>
      <c r="HOO520" s="1358"/>
      <c r="HOP520" s="1358"/>
      <c r="HOQ520" s="1358"/>
      <c r="HOR520" s="1358"/>
      <c r="HOS520" s="1358"/>
      <c r="HOT520" s="1358"/>
      <c r="HOU520" s="1358"/>
      <c r="HOV520" s="1358"/>
      <c r="HOW520" s="1358"/>
      <c r="HOX520" s="1358"/>
      <c r="HOY520" s="1358"/>
      <c r="HOZ520" s="1358"/>
      <c r="HPA520" s="1358"/>
      <c r="HPB520" s="1358"/>
      <c r="HPC520" s="1358"/>
      <c r="HPD520" s="1358"/>
      <c r="HPE520" s="1358"/>
      <c r="HPF520" s="1358"/>
      <c r="HPG520" s="1358"/>
      <c r="HPH520" s="1358"/>
      <c r="HPI520" s="1358"/>
      <c r="HPJ520" s="1358"/>
      <c r="HPK520" s="1358"/>
      <c r="HPL520" s="1358"/>
      <c r="HPM520" s="1358"/>
      <c r="HPN520" s="1358"/>
      <c r="HPO520" s="1358"/>
      <c r="HPP520" s="1358"/>
      <c r="HPQ520" s="1358"/>
      <c r="HPR520" s="1358"/>
      <c r="HPS520" s="1358"/>
      <c r="HPT520" s="1358"/>
      <c r="HPU520" s="1358"/>
      <c r="HPV520" s="1358"/>
      <c r="HPW520" s="1358"/>
      <c r="HPX520" s="1358"/>
      <c r="HPY520" s="1358"/>
      <c r="HPZ520" s="1358"/>
      <c r="HQA520" s="1358"/>
      <c r="HQB520" s="1358"/>
      <c r="HQC520" s="1358"/>
      <c r="HQD520" s="1358"/>
      <c r="HQE520" s="1358"/>
      <c r="HQF520" s="1358"/>
      <c r="HQG520" s="1358"/>
      <c r="HQH520" s="1358"/>
      <c r="HQI520" s="1358"/>
      <c r="HQJ520" s="1358"/>
      <c r="HQK520" s="1358"/>
      <c r="HQL520" s="1358"/>
      <c r="HQM520" s="1358"/>
      <c r="HQN520" s="1358"/>
      <c r="HQO520" s="1358"/>
      <c r="HQP520" s="1358"/>
      <c r="HQQ520" s="1358"/>
      <c r="HQR520" s="1358"/>
      <c r="HQS520" s="1358"/>
      <c r="HQT520" s="1358"/>
      <c r="HQU520" s="1358"/>
      <c r="HQV520" s="1358"/>
      <c r="HQW520" s="1358"/>
      <c r="HQX520" s="1358"/>
      <c r="HQY520" s="1358"/>
      <c r="HQZ520" s="1358"/>
      <c r="HRA520" s="1358"/>
      <c r="HRB520" s="1358"/>
      <c r="HRC520" s="1358"/>
      <c r="HRD520" s="1358"/>
      <c r="HRE520" s="1358"/>
      <c r="HRF520" s="1358"/>
      <c r="HRG520" s="1358"/>
      <c r="HRH520" s="1358"/>
      <c r="HRI520" s="1358"/>
      <c r="HRJ520" s="1358"/>
      <c r="HRK520" s="1358"/>
      <c r="HRL520" s="1358"/>
      <c r="HRM520" s="1358"/>
      <c r="HRN520" s="1358"/>
      <c r="HRO520" s="1358"/>
      <c r="HRP520" s="1358"/>
      <c r="HRQ520" s="1358"/>
      <c r="HRR520" s="1358"/>
      <c r="HRS520" s="1358"/>
      <c r="HRT520" s="1358"/>
      <c r="HRU520" s="1358"/>
      <c r="HRV520" s="1358"/>
      <c r="HRW520" s="1358"/>
      <c r="HRX520" s="1358"/>
      <c r="HRY520" s="1358"/>
      <c r="HRZ520" s="1358"/>
      <c r="HSA520" s="1358"/>
      <c r="HSB520" s="1358"/>
      <c r="HSC520" s="1358"/>
      <c r="HSD520" s="1358"/>
      <c r="HSE520" s="1358"/>
      <c r="HSF520" s="1358"/>
      <c r="HSG520" s="1358"/>
      <c r="HSH520" s="1358"/>
      <c r="HSI520" s="1358"/>
      <c r="HSJ520" s="1358"/>
      <c r="HSK520" s="1358"/>
      <c r="HSL520" s="1358"/>
      <c r="HSM520" s="1358"/>
      <c r="HSN520" s="1358"/>
      <c r="HSO520" s="1358"/>
      <c r="HSP520" s="1358"/>
      <c r="HSQ520" s="1358"/>
      <c r="HSR520" s="1358"/>
      <c r="HSS520" s="1358"/>
      <c r="HST520" s="1358"/>
      <c r="HSU520" s="1358"/>
      <c r="HSV520" s="1358"/>
      <c r="HSW520" s="1358"/>
      <c r="HSX520" s="1358"/>
      <c r="HSY520" s="1358"/>
      <c r="HSZ520" s="1358"/>
      <c r="HTA520" s="1358"/>
      <c r="HTB520" s="1358"/>
      <c r="HTC520" s="1358"/>
      <c r="HTD520" s="1358"/>
      <c r="HTE520" s="1358"/>
      <c r="HTF520" s="1358"/>
      <c r="HTG520" s="1358"/>
      <c r="HTH520" s="1358"/>
      <c r="HTI520" s="1358"/>
      <c r="HTJ520" s="1358"/>
      <c r="HTK520" s="1358"/>
      <c r="HTL520" s="1358"/>
      <c r="HTM520" s="1358"/>
      <c r="HTN520" s="1358"/>
      <c r="HTO520" s="1358"/>
      <c r="HTP520" s="1358"/>
      <c r="HTQ520" s="1358"/>
      <c r="HTR520" s="1358"/>
      <c r="HTS520" s="1358"/>
      <c r="HTT520" s="1358"/>
      <c r="HTU520" s="1358"/>
      <c r="HTV520" s="1358"/>
      <c r="HTW520" s="1358"/>
      <c r="HTX520" s="1358"/>
      <c r="HTY520" s="1358"/>
      <c r="HTZ520" s="1358"/>
      <c r="HUA520" s="1358"/>
      <c r="HUB520" s="1358"/>
      <c r="HUC520" s="1358"/>
      <c r="HUD520" s="1358"/>
      <c r="HUE520" s="1358"/>
      <c r="HUF520" s="1358"/>
      <c r="HUG520" s="1358"/>
      <c r="HUH520" s="1358"/>
      <c r="HUI520" s="1358"/>
      <c r="HUJ520" s="1358"/>
      <c r="HUK520" s="1358"/>
      <c r="HUL520" s="1358"/>
      <c r="HUM520" s="1358"/>
      <c r="HUN520" s="1358"/>
      <c r="HUO520" s="1358"/>
      <c r="HUP520" s="1358"/>
      <c r="HUQ520" s="1358"/>
      <c r="HUR520" s="1358"/>
      <c r="HUS520" s="1358"/>
      <c r="HUT520" s="1358"/>
      <c r="HUU520" s="1358"/>
      <c r="HUV520" s="1358"/>
      <c r="HUW520" s="1358"/>
      <c r="HUX520" s="1358"/>
      <c r="HUY520" s="1358"/>
      <c r="HUZ520" s="1358"/>
      <c r="HVA520" s="1358"/>
      <c r="HVB520" s="1358"/>
      <c r="HVC520" s="1358"/>
      <c r="HVD520" s="1358"/>
      <c r="HVE520" s="1358"/>
      <c r="HVF520" s="1358"/>
      <c r="HVG520" s="1358"/>
      <c r="HVH520" s="1358"/>
      <c r="HVI520" s="1358"/>
      <c r="HVJ520" s="1358"/>
      <c r="HVK520" s="1358"/>
      <c r="HVL520" s="1358"/>
      <c r="HVM520" s="1358"/>
      <c r="HVN520" s="1358"/>
      <c r="HVO520" s="1358"/>
      <c r="HVP520" s="1358"/>
      <c r="HVQ520" s="1358"/>
      <c r="HVR520" s="1358"/>
      <c r="HVS520" s="1358"/>
      <c r="HVT520" s="1358"/>
      <c r="HVU520" s="1358"/>
      <c r="HVV520" s="1358"/>
      <c r="HVW520" s="1358"/>
      <c r="HVX520" s="1358"/>
      <c r="HVY520" s="1358"/>
      <c r="HVZ520" s="1358"/>
      <c r="HWA520" s="1358"/>
      <c r="HWB520" s="1358"/>
      <c r="HWC520" s="1358"/>
      <c r="HWD520" s="1358"/>
      <c r="HWE520" s="1358"/>
      <c r="HWF520" s="1358"/>
      <c r="HWG520" s="1358"/>
      <c r="HWH520" s="1358"/>
      <c r="HWI520" s="1358"/>
      <c r="HWJ520" s="1358"/>
      <c r="HWK520" s="1358"/>
      <c r="HWL520" s="1358"/>
      <c r="HWM520" s="1358"/>
      <c r="HWN520" s="1358"/>
      <c r="HWO520" s="1358"/>
      <c r="HWP520" s="1358"/>
      <c r="HWQ520" s="1358"/>
      <c r="HWR520" s="1358"/>
      <c r="HWS520" s="1358"/>
      <c r="HWT520" s="1358"/>
      <c r="HWU520" s="1358"/>
      <c r="HWV520" s="1358"/>
      <c r="HWW520" s="1358"/>
      <c r="HWX520" s="1358"/>
      <c r="HWY520" s="1358"/>
      <c r="HWZ520" s="1358"/>
      <c r="HXA520" s="1358"/>
      <c r="HXB520" s="1358"/>
      <c r="HXC520" s="1358"/>
      <c r="HXD520" s="1358"/>
      <c r="HXE520" s="1358"/>
      <c r="HXF520" s="1358"/>
      <c r="HXG520" s="1358"/>
      <c r="HXH520" s="1358"/>
      <c r="HXI520" s="1358"/>
      <c r="HXJ520" s="1358"/>
      <c r="HXK520" s="1358"/>
      <c r="HXL520" s="1358"/>
      <c r="HXM520" s="1358"/>
      <c r="HXN520" s="1358"/>
      <c r="HXO520" s="1358"/>
      <c r="HXP520" s="1358"/>
      <c r="HXQ520" s="1358"/>
      <c r="HXR520" s="1358"/>
      <c r="HXS520" s="1358"/>
      <c r="HXT520" s="1358"/>
      <c r="HXU520" s="1358"/>
      <c r="HXV520" s="1358"/>
      <c r="HXW520" s="1358"/>
      <c r="HXX520" s="1358"/>
      <c r="HXY520" s="1358"/>
      <c r="HXZ520" s="1358"/>
      <c r="HYA520" s="1358"/>
      <c r="HYB520" s="1358"/>
      <c r="HYC520" s="1358"/>
      <c r="HYD520" s="1358"/>
      <c r="HYE520" s="1358"/>
      <c r="HYF520" s="1358"/>
      <c r="HYG520" s="1358"/>
      <c r="HYH520" s="1358"/>
      <c r="HYI520" s="1358"/>
      <c r="HYJ520" s="1358"/>
      <c r="HYK520" s="1358"/>
      <c r="HYL520" s="1358"/>
      <c r="HYM520" s="1358"/>
      <c r="HYN520" s="1358"/>
      <c r="HYO520" s="1358"/>
      <c r="HYP520" s="1358"/>
      <c r="HYQ520" s="1358"/>
      <c r="HYR520" s="1358"/>
      <c r="HYS520" s="1358"/>
      <c r="HYT520" s="1358"/>
      <c r="HYU520" s="1358"/>
      <c r="HYV520" s="1358"/>
      <c r="HYW520" s="1358"/>
      <c r="HYX520" s="1358"/>
      <c r="HYY520" s="1358"/>
      <c r="HYZ520" s="1358"/>
      <c r="HZA520" s="1358"/>
      <c r="HZB520" s="1358"/>
      <c r="HZC520" s="1358"/>
      <c r="HZD520" s="1358"/>
      <c r="HZE520" s="1358"/>
      <c r="HZF520" s="1358"/>
      <c r="HZG520" s="1358"/>
      <c r="HZH520" s="1358"/>
      <c r="HZI520" s="1358"/>
      <c r="HZJ520" s="1358"/>
      <c r="HZK520" s="1358"/>
      <c r="HZL520" s="1358"/>
      <c r="HZM520" s="1358"/>
      <c r="HZN520" s="1358"/>
      <c r="HZO520" s="1358"/>
      <c r="HZP520" s="1358"/>
      <c r="HZQ520" s="1358"/>
      <c r="HZR520" s="1358"/>
      <c r="HZS520" s="1358"/>
      <c r="HZT520" s="1358"/>
      <c r="HZU520" s="1358"/>
      <c r="HZV520" s="1358"/>
      <c r="HZW520" s="1358"/>
      <c r="HZX520" s="1358"/>
      <c r="HZY520" s="1358"/>
      <c r="HZZ520" s="1358"/>
      <c r="IAA520" s="1358"/>
      <c r="IAB520" s="1358"/>
      <c r="IAC520" s="1358"/>
      <c r="IAD520" s="1358"/>
      <c r="IAE520" s="1358"/>
      <c r="IAF520" s="1358"/>
      <c r="IAG520" s="1358"/>
      <c r="IAH520" s="1358"/>
      <c r="IAI520" s="1358"/>
      <c r="IAJ520" s="1358"/>
      <c r="IAK520" s="1358"/>
      <c r="IAL520" s="1358"/>
      <c r="IAM520" s="1358"/>
      <c r="IAN520" s="1358"/>
      <c r="IAO520" s="1358"/>
      <c r="IAP520" s="1358"/>
      <c r="IAQ520" s="1358"/>
      <c r="IAR520" s="1358"/>
      <c r="IAS520" s="1358"/>
      <c r="IAT520" s="1358"/>
      <c r="IAU520" s="1358"/>
      <c r="IAV520" s="1358"/>
      <c r="IAW520" s="1358"/>
      <c r="IAX520" s="1358"/>
      <c r="IAY520" s="1358"/>
      <c r="IAZ520" s="1358"/>
      <c r="IBA520" s="1358"/>
      <c r="IBB520" s="1358"/>
      <c r="IBC520" s="1358"/>
      <c r="IBD520" s="1358"/>
      <c r="IBE520" s="1358"/>
      <c r="IBF520" s="1358"/>
      <c r="IBG520" s="1358"/>
      <c r="IBH520" s="1358"/>
      <c r="IBI520" s="1358"/>
      <c r="IBJ520" s="1358"/>
      <c r="IBK520" s="1358"/>
      <c r="IBL520" s="1358"/>
      <c r="IBM520" s="1358"/>
      <c r="IBN520" s="1358"/>
      <c r="IBO520" s="1358"/>
      <c r="IBP520" s="1358"/>
      <c r="IBQ520" s="1358"/>
      <c r="IBR520" s="1358"/>
      <c r="IBS520" s="1358"/>
      <c r="IBT520" s="1358"/>
      <c r="IBU520" s="1358"/>
      <c r="IBV520" s="1358"/>
      <c r="IBW520" s="1358"/>
      <c r="IBX520" s="1358"/>
      <c r="IBY520" s="1358"/>
      <c r="IBZ520" s="1358"/>
      <c r="ICA520" s="1358"/>
      <c r="ICB520" s="1358"/>
      <c r="ICC520" s="1358"/>
      <c r="ICD520" s="1358"/>
      <c r="ICE520" s="1358"/>
      <c r="ICF520" s="1358"/>
      <c r="ICG520" s="1358"/>
      <c r="ICH520" s="1358"/>
      <c r="ICI520" s="1358"/>
      <c r="ICJ520" s="1358"/>
      <c r="ICK520" s="1358"/>
      <c r="ICL520" s="1358"/>
      <c r="ICM520" s="1358"/>
      <c r="ICN520" s="1358"/>
      <c r="ICO520" s="1358"/>
      <c r="ICP520" s="1358"/>
      <c r="ICQ520" s="1358"/>
      <c r="ICR520" s="1358"/>
      <c r="ICS520" s="1358"/>
      <c r="ICT520" s="1358"/>
      <c r="ICU520" s="1358"/>
      <c r="ICV520" s="1358"/>
      <c r="ICW520" s="1358"/>
      <c r="ICX520" s="1358"/>
      <c r="ICY520" s="1358"/>
      <c r="ICZ520" s="1358"/>
      <c r="IDA520" s="1358"/>
      <c r="IDB520" s="1358"/>
      <c r="IDC520" s="1358"/>
      <c r="IDD520" s="1358"/>
      <c r="IDE520" s="1358"/>
      <c r="IDF520" s="1358"/>
      <c r="IDG520" s="1358"/>
      <c r="IDH520" s="1358"/>
      <c r="IDI520" s="1358"/>
      <c r="IDJ520" s="1358"/>
      <c r="IDK520" s="1358"/>
      <c r="IDL520" s="1358"/>
      <c r="IDM520" s="1358"/>
      <c r="IDN520" s="1358"/>
      <c r="IDO520" s="1358"/>
      <c r="IDP520" s="1358"/>
      <c r="IDQ520" s="1358"/>
      <c r="IDR520" s="1358"/>
      <c r="IDS520" s="1358"/>
      <c r="IDT520" s="1358"/>
      <c r="IDU520" s="1358"/>
      <c r="IDV520" s="1358"/>
      <c r="IDW520" s="1358"/>
      <c r="IDX520" s="1358"/>
      <c r="IDY520" s="1358"/>
      <c r="IDZ520" s="1358"/>
      <c r="IEA520" s="1358"/>
      <c r="IEB520" s="1358"/>
      <c r="IEC520" s="1358"/>
      <c r="IED520" s="1358"/>
      <c r="IEE520" s="1358"/>
      <c r="IEF520" s="1358"/>
      <c r="IEG520" s="1358"/>
      <c r="IEH520" s="1358"/>
      <c r="IEI520" s="1358"/>
      <c r="IEJ520" s="1358"/>
      <c r="IEK520" s="1358"/>
      <c r="IEL520" s="1358"/>
      <c r="IEM520" s="1358"/>
      <c r="IEN520" s="1358"/>
      <c r="IEO520" s="1358"/>
      <c r="IEP520" s="1358"/>
      <c r="IEQ520" s="1358"/>
      <c r="IER520" s="1358"/>
      <c r="IES520" s="1358"/>
      <c r="IET520" s="1358"/>
      <c r="IEU520" s="1358"/>
      <c r="IEV520" s="1358"/>
      <c r="IEW520" s="1358"/>
      <c r="IEX520" s="1358"/>
      <c r="IEY520" s="1358"/>
      <c r="IEZ520" s="1358"/>
      <c r="IFA520" s="1358"/>
      <c r="IFB520" s="1358"/>
      <c r="IFC520" s="1358"/>
      <c r="IFD520" s="1358"/>
      <c r="IFE520" s="1358"/>
      <c r="IFF520" s="1358"/>
      <c r="IFG520" s="1358"/>
      <c r="IFH520" s="1358"/>
      <c r="IFI520" s="1358"/>
      <c r="IFJ520" s="1358"/>
      <c r="IFK520" s="1358"/>
      <c r="IFL520" s="1358"/>
      <c r="IFM520" s="1358"/>
      <c r="IFN520" s="1358"/>
      <c r="IFO520" s="1358"/>
      <c r="IFP520" s="1358"/>
      <c r="IFQ520" s="1358"/>
      <c r="IFR520" s="1358"/>
      <c r="IFS520" s="1358"/>
      <c r="IFT520" s="1358"/>
      <c r="IFU520" s="1358"/>
      <c r="IFV520" s="1358"/>
      <c r="IFW520" s="1358"/>
      <c r="IFX520" s="1358"/>
      <c r="IFY520" s="1358"/>
      <c r="IFZ520" s="1358"/>
      <c r="IGA520" s="1358"/>
      <c r="IGB520" s="1358"/>
      <c r="IGC520" s="1358"/>
      <c r="IGD520" s="1358"/>
      <c r="IGE520" s="1358"/>
      <c r="IGF520" s="1358"/>
      <c r="IGG520" s="1358"/>
      <c r="IGH520" s="1358"/>
      <c r="IGI520" s="1358"/>
      <c r="IGJ520" s="1358"/>
      <c r="IGK520" s="1358"/>
      <c r="IGL520" s="1358"/>
      <c r="IGM520" s="1358"/>
      <c r="IGN520" s="1358"/>
      <c r="IGO520" s="1358"/>
      <c r="IGP520" s="1358"/>
      <c r="IGQ520" s="1358"/>
      <c r="IGR520" s="1358"/>
      <c r="IGS520" s="1358"/>
      <c r="IGT520" s="1358"/>
      <c r="IGU520" s="1358"/>
      <c r="IGV520" s="1358"/>
      <c r="IGW520" s="1358"/>
      <c r="IGX520" s="1358"/>
      <c r="IGY520" s="1358"/>
      <c r="IGZ520" s="1358"/>
      <c r="IHA520" s="1358"/>
      <c r="IHB520" s="1358"/>
      <c r="IHC520" s="1358"/>
      <c r="IHD520" s="1358"/>
      <c r="IHE520" s="1358"/>
      <c r="IHF520" s="1358"/>
      <c r="IHG520" s="1358"/>
      <c r="IHH520" s="1358"/>
      <c r="IHI520" s="1358"/>
      <c r="IHJ520" s="1358"/>
      <c r="IHK520" s="1358"/>
      <c r="IHL520" s="1358"/>
      <c r="IHM520" s="1358"/>
      <c r="IHN520" s="1358"/>
      <c r="IHO520" s="1358"/>
      <c r="IHP520" s="1358"/>
      <c r="IHQ520" s="1358"/>
      <c r="IHR520" s="1358"/>
      <c r="IHS520" s="1358"/>
      <c r="IHT520" s="1358"/>
      <c r="IHU520" s="1358"/>
      <c r="IHV520" s="1358"/>
      <c r="IHW520" s="1358"/>
      <c r="IHX520" s="1358"/>
      <c r="IHY520" s="1358"/>
      <c r="IHZ520" s="1358"/>
      <c r="IIA520" s="1358"/>
      <c r="IIB520" s="1358"/>
      <c r="IIC520" s="1358"/>
      <c r="IID520" s="1358"/>
      <c r="IIE520" s="1358"/>
      <c r="IIF520" s="1358"/>
      <c r="IIG520" s="1358"/>
      <c r="IIH520" s="1358"/>
      <c r="III520" s="1358"/>
      <c r="IIJ520" s="1358"/>
      <c r="IIK520" s="1358"/>
      <c r="IIL520" s="1358"/>
      <c r="IIM520" s="1358"/>
      <c r="IIN520" s="1358"/>
      <c r="IIO520" s="1358"/>
      <c r="IIP520" s="1358"/>
      <c r="IIQ520" s="1358"/>
      <c r="IIR520" s="1358"/>
      <c r="IIS520" s="1358"/>
      <c r="IIT520" s="1358"/>
      <c r="IIU520" s="1358"/>
      <c r="IIV520" s="1358"/>
      <c r="IIW520" s="1358"/>
      <c r="IIX520" s="1358"/>
      <c r="IIY520" s="1358"/>
      <c r="IIZ520" s="1358"/>
      <c r="IJA520" s="1358"/>
      <c r="IJB520" s="1358"/>
      <c r="IJC520" s="1358"/>
      <c r="IJD520" s="1358"/>
      <c r="IJE520" s="1358"/>
      <c r="IJF520" s="1358"/>
      <c r="IJG520" s="1358"/>
      <c r="IJH520" s="1358"/>
      <c r="IJI520" s="1358"/>
      <c r="IJJ520" s="1358"/>
      <c r="IJK520" s="1358"/>
      <c r="IJL520" s="1358"/>
      <c r="IJM520" s="1358"/>
      <c r="IJN520" s="1358"/>
      <c r="IJO520" s="1358"/>
      <c r="IJP520" s="1358"/>
      <c r="IJQ520" s="1358"/>
      <c r="IJR520" s="1358"/>
      <c r="IJS520" s="1358"/>
      <c r="IJT520" s="1358"/>
      <c r="IJU520" s="1358"/>
      <c r="IJV520" s="1358"/>
      <c r="IJW520" s="1358"/>
      <c r="IJX520" s="1358"/>
      <c r="IJY520" s="1358"/>
      <c r="IJZ520" s="1358"/>
      <c r="IKA520" s="1358"/>
      <c r="IKB520" s="1358"/>
      <c r="IKC520" s="1358"/>
      <c r="IKD520" s="1358"/>
      <c r="IKE520" s="1358"/>
      <c r="IKF520" s="1358"/>
      <c r="IKG520" s="1358"/>
      <c r="IKH520" s="1358"/>
      <c r="IKI520" s="1358"/>
      <c r="IKJ520" s="1358"/>
      <c r="IKK520" s="1358"/>
      <c r="IKL520" s="1358"/>
      <c r="IKM520" s="1358"/>
      <c r="IKN520" s="1358"/>
      <c r="IKO520" s="1358"/>
      <c r="IKP520" s="1358"/>
      <c r="IKQ520" s="1358"/>
      <c r="IKR520" s="1358"/>
      <c r="IKS520" s="1358"/>
      <c r="IKT520" s="1358"/>
      <c r="IKU520" s="1358"/>
      <c r="IKV520" s="1358"/>
      <c r="IKW520" s="1358"/>
      <c r="IKX520" s="1358"/>
      <c r="IKY520" s="1358"/>
      <c r="IKZ520" s="1358"/>
      <c r="ILA520" s="1358"/>
      <c r="ILB520" s="1358"/>
      <c r="ILC520" s="1358"/>
      <c r="ILD520" s="1358"/>
      <c r="ILE520" s="1358"/>
      <c r="ILF520" s="1358"/>
      <c r="ILG520" s="1358"/>
      <c r="ILH520" s="1358"/>
      <c r="ILI520" s="1358"/>
      <c r="ILJ520" s="1358"/>
      <c r="ILK520" s="1358"/>
      <c r="ILL520" s="1358"/>
      <c r="ILM520" s="1358"/>
      <c r="ILN520" s="1358"/>
      <c r="ILO520" s="1358"/>
      <c r="ILP520" s="1358"/>
      <c r="ILQ520" s="1358"/>
      <c r="ILR520" s="1358"/>
      <c r="ILS520" s="1358"/>
      <c r="ILT520" s="1358"/>
      <c r="ILU520" s="1358"/>
      <c r="ILV520" s="1358"/>
      <c r="ILW520" s="1358"/>
      <c r="ILX520" s="1358"/>
      <c r="ILY520" s="1358"/>
      <c r="ILZ520" s="1358"/>
      <c r="IMA520" s="1358"/>
      <c r="IMB520" s="1358"/>
      <c r="IMC520" s="1358"/>
      <c r="IMD520" s="1358"/>
      <c r="IME520" s="1358"/>
      <c r="IMF520" s="1358"/>
      <c r="IMG520" s="1358"/>
      <c r="IMH520" s="1358"/>
      <c r="IMI520" s="1358"/>
      <c r="IMJ520" s="1358"/>
      <c r="IMK520" s="1358"/>
      <c r="IML520" s="1358"/>
      <c r="IMM520" s="1358"/>
      <c r="IMN520" s="1358"/>
      <c r="IMO520" s="1358"/>
      <c r="IMP520" s="1358"/>
      <c r="IMQ520" s="1358"/>
      <c r="IMR520" s="1358"/>
      <c r="IMS520" s="1358"/>
      <c r="IMT520" s="1358"/>
      <c r="IMU520" s="1358"/>
      <c r="IMV520" s="1358"/>
      <c r="IMW520" s="1358"/>
      <c r="IMX520" s="1358"/>
      <c r="IMY520" s="1358"/>
      <c r="IMZ520" s="1358"/>
      <c r="INA520" s="1358"/>
      <c r="INB520" s="1358"/>
      <c r="INC520" s="1358"/>
      <c r="IND520" s="1358"/>
      <c r="INE520" s="1358"/>
      <c r="INF520" s="1358"/>
      <c r="ING520" s="1358"/>
      <c r="INH520" s="1358"/>
      <c r="INI520" s="1358"/>
      <c r="INJ520" s="1358"/>
      <c r="INK520" s="1358"/>
      <c r="INL520" s="1358"/>
      <c r="INM520" s="1358"/>
      <c r="INN520" s="1358"/>
      <c r="INO520" s="1358"/>
      <c r="INP520" s="1358"/>
      <c r="INQ520" s="1358"/>
      <c r="INR520" s="1358"/>
      <c r="INS520" s="1358"/>
      <c r="INT520" s="1358"/>
      <c r="INU520" s="1358"/>
      <c r="INV520" s="1358"/>
      <c r="INW520" s="1358"/>
      <c r="INX520" s="1358"/>
      <c r="INY520" s="1358"/>
      <c r="INZ520" s="1358"/>
      <c r="IOA520" s="1358"/>
      <c r="IOB520" s="1358"/>
      <c r="IOC520" s="1358"/>
      <c r="IOD520" s="1358"/>
      <c r="IOE520" s="1358"/>
      <c r="IOF520" s="1358"/>
      <c r="IOG520" s="1358"/>
      <c r="IOH520" s="1358"/>
      <c r="IOI520" s="1358"/>
      <c r="IOJ520" s="1358"/>
      <c r="IOK520" s="1358"/>
      <c r="IOL520" s="1358"/>
      <c r="IOM520" s="1358"/>
      <c r="ION520" s="1358"/>
      <c r="IOO520" s="1358"/>
      <c r="IOP520" s="1358"/>
      <c r="IOQ520" s="1358"/>
      <c r="IOR520" s="1358"/>
      <c r="IOS520" s="1358"/>
      <c r="IOT520" s="1358"/>
      <c r="IOU520" s="1358"/>
      <c r="IOV520" s="1358"/>
      <c r="IOW520" s="1358"/>
      <c r="IOX520" s="1358"/>
      <c r="IOY520" s="1358"/>
      <c r="IOZ520" s="1358"/>
      <c r="IPA520" s="1358"/>
      <c r="IPB520" s="1358"/>
      <c r="IPC520" s="1358"/>
      <c r="IPD520" s="1358"/>
      <c r="IPE520" s="1358"/>
      <c r="IPF520" s="1358"/>
      <c r="IPG520" s="1358"/>
      <c r="IPH520" s="1358"/>
      <c r="IPI520" s="1358"/>
      <c r="IPJ520" s="1358"/>
      <c r="IPK520" s="1358"/>
      <c r="IPL520" s="1358"/>
      <c r="IPM520" s="1358"/>
      <c r="IPN520" s="1358"/>
      <c r="IPO520" s="1358"/>
      <c r="IPP520" s="1358"/>
      <c r="IPQ520" s="1358"/>
      <c r="IPR520" s="1358"/>
      <c r="IPS520" s="1358"/>
      <c r="IPT520" s="1358"/>
      <c r="IPU520" s="1358"/>
      <c r="IPV520" s="1358"/>
      <c r="IPW520" s="1358"/>
      <c r="IPX520" s="1358"/>
      <c r="IPY520" s="1358"/>
      <c r="IPZ520" s="1358"/>
      <c r="IQA520" s="1358"/>
      <c r="IQB520" s="1358"/>
      <c r="IQC520" s="1358"/>
      <c r="IQD520" s="1358"/>
      <c r="IQE520" s="1358"/>
      <c r="IQF520" s="1358"/>
      <c r="IQG520" s="1358"/>
      <c r="IQH520" s="1358"/>
      <c r="IQI520" s="1358"/>
      <c r="IQJ520" s="1358"/>
      <c r="IQK520" s="1358"/>
      <c r="IQL520" s="1358"/>
      <c r="IQM520" s="1358"/>
      <c r="IQN520" s="1358"/>
      <c r="IQO520" s="1358"/>
      <c r="IQP520" s="1358"/>
      <c r="IQQ520" s="1358"/>
      <c r="IQR520" s="1358"/>
      <c r="IQS520" s="1358"/>
      <c r="IQT520" s="1358"/>
      <c r="IQU520" s="1358"/>
      <c r="IQV520" s="1358"/>
      <c r="IQW520" s="1358"/>
      <c r="IQX520" s="1358"/>
      <c r="IQY520" s="1358"/>
      <c r="IQZ520" s="1358"/>
      <c r="IRA520" s="1358"/>
      <c r="IRB520" s="1358"/>
      <c r="IRC520" s="1358"/>
      <c r="IRD520" s="1358"/>
      <c r="IRE520" s="1358"/>
      <c r="IRF520" s="1358"/>
      <c r="IRG520" s="1358"/>
      <c r="IRH520" s="1358"/>
      <c r="IRI520" s="1358"/>
      <c r="IRJ520" s="1358"/>
      <c r="IRK520" s="1358"/>
      <c r="IRL520" s="1358"/>
      <c r="IRM520" s="1358"/>
      <c r="IRN520" s="1358"/>
      <c r="IRO520" s="1358"/>
      <c r="IRP520" s="1358"/>
      <c r="IRQ520" s="1358"/>
      <c r="IRR520" s="1358"/>
      <c r="IRS520" s="1358"/>
      <c r="IRT520" s="1358"/>
      <c r="IRU520" s="1358"/>
      <c r="IRV520" s="1358"/>
      <c r="IRW520" s="1358"/>
      <c r="IRX520" s="1358"/>
      <c r="IRY520" s="1358"/>
      <c r="IRZ520" s="1358"/>
      <c r="ISA520" s="1358"/>
      <c r="ISB520" s="1358"/>
      <c r="ISC520" s="1358"/>
      <c r="ISD520" s="1358"/>
      <c r="ISE520" s="1358"/>
      <c r="ISF520" s="1358"/>
      <c r="ISG520" s="1358"/>
      <c r="ISH520" s="1358"/>
      <c r="ISI520" s="1358"/>
      <c r="ISJ520" s="1358"/>
      <c r="ISK520" s="1358"/>
      <c r="ISL520" s="1358"/>
      <c r="ISM520" s="1358"/>
      <c r="ISN520" s="1358"/>
      <c r="ISO520" s="1358"/>
      <c r="ISP520" s="1358"/>
      <c r="ISQ520" s="1358"/>
      <c r="ISR520" s="1358"/>
      <c r="ISS520" s="1358"/>
      <c r="IST520" s="1358"/>
      <c r="ISU520" s="1358"/>
      <c r="ISV520" s="1358"/>
      <c r="ISW520" s="1358"/>
      <c r="ISX520" s="1358"/>
      <c r="ISY520" s="1358"/>
      <c r="ISZ520" s="1358"/>
      <c r="ITA520" s="1358"/>
      <c r="ITB520" s="1358"/>
      <c r="ITC520" s="1358"/>
      <c r="ITD520" s="1358"/>
      <c r="ITE520" s="1358"/>
      <c r="ITF520" s="1358"/>
      <c r="ITG520" s="1358"/>
      <c r="ITH520" s="1358"/>
      <c r="ITI520" s="1358"/>
      <c r="ITJ520" s="1358"/>
      <c r="ITK520" s="1358"/>
      <c r="ITL520" s="1358"/>
      <c r="ITM520" s="1358"/>
      <c r="ITN520" s="1358"/>
      <c r="ITO520" s="1358"/>
      <c r="ITP520" s="1358"/>
      <c r="ITQ520" s="1358"/>
      <c r="ITR520" s="1358"/>
      <c r="ITS520" s="1358"/>
      <c r="ITT520" s="1358"/>
      <c r="ITU520" s="1358"/>
      <c r="ITV520" s="1358"/>
      <c r="ITW520" s="1358"/>
      <c r="ITX520" s="1358"/>
      <c r="ITY520" s="1358"/>
      <c r="ITZ520" s="1358"/>
      <c r="IUA520" s="1358"/>
      <c r="IUB520" s="1358"/>
      <c r="IUC520" s="1358"/>
      <c r="IUD520" s="1358"/>
      <c r="IUE520" s="1358"/>
      <c r="IUF520" s="1358"/>
      <c r="IUG520" s="1358"/>
      <c r="IUH520" s="1358"/>
      <c r="IUI520" s="1358"/>
      <c r="IUJ520" s="1358"/>
      <c r="IUK520" s="1358"/>
      <c r="IUL520" s="1358"/>
      <c r="IUM520" s="1358"/>
      <c r="IUN520" s="1358"/>
      <c r="IUO520" s="1358"/>
      <c r="IUP520" s="1358"/>
      <c r="IUQ520" s="1358"/>
      <c r="IUR520" s="1358"/>
      <c r="IUS520" s="1358"/>
      <c r="IUT520" s="1358"/>
      <c r="IUU520" s="1358"/>
      <c r="IUV520" s="1358"/>
      <c r="IUW520" s="1358"/>
      <c r="IUX520" s="1358"/>
      <c r="IUY520" s="1358"/>
      <c r="IUZ520" s="1358"/>
      <c r="IVA520" s="1358"/>
      <c r="IVB520" s="1358"/>
      <c r="IVC520" s="1358"/>
      <c r="IVD520" s="1358"/>
      <c r="IVE520" s="1358"/>
      <c r="IVF520" s="1358"/>
      <c r="IVG520" s="1358"/>
      <c r="IVH520" s="1358"/>
      <c r="IVI520" s="1358"/>
      <c r="IVJ520" s="1358"/>
      <c r="IVK520" s="1358"/>
      <c r="IVL520" s="1358"/>
      <c r="IVM520" s="1358"/>
      <c r="IVN520" s="1358"/>
      <c r="IVO520" s="1358"/>
      <c r="IVP520" s="1358"/>
      <c r="IVQ520" s="1358"/>
      <c r="IVR520" s="1358"/>
      <c r="IVS520" s="1358"/>
      <c r="IVT520" s="1358"/>
      <c r="IVU520" s="1358"/>
      <c r="IVV520" s="1358"/>
      <c r="IVW520" s="1358"/>
      <c r="IVX520" s="1358"/>
      <c r="IVY520" s="1358"/>
      <c r="IVZ520" s="1358"/>
      <c r="IWA520" s="1358"/>
      <c r="IWB520" s="1358"/>
      <c r="IWC520" s="1358"/>
      <c r="IWD520" s="1358"/>
      <c r="IWE520" s="1358"/>
      <c r="IWF520" s="1358"/>
      <c r="IWG520" s="1358"/>
      <c r="IWH520" s="1358"/>
      <c r="IWI520" s="1358"/>
      <c r="IWJ520" s="1358"/>
      <c r="IWK520" s="1358"/>
      <c r="IWL520" s="1358"/>
      <c r="IWM520" s="1358"/>
      <c r="IWN520" s="1358"/>
      <c r="IWO520" s="1358"/>
      <c r="IWP520" s="1358"/>
      <c r="IWQ520" s="1358"/>
      <c r="IWR520" s="1358"/>
      <c r="IWS520" s="1358"/>
      <c r="IWT520" s="1358"/>
      <c r="IWU520" s="1358"/>
      <c r="IWV520" s="1358"/>
      <c r="IWW520" s="1358"/>
      <c r="IWX520" s="1358"/>
      <c r="IWY520" s="1358"/>
      <c r="IWZ520" s="1358"/>
      <c r="IXA520" s="1358"/>
      <c r="IXB520" s="1358"/>
      <c r="IXC520" s="1358"/>
      <c r="IXD520" s="1358"/>
      <c r="IXE520" s="1358"/>
      <c r="IXF520" s="1358"/>
      <c r="IXG520" s="1358"/>
      <c r="IXH520" s="1358"/>
      <c r="IXI520" s="1358"/>
      <c r="IXJ520" s="1358"/>
      <c r="IXK520" s="1358"/>
      <c r="IXL520" s="1358"/>
      <c r="IXM520" s="1358"/>
      <c r="IXN520" s="1358"/>
      <c r="IXO520" s="1358"/>
      <c r="IXP520" s="1358"/>
      <c r="IXQ520" s="1358"/>
      <c r="IXR520" s="1358"/>
      <c r="IXS520" s="1358"/>
      <c r="IXT520" s="1358"/>
      <c r="IXU520" s="1358"/>
      <c r="IXV520" s="1358"/>
      <c r="IXW520" s="1358"/>
      <c r="IXX520" s="1358"/>
      <c r="IXY520" s="1358"/>
      <c r="IXZ520" s="1358"/>
      <c r="IYA520" s="1358"/>
      <c r="IYB520" s="1358"/>
      <c r="IYC520" s="1358"/>
      <c r="IYD520" s="1358"/>
      <c r="IYE520" s="1358"/>
      <c r="IYF520" s="1358"/>
      <c r="IYG520" s="1358"/>
      <c r="IYH520" s="1358"/>
      <c r="IYI520" s="1358"/>
      <c r="IYJ520" s="1358"/>
      <c r="IYK520" s="1358"/>
      <c r="IYL520" s="1358"/>
      <c r="IYM520" s="1358"/>
      <c r="IYN520" s="1358"/>
      <c r="IYO520" s="1358"/>
      <c r="IYP520" s="1358"/>
      <c r="IYQ520" s="1358"/>
      <c r="IYR520" s="1358"/>
      <c r="IYS520" s="1358"/>
      <c r="IYT520" s="1358"/>
      <c r="IYU520" s="1358"/>
      <c r="IYV520" s="1358"/>
      <c r="IYW520" s="1358"/>
      <c r="IYX520" s="1358"/>
      <c r="IYY520" s="1358"/>
      <c r="IYZ520" s="1358"/>
      <c r="IZA520" s="1358"/>
      <c r="IZB520" s="1358"/>
      <c r="IZC520" s="1358"/>
      <c r="IZD520" s="1358"/>
      <c r="IZE520" s="1358"/>
      <c r="IZF520" s="1358"/>
      <c r="IZG520" s="1358"/>
      <c r="IZH520" s="1358"/>
      <c r="IZI520" s="1358"/>
      <c r="IZJ520" s="1358"/>
      <c r="IZK520" s="1358"/>
      <c r="IZL520" s="1358"/>
      <c r="IZM520" s="1358"/>
      <c r="IZN520" s="1358"/>
      <c r="IZO520" s="1358"/>
      <c r="IZP520" s="1358"/>
      <c r="IZQ520" s="1358"/>
      <c r="IZR520" s="1358"/>
      <c r="IZS520" s="1358"/>
      <c r="IZT520" s="1358"/>
      <c r="IZU520" s="1358"/>
      <c r="IZV520" s="1358"/>
      <c r="IZW520" s="1358"/>
      <c r="IZX520" s="1358"/>
      <c r="IZY520" s="1358"/>
      <c r="IZZ520" s="1358"/>
      <c r="JAA520" s="1358"/>
      <c r="JAB520" s="1358"/>
      <c r="JAC520" s="1358"/>
      <c r="JAD520" s="1358"/>
      <c r="JAE520" s="1358"/>
      <c r="JAF520" s="1358"/>
      <c r="JAG520" s="1358"/>
      <c r="JAH520" s="1358"/>
      <c r="JAI520" s="1358"/>
      <c r="JAJ520" s="1358"/>
      <c r="JAK520" s="1358"/>
      <c r="JAL520" s="1358"/>
      <c r="JAM520" s="1358"/>
      <c r="JAN520" s="1358"/>
      <c r="JAO520" s="1358"/>
      <c r="JAP520" s="1358"/>
      <c r="JAQ520" s="1358"/>
      <c r="JAR520" s="1358"/>
      <c r="JAS520" s="1358"/>
      <c r="JAT520" s="1358"/>
      <c r="JAU520" s="1358"/>
      <c r="JAV520" s="1358"/>
      <c r="JAW520" s="1358"/>
      <c r="JAX520" s="1358"/>
      <c r="JAY520" s="1358"/>
      <c r="JAZ520" s="1358"/>
      <c r="JBA520" s="1358"/>
      <c r="JBB520" s="1358"/>
      <c r="JBC520" s="1358"/>
      <c r="JBD520" s="1358"/>
      <c r="JBE520" s="1358"/>
      <c r="JBF520" s="1358"/>
      <c r="JBG520" s="1358"/>
      <c r="JBH520" s="1358"/>
      <c r="JBI520" s="1358"/>
      <c r="JBJ520" s="1358"/>
      <c r="JBK520" s="1358"/>
      <c r="JBL520" s="1358"/>
      <c r="JBM520" s="1358"/>
      <c r="JBN520" s="1358"/>
      <c r="JBO520" s="1358"/>
      <c r="JBP520" s="1358"/>
      <c r="JBQ520" s="1358"/>
      <c r="JBR520" s="1358"/>
      <c r="JBS520" s="1358"/>
      <c r="JBT520" s="1358"/>
      <c r="JBU520" s="1358"/>
      <c r="JBV520" s="1358"/>
      <c r="JBW520" s="1358"/>
      <c r="JBX520" s="1358"/>
      <c r="JBY520" s="1358"/>
      <c r="JBZ520" s="1358"/>
      <c r="JCA520" s="1358"/>
      <c r="JCB520" s="1358"/>
      <c r="JCC520" s="1358"/>
      <c r="JCD520" s="1358"/>
      <c r="JCE520" s="1358"/>
      <c r="JCF520" s="1358"/>
      <c r="JCG520" s="1358"/>
      <c r="JCH520" s="1358"/>
      <c r="JCI520" s="1358"/>
      <c r="JCJ520" s="1358"/>
      <c r="JCK520" s="1358"/>
      <c r="JCL520" s="1358"/>
      <c r="JCM520" s="1358"/>
      <c r="JCN520" s="1358"/>
      <c r="JCO520" s="1358"/>
      <c r="JCP520" s="1358"/>
      <c r="JCQ520" s="1358"/>
      <c r="JCR520" s="1358"/>
      <c r="JCS520" s="1358"/>
      <c r="JCT520" s="1358"/>
      <c r="JCU520" s="1358"/>
      <c r="JCV520" s="1358"/>
      <c r="JCW520" s="1358"/>
      <c r="JCX520" s="1358"/>
      <c r="JCY520" s="1358"/>
      <c r="JCZ520" s="1358"/>
      <c r="JDA520" s="1358"/>
      <c r="JDB520" s="1358"/>
      <c r="JDC520" s="1358"/>
      <c r="JDD520" s="1358"/>
      <c r="JDE520" s="1358"/>
      <c r="JDF520" s="1358"/>
      <c r="JDG520" s="1358"/>
      <c r="JDH520" s="1358"/>
      <c r="JDI520" s="1358"/>
      <c r="JDJ520" s="1358"/>
      <c r="JDK520" s="1358"/>
      <c r="JDL520" s="1358"/>
      <c r="JDM520" s="1358"/>
      <c r="JDN520" s="1358"/>
      <c r="JDO520" s="1358"/>
      <c r="JDP520" s="1358"/>
      <c r="JDQ520" s="1358"/>
      <c r="JDR520" s="1358"/>
      <c r="JDS520" s="1358"/>
      <c r="JDT520" s="1358"/>
      <c r="JDU520" s="1358"/>
      <c r="JDV520" s="1358"/>
      <c r="JDW520" s="1358"/>
      <c r="JDX520" s="1358"/>
      <c r="JDY520" s="1358"/>
      <c r="JDZ520" s="1358"/>
      <c r="JEA520" s="1358"/>
      <c r="JEB520" s="1358"/>
      <c r="JEC520" s="1358"/>
      <c r="JED520" s="1358"/>
      <c r="JEE520" s="1358"/>
      <c r="JEF520" s="1358"/>
      <c r="JEG520" s="1358"/>
      <c r="JEH520" s="1358"/>
      <c r="JEI520" s="1358"/>
      <c r="JEJ520" s="1358"/>
      <c r="JEK520" s="1358"/>
      <c r="JEL520" s="1358"/>
      <c r="JEM520" s="1358"/>
      <c r="JEN520" s="1358"/>
      <c r="JEO520" s="1358"/>
      <c r="JEP520" s="1358"/>
      <c r="JEQ520" s="1358"/>
      <c r="JER520" s="1358"/>
      <c r="JES520" s="1358"/>
      <c r="JET520" s="1358"/>
      <c r="JEU520" s="1358"/>
      <c r="JEV520" s="1358"/>
      <c r="JEW520" s="1358"/>
      <c r="JEX520" s="1358"/>
      <c r="JEY520" s="1358"/>
      <c r="JEZ520" s="1358"/>
      <c r="JFA520" s="1358"/>
      <c r="JFB520" s="1358"/>
      <c r="JFC520" s="1358"/>
      <c r="JFD520" s="1358"/>
      <c r="JFE520" s="1358"/>
      <c r="JFF520" s="1358"/>
      <c r="JFG520" s="1358"/>
      <c r="JFH520" s="1358"/>
      <c r="JFI520" s="1358"/>
      <c r="JFJ520" s="1358"/>
      <c r="JFK520" s="1358"/>
      <c r="JFL520" s="1358"/>
      <c r="JFM520" s="1358"/>
      <c r="JFN520" s="1358"/>
      <c r="JFO520" s="1358"/>
      <c r="JFP520" s="1358"/>
      <c r="JFQ520" s="1358"/>
      <c r="JFR520" s="1358"/>
      <c r="JFS520" s="1358"/>
      <c r="JFT520" s="1358"/>
      <c r="JFU520" s="1358"/>
      <c r="JFV520" s="1358"/>
      <c r="JFW520" s="1358"/>
      <c r="JFX520" s="1358"/>
      <c r="JFY520" s="1358"/>
      <c r="JFZ520" s="1358"/>
      <c r="JGA520" s="1358"/>
      <c r="JGB520" s="1358"/>
      <c r="JGC520" s="1358"/>
      <c r="JGD520" s="1358"/>
      <c r="JGE520" s="1358"/>
      <c r="JGF520" s="1358"/>
      <c r="JGG520" s="1358"/>
      <c r="JGH520" s="1358"/>
      <c r="JGI520" s="1358"/>
      <c r="JGJ520" s="1358"/>
      <c r="JGK520" s="1358"/>
      <c r="JGL520" s="1358"/>
      <c r="JGM520" s="1358"/>
      <c r="JGN520" s="1358"/>
      <c r="JGO520" s="1358"/>
      <c r="JGP520" s="1358"/>
      <c r="JGQ520" s="1358"/>
      <c r="JGR520" s="1358"/>
      <c r="JGS520" s="1358"/>
      <c r="JGT520" s="1358"/>
      <c r="JGU520" s="1358"/>
      <c r="JGV520" s="1358"/>
      <c r="JGW520" s="1358"/>
      <c r="JGX520" s="1358"/>
      <c r="JGY520" s="1358"/>
      <c r="JGZ520" s="1358"/>
      <c r="JHA520" s="1358"/>
      <c r="JHB520" s="1358"/>
      <c r="JHC520" s="1358"/>
      <c r="JHD520" s="1358"/>
      <c r="JHE520" s="1358"/>
      <c r="JHF520" s="1358"/>
      <c r="JHG520" s="1358"/>
      <c r="JHH520" s="1358"/>
      <c r="JHI520" s="1358"/>
      <c r="JHJ520" s="1358"/>
      <c r="JHK520" s="1358"/>
      <c r="JHL520" s="1358"/>
      <c r="JHM520" s="1358"/>
      <c r="JHN520" s="1358"/>
      <c r="JHO520" s="1358"/>
      <c r="JHP520" s="1358"/>
      <c r="JHQ520" s="1358"/>
      <c r="JHR520" s="1358"/>
      <c r="JHS520" s="1358"/>
      <c r="JHT520" s="1358"/>
      <c r="JHU520" s="1358"/>
      <c r="JHV520" s="1358"/>
      <c r="JHW520" s="1358"/>
      <c r="JHX520" s="1358"/>
      <c r="JHY520" s="1358"/>
      <c r="JHZ520" s="1358"/>
      <c r="JIA520" s="1358"/>
      <c r="JIB520" s="1358"/>
      <c r="JIC520" s="1358"/>
      <c r="JID520" s="1358"/>
      <c r="JIE520" s="1358"/>
      <c r="JIF520" s="1358"/>
      <c r="JIG520" s="1358"/>
      <c r="JIH520" s="1358"/>
      <c r="JII520" s="1358"/>
      <c r="JIJ520" s="1358"/>
      <c r="JIK520" s="1358"/>
      <c r="JIL520" s="1358"/>
      <c r="JIM520" s="1358"/>
      <c r="JIN520" s="1358"/>
      <c r="JIO520" s="1358"/>
      <c r="JIP520" s="1358"/>
      <c r="JIQ520" s="1358"/>
      <c r="JIR520" s="1358"/>
      <c r="JIS520" s="1358"/>
      <c r="JIT520" s="1358"/>
      <c r="JIU520" s="1358"/>
      <c r="JIV520" s="1358"/>
      <c r="JIW520" s="1358"/>
      <c r="JIX520" s="1358"/>
      <c r="JIY520" s="1358"/>
      <c r="JIZ520" s="1358"/>
      <c r="JJA520" s="1358"/>
      <c r="JJB520" s="1358"/>
      <c r="JJC520" s="1358"/>
      <c r="JJD520" s="1358"/>
      <c r="JJE520" s="1358"/>
      <c r="JJF520" s="1358"/>
      <c r="JJG520" s="1358"/>
      <c r="JJH520" s="1358"/>
      <c r="JJI520" s="1358"/>
      <c r="JJJ520" s="1358"/>
      <c r="JJK520" s="1358"/>
      <c r="JJL520" s="1358"/>
      <c r="JJM520" s="1358"/>
      <c r="JJN520" s="1358"/>
      <c r="JJO520" s="1358"/>
      <c r="JJP520" s="1358"/>
      <c r="JJQ520" s="1358"/>
      <c r="JJR520" s="1358"/>
      <c r="JJS520" s="1358"/>
      <c r="JJT520" s="1358"/>
      <c r="JJU520" s="1358"/>
      <c r="JJV520" s="1358"/>
      <c r="JJW520" s="1358"/>
      <c r="JJX520" s="1358"/>
      <c r="JJY520" s="1358"/>
      <c r="JJZ520" s="1358"/>
      <c r="JKA520" s="1358"/>
      <c r="JKB520" s="1358"/>
      <c r="JKC520" s="1358"/>
      <c r="JKD520" s="1358"/>
      <c r="JKE520" s="1358"/>
      <c r="JKF520" s="1358"/>
      <c r="JKG520" s="1358"/>
      <c r="JKH520" s="1358"/>
      <c r="JKI520" s="1358"/>
      <c r="JKJ520" s="1358"/>
      <c r="JKK520" s="1358"/>
      <c r="JKL520" s="1358"/>
      <c r="JKM520" s="1358"/>
      <c r="JKN520" s="1358"/>
      <c r="JKO520" s="1358"/>
      <c r="JKP520" s="1358"/>
      <c r="JKQ520" s="1358"/>
      <c r="JKR520" s="1358"/>
      <c r="JKS520" s="1358"/>
      <c r="JKT520" s="1358"/>
      <c r="JKU520" s="1358"/>
      <c r="JKV520" s="1358"/>
      <c r="JKW520" s="1358"/>
      <c r="JKX520" s="1358"/>
      <c r="JKY520" s="1358"/>
      <c r="JKZ520" s="1358"/>
      <c r="JLA520" s="1358"/>
      <c r="JLB520" s="1358"/>
      <c r="JLC520" s="1358"/>
      <c r="JLD520" s="1358"/>
      <c r="JLE520" s="1358"/>
      <c r="JLF520" s="1358"/>
      <c r="JLG520" s="1358"/>
      <c r="JLH520" s="1358"/>
      <c r="JLI520" s="1358"/>
      <c r="JLJ520" s="1358"/>
      <c r="JLK520" s="1358"/>
      <c r="JLL520" s="1358"/>
      <c r="JLM520" s="1358"/>
      <c r="JLN520" s="1358"/>
      <c r="JLO520" s="1358"/>
      <c r="JLP520" s="1358"/>
      <c r="JLQ520" s="1358"/>
      <c r="JLR520" s="1358"/>
      <c r="JLS520" s="1358"/>
      <c r="JLT520" s="1358"/>
      <c r="JLU520" s="1358"/>
      <c r="JLV520" s="1358"/>
      <c r="JLW520" s="1358"/>
      <c r="JLX520" s="1358"/>
      <c r="JLY520" s="1358"/>
      <c r="JLZ520" s="1358"/>
      <c r="JMA520" s="1358"/>
      <c r="JMB520" s="1358"/>
      <c r="JMC520" s="1358"/>
      <c r="JMD520" s="1358"/>
      <c r="JME520" s="1358"/>
      <c r="JMF520" s="1358"/>
      <c r="JMG520" s="1358"/>
      <c r="JMH520" s="1358"/>
      <c r="JMI520" s="1358"/>
      <c r="JMJ520" s="1358"/>
      <c r="JMK520" s="1358"/>
      <c r="JML520" s="1358"/>
      <c r="JMM520" s="1358"/>
      <c r="JMN520" s="1358"/>
      <c r="JMO520" s="1358"/>
      <c r="JMP520" s="1358"/>
      <c r="JMQ520" s="1358"/>
      <c r="JMR520" s="1358"/>
      <c r="JMS520" s="1358"/>
      <c r="JMT520" s="1358"/>
      <c r="JMU520" s="1358"/>
      <c r="JMV520" s="1358"/>
      <c r="JMW520" s="1358"/>
      <c r="JMX520" s="1358"/>
      <c r="JMY520" s="1358"/>
      <c r="JMZ520" s="1358"/>
      <c r="JNA520" s="1358"/>
      <c r="JNB520" s="1358"/>
      <c r="JNC520" s="1358"/>
      <c r="JND520" s="1358"/>
      <c r="JNE520" s="1358"/>
      <c r="JNF520" s="1358"/>
      <c r="JNG520" s="1358"/>
      <c r="JNH520" s="1358"/>
      <c r="JNI520" s="1358"/>
      <c r="JNJ520" s="1358"/>
      <c r="JNK520" s="1358"/>
      <c r="JNL520" s="1358"/>
      <c r="JNM520" s="1358"/>
      <c r="JNN520" s="1358"/>
      <c r="JNO520" s="1358"/>
      <c r="JNP520" s="1358"/>
      <c r="JNQ520" s="1358"/>
      <c r="JNR520" s="1358"/>
      <c r="JNS520" s="1358"/>
      <c r="JNT520" s="1358"/>
      <c r="JNU520" s="1358"/>
      <c r="JNV520" s="1358"/>
      <c r="JNW520" s="1358"/>
      <c r="JNX520" s="1358"/>
      <c r="JNY520" s="1358"/>
      <c r="JNZ520" s="1358"/>
      <c r="JOA520" s="1358"/>
      <c r="JOB520" s="1358"/>
      <c r="JOC520" s="1358"/>
      <c r="JOD520" s="1358"/>
      <c r="JOE520" s="1358"/>
      <c r="JOF520" s="1358"/>
      <c r="JOG520" s="1358"/>
      <c r="JOH520" s="1358"/>
      <c r="JOI520" s="1358"/>
      <c r="JOJ520" s="1358"/>
      <c r="JOK520" s="1358"/>
      <c r="JOL520" s="1358"/>
      <c r="JOM520" s="1358"/>
      <c r="JON520" s="1358"/>
      <c r="JOO520" s="1358"/>
      <c r="JOP520" s="1358"/>
      <c r="JOQ520" s="1358"/>
      <c r="JOR520" s="1358"/>
      <c r="JOS520" s="1358"/>
      <c r="JOT520" s="1358"/>
      <c r="JOU520" s="1358"/>
      <c r="JOV520" s="1358"/>
      <c r="JOW520" s="1358"/>
      <c r="JOX520" s="1358"/>
      <c r="JOY520" s="1358"/>
      <c r="JOZ520" s="1358"/>
      <c r="JPA520" s="1358"/>
      <c r="JPB520" s="1358"/>
      <c r="JPC520" s="1358"/>
      <c r="JPD520" s="1358"/>
      <c r="JPE520" s="1358"/>
      <c r="JPF520" s="1358"/>
      <c r="JPG520" s="1358"/>
      <c r="JPH520" s="1358"/>
      <c r="JPI520" s="1358"/>
      <c r="JPJ520" s="1358"/>
      <c r="JPK520" s="1358"/>
      <c r="JPL520" s="1358"/>
      <c r="JPM520" s="1358"/>
      <c r="JPN520" s="1358"/>
      <c r="JPO520" s="1358"/>
      <c r="JPP520" s="1358"/>
      <c r="JPQ520" s="1358"/>
      <c r="JPR520" s="1358"/>
      <c r="JPS520" s="1358"/>
      <c r="JPT520" s="1358"/>
      <c r="JPU520" s="1358"/>
      <c r="JPV520" s="1358"/>
      <c r="JPW520" s="1358"/>
      <c r="JPX520" s="1358"/>
      <c r="JPY520" s="1358"/>
      <c r="JPZ520" s="1358"/>
      <c r="JQA520" s="1358"/>
      <c r="JQB520" s="1358"/>
      <c r="JQC520" s="1358"/>
      <c r="JQD520" s="1358"/>
      <c r="JQE520" s="1358"/>
      <c r="JQF520" s="1358"/>
      <c r="JQG520" s="1358"/>
      <c r="JQH520" s="1358"/>
      <c r="JQI520" s="1358"/>
      <c r="JQJ520" s="1358"/>
      <c r="JQK520" s="1358"/>
      <c r="JQL520" s="1358"/>
      <c r="JQM520" s="1358"/>
      <c r="JQN520" s="1358"/>
      <c r="JQO520" s="1358"/>
      <c r="JQP520" s="1358"/>
      <c r="JQQ520" s="1358"/>
      <c r="JQR520" s="1358"/>
      <c r="JQS520" s="1358"/>
      <c r="JQT520" s="1358"/>
      <c r="JQU520" s="1358"/>
      <c r="JQV520" s="1358"/>
      <c r="JQW520" s="1358"/>
      <c r="JQX520" s="1358"/>
      <c r="JQY520" s="1358"/>
      <c r="JQZ520" s="1358"/>
      <c r="JRA520" s="1358"/>
      <c r="JRB520" s="1358"/>
      <c r="JRC520" s="1358"/>
      <c r="JRD520" s="1358"/>
      <c r="JRE520" s="1358"/>
      <c r="JRF520" s="1358"/>
      <c r="JRG520" s="1358"/>
      <c r="JRH520" s="1358"/>
      <c r="JRI520" s="1358"/>
      <c r="JRJ520" s="1358"/>
      <c r="JRK520" s="1358"/>
      <c r="JRL520" s="1358"/>
      <c r="JRM520" s="1358"/>
      <c r="JRN520" s="1358"/>
      <c r="JRO520" s="1358"/>
      <c r="JRP520" s="1358"/>
      <c r="JRQ520" s="1358"/>
      <c r="JRR520" s="1358"/>
      <c r="JRS520" s="1358"/>
      <c r="JRT520" s="1358"/>
      <c r="JRU520" s="1358"/>
      <c r="JRV520" s="1358"/>
      <c r="JRW520" s="1358"/>
      <c r="JRX520" s="1358"/>
      <c r="JRY520" s="1358"/>
      <c r="JRZ520" s="1358"/>
      <c r="JSA520" s="1358"/>
      <c r="JSB520" s="1358"/>
      <c r="JSC520" s="1358"/>
      <c r="JSD520" s="1358"/>
      <c r="JSE520" s="1358"/>
      <c r="JSF520" s="1358"/>
      <c r="JSG520" s="1358"/>
      <c r="JSH520" s="1358"/>
      <c r="JSI520" s="1358"/>
      <c r="JSJ520" s="1358"/>
      <c r="JSK520" s="1358"/>
      <c r="JSL520" s="1358"/>
      <c r="JSM520" s="1358"/>
      <c r="JSN520" s="1358"/>
      <c r="JSO520" s="1358"/>
      <c r="JSP520" s="1358"/>
      <c r="JSQ520" s="1358"/>
      <c r="JSR520" s="1358"/>
      <c r="JSS520" s="1358"/>
      <c r="JST520" s="1358"/>
      <c r="JSU520" s="1358"/>
      <c r="JSV520" s="1358"/>
      <c r="JSW520" s="1358"/>
      <c r="JSX520" s="1358"/>
      <c r="JSY520" s="1358"/>
      <c r="JSZ520" s="1358"/>
      <c r="JTA520" s="1358"/>
      <c r="JTB520" s="1358"/>
      <c r="JTC520" s="1358"/>
      <c r="JTD520" s="1358"/>
      <c r="JTE520" s="1358"/>
      <c r="JTF520" s="1358"/>
      <c r="JTG520" s="1358"/>
      <c r="JTH520" s="1358"/>
      <c r="JTI520" s="1358"/>
      <c r="JTJ520" s="1358"/>
      <c r="JTK520" s="1358"/>
      <c r="JTL520" s="1358"/>
      <c r="JTM520" s="1358"/>
      <c r="JTN520" s="1358"/>
      <c r="JTO520" s="1358"/>
      <c r="JTP520" s="1358"/>
      <c r="JTQ520" s="1358"/>
      <c r="JTR520" s="1358"/>
      <c r="JTS520" s="1358"/>
      <c r="JTT520" s="1358"/>
      <c r="JTU520" s="1358"/>
      <c r="JTV520" s="1358"/>
      <c r="JTW520" s="1358"/>
      <c r="JTX520" s="1358"/>
      <c r="JTY520" s="1358"/>
      <c r="JTZ520" s="1358"/>
      <c r="JUA520" s="1358"/>
      <c r="JUB520" s="1358"/>
      <c r="JUC520" s="1358"/>
      <c r="JUD520" s="1358"/>
      <c r="JUE520" s="1358"/>
      <c r="JUF520" s="1358"/>
      <c r="JUG520" s="1358"/>
      <c r="JUH520" s="1358"/>
      <c r="JUI520" s="1358"/>
      <c r="JUJ520" s="1358"/>
      <c r="JUK520" s="1358"/>
      <c r="JUL520" s="1358"/>
      <c r="JUM520" s="1358"/>
      <c r="JUN520" s="1358"/>
      <c r="JUO520" s="1358"/>
      <c r="JUP520" s="1358"/>
      <c r="JUQ520" s="1358"/>
      <c r="JUR520" s="1358"/>
      <c r="JUS520" s="1358"/>
      <c r="JUT520" s="1358"/>
      <c r="JUU520" s="1358"/>
      <c r="JUV520" s="1358"/>
      <c r="JUW520" s="1358"/>
      <c r="JUX520" s="1358"/>
      <c r="JUY520" s="1358"/>
      <c r="JUZ520" s="1358"/>
      <c r="JVA520" s="1358"/>
      <c r="JVB520" s="1358"/>
      <c r="JVC520" s="1358"/>
      <c r="JVD520" s="1358"/>
      <c r="JVE520" s="1358"/>
      <c r="JVF520" s="1358"/>
      <c r="JVG520" s="1358"/>
      <c r="JVH520" s="1358"/>
      <c r="JVI520" s="1358"/>
      <c r="JVJ520" s="1358"/>
      <c r="JVK520" s="1358"/>
      <c r="JVL520" s="1358"/>
      <c r="JVM520" s="1358"/>
      <c r="JVN520" s="1358"/>
      <c r="JVO520" s="1358"/>
      <c r="JVP520" s="1358"/>
      <c r="JVQ520" s="1358"/>
      <c r="JVR520" s="1358"/>
      <c r="JVS520" s="1358"/>
      <c r="JVT520" s="1358"/>
      <c r="JVU520" s="1358"/>
      <c r="JVV520" s="1358"/>
      <c r="JVW520" s="1358"/>
      <c r="JVX520" s="1358"/>
      <c r="JVY520" s="1358"/>
      <c r="JVZ520" s="1358"/>
      <c r="JWA520" s="1358"/>
      <c r="JWB520" s="1358"/>
      <c r="JWC520" s="1358"/>
      <c r="JWD520" s="1358"/>
      <c r="JWE520" s="1358"/>
      <c r="JWF520" s="1358"/>
      <c r="JWG520" s="1358"/>
      <c r="JWH520" s="1358"/>
      <c r="JWI520" s="1358"/>
      <c r="JWJ520" s="1358"/>
      <c r="JWK520" s="1358"/>
      <c r="JWL520" s="1358"/>
      <c r="JWM520" s="1358"/>
      <c r="JWN520" s="1358"/>
      <c r="JWO520" s="1358"/>
      <c r="JWP520" s="1358"/>
      <c r="JWQ520" s="1358"/>
      <c r="JWR520" s="1358"/>
      <c r="JWS520" s="1358"/>
      <c r="JWT520" s="1358"/>
      <c r="JWU520" s="1358"/>
      <c r="JWV520" s="1358"/>
      <c r="JWW520" s="1358"/>
      <c r="JWX520" s="1358"/>
      <c r="JWY520" s="1358"/>
      <c r="JWZ520" s="1358"/>
      <c r="JXA520" s="1358"/>
      <c r="JXB520" s="1358"/>
      <c r="JXC520" s="1358"/>
      <c r="JXD520" s="1358"/>
      <c r="JXE520" s="1358"/>
      <c r="JXF520" s="1358"/>
      <c r="JXG520" s="1358"/>
      <c r="JXH520" s="1358"/>
      <c r="JXI520" s="1358"/>
      <c r="JXJ520" s="1358"/>
      <c r="JXK520" s="1358"/>
      <c r="JXL520" s="1358"/>
      <c r="JXM520" s="1358"/>
      <c r="JXN520" s="1358"/>
      <c r="JXO520" s="1358"/>
      <c r="JXP520" s="1358"/>
      <c r="JXQ520" s="1358"/>
      <c r="JXR520" s="1358"/>
      <c r="JXS520" s="1358"/>
      <c r="JXT520" s="1358"/>
      <c r="JXU520" s="1358"/>
      <c r="JXV520" s="1358"/>
      <c r="JXW520" s="1358"/>
      <c r="JXX520" s="1358"/>
      <c r="JXY520" s="1358"/>
      <c r="JXZ520" s="1358"/>
      <c r="JYA520" s="1358"/>
      <c r="JYB520" s="1358"/>
      <c r="JYC520" s="1358"/>
      <c r="JYD520" s="1358"/>
      <c r="JYE520" s="1358"/>
      <c r="JYF520" s="1358"/>
      <c r="JYG520" s="1358"/>
      <c r="JYH520" s="1358"/>
      <c r="JYI520" s="1358"/>
      <c r="JYJ520" s="1358"/>
      <c r="JYK520" s="1358"/>
      <c r="JYL520" s="1358"/>
      <c r="JYM520" s="1358"/>
      <c r="JYN520" s="1358"/>
      <c r="JYO520" s="1358"/>
      <c r="JYP520" s="1358"/>
      <c r="JYQ520" s="1358"/>
      <c r="JYR520" s="1358"/>
      <c r="JYS520" s="1358"/>
      <c r="JYT520" s="1358"/>
      <c r="JYU520" s="1358"/>
      <c r="JYV520" s="1358"/>
      <c r="JYW520" s="1358"/>
      <c r="JYX520" s="1358"/>
      <c r="JYY520" s="1358"/>
      <c r="JYZ520" s="1358"/>
      <c r="JZA520" s="1358"/>
      <c r="JZB520" s="1358"/>
      <c r="JZC520" s="1358"/>
      <c r="JZD520" s="1358"/>
      <c r="JZE520" s="1358"/>
      <c r="JZF520" s="1358"/>
      <c r="JZG520" s="1358"/>
      <c r="JZH520" s="1358"/>
      <c r="JZI520" s="1358"/>
      <c r="JZJ520" s="1358"/>
      <c r="JZK520" s="1358"/>
      <c r="JZL520" s="1358"/>
      <c r="JZM520" s="1358"/>
      <c r="JZN520" s="1358"/>
      <c r="JZO520" s="1358"/>
      <c r="JZP520" s="1358"/>
      <c r="JZQ520" s="1358"/>
      <c r="JZR520" s="1358"/>
      <c r="JZS520" s="1358"/>
      <c r="JZT520" s="1358"/>
      <c r="JZU520" s="1358"/>
      <c r="JZV520" s="1358"/>
      <c r="JZW520" s="1358"/>
      <c r="JZX520" s="1358"/>
      <c r="JZY520" s="1358"/>
      <c r="JZZ520" s="1358"/>
      <c r="KAA520" s="1358"/>
      <c r="KAB520" s="1358"/>
      <c r="KAC520" s="1358"/>
      <c r="KAD520" s="1358"/>
      <c r="KAE520" s="1358"/>
      <c r="KAF520" s="1358"/>
      <c r="KAG520" s="1358"/>
      <c r="KAH520" s="1358"/>
      <c r="KAI520" s="1358"/>
      <c r="KAJ520" s="1358"/>
      <c r="KAK520" s="1358"/>
      <c r="KAL520" s="1358"/>
      <c r="KAM520" s="1358"/>
      <c r="KAN520" s="1358"/>
      <c r="KAO520" s="1358"/>
      <c r="KAP520" s="1358"/>
      <c r="KAQ520" s="1358"/>
      <c r="KAR520" s="1358"/>
      <c r="KAS520" s="1358"/>
      <c r="KAT520" s="1358"/>
      <c r="KAU520" s="1358"/>
      <c r="KAV520" s="1358"/>
      <c r="KAW520" s="1358"/>
      <c r="KAX520" s="1358"/>
      <c r="KAY520" s="1358"/>
      <c r="KAZ520" s="1358"/>
      <c r="KBA520" s="1358"/>
      <c r="KBB520" s="1358"/>
      <c r="KBC520" s="1358"/>
      <c r="KBD520" s="1358"/>
      <c r="KBE520" s="1358"/>
      <c r="KBF520" s="1358"/>
      <c r="KBG520" s="1358"/>
      <c r="KBH520" s="1358"/>
      <c r="KBI520" s="1358"/>
      <c r="KBJ520" s="1358"/>
      <c r="KBK520" s="1358"/>
      <c r="KBL520" s="1358"/>
      <c r="KBM520" s="1358"/>
      <c r="KBN520" s="1358"/>
      <c r="KBO520" s="1358"/>
      <c r="KBP520" s="1358"/>
      <c r="KBQ520" s="1358"/>
      <c r="KBR520" s="1358"/>
      <c r="KBS520" s="1358"/>
      <c r="KBT520" s="1358"/>
      <c r="KBU520" s="1358"/>
      <c r="KBV520" s="1358"/>
      <c r="KBW520" s="1358"/>
      <c r="KBX520" s="1358"/>
      <c r="KBY520" s="1358"/>
      <c r="KBZ520" s="1358"/>
      <c r="KCA520" s="1358"/>
      <c r="KCB520" s="1358"/>
      <c r="KCC520" s="1358"/>
      <c r="KCD520" s="1358"/>
      <c r="KCE520" s="1358"/>
      <c r="KCF520" s="1358"/>
      <c r="KCG520" s="1358"/>
      <c r="KCH520" s="1358"/>
      <c r="KCI520" s="1358"/>
      <c r="KCJ520" s="1358"/>
      <c r="KCK520" s="1358"/>
      <c r="KCL520" s="1358"/>
      <c r="KCM520" s="1358"/>
      <c r="KCN520" s="1358"/>
      <c r="KCO520" s="1358"/>
      <c r="KCP520" s="1358"/>
      <c r="KCQ520" s="1358"/>
      <c r="KCR520" s="1358"/>
      <c r="KCS520" s="1358"/>
      <c r="KCT520" s="1358"/>
      <c r="KCU520" s="1358"/>
      <c r="KCV520" s="1358"/>
      <c r="KCW520" s="1358"/>
      <c r="KCX520" s="1358"/>
      <c r="KCY520" s="1358"/>
      <c r="KCZ520" s="1358"/>
      <c r="KDA520" s="1358"/>
      <c r="KDB520" s="1358"/>
      <c r="KDC520" s="1358"/>
      <c r="KDD520" s="1358"/>
      <c r="KDE520" s="1358"/>
      <c r="KDF520" s="1358"/>
      <c r="KDG520" s="1358"/>
      <c r="KDH520" s="1358"/>
      <c r="KDI520" s="1358"/>
      <c r="KDJ520" s="1358"/>
      <c r="KDK520" s="1358"/>
      <c r="KDL520" s="1358"/>
      <c r="KDM520" s="1358"/>
      <c r="KDN520" s="1358"/>
      <c r="KDO520" s="1358"/>
      <c r="KDP520" s="1358"/>
      <c r="KDQ520" s="1358"/>
      <c r="KDR520" s="1358"/>
      <c r="KDS520" s="1358"/>
      <c r="KDT520" s="1358"/>
      <c r="KDU520" s="1358"/>
      <c r="KDV520" s="1358"/>
      <c r="KDW520" s="1358"/>
      <c r="KDX520" s="1358"/>
      <c r="KDY520" s="1358"/>
      <c r="KDZ520" s="1358"/>
      <c r="KEA520" s="1358"/>
      <c r="KEB520" s="1358"/>
      <c r="KEC520" s="1358"/>
      <c r="KED520" s="1358"/>
      <c r="KEE520" s="1358"/>
      <c r="KEF520" s="1358"/>
      <c r="KEG520" s="1358"/>
      <c r="KEH520" s="1358"/>
      <c r="KEI520" s="1358"/>
      <c r="KEJ520" s="1358"/>
      <c r="KEK520" s="1358"/>
      <c r="KEL520" s="1358"/>
      <c r="KEM520" s="1358"/>
      <c r="KEN520" s="1358"/>
      <c r="KEO520" s="1358"/>
      <c r="KEP520" s="1358"/>
      <c r="KEQ520" s="1358"/>
      <c r="KER520" s="1358"/>
      <c r="KES520" s="1358"/>
      <c r="KET520" s="1358"/>
      <c r="KEU520" s="1358"/>
      <c r="KEV520" s="1358"/>
      <c r="KEW520" s="1358"/>
      <c r="KEX520" s="1358"/>
      <c r="KEY520" s="1358"/>
      <c r="KEZ520" s="1358"/>
      <c r="KFA520" s="1358"/>
      <c r="KFB520" s="1358"/>
      <c r="KFC520" s="1358"/>
      <c r="KFD520" s="1358"/>
      <c r="KFE520" s="1358"/>
      <c r="KFF520" s="1358"/>
      <c r="KFG520" s="1358"/>
      <c r="KFH520" s="1358"/>
      <c r="KFI520" s="1358"/>
      <c r="KFJ520" s="1358"/>
      <c r="KFK520" s="1358"/>
      <c r="KFL520" s="1358"/>
      <c r="KFM520" s="1358"/>
      <c r="KFN520" s="1358"/>
      <c r="KFO520" s="1358"/>
      <c r="KFP520" s="1358"/>
      <c r="KFQ520" s="1358"/>
      <c r="KFR520" s="1358"/>
      <c r="KFS520" s="1358"/>
      <c r="KFT520" s="1358"/>
      <c r="KFU520" s="1358"/>
      <c r="KFV520" s="1358"/>
      <c r="KFW520" s="1358"/>
      <c r="KFX520" s="1358"/>
      <c r="KFY520" s="1358"/>
      <c r="KFZ520" s="1358"/>
      <c r="KGA520" s="1358"/>
      <c r="KGB520" s="1358"/>
      <c r="KGC520" s="1358"/>
      <c r="KGD520" s="1358"/>
      <c r="KGE520" s="1358"/>
      <c r="KGF520" s="1358"/>
      <c r="KGG520" s="1358"/>
      <c r="KGH520" s="1358"/>
      <c r="KGI520" s="1358"/>
      <c r="KGJ520" s="1358"/>
      <c r="KGK520" s="1358"/>
      <c r="KGL520" s="1358"/>
      <c r="KGM520" s="1358"/>
      <c r="KGN520" s="1358"/>
      <c r="KGO520" s="1358"/>
      <c r="KGP520" s="1358"/>
      <c r="KGQ520" s="1358"/>
      <c r="KGR520" s="1358"/>
      <c r="KGS520" s="1358"/>
      <c r="KGT520" s="1358"/>
      <c r="KGU520" s="1358"/>
      <c r="KGV520" s="1358"/>
      <c r="KGW520" s="1358"/>
      <c r="KGX520" s="1358"/>
      <c r="KGY520" s="1358"/>
      <c r="KGZ520" s="1358"/>
      <c r="KHA520" s="1358"/>
      <c r="KHB520" s="1358"/>
      <c r="KHC520" s="1358"/>
      <c r="KHD520" s="1358"/>
      <c r="KHE520" s="1358"/>
      <c r="KHF520" s="1358"/>
      <c r="KHG520" s="1358"/>
      <c r="KHH520" s="1358"/>
      <c r="KHI520" s="1358"/>
      <c r="KHJ520" s="1358"/>
      <c r="KHK520" s="1358"/>
      <c r="KHL520" s="1358"/>
      <c r="KHM520" s="1358"/>
      <c r="KHN520" s="1358"/>
      <c r="KHO520" s="1358"/>
      <c r="KHP520" s="1358"/>
      <c r="KHQ520" s="1358"/>
      <c r="KHR520" s="1358"/>
      <c r="KHS520" s="1358"/>
      <c r="KHT520" s="1358"/>
      <c r="KHU520" s="1358"/>
      <c r="KHV520" s="1358"/>
      <c r="KHW520" s="1358"/>
      <c r="KHX520" s="1358"/>
      <c r="KHY520" s="1358"/>
      <c r="KHZ520" s="1358"/>
      <c r="KIA520" s="1358"/>
      <c r="KIB520" s="1358"/>
      <c r="KIC520" s="1358"/>
      <c r="KID520" s="1358"/>
      <c r="KIE520" s="1358"/>
      <c r="KIF520" s="1358"/>
      <c r="KIG520" s="1358"/>
      <c r="KIH520" s="1358"/>
      <c r="KII520" s="1358"/>
      <c r="KIJ520" s="1358"/>
      <c r="KIK520" s="1358"/>
      <c r="KIL520" s="1358"/>
      <c r="KIM520" s="1358"/>
      <c r="KIN520" s="1358"/>
      <c r="KIO520" s="1358"/>
      <c r="KIP520" s="1358"/>
      <c r="KIQ520" s="1358"/>
      <c r="KIR520" s="1358"/>
      <c r="KIS520" s="1358"/>
      <c r="KIT520" s="1358"/>
      <c r="KIU520" s="1358"/>
      <c r="KIV520" s="1358"/>
      <c r="KIW520" s="1358"/>
      <c r="KIX520" s="1358"/>
      <c r="KIY520" s="1358"/>
      <c r="KIZ520" s="1358"/>
      <c r="KJA520" s="1358"/>
      <c r="KJB520" s="1358"/>
      <c r="KJC520" s="1358"/>
      <c r="KJD520" s="1358"/>
      <c r="KJE520" s="1358"/>
      <c r="KJF520" s="1358"/>
      <c r="KJG520" s="1358"/>
      <c r="KJH520" s="1358"/>
      <c r="KJI520" s="1358"/>
      <c r="KJJ520" s="1358"/>
      <c r="KJK520" s="1358"/>
      <c r="KJL520" s="1358"/>
      <c r="KJM520" s="1358"/>
      <c r="KJN520" s="1358"/>
      <c r="KJO520" s="1358"/>
      <c r="KJP520" s="1358"/>
      <c r="KJQ520" s="1358"/>
      <c r="KJR520" s="1358"/>
      <c r="KJS520" s="1358"/>
      <c r="KJT520" s="1358"/>
      <c r="KJU520" s="1358"/>
      <c r="KJV520" s="1358"/>
      <c r="KJW520" s="1358"/>
      <c r="KJX520" s="1358"/>
      <c r="KJY520" s="1358"/>
      <c r="KJZ520" s="1358"/>
      <c r="KKA520" s="1358"/>
      <c r="KKB520" s="1358"/>
      <c r="KKC520" s="1358"/>
      <c r="KKD520" s="1358"/>
      <c r="KKE520" s="1358"/>
      <c r="KKF520" s="1358"/>
      <c r="KKG520" s="1358"/>
      <c r="KKH520" s="1358"/>
      <c r="KKI520" s="1358"/>
      <c r="KKJ520" s="1358"/>
      <c r="KKK520" s="1358"/>
      <c r="KKL520" s="1358"/>
      <c r="KKM520" s="1358"/>
      <c r="KKN520" s="1358"/>
      <c r="KKO520" s="1358"/>
      <c r="KKP520" s="1358"/>
      <c r="KKQ520" s="1358"/>
      <c r="KKR520" s="1358"/>
      <c r="KKS520" s="1358"/>
      <c r="KKT520" s="1358"/>
      <c r="KKU520" s="1358"/>
      <c r="KKV520" s="1358"/>
      <c r="KKW520" s="1358"/>
      <c r="KKX520" s="1358"/>
      <c r="KKY520" s="1358"/>
      <c r="KKZ520" s="1358"/>
      <c r="KLA520" s="1358"/>
      <c r="KLB520" s="1358"/>
      <c r="KLC520" s="1358"/>
      <c r="KLD520" s="1358"/>
      <c r="KLE520" s="1358"/>
      <c r="KLF520" s="1358"/>
      <c r="KLG520" s="1358"/>
      <c r="KLH520" s="1358"/>
      <c r="KLI520" s="1358"/>
      <c r="KLJ520" s="1358"/>
      <c r="KLK520" s="1358"/>
      <c r="KLL520" s="1358"/>
      <c r="KLM520" s="1358"/>
      <c r="KLN520" s="1358"/>
      <c r="KLO520" s="1358"/>
      <c r="KLP520" s="1358"/>
      <c r="KLQ520" s="1358"/>
      <c r="KLR520" s="1358"/>
      <c r="KLS520" s="1358"/>
      <c r="KLT520" s="1358"/>
      <c r="KLU520" s="1358"/>
      <c r="KLV520" s="1358"/>
      <c r="KLW520" s="1358"/>
      <c r="KLX520" s="1358"/>
      <c r="KLY520" s="1358"/>
      <c r="KLZ520" s="1358"/>
      <c r="KMA520" s="1358"/>
      <c r="KMB520" s="1358"/>
      <c r="KMC520" s="1358"/>
      <c r="KMD520" s="1358"/>
      <c r="KME520" s="1358"/>
      <c r="KMF520" s="1358"/>
      <c r="KMG520" s="1358"/>
      <c r="KMH520" s="1358"/>
      <c r="KMI520" s="1358"/>
      <c r="KMJ520" s="1358"/>
      <c r="KMK520" s="1358"/>
      <c r="KML520" s="1358"/>
      <c r="KMM520" s="1358"/>
      <c r="KMN520" s="1358"/>
      <c r="KMO520" s="1358"/>
      <c r="KMP520" s="1358"/>
      <c r="KMQ520" s="1358"/>
      <c r="KMR520" s="1358"/>
      <c r="KMS520" s="1358"/>
      <c r="KMT520" s="1358"/>
      <c r="KMU520" s="1358"/>
      <c r="KMV520" s="1358"/>
      <c r="KMW520" s="1358"/>
      <c r="KMX520" s="1358"/>
      <c r="KMY520" s="1358"/>
      <c r="KMZ520" s="1358"/>
      <c r="KNA520" s="1358"/>
      <c r="KNB520" s="1358"/>
      <c r="KNC520" s="1358"/>
      <c r="KND520" s="1358"/>
      <c r="KNE520" s="1358"/>
      <c r="KNF520" s="1358"/>
      <c r="KNG520" s="1358"/>
      <c r="KNH520" s="1358"/>
      <c r="KNI520" s="1358"/>
      <c r="KNJ520" s="1358"/>
      <c r="KNK520" s="1358"/>
      <c r="KNL520" s="1358"/>
      <c r="KNM520" s="1358"/>
      <c r="KNN520" s="1358"/>
      <c r="KNO520" s="1358"/>
      <c r="KNP520" s="1358"/>
      <c r="KNQ520" s="1358"/>
      <c r="KNR520" s="1358"/>
      <c r="KNS520" s="1358"/>
      <c r="KNT520" s="1358"/>
      <c r="KNU520" s="1358"/>
      <c r="KNV520" s="1358"/>
      <c r="KNW520" s="1358"/>
      <c r="KNX520" s="1358"/>
      <c r="KNY520" s="1358"/>
      <c r="KNZ520" s="1358"/>
      <c r="KOA520" s="1358"/>
      <c r="KOB520" s="1358"/>
      <c r="KOC520" s="1358"/>
      <c r="KOD520" s="1358"/>
      <c r="KOE520" s="1358"/>
      <c r="KOF520" s="1358"/>
      <c r="KOG520" s="1358"/>
      <c r="KOH520" s="1358"/>
      <c r="KOI520" s="1358"/>
      <c r="KOJ520" s="1358"/>
      <c r="KOK520" s="1358"/>
      <c r="KOL520" s="1358"/>
      <c r="KOM520" s="1358"/>
      <c r="KON520" s="1358"/>
      <c r="KOO520" s="1358"/>
      <c r="KOP520" s="1358"/>
      <c r="KOQ520" s="1358"/>
      <c r="KOR520" s="1358"/>
      <c r="KOS520" s="1358"/>
      <c r="KOT520" s="1358"/>
      <c r="KOU520" s="1358"/>
      <c r="KOV520" s="1358"/>
      <c r="KOW520" s="1358"/>
      <c r="KOX520" s="1358"/>
      <c r="KOY520" s="1358"/>
      <c r="KOZ520" s="1358"/>
      <c r="KPA520" s="1358"/>
      <c r="KPB520" s="1358"/>
      <c r="KPC520" s="1358"/>
      <c r="KPD520" s="1358"/>
      <c r="KPE520" s="1358"/>
      <c r="KPF520" s="1358"/>
      <c r="KPG520" s="1358"/>
      <c r="KPH520" s="1358"/>
      <c r="KPI520" s="1358"/>
      <c r="KPJ520" s="1358"/>
      <c r="KPK520" s="1358"/>
      <c r="KPL520" s="1358"/>
      <c r="KPM520" s="1358"/>
      <c r="KPN520" s="1358"/>
      <c r="KPO520" s="1358"/>
      <c r="KPP520" s="1358"/>
      <c r="KPQ520" s="1358"/>
      <c r="KPR520" s="1358"/>
      <c r="KPS520" s="1358"/>
      <c r="KPT520" s="1358"/>
      <c r="KPU520" s="1358"/>
      <c r="KPV520" s="1358"/>
      <c r="KPW520" s="1358"/>
      <c r="KPX520" s="1358"/>
      <c r="KPY520" s="1358"/>
      <c r="KPZ520" s="1358"/>
      <c r="KQA520" s="1358"/>
      <c r="KQB520" s="1358"/>
      <c r="KQC520" s="1358"/>
      <c r="KQD520" s="1358"/>
      <c r="KQE520" s="1358"/>
      <c r="KQF520" s="1358"/>
      <c r="KQG520" s="1358"/>
      <c r="KQH520" s="1358"/>
      <c r="KQI520" s="1358"/>
      <c r="KQJ520" s="1358"/>
      <c r="KQK520" s="1358"/>
      <c r="KQL520" s="1358"/>
      <c r="KQM520" s="1358"/>
      <c r="KQN520" s="1358"/>
      <c r="KQO520" s="1358"/>
      <c r="KQP520" s="1358"/>
      <c r="KQQ520" s="1358"/>
      <c r="KQR520" s="1358"/>
      <c r="KQS520" s="1358"/>
      <c r="KQT520" s="1358"/>
      <c r="KQU520" s="1358"/>
      <c r="KQV520" s="1358"/>
      <c r="KQW520" s="1358"/>
      <c r="KQX520" s="1358"/>
      <c r="KQY520" s="1358"/>
      <c r="KQZ520" s="1358"/>
      <c r="KRA520" s="1358"/>
      <c r="KRB520" s="1358"/>
      <c r="KRC520" s="1358"/>
      <c r="KRD520" s="1358"/>
      <c r="KRE520" s="1358"/>
      <c r="KRF520" s="1358"/>
      <c r="KRG520" s="1358"/>
      <c r="KRH520" s="1358"/>
      <c r="KRI520" s="1358"/>
      <c r="KRJ520" s="1358"/>
      <c r="KRK520" s="1358"/>
      <c r="KRL520" s="1358"/>
      <c r="KRM520" s="1358"/>
      <c r="KRN520" s="1358"/>
      <c r="KRO520" s="1358"/>
      <c r="KRP520" s="1358"/>
      <c r="KRQ520" s="1358"/>
      <c r="KRR520" s="1358"/>
      <c r="KRS520" s="1358"/>
      <c r="KRT520" s="1358"/>
      <c r="KRU520" s="1358"/>
      <c r="KRV520" s="1358"/>
      <c r="KRW520" s="1358"/>
      <c r="KRX520" s="1358"/>
      <c r="KRY520" s="1358"/>
      <c r="KRZ520" s="1358"/>
      <c r="KSA520" s="1358"/>
      <c r="KSB520" s="1358"/>
      <c r="KSC520" s="1358"/>
      <c r="KSD520" s="1358"/>
      <c r="KSE520" s="1358"/>
      <c r="KSF520" s="1358"/>
      <c r="KSG520" s="1358"/>
      <c r="KSH520" s="1358"/>
      <c r="KSI520" s="1358"/>
      <c r="KSJ520" s="1358"/>
      <c r="KSK520" s="1358"/>
      <c r="KSL520" s="1358"/>
      <c r="KSM520" s="1358"/>
      <c r="KSN520" s="1358"/>
      <c r="KSO520" s="1358"/>
      <c r="KSP520" s="1358"/>
      <c r="KSQ520" s="1358"/>
      <c r="KSR520" s="1358"/>
      <c r="KSS520" s="1358"/>
      <c r="KST520" s="1358"/>
      <c r="KSU520" s="1358"/>
      <c r="KSV520" s="1358"/>
      <c r="KSW520" s="1358"/>
      <c r="KSX520" s="1358"/>
      <c r="KSY520" s="1358"/>
      <c r="KSZ520" s="1358"/>
      <c r="KTA520" s="1358"/>
      <c r="KTB520" s="1358"/>
      <c r="KTC520" s="1358"/>
      <c r="KTD520" s="1358"/>
      <c r="KTE520" s="1358"/>
      <c r="KTF520" s="1358"/>
      <c r="KTG520" s="1358"/>
      <c r="KTH520" s="1358"/>
      <c r="KTI520" s="1358"/>
      <c r="KTJ520" s="1358"/>
      <c r="KTK520" s="1358"/>
      <c r="KTL520" s="1358"/>
      <c r="KTM520" s="1358"/>
      <c r="KTN520" s="1358"/>
      <c r="KTO520" s="1358"/>
      <c r="KTP520" s="1358"/>
      <c r="KTQ520" s="1358"/>
      <c r="KTR520" s="1358"/>
      <c r="KTS520" s="1358"/>
      <c r="KTT520" s="1358"/>
      <c r="KTU520" s="1358"/>
      <c r="KTV520" s="1358"/>
      <c r="KTW520" s="1358"/>
      <c r="KTX520" s="1358"/>
      <c r="KTY520" s="1358"/>
      <c r="KTZ520" s="1358"/>
      <c r="KUA520" s="1358"/>
      <c r="KUB520" s="1358"/>
      <c r="KUC520" s="1358"/>
      <c r="KUD520" s="1358"/>
      <c r="KUE520" s="1358"/>
      <c r="KUF520" s="1358"/>
      <c r="KUG520" s="1358"/>
      <c r="KUH520" s="1358"/>
      <c r="KUI520" s="1358"/>
      <c r="KUJ520" s="1358"/>
      <c r="KUK520" s="1358"/>
      <c r="KUL520" s="1358"/>
      <c r="KUM520" s="1358"/>
      <c r="KUN520" s="1358"/>
      <c r="KUO520" s="1358"/>
      <c r="KUP520" s="1358"/>
      <c r="KUQ520" s="1358"/>
      <c r="KUR520" s="1358"/>
      <c r="KUS520" s="1358"/>
      <c r="KUT520" s="1358"/>
      <c r="KUU520" s="1358"/>
      <c r="KUV520" s="1358"/>
      <c r="KUW520" s="1358"/>
      <c r="KUX520" s="1358"/>
      <c r="KUY520" s="1358"/>
      <c r="KUZ520" s="1358"/>
      <c r="KVA520" s="1358"/>
      <c r="KVB520" s="1358"/>
      <c r="KVC520" s="1358"/>
      <c r="KVD520" s="1358"/>
      <c r="KVE520" s="1358"/>
      <c r="KVF520" s="1358"/>
      <c r="KVG520" s="1358"/>
      <c r="KVH520" s="1358"/>
      <c r="KVI520" s="1358"/>
      <c r="KVJ520" s="1358"/>
      <c r="KVK520" s="1358"/>
      <c r="KVL520" s="1358"/>
      <c r="KVM520" s="1358"/>
      <c r="KVN520" s="1358"/>
      <c r="KVO520" s="1358"/>
      <c r="KVP520" s="1358"/>
      <c r="KVQ520" s="1358"/>
      <c r="KVR520" s="1358"/>
      <c r="KVS520" s="1358"/>
      <c r="KVT520" s="1358"/>
      <c r="KVU520" s="1358"/>
      <c r="KVV520" s="1358"/>
      <c r="KVW520" s="1358"/>
      <c r="KVX520" s="1358"/>
      <c r="KVY520" s="1358"/>
      <c r="KVZ520" s="1358"/>
      <c r="KWA520" s="1358"/>
      <c r="KWB520" s="1358"/>
      <c r="KWC520" s="1358"/>
      <c r="KWD520" s="1358"/>
      <c r="KWE520" s="1358"/>
      <c r="KWF520" s="1358"/>
      <c r="KWG520" s="1358"/>
      <c r="KWH520" s="1358"/>
      <c r="KWI520" s="1358"/>
      <c r="KWJ520" s="1358"/>
      <c r="KWK520" s="1358"/>
      <c r="KWL520" s="1358"/>
      <c r="KWM520" s="1358"/>
      <c r="KWN520" s="1358"/>
      <c r="KWO520" s="1358"/>
      <c r="KWP520" s="1358"/>
      <c r="KWQ520" s="1358"/>
      <c r="KWR520" s="1358"/>
      <c r="KWS520" s="1358"/>
      <c r="KWT520" s="1358"/>
      <c r="KWU520" s="1358"/>
      <c r="KWV520" s="1358"/>
      <c r="KWW520" s="1358"/>
      <c r="KWX520" s="1358"/>
      <c r="KWY520" s="1358"/>
      <c r="KWZ520" s="1358"/>
      <c r="KXA520" s="1358"/>
      <c r="KXB520" s="1358"/>
      <c r="KXC520" s="1358"/>
      <c r="KXD520" s="1358"/>
      <c r="KXE520" s="1358"/>
      <c r="KXF520" s="1358"/>
      <c r="KXG520" s="1358"/>
      <c r="KXH520" s="1358"/>
      <c r="KXI520" s="1358"/>
      <c r="KXJ520" s="1358"/>
      <c r="KXK520" s="1358"/>
      <c r="KXL520" s="1358"/>
      <c r="KXM520" s="1358"/>
      <c r="KXN520" s="1358"/>
      <c r="KXO520" s="1358"/>
      <c r="KXP520" s="1358"/>
      <c r="KXQ520" s="1358"/>
      <c r="KXR520" s="1358"/>
      <c r="KXS520" s="1358"/>
      <c r="KXT520" s="1358"/>
      <c r="KXU520" s="1358"/>
      <c r="KXV520" s="1358"/>
      <c r="KXW520" s="1358"/>
      <c r="KXX520" s="1358"/>
      <c r="KXY520" s="1358"/>
      <c r="KXZ520" s="1358"/>
      <c r="KYA520" s="1358"/>
      <c r="KYB520" s="1358"/>
      <c r="KYC520" s="1358"/>
      <c r="KYD520" s="1358"/>
      <c r="KYE520" s="1358"/>
      <c r="KYF520" s="1358"/>
      <c r="KYG520" s="1358"/>
      <c r="KYH520" s="1358"/>
      <c r="KYI520" s="1358"/>
      <c r="KYJ520" s="1358"/>
      <c r="KYK520" s="1358"/>
      <c r="KYL520" s="1358"/>
      <c r="KYM520" s="1358"/>
      <c r="KYN520" s="1358"/>
      <c r="KYO520" s="1358"/>
      <c r="KYP520" s="1358"/>
      <c r="KYQ520" s="1358"/>
      <c r="KYR520" s="1358"/>
      <c r="KYS520" s="1358"/>
      <c r="KYT520" s="1358"/>
      <c r="KYU520" s="1358"/>
      <c r="KYV520" s="1358"/>
      <c r="KYW520" s="1358"/>
      <c r="KYX520" s="1358"/>
      <c r="KYY520" s="1358"/>
      <c r="KYZ520" s="1358"/>
      <c r="KZA520" s="1358"/>
      <c r="KZB520" s="1358"/>
      <c r="KZC520" s="1358"/>
      <c r="KZD520" s="1358"/>
      <c r="KZE520" s="1358"/>
      <c r="KZF520" s="1358"/>
      <c r="KZG520" s="1358"/>
      <c r="KZH520" s="1358"/>
      <c r="KZI520" s="1358"/>
      <c r="KZJ520" s="1358"/>
      <c r="KZK520" s="1358"/>
      <c r="KZL520" s="1358"/>
      <c r="KZM520" s="1358"/>
      <c r="KZN520" s="1358"/>
      <c r="KZO520" s="1358"/>
      <c r="KZP520" s="1358"/>
      <c r="KZQ520" s="1358"/>
      <c r="KZR520" s="1358"/>
      <c r="KZS520" s="1358"/>
      <c r="KZT520" s="1358"/>
      <c r="KZU520" s="1358"/>
      <c r="KZV520" s="1358"/>
      <c r="KZW520" s="1358"/>
      <c r="KZX520" s="1358"/>
      <c r="KZY520" s="1358"/>
      <c r="KZZ520" s="1358"/>
      <c r="LAA520" s="1358"/>
      <c r="LAB520" s="1358"/>
      <c r="LAC520" s="1358"/>
      <c r="LAD520" s="1358"/>
      <c r="LAE520" s="1358"/>
      <c r="LAF520" s="1358"/>
      <c r="LAG520" s="1358"/>
      <c r="LAH520" s="1358"/>
      <c r="LAI520" s="1358"/>
      <c r="LAJ520" s="1358"/>
      <c r="LAK520" s="1358"/>
      <c r="LAL520" s="1358"/>
      <c r="LAM520" s="1358"/>
      <c r="LAN520" s="1358"/>
      <c r="LAO520" s="1358"/>
      <c r="LAP520" s="1358"/>
      <c r="LAQ520" s="1358"/>
      <c r="LAR520" s="1358"/>
      <c r="LAS520" s="1358"/>
      <c r="LAT520" s="1358"/>
      <c r="LAU520" s="1358"/>
      <c r="LAV520" s="1358"/>
      <c r="LAW520" s="1358"/>
      <c r="LAX520" s="1358"/>
      <c r="LAY520" s="1358"/>
      <c r="LAZ520" s="1358"/>
      <c r="LBA520" s="1358"/>
      <c r="LBB520" s="1358"/>
      <c r="LBC520" s="1358"/>
      <c r="LBD520" s="1358"/>
      <c r="LBE520" s="1358"/>
      <c r="LBF520" s="1358"/>
      <c r="LBG520" s="1358"/>
      <c r="LBH520" s="1358"/>
      <c r="LBI520" s="1358"/>
      <c r="LBJ520" s="1358"/>
      <c r="LBK520" s="1358"/>
      <c r="LBL520" s="1358"/>
      <c r="LBM520" s="1358"/>
      <c r="LBN520" s="1358"/>
      <c r="LBO520" s="1358"/>
      <c r="LBP520" s="1358"/>
      <c r="LBQ520" s="1358"/>
      <c r="LBR520" s="1358"/>
      <c r="LBS520" s="1358"/>
      <c r="LBT520" s="1358"/>
      <c r="LBU520" s="1358"/>
      <c r="LBV520" s="1358"/>
      <c r="LBW520" s="1358"/>
      <c r="LBX520" s="1358"/>
      <c r="LBY520" s="1358"/>
      <c r="LBZ520" s="1358"/>
      <c r="LCA520" s="1358"/>
      <c r="LCB520" s="1358"/>
      <c r="LCC520" s="1358"/>
      <c r="LCD520" s="1358"/>
      <c r="LCE520" s="1358"/>
      <c r="LCF520" s="1358"/>
      <c r="LCG520" s="1358"/>
      <c r="LCH520" s="1358"/>
      <c r="LCI520" s="1358"/>
      <c r="LCJ520" s="1358"/>
      <c r="LCK520" s="1358"/>
      <c r="LCL520" s="1358"/>
      <c r="LCM520" s="1358"/>
      <c r="LCN520" s="1358"/>
      <c r="LCO520" s="1358"/>
      <c r="LCP520" s="1358"/>
      <c r="LCQ520" s="1358"/>
      <c r="LCR520" s="1358"/>
      <c r="LCS520" s="1358"/>
      <c r="LCT520" s="1358"/>
      <c r="LCU520" s="1358"/>
      <c r="LCV520" s="1358"/>
      <c r="LCW520" s="1358"/>
      <c r="LCX520" s="1358"/>
      <c r="LCY520" s="1358"/>
      <c r="LCZ520" s="1358"/>
      <c r="LDA520" s="1358"/>
      <c r="LDB520" s="1358"/>
      <c r="LDC520" s="1358"/>
      <c r="LDD520" s="1358"/>
      <c r="LDE520" s="1358"/>
      <c r="LDF520" s="1358"/>
      <c r="LDG520" s="1358"/>
      <c r="LDH520" s="1358"/>
      <c r="LDI520" s="1358"/>
      <c r="LDJ520" s="1358"/>
      <c r="LDK520" s="1358"/>
      <c r="LDL520" s="1358"/>
      <c r="LDM520" s="1358"/>
      <c r="LDN520" s="1358"/>
      <c r="LDO520" s="1358"/>
      <c r="LDP520" s="1358"/>
      <c r="LDQ520" s="1358"/>
      <c r="LDR520" s="1358"/>
      <c r="LDS520" s="1358"/>
      <c r="LDT520" s="1358"/>
      <c r="LDU520" s="1358"/>
      <c r="LDV520" s="1358"/>
      <c r="LDW520" s="1358"/>
      <c r="LDX520" s="1358"/>
      <c r="LDY520" s="1358"/>
      <c r="LDZ520" s="1358"/>
      <c r="LEA520" s="1358"/>
      <c r="LEB520" s="1358"/>
      <c r="LEC520" s="1358"/>
      <c r="LED520" s="1358"/>
      <c r="LEE520" s="1358"/>
      <c r="LEF520" s="1358"/>
      <c r="LEG520" s="1358"/>
      <c r="LEH520" s="1358"/>
      <c r="LEI520" s="1358"/>
      <c r="LEJ520" s="1358"/>
      <c r="LEK520" s="1358"/>
      <c r="LEL520" s="1358"/>
      <c r="LEM520" s="1358"/>
      <c r="LEN520" s="1358"/>
      <c r="LEO520" s="1358"/>
      <c r="LEP520" s="1358"/>
      <c r="LEQ520" s="1358"/>
      <c r="LER520" s="1358"/>
      <c r="LES520" s="1358"/>
      <c r="LET520" s="1358"/>
      <c r="LEU520" s="1358"/>
      <c r="LEV520" s="1358"/>
      <c r="LEW520" s="1358"/>
      <c r="LEX520" s="1358"/>
      <c r="LEY520" s="1358"/>
      <c r="LEZ520" s="1358"/>
      <c r="LFA520" s="1358"/>
      <c r="LFB520" s="1358"/>
      <c r="LFC520" s="1358"/>
      <c r="LFD520" s="1358"/>
      <c r="LFE520" s="1358"/>
      <c r="LFF520" s="1358"/>
      <c r="LFG520" s="1358"/>
      <c r="LFH520" s="1358"/>
      <c r="LFI520" s="1358"/>
      <c r="LFJ520" s="1358"/>
      <c r="LFK520" s="1358"/>
      <c r="LFL520" s="1358"/>
      <c r="LFM520" s="1358"/>
      <c r="LFN520" s="1358"/>
      <c r="LFO520" s="1358"/>
      <c r="LFP520" s="1358"/>
      <c r="LFQ520" s="1358"/>
      <c r="LFR520" s="1358"/>
      <c r="LFS520" s="1358"/>
      <c r="LFT520" s="1358"/>
      <c r="LFU520" s="1358"/>
      <c r="LFV520" s="1358"/>
      <c r="LFW520" s="1358"/>
      <c r="LFX520" s="1358"/>
      <c r="LFY520" s="1358"/>
      <c r="LFZ520" s="1358"/>
      <c r="LGA520" s="1358"/>
      <c r="LGB520" s="1358"/>
      <c r="LGC520" s="1358"/>
      <c r="LGD520" s="1358"/>
      <c r="LGE520" s="1358"/>
      <c r="LGF520" s="1358"/>
      <c r="LGG520" s="1358"/>
      <c r="LGH520" s="1358"/>
      <c r="LGI520" s="1358"/>
      <c r="LGJ520" s="1358"/>
      <c r="LGK520" s="1358"/>
      <c r="LGL520" s="1358"/>
      <c r="LGM520" s="1358"/>
      <c r="LGN520" s="1358"/>
      <c r="LGO520" s="1358"/>
      <c r="LGP520" s="1358"/>
      <c r="LGQ520" s="1358"/>
      <c r="LGR520" s="1358"/>
      <c r="LGS520" s="1358"/>
      <c r="LGT520" s="1358"/>
      <c r="LGU520" s="1358"/>
      <c r="LGV520" s="1358"/>
      <c r="LGW520" s="1358"/>
      <c r="LGX520" s="1358"/>
      <c r="LGY520" s="1358"/>
      <c r="LGZ520" s="1358"/>
      <c r="LHA520" s="1358"/>
      <c r="LHB520" s="1358"/>
      <c r="LHC520" s="1358"/>
      <c r="LHD520" s="1358"/>
      <c r="LHE520" s="1358"/>
      <c r="LHF520" s="1358"/>
      <c r="LHG520" s="1358"/>
      <c r="LHH520" s="1358"/>
      <c r="LHI520" s="1358"/>
      <c r="LHJ520" s="1358"/>
      <c r="LHK520" s="1358"/>
      <c r="LHL520" s="1358"/>
      <c r="LHM520" s="1358"/>
      <c r="LHN520" s="1358"/>
      <c r="LHO520" s="1358"/>
      <c r="LHP520" s="1358"/>
      <c r="LHQ520" s="1358"/>
      <c r="LHR520" s="1358"/>
      <c r="LHS520" s="1358"/>
      <c r="LHT520" s="1358"/>
      <c r="LHU520" s="1358"/>
      <c r="LHV520" s="1358"/>
      <c r="LHW520" s="1358"/>
      <c r="LHX520" s="1358"/>
      <c r="LHY520" s="1358"/>
      <c r="LHZ520" s="1358"/>
      <c r="LIA520" s="1358"/>
      <c r="LIB520" s="1358"/>
      <c r="LIC520" s="1358"/>
      <c r="LID520" s="1358"/>
      <c r="LIE520" s="1358"/>
      <c r="LIF520" s="1358"/>
      <c r="LIG520" s="1358"/>
      <c r="LIH520" s="1358"/>
      <c r="LII520" s="1358"/>
      <c r="LIJ520" s="1358"/>
      <c r="LIK520" s="1358"/>
      <c r="LIL520" s="1358"/>
      <c r="LIM520" s="1358"/>
      <c r="LIN520" s="1358"/>
      <c r="LIO520" s="1358"/>
      <c r="LIP520" s="1358"/>
      <c r="LIQ520" s="1358"/>
      <c r="LIR520" s="1358"/>
      <c r="LIS520" s="1358"/>
      <c r="LIT520" s="1358"/>
      <c r="LIU520" s="1358"/>
      <c r="LIV520" s="1358"/>
      <c r="LIW520" s="1358"/>
      <c r="LIX520" s="1358"/>
      <c r="LIY520" s="1358"/>
      <c r="LIZ520" s="1358"/>
      <c r="LJA520" s="1358"/>
      <c r="LJB520" s="1358"/>
      <c r="LJC520" s="1358"/>
      <c r="LJD520" s="1358"/>
      <c r="LJE520" s="1358"/>
      <c r="LJF520" s="1358"/>
      <c r="LJG520" s="1358"/>
      <c r="LJH520" s="1358"/>
      <c r="LJI520" s="1358"/>
      <c r="LJJ520" s="1358"/>
      <c r="LJK520" s="1358"/>
      <c r="LJL520" s="1358"/>
      <c r="LJM520" s="1358"/>
      <c r="LJN520" s="1358"/>
      <c r="LJO520" s="1358"/>
      <c r="LJP520" s="1358"/>
      <c r="LJQ520" s="1358"/>
      <c r="LJR520" s="1358"/>
      <c r="LJS520" s="1358"/>
      <c r="LJT520" s="1358"/>
      <c r="LJU520" s="1358"/>
      <c r="LJV520" s="1358"/>
      <c r="LJW520" s="1358"/>
      <c r="LJX520" s="1358"/>
      <c r="LJY520" s="1358"/>
      <c r="LJZ520" s="1358"/>
      <c r="LKA520" s="1358"/>
      <c r="LKB520" s="1358"/>
      <c r="LKC520" s="1358"/>
      <c r="LKD520" s="1358"/>
      <c r="LKE520" s="1358"/>
      <c r="LKF520" s="1358"/>
      <c r="LKG520" s="1358"/>
      <c r="LKH520" s="1358"/>
      <c r="LKI520" s="1358"/>
      <c r="LKJ520" s="1358"/>
      <c r="LKK520" s="1358"/>
      <c r="LKL520" s="1358"/>
      <c r="LKM520" s="1358"/>
      <c r="LKN520" s="1358"/>
      <c r="LKO520" s="1358"/>
      <c r="LKP520" s="1358"/>
      <c r="LKQ520" s="1358"/>
      <c r="LKR520" s="1358"/>
      <c r="LKS520" s="1358"/>
      <c r="LKT520" s="1358"/>
      <c r="LKU520" s="1358"/>
      <c r="LKV520" s="1358"/>
      <c r="LKW520" s="1358"/>
      <c r="LKX520" s="1358"/>
      <c r="LKY520" s="1358"/>
      <c r="LKZ520" s="1358"/>
      <c r="LLA520" s="1358"/>
      <c r="LLB520" s="1358"/>
      <c r="LLC520" s="1358"/>
      <c r="LLD520" s="1358"/>
      <c r="LLE520" s="1358"/>
      <c r="LLF520" s="1358"/>
      <c r="LLG520" s="1358"/>
      <c r="LLH520" s="1358"/>
      <c r="LLI520" s="1358"/>
      <c r="LLJ520" s="1358"/>
      <c r="LLK520" s="1358"/>
      <c r="LLL520" s="1358"/>
      <c r="LLM520" s="1358"/>
      <c r="LLN520" s="1358"/>
      <c r="LLO520" s="1358"/>
      <c r="LLP520" s="1358"/>
      <c r="LLQ520" s="1358"/>
      <c r="LLR520" s="1358"/>
      <c r="LLS520" s="1358"/>
      <c r="LLT520" s="1358"/>
      <c r="LLU520" s="1358"/>
      <c r="LLV520" s="1358"/>
      <c r="LLW520" s="1358"/>
      <c r="LLX520" s="1358"/>
      <c r="LLY520" s="1358"/>
      <c r="LLZ520" s="1358"/>
      <c r="LMA520" s="1358"/>
      <c r="LMB520" s="1358"/>
      <c r="LMC520" s="1358"/>
      <c r="LMD520" s="1358"/>
      <c r="LME520" s="1358"/>
      <c r="LMF520" s="1358"/>
      <c r="LMG520" s="1358"/>
      <c r="LMH520" s="1358"/>
      <c r="LMI520" s="1358"/>
      <c r="LMJ520" s="1358"/>
      <c r="LMK520" s="1358"/>
      <c r="LML520" s="1358"/>
      <c r="LMM520" s="1358"/>
      <c r="LMN520" s="1358"/>
      <c r="LMO520" s="1358"/>
      <c r="LMP520" s="1358"/>
      <c r="LMQ520" s="1358"/>
      <c r="LMR520" s="1358"/>
      <c r="LMS520" s="1358"/>
      <c r="LMT520" s="1358"/>
      <c r="LMU520" s="1358"/>
      <c r="LMV520" s="1358"/>
      <c r="LMW520" s="1358"/>
      <c r="LMX520" s="1358"/>
      <c r="LMY520" s="1358"/>
      <c r="LMZ520" s="1358"/>
      <c r="LNA520" s="1358"/>
      <c r="LNB520" s="1358"/>
      <c r="LNC520" s="1358"/>
      <c r="LND520" s="1358"/>
      <c r="LNE520" s="1358"/>
      <c r="LNF520" s="1358"/>
      <c r="LNG520" s="1358"/>
      <c r="LNH520" s="1358"/>
      <c r="LNI520" s="1358"/>
      <c r="LNJ520" s="1358"/>
      <c r="LNK520" s="1358"/>
      <c r="LNL520" s="1358"/>
      <c r="LNM520" s="1358"/>
      <c r="LNN520" s="1358"/>
      <c r="LNO520" s="1358"/>
      <c r="LNP520" s="1358"/>
      <c r="LNQ520" s="1358"/>
      <c r="LNR520" s="1358"/>
      <c r="LNS520" s="1358"/>
      <c r="LNT520" s="1358"/>
      <c r="LNU520" s="1358"/>
      <c r="LNV520" s="1358"/>
      <c r="LNW520" s="1358"/>
      <c r="LNX520" s="1358"/>
      <c r="LNY520" s="1358"/>
      <c r="LNZ520" s="1358"/>
      <c r="LOA520" s="1358"/>
      <c r="LOB520" s="1358"/>
      <c r="LOC520" s="1358"/>
      <c r="LOD520" s="1358"/>
      <c r="LOE520" s="1358"/>
      <c r="LOF520" s="1358"/>
      <c r="LOG520" s="1358"/>
      <c r="LOH520" s="1358"/>
      <c r="LOI520" s="1358"/>
      <c r="LOJ520" s="1358"/>
      <c r="LOK520" s="1358"/>
      <c r="LOL520" s="1358"/>
      <c r="LOM520" s="1358"/>
      <c r="LON520" s="1358"/>
      <c r="LOO520" s="1358"/>
      <c r="LOP520" s="1358"/>
      <c r="LOQ520" s="1358"/>
      <c r="LOR520" s="1358"/>
      <c r="LOS520" s="1358"/>
      <c r="LOT520" s="1358"/>
      <c r="LOU520" s="1358"/>
      <c r="LOV520" s="1358"/>
      <c r="LOW520" s="1358"/>
      <c r="LOX520" s="1358"/>
      <c r="LOY520" s="1358"/>
      <c r="LOZ520" s="1358"/>
      <c r="LPA520" s="1358"/>
      <c r="LPB520" s="1358"/>
      <c r="LPC520" s="1358"/>
      <c r="LPD520" s="1358"/>
      <c r="LPE520" s="1358"/>
      <c r="LPF520" s="1358"/>
      <c r="LPG520" s="1358"/>
      <c r="LPH520" s="1358"/>
      <c r="LPI520" s="1358"/>
      <c r="LPJ520" s="1358"/>
      <c r="LPK520" s="1358"/>
      <c r="LPL520" s="1358"/>
      <c r="LPM520" s="1358"/>
      <c r="LPN520" s="1358"/>
      <c r="LPO520" s="1358"/>
      <c r="LPP520" s="1358"/>
      <c r="LPQ520" s="1358"/>
      <c r="LPR520" s="1358"/>
      <c r="LPS520" s="1358"/>
      <c r="LPT520" s="1358"/>
      <c r="LPU520" s="1358"/>
      <c r="LPV520" s="1358"/>
      <c r="LPW520" s="1358"/>
      <c r="LPX520" s="1358"/>
      <c r="LPY520" s="1358"/>
      <c r="LPZ520" s="1358"/>
      <c r="LQA520" s="1358"/>
      <c r="LQB520" s="1358"/>
      <c r="LQC520" s="1358"/>
      <c r="LQD520" s="1358"/>
      <c r="LQE520" s="1358"/>
      <c r="LQF520" s="1358"/>
      <c r="LQG520" s="1358"/>
      <c r="LQH520" s="1358"/>
      <c r="LQI520" s="1358"/>
      <c r="LQJ520" s="1358"/>
      <c r="LQK520" s="1358"/>
      <c r="LQL520" s="1358"/>
      <c r="LQM520" s="1358"/>
      <c r="LQN520" s="1358"/>
      <c r="LQO520" s="1358"/>
      <c r="LQP520" s="1358"/>
      <c r="LQQ520" s="1358"/>
      <c r="LQR520" s="1358"/>
      <c r="LQS520" s="1358"/>
      <c r="LQT520" s="1358"/>
      <c r="LQU520" s="1358"/>
      <c r="LQV520" s="1358"/>
      <c r="LQW520" s="1358"/>
      <c r="LQX520" s="1358"/>
      <c r="LQY520" s="1358"/>
      <c r="LQZ520" s="1358"/>
      <c r="LRA520" s="1358"/>
      <c r="LRB520" s="1358"/>
      <c r="LRC520" s="1358"/>
      <c r="LRD520" s="1358"/>
      <c r="LRE520" s="1358"/>
      <c r="LRF520" s="1358"/>
      <c r="LRG520" s="1358"/>
      <c r="LRH520" s="1358"/>
      <c r="LRI520" s="1358"/>
      <c r="LRJ520" s="1358"/>
      <c r="LRK520" s="1358"/>
      <c r="LRL520" s="1358"/>
      <c r="LRM520" s="1358"/>
      <c r="LRN520" s="1358"/>
      <c r="LRO520" s="1358"/>
      <c r="LRP520" s="1358"/>
      <c r="LRQ520" s="1358"/>
      <c r="LRR520" s="1358"/>
      <c r="LRS520" s="1358"/>
      <c r="LRT520" s="1358"/>
      <c r="LRU520" s="1358"/>
      <c r="LRV520" s="1358"/>
      <c r="LRW520" s="1358"/>
      <c r="LRX520" s="1358"/>
      <c r="LRY520" s="1358"/>
      <c r="LRZ520" s="1358"/>
      <c r="LSA520" s="1358"/>
      <c r="LSB520" s="1358"/>
      <c r="LSC520" s="1358"/>
      <c r="LSD520" s="1358"/>
      <c r="LSE520" s="1358"/>
      <c r="LSF520" s="1358"/>
      <c r="LSG520" s="1358"/>
      <c r="LSH520" s="1358"/>
      <c r="LSI520" s="1358"/>
      <c r="LSJ520" s="1358"/>
      <c r="LSK520" s="1358"/>
      <c r="LSL520" s="1358"/>
      <c r="LSM520" s="1358"/>
      <c r="LSN520" s="1358"/>
      <c r="LSO520" s="1358"/>
      <c r="LSP520" s="1358"/>
      <c r="LSQ520" s="1358"/>
      <c r="LSR520" s="1358"/>
      <c r="LSS520" s="1358"/>
      <c r="LST520" s="1358"/>
      <c r="LSU520" s="1358"/>
      <c r="LSV520" s="1358"/>
      <c r="LSW520" s="1358"/>
      <c r="LSX520" s="1358"/>
      <c r="LSY520" s="1358"/>
      <c r="LSZ520" s="1358"/>
      <c r="LTA520" s="1358"/>
      <c r="LTB520" s="1358"/>
      <c r="LTC520" s="1358"/>
      <c r="LTD520" s="1358"/>
      <c r="LTE520" s="1358"/>
      <c r="LTF520" s="1358"/>
      <c r="LTG520" s="1358"/>
      <c r="LTH520" s="1358"/>
      <c r="LTI520" s="1358"/>
      <c r="LTJ520" s="1358"/>
      <c r="LTK520" s="1358"/>
      <c r="LTL520" s="1358"/>
      <c r="LTM520" s="1358"/>
      <c r="LTN520" s="1358"/>
      <c r="LTO520" s="1358"/>
      <c r="LTP520" s="1358"/>
      <c r="LTQ520" s="1358"/>
      <c r="LTR520" s="1358"/>
      <c r="LTS520" s="1358"/>
      <c r="LTT520" s="1358"/>
      <c r="LTU520" s="1358"/>
      <c r="LTV520" s="1358"/>
      <c r="LTW520" s="1358"/>
      <c r="LTX520" s="1358"/>
      <c r="LTY520" s="1358"/>
      <c r="LTZ520" s="1358"/>
      <c r="LUA520" s="1358"/>
      <c r="LUB520" s="1358"/>
      <c r="LUC520" s="1358"/>
      <c r="LUD520" s="1358"/>
      <c r="LUE520" s="1358"/>
      <c r="LUF520" s="1358"/>
      <c r="LUG520" s="1358"/>
      <c r="LUH520" s="1358"/>
      <c r="LUI520" s="1358"/>
      <c r="LUJ520" s="1358"/>
      <c r="LUK520" s="1358"/>
      <c r="LUL520" s="1358"/>
      <c r="LUM520" s="1358"/>
      <c r="LUN520" s="1358"/>
      <c r="LUO520" s="1358"/>
      <c r="LUP520" s="1358"/>
      <c r="LUQ520" s="1358"/>
      <c r="LUR520" s="1358"/>
      <c r="LUS520" s="1358"/>
      <c r="LUT520" s="1358"/>
      <c r="LUU520" s="1358"/>
      <c r="LUV520" s="1358"/>
      <c r="LUW520" s="1358"/>
      <c r="LUX520" s="1358"/>
      <c r="LUY520" s="1358"/>
      <c r="LUZ520" s="1358"/>
      <c r="LVA520" s="1358"/>
      <c r="LVB520" s="1358"/>
      <c r="LVC520" s="1358"/>
      <c r="LVD520" s="1358"/>
      <c r="LVE520" s="1358"/>
      <c r="LVF520" s="1358"/>
      <c r="LVG520" s="1358"/>
      <c r="LVH520" s="1358"/>
      <c r="LVI520" s="1358"/>
      <c r="LVJ520" s="1358"/>
      <c r="LVK520" s="1358"/>
      <c r="LVL520" s="1358"/>
      <c r="LVM520" s="1358"/>
      <c r="LVN520" s="1358"/>
      <c r="LVO520" s="1358"/>
      <c r="LVP520" s="1358"/>
      <c r="LVQ520" s="1358"/>
      <c r="LVR520" s="1358"/>
      <c r="LVS520" s="1358"/>
      <c r="LVT520" s="1358"/>
      <c r="LVU520" s="1358"/>
      <c r="LVV520" s="1358"/>
      <c r="LVW520" s="1358"/>
      <c r="LVX520" s="1358"/>
      <c r="LVY520" s="1358"/>
      <c r="LVZ520" s="1358"/>
      <c r="LWA520" s="1358"/>
      <c r="LWB520" s="1358"/>
      <c r="LWC520" s="1358"/>
      <c r="LWD520" s="1358"/>
      <c r="LWE520" s="1358"/>
      <c r="LWF520" s="1358"/>
      <c r="LWG520" s="1358"/>
      <c r="LWH520" s="1358"/>
      <c r="LWI520" s="1358"/>
      <c r="LWJ520" s="1358"/>
      <c r="LWK520" s="1358"/>
      <c r="LWL520" s="1358"/>
      <c r="LWM520" s="1358"/>
      <c r="LWN520" s="1358"/>
      <c r="LWO520" s="1358"/>
      <c r="LWP520" s="1358"/>
      <c r="LWQ520" s="1358"/>
      <c r="LWR520" s="1358"/>
      <c r="LWS520" s="1358"/>
      <c r="LWT520" s="1358"/>
      <c r="LWU520" s="1358"/>
      <c r="LWV520" s="1358"/>
      <c r="LWW520" s="1358"/>
      <c r="LWX520" s="1358"/>
      <c r="LWY520" s="1358"/>
      <c r="LWZ520" s="1358"/>
      <c r="LXA520" s="1358"/>
      <c r="LXB520" s="1358"/>
      <c r="LXC520" s="1358"/>
      <c r="LXD520" s="1358"/>
      <c r="LXE520" s="1358"/>
      <c r="LXF520" s="1358"/>
      <c r="LXG520" s="1358"/>
      <c r="LXH520" s="1358"/>
      <c r="LXI520" s="1358"/>
      <c r="LXJ520" s="1358"/>
      <c r="LXK520" s="1358"/>
      <c r="LXL520" s="1358"/>
      <c r="LXM520" s="1358"/>
      <c r="LXN520" s="1358"/>
      <c r="LXO520" s="1358"/>
      <c r="LXP520" s="1358"/>
      <c r="LXQ520" s="1358"/>
      <c r="LXR520" s="1358"/>
      <c r="LXS520" s="1358"/>
      <c r="LXT520" s="1358"/>
      <c r="LXU520" s="1358"/>
      <c r="LXV520" s="1358"/>
      <c r="LXW520" s="1358"/>
      <c r="LXX520" s="1358"/>
      <c r="LXY520" s="1358"/>
      <c r="LXZ520" s="1358"/>
      <c r="LYA520" s="1358"/>
      <c r="LYB520" s="1358"/>
      <c r="LYC520" s="1358"/>
      <c r="LYD520" s="1358"/>
      <c r="LYE520" s="1358"/>
      <c r="LYF520" s="1358"/>
      <c r="LYG520" s="1358"/>
      <c r="LYH520" s="1358"/>
      <c r="LYI520" s="1358"/>
      <c r="LYJ520" s="1358"/>
      <c r="LYK520" s="1358"/>
      <c r="LYL520" s="1358"/>
      <c r="LYM520" s="1358"/>
      <c r="LYN520" s="1358"/>
      <c r="LYO520" s="1358"/>
      <c r="LYP520" s="1358"/>
      <c r="LYQ520" s="1358"/>
      <c r="LYR520" s="1358"/>
      <c r="LYS520" s="1358"/>
      <c r="LYT520" s="1358"/>
      <c r="LYU520" s="1358"/>
      <c r="LYV520" s="1358"/>
      <c r="LYW520" s="1358"/>
      <c r="LYX520" s="1358"/>
      <c r="LYY520" s="1358"/>
      <c r="LYZ520" s="1358"/>
      <c r="LZA520" s="1358"/>
      <c r="LZB520" s="1358"/>
      <c r="LZC520" s="1358"/>
      <c r="LZD520" s="1358"/>
      <c r="LZE520" s="1358"/>
      <c r="LZF520" s="1358"/>
      <c r="LZG520" s="1358"/>
      <c r="LZH520" s="1358"/>
      <c r="LZI520" s="1358"/>
      <c r="LZJ520" s="1358"/>
      <c r="LZK520" s="1358"/>
      <c r="LZL520" s="1358"/>
      <c r="LZM520" s="1358"/>
      <c r="LZN520" s="1358"/>
      <c r="LZO520" s="1358"/>
      <c r="LZP520" s="1358"/>
      <c r="LZQ520" s="1358"/>
      <c r="LZR520" s="1358"/>
      <c r="LZS520" s="1358"/>
      <c r="LZT520" s="1358"/>
      <c r="LZU520" s="1358"/>
      <c r="LZV520" s="1358"/>
      <c r="LZW520" s="1358"/>
      <c r="LZX520" s="1358"/>
      <c r="LZY520" s="1358"/>
      <c r="LZZ520" s="1358"/>
      <c r="MAA520" s="1358"/>
      <c r="MAB520" s="1358"/>
      <c r="MAC520" s="1358"/>
      <c r="MAD520" s="1358"/>
      <c r="MAE520" s="1358"/>
      <c r="MAF520" s="1358"/>
      <c r="MAG520" s="1358"/>
      <c r="MAH520" s="1358"/>
      <c r="MAI520" s="1358"/>
      <c r="MAJ520" s="1358"/>
      <c r="MAK520" s="1358"/>
      <c r="MAL520" s="1358"/>
      <c r="MAM520" s="1358"/>
      <c r="MAN520" s="1358"/>
      <c r="MAO520" s="1358"/>
      <c r="MAP520" s="1358"/>
      <c r="MAQ520" s="1358"/>
      <c r="MAR520" s="1358"/>
      <c r="MAS520" s="1358"/>
      <c r="MAT520" s="1358"/>
      <c r="MAU520" s="1358"/>
      <c r="MAV520" s="1358"/>
      <c r="MAW520" s="1358"/>
      <c r="MAX520" s="1358"/>
      <c r="MAY520" s="1358"/>
      <c r="MAZ520" s="1358"/>
      <c r="MBA520" s="1358"/>
      <c r="MBB520" s="1358"/>
      <c r="MBC520" s="1358"/>
      <c r="MBD520" s="1358"/>
      <c r="MBE520" s="1358"/>
      <c r="MBF520" s="1358"/>
      <c r="MBG520" s="1358"/>
      <c r="MBH520" s="1358"/>
      <c r="MBI520" s="1358"/>
      <c r="MBJ520" s="1358"/>
      <c r="MBK520" s="1358"/>
      <c r="MBL520" s="1358"/>
      <c r="MBM520" s="1358"/>
      <c r="MBN520" s="1358"/>
      <c r="MBO520" s="1358"/>
      <c r="MBP520" s="1358"/>
      <c r="MBQ520" s="1358"/>
      <c r="MBR520" s="1358"/>
      <c r="MBS520" s="1358"/>
      <c r="MBT520" s="1358"/>
      <c r="MBU520" s="1358"/>
      <c r="MBV520" s="1358"/>
      <c r="MBW520" s="1358"/>
      <c r="MBX520" s="1358"/>
      <c r="MBY520" s="1358"/>
      <c r="MBZ520" s="1358"/>
      <c r="MCA520" s="1358"/>
      <c r="MCB520" s="1358"/>
      <c r="MCC520" s="1358"/>
      <c r="MCD520" s="1358"/>
      <c r="MCE520" s="1358"/>
      <c r="MCF520" s="1358"/>
      <c r="MCG520" s="1358"/>
      <c r="MCH520" s="1358"/>
      <c r="MCI520" s="1358"/>
      <c r="MCJ520" s="1358"/>
      <c r="MCK520" s="1358"/>
      <c r="MCL520" s="1358"/>
      <c r="MCM520" s="1358"/>
      <c r="MCN520" s="1358"/>
      <c r="MCO520" s="1358"/>
      <c r="MCP520" s="1358"/>
      <c r="MCQ520" s="1358"/>
      <c r="MCR520" s="1358"/>
      <c r="MCS520" s="1358"/>
      <c r="MCT520" s="1358"/>
      <c r="MCU520" s="1358"/>
      <c r="MCV520" s="1358"/>
      <c r="MCW520" s="1358"/>
      <c r="MCX520" s="1358"/>
      <c r="MCY520" s="1358"/>
      <c r="MCZ520" s="1358"/>
      <c r="MDA520" s="1358"/>
      <c r="MDB520" s="1358"/>
      <c r="MDC520" s="1358"/>
      <c r="MDD520" s="1358"/>
      <c r="MDE520" s="1358"/>
      <c r="MDF520" s="1358"/>
      <c r="MDG520" s="1358"/>
      <c r="MDH520" s="1358"/>
      <c r="MDI520" s="1358"/>
      <c r="MDJ520" s="1358"/>
      <c r="MDK520" s="1358"/>
      <c r="MDL520" s="1358"/>
      <c r="MDM520" s="1358"/>
      <c r="MDN520" s="1358"/>
      <c r="MDO520" s="1358"/>
      <c r="MDP520" s="1358"/>
      <c r="MDQ520" s="1358"/>
      <c r="MDR520" s="1358"/>
      <c r="MDS520" s="1358"/>
      <c r="MDT520" s="1358"/>
      <c r="MDU520" s="1358"/>
      <c r="MDV520" s="1358"/>
      <c r="MDW520" s="1358"/>
      <c r="MDX520" s="1358"/>
      <c r="MDY520" s="1358"/>
      <c r="MDZ520" s="1358"/>
      <c r="MEA520" s="1358"/>
      <c r="MEB520" s="1358"/>
      <c r="MEC520" s="1358"/>
      <c r="MED520" s="1358"/>
      <c r="MEE520" s="1358"/>
      <c r="MEF520" s="1358"/>
      <c r="MEG520" s="1358"/>
      <c r="MEH520" s="1358"/>
      <c r="MEI520" s="1358"/>
      <c r="MEJ520" s="1358"/>
      <c r="MEK520" s="1358"/>
      <c r="MEL520" s="1358"/>
      <c r="MEM520" s="1358"/>
      <c r="MEN520" s="1358"/>
      <c r="MEO520" s="1358"/>
      <c r="MEP520" s="1358"/>
      <c r="MEQ520" s="1358"/>
      <c r="MER520" s="1358"/>
      <c r="MES520" s="1358"/>
      <c r="MET520" s="1358"/>
      <c r="MEU520" s="1358"/>
      <c r="MEV520" s="1358"/>
      <c r="MEW520" s="1358"/>
      <c r="MEX520" s="1358"/>
      <c r="MEY520" s="1358"/>
      <c r="MEZ520" s="1358"/>
      <c r="MFA520" s="1358"/>
      <c r="MFB520" s="1358"/>
      <c r="MFC520" s="1358"/>
      <c r="MFD520" s="1358"/>
      <c r="MFE520" s="1358"/>
      <c r="MFF520" s="1358"/>
      <c r="MFG520" s="1358"/>
      <c r="MFH520" s="1358"/>
      <c r="MFI520" s="1358"/>
      <c r="MFJ520" s="1358"/>
      <c r="MFK520" s="1358"/>
      <c r="MFL520" s="1358"/>
      <c r="MFM520" s="1358"/>
      <c r="MFN520" s="1358"/>
      <c r="MFO520" s="1358"/>
      <c r="MFP520" s="1358"/>
      <c r="MFQ520" s="1358"/>
      <c r="MFR520" s="1358"/>
      <c r="MFS520" s="1358"/>
      <c r="MFT520" s="1358"/>
      <c r="MFU520" s="1358"/>
      <c r="MFV520" s="1358"/>
      <c r="MFW520" s="1358"/>
      <c r="MFX520" s="1358"/>
      <c r="MFY520" s="1358"/>
      <c r="MFZ520" s="1358"/>
      <c r="MGA520" s="1358"/>
      <c r="MGB520" s="1358"/>
      <c r="MGC520" s="1358"/>
      <c r="MGD520" s="1358"/>
      <c r="MGE520" s="1358"/>
      <c r="MGF520" s="1358"/>
      <c r="MGG520" s="1358"/>
      <c r="MGH520" s="1358"/>
      <c r="MGI520" s="1358"/>
      <c r="MGJ520" s="1358"/>
      <c r="MGK520" s="1358"/>
      <c r="MGL520" s="1358"/>
      <c r="MGM520" s="1358"/>
      <c r="MGN520" s="1358"/>
      <c r="MGO520" s="1358"/>
      <c r="MGP520" s="1358"/>
      <c r="MGQ520" s="1358"/>
      <c r="MGR520" s="1358"/>
      <c r="MGS520" s="1358"/>
      <c r="MGT520" s="1358"/>
      <c r="MGU520" s="1358"/>
      <c r="MGV520" s="1358"/>
      <c r="MGW520" s="1358"/>
      <c r="MGX520" s="1358"/>
      <c r="MGY520" s="1358"/>
      <c r="MGZ520" s="1358"/>
      <c r="MHA520" s="1358"/>
      <c r="MHB520" s="1358"/>
      <c r="MHC520" s="1358"/>
      <c r="MHD520" s="1358"/>
      <c r="MHE520" s="1358"/>
      <c r="MHF520" s="1358"/>
      <c r="MHG520" s="1358"/>
      <c r="MHH520" s="1358"/>
      <c r="MHI520" s="1358"/>
      <c r="MHJ520" s="1358"/>
      <c r="MHK520" s="1358"/>
      <c r="MHL520" s="1358"/>
      <c r="MHM520" s="1358"/>
      <c r="MHN520" s="1358"/>
      <c r="MHO520" s="1358"/>
      <c r="MHP520" s="1358"/>
      <c r="MHQ520" s="1358"/>
      <c r="MHR520" s="1358"/>
      <c r="MHS520" s="1358"/>
      <c r="MHT520" s="1358"/>
      <c r="MHU520" s="1358"/>
      <c r="MHV520" s="1358"/>
      <c r="MHW520" s="1358"/>
      <c r="MHX520" s="1358"/>
      <c r="MHY520" s="1358"/>
      <c r="MHZ520" s="1358"/>
      <c r="MIA520" s="1358"/>
      <c r="MIB520" s="1358"/>
      <c r="MIC520" s="1358"/>
      <c r="MID520" s="1358"/>
      <c r="MIE520" s="1358"/>
      <c r="MIF520" s="1358"/>
      <c r="MIG520" s="1358"/>
      <c r="MIH520" s="1358"/>
      <c r="MII520" s="1358"/>
      <c r="MIJ520" s="1358"/>
      <c r="MIK520" s="1358"/>
      <c r="MIL520" s="1358"/>
      <c r="MIM520" s="1358"/>
      <c r="MIN520" s="1358"/>
      <c r="MIO520" s="1358"/>
      <c r="MIP520" s="1358"/>
      <c r="MIQ520" s="1358"/>
      <c r="MIR520" s="1358"/>
      <c r="MIS520" s="1358"/>
      <c r="MIT520" s="1358"/>
      <c r="MIU520" s="1358"/>
      <c r="MIV520" s="1358"/>
      <c r="MIW520" s="1358"/>
      <c r="MIX520" s="1358"/>
      <c r="MIY520" s="1358"/>
      <c r="MIZ520" s="1358"/>
      <c r="MJA520" s="1358"/>
      <c r="MJB520" s="1358"/>
      <c r="MJC520" s="1358"/>
      <c r="MJD520" s="1358"/>
      <c r="MJE520" s="1358"/>
      <c r="MJF520" s="1358"/>
      <c r="MJG520" s="1358"/>
      <c r="MJH520" s="1358"/>
      <c r="MJI520" s="1358"/>
      <c r="MJJ520" s="1358"/>
      <c r="MJK520" s="1358"/>
      <c r="MJL520" s="1358"/>
      <c r="MJM520" s="1358"/>
      <c r="MJN520" s="1358"/>
      <c r="MJO520" s="1358"/>
      <c r="MJP520" s="1358"/>
      <c r="MJQ520" s="1358"/>
      <c r="MJR520" s="1358"/>
      <c r="MJS520" s="1358"/>
      <c r="MJT520" s="1358"/>
      <c r="MJU520" s="1358"/>
      <c r="MJV520" s="1358"/>
      <c r="MJW520" s="1358"/>
      <c r="MJX520" s="1358"/>
      <c r="MJY520" s="1358"/>
      <c r="MJZ520" s="1358"/>
      <c r="MKA520" s="1358"/>
      <c r="MKB520" s="1358"/>
      <c r="MKC520" s="1358"/>
      <c r="MKD520" s="1358"/>
      <c r="MKE520" s="1358"/>
      <c r="MKF520" s="1358"/>
      <c r="MKG520" s="1358"/>
      <c r="MKH520" s="1358"/>
      <c r="MKI520" s="1358"/>
      <c r="MKJ520" s="1358"/>
      <c r="MKK520" s="1358"/>
      <c r="MKL520" s="1358"/>
      <c r="MKM520" s="1358"/>
      <c r="MKN520" s="1358"/>
      <c r="MKO520" s="1358"/>
      <c r="MKP520" s="1358"/>
      <c r="MKQ520" s="1358"/>
      <c r="MKR520" s="1358"/>
      <c r="MKS520" s="1358"/>
      <c r="MKT520" s="1358"/>
      <c r="MKU520" s="1358"/>
      <c r="MKV520" s="1358"/>
      <c r="MKW520" s="1358"/>
      <c r="MKX520" s="1358"/>
      <c r="MKY520" s="1358"/>
      <c r="MKZ520" s="1358"/>
      <c r="MLA520" s="1358"/>
      <c r="MLB520" s="1358"/>
      <c r="MLC520" s="1358"/>
      <c r="MLD520" s="1358"/>
      <c r="MLE520" s="1358"/>
      <c r="MLF520" s="1358"/>
      <c r="MLG520" s="1358"/>
      <c r="MLH520" s="1358"/>
      <c r="MLI520" s="1358"/>
      <c r="MLJ520" s="1358"/>
      <c r="MLK520" s="1358"/>
      <c r="MLL520" s="1358"/>
      <c r="MLM520" s="1358"/>
      <c r="MLN520" s="1358"/>
      <c r="MLO520" s="1358"/>
      <c r="MLP520" s="1358"/>
      <c r="MLQ520" s="1358"/>
      <c r="MLR520" s="1358"/>
      <c r="MLS520" s="1358"/>
      <c r="MLT520" s="1358"/>
      <c r="MLU520" s="1358"/>
      <c r="MLV520" s="1358"/>
      <c r="MLW520" s="1358"/>
      <c r="MLX520" s="1358"/>
      <c r="MLY520" s="1358"/>
      <c r="MLZ520" s="1358"/>
      <c r="MMA520" s="1358"/>
      <c r="MMB520" s="1358"/>
      <c r="MMC520" s="1358"/>
      <c r="MMD520" s="1358"/>
      <c r="MME520" s="1358"/>
      <c r="MMF520" s="1358"/>
      <c r="MMG520" s="1358"/>
      <c r="MMH520" s="1358"/>
      <c r="MMI520" s="1358"/>
      <c r="MMJ520" s="1358"/>
      <c r="MMK520" s="1358"/>
      <c r="MML520" s="1358"/>
      <c r="MMM520" s="1358"/>
      <c r="MMN520" s="1358"/>
      <c r="MMO520" s="1358"/>
      <c r="MMP520" s="1358"/>
      <c r="MMQ520" s="1358"/>
      <c r="MMR520" s="1358"/>
      <c r="MMS520" s="1358"/>
      <c r="MMT520" s="1358"/>
      <c r="MMU520" s="1358"/>
      <c r="MMV520" s="1358"/>
      <c r="MMW520" s="1358"/>
      <c r="MMX520" s="1358"/>
      <c r="MMY520" s="1358"/>
      <c r="MMZ520" s="1358"/>
      <c r="MNA520" s="1358"/>
      <c r="MNB520" s="1358"/>
      <c r="MNC520" s="1358"/>
      <c r="MND520" s="1358"/>
      <c r="MNE520" s="1358"/>
      <c r="MNF520" s="1358"/>
      <c r="MNG520" s="1358"/>
      <c r="MNH520" s="1358"/>
      <c r="MNI520" s="1358"/>
      <c r="MNJ520" s="1358"/>
      <c r="MNK520" s="1358"/>
      <c r="MNL520" s="1358"/>
      <c r="MNM520" s="1358"/>
      <c r="MNN520" s="1358"/>
      <c r="MNO520" s="1358"/>
      <c r="MNP520" s="1358"/>
      <c r="MNQ520" s="1358"/>
      <c r="MNR520" s="1358"/>
      <c r="MNS520" s="1358"/>
      <c r="MNT520" s="1358"/>
      <c r="MNU520" s="1358"/>
      <c r="MNV520" s="1358"/>
      <c r="MNW520" s="1358"/>
      <c r="MNX520" s="1358"/>
      <c r="MNY520" s="1358"/>
      <c r="MNZ520" s="1358"/>
      <c r="MOA520" s="1358"/>
      <c r="MOB520" s="1358"/>
      <c r="MOC520" s="1358"/>
      <c r="MOD520" s="1358"/>
      <c r="MOE520" s="1358"/>
      <c r="MOF520" s="1358"/>
      <c r="MOG520" s="1358"/>
      <c r="MOH520" s="1358"/>
      <c r="MOI520" s="1358"/>
      <c r="MOJ520" s="1358"/>
      <c r="MOK520" s="1358"/>
      <c r="MOL520" s="1358"/>
      <c r="MOM520" s="1358"/>
      <c r="MON520" s="1358"/>
      <c r="MOO520" s="1358"/>
      <c r="MOP520" s="1358"/>
      <c r="MOQ520" s="1358"/>
      <c r="MOR520" s="1358"/>
      <c r="MOS520" s="1358"/>
      <c r="MOT520" s="1358"/>
      <c r="MOU520" s="1358"/>
      <c r="MOV520" s="1358"/>
      <c r="MOW520" s="1358"/>
      <c r="MOX520" s="1358"/>
      <c r="MOY520" s="1358"/>
      <c r="MOZ520" s="1358"/>
      <c r="MPA520" s="1358"/>
      <c r="MPB520" s="1358"/>
      <c r="MPC520" s="1358"/>
      <c r="MPD520" s="1358"/>
      <c r="MPE520" s="1358"/>
      <c r="MPF520" s="1358"/>
      <c r="MPG520" s="1358"/>
      <c r="MPH520" s="1358"/>
      <c r="MPI520" s="1358"/>
      <c r="MPJ520" s="1358"/>
      <c r="MPK520" s="1358"/>
      <c r="MPL520" s="1358"/>
      <c r="MPM520" s="1358"/>
      <c r="MPN520" s="1358"/>
      <c r="MPO520" s="1358"/>
      <c r="MPP520" s="1358"/>
      <c r="MPQ520" s="1358"/>
      <c r="MPR520" s="1358"/>
      <c r="MPS520" s="1358"/>
      <c r="MPT520" s="1358"/>
      <c r="MPU520" s="1358"/>
      <c r="MPV520" s="1358"/>
      <c r="MPW520" s="1358"/>
      <c r="MPX520" s="1358"/>
      <c r="MPY520" s="1358"/>
      <c r="MPZ520" s="1358"/>
      <c r="MQA520" s="1358"/>
      <c r="MQB520" s="1358"/>
      <c r="MQC520" s="1358"/>
      <c r="MQD520" s="1358"/>
      <c r="MQE520" s="1358"/>
      <c r="MQF520" s="1358"/>
      <c r="MQG520" s="1358"/>
      <c r="MQH520" s="1358"/>
      <c r="MQI520" s="1358"/>
      <c r="MQJ520" s="1358"/>
      <c r="MQK520" s="1358"/>
      <c r="MQL520" s="1358"/>
      <c r="MQM520" s="1358"/>
      <c r="MQN520" s="1358"/>
      <c r="MQO520" s="1358"/>
      <c r="MQP520" s="1358"/>
      <c r="MQQ520" s="1358"/>
      <c r="MQR520" s="1358"/>
      <c r="MQS520" s="1358"/>
      <c r="MQT520" s="1358"/>
      <c r="MQU520" s="1358"/>
      <c r="MQV520" s="1358"/>
      <c r="MQW520" s="1358"/>
      <c r="MQX520" s="1358"/>
      <c r="MQY520" s="1358"/>
      <c r="MQZ520" s="1358"/>
      <c r="MRA520" s="1358"/>
      <c r="MRB520" s="1358"/>
      <c r="MRC520" s="1358"/>
      <c r="MRD520" s="1358"/>
      <c r="MRE520" s="1358"/>
      <c r="MRF520" s="1358"/>
      <c r="MRG520" s="1358"/>
      <c r="MRH520" s="1358"/>
      <c r="MRI520" s="1358"/>
      <c r="MRJ520" s="1358"/>
      <c r="MRK520" s="1358"/>
      <c r="MRL520" s="1358"/>
      <c r="MRM520" s="1358"/>
      <c r="MRN520" s="1358"/>
      <c r="MRO520" s="1358"/>
      <c r="MRP520" s="1358"/>
      <c r="MRQ520" s="1358"/>
      <c r="MRR520" s="1358"/>
      <c r="MRS520" s="1358"/>
      <c r="MRT520" s="1358"/>
      <c r="MRU520" s="1358"/>
      <c r="MRV520" s="1358"/>
      <c r="MRW520" s="1358"/>
      <c r="MRX520" s="1358"/>
      <c r="MRY520" s="1358"/>
      <c r="MRZ520" s="1358"/>
      <c r="MSA520" s="1358"/>
      <c r="MSB520" s="1358"/>
      <c r="MSC520" s="1358"/>
      <c r="MSD520" s="1358"/>
      <c r="MSE520" s="1358"/>
      <c r="MSF520" s="1358"/>
      <c r="MSG520" s="1358"/>
      <c r="MSH520" s="1358"/>
      <c r="MSI520" s="1358"/>
      <c r="MSJ520" s="1358"/>
      <c r="MSK520" s="1358"/>
      <c r="MSL520" s="1358"/>
      <c r="MSM520" s="1358"/>
      <c r="MSN520" s="1358"/>
      <c r="MSO520" s="1358"/>
      <c r="MSP520" s="1358"/>
      <c r="MSQ520" s="1358"/>
      <c r="MSR520" s="1358"/>
      <c r="MSS520" s="1358"/>
      <c r="MST520" s="1358"/>
      <c r="MSU520" s="1358"/>
      <c r="MSV520" s="1358"/>
      <c r="MSW520" s="1358"/>
      <c r="MSX520" s="1358"/>
      <c r="MSY520" s="1358"/>
      <c r="MSZ520" s="1358"/>
      <c r="MTA520" s="1358"/>
      <c r="MTB520" s="1358"/>
      <c r="MTC520" s="1358"/>
      <c r="MTD520" s="1358"/>
      <c r="MTE520" s="1358"/>
      <c r="MTF520" s="1358"/>
      <c r="MTG520" s="1358"/>
      <c r="MTH520" s="1358"/>
      <c r="MTI520" s="1358"/>
      <c r="MTJ520" s="1358"/>
      <c r="MTK520" s="1358"/>
      <c r="MTL520" s="1358"/>
      <c r="MTM520" s="1358"/>
      <c r="MTN520" s="1358"/>
      <c r="MTO520" s="1358"/>
      <c r="MTP520" s="1358"/>
      <c r="MTQ520" s="1358"/>
      <c r="MTR520" s="1358"/>
      <c r="MTS520" s="1358"/>
      <c r="MTT520" s="1358"/>
      <c r="MTU520" s="1358"/>
      <c r="MTV520" s="1358"/>
      <c r="MTW520" s="1358"/>
      <c r="MTX520" s="1358"/>
      <c r="MTY520" s="1358"/>
      <c r="MTZ520" s="1358"/>
      <c r="MUA520" s="1358"/>
      <c r="MUB520" s="1358"/>
      <c r="MUC520" s="1358"/>
      <c r="MUD520" s="1358"/>
      <c r="MUE520" s="1358"/>
      <c r="MUF520" s="1358"/>
      <c r="MUG520" s="1358"/>
      <c r="MUH520" s="1358"/>
      <c r="MUI520" s="1358"/>
      <c r="MUJ520" s="1358"/>
      <c r="MUK520" s="1358"/>
      <c r="MUL520" s="1358"/>
      <c r="MUM520" s="1358"/>
      <c r="MUN520" s="1358"/>
      <c r="MUO520" s="1358"/>
      <c r="MUP520" s="1358"/>
      <c r="MUQ520" s="1358"/>
      <c r="MUR520" s="1358"/>
      <c r="MUS520" s="1358"/>
      <c r="MUT520" s="1358"/>
      <c r="MUU520" s="1358"/>
      <c r="MUV520" s="1358"/>
      <c r="MUW520" s="1358"/>
      <c r="MUX520" s="1358"/>
      <c r="MUY520" s="1358"/>
      <c r="MUZ520" s="1358"/>
      <c r="MVA520" s="1358"/>
      <c r="MVB520" s="1358"/>
      <c r="MVC520" s="1358"/>
      <c r="MVD520" s="1358"/>
      <c r="MVE520" s="1358"/>
      <c r="MVF520" s="1358"/>
      <c r="MVG520" s="1358"/>
      <c r="MVH520" s="1358"/>
      <c r="MVI520" s="1358"/>
      <c r="MVJ520" s="1358"/>
      <c r="MVK520" s="1358"/>
      <c r="MVL520" s="1358"/>
      <c r="MVM520" s="1358"/>
      <c r="MVN520" s="1358"/>
      <c r="MVO520" s="1358"/>
      <c r="MVP520" s="1358"/>
      <c r="MVQ520" s="1358"/>
      <c r="MVR520" s="1358"/>
      <c r="MVS520" s="1358"/>
      <c r="MVT520" s="1358"/>
      <c r="MVU520" s="1358"/>
      <c r="MVV520" s="1358"/>
      <c r="MVW520" s="1358"/>
      <c r="MVX520" s="1358"/>
      <c r="MVY520" s="1358"/>
      <c r="MVZ520" s="1358"/>
      <c r="MWA520" s="1358"/>
      <c r="MWB520" s="1358"/>
      <c r="MWC520" s="1358"/>
      <c r="MWD520" s="1358"/>
      <c r="MWE520" s="1358"/>
      <c r="MWF520" s="1358"/>
      <c r="MWG520" s="1358"/>
      <c r="MWH520" s="1358"/>
      <c r="MWI520" s="1358"/>
      <c r="MWJ520" s="1358"/>
      <c r="MWK520" s="1358"/>
      <c r="MWL520" s="1358"/>
      <c r="MWM520" s="1358"/>
      <c r="MWN520" s="1358"/>
      <c r="MWO520" s="1358"/>
      <c r="MWP520" s="1358"/>
      <c r="MWQ520" s="1358"/>
      <c r="MWR520" s="1358"/>
      <c r="MWS520" s="1358"/>
      <c r="MWT520" s="1358"/>
      <c r="MWU520" s="1358"/>
      <c r="MWV520" s="1358"/>
      <c r="MWW520" s="1358"/>
      <c r="MWX520" s="1358"/>
      <c r="MWY520" s="1358"/>
      <c r="MWZ520" s="1358"/>
      <c r="MXA520" s="1358"/>
      <c r="MXB520" s="1358"/>
      <c r="MXC520" s="1358"/>
      <c r="MXD520" s="1358"/>
      <c r="MXE520" s="1358"/>
      <c r="MXF520" s="1358"/>
      <c r="MXG520" s="1358"/>
      <c r="MXH520" s="1358"/>
      <c r="MXI520" s="1358"/>
      <c r="MXJ520" s="1358"/>
      <c r="MXK520" s="1358"/>
      <c r="MXL520" s="1358"/>
      <c r="MXM520" s="1358"/>
      <c r="MXN520" s="1358"/>
      <c r="MXO520" s="1358"/>
      <c r="MXP520" s="1358"/>
      <c r="MXQ520" s="1358"/>
      <c r="MXR520" s="1358"/>
      <c r="MXS520" s="1358"/>
      <c r="MXT520" s="1358"/>
      <c r="MXU520" s="1358"/>
      <c r="MXV520" s="1358"/>
      <c r="MXW520" s="1358"/>
      <c r="MXX520" s="1358"/>
      <c r="MXY520" s="1358"/>
      <c r="MXZ520" s="1358"/>
      <c r="MYA520" s="1358"/>
      <c r="MYB520" s="1358"/>
      <c r="MYC520" s="1358"/>
      <c r="MYD520" s="1358"/>
      <c r="MYE520" s="1358"/>
      <c r="MYF520" s="1358"/>
      <c r="MYG520" s="1358"/>
      <c r="MYH520" s="1358"/>
      <c r="MYI520" s="1358"/>
      <c r="MYJ520" s="1358"/>
      <c r="MYK520" s="1358"/>
      <c r="MYL520" s="1358"/>
      <c r="MYM520" s="1358"/>
      <c r="MYN520" s="1358"/>
      <c r="MYO520" s="1358"/>
      <c r="MYP520" s="1358"/>
      <c r="MYQ520" s="1358"/>
      <c r="MYR520" s="1358"/>
      <c r="MYS520" s="1358"/>
      <c r="MYT520" s="1358"/>
      <c r="MYU520" s="1358"/>
      <c r="MYV520" s="1358"/>
      <c r="MYW520" s="1358"/>
      <c r="MYX520" s="1358"/>
      <c r="MYY520" s="1358"/>
      <c r="MYZ520" s="1358"/>
      <c r="MZA520" s="1358"/>
      <c r="MZB520" s="1358"/>
      <c r="MZC520" s="1358"/>
      <c r="MZD520" s="1358"/>
      <c r="MZE520" s="1358"/>
      <c r="MZF520" s="1358"/>
      <c r="MZG520" s="1358"/>
      <c r="MZH520" s="1358"/>
      <c r="MZI520" s="1358"/>
      <c r="MZJ520" s="1358"/>
      <c r="MZK520" s="1358"/>
      <c r="MZL520" s="1358"/>
      <c r="MZM520" s="1358"/>
      <c r="MZN520" s="1358"/>
      <c r="MZO520" s="1358"/>
      <c r="MZP520" s="1358"/>
      <c r="MZQ520" s="1358"/>
      <c r="MZR520" s="1358"/>
      <c r="MZS520" s="1358"/>
      <c r="MZT520" s="1358"/>
      <c r="MZU520" s="1358"/>
      <c r="MZV520" s="1358"/>
      <c r="MZW520" s="1358"/>
      <c r="MZX520" s="1358"/>
      <c r="MZY520" s="1358"/>
      <c r="MZZ520" s="1358"/>
      <c r="NAA520" s="1358"/>
      <c r="NAB520" s="1358"/>
      <c r="NAC520" s="1358"/>
      <c r="NAD520" s="1358"/>
      <c r="NAE520" s="1358"/>
      <c r="NAF520" s="1358"/>
      <c r="NAG520" s="1358"/>
      <c r="NAH520" s="1358"/>
      <c r="NAI520" s="1358"/>
      <c r="NAJ520" s="1358"/>
      <c r="NAK520" s="1358"/>
      <c r="NAL520" s="1358"/>
      <c r="NAM520" s="1358"/>
      <c r="NAN520" s="1358"/>
      <c r="NAO520" s="1358"/>
      <c r="NAP520" s="1358"/>
      <c r="NAQ520" s="1358"/>
      <c r="NAR520" s="1358"/>
      <c r="NAS520" s="1358"/>
      <c r="NAT520" s="1358"/>
      <c r="NAU520" s="1358"/>
      <c r="NAV520" s="1358"/>
      <c r="NAW520" s="1358"/>
      <c r="NAX520" s="1358"/>
      <c r="NAY520" s="1358"/>
      <c r="NAZ520" s="1358"/>
      <c r="NBA520" s="1358"/>
      <c r="NBB520" s="1358"/>
      <c r="NBC520" s="1358"/>
      <c r="NBD520" s="1358"/>
      <c r="NBE520" s="1358"/>
      <c r="NBF520" s="1358"/>
      <c r="NBG520" s="1358"/>
      <c r="NBH520" s="1358"/>
      <c r="NBI520" s="1358"/>
      <c r="NBJ520" s="1358"/>
      <c r="NBK520" s="1358"/>
      <c r="NBL520" s="1358"/>
      <c r="NBM520" s="1358"/>
      <c r="NBN520" s="1358"/>
      <c r="NBO520" s="1358"/>
      <c r="NBP520" s="1358"/>
      <c r="NBQ520" s="1358"/>
      <c r="NBR520" s="1358"/>
      <c r="NBS520" s="1358"/>
      <c r="NBT520" s="1358"/>
      <c r="NBU520" s="1358"/>
      <c r="NBV520" s="1358"/>
      <c r="NBW520" s="1358"/>
      <c r="NBX520" s="1358"/>
      <c r="NBY520" s="1358"/>
      <c r="NBZ520" s="1358"/>
      <c r="NCA520" s="1358"/>
      <c r="NCB520" s="1358"/>
      <c r="NCC520" s="1358"/>
      <c r="NCD520" s="1358"/>
      <c r="NCE520" s="1358"/>
      <c r="NCF520" s="1358"/>
      <c r="NCG520" s="1358"/>
      <c r="NCH520" s="1358"/>
      <c r="NCI520" s="1358"/>
      <c r="NCJ520" s="1358"/>
      <c r="NCK520" s="1358"/>
      <c r="NCL520" s="1358"/>
      <c r="NCM520" s="1358"/>
      <c r="NCN520" s="1358"/>
      <c r="NCO520" s="1358"/>
      <c r="NCP520" s="1358"/>
      <c r="NCQ520" s="1358"/>
      <c r="NCR520" s="1358"/>
      <c r="NCS520" s="1358"/>
      <c r="NCT520" s="1358"/>
      <c r="NCU520" s="1358"/>
      <c r="NCV520" s="1358"/>
      <c r="NCW520" s="1358"/>
      <c r="NCX520" s="1358"/>
      <c r="NCY520" s="1358"/>
      <c r="NCZ520" s="1358"/>
      <c r="NDA520" s="1358"/>
      <c r="NDB520" s="1358"/>
      <c r="NDC520" s="1358"/>
      <c r="NDD520" s="1358"/>
      <c r="NDE520" s="1358"/>
      <c r="NDF520" s="1358"/>
      <c r="NDG520" s="1358"/>
      <c r="NDH520" s="1358"/>
      <c r="NDI520" s="1358"/>
      <c r="NDJ520" s="1358"/>
      <c r="NDK520" s="1358"/>
      <c r="NDL520" s="1358"/>
      <c r="NDM520" s="1358"/>
      <c r="NDN520" s="1358"/>
      <c r="NDO520" s="1358"/>
      <c r="NDP520" s="1358"/>
      <c r="NDQ520" s="1358"/>
      <c r="NDR520" s="1358"/>
      <c r="NDS520" s="1358"/>
      <c r="NDT520" s="1358"/>
      <c r="NDU520" s="1358"/>
      <c r="NDV520" s="1358"/>
      <c r="NDW520" s="1358"/>
      <c r="NDX520" s="1358"/>
      <c r="NDY520" s="1358"/>
      <c r="NDZ520" s="1358"/>
      <c r="NEA520" s="1358"/>
      <c r="NEB520" s="1358"/>
      <c r="NEC520" s="1358"/>
      <c r="NED520" s="1358"/>
      <c r="NEE520" s="1358"/>
      <c r="NEF520" s="1358"/>
      <c r="NEG520" s="1358"/>
      <c r="NEH520" s="1358"/>
      <c r="NEI520" s="1358"/>
      <c r="NEJ520" s="1358"/>
      <c r="NEK520" s="1358"/>
      <c r="NEL520" s="1358"/>
      <c r="NEM520" s="1358"/>
      <c r="NEN520" s="1358"/>
      <c r="NEO520" s="1358"/>
      <c r="NEP520" s="1358"/>
      <c r="NEQ520" s="1358"/>
      <c r="NER520" s="1358"/>
      <c r="NES520" s="1358"/>
      <c r="NET520" s="1358"/>
      <c r="NEU520" s="1358"/>
      <c r="NEV520" s="1358"/>
      <c r="NEW520" s="1358"/>
      <c r="NEX520" s="1358"/>
      <c r="NEY520" s="1358"/>
      <c r="NEZ520" s="1358"/>
      <c r="NFA520" s="1358"/>
      <c r="NFB520" s="1358"/>
      <c r="NFC520" s="1358"/>
      <c r="NFD520" s="1358"/>
      <c r="NFE520" s="1358"/>
      <c r="NFF520" s="1358"/>
      <c r="NFG520" s="1358"/>
      <c r="NFH520" s="1358"/>
      <c r="NFI520" s="1358"/>
      <c r="NFJ520" s="1358"/>
      <c r="NFK520" s="1358"/>
      <c r="NFL520" s="1358"/>
      <c r="NFM520" s="1358"/>
      <c r="NFN520" s="1358"/>
      <c r="NFO520" s="1358"/>
      <c r="NFP520" s="1358"/>
      <c r="NFQ520" s="1358"/>
      <c r="NFR520" s="1358"/>
      <c r="NFS520" s="1358"/>
      <c r="NFT520" s="1358"/>
      <c r="NFU520" s="1358"/>
      <c r="NFV520" s="1358"/>
      <c r="NFW520" s="1358"/>
      <c r="NFX520" s="1358"/>
      <c r="NFY520" s="1358"/>
      <c r="NFZ520" s="1358"/>
      <c r="NGA520" s="1358"/>
      <c r="NGB520" s="1358"/>
      <c r="NGC520" s="1358"/>
      <c r="NGD520" s="1358"/>
      <c r="NGE520" s="1358"/>
      <c r="NGF520" s="1358"/>
      <c r="NGG520" s="1358"/>
      <c r="NGH520" s="1358"/>
      <c r="NGI520" s="1358"/>
      <c r="NGJ520" s="1358"/>
      <c r="NGK520" s="1358"/>
      <c r="NGL520" s="1358"/>
      <c r="NGM520" s="1358"/>
      <c r="NGN520" s="1358"/>
      <c r="NGO520" s="1358"/>
      <c r="NGP520" s="1358"/>
      <c r="NGQ520" s="1358"/>
      <c r="NGR520" s="1358"/>
      <c r="NGS520" s="1358"/>
      <c r="NGT520" s="1358"/>
      <c r="NGU520" s="1358"/>
      <c r="NGV520" s="1358"/>
      <c r="NGW520" s="1358"/>
      <c r="NGX520" s="1358"/>
      <c r="NGY520" s="1358"/>
      <c r="NGZ520" s="1358"/>
      <c r="NHA520" s="1358"/>
      <c r="NHB520" s="1358"/>
      <c r="NHC520" s="1358"/>
      <c r="NHD520" s="1358"/>
      <c r="NHE520" s="1358"/>
      <c r="NHF520" s="1358"/>
      <c r="NHG520" s="1358"/>
      <c r="NHH520" s="1358"/>
      <c r="NHI520" s="1358"/>
      <c r="NHJ520" s="1358"/>
      <c r="NHK520" s="1358"/>
      <c r="NHL520" s="1358"/>
      <c r="NHM520" s="1358"/>
      <c r="NHN520" s="1358"/>
      <c r="NHO520" s="1358"/>
      <c r="NHP520" s="1358"/>
      <c r="NHQ520" s="1358"/>
      <c r="NHR520" s="1358"/>
      <c r="NHS520" s="1358"/>
      <c r="NHT520" s="1358"/>
      <c r="NHU520" s="1358"/>
      <c r="NHV520" s="1358"/>
      <c r="NHW520" s="1358"/>
      <c r="NHX520" s="1358"/>
      <c r="NHY520" s="1358"/>
      <c r="NHZ520" s="1358"/>
      <c r="NIA520" s="1358"/>
      <c r="NIB520" s="1358"/>
      <c r="NIC520" s="1358"/>
      <c r="NID520" s="1358"/>
      <c r="NIE520" s="1358"/>
      <c r="NIF520" s="1358"/>
      <c r="NIG520" s="1358"/>
      <c r="NIH520" s="1358"/>
      <c r="NII520" s="1358"/>
      <c r="NIJ520" s="1358"/>
      <c r="NIK520" s="1358"/>
      <c r="NIL520" s="1358"/>
      <c r="NIM520" s="1358"/>
      <c r="NIN520" s="1358"/>
      <c r="NIO520" s="1358"/>
      <c r="NIP520" s="1358"/>
      <c r="NIQ520" s="1358"/>
      <c r="NIR520" s="1358"/>
      <c r="NIS520" s="1358"/>
      <c r="NIT520" s="1358"/>
      <c r="NIU520" s="1358"/>
      <c r="NIV520" s="1358"/>
      <c r="NIW520" s="1358"/>
      <c r="NIX520" s="1358"/>
      <c r="NIY520" s="1358"/>
      <c r="NIZ520" s="1358"/>
      <c r="NJA520" s="1358"/>
      <c r="NJB520" s="1358"/>
      <c r="NJC520" s="1358"/>
      <c r="NJD520" s="1358"/>
      <c r="NJE520" s="1358"/>
      <c r="NJF520" s="1358"/>
      <c r="NJG520" s="1358"/>
      <c r="NJH520" s="1358"/>
      <c r="NJI520" s="1358"/>
      <c r="NJJ520" s="1358"/>
      <c r="NJK520" s="1358"/>
      <c r="NJL520" s="1358"/>
      <c r="NJM520" s="1358"/>
      <c r="NJN520" s="1358"/>
      <c r="NJO520" s="1358"/>
      <c r="NJP520" s="1358"/>
      <c r="NJQ520" s="1358"/>
      <c r="NJR520" s="1358"/>
      <c r="NJS520" s="1358"/>
      <c r="NJT520" s="1358"/>
      <c r="NJU520" s="1358"/>
      <c r="NJV520" s="1358"/>
      <c r="NJW520" s="1358"/>
      <c r="NJX520" s="1358"/>
      <c r="NJY520" s="1358"/>
      <c r="NJZ520" s="1358"/>
      <c r="NKA520" s="1358"/>
      <c r="NKB520" s="1358"/>
      <c r="NKC520" s="1358"/>
      <c r="NKD520" s="1358"/>
      <c r="NKE520" s="1358"/>
      <c r="NKF520" s="1358"/>
      <c r="NKG520" s="1358"/>
      <c r="NKH520" s="1358"/>
      <c r="NKI520" s="1358"/>
      <c r="NKJ520" s="1358"/>
      <c r="NKK520" s="1358"/>
      <c r="NKL520" s="1358"/>
      <c r="NKM520" s="1358"/>
      <c r="NKN520" s="1358"/>
      <c r="NKO520" s="1358"/>
      <c r="NKP520" s="1358"/>
      <c r="NKQ520" s="1358"/>
      <c r="NKR520" s="1358"/>
      <c r="NKS520" s="1358"/>
      <c r="NKT520" s="1358"/>
      <c r="NKU520" s="1358"/>
      <c r="NKV520" s="1358"/>
      <c r="NKW520" s="1358"/>
      <c r="NKX520" s="1358"/>
      <c r="NKY520" s="1358"/>
      <c r="NKZ520" s="1358"/>
      <c r="NLA520" s="1358"/>
      <c r="NLB520" s="1358"/>
      <c r="NLC520" s="1358"/>
      <c r="NLD520" s="1358"/>
      <c r="NLE520" s="1358"/>
      <c r="NLF520" s="1358"/>
      <c r="NLG520" s="1358"/>
      <c r="NLH520" s="1358"/>
      <c r="NLI520" s="1358"/>
      <c r="NLJ520" s="1358"/>
      <c r="NLK520" s="1358"/>
      <c r="NLL520" s="1358"/>
      <c r="NLM520" s="1358"/>
      <c r="NLN520" s="1358"/>
      <c r="NLO520" s="1358"/>
      <c r="NLP520" s="1358"/>
      <c r="NLQ520" s="1358"/>
      <c r="NLR520" s="1358"/>
      <c r="NLS520" s="1358"/>
      <c r="NLT520" s="1358"/>
      <c r="NLU520" s="1358"/>
      <c r="NLV520" s="1358"/>
      <c r="NLW520" s="1358"/>
      <c r="NLX520" s="1358"/>
      <c r="NLY520" s="1358"/>
      <c r="NLZ520" s="1358"/>
      <c r="NMA520" s="1358"/>
      <c r="NMB520" s="1358"/>
      <c r="NMC520" s="1358"/>
      <c r="NMD520" s="1358"/>
      <c r="NME520" s="1358"/>
      <c r="NMF520" s="1358"/>
      <c r="NMG520" s="1358"/>
      <c r="NMH520" s="1358"/>
      <c r="NMI520" s="1358"/>
      <c r="NMJ520" s="1358"/>
      <c r="NMK520" s="1358"/>
      <c r="NML520" s="1358"/>
      <c r="NMM520" s="1358"/>
      <c r="NMN520" s="1358"/>
      <c r="NMO520" s="1358"/>
      <c r="NMP520" s="1358"/>
      <c r="NMQ520" s="1358"/>
      <c r="NMR520" s="1358"/>
      <c r="NMS520" s="1358"/>
      <c r="NMT520" s="1358"/>
      <c r="NMU520" s="1358"/>
      <c r="NMV520" s="1358"/>
      <c r="NMW520" s="1358"/>
      <c r="NMX520" s="1358"/>
      <c r="NMY520" s="1358"/>
      <c r="NMZ520" s="1358"/>
      <c r="NNA520" s="1358"/>
      <c r="NNB520" s="1358"/>
      <c r="NNC520" s="1358"/>
      <c r="NND520" s="1358"/>
      <c r="NNE520" s="1358"/>
      <c r="NNF520" s="1358"/>
      <c r="NNG520" s="1358"/>
      <c r="NNH520" s="1358"/>
      <c r="NNI520" s="1358"/>
      <c r="NNJ520" s="1358"/>
      <c r="NNK520" s="1358"/>
      <c r="NNL520" s="1358"/>
      <c r="NNM520" s="1358"/>
      <c r="NNN520" s="1358"/>
      <c r="NNO520" s="1358"/>
      <c r="NNP520" s="1358"/>
      <c r="NNQ520" s="1358"/>
      <c r="NNR520" s="1358"/>
      <c r="NNS520" s="1358"/>
      <c r="NNT520" s="1358"/>
      <c r="NNU520" s="1358"/>
      <c r="NNV520" s="1358"/>
      <c r="NNW520" s="1358"/>
      <c r="NNX520" s="1358"/>
      <c r="NNY520" s="1358"/>
      <c r="NNZ520" s="1358"/>
      <c r="NOA520" s="1358"/>
      <c r="NOB520" s="1358"/>
      <c r="NOC520" s="1358"/>
      <c r="NOD520" s="1358"/>
      <c r="NOE520" s="1358"/>
      <c r="NOF520" s="1358"/>
      <c r="NOG520" s="1358"/>
      <c r="NOH520" s="1358"/>
      <c r="NOI520" s="1358"/>
      <c r="NOJ520" s="1358"/>
      <c r="NOK520" s="1358"/>
      <c r="NOL520" s="1358"/>
      <c r="NOM520" s="1358"/>
      <c r="NON520" s="1358"/>
      <c r="NOO520" s="1358"/>
      <c r="NOP520" s="1358"/>
      <c r="NOQ520" s="1358"/>
      <c r="NOR520" s="1358"/>
      <c r="NOS520" s="1358"/>
      <c r="NOT520" s="1358"/>
      <c r="NOU520" s="1358"/>
      <c r="NOV520" s="1358"/>
      <c r="NOW520" s="1358"/>
      <c r="NOX520" s="1358"/>
      <c r="NOY520" s="1358"/>
      <c r="NOZ520" s="1358"/>
      <c r="NPA520" s="1358"/>
      <c r="NPB520" s="1358"/>
      <c r="NPC520" s="1358"/>
      <c r="NPD520" s="1358"/>
      <c r="NPE520" s="1358"/>
      <c r="NPF520" s="1358"/>
      <c r="NPG520" s="1358"/>
      <c r="NPH520" s="1358"/>
      <c r="NPI520" s="1358"/>
      <c r="NPJ520" s="1358"/>
      <c r="NPK520" s="1358"/>
      <c r="NPL520" s="1358"/>
      <c r="NPM520" s="1358"/>
      <c r="NPN520" s="1358"/>
      <c r="NPO520" s="1358"/>
      <c r="NPP520" s="1358"/>
      <c r="NPQ520" s="1358"/>
      <c r="NPR520" s="1358"/>
      <c r="NPS520" s="1358"/>
      <c r="NPT520" s="1358"/>
      <c r="NPU520" s="1358"/>
      <c r="NPV520" s="1358"/>
      <c r="NPW520" s="1358"/>
      <c r="NPX520" s="1358"/>
      <c r="NPY520" s="1358"/>
      <c r="NPZ520" s="1358"/>
      <c r="NQA520" s="1358"/>
      <c r="NQB520" s="1358"/>
      <c r="NQC520" s="1358"/>
      <c r="NQD520" s="1358"/>
      <c r="NQE520" s="1358"/>
      <c r="NQF520" s="1358"/>
      <c r="NQG520" s="1358"/>
      <c r="NQH520" s="1358"/>
      <c r="NQI520" s="1358"/>
      <c r="NQJ520" s="1358"/>
      <c r="NQK520" s="1358"/>
      <c r="NQL520" s="1358"/>
      <c r="NQM520" s="1358"/>
      <c r="NQN520" s="1358"/>
      <c r="NQO520" s="1358"/>
      <c r="NQP520" s="1358"/>
      <c r="NQQ520" s="1358"/>
      <c r="NQR520" s="1358"/>
      <c r="NQS520" s="1358"/>
      <c r="NQT520" s="1358"/>
      <c r="NQU520" s="1358"/>
      <c r="NQV520" s="1358"/>
      <c r="NQW520" s="1358"/>
      <c r="NQX520" s="1358"/>
      <c r="NQY520" s="1358"/>
      <c r="NQZ520" s="1358"/>
      <c r="NRA520" s="1358"/>
      <c r="NRB520" s="1358"/>
      <c r="NRC520" s="1358"/>
      <c r="NRD520" s="1358"/>
      <c r="NRE520" s="1358"/>
      <c r="NRF520" s="1358"/>
      <c r="NRG520" s="1358"/>
      <c r="NRH520" s="1358"/>
      <c r="NRI520" s="1358"/>
      <c r="NRJ520" s="1358"/>
      <c r="NRK520" s="1358"/>
      <c r="NRL520" s="1358"/>
      <c r="NRM520" s="1358"/>
      <c r="NRN520" s="1358"/>
      <c r="NRO520" s="1358"/>
      <c r="NRP520" s="1358"/>
      <c r="NRQ520" s="1358"/>
      <c r="NRR520" s="1358"/>
      <c r="NRS520" s="1358"/>
      <c r="NRT520" s="1358"/>
      <c r="NRU520" s="1358"/>
      <c r="NRV520" s="1358"/>
      <c r="NRW520" s="1358"/>
      <c r="NRX520" s="1358"/>
      <c r="NRY520" s="1358"/>
      <c r="NRZ520" s="1358"/>
      <c r="NSA520" s="1358"/>
      <c r="NSB520" s="1358"/>
      <c r="NSC520" s="1358"/>
      <c r="NSD520" s="1358"/>
      <c r="NSE520" s="1358"/>
      <c r="NSF520" s="1358"/>
      <c r="NSG520" s="1358"/>
      <c r="NSH520" s="1358"/>
      <c r="NSI520" s="1358"/>
      <c r="NSJ520" s="1358"/>
      <c r="NSK520" s="1358"/>
      <c r="NSL520" s="1358"/>
      <c r="NSM520" s="1358"/>
      <c r="NSN520" s="1358"/>
      <c r="NSO520" s="1358"/>
      <c r="NSP520" s="1358"/>
      <c r="NSQ520" s="1358"/>
      <c r="NSR520" s="1358"/>
      <c r="NSS520" s="1358"/>
      <c r="NST520" s="1358"/>
      <c r="NSU520" s="1358"/>
      <c r="NSV520" s="1358"/>
      <c r="NSW520" s="1358"/>
      <c r="NSX520" s="1358"/>
      <c r="NSY520" s="1358"/>
      <c r="NSZ520" s="1358"/>
      <c r="NTA520" s="1358"/>
      <c r="NTB520" s="1358"/>
      <c r="NTC520" s="1358"/>
      <c r="NTD520" s="1358"/>
      <c r="NTE520" s="1358"/>
      <c r="NTF520" s="1358"/>
      <c r="NTG520" s="1358"/>
      <c r="NTH520" s="1358"/>
      <c r="NTI520" s="1358"/>
      <c r="NTJ520" s="1358"/>
      <c r="NTK520" s="1358"/>
      <c r="NTL520" s="1358"/>
      <c r="NTM520" s="1358"/>
      <c r="NTN520" s="1358"/>
      <c r="NTO520" s="1358"/>
      <c r="NTP520" s="1358"/>
      <c r="NTQ520" s="1358"/>
      <c r="NTR520" s="1358"/>
      <c r="NTS520" s="1358"/>
      <c r="NTT520" s="1358"/>
      <c r="NTU520" s="1358"/>
      <c r="NTV520" s="1358"/>
      <c r="NTW520" s="1358"/>
      <c r="NTX520" s="1358"/>
      <c r="NTY520" s="1358"/>
      <c r="NTZ520" s="1358"/>
      <c r="NUA520" s="1358"/>
      <c r="NUB520" s="1358"/>
      <c r="NUC520" s="1358"/>
      <c r="NUD520" s="1358"/>
      <c r="NUE520" s="1358"/>
      <c r="NUF520" s="1358"/>
      <c r="NUG520" s="1358"/>
      <c r="NUH520" s="1358"/>
      <c r="NUI520" s="1358"/>
      <c r="NUJ520" s="1358"/>
      <c r="NUK520" s="1358"/>
      <c r="NUL520" s="1358"/>
      <c r="NUM520" s="1358"/>
      <c r="NUN520" s="1358"/>
      <c r="NUO520" s="1358"/>
      <c r="NUP520" s="1358"/>
      <c r="NUQ520" s="1358"/>
      <c r="NUR520" s="1358"/>
      <c r="NUS520" s="1358"/>
      <c r="NUT520" s="1358"/>
      <c r="NUU520" s="1358"/>
      <c r="NUV520" s="1358"/>
      <c r="NUW520" s="1358"/>
      <c r="NUX520" s="1358"/>
      <c r="NUY520" s="1358"/>
      <c r="NUZ520" s="1358"/>
      <c r="NVA520" s="1358"/>
      <c r="NVB520" s="1358"/>
      <c r="NVC520" s="1358"/>
      <c r="NVD520" s="1358"/>
      <c r="NVE520" s="1358"/>
      <c r="NVF520" s="1358"/>
      <c r="NVG520" s="1358"/>
      <c r="NVH520" s="1358"/>
      <c r="NVI520" s="1358"/>
      <c r="NVJ520" s="1358"/>
      <c r="NVK520" s="1358"/>
      <c r="NVL520" s="1358"/>
      <c r="NVM520" s="1358"/>
      <c r="NVN520" s="1358"/>
      <c r="NVO520" s="1358"/>
      <c r="NVP520" s="1358"/>
      <c r="NVQ520" s="1358"/>
      <c r="NVR520" s="1358"/>
      <c r="NVS520" s="1358"/>
      <c r="NVT520" s="1358"/>
      <c r="NVU520" s="1358"/>
      <c r="NVV520" s="1358"/>
      <c r="NVW520" s="1358"/>
      <c r="NVX520" s="1358"/>
      <c r="NVY520" s="1358"/>
      <c r="NVZ520" s="1358"/>
      <c r="NWA520" s="1358"/>
      <c r="NWB520" s="1358"/>
      <c r="NWC520" s="1358"/>
      <c r="NWD520" s="1358"/>
      <c r="NWE520" s="1358"/>
      <c r="NWF520" s="1358"/>
      <c r="NWG520" s="1358"/>
      <c r="NWH520" s="1358"/>
      <c r="NWI520" s="1358"/>
      <c r="NWJ520" s="1358"/>
      <c r="NWK520" s="1358"/>
      <c r="NWL520" s="1358"/>
      <c r="NWM520" s="1358"/>
      <c r="NWN520" s="1358"/>
      <c r="NWO520" s="1358"/>
      <c r="NWP520" s="1358"/>
      <c r="NWQ520" s="1358"/>
      <c r="NWR520" s="1358"/>
      <c r="NWS520" s="1358"/>
      <c r="NWT520" s="1358"/>
      <c r="NWU520" s="1358"/>
      <c r="NWV520" s="1358"/>
      <c r="NWW520" s="1358"/>
      <c r="NWX520" s="1358"/>
      <c r="NWY520" s="1358"/>
      <c r="NWZ520" s="1358"/>
      <c r="NXA520" s="1358"/>
      <c r="NXB520" s="1358"/>
      <c r="NXC520" s="1358"/>
      <c r="NXD520" s="1358"/>
      <c r="NXE520" s="1358"/>
      <c r="NXF520" s="1358"/>
      <c r="NXG520" s="1358"/>
      <c r="NXH520" s="1358"/>
      <c r="NXI520" s="1358"/>
      <c r="NXJ520" s="1358"/>
      <c r="NXK520" s="1358"/>
      <c r="NXL520" s="1358"/>
      <c r="NXM520" s="1358"/>
      <c r="NXN520" s="1358"/>
      <c r="NXO520" s="1358"/>
      <c r="NXP520" s="1358"/>
      <c r="NXQ520" s="1358"/>
      <c r="NXR520" s="1358"/>
      <c r="NXS520" s="1358"/>
      <c r="NXT520" s="1358"/>
      <c r="NXU520" s="1358"/>
      <c r="NXV520" s="1358"/>
      <c r="NXW520" s="1358"/>
      <c r="NXX520" s="1358"/>
      <c r="NXY520" s="1358"/>
      <c r="NXZ520" s="1358"/>
      <c r="NYA520" s="1358"/>
      <c r="NYB520" s="1358"/>
      <c r="NYC520" s="1358"/>
      <c r="NYD520" s="1358"/>
      <c r="NYE520" s="1358"/>
      <c r="NYF520" s="1358"/>
      <c r="NYG520" s="1358"/>
      <c r="NYH520" s="1358"/>
      <c r="NYI520" s="1358"/>
      <c r="NYJ520" s="1358"/>
      <c r="NYK520" s="1358"/>
      <c r="NYL520" s="1358"/>
      <c r="NYM520" s="1358"/>
      <c r="NYN520" s="1358"/>
      <c r="NYO520" s="1358"/>
      <c r="NYP520" s="1358"/>
      <c r="NYQ520" s="1358"/>
      <c r="NYR520" s="1358"/>
      <c r="NYS520" s="1358"/>
      <c r="NYT520" s="1358"/>
      <c r="NYU520" s="1358"/>
      <c r="NYV520" s="1358"/>
      <c r="NYW520" s="1358"/>
      <c r="NYX520" s="1358"/>
      <c r="NYY520" s="1358"/>
      <c r="NYZ520" s="1358"/>
      <c r="NZA520" s="1358"/>
      <c r="NZB520" s="1358"/>
      <c r="NZC520" s="1358"/>
      <c r="NZD520" s="1358"/>
      <c r="NZE520" s="1358"/>
      <c r="NZF520" s="1358"/>
      <c r="NZG520" s="1358"/>
      <c r="NZH520" s="1358"/>
      <c r="NZI520" s="1358"/>
      <c r="NZJ520" s="1358"/>
      <c r="NZK520" s="1358"/>
      <c r="NZL520" s="1358"/>
      <c r="NZM520" s="1358"/>
      <c r="NZN520" s="1358"/>
      <c r="NZO520" s="1358"/>
      <c r="NZP520" s="1358"/>
      <c r="NZQ520" s="1358"/>
      <c r="NZR520" s="1358"/>
      <c r="NZS520" s="1358"/>
      <c r="NZT520" s="1358"/>
      <c r="NZU520" s="1358"/>
      <c r="NZV520" s="1358"/>
      <c r="NZW520" s="1358"/>
      <c r="NZX520" s="1358"/>
      <c r="NZY520" s="1358"/>
      <c r="NZZ520" s="1358"/>
      <c r="OAA520" s="1358"/>
      <c r="OAB520" s="1358"/>
      <c r="OAC520" s="1358"/>
      <c r="OAD520" s="1358"/>
      <c r="OAE520" s="1358"/>
      <c r="OAF520" s="1358"/>
      <c r="OAG520" s="1358"/>
      <c r="OAH520" s="1358"/>
      <c r="OAI520" s="1358"/>
      <c r="OAJ520" s="1358"/>
      <c r="OAK520" s="1358"/>
      <c r="OAL520" s="1358"/>
      <c r="OAM520" s="1358"/>
      <c r="OAN520" s="1358"/>
      <c r="OAO520" s="1358"/>
      <c r="OAP520" s="1358"/>
      <c r="OAQ520" s="1358"/>
      <c r="OAR520" s="1358"/>
      <c r="OAS520" s="1358"/>
      <c r="OAT520" s="1358"/>
      <c r="OAU520" s="1358"/>
      <c r="OAV520" s="1358"/>
      <c r="OAW520" s="1358"/>
      <c r="OAX520" s="1358"/>
      <c r="OAY520" s="1358"/>
      <c r="OAZ520" s="1358"/>
      <c r="OBA520" s="1358"/>
      <c r="OBB520" s="1358"/>
      <c r="OBC520" s="1358"/>
      <c r="OBD520" s="1358"/>
      <c r="OBE520" s="1358"/>
      <c r="OBF520" s="1358"/>
      <c r="OBG520" s="1358"/>
      <c r="OBH520" s="1358"/>
      <c r="OBI520" s="1358"/>
      <c r="OBJ520" s="1358"/>
      <c r="OBK520" s="1358"/>
      <c r="OBL520" s="1358"/>
      <c r="OBM520" s="1358"/>
      <c r="OBN520" s="1358"/>
      <c r="OBO520" s="1358"/>
      <c r="OBP520" s="1358"/>
      <c r="OBQ520" s="1358"/>
      <c r="OBR520" s="1358"/>
      <c r="OBS520" s="1358"/>
      <c r="OBT520" s="1358"/>
      <c r="OBU520" s="1358"/>
      <c r="OBV520" s="1358"/>
      <c r="OBW520" s="1358"/>
      <c r="OBX520" s="1358"/>
      <c r="OBY520" s="1358"/>
      <c r="OBZ520" s="1358"/>
      <c r="OCA520" s="1358"/>
      <c r="OCB520" s="1358"/>
      <c r="OCC520" s="1358"/>
      <c r="OCD520" s="1358"/>
      <c r="OCE520" s="1358"/>
      <c r="OCF520" s="1358"/>
      <c r="OCG520" s="1358"/>
      <c r="OCH520" s="1358"/>
      <c r="OCI520" s="1358"/>
      <c r="OCJ520" s="1358"/>
      <c r="OCK520" s="1358"/>
      <c r="OCL520" s="1358"/>
      <c r="OCM520" s="1358"/>
      <c r="OCN520" s="1358"/>
      <c r="OCO520" s="1358"/>
      <c r="OCP520" s="1358"/>
      <c r="OCQ520" s="1358"/>
      <c r="OCR520" s="1358"/>
      <c r="OCS520" s="1358"/>
      <c r="OCT520" s="1358"/>
      <c r="OCU520" s="1358"/>
      <c r="OCV520" s="1358"/>
      <c r="OCW520" s="1358"/>
      <c r="OCX520" s="1358"/>
      <c r="OCY520" s="1358"/>
      <c r="OCZ520" s="1358"/>
      <c r="ODA520" s="1358"/>
      <c r="ODB520" s="1358"/>
      <c r="ODC520" s="1358"/>
      <c r="ODD520" s="1358"/>
      <c r="ODE520" s="1358"/>
      <c r="ODF520" s="1358"/>
      <c r="ODG520" s="1358"/>
      <c r="ODH520" s="1358"/>
      <c r="ODI520" s="1358"/>
      <c r="ODJ520" s="1358"/>
      <c r="ODK520" s="1358"/>
      <c r="ODL520" s="1358"/>
      <c r="ODM520" s="1358"/>
      <c r="ODN520" s="1358"/>
      <c r="ODO520" s="1358"/>
      <c r="ODP520" s="1358"/>
      <c r="ODQ520" s="1358"/>
      <c r="ODR520" s="1358"/>
      <c r="ODS520" s="1358"/>
      <c r="ODT520" s="1358"/>
      <c r="ODU520" s="1358"/>
      <c r="ODV520" s="1358"/>
      <c r="ODW520" s="1358"/>
      <c r="ODX520" s="1358"/>
      <c r="ODY520" s="1358"/>
      <c r="ODZ520" s="1358"/>
      <c r="OEA520" s="1358"/>
      <c r="OEB520" s="1358"/>
      <c r="OEC520" s="1358"/>
      <c r="OED520" s="1358"/>
      <c r="OEE520" s="1358"/>
      <c r="OEF520" s="1358"/>
      <c r="OEG520" s="1358"/>
      <c r="OEH520" s="1358"/>
      <c r="OEI520" s="1358"/>
      <c r="OEJ520" s="1358"/>
      <c r="OEK520" s="1358"/>
      <c r="OEL520" s="1358"/>
      <c r="OEM520" s="1358"/>
      <c r="OEN520" s="1358"/>
      <c r="OEO520" s="1358"/>
      <c r="OEP520" s="1358"/>
      <c r="OEQ520" s="1358"/>
      <c r="OER520" s="1358"/>
      <c r="OES520" s="1358"/>
      <c r="OET520" s="1358"/>
      <c r="OEU520" s="1358"/>
      <c r="OEV520" s="1358"/>
      <c r="OEW520" s="1358"/>
      <c r="OEX520" s="1358"/>
      <c r="OEY520" s="1358"/>
      <c r="OEZ520" s="1358"/>
      <c r="OFA520" s="1358"/>
      <c r="OFB520" s="1358"/>
      <c r="OFC520" s="1358"/>
      <c r="OFD520" s="1358"/>
      <c r="OFE520" s="1358"/>
      <c r="OFF520" s="1358"/>
      <c r="OFG520" s="1358"/>
      <c r="OFH520" s="1358"/>
      <c r="OFI520" s="1358"/>
      <c r="OFJ520" s="1358"/>
      <c r="OFK520" s="1358"/>
      <c r="OFL520" s="1358"/>
      <c r="OFM520" s="1358"/>
      <c r="OFN520" s="1358"/>
      <c r="OFO520" s="1358"/>
      <c r="OFP520" s="1358"/>
      <c r="OFQ520" s="1358"/>
      <c r="OFR520" s="1358"/>
      <c r="OFS520" s="1358"/>
      <c r="OFT520" s="1358"/>
      <c r="OFU520" s="1358"/>
      <c r="OFV520" s="1358"/>
      <c r="OFW520" s="1358"/>
      <c r="OFX520" s="1358"/>
      <c r="OFY520" s="1358"/>
      <c r="OFZ520" s="1358"/>
      <c r="OGA520" s="1358"/>
      <c r="OGB520" s="1358"/>
      <c r="OGC520" s="1358"/>
      <c r="OGD520" s="1358"/>
      <c r="OGE520" s="1358"/>
      <c r="OGF520" s="1358"/>
      <c r="OGG520" s="1358"/>
      <c r="OGH520" s="1358"/>
      <c r="OGI520" s="1358"/>
      <c r="OGJ520" s="1358"/>
      <c r="OGK520" s="1358"/>
      <c r="OGL520" s="1358"/>
      <c r="OGM520" s="1358"/>
      <c r="OGN520" s="1358"/>
      <c r="OGO520" s="1358"/>
      <c r="OGP520" s="1358"/>
      <c r="OGQ520" s="1358"/>
      <c r="OGR520" s="1358"/>
      <c r="OGS520" s="1358"/>
      <c r="OGT520" s="1358"/>
      <c r="OGU520" s="1358"/>
      <c r="OGV520" s="1358"/>
      <c r="OGW520" s="1358"/>
      <c r="OGX520" s="1358"/>
      <c r="OGY520" s="1358"/>
      <c r="OGZ520" s="1358"/>
      <c r="OHA520" s="1358"/>
      <c r="OHB520" s="1358"/>
      <c r="OHC520" s="1358"/>
      <c r="OHD520" s="1358"/>
      <c r="OHE520" s="1358"/>
      <c r="OHF520" s="1358"/>
      <c r="OHG520" s="1358"/>
      <c r="OHH520" s="1358"/>
      <c r="OHI520" s="1358"/>
      <c r="OHJ520" s="1358"/>
      <c r="OHK520" s="1358"/>
      <c r="OHL520" s="1358"/>
      <c r="OHM520" s="1358"/>
      <c r="OHN520" s="1358"/>
      <c r="OHO520" s="1358"/>
      <c r="OHP520" s="1358"/>
      <c r="OHQ520" s="1358"/>
      <c r="OHR520" s="1358"/>
      <c r="OHS520" s="1358"/>
      <c r="OHT520" s="1358"/>
      <c r="OHU520" s="1358"/>
      <c r="OHV520" s="1358"/>
      <c r="OHW520" s="1358"/>
      <c r="OHX520" s="1358"/>
      <c r="OHY520" s="1358"/>
      <c r="OHZ520" s="1358"/>
      <c r="OIA520" s="1358"/>
      <c r="OIB520" s="1358"/>
      <c r="OIC520" s="1358"/>
      <c r="OID520" s="1358"/>
      <c r="OIE520" s="1358"/>
      <c r="OIF520" s="1358"/>
      <c r="OIG520" s="1358"/>
      <c r="OIH520" s="1358"/>
      <c r="OII520" s="1358"/>
      <c r="OIJ520" s="1358"/>
      <c r="OIK520" s="1358"/>
      <c r="OIL520" s="1358"/>
      <c r="OIM520" s="1358"/>
      <c r="OIN520" s="1358"/>
      <c r="OIO520" s="1358"/>
      <c r="OIP520" s="1358"/>
      <c r="OIQ520" s="1358"/>
      <c r="OIR520" s="1358"/>
      <c r="OIS520" s="1358"/>
      <c r="OIT520" s="1358"/>
      <c r="OIU520" s="1358"/>
      <c r="OIV520" s="1358"/>
      <c r="OIW520" s="1358"/>
      <c r="OIX520" s="1358"/>
      <c r="OIY520" s="1358"/>
      <c r="OIZ520" s="1358"/>
      <c r="OJA520" s="1358"/>
      <c r="OJB520" s="1358"/>
      <c r="OJC520" s="1358"/>
      <c r="OJD520" s="1358"/>
      <c r="OJE520" s="1358"/>
      <c r="OJF520" s="1358"/>
      <c r="OJG520" s="1358"/>
      <c r="OJH520" s="1358"/>
      <c r="OJI520" s="1358"/>
      <c r="OJJ520" s="1358"/>
      <c r="OJK520" s="1358"/>
      <c r="OJL520" s="1358"/>
      <c r="OJM520" s="1358"/>
      <c r="OJN520" s="1358"/>
      <c r="OJO520" s="1358"/>
      <c r="OJP520" s="1358"/>
      <c r="OJQ520" s="1358"/>
      <c r="OJR520" s="1358"/>
      <c r="OJS520" s="1358"/>
      <c r="OJT520" s="1358"/>
      <c r="OJU520" s="1358"/>
      <c r="OJV520" s="1358"/>
      <c r="OJW520" s="1358"/>
      <c r="OJX520" s="1358"/>
      <c r="OJY520" s="1358"/>
      <c r="OJZ520" s="1358"/>
      <c r="OKA520" s="1358"/>
      <c r="OKB520" s="1358"/>
      <c r="OKC520" s="1358"/>
      <c r="OKD520" s="1358"/>
      <c r="OKE520" s="1358"/>
      <c r="OKF520" s="1358"/>
      <c r="OKG520" s="1358"/>
      <c r="OKH520" s="1358"/>
      <c r="OKI520" s="1358"/>
      <c r="OKJ520" s="1358"/>
      <c r="OKK520" s="1358"/>
      <c r="OKL520" s="1358"/>
      <c r="OKM520" s="1358"/>
      <c r="OKN520" s="1358"/>
      <c r="OKO520" s="1358"/>
      <c r="OKP520" s="1358"/>
      <c r="OKQ520" s="1358"/>
      <c r="OKR520" s="1358"/>
      <c r="OKS520" s="1358"/>
      <c r="OKT520" s="1358"/>
      <c r="OKU520" s="1358"/>
      <c r="OKV520" s="1358"/>
      <c r="OKW520" s="1358"/>
      <c r="OKX520" s="1358"/>
      <c r="OKY520" s="1358"/>
      <c r="OKZ520" s="1358"/>
      <c r="OLA520" s="1358"/>
      <c r="OLB520" s="1358"/>
      <c r="OLC520" s="1358"/>
      <c r="OLD520" s="1358"/>
      <c r="OLE520" s="1358"/>
      <c r="OLF520" s="1358"/>
      <c r="OLG520" s="1358"/>
      <c r="OLH520" s="1358"/>
      <c r="OLI520" s="1358"/>
      <c r="OLJ520" s="1358"/>
      <c r="OLK520" s="1358"/>
      <c r="OLL520" s="1358"/>
      <c r="OLM520" s="1358"/>
      <c r="OLN520" s="1358"/>
      <c r="OLO520" s="1358"/>
      <c r="OLP520" s="1358"/>
      <c r="OLQ520" s="1358"/>
      <c r="OLR520" s="1358"/>
      <c r="OLS520" s="1358"/>
      <c r="OLT520" s="1358"/>
      <c r="OLU520" s="1358"/>
      <c r="OLV520" s="1358"/>
      <c r="OLW520" s="1358"/>
      <c r="OLX520" s="1358"/>
      <c r="OLY520" s="1358"/>
      <c r="OLZ520" s="1358"/>
      <c r="OMA520" s="1358"/>
      <c r="OMB520" s="1358"/>
      <c r="OMC520" s="1358"/>
      <c r="OMD520" s="1358"/>
      <c r="OME520" s="1358"/>
      <c r="OMF520" s="1358"/>
      <c r="OMG520" s="1358"/>
      <c r="OMH520" s="1358"/>
      <c r="OMI520" s="1358"/>
      <c r="OMJ520" s="1358"/>
      <c r="OMK520" s="1358"/>
      <c r="OML520" s="1358"/>
      <c r="OMM520" s="1358"/>
      <c r="OMN520" s="1358"/>
      <c r="OMO520" s="1358"/>
      <c r="OMP520" s="1358"/>
      <c r="OMQ520" s="1358"/>
      <c r="OMR520" s="1358"/>
      <c r="OMS520" s="1358"/>
      <c r="OMT520" s="1358"/>
      <c r="OMU520" s="1358"/>
      <c r="OMV520" s="1358"/>
      <c r="OMW520" s="1358"/>
      <c r="OMX520" s="1358"/>
      <c r="OMY520" s="1358"/>
      <c r="OMZ520" s="1358"/>
      <c r="ONA520" s="1358"/>
      <c r="ONB520" s="1358"/>
      <c r="ONC520" s="1358"/>
      <c r="OND520" s="1358"/>
      <c r="ONE520" s="1358"/>
      <c r="ONF520" s="1358"/>
      <c r="ONG520" s="1358"/>
      <c r="ONH520" s="1358"/>
      <c r="ONI520" s="1358"/>
      <c r="ONJ520" s="1358"/>
      <c r="ONK520" s="1358"/>
      <c r="ONL520" s="1358"/>
      <c r="ONM520" s="1358"/>
      <c r="ONN520" s="1358"/>
      <c r="ONO520" s="1358"/>
      <c r="ONP520" s="1358"/>
      <c r="ONQ520" s="1358"/>
      <c r="ONR520" s="1358"/>
      <c r="ONS520" s="1358"/>
      <c r="ONT520" s="1358"/>
      <c r="ONU520" s="1358"/>
      <c r="ONV520" s="1358"/>
      <c r="ONW520" s="1358"/>
      <c r="ONX520" s="1358"/>
      <c r="ONY520" s="1358"/>
      <c r="ONZ520" s="1358"/>
      <c r="OOA520" s="1358"/>
      <c r="OOB520" s="1358"/>
      <c r="OOC520" s="1358"/>
      <c r="OOD520" s="1358"/>
      <c r="OOE520" s="1358"/>
      <c r="OOF520" s="1358"/>
      <c r="OOG520" s="1358"/>
      <c r="OOH520" s="1358"/>
      <c r="OOI520" s="1358"/>
      <c r="OOJ520" s="1358"/>
      <c r="OOK520" s="1358"/>
      <c r="OOL520" s="1358"/>
      <c r="OOM520" s="1358"/>
      <c r="OON520" s="1358"/>
      <c r="OOO520" s="1358"/>
      <c r="OOP520" s="1358"/>
      <c r="OOQ520" s="1358"/>
      <c r="OOR520" s="1358"/>
      <c r="OOS520" s="1358"/>
      <c r="OOT520" s="1358"/>
      <c r="OOU520" s="1358"/>
      <c r="OOV520" s="1358"/>
      <c r="OOW520" s="1358"/>
      <c r="OOX520" s="1358"/>
      <c r="OOY520" s="1358"/>
      <c r="OOZ520" s="1358"/>
      <c r="OPA520" s="1358"/>
      <c r="OPB520" s="1358"/>
      <c r="OPC520" s="1358"/>
      <c r="OPD520" s="1358"/>
      <c r="OPE520" s="1358"/>
      <c r="OPF520" s="1358"/>
      <c r="OPG520" s="1358"/>
      <c r="OPH520" s="1358"/>
      <c r="OPI520" s="1358"/>
      <c r="OPJ520" s="1358"/>
      <c r="OPK520" s="1358"/>
      <c r="OPL520" s="1358"/>
      <c r="OPM520" s="1358"/>
      <c r="OPN520" s="1358"/>
      <c r="OPO520" s="1358"/>
      <c r="OPP520" s="1358"/>
      <c r="OPQ520" s="1358"/>
      <c r="OPR520" s="1358"/>
      <c r="OPS520" s="1358"/>
      <c r="OPT520" s="1358"/>
      <c r="OPU520" s="1358"/>
      <c r="OPV520" s="1358"/>
      <c r="OPW520" s="1358"/>
      <c r="OPX520" s="1358"/>
      <c r="OPY520" s="1358"/>
      <c r="OPZ520" s="1358"/>
      <c r="OQA520" s="1358"/>
      <c r="OQB520" s="1358"/>
      <c r="OQC520" s="1358"/>
      <c r="OQD520" s="1358"/>
      <c r="OQE520" s="1358"/>
      <c r="OQF520" s="1358"/>
      <c r="OQG520" s="1358"/>
      <c r="OQH520" s="1358"/>
      <c r="OQI520" s="1358"/>
      <c r="OQJ520" s="1358"/>
      <c r="OQK520" s="1358"/>
      <c r="OQL520" s="1358"/>
      <c r="OQM520" s="1358"/>
      <c r="OQN520" s="1358"/>
      <c r="OQO520" s="1358"/>
      <c r="OQP520" s="1358"/>
      <c r="OQQ520" s="1358"/>
      <c r="OQR520" s="1358"/>
      <c r="OQS520" s="1358"/>
      <c r="OQT520" s="1358"/>
      <c r="OQU520" s="1358"/>
      <c r="OQV520" s="1358"/>
      <c r="OQW520" s="1358"/>
      <c r="OQX520" s="1358"/>
      <c r="OQY520" s="1358"/>
      <c r="OQZ520" s="1358"/>
      <c r="ORA520" s="1358"/>
      <c r="ORB520" s="1358"/>
      <c r="ORC520" s="1358"/>
      <c r="ORD520" s="1358"/>
      <c r="ORE520" s="1358"/>
      <c r="ORF520" s="1358"/>
      <c r="ORG520" s="1358"/>
      <c r="ORH520" s="1358"/>
      <c r="ORI520" s="1358"/>
      <c r="ORJ520" s="1358"/>
      <c r="ORK520" s="1358"/>
      <c r="ORL520" s="1358"/>
      <c r="ORM520" s="1358"/>
      <c r="ORN520" s="1358"/>
      <c r="ORO520" s="1358"/>
      <c r="ORP520" s="1358"/>
      <c r="ORQ520" s="1358"/>
      <c r="ORR520" s="1358"/>
      <c r="ORS520" s="1358"/>
      <c r="ORT520" s="1358"/>
      <c r="ORU520" s="1358"/>
      <c r="ORV520" s="1358"/>
      <c r="ORW520" s="1358"/>
      <c r="ORX520" s="1358"/>
      <c r="ORY520" s="1358"/>
      <c r="ORZ520" s="1358"/>
      <c r="OSA520" s="1358"/>
      <c r="OSB520" s="1358"/>
      <c r="OSC520" s="1358"/>
      <c r="OSD520" s="1358"/>
      <c r="OSE520" s="1358"/>
      <c r="OSF520" s="1358"/>
      <c r="OSG520" s="1358"/>
      <c r="OSH520" s="1358"/>
      <c r="OSI520" s="1358"/>
      <c r="OSJ520" s="1358"/>
      <c r="OSK520" s="1358"/>
      <c r="OSL520" s="1358"/>
      <c r="OSM520" s="1358"/>
      <c r="OSN520" s="1358"/>
      <c r="OSO520" s="1358"/>
      <c r="OSP520" s="1358"/>
      <c r="OSQ520" s="1358"/>
      <c r="OSR520" s="1358"/>
      <c r="OSS520" s="1358"/>
      <c r="OST520" s="1358"/>
      <c r="OSU520" s="1358"/>
      <c r="OSV520" s="1358"/>
      <c r="OSW520" s="1358"/>
      <c r="OSX520" s="1358"/>
      <c r="OSY520" s="1358"/>
      <c r="OSZ520" s="1358"/>
      <c r="OTA520" s="1358"/>
      <c r="OTB520" s="1358"/>
      <c r="OTC520" s="1358"/>
      <c r="OTD520" s="1358"/>
      <c r="OTE520" s="1358"/>
      <c r="OTF520" s="1358"/>
      <c r="OTG520" s="1358"/>
      <c r="OTH520" s="1358"/>
      <c r="OTI520" s="1358"/>
      <c r="OTJ520" s="1358"/>
      <c r="OTK520" s="1358"/>
      <c r="OTL520" s="1358"/>
      <c r="OTM520" s="1358"/>
      <c r="OTN520" s="1358"/>
      <c r="OTO520" s="1358"/>
      <c r="OTP520" s="1358"/>
      <c r="OTQ520" s="1358"/>
      <c r="OTR520" s="1358"/>
      <c r="OTS520" s="1358"/>
      <c r="OTT520" s="1358"/>
      <c r="OTU520" s="1358"/>
      <c r="OTV520" s="1358"/>
      <c r="OTW520" s="1358"/>
      <c r="OTX520" s="1358"/>
      <c r="OTY520" s="1358"/>
      <c r="OTZ520" s="1358"/>
      <c r="OUA520" s="1358"/>
      <c r="OUB520" s="1358"/>
      <c r="OUC520" s="1358"/>
      <c r="OUD520" s="1358"/>
      <c r="OUE520" s="1358"/>
      <c r="OUF520" s="1358"/>
      <c r="OUG520" s="1358"/>
      <c r="OUH520" s="1358"/>
      <c r="OUI520" s="1358"/>
      <c r="OUJ520" s="1358"/>
      <c r="OUK520" s="1358"/>
      <c r="OUL520" s="1358"/>
      <c r="OUM520" s="1358"/>
      <c r="OUN520" s="1358"/>
      <c r="OUO520" s="1358"/>
      <c r="OUP520" s="1358"/>
      <c r="OUQ520" s="1358"/>
      <c r="OUR520" s="1358"/>
      <c r="OUS520" s="1358"/>
      <c r="OUT520" s="1358"/>
      <c r="OUU520" s="1358"/>
      <c r="OUV520" s="1358"/>
      <c r="OUW520" s="1358"/>
      <c r="OUX520" s="1358"/>
      <c r="OUY520" s="1358"/>
      <c r="OUZ520" s="1358"/>
      <c r="OVA520" s="1358"/>
      <c r="OVB520" s="1358"/>
      <c r="OVC520" s="1358"/>
      <c r="OVD520" s="1358"/>
      <c r="OVE520" s="1358"/>
      <c r="OVF520" s="1358"/>
      <c r="OVG520" s="1358"/>
      <c r="OVH520" s="1358"/>
      <c r="OVI520" s="1358"/>
      <c r="OVJ520" s="1358"/>
      <c r="OVK520" s="1358"/>
      <c r="OVL520" s="1358"/>
      <c r="OVM520" s="1358"/>
      <c r="OVN520" s="1358"/>
      <c r="OVO520" s="1358"/>
      <c r="OVP520" s="1358"/>
      <c r="OVQ520" s="1358"/>
      <c r="OVR520" s="1358"/>
      <c r="OVS520" s="1358"/>
      <c r="OVT520" s="1358"/>
      <c r="OVU520" s="1358"/>
      <c r="OVV520" s="1358"/>
      <c r="OVW520" s="1358"/>
      <c r="OVX520" s="1358"/>
      <c r="OVY520" s="1358"/>
      <c r="OVZ520" s="1358"/>
      <c r="OWA520" s="1358"/>
      <c r="OWB520" s="1358"/>
      <c r="OWC520" s="1358"/>
      <c r="OWD520" s="1358"/>
      <c r="OWE520" s="1358"/>
      <c r="OWF520" s="1358"/>
      <c r="OWG520" s="1358"/>
      <c r="OWH520" s="1358"/>
      <c r="OWI520" s="1358"/>
      <c r="OWJ520" s="1358"/>
      <c r="OWK520" s="1358"/>
      <c r="OWL520" s="1358"/>
      <c r="OWM520" s="1358"/>
      <c r="OWN520" s="1358"/>
      <c r="OWO520" s="1358"/>
      <c r="OWP520" s="1358"/>
      <c r="OWQ520" s="1358"/>
      <c r="OWR520" s="1358"/>
      <c r="OWS520" s="1358"/>
      <c r="OWT520" s="1358"/>
      <c r="OWU520" s="1358"/>
      <c r="OWV520" s="1358"/>
      <c r="OWW520" s="1358"/>
      <c r="OWX520" s="1358"/>
      <c r="OWY520" s="1358"/>
      <c r="OWZ520" s="1358"/>
      <c r="OXA520" s="1358"/>
      <c r="OXB520" s="1358"/>
      <c r="OXC520" s="1358"/>
      <c r="OXD520" s="1358"/>
      <c r="OXE520" s="1358"/>
      <c r="OXF520" s="1358"/>
      <c r="OXG520" s="1358"/>
      <c r="OXH520" s="1358"/>
      <c r="OXI520" s="1358"/>
      <c r="OXJ520" s="1358"/>
      <c r="OXK520" s="1358"/>
      <c r="OXL520" s="1358"/>
      <c r="OXM520" s="1358"/>
      <c r="OXN520" s="1358"/>
      <c r="OXO520" s="1358"/>
      <c r="OXP520" s="1358"/>
      <c r="OXQ520" s="1358"/>
      <c r="OXR520" s="1358"/>
      <c r="OXS520" s="1358"/>
      <c r="OXT520" s="1358"/>
      <c r="OXU520" s="1358"/>
      <c r="OXV520" s="1358"/>
      <c r="OXW520" s="1358"/>
      <c r="OXX520" s="1358"/>
      <c r="OXY520" s="1358"/>
      <c r="OXZ520" s="1358"/>
      <c r="OYA520" s="1358"/>
      <c r="OYB520" s="1358"/>
      <c r="OYC520" s="1358"/>
      <c r="OYD520" s="1358"/>
      <c r="OYE520" s="1358"/>
      <c r="OYF520" s="1358"/>
      <c r="OYG520" s="1358"/>
      <c r="OYH520" s="1358"/>
      <c r="OYI520" s="1358"/>
      <c r="OYJ520" s="1358"/>
      <c r="OYK520" s="1358"/>
      <c r="OYL520" s="1358"/>
      <c r="OYM520" s="1358"/>
      <c r="OYN520" s="1358"/>
      <c r="OYO520" s="1358"/>
      <c r="OYP520" s="1358"/>
      <c r="OYQ520" s="1358"/>
      <c r="OYR520" s="1358"/>
      <c r="OYS520" s="1358"/>
      <c r="OYT520" s="1358"/>
      <c r="OYU520" s="1358"/>
      <c r="OYV520" s="1358"/>
      <c r="OYW520" s="1358"/>
      <c r="OYX520" s="1358"/>
      <c r="OYY520" s="1358"/>
      <c r="OYZ520" s="1358"/>
      <c r="OZA520" s="1358"/>
      <c r="OZB520" s="1358"/>
      <c r="OZC520" s="1358"/>
      <c r="OZD520" s="1358"/>
      <c r="OZE520" s="1358"/>
      <c r="OZF520" s="1358"/>
      <c r="OZG520" s="1358"/>
      <c r="OZH520" s="1358"/>
      <c r="OZI520" s="1358"/>
      <c r="OZJ520" s="1358"/>
      <c r="OZK520" s="1358"/>
      <c r="OZL520" s="1358"/>
      <c r="OZM520" s="1358"/>
      <c r="OZN520" s="1358"/>
      <c r="OZO520" s="1358"/>
      <c r="OZP520" s="1358"/>
      <c r="OZQ520" s="1358"/>
      <c r="OZR520" s="1358"/>
      <c r="OZS520" s="1358"/>
      <c r="OZT520" s="1358"/>
      <c r="OZU520" s="1358"/>
      <c r="OZV520" s="1358"/>
      <c r="OZW520" s="1358"/>
      <c r="OZX520" s="1358"/>
      <c r="OZY520" s="1358"/>
      <c r="OZZ520" s="1358"/>
      <c r="PAA520" s="1358"/>
      <c r="PAB520" s="1358"/>
      <c r="PAC520" s="1358"/>
      <c r="PAD520" s="1358"/>
      <c r="PAE520" s="1358"/>
      <c r="PAF520" s="1358"/>
      <c r="PAG520" s="1358"/>
      <c r="PAH520" s="1358"/>
      <c r="PAI520" s="1358"/>
      <c r="PAJ520" s="1358"/>
      <c r="PAK520" s="1358"/>
      <c r="PAL520" s="1358"/>
      <c r="PAM520" s="1358"/>
      <c r="PAN520" s="1358"/>
      <c r="PAO520" s="1358"/>
      <c r="PAP520" s="1358"/>
      <c r="PAQ520" s="1358"/>
      <c r="PAR520" s="1358"/>
      <c r="PAS520" s="1358"/>
      <c r="PAT520" s="1358"/>
      <c r="PAU520" s="1358"/>
      <c r="PAV520" s="1358"/>
      <c r="PAW520" s="1358"/>
      <c r="PAX520" s="1358"/>
      <c r="PAY520" s="1358"/>
      <c r="PAZ520" s="1358"/>
      <c r="PBA520" s="1358"/>
      <c r="PBB520" s="1358"/>
      <c r="PBC520" s="1358"/>
      <c r="PBD520" s="1358"/>
      <c r="PBE520" s="1358"/>
      <c r="PBF520" s="1358"/>
      <c r="PBG520" s="1358"/>
      <c r="PBH520" s="1358"/>
      <c r="PBI520" s="1358"/>
      <c r="PBJ520" s="1358"/>
      <c r="PBK520" s="1358"/>
      <c r="PBL520" s="1358"/>
      <c r="PBM520" s="1358"/>
      <c r="PBN520" s="1358"/>
      <c r="PBO520" s="1358"/>
      <c r="PBP520" s="1358"/>
      <c r="PBQ520" s="1358"/>
      <c r="PBR520" s="1358"/>
      <c r="PBS520" s="1358"/>
      <c r="PBT520" s="1358"/>
      <c r="PBU520" s="1358"/>
      <c r="PBV520" s="1358"/>
      <c r="PBW520" s="1358"/>
      <c r="PBX520" s="1358"/>
      <c r="PBY520" s="1358"/>
      <c r="PBZ520" s="1358"/>
      <c r="PCA520" s="1358"/>
      <c r="PCB520" s="1358"/>
      <c r="PCC520" s="1358"/>
      <c r="PCD520" s="1358"/>
      <c r="PCE520" s="1358"/>
      <c r="PCF520" s="1358"/>
      <c r="PCG520" s="1358"/>
      <c r="PCH520" s="1358"/>
      <c r="PCI520" s="1358"/>
      <c r="PCJ520" s="1358"/>
      <c r="PCK520" s="1358"/>
      <c r="PCL520" s="1358"/>
      <c r="PCM520" s="1358"/>
      <c r="PCN520" s="1358"/>
      <c r="PCO520" s="1358"/>
      <c r="PCP520" s="1358"/>
      <c r="PCQ520" s="1358"/>
      <c r="PCR520" s="1358"/>
      <c r="PCS520" s="1358"/>
      <c r="PCT520" s="1358"/>
      <c r="PCU520" s="1358"/>
      <c r="PCV520" s="1358"/>
      <c r="PCW520" s="1358"/>
      <c r="PCX520" s="1358"/>
      <c r="PCY520" s="1358"/>
      <c r="PCZ520" s="1358"/>
      <c r="PDA520" s="1358"/>
      <c r="PDB520" s="1358"/>
      <c r="PDC520" s="1358"/>
      <c r="PDD520" s="1358"/>
      <c r="PDE520" s="1358"/>
      <c r="PDF520" s="1358"/>
      <c r="PDG520" s="1358"/>
      <c r="PDH520" s="1358"/>
      <c r="PDI520" s="1358"/>
      <c r="PDJ520" s="1358"/>
      <c r="PDK520" s="1358"/>
      <c r="PDL520" s="1358"/>
      <c r="PDM520" s="1358"/>
      <c r="PDN520" s="1358"/>
      <c r="PDO520" s="1358"/>
      <c r="PDP520" s="1358"/>
      <c r="PDQ520" s="1358"/>
      <c r="PDR520" s="1358"/>
      <c r="PDS520" s="1358"/>
      <c r="PDT520" s="1358"/>
      <c r="PDU520" s="1358"/>
      <c r="PDV520" s="1358"/>
      <c r="PDW520" s="1358"/>
      <c r="PDX520" s="1358"/>
      <c r="PDY520" s="1358"/>
      <c r="PDZ520" s="1358"/>
      <c r="PEA520" s="1358"/>
      <c r="PEB520" s="1358"/>
      <c r="PEC520" s="1358"/>
      <c r="PED520" s="1358"/>
      <c r="PEE520" s="1358"/>
      <c r="PEF520" s="1358"/>
      <c r="PEG520" s="1358"/>
      <c r="PEH520" s="1358"/>
      <c r="PEI520" s="1358"/>
      <c r="PEJ520" s="1358"/>
      <c r="PEK520" s="1358"/>
      <c r="PEL520" s="1358"/>
      <c r="PEM520" s="1358"/>
      <c r="PEN520" s="1358"/>
      <c r="PEO520" s="1358"/>
      <c r="PEP520" s="1358"/>
      <c r="PEQ520" s="1358"/>
      <c r="PER520" s="1358"/>
      <c r="PES520" s="1358"/>
      <c r="PET520" s="1358"/>
      <c r="PEU520" s="1358"/>
      <c r="PEV520" s="1358"/>
      <c r="PEW520" s="1358"/>
      <c r="PEX520" s="1358"/>
      <c r="PEY520" s="1358"/>
      <c r="PEZ520" s="1358"/>
      <c r="PFA520" s="1358"/>
      <c r="PFB520" s="1358"/>
      <c r="PFC520" s="1358"/>
      <c r="PFD520" s="1358"/>
      <c r="PFE520" s="1358"/>
      <c r="PFF520" s="1358"/>
      <c r="PFG520" s="1358"/>
      <c r="PFH520" s="1358"/>
      <c r="PFI520" s="1358"/>
      <c r="PFJ520" s="1358"/>
      <c r="PFK520" s="1358"/>
      <c r="PFL520" s="1358"/>
      <c r="PFM520" s="1358"/>
      <c r="PFN520" s="1358"/>
      <c r="PFO520" s="1358"/>
      <c r="PFP520" s="1358"/>
      <c r="PFQ520" s="1358"/>
      <c r="PFR520" s="1358"/>
      <c r="PFS520" s="1358"/>
      <c r="PFT520" s="1358"/>
      <c r="PFU520" s="1358"/>
      <c r="PFV520" s="1358"/>
      <c r="PFW520" s="1358"/>
      <c r="PFX520" s="1358"/>
      <c r="PFY520" s="1358"/>
      <c r="PFZ520" s="1358"/>
      <c r="PGA520" s="1358"/>
      <c r="PGB520" s="1358"/>
      <c r="PGC520" s="1358"/>
      <c r="PGD520" s="1358"/>
      <c r="PGE520" s="1358"/>
      <c r="PGF520" s="1358"/>
      <c r="PGG520" s="1358"/>
      <c r="PGH520" s="1358"/>
      <c r="PGI520" s="1358"/>
      <c r="PGJ520" s="1358"/>
      <c r="PGK520" s="1358"/>
      <c r="PGL520" s="1358"/>
      <c r="PGM520" s="1358"/>
      <c r="PGN520" s="1358"/>
      <c r="PGO520" s="1358"/>
      <c r="PGP520" s="1358"/>
      <c r="PGQ520" s="1358"/>
      <c r="PGR520" s="1358"/>
      <c r="PGS520" s="1358"/>
      <c r="PGT520" s="1358"/>
      <c r="PGU520" s="1358"/>
      <c r="PGV520" s="1358"/>
      <c r="PGW520" s="1358"/>
      <c r="PGX520" s="1358"/>
      <c r="PGY520" s="1358"/>
      <c r="PGZ520" s="1358"/>
      <c r="PHA520" s="1358"/>
      <c r="PHB520" s="1358"/>
      <c r="PHC520" s="1358"/>
      <c r="PHD520" s="1358"/>
      <c r="PHE520" s="1358"/>
      <c r="PHF520" s="1358"/>
      <c r="PHG520" s="1358"/>
      <c r="PHH520" s="1358"/>
      <c r="PHI520" s="1358"/>
      <c r="PHJ520" s="1358"/>
      <c r="PHK520" s="1358"/>
      <c r="PHL520" s="1358"/>
      <c r="PHM520" s="1358"/>
      <c r="PHN520" s="1358"/>
      <c r="PHO520" s="1358"/>
      <c r="PHP520" s="1358"/>
      <c r="PHQ520" s="1358"/>
      <c r="PHR520" s="1358"/>
      <c r="PHS520" s="1358"/>
      <c r="PHT520" s="1358"/>
      <c r="PHU520" s="1358"/>
      <c r="PHV520" s="1358"/>
      <c r="PHW520" s="1358"/>
      <c r="PHX520" s="1358"/>
      <c r="PHY520" s="1358"/>
      <c r="PHZ520" s="1358"/>
      <c r="PIA520" s="1358"/>
      <c r="PIB520" s="1358"/>
      <c r="PIC520" s="1358"/>
      <c r="PID520" s="1358"/>
      <c r="PIE520" s="1358"/>
      <c r="PIF520" s="1358"/>
      <c r="PIG520" s="1358"/>
      <c r="PIH520" s="1358"/>
      <c r="PII520" s="1358"/>
      <c r="PIJ520" s="1358"/>
      <c r="PIK520" s="1358"/>
      <c r="PIL520" s="1358"/>
      <c r="PIM520" s="1358"/>
      <c r="PIN520" s="1358"/>
      <c r="PIO520" s="1358"/>
      <c r="PIP520" s="1358"/>
      <c r="PIQ520" s="1358"/>
      <c r="PIR520" s="1358"/>
      <c r="PIS520" s="1358"/>
      <c r="PIT520" s="1358"/>
      <c r="PIU520" s="1358"/>
      <c r="PIV520" s="1358"/>
      <c r="PIW520" s="1358"/>
      <c r="PIX520" s="1358"/>
      <c r="PIY520" s="1358"/>
      <c r="PIZ520" s="1358"/>
      <c r="PJA520" s="1358"/>
      <c r="PJB520" s="1358"/>
      <c r="PJC520" s="1358"/>
      <c r="PJD520" s="1358"/>
      <c r="PJE520" s="1358"/>
      <c r="PJF520" s="1358"/>
      <c r="PJG520" s="1358"/>
      <c r="PJH520" s="1358"/>
      <c r="PJI520" s="1358"/>
      <c r="PJJ520" s="1358"/>
      <c r="PJK520" s="1358"/>
      <c r="PJL520" s="1358"/>
      <c r="PJM520" s="1358"/>
      <c r="PJN520" s="1358"/>
      <c r="PJO520" s="1358"/>
      <c r="PJP520" s="1358"/>
      <c r="PJQ520" s="1358"/>
      <c r="PJR520" s="1358"/>
      <c r="PJS520" s="1358"/>
      <c r="PJT520" s="1358"/>
      <c r="PJU520" s="1358"/>
      <c r="PJV520" s="1358"/>
      <c r="PJW520" s="1358"/>
      <c r="PJX520" s="1358"/>
      <c r="PJY520" s="1358"/>
      <c r="PJZ520" s="1358"/>
      <c r="PKA520" s="1358"/>
      <c r="PKB520" s="1358"/>
      <c r="PKC520" s="1358"/>
      <c r="PKD520" s="1358"/>
      <c r="PKE520" s="1358"/>
      <c r="PKF520" s="1358"/>
      <c r="PKG520" s="1358"/>
      <c r="PKH520" s="1358"/>
      <c r="PKI520" s="1358"/>
      <c r="PKJ520" s="1358"/>
      <c r="PKK520" s="1358"/>
      <c r="PKL520" s="1358"/>
      <c r="PKM520" s="1358"/>
      <c r="PKN520" s="1358"/>
      <c r="PKO520" s="1358"/>
      <c r="PKP520" s="1358"/>
      <c r="PKQ520" s="1358"/>
      <c r="PKR520" s="1358"/>
      <c r="PKS520" s="1358"/>
      <c r="PKT520" s="1358"/>
      <c r="PKU520" s="1358"/>
      <c r="PKV520" s="1358"/>
      <c r="PKW520" s="1358"/>
      <c r="PKX520" s="1358"/>
      <c r="PKY520" s="1358"/>
      <c r="PKZ520" s="1358"/>
      <c r="PLA520" s="1358"/>
      <c r="PLB520" s="1358"/>
      <c r="PLC520" s="1358"/>
      <c r="PLD520" s="1358"/>
      <c r="PLE520" s="1358"/>
      <c r="PLF520" s="1358"/>
      <c r="PLG520" s="1358"/>
      <c r="PLH520" s="1358"/>
      <c r="PLI520" s="1358"/>
      <c r="PLJ520" s="1358"/>
      <c r="PLK520" s="1358"/>
      <c r="PLL520" s="1358"/>
      <c r="PLM520" s="1358"/>
      <c r="PLN520" s="1358"/>
      <c r="PLO520" s="1358"/>
      <c r="PLP520" s="1358"/>
      <c r="PLQ520" s="1358"/>
      <c r="PLR520" s="1358"/>
      <c r="PLS520" s="1358"/>
      <c r="PLT520" s="1358"/>
      <c r="PLU520" s="1358"/>
      <c r="PLV520" s="1358"/>
      <c r="PLW520" s="1358"/>
      <c r="PLX520" s="1358"/>
      <c r="PLY520" s="1358"/>
      <c r="PLZ520" s="1358"/>
      <c r="PMA520" s="1358"/>
      <c r="PMB520" s="1358"/>
      <c r="PMC520" s="1358"/>
      <c r="PMD520" s="1358"/>
      <c r="PME520" s="1358"/>
      <c r="PMF520" s="1358"/>
      <c r="PMG520" s="1358"/>
      <c r="PMH520" s="1358"/>
      <c r="PMI520" s="1358"/>
      <c r="PMJ520" s="1358"/>
      <c r="PMK520" s="1358"/>
      <c r="PML520" s="1358"/>
      <c r="PMM520" s="1358"/>
      <c r="PMN520" s="1358"/>
      <c r="PMO520" s="1358"/>
      <c r="PMP520" s="1358"/>
      <c r="PMQ520" s="1358"/>
      <c r="PMR520" s="1358"/>
      <c r="PMS520" s="1358"/>
      <c r="PMT520" s="1358"/>
      <c r="PMU520" s="1358"/>
      <c r="PMV520" s="1358"/>
      <c r="PMW520" s="1358"/>
      <c r="PMX520" s="1358"/>
      <c r="PMY520" s="1358"/>
      <c r="PMZ520" s="1358"/>
      <c r="PNA520" s="1358"/>
      <c r="PNB520" s="1358"/>
      <c r="PNC520" s="1358"/>
      <c r="PND520" s="1358"/>
      <c r="PNE520" s="1358"/>
      <c r="PNF520" s="1358"/>
      <c r="PNG520" s="1358"/>
      <c r="PNH520" s="1358"/>
      <c r="PNI520" s="1358"/>
      <c r="PNJ520" s="1358"/>
      <c r="PNK520" s="1358"/>
      <c r="PNL520" s="1358"/>
      <c r="PNM520" s="1358"/>
      <c r="PNN520" s="1358"/>
      <c r="PNO520" s="1358"/>
      <c r="PNP520" s="1358"/>
      <c r="PNQ520" s="1358"/>
      <c r="PNR520" s="1358"/>
      <c r="PNS520" s="1358"/>
      <c r="PNT520" s="1358"/>
      <c r="PNU520" s="1358"/>
      <c r="PNV520" s="1358"/>
      <c r="PNW520" s="1358"/>
      <c r="PNX520" s="1358"/>
      <c r="PNY520" s="1358"/>
      <c r="PNZ520" s="1358"/>
      <c r="POA520" s="1358"/>
      <c r="POB520" s="1358"/>
      <c r="POC520" s="1358"/>
      <c r="POD520" s="1358"/>
      <c r="POE520" s="1358"/>
      <c r="POF520" s="1358"/>
      <c r="POG520" s="1358"/>
      <c r="POH520" s="1358"/>
      <c r="POI520" s="1358"/>
      <c r="POJ520" s="1358"/>
      <c r="POK520" s="1358"/>
      <c r="POL520" s="1358"/>
      <c r="POM520" s="1358"/>
      <c r="PON520" s="1358"/>
      <c r="POO520" s="1358"/>
      <c r="POP520" s="1358"/>
      <c r="POQ520" s="1358"/>
      <c r="POR520" s="1358"/>
      <c r="POS520" s="1358"/>
      <c r="POT520" s="1358"/>
      <c r="POU520" s="1358"/>
      <c r="POV520" s="1358"/>
      <c r="POW520" s="1358"/>
      <c r="POX520" s="1358"/>
      <c r="POY520" s="1358"/>
      <c r="POZ520" s="1358"/>
      <c r="PPA520" s="1358"/>
      <c r="PPB520" s="1358"/>
      <c r="PPC520" s="1358"/>
      <c r="PPD520" s="1358"/>
      <c r="PPE520" s="1358"/>
      <c r="PPF520" s="1358"/>
      <c r="PPG520" s="1358"/>
      <c r="PPH520" s="1358"/>
      <c r="PPI520" s="1358"/>
      <c r="PPJ520" s="1358"/>
      <c r="PPK520" s="1358"/>
      <c r="PPL520" s="1358"/>
      <c r="PPM520" s="1358"/>
      <c r="PPN520" s="1358"/>
      <c r="PPO520" s="1358"/>
      <c r="PPP520" s="1358"/>
      <c r="PPQ520" s="1358"/>
      <c r="PPR520" s="1358"/>
      <c r="PPS520" s="1358"/>
      <c r="PPT520" s="1358"/>
      <c r="PPU520" s="1358"/>
      <c r="PPV520" s="1358"/>
      <c r="PPW520" s="1358"/>
      <c r="PPX520" s="1358"/>
      <c r="PPY520" s="1358"/>
      <c r="PPZ520" s="1358"/>
      <c r="PQA520" s="1358"/>
      <c r="PQB520" s="1358"/>
      <c r="PQC520" s="1358"/>
      <c r="PQD520" s="1358"/>
      <c r="PQE520" s="1358"/>
      <c r="PQF520" s="1358"/>
      <c r="PQG520" s="1358"/>
      <c r="PQH520" s="1358"/>
      <c r="PQI520" s="1358"/>
      <c r="PQJ520" s="1358"/>
      <c r="PQK520" s="1358"/>
      <c r="PQL520" s="1358"/>
      <c r="PQM520" s="1358"/>
      <c r="PQN520" s="1358"/>
      <c r="PQO520" s="1358"/>
      <c r="PQP520" s="1358"/>
      <c r="PQQ520" s="1358"/>
      <c r="PQR520" s="1358"/>
      <c r="PQS520" s="1358"/>
      <c r="PQT520" s="1358"/>
      <c r="PQU520" s="1358"/>
      <c r="PQV520" s="1358"/>
      <c r="PQW520" s="1358"/>
      <c r="PQX520" s="1358"/>
      <c r="PQY520" s="1358"/>
      <c r="PQZ520" s="1358"/>
      <c r="PRA520" s="1358"/>
      <c r="PRB520" s="1358"/>
      <c r="PRC520" s="1358"/>
      <c r="PRD520" s="1358"/>
      <c r="PRE520" s="1358"/>
      <c r="PRF520" s="1358"/>
      <c r="PRG520" s="1358"/>
      <c r="PRH520" s="1358"/>
      <c r="PRI520" s="1358"/>
      <c r="PRJ520" s="1358"/>
      <c r="PRK520" s="1358"/>
      <c r="PRL520" s="1358"/>
      <c r="PRM520" s="1358"/>
      <c r="PRN520" s="1358"/>
      <c r="PRO520" s="1358"/>
      <c r="PRP520" s="1358"/>
      <c r="PRQ520" s="1358"/>
      <c r="PRR520" s="1358"/>
      <c r="PRS520" s="1358"/>
      <c r="PRT520" s="1358"/>
      <c r="PRU520" s="1358"/>
      <c r="PRV520" s="1358"/>
      <c r="PRW520" s="1358"/>
      <c r="PRX520" s="1358"/>
      <c r="PRY520" s="1358"/>
      <c r="PRZ520" s="1358"/>
      <c r="PSA520" s="1358"/>
      <c r="PSB520" s="1358"/>
      <c r="PSC520" s="1358"/>
      <c r="PSD520" s="1358"/>
      <c r="PSE520" s="1358"/>
      <c r="PSF520" s="1358"/>
      <c r="PSG520" s="1358"/>
      <c r="PSH520" s="1358"/>
      <c r="PSI520" s="1358"/>
      <c r="PSJ520" s="1358"/>
      <c r="PSK520" s="1358"/>
      <c r="PSL520" s="1358"/>
      <c r="PSM520" s="1358"/>
      <c r="PSN520" s="1358"/>
      <c r="PSO520" s="1358"/>
      <c r="PSP520" s="1358"/>
      <c r="PSQ520" s="1358"/>
      <c r="PSR520" s="1358"/>
      <c r="PSS520" s="1358"/>
      <c r="PST520" s="1358"/>
      <c r="PSU520" s="1358"/>
      <c r="PSV520" s="1358"/>
      <c r="PSW520" s="1358"/>
      <c r="PSX520" s="1358"/>
      <c r="PSY520" s="1358"/>
      <c r="PSZ520" s="1358"/>
      <c r="PTA520" s="1358"/>
      <c r="PTB520" s="1358"/>
      <c r="PTC520" s="1358"/>
      <c r="PTD520" s="1358"/>
      <c r="PTE520" s="1358"/>
      <c r="PTF520" s="1358"/>
      <c r="PTG520" s="1358"/>
      <c r="PTH520" s="1358"/>
      <c r="PTI520" s="1358"/>
      <c r="PTJ520" s="1358"/>
      <c r="PTK520" s="1358"/>
      <c r="PTL520" s="1358"/>
      <c r="PTM520" s="1358"/>
      <c r="PTN520" s="1358"/>
      <c r="PTO520" s="1358"/>
      <c r="PTP520" s="1358"/>
      <c r="PTQ520" s="1358"/>
      <c r="PTR520" s="1358"/>
      <c r="PTS520" s="1358"/>
      <c r="PTT520" s="1358"/>
      <c r="PTU520" s="1358"/>
      <c r="PTV520" s="1358"/>
      <c r="PTW520" s="1358"/>
      <c r="PTX520" s="1358"/>
      <c r="PTY520" s="1358"/>
      <c r="PTZ520" s="1358"/>
      <c r="PUA520" s="1358"/>
      <c r="PUB520" s="1358"/>
      <c r="PUC520" s="1358"/>
      <c r="PUD520" s="1358"/>
      <c r="PUE520" s="1358"/>
      <c r="PUF520" s="1358"/>
      <c r="PUG520" s="1358"/>
      <c r="PUH520" s="1358"/>
      <c r="PUI520" s="1358"/>
      <c r="PUJ520" s="1358"/>
      <c r="PUK520" s="1358"/>
      <c r="PUL520" s="1358"/>
      <c r="PUM520" s="1358"/>
      <c r="PUN520" s="1358"/>
      <c r="PUO520" s="1358"/>
      <c r="PUP520" s="1358"/>
      <c r="PUQ520" s="1358"/>
      <c r="PUR520" s="1358"/>
      <c r="PUS520" s="1358"/>
      <c r="PUT520" s="1358"/>
      <c r="PUU520" s="1358"/>
      <c r="PUV520" s="1358"/>
      <c r="PUW520" s="1358"/>
      <c r="PUX520" s="1358"/>
      <c r="PUY520" s="1358"/>
      <c r="PUZ520" s="1358"/>
      <c r="PVA520" s="1358"/>
      <c r="PVB520" s="1358"/>
      <c r="PVC520" s="1358"/>
      <c r="PVD520" s="1358"/>
      <c r="PVE520" s="1358"/>
      <c r="PVF520" s="1358"/>
      <c r="PVG520" s="1358"/>
      <c r="PVH520" s="1358"/>
      <c r="PVI520" s="1358"/>
      <c r="PVJ520" s="1358"/>
      <c r="PVK520" s="1358"/>
      <c r="PVL520" s="1358"/>
      <c r="PVM520" s="1358"/>
      <c r="PVN520" s="1358"/>
      <c r="PVO520" s="1358"/>
      <c r="PVP520" s="1358"/>
      <c r="PVQ520" s="1358"/>
      <c r="PVR520" s="1358"/>
      <c r="PVS520" s="1358"/>
      <c r="PVT520" s="1358"/>
      <c r="PVU520" s="1358"/>
      <c r="PVV520" s="1358"/>
      <c r="PVW520" s="1358"/>
      <c r="PVX520" s="1358"/>
      <c r="PVY520" s="1358"/>
      <c r="PVZ520" s="1358"/>
      <c r="PWA520" s="1358"/>
      <c r="PWB520" s="1358"/>
      <c r="PWC520" s="1358"/>
      <c r="PWD520" s="1358"/>
      <c r="PWE520" s="1358"/>
      <c r="PWF520" s="1358"/>
      <c r="PWG520" s="1358"/>
      <c r="PWH520" s="1358"/>
      <c r="PWI520" s="1358"/>
      <c r="PWJ520" s="1358"/>
      <c r="PWK520" s="1358"/>
      <c r="PWL520" s="1358"/>
      <c r="PWM520" s="1358"/>
      <c r="PWN520" s="1358"/>
      <c r="PWO520" s="1358"/>
      <c r="PWP520" s="1358"/>
      <c r="PWQ520" s="1358"/>
      <c r="PWR520" s="1358"/>
      <c r="PWS520" s="1358"/>
      <c r="PWT520" s="1358"/>
      <c r="PWU520" s="1358"/>
      <c r="PWV520" s="1358"/>
      <c r="PWW520" s="1358"/>
      <c r="PWX520" s="1358"/>
      <c r="PWY520" s="1358"/>
      <c r="PWZ520" s="1358"/>
      <c r="PXA520" s="1358"/>
      <c r="PXB520" s="1358"/>
      <c r="PXC520" s="1358"/>
      <c r="PXD520" s="1358"/>
      <c r="PXE520" s="1358"/>
      <c r="PXF520" s="1358"/>
      <c r="PXG520" s="1358"/>
      <c r="PXH520" s="1358"/>
      <c r="PXI520" s="1358"/>
      <c r="PXJ520" s="1358"/>
      <c r="PXK520" s="1358"/>
      <c r="PXL520" s="1358"/>
      <c r="PXM520" s="1358"/>
      <c r="PXN520" s="1358"/>
      <c r="PXO520" s="1358"/>
      <c r="PXP520" s="1358"/>
      <c r="PXQ520" s="1358"/>
      <c r="PXR520" s="1358"/>
      <c r="PXS520" s="1358"/>
      <c r="PXT520" s="1358"/>
      <c r="PXU520" s="1358"/>
      <c r="PXV520" s="1358"/>
      <c r="PXW520" s="1358"/>
      <c r="PXX520" s="1358"/>
      <c r="PXY520" s="1358"/>
      <c r="PXZ520" s="1358"/>
      <c r="PYA520" s="1358"/>
      <c r="PYB520" s="1358"/>
      <c r="PYC520" s="1358"/>
      <c r="PYD520" s="1358"/>
      <c r="PYE520" s="1358"/>
      <c r="PYF520" s="1358"/>
      <c r="PYG520" s="1358"/>
      <c r="PYH520" s="1358"/>
      <c r="PYI520" s="1358"/>
      <c r="PYJ520" s="1358"/>
      <c r="PYK520" s="1358"/>
      <c r="PYL520" s="1358"/>
      <c r="PYM520" s="1358"/>
      <c r="PYN520" s="1358"/>
      <c r="PYO520" s="1358"/>
      <c r="PYP520" s="1358"/>
      <c r="PYQ520" s="1358"/>
      <c r="PYR520" s="1358"/>
      <c r="PYS520" s="1358"/>
      <c r="PYT520" s="1358"/>
      <c r="PYU520" s="1358"/>
      <c r="PYV520" s="1358"/>
      <c r="PYW520" s="1358"/>
      <c r="PYX520" s="1358"/>
      <c r="PYY520" s="1358"/>
      <c r="PYZ520" s="1358"/>
      <c r="PZA520" s="1358"/>
      <c r="PZB520" s="1358"/>
      <c r="PZC520" s="1358"/>
      <c r="PZD520" s="1358"/>
      <c r="PZE520" s="1358"/>
      <c r="PZF520" s="1358"/>
      <c r="PZG520" s="1358"/>
      <c r="PZH520" s="1358"/>
      <c r="PZI520" s="1358"/>
      <c r="PZJ520" s="1358"/>
      <c r="PZK520" s="1358"/>
      <c r="PZL520" s="1358"/>
      <c r="PZM520" s="1358"/>
      <c r="PZN520" s="1358"/>
      <c r="PZO520" s="1358"/>
      <c r="PZP520" s="1358"/>
      <c r="PZQ520" s="1358"/>
      <c r="PZR520" s="1358"/>
      <c r="PZS520" s="1358"/>
      <c r="PZT520" s="1358"/>
      <c r="PZU520" s="1358"/>
      <c r="PZV520" s="1358"/>
      <c r="PZW520" s="1358"/>
      <c r="PZX520" s="1358"/>
      <c r="PZY520" s="1358"/>
      <c r="PZZ520" s="1358"/>
      <c r="QAA520" s="1358"/>
      <c r="QAB520" s="1358"/>
      <c r="QAC520" s="1358"/>
      <c r="QAD520" s="1358"/>
      <c r="QAE520" s="1358"/>
      <c r="QAF520" s="1358"/>
      <c r="QAG520" s="1358"/>
      <c r="QAH520" s="1358"/>
      <c r="QAI520" s="1358"/>
      <c r="QAJ520" s="1358"/>
      <c r="QAK520" s="1358"/>
      <c r="QAL520" s="1358"/>
      <c r="QAM520" s="1358"/>
      <c r="QAN520" s="1358"/>
      <c r="QAO520" s="1358"/>
      <c r="QAP520" s="1358"/>
      <c r="QAQ520" s="1358"/>
      <c r="QAR520" s="1358"/>
      <c r="QAS520" s="1358"/>
      <c r="QAT520" s="1358"/>
      <c r="QAU520" s="1358"/>
      <c r="QAV520" s="1358"/>
      <c r="QAW520" s="1358"/>
      <c r="QAX520" s="1358"/>
      <c r="QAY520" s="1358"/>
      <c r="QAZ520" s="1358"/>
      <c r="QBA520" s="1358"/>
      <c r="QBB520" s="1358"/>
      <c r="QBC520" s="1358"/>
      <c r="QBD520" s="1358"/>
      <c r="QBE520" s="1358"/>
      <c r="QBF520" s="1358"/>
      <c r="QBG520" s="1358"/>
      <c r="QBH520" s="1358"/>
      <c r="QBI520" s="1358"/>
      <c r="QBJ520" s="1358"/>
      <c r="QBK520" s="1358"/>
      <c r="QBL520" s="1358"/>
      <c r="QBM520" s="1358"/>
      <c r="QBN520" s="1358"/>
      <c r="QBO520" s="1358"/>
      <c r="QBP520" s="1358"/>
      <c r="QBQ520" s="1358"/>
      <c r="QBR520" s="1358"/>
      <c r="QBS520" s="1358"/>
      <c r="QBT520" s="1358"/>
      <c r="QBU520" s="1358"/>
      <c r="QBV520" s="1358"/>
      <c r="QBW520" s="1358"/>
      <c r="QBX520" s="1358"/>
      <c r="QBY520" s="1358"/>
      <c r="QBZ520" s="1358"/>
      <c r="QCA520" s="1358"/>
      <c r="QCB520" s="1358"/>
      <c r="QCC520" s="1358"/>
      <c r="QCD520" s="1358"/>
      <c r="QCE520" s="1358"/>
      <c r="QCF520" s="1358"/>
      <c r="QCG520" s="1358"/>
      <c r="QCH520" s="1358"/>
      <c r="QCI520" s="1358"/>
      <c r="QCJ520" s="1358"/>
      <c r="QCK520" s="1358"/>
      <c r="QCL520" s="1358"/>
      <c r="QCM520" s="1358"/>
      <c r="QCN520" s="1358"/>
      <c r="QCO520" s="1358"/>
      <c r="QCP520" s="1358"/>
      <c r="QCQ520" s="1358"/>
      <c r="QCR520" s="1358"/>
      <c r="QCS520" s="1358"/>
      <c r="QCT520" s="1358"/>
      <c r="QCU520" s="1358"/>
      <c r="QCV520" s="1358"/>
      <c r="QCW520" s="1358"/>
      <c r="QCX520" s="1358"/>
      <c r="QCY520" s="1358"/>
      <c r="QCZ520" s="1358"/>
      <c r="QDA520" s="1358"/>
      <c r="QDB520" s="1358"/>
      <c r="QDC520" s="1358"/>
      <c r="QDD520" s="1358"/>
      <c r="QDE520" s="1358"/>
      <c r="QDF520" s="1358"/>
      <c r="QDG520" s="1358"/>
      <c r="QDH520" s="1358"/>
      <c r="QDI520" s="1358"/>
      <c r="QDJ520" s="1358"/>
      <c r="QDK520" s="1358"/>
      <c r="QDL520" s="1358"/>
      <c r="QDM520" s="1358"/>
      <c r="QDN520" s="1358"/>
      <c r="QDO520" s="1358"/>
      <c r="QDP520" s="1358"/>
      <c r="QDQ520" s="1358"/>
      <c r="QDR520" s="1358"/>
      <c r="QDS520" s="1358"/>
      <c r="QDT520" s="1358"/>
      <c r="QDU520" s="1358"/>
      <c r="QDV520" s="1358"/>
      <c r="QDW520" s="1358"/>
      <c r="QDX520" s="1358"/>
      <c r="QDY520" s="1358"/>
      <c r="QDZ520" s="1358"/>
      <c r="QEA520" s="1358"/>
      <c r="QEB520" s="1358"/>
      <c r="QEC520" s="1358"/>
      <c r="QED520" s="1358"/>
      <c r="QEE520" s="1358"/>
      <c r="QEF520" s="1358"/>
      <c r="QEG520" s="1358"/>
      <c r="QEH520" s="1358"/>
      <c r="QEI520" s="1358"/>
      <c r="QEJ520" s="1358"/>
      <c r="QEK520" s="1358"/>
      <c r="QEL520" s="1358"/>
      <c r="QEM520" s="1358"/>
      <c r="QEN520" s="1358"/>
      <c r="QEO520" s="1358"/>
      <c r="QEP520" s="1358"/>
      <c r="QEQ520" s="1358"/>
      <c r="QER520" s="1358"/>
      <c r="QES520" s="1358"/>
      <c r="QET520" s="1358"/>
      <c r="QEU520" s="1358"/>
      <c r="QEV520" s="1358"/>
      <c r="QEW520" s="1358"/>
      <c r="QEX520" s="1358"/>
      <c r="QEY520" s="1358"/>
      <c r="QEZ520" s="1358"/>
      <c r="QFA520" s="1358"/>
      <c r="QFB520" s="1358"/>
      <c r="QFC520" s="1358"/>
      <c r="QFD520" s="1358"/>
      <c r="QFE520" s="1358"/>
      <c r="QFF520" s="1358"/>
      <c r="QFG520" s="1358"/>
      <c r="QFH520" s="1358"/>
      <c r="QFI520" s="1358"/>
      <c r="QFJ520" s="1358"/>
      <c r="QFK520" s="1358"/>
      <c r="QFL520" s="1358"/>
      <c r="QFM520" s="1358"/>
      <c r="QFN520" s="1358"/>
      <c r="QFO520" s="1358"/>
      <c r="QFP520" s="1358"/>
      <c r="QFQ520" s="1358"/>
      <c r="QFR520" s="1358"/>
      <c r="QFS520" s="1358"/>
      <c r="QFT520" s="1358"/>
      <c r="QFU520" s="1358"/>
      <c r="QFV520" s="1358"/>
      <c r="QFW520" s="1358"/>
      <c r="QFX520" s="1358"/>
      <c r="QFY520" s="1358"/>
      <c r="QFZ520" s="1358"/>
      <c r="QGA520" s="1358"/>
      <c r="QGB520" s="1358"/>
      <c r="QGC520" s="1358"/>
      <c r="QGD520" s="1358"/>
      <c r="QGE520" s="1358"/>
      <c r="QGF520" s="1358"/>
      <c r="QGG520" s="1358"/>
      <c r="QGH520" s="1358"/>
      <c r="QGI520" s="1358"/>
      <c r="QGJ520" s="1358"/>
      <c r="QGK520" s="1358"/>
      <c r="QGL520" s="1358"/>
      <c r="QGM520" s="1358"/>
      <c r="QGN520" s="1358"/>
      <c r="QGO520" s="1358"/>
      <c r="QGP520" s="1358"/>
      <c r="QGQ520" s="1358"/>
      <c r="QGR520" s="1358"/>
      <c r="QGS520" s="1358"/>
      <c r="QGT520" s="1358"/>
      <c r="QGU520" s="1358"/>
      <c r="QGV520" s="1358"/>
      <c r="QGW520" s="1358"/>
      <c r="QGX520" s="1358"/>
      <c r="QGY520" s="1358"/>
      <c r="QGZ520" s="1358"/>
      <c r="QHA520" s="1358"/>
      <c r="QHB520" s="1358"/>
      <c r="QHC520" s="1358"/>
      <c r="QHD520" s="1358"/>
      <c r="QHE520" s="1358"/>
      <c r="QHF520" s="1358"/>
      <c r="QHG520" s="1358"/>
      <c r="QHH520" s="1358"/>
      <c r="QHI520" s="1358"/>
      <c r="QHJ520" s="1358"/>
      <c r="QHK520" s="1358"/>
      <c r="QHL520" s="1358"/>
      <c r="QHM520" s="1358"/>
      <c r="QHN520" s="1358"/>
      <c r="QHO520" s="1358"/>
      <c r="QHP520" s="1358"/>
      <c r="QHQ520" s="1358"/>
      <c r="QHR520" s="1358"/>
      <c r="QHS520" s="1358"/>
      <c r="QHT520" s="1358"/>
      <c r="QHU520" s="1358"/>
      <c r="QHV520" s="1358"/>
      <c r="QHW520" s="1358"/>
      <c r="QHX520" s="1358"/>
      <c r="QHY520" s="1358"/>
      <c r="QHZ520" s="1358"/>
      <c r="QIA520" s="1358"/>
      <c r="QIB520" s="1358"/>
      <c r="QIC520" s="1358"/>
      <c r="QID520" s="1358"/>
      <c r="QIE520" s="1358"/>
      <c r="QIF520" s="1358"/>
      <c r="QIG520" s="1358"/>
      <c r="QIH520" s="1358"/>
      <c r="QII520" s="1358"/>
      <c r="QIJ520" s="1358"/>
      <c r="QIK520" s="1358"/>
      <c r="QIL520" s="1358"/>
      <c r="QIM520" s="1358"/>
      <c r="QIN520" s="1358"/>
      <c r="QIO520" s="1358"/>
      <c r="QIP520" s="1358"/>
      <c r="QIQ520" s="1358"/>
      <c r="QIR520" s="1358"/>
      <c r="QIS520" s="1358"/>
      <c r="QIT520" s="1358"/>
      <c r="QIU520" s="1358"/>
      <c r="QIV520" s="1358"/>
      <c r="QIW520" s="1358"/>
      <c r="QIX520" s="1358"/>
      <c r="QIY520" s="1358"/>
      <c r="QIZ520" s="1358"/>
      <c r="QJA520" s="1358"/>
      <c r="QJB520" s="1358"/>
      <c r="QJC520" s="1358"/>
      <c r="QJD520" s="1358"/>
      <c r="QJE520" s="1358"/>
      <c r="QJF520" s="1358"/>
      <c r="QJG520" s="1358"/>
      <c r="QJH520" s="1358"/>
      <c r="QJI520" s="1358"/>
      <c r="QJJ520" s="1358"/>
      <c r="QJK520" s="1358"/>
      <c r="QJL520" s="1358"/>
      <c r="QJM520" s="1358"/>
      <c r="QJN520" s="1358"/>
      <c r="QJO520" s="1358"/>
      <c r="QJP520" s="1358"/>
      <c r="QJQ520" s="1358"/>
      <c r="QJR520" s="1358"/>
      <c r="QJS520" s="1358"/>
      <c r="QJT520" s="1358"/>
      <c r="QJU520" s="1358"/>
      <c r="QJV520" s="1358"/>
      <c r="QJW520" s="1358"/>
      <c r="QJX520" s="1358"/>
      <c r="QJY520" s="1358"/>
      <c r="QJZ520" s="1358"/>
      <c r="QKA520" s="1358"/>
      <c r="QKB520" s="1358"/>
      <c r="QKC520" s="1358"/>
      <c r="QKD520" s="1358"/>
      <c r="QKE520" s="1358"/>
      <c r="QKF520" s="1358"/>
      <c r="QKG520" s="1358"/>
      <c r="QKH520" s="1358"/>
      <c r="QKI520" s="1358"/>
      <c r="QKJ520" s="1358"/>
      <c r="QKK520" s="1358"/>
      <c r="QKL520" s="1358"/>
      <c r="QKM520" s="1358"/>
      <c r="QKN520" s="1358"/>
      <c r="QKO520" s="1358"/>
      <c r="QKP520" s="1358"/>
      <c r="QKQ520" s="1358"/>
      <c r="QKR520" s="1358"/>
      <c r="QKS520" s="1358"/>
      <c r="QKT520" s="1358"/>
      <c r="QKU520" s="1358"/>
      <c r="QKV520" s="1358"/>
      <c r="QKW520" s="1358"/>
      <c r="QKX520" s="1358"/>
      <c r="QKY520" s="1358"/>
      <c r="QKZ520" s="1358"/>
      <c r="QLA520" s="1358"/>
      <c r="QLB520" s="1358"/>
      <c r="QLC520" s="1358"/>
      <c r="QLD520" s="1358"/>
      <c r="QLE520" s="1358"/>
      <c r="QLF520" s="1358"/>
      <c r="QLG520" s="1358"/>
      <c r="QLH520" s="1358"/>
      <c r="QLI520" s="1358"/>
      <c r="QLJ520" s="1358"/>
      <c r="QLK520" s="1358"/>
      <c r="QLL520" s="1358"/>
      <c r="QLM520" s="1358"/>
      <c r="QLN520" s="1358"/>
      <c r="QLO520" s="1358"/>
      <c r="QLP520" s="1358"/>
      <c r="QLQ520" s="1358"/>
      <c r="QLR520" s="1358"/>
      <c r="QLS520" s="1358"/>
      <c r="QLT520" s="1358"/>
      <c r="QLU520" s="1358"/>
      <c r="QLV520" s="1358"/>
      <c r="QLW520" s="1358"/>
      <c r="QLX520" s="1358"/>
      <c r="QLY520" s="1358"/>
      <c r="QLZ520" s="1358"/>
      <c r="QMA520" s="1358"/>
      <c r="QMB520" s="1358"/>
      <c r="QMC520" s="1358"/>
      <c r="QMD520" s="1358"/>
      <c r="QME520" s="1358"/>
      <c r="QMF520" s="1358"/>
      <c r="QMG520" s="1358"/>
      <c r="QMH520" s="1358"/>
      <c r="QMI520" s="1358"/>
      <c r="QMJ520" s="1358"/>
      <c r="QMK520" s="1358"/>
      <c r="QML520" s="1358"/>
      <c r="QMM520" s="1358"/>
      <c r="QMN520" s="1358"/>
      <c r="QMO520" s="1358"/>
      <c r="QMP520" s="1358"/>
      <c r="QMQ520" s="1358"/>
      <c r="QMR520" s="1358"/>
      <c r="QMS520" s="1358"/>
      <c r="QMT520" s="1358"/>
      <c r="QMU520" s="1358"/>
      <c r="QMV520" s="1358"/>
      <c r="QMW520" s="1358"/>
      <c r="QMX520" s="1358"/>
      <c r="QMY520" s="1358"/>
      <c r="QMZ520" s="1358"/>
      <c r="QNA520" s="1358"/>
      <c r="QNB520" s="1358"/>
      <c r="QNC520" s="1358"/>
      <c r="QND520" s="1358"/>
      <c r="QNE520" s="1358"/>
      <c r="QNF520" s="1358"/>
      <c r="QNG520" s="1358"/>
      <c r="QNH520" s="1358"/>
      <c r="QNI520" s="1358"/>
      <c r="QNJ520" s="1358"/>
      <c r="QNK520" s="1358"/>
      <c r="QNL520" s="1358"/>
      <c r="QNM520" s="1358"/>
      <c r="QNN520" s="1358"/>
      <c r="QNO520" s="1358"/>
      <c r="QNP520" s="1358"/>
      <c r="QNQ520" s="1358"/>
      <c r="QNR520" s="1358"/>
      <c r="QNS520" s="1358"/>
      <c r="QNT520" s="1358"/>
      <c r="QNU520" s="1358"/>
      <c r="QNV520" s="1358"/>
      <c r="QNW520" s="1358"/>
      <c r="QNX520" s="1358"/>
      <c r="QNY520" s="1358"/>
      <c r="QNZ520" s="1358"/>
      <c r="QOA520" s="1358"/>
      <c r="QOB520" s="1358"/>
      <c r="QOC520" s="1358"/>
      <c r="QOD520" s="1358"/>
      <c r="QOE520" s="1358"/>
      <c r="QOF520" s="1358"/>
      <c r="QOG520" s="1358"/>
      <c r="QOH520" s="1358"/>
      <c r="QOI520" s="1358"/>
      <c r="QOJ520" s="1358"/>
      <c r="QOK520" s="1358"/>
      <c r="QOL520" s="1358"/>
      <c r="QOM520" s="1358"/>
      <c r="QON520" s="1358"/>
      <c r="QOO520" s="1358"/>
      <c r="QOP520" s="1358"/>
      <c r="QOQ520" s="1358"/>
      <c r="QOR520" s="1358"/>
      <c r="QOS520" s="1358"/>
      <c r="QOT520" s="1358"/>
      <c r="QOU520" s="1358"/>
      <c r="QOV520" s="1358"/>
      <c r="QOW520" s="1358"/>
      <c r="QOX520" s="1358"/>
      <c r="QOY520" s="1358"/>
      <c r="QOZ520" s="1358"/>
      <c r="QPA520" s="1358"/>
      <c r="QPB520" s="1358"/>
      <c r="QPC520" s="1358"/>
      <c r="QPD520" s="1358"/>
      <c r="QPE520" s="1358"/>
      <c r="QPF520" s="1358"/>
      <c r="QPG520" s="1358"/>
      <c r="QPH520" s="1358"/>
      <c r="QPI520" s="1358"/>
      <c r="QPJ520" s="1358"/>
      <c r="QPK520" s="1358"/>
      <c r="QPL520" s="1358"/>
      <c r="QPM520" s="1358"/>
      <c r="QPN520" s="1358"/>
      <c r="QPO520" s="1358"/>
      <c r="QPP520" s="1358"/>
      <c r="QPQ520" s="1358"/>
      <c r="QPR520" s="1358"/>
      <c r="QPS520" s="1358"/>
      <c r="QPT520" s="1358"/>
      <c r="QPU520" s="1358"/>
      <c r="QPV520" s="1358"/>
      <c r="QPW520" s="1358"/>
      <c r="QPX520" s="1358"/>
      <c r="QPY520" s="1358"/>
      <c r="QPZ520" s="1358"/>
      <c r="QQA520" s="1358"/>
      <c r="QQB520" s="1358"/>
      <c r="QQC520" s="1358"/>
      <c r="QQD520" s="1358"/>
      <c r="QQE520" s="1358"/>
      <c r="QQF520" s="1358"/>
      <c r="QQG520" s="1358"/>
      <c r="QQH520" s="1358"/>
      <c r="QQI520" s="1358"/>
      <c r="QQJ520" s="1358"/>
      <c r="QQK520" s="1358"/>
      <c r="QQL520" s="1358"/>
      <c r="QQM520" s="1358"/>
      <c r="QQN520" s="1358"/>
      <c r="QQO520" s="1358"/>
      <c r="QQP520" s="1358"/>
      <c r="QQQ520" s="1358"/>
      <c r="QQR520" s="1358"/>
      <c r="QQS520" s="1358"/>
      <c r="QQT520" s="1358"/>
      <c r="QQU520" s="1358"/>
      <c r="QQV520" s="1358"/>
      <c r="QQW520" s="1358"/>
      <c r="QQX520" s="1358"/>
      <c r="QQY520" s="1358"/>
      <c r="QQZ520" s="1358"/>
      <c r="QRA520" s="1358"/>
      <c r="QRB520" s="1358"/>
      <c r="QRC520" s="1358"/>
      <c r="QRD520" s="1358"/>
      <c r="QRE520" s="1358"/>
      <c r="QRF520" s="1358"/>
      <c r="QRG520" s="1358"/>
      <c r="QRH520" s="1358"/>
      <c r="QRI520" s="1358"/>
      <c r="QRJ520" s="1358"/>
      <c r="QRK520" s="1358"/>
      <c r="QRL520" s="1358"/>
      <c r="QRM520" s="1358"/>
      <c r="QRN520" s="1358"/>
      <c r="QRO520" s="1358"/>
      <c r="QRP520" s="1358"/>
      <c r="QRQ520" s="1358"/>
      <c r="QRR520" s="1358"/>
      <c r="QRS520" s="1358"/>
      <c r="QRT520" s="1358"/>
      <c r="QRU520" s="1358"/>
      <c r="QRV520" s="1358"/>
      <c r="QRW520" s="1358"/>
      <c r="QRX520" s="1358"/>
      <c r="QRY520" s="1358"/>
      <c r="QRZ520" s="1358"/>
      <c r="QSA520" s="1358"/>
      <c r="QSB520" s="1358"/>
      <c r="QSC520" s="1358"/>
      <c r="QSD520" s="1358"/>
      <c r="QSE520" s="1358"/>
      <c r="QSF520" s="1358"/>
      <c r="QSG520" s="1358"/>
      <c r="QSH520" s="1358"/>
      <c r="QSI520" s="1358"/>
      <c r="QSJ520" s="1358"/>
      <c r="QSK520" s="1358"/>
      <c r="QSL520" s="1358"/>
      <c r="QSM520" s="1358"/>
      <c r="QSN520" s="1358"/>
      <c r="QSO520" s="1358"/>
      <c r="QSP520" s="1358"/>
      <c r="QSQ520" s="1358"/>
      <c r="QSR520" s="1358"/>
      <c r="QSS520" s="1358"/>
      <c r="QST520" s="1358"/>
      <c r="QSU520" s="1358"/>
      <c r="QSV520" s="1358"/>
      <c r="QSW520" s="1358"/>
      <c r="QSX520" s="1358"/>
      <c r="QSY520" s="1358"/>
      <c r="QSZ520" s="1358"/>
      <c r="QTA520" s="1358"/>
      <c r="QTB520" s="1358"/>
      <c r="QTC520" s="1358"/>
      <c r="QTD520" s="1358"/>
      <c r="QTE520" s="1358"/>
      <c r="QTF520" s="1358"/>
      <c r="QTG520" s="1358"/>
      <c r="QTH520" s="1358"/>
      <c r="QTI520" s="1358"/>
      <c r="QTJ520" s="1358"/>
      <c r="QTK520" s="1358"/>
      <c r="QTL520" s="1358"/>
      <c r="QTM520" s="1358"/>
      <c r="QTN520" s="1358"/>
      <c r="QTO520" s="1358"/>
      <c r="QTP520" s="1358"/>
      <c r="QTQ520" s="1358"/>
      <c r="QTR520" s="1358"/>
      <c r="QTS520" s="1358"/>
      <c r="QTT520" s="1358"/>
      <c r="QTU520" s="1358"/>
      <c r="QTV520" s="1358"/>
      <c r="QTW520" s="1358"/>
      <c r="QTX520" s="1358"/>
      <c r="QTY520" s="1358"/>
      <c r="QTZ520" s="1358"/>
      <c r="QUA520" s="1358"/>
      <c r="QUB520" s="1358"/>
      <c r="QUC520" s="1358"/>
      <c r="QUD520" s="1358"/>
      <c r="QUE520" s="1358"/>
      <c r="QUF520" s="1358"/>
      <c r="QUG520" s="1358"/>
      <c r="QUH520" s="1358"/>
      <c r="QUI520" s="1358"/>
      <c r="QUJ520" s="1358"/>
      <c r="QUK520" s="1358"/>
      <c r="QUL520" s="1358"/>
      <c r="QUM520" s="1358"/>
      <c r="QUN520" s="1358"/>
      <c r="QUO520" s="1358"/>
      <c r="QUP520" s="1358"/>
      <c r="QUQ520" s="1358"/>
      <c r="QUR520" s="1358"/>
      <c r="QUS520" s="1358"/>
      <c r="QUT520" s="1358"/>
      <c r="QUU520" s="1358"/>
      <c r="QUV520" s="1358"/>
      <c r="QUW520" s="1358"/>
      <c r="QUX520" s="1358"/>
      <c r="QUY520" s="1358"/>
      <c r="QUZ520" s="1358"/>
      <c r="QVA520" s="1358"/>
      <c r="QVB520" s="1358"/>
      <c r="QVC520" s="1358"/>
      <c r="QVD520" s="1358"/>
      <c r="QVE520" s="1358"/>
      <c r="QVF520" s="1358"/>
      <c r="QVG520" s="1358"/>
      <c r="QVH520" s="1358"/>
      <c r="QVI520" s="1358"/>
      <c r="QVJ520" s="1358"/>
      <c r="QVK520" s="1358"/>
      <c r="QVL520" s="1358"/>
      <c r="QVM520" s="1358"/>
      <c r="QVN520" s="1358"/>
      <c r="QVO520" s="1358"/>
      <c r="QVP520" s="1358"/>
      <c r="QVQ520" s="1358"/>
      <c r="QVR520" s="1358"/>
      <c r="QVS520" s="1358"/>
      <c r="QVT520" s="1358"/>
      <c r="QVU520" s="1358"/>
      <c r="QVV520" s="1358"/>
      <c r="QVW520" s="1358"/>
      <c r="QVX520" s="1358"/>
      <c r="QVY520" s="1358"/>
      <c r="QVZ520" s="1358"/>
      <c r="QWA520" s="1358"/>
      <c r="QWB520" s="1358"/>
      <c r="QWC520" s="1358"/>
      <c r="QWD520" s="1358"/>
      <c r="QWE520" s="1358"/>
      <c r="QWF520" s="1358"/>
      <c r="QWG520" s="1358"/>
      <c r="QWH520" s="1358"/>
      <c r="QWI520" s="1358"/>
      <c r="QWJ520" s="1358"/>
      <c r="QWK520" s="1358"/>
      <c r="QWL520" s="1358"/>
      <c r="QWM520" s="1358"/>
      <c r="QWN520" s="1358"/>
      <c r="QWO520" s="1358"/>
      <c r="QWP520" s="1358"/>
      <c r="QWQ520" s="1358"/>
      <c r="QWR520" s="1358"/>
      <c r="QWS520" s="1358"/>
      <c r="QWT520" s="1358"/>
      <c r="QWU520" s="1358"/>
      <c r="QWV520" s="1358"/>
      <c r="QWW520" s="1358"/>
      <c r="QWX520" s="1358"/>
      <c r="QWY520" s="1358"/>
      <c r="QWZ520" s="1358"/>
      <c r="QXA520" s="1358"/>
      <c r="QXB520" s="1358"/>
      <c r="QXC520" s="1358"/>
      <c r="QXD520" s="1358"/>
      <c r="QXE520" s="1358"/>
      <c r="QXF520" s="1358"/>
      <c r="QXG520" s="1358"/>
      <c r="QXH520" s="1358"/>
      <c r="QXI520" s="1358"/>
      <c r="QXJ520" s="1358"/>
      <c r="QXK520" s="1358"/>
      <c r="QXL520" s="1358"/>
      <c r="QXM520" s="1358"/>
      <c r="QXN520" s="1358"/>
      <c r="QXO520" s="1358"/>
      <c r="QXP520" s="1358"/>
      <c r="QXQ520" s="1358"/>
      <c r="QXR520" s="1358"/>
      <c r="QXS520" s="1358"/>
      <c r="QXT520" s="1358"/>
      <c r="QXU520" s="1358"/>
      <c r="QXV520" s="1358"/>
      <c r="QXW520" s="1358"/>
      <c r="QXX520" s="1358"/>
      <c r="QXY520" s="1358"/>
      <c r="QXZ520" s="1358"/>
      <c r="QYA520" s="1358"/>
      <c r="QYB520" s="1358"/>
      <c r="QYC520" s="1358"/>
      <c r="QYD520" s="1358"/>
      <c r="QYE520" s="1358"/>
      <c r="QYF520" s="1358"/>
      <c r="QYG520" s="1358"/>
      <c r="QYH520" s="1358"/>
      <c r="QYI520" s="1358"/>
      <c r="QYJ520" s="1358"/>
      <c r="QYK520" s="1358"/>
      <c r="QYL520" s="1358"/>
      <c r="QYM520" s="1358"/>
      <c r="QYN520" s="1358"/>
      <c r="QYO520" s="1358"/>
      <c r="QYP520" s="1358"/>
      <c r="QYQ520" s="1358"/>
      <c r="QYR520" s="1358"/>
      <c r="QYS520" s="1358"/>
      <c r="QYT520" s="1358"/>
      <c r="QYU520" s="1358"/>
      <c r="QYV520" s="1358"/>
      <c r="QYW520" s="1358"/>
      <c r="QYX520" s="1358"/>
      <c r="QYY520" s="1358"/>
      <c r="QYZ520" s="1358"/>
      <c r="QZA520" s="1358"/>
      <c r="QZB520" s="1358"/>
      <c r="QZC520" s="1358"/>
      <c r="QZD520" s="1358"/>
      <c r="QZE520" s="1358"/>
      <c r="QZF520" s="1358"/>
      <c r="QZG520" s="1358"/>
      <c r="QZH520" s="1358"/>
      <c r="QZI520" s="1358"/>
      <c r="QZJ520" s="1358"/>
      <c r="QZK520" s="1358"/>
      <c r="QZL520" s="1358"/>
      <c r="QZM520" s="1358"/>
      <c r="QZN520" s="1358"/>
      <c r="QZO520" s="1358"/>
      <c r="QZP520" s="1358"/>
      <c r="QZQ520" s="1358"/>
      <c r="QZR520" s="1358"/>
      <c r="QZS520" s="1358"/>
      <c r="QZT520" s="1358"/>
      <c r="QZU520" s="1358"/>
      <c r="QZV520" s="1358"/>
      <c r="QZW520" s="1358"/>
      <c r="QZX520" s="1358"/>
      <c r="QZY520" s="1358"/>
      <c r="QZZ520" s="1358"/>
      <c r="RAA520" s="1358"/>
      <c r="RAB520" s="1358"/>
      <c r="RAC520" s="1358"/>
      <c r="RAD520" s="1358"/>
      <c r="RAE520" s="1358"/>
      <c r="RAF520" s="1358"/>
      <c r="RAG520" s="1358"/>
      <c r="RAH520" s="1358"/>
      <c r="RAI520" s="1358"/>
      <c r="RAJ520" s="1358"/>
      <c r="RAK520" s="1358"/>
      <c r="RAL520" s="1358"/>
      <c r="RAM520" s="1358"/>
      <c r="RAN520" s="1358"/>
      <c r="RAO520" s="1358"/>
      <c r="RAP520" s="1358"/>
      <c r="RAQ520" s="1358"/>
      <c r="RAR520" s="1358"/>
      <c r="RAS520" s="1358"/>
      <c r="RAT520" s="1358"/>
      <c r="RAU520" s="1358"/>
      <c r="RAV520" s="1358"/>
      <c r="RAW520" s="1358"/>
      <c r="RAX520" s="1358"/>
      <c r="RAY520" s="1358"/>
      <c r="RAZ520" s="1358"/>
      <c r="RBA520" s="1358"/>
      <c r="RBB520" s="1358"/>
      <c r="RBC520" s="1358"/>
      <c r="RBD520" s="1358"/>
      <c r="RBE520" s="1358"/>
      <c r="RBF520" s="1358"/>
      <c r="RBG520" s="1358"/>
      <c r="RBH520" s="1358"/>
      <c r="RBI520" s="1358"/>
      <c r="RBJ520" s="1358"/>
      <c r="RBK520" s="1358"/>
      <c r="RBL520" s="1358"/>
      <c r="RBM520" s="1358"/>
      <c r="RBN520" s="1358"/>
      <c r="RBO520" s="1358"/>
      <c r="RBP520" s="1358"/>
      <c r="RBQ520" s="1358"/>
      <c r="RBR520" s="1358"/>
      <c r="RBS520" s="1358"/>
      <c r="RBT520" s="1358"/>
      <c r="RBU520" s="1358"/>
      <c r="RBV520" s="1358"/>
      <c r="RBW520" s="1358"/>
      <c r="RBX520" s="1358"/>
      <c r="RBY520" s="1358"/>
      <c r="RBZ520" s="1358"/>
      <c r="RCA520" s="1358"/>
      <c r="RCB520" s="1358"/>
      <c r="RCC520" s="1358"/>
      <c r="RCD520" s="1358"/>
      <c r="RCE520" s="1358"/>
      <c r="RCF520" s="1358"/>
      <c r="RCG520" s="1358"/>
      <c r="RCH520" s="1358"/>
      <c r="RCI520" s="1358"/>
      <c r="RCJ520" s="1358"/>
      <c r="RCK520" s="1358"/>
      <c r="RCL520" s="1358"/>
      <c r="RCM520" s="1358"/>
      <c r="RCN520" s="1358"/>
      <c r="RCO520" s="1358"/>
      <c r="RCP520" s="1358"/>
      <c r="RCQ520" s="1358"/>
      <c r="RCR520" s="1358"/>
      <c r="RCS520" s="1358"/>
      <c r="RCT520" s="1358"/>
      <c r="RCU520" s="1358"/>
      <c r="RCV520" s="1358"/>
      <c r="RCW520" s="1358"/>
      <c r="RCX520" s="1358"/>
      <c r="RCY520" s="1358"/>
      <c r="RCZ520" s="1358"/>
      <c r="RDA520" s="1358"/>
      <c r="RDB520" s="1358"/>
      <c r="RDC520" s="1358"/>
      <c r="RDD520" s="1358"/>
      <c r="RDE520" s="1358"/>
      <c r="RDF520" s="1358"/>
      <c r="RDG520" s="1358"/>
      <c r="RDH520" s="1358"/>
      <c r="RDI520" s="1358"/>
      <c r="RDJ520" s="1358"/>
      <c r="RDK520" s="1358"/>
      <c r="RDL520" s="1358"/>
      <c r="RDM520" s="1358"/>
      <c r="RDN520" s="1358"/>
      <c r="RDO520" s="1358"/>
      <c r="RDP520" s="1358"/>
      <c r="RDQ520" s="1358"/>
      <c r="RDR520" s="1358"/>
      <c r="RDS520" s="1358"/>
      <c r="RDT520" s="1358"/>
      <c r="RDU520" s="1358"/>
      <c r="RDV520" s="1358"/>
      <c r="RDW520" s="1358"/>
      <c r="RDX520" s="1358"/>
      <c r="RDY520" s="1358"/>
      <c r="RDZ520" s="1358"/>
      <c r="REA520" s="1358"/>
      <c r="REB520" s="1358"/>
      <c r="REC520" s="1358"/>
      <c r="RED520" s="1358"/>
      <c r="REE520" s="1358"/>
      <c r="REF520" s="1358"/>
      <c r="REG520" s="1358"/>
      <c r="REH520" s="1358"/>
      <c r="REI520" s="1358"/>
      <c r="REJ520" s="1358"/>
      <c r="REK520" s="1358"/>
      <c r="REL520" s="1358"/>
      <c r="REM520" s="1358"/>
      <c r="REN520" s="1358"/>
      <c r="REO520" s="1358"/>
      <c r="REP520" s="1358"/>
      <c r="REQ520" s="1358"/>
      <c r="RER520" s="1358"/>
      <c r="RES520" s="1358"/>
      <c r="RET520" s="1358"/>
      <c r="REU520" s="1358"/>
      <c r="REV520" s="1358"/>
      <c r="REW520" s="1358"/>
      <c r="REX520" s="1358"/>
      <c r="REY520" s="1358"/>
      <c r="REZ520" s="1358"/>
      <c r="RFA520" s="1358"/>
      <c r="RFB520" s="1358"/>
      <c r="RFC520" s="1358"/>
      <c r="RFD520" s="1358"/>
      <c r="RFE520" s="1358"/>
      <c r="RFF520" s="1358"/>
      <c r="RFG520" s="1358"/>
      <c r="RFH520" s="1358"/>
      <c r="RFI520" s="1358"/>
      <c r="RFJ520" s="1358"/>
      <c r="RFK520" s="1358"/>
      <c r="RFL520" s="1358"/>
      <c r="RFM520" s="1358"/>
      <c r="RFN520" s="1358"/>
      <c r="RFO520" s="1358"/>
      <c r="RFP520" s="1358"/>
      <c r="RFQ520" s="1358"/>
      <c r="RFR520" s="1358"/>
      <c r="RFS520" s="1358"/>
      <c r="RFT520" s="1358"/>
      <c r="RFU520" s="1358"/>
      <c r="RFV520" s="1358"/>
      <c r="RFW520" s="1358"/>
      <c r="RFX520" s="1358"/>
      <c r="RFY520" s="1358"/>
      <c r="RFZ520" s="1358"/>
      <c r="RGA520" s="1358"/>
      <c r="RGB520" s="1358"/>
      <c r="RGC520" s="1358"/>
      <c r="RGD520" s="1358"/>
      <c r="RGE520" s="1358"/>
      <c r="RGF520" s="1358"/>
      <c r="RGG520" s="1358"/>
      <c r="RGH520" s="1358"/>
      <c r="RGI520" s="1358"/>
      <c r="RGJ520" s="1358"/>
      <c r="RGK520" s="1358"/>
      <c r="RGL520" s="1358"/>
      <c r="RGM520" s="1358"/>
      <c r="RGN520" s="1358"/>
      <c r="RGO520" s="1358"/>
      <c r="RGP520" s="1358"/>
      <c r="RGQ520" s="1358"/>
      <c r="RGR520" s="1358"/>
      <c r="RGS520" s="1358"/>
      <c r="RGT520" s="1358"/>
      <c r="RGU520" s="1358"/>
      <c r="RGV520" s="1358"/>
      <c r="RGW520" s="1358"/>
      <c r="RGX520" s="1358"/>
      <c r="RGY520" s="1358"/>
      <c r="RGZ520" s="1358"/>
      <c r="RHA520" s="1358"/>
      <c r="RHB520" s="1358"/>
      <c r="RHC520" s="1358"/>
      <c r="RHD520" s="1358"/>
      <c r="RHE520" s="1358"/>
      <c r="RHF520" s="1358"/>
      <c r="RHG520" s="1358"/>
      <c r="RHH520" s="1358"/>
      <c r="RHI520" s="1358"/>
      <c r="RHJ520" s="1358"/>
      <c r="RHK520" s="1358"/>
      <c r="RHL520" s="1358"/>
      <c r="RHM520" s="1358"/>
      <c r="RHN520" s="1358"/>
      <c r="RHO520" s="1358"/>
      <c r="RHP520" s="1358"/>
      <c r="RHQ520" s="1358"/>
      <c r="RHR520" s="1358"/>
      <c r="RHS520" s="1358"/>
      <c r="RHT520" s="1358"/>
      <c r="RHU520" s="1358"/>
      <c r="RHV520" s="1358"/>
      <c r="RHW520" s="1358"/>
      <c r="RHX520" s="1358"/>
      <c r="RHY520" s="1358"/>
      <c r="RHZ520" s="1358"/>
      <c r="RIA520" s="1358"/>
      <c r="RIB520" s="1358"/>
      <c r="RIC520" s="1358"/>
      <c r="RID520" s="1358"/>
      <c r="RIE520" s="1358"/>
      <c r="RIF520" s="1358"/>
      <c r="RIG520" s="1358"/>
      <c r="RIH520" s="1358"/>
      <c r="RII520" s="1358"/>
      <c r="RIJ520" s="1358"/>
      <c r="RIK520" s="1358"/>
      <c r="RIL520" s="1358"/>
      <c r="RIM520" s="1358"/>
      <c r="RIN520" s="1358"/>
      <c r="RIO520" s="1358"/>
      <c r="RIP520" s="1358"/>
      <c r="RIQ520" s="1358"/>
      <c r="RIR520" s="1358"/>
      <c r="RIS520" s="1358"/>
      <c r="RIT520" s="1358"/>
      <c r="RIU520" s="1358"/>
      <c r="RIV520" s="1358"/>
      <c r="RIW520" s="1358"/>
      <c r="RIX520" s="1358"/>
      <c r="RIY520" s="1358"/>
      <c r="RIZ520" s="1358"/>
      <c r="RJA520" s="1358"/>
      <c r="RJB520" s="1358"/>
      <c r="RJC520" s="1358"/>
      <c r="RJD520" s="1358"/>
      <c r="RJE520" s="1358"/>
      <c r="RJF520" s="1358"/>
      <c r="RJG520" s="1358"/>
      <c r="RJH520" s="1358"/>
      <c r="RJI520" s="1358"/>
      <c r="RJJ520" s="1358"/>
      <c r="RJK520" s="1358"/>
      <c r="RJL520" s="1358"/>
      <c r="RJM520" s="1358"/>
      <c r="RJN520" s="1358"/>
      <c r="RJO520" s="1358"/>
      <c r="RJP520" s="1358"/>
      <c r="RJQ520" s="1358"/>
      <c r="RJR520" s="1358"/>
      <c r="RJS520" s="1358"/>
      <c r="RJT520" s="1358"/>
      <c r="RJU520" s="1358"/>
      <c r="RJV520" s="1358"/>
      <c r="RJW520" s="1358"/>
      <c r="RJX520" s="1358"/>
      <c r="RJY520" s="1358"/>
      <c r="RJZ520" s="1358"/>
      <c r="RKA520" s="1358"/>
      <c r="RKB520" s="1358"/>
      <c r="RKC520" s="1358"/>
      <c r="RKD520" s="1358"/>
      <c r="RKE520" s="1358"/>
      <c r="RKF520" s="1358"/>
      <c r="RKG520" s="1358"/>
      <c r="RKH520" s="1358"/>
      <c r="RKI520" s="1358"/>
      <c r="RKJ520" s="1358"/>
      <c r="RKK520" s="1358"/>
      <c r="RKL520" s="1358"/>
      <c r="RKM520" s="1358"/>
      <c r="RKN520" s="1358"/>
      <c r="RKO520" s="1358"/>
      <c r="RKP520" s="1358"/>
      <c r="RKQ520" s="1358"/>
      <c r="RKR520" s="1358"/>
      <c r="RKS520" s="1358"/>
      <c r="RKT520" s="1358"/>
      <c r="RKU520" s="1358"/>
      <c r="RKV520" s="1358"/>
      <c r="RKW520" s="1358"/>
      <c r="RKX520" s="1358"/>
      <c r="RKY520" s="1358"/>
      <c r="RKZ520" s="1358"/>
      <c r="RLA520" s="1358"/>
      <c r="RLB520" s="1358"/>
      <c r="RLC520" s="1358"/>
      <c r="RLD520" s="1358"/>
      <c r="RLE520" s="1358"/>
      <c r="RLF520" s="1358"/>
      <c r="RLG520" s="1358"/>
      <c r="RLH520" s="1358"/>
      <c r="RLI520" s="1358"/>
      <c r="RLJ520" s="1358"/>
      <c r="RLK520" s="1358"/>
      <c r="RLL520" s="1358"/>
      <c r="RLM520" s="1358"/>
      <c r="RLN520" s="1358"/>
      <c r="RLO520" s="1358"/>
      <c r="RLP520" s="1358"/>
      <c r="RLQ520" s="1358"/>
      <c r="RLR520" s="1358"/>
      <c r="RLS520" s="1358"/>
      <c r="RLT520" s="1358"/>
      <c r="RLU520" s="1358"/>
      <c r="RLV520" s="1358"/>
      <c r="RLW520" s="1358"/>
      <c r="RLX520" s="1358"/>
      <c r="RLY520" s="1358"/>
      <c r="RLZ520" s="1358"/>
      <c r="RMA520" s="1358"/>
      <c r="RMB520" s="1358"/>
      <c r="RMC520" s="1358"/>
      <c r="RMD520" s="1358"/>
      <c r="RME520" s="1358"/>
      <c r="RMF520" s="1358"/>
      <c r="RMG520" s="1358"/>
      <c r="RMH520" s="1358"/>
      <c r="RMI520" s="1358"/>
      <c r="RMJ520" s="1358"/>
      <c r="RMK520" s="1358"/>
      <c r="RML520" s="1358"/>
      <c r="RMM520" s="1358"/>
      <c r="RMN520" s="1358"/>
      <c r="RMO520" s="1358"/>
      <c r="RMP520" s="1358"/>
      <c r="RMQ520" s="1358"/>
      <c r="RMR520" s="1358"/>
      <c r="RMS520" s="1358"/>
      <c r="RMT520" s="1358"/>
      <c r="RMU520" s="1358"/>
      <c r="RMV520" s="1358"/>
      <c r="RMW520" s="1358"/>
      <c r="RMX520" s="1358"/>
      <c r="RMY520" s="1358"/>
      <c r="RMZ520" s="1358"/>
      <c r="RNA520" s="1358"/>
      <c r="RNB520" s="1358"/>
      <c r="RNC520" s="1358"/>
      <c r="RND520" s="1358"/>
      <c r="RNE520" s="1358"/>
      <c r="RNF520" s="1358"/>
      <c r="RNG520" s="1358"/>
      <c r="RNH520" s="1358"/>
      <c r="RNI520" s="1358"/>
      <c r="RNJ520" s="1358"/>
      <c r="RNK520" s="1358"/>
      <c r="RNL520" s="1358"/>
      <c r="RNM520" s="1358"/>
      <c r="RNN520" s="1358"/>
      <c r="RNO520" s="1358"/>
      <c r="RNP520" s="1358"/>
      <c r="RNQ520" s="1358"/>
      <c r="RNR520" s="1358"/>
      <c r="RNS520" s="1358"/>
      <c r="RNT520" s="1358"/>
      <c r="RNU520" s="1358"/>
      <c r="RNV520" s="1358"/>
      <c r="RNW520" s="1358"/>
      <c r="RNX520" s="1358"/>
      <c r="RNY520" s="1358"/>
      <c r="RNZ520" s="1358"/>
      <c r="ROA520" s="1358"/>
      <c r="ROB520" s="1358"/>
      <c r="ROC520" s="1358"/>
      <c r="ROD520" s="1358"/>
      <c r="ROE520" s="1358"/>
      <c r="ROF520" s="1358"/>
      <c r="ROG520" s="1358"/>
      <c r="ROH520" s="1358"/>
      <c r="ROI520" s="1358"/>
      <c r="ROJ520" s="1358"/>
      <c r="ROK520" s="1358"/>
      <c r="ROL520" s="1358"/>
      <c r="ROM520" s="1358"/>
      <c r="RON520" s="1358"/>
      <c r="ROO520" s="1358"/>
      <c r="ROP520" s="1358"/>
      <c r="ROQ520" s="1358"/>
      <c r="ROR520" s="1358"/>
      <c r="ROS520" s="1358"/>
      <c r="ROT520" s="1358"/>
      <c r="ROU520" s="1358"/>
      <c r="ROV520" s="1358"/>
      <c r="ROW520" s="1358"/>
      <c r="ROX520" s="1358"/>
      <c r="ROY520" s="1358"/>
      <c r="ROZ520" s="1358"/>
      <c r="RPA520" s="1358"/>
      <c r="RPB520" s="1358"/>
      <c r="RPC520" s="1358"/>
      <c r="RPD520" s="1358"/>
      <c r="RPE520" s="1358"/>
      <c r="RPF520" s="1358"/>
      <c r="RPG520" s="1358"/>
      <c r="RPH520" s="1358"/>
      <c r="RPI520" s="1358"/>
      <c r="RPJ520" s="1358"/>
      <c r="RPK520" s="1358"/>
      <c r="RPL520" s="1358"/>
      <c r="RPM520" s="1358"/>
      <c r="RPN520" s="1358"/>
      <c r="RPO520" s="1358"/>
      <c r="RPP520" s="1358"/>
      <c r="RPQ520" s="1358"/>
      <c r="RPR520" s="1358"/>
      <c r="RPS520" s="1358"/>
      <c r="RPT520" s="1358"/>
      <c r="RPU520" s="1358"/>
      <c r="RPV520" s="1358"/>
      <c r="RPW520" s="1358"/>
      <c r="RPX520" s="1358"/>
      <c r="RPY520" s="1358"/>
      <c r="RPZ520" s="1358"/>
      <c r="RQA520" s="1358"/>
      <c r="RQB520" s="1358"/>
      <c r="RQC520" s="1358"/>
      <c r="RQD520" s="1358"/>
      <c r="RQE520" s="1358"/>
      <c r="RQF520" s="1358"/>
      <c r="RQG520" s="1358"/>
      <c r="RQH520" s="1358"/>
      <c r="RQI520" s="1358"/>
      <c r="RQJ520" s="1358"/>
      <c r="RQK520" s="1358"/>
      <c r="RQL520" s="1358"/>
      <c r="RQM520" s="1358"/>
      <c r="RQN520" s="1358"/>
      <c r="RQO520" s="1358"/>
      <c r="RQP520" s="1358"/>
      <c r="RQQ520" s="1358"/>
      <c r="RQR520" s="1358"/>
      <c r="RQS520" s="1358"/>
      <c r="RQT520" s="1358"/>
      <c r="RQU520" s="1358"/>
      <c r="RQV520" s="1358"/>
      <c r="RQW520" s="1358"/>
      <c r="RQX520" s="1358"/>
      <c r="RQY520" s="1358"/>
      <c r="RQZ520" s="1358"/>
      <c r="RRA520" s="1358"/>
      <c r="RRB520" s="1358"/>
      <c r="RRC520" s="1358"/>
      <c r="RRD520" s="1358"/>
      <c r="RRE520" s="1358"/>
      <c r="RRF520" s="1358"/>
      <c r="RRG520" s="1358"/>
      <c r="RRH520" s="1358"/>
      <c r="RRI520" s="1358"/>
      <c r="RRJ520" s="1358"/>
      <c r="RRK520" s="1358"/>
      <c r="RRL520" s="1358"/>
      <c r="RRM520" s="1358"/>
      <c r="RRN520" s="1358"/>
      <c r="RRO520" s="1358"/>
      <c r="RRP520" s="1358"/>
      <c r="RRQ520" s="1358"/>
      <c r="RRR520" s="1358"/>
      <c r="RRS520" s="1358"/>
      <c r="RRT520" s="1358"/>
      <c r="RRU520" s="1358"/>
      <c r="RRV520" s="1358"/>
      <c r="RRW520" s="1358"/>
      <c r="RRX520" s="1358"/>
      <c r="RRY520" s="1358"/>
      <c r="RRZ520" s="1358"/>
      <c r="RSA520" s="1358"/>
      <c r="RSB520" s="1358"/>
      <c r="RSC520" s="1358"/>
      <c r="RSD520" s="1358"/>
      <c r="RSE520" s="1358"/>
      <c r="RSF520" s="1358"/>
      <c r="RSG520" s="1358"/>
      <c r="RSH520" s="1358"/>
      <c r="RSI520" s="1358"/>
      <c r="RSJ520" s="1358"/>
      <c r="RSK520" s="1358"/>
      <c r="RSL520" s="1358"/>
      <c r="RSM520" s="1358"/>
      <c r="RSN520" s="1358"/>
      <c r="RSO520" s="1358"/>
      <c r="RSP520" s="1358"/>
      <c r="RSQ520" s="1358"/>
      <c r="RSR520" s="1358"/>
      <c r="RSS520" s="1358"/>
      <c r="RST520" s="1358"/>
      <c r="RSU520" s="1358"/>
      <c r="RSV520" s="1358"/>
      <c r="RSW520" s="1358"/>
      <c r="RSX520" s="1358"/>
      <c r="RSY520" s="1358"/>
      <c r="RSZ520" s="1358"/>
      <c r="RTA520" s="1358"/>
      <c r="RTB520" s="1358"/>
      <c r="RTC520" s="1358"/>
      <c r="RTD520" s="1358"/>
      <c r="RTE520" s="1358"/>
      <c r="RTF520" s="1358"/>
      <c r="RTG520" s="1358"/>
      <c r="RTH520" s="1358"/>
      <c r="RTI520" s="1358"/>
      <c r="RTJ520" s="1358"/>
      <c r="RTK520" s="1358"/>
      <c r="RTL520" s="1358"/>
      <c r="RTM520" s="1358"/>
      <c r="RTN520" s="1358"/>
      <c r="RTO520" s="1358"/>
      <c r="RTP520" s="1358"/>
      <c r="RTQ520" s="1358"/>
      <c r="RTR520" s="1358"/>
      <c r="RTS520" s="1358"/>
      <c r="RTT520" s="1358"/>
      <c r="RTU520" s="1358"/>
      <c r="RTV520" s="1358"/>
      <c r="RTW520" s="1358"/>
      <c r="RTX520" s="1358"/>
      <c r="RTY520" s="1358"/>
      <c r="RTZ520" s="1358"/>
      <c r="RUA520" s="1358"/>
      <c r="RUB520" s="1358"/>
      <c r="RUC520" s="1358"/>
      <c r="RUD520" s="1358"/>
      <c r="RUE520" s="1358"/>
      <c r="RUF520" s="1358"/>
      <c r="RUG520" s="1358"/>
      <c r="RUH520" s="1358"/>
      <c r="RUI520" s="1358"/>
      <c r="RUJ520" s="1358"/>
      <c r="RUK520" s="1358"/>
      <c r="RUL520" s="1358"/>
      <c r="RUM520" s="1358"/>
      <c r="RUN520" s="1358"/>
      <c r="RUO520" s="1358"/>
      <c r="RUP520" s="1358"/>
      <c r="RUQ520" s="1358"/>
      <c r="RUR520" s="1358"/>
      <c r="RUS520" s="1358"/>
      <c r="RUT520" s="1358"/>
      <c r="RUU520" s="1358"/>
      <c r="RUV520" s="1358"/>
      <c r="RUW520" s="1358"/>
      <c r="RUX520" s="1358"/>
      <c r="RUY520" s="1358"/>
      <c r="RUZ520" s="1358"/>
      <c r="RVA520" s="1358"/>
      <c r="RVB520" s="1358"/>
      <c r="RVC520" s="1358"/>
      <c r="RVD520" s="1358"/>
      <c r="RVE520" s="1358"/>
      <c r="RVF520" s="1358"/>
      <c r="RVG520" s="1358"/>
      <c r="RVH520" s="1358"/>
      <c r="RVI520" s="1358"/>
      <c r="RVJ520" s="1358"/>
      <c r="RVK520" s="1358"/>
      <c r="RVL520" s="1358"/>
      <c r="RVM520" s="1358"/>
      <c r="RVN520" s="1358"/>
      <c r="RVO520" s="1358"/>
      <c r="RVP520" s="1358"/>
      <c r="RVQ520" s="1358"/>
      <c r="RVR520" s="1358"/>
      <c r="RVS520" s="1358"/>
      <c r="RVT520" s="1358"/>
      <c r="RVU520" s="1358"/>
      <c r="RVV520" s="1358"/>
      <c r="RVW520" s="1358"/>
      <c r="RVX520" s="1358"/>
      <c r="RVY520" s="1358"/>
      <c r="RVZ520" s="1358"/>
      <c r="RWA520" s="1358"/>
      <c r="RWB520" s="1358"/>
      <c r="RWC520" s="1358"/>
      <c r="RWD520" s="1358"/>
      <c r="RWE520" s="1358"/>
      <c r="RWF520" s="1358"/>
      <c r="RWG520" s="1358"/>
      <c r="RWH520" s="1358"/>
      <c r="RWI520" s="1358"/>
      <c r="RWJ520" s="1358"/>
      <c r="RWK520" s="1358"/>
      <c r="RWL520" s="1358"/>
      <c r="RWM520" s="1358"/>
      <c r="RWN520" s="1358"/>
      <c r="RWO520" s="1358"/>
      <c r="RWP520" s="1358"/>
      <c r="RWQ520" s="1358"/>
      <c r="RWR520" s="1358"/>
      <c r="RWS520" s="1358"/>
      <c r="RWT520" s="1358"/>
      <c r="RWU520" s="1358"/>
      <c r="RWV520" s="1358"/>
      <c r="RWW520" s="1358"/>
      <c r="RWX520" s="1358"/>
      <c r="RWY520" s="1358"/>
      <c r="RWZ520" s="1358"/>
      <c r="RXA520" s="1358"/>
      <c r="RXB520" s="1358"/>
      <c r="RXC520" s="1358"/>
      <c r="RXD520" s="1358"/>
      <c r="RXE520" s="1358"/>
      <c r="RXF520" s="1358"/>
      <c r="RXG520" s="1358"/>
      <c r="RXH520" s="1358"/>
      <c r="RXI520" s="1358"/>
      <c r="RXJ520" s="1358"/>
      <c r="RXK520" s="1358"/>
      <c r="RXL520" s="1358"/>
      <c r="RXM520" s="1358"/>
      <c r="RXN520" s="1358"/>
      <c r="RXO520" s="1358"/>
      <c r="RXP520" s="1358"/>
      <c r="RXQ520" s="1358"/>
      <c r="RXR520" s="1358"/>
      <c r="RXS520" s="1358"/>
      <c r="RXT520" s="1358"/>
      <c r="RXU520" s="1358"/>
      <c r="RXV520" s="1358"/>
      <c r="RXW520" s="1358"/>
      <c r="RXX520" s="1358"/>
      <c r="RXY520" s="1358"/>
      <c r="RXZ520" s="1358"/>
      <c r="RYA520" s="1358"/>
      <c r="RYB520" s="1358"/>
      <c r="RYC520" s="1358"/>
      <c r="RYD520" s="1358"/>
      <c r="RYE520" s="1358"/>
      <c r="RYF520" s="1358"/>
      <c r="RYG520" s="1358"/>
      <c r="RYH520" s="1358"/>
      <c r="RYI520" s="1358"/>
      <c r="RYJ520" s="1358"/>
      <c r="RYK520" s="1358"/>
      <c r="RYL520" s="1358"/>
      <c r="RYM520" s="1358"/>
      <c r="RYN520" s="1358"/>
      <c r="RYO520" s="1358"/>
      <c r="RYP520" s="1358"/>
      <c r="RYQ520" s="1358"/>
      <c r="RYR520" s="1358"/>
      <c r="RYS520" s="1358"/>
      <c r="RYT520" s="1358"/>
      <c r="RYU520" s="1358"/>
      <c r="RYV520" s="1358"/>
      <c r="RYW520" s="1358"/>
      <c r="RYX520" s="1358"/>
      <c r="RYY520" s="1358"/>
      <c r="RYZ520" s="1358"/>
      <c r="RZA520" s="1358"/>
      <c r="RZB520" s="1358"/>
      <c r="RZC520" s="1358"/>
      <c r="RZD520" s="1358"/>
      <c r="RZE520" s="1358"/>
      <c r="RZF520" s="1358"/>
      <c r="RZG520" s="1358"/>
      <c r="RZH520" s="1358"/>
      <c r="RZI520" s="1358"/>
      <c r="RZJ520" s="1358"/>
      <c r="RZK520" s="1358"/>
      <c r="RZL520" s="1358"/>
      <c r="RZM520" s="1358"/>
      <c r="RZN520" s="1358"/>
      <c r="RZO520" s="1358"/>
      <c r="RZP520" s="1358"/>
      <c r="RZQ520" s="1358"/>
      <c r="RZR520" s="1358"/>
      <c r="RZS520" s="1358"/>
      <c r="RZT520" s="1358"/>
      <c r="RZU520" s="1358"/>
      <c r="RZV520" s="1358"/>
      <c r="RZW520" s="1358"/>
      <c r="RZX520" s="1358"/>
      <c r="RZY520" s="1358"/>
      <c r="RZZ520" s="1358"/>
      <c r="SAA520" s="1358"/>
      <c r="SAB520" s="1358"/>
      <c r="SAC520" s="1358"/>
      <c r="SAD520" s="1358"/>
      <c r="SAE520" s="1358"/>
      <c r="SAF520" s="1358"/>
      <c r="SAG520" s="1358"/>
      <c r="SAH520" s="1358"/>
      <c r="SAI520" s="1358"/>
      <c r="SAJ520" s="1358"/>
      <c r="SAK520" s="1358"/>
      <c r="SAL520" s="1358"/>
      <c r="SAM520" s="1358"/>
      <c r="SAN520" s="1358"/>
      <c r="SAO520" s="1358"/>
      <c r="SAP520" s="1358"/>
      <c r="SAQ520" s="1358"/>
      <c r="SAR520" s="1358"/>
      <c r="SAS520" s="1358"/>
      <c r="SAT520" s="1358"/>
      <c r="SAU520" s="1358"/>
      <c r="SAV520" s="1358"/>
      <c r="SAW520" s="1358"/>
      <c r="SAX520" s="1358"/>
      <c r="SAY520" s="1358"/>
      <c r="SAZ520" s="1358"/>
      <c r="SBA520" s="1358"/>
      <c r="SBB520" s="1358"/>
      <c r="SBC520" s="1358"/>
      <c r="SBD520" s="1358"/>
      <c r="SBE520" s="1358"/>
      <c r="SBF520" s="1358"/>
      <c r="SBG520" s="1358"/>
      <c r="SBH520" s="1358"/>
      <c r="SBI520" s="1358"/>
      <c r="SBJ520" s="1358"/>
      <c r="SBK520" s="1358"/>
      <c r="SBL520" s="1358"/>
      <c r="SBM520" s="1358"/>
      <c r="SBN520" s="1358"/>
      <c r="SBO520" s="1358"/>
      <c r="SBP520" s="1358"/>
      <c r="SBQ520" s="1358"/>
      <c r="SBR520" s="1358"/>
      <c r="SBS520" s="1358"/>
      <c r="SBT520" s="1358"/>
      <c r="SBU520" s="1358"/>
      <c r="SBV520" s="1358"/>
      <c r="SBW520" s="1358"/>
      <c r="SBX520" s="1358"/>
      <c r="SBY520" s="1358"/>
      <c r="SBZ520" s="1358"/>
      <c r="SCA520" s="1358"/>
      <c r="SCB520" s="1358"/>
      <c r="SCC520" s="1358"/>
      <c r="SCD520" s="1358"/>
      <c r="SCE520" s="1358"/>
      <c r="SCF520" s="1358"/>
      <c r="SCG520" s="1358"/>
      <c r="SCH520" s="1358"/>
      <c r="SCI520" s="1358"/>
      <c r="SCJ520" s="1358"/>
      <c r="SCK520" s="1358"/>
      <c r="SCL520" s="1358"/>
      <c r="SCM520" s="1358"/>
      <c r="SCN520" s="1358"/>
      <c r="SCO520" s="1358"/>
      <c r="SCP520" s="1358"/>
      <c r="SCQ520" s="1358"/>
      <c r="SCR520" s="1358"/>
      <c r="SCS520" s="1358"/>
      <c r="SCT520" s="1358"/>
      <c r="SCU520" s="1358"/>
      <c r="SCV520" s="1358"/>
      <c r="SCW520" s="1358"/>
      <c r="SCX520" s="1358"/>
      <c r="SCY520" s="1358"/>
      <c r="SCZ520" s="1358"/>
      <c r="SDA520" s="1358"/>
      <c r="SDB520" s="1358"/>
      <c r="SDC520" s="1358"/>
      <c r="SDD520" s="1358"/>
      <c r="SDE520" s="1358"/>
      <c r="SDF520" s="1358"/>
      <c r="SDG520" s="1358"/>
      <c r="SDH520" s="1358"/>
      <c r="SDI520" s="1358"/>
      <c r="SDJ520" s="1358"/>
      <c r="SDK520" s="1358"/>
      <c r="SDL520" s="1358"/>
      <c r="SDM520" s="1358"/>
      <c r="SDN520" s="1358"/>
      <c r="SDO520" s="1358"/>
      <c r="SDP520" s="1358"/>
      <c r="SDQ520" s="1358"/>
      <c r="SDR520" s="1358"/>
      <c r="SDS520" s="1358"/>
      <c r="SDT520" s="1358"/>
      <c r="SDU520" s="1358"/>
      <c r="SDV520" s="1358"/>
      <c r="SDW520" s="1358"/>
      <c r="SDX520" s="1358"/>
      <c r="SDY520" s="1358"/>
      <c r="SDZ520" s="1358"/>
      <c r="SEA520" s="1358"/>
      <c r="SEB520" s="1358"/>
      <c r="SEC520" s="1358"/>
      <c r="SED520" s="1358"/>
      <c r="SEE520" s="1358"/>
      <c r="SEF520" s="1358"/>
      <c r="SEG520" s="1358"/>
      <c r="SEH520" s="1358"/>
      <c r="SEI520" s="1358"/>
      <c r="SEJ520" s="1358"/>
      <c r="SEK520" s="1358"/>
      <c r="SEL520" s="1358"/>
      <c r="SEM520" s="1358"/>
      <c r="SEN520" s="1358"/>
      <c r="SEO520" s="1358"/>
      <c r="SEP520" s="1358"/>
      <c r="SEQ520" s="1358"/>
      <c r="SER520" s="1358"/>
      <c r="SES520" s="1358"/>
      <c r="SET520" s="1358"/>
      <c r="SEU520" s="1358"/>
      <c r="SEV520" s="1358"/>
      <c r="SEW520" s="1358"/>
      <c r="SEX520" s="1358"/>
      <c r="SEY520" s="1358"/>
      <c r="SEZ520" s="1358"/>
      <c r="SFA520" s="1358"/>
      <c r="SFB520" s="1358"/>
      <c r="SFC520" s="1358"/>
      <c r="SFD520" s="1358"/>
      <c r="SFE520" s="1358"/>
      <c r="SFF520" s="1358"/>
      <c r="SFG520" s="1358"/>
      <c r="SFH520" s="1358"/>
      <c r="SFI520" s="1358"/>
      <c r="SFJ520" s="1358"/>
      <c r="SFK520" s="1358"/>
      <c r="SFL520" s="1358"/>
      <c r="SFM520" s="1358"/>
      <c r="SFN520" s="1358"/>
      <c r="SFO520" s="1358"/>
      <c r="SFP520" s="1358"/>
      <c r="SFQ520" s="1358"/>
      <c r="SFR520" s="1358"/>
      <c r="SFS520" s="1358"/>
      <c r="SFT520" s="1358"/>
      <c r="SFU520" s="1358"/>
      <c r="SFV520" s="1358"/>
      <c r="SFW520" s="1358"/>
      <c r="SFX520" s="1358"/>
      <c r="SFY520" s="1358"/>
      <c r="SFZ520" s="1358"/>
      <c r="SGA520" s="1358"/>
      <c r="SGB520" s="1358"/>
      <c r="SGC520" s="1358"/>
      <c r="SGD520" s="1358"/>
      <c r="SGE520" s="1358"/>
      <c r="SGF520" s="1358"/>
      <c r="SGG520" s="1358"/>
      <c r="SGH520" s="1358"/>
      <c r="SGI520" s="1358"/>
      <c r="SGJ520" s="1358"/>
      <c r="SGK520" s="1358"/>
      <c r="SGL520" s="1358"/>
      <c r="SGM520" s="1358"/>
      <c r="SGN520" s="1358"/>
      <c r="SGO520" s="1358"/>
      <c r="SGP520" s="1358"/>
      <c r="SGQ520" s="1358"/>
      <c r="SGR520" s="1358"/>
      <c r="SGS520" s="1358"/>
      <c r="SGT520" s="1358"/>
      <c r="SGU520" s="1358"/>
      <c r="SGV520" s="1358"/>
      <c r="SGW520" s="1358"/>
      <c r="SGX520" s="1358"/>
      <c r="SGY520" s="1358"/>
      <c r="SGZ520" s="1358"/>
      <c r="SHA520" s="1358"/>
      <c r="SHB520" s="1358"/>
      <c r="SHC520" s="1358"/>
      <c r="SHD520" s="1358"/>
      <c r="SHE520" s="1358"/>
      <c r="SHF520" s="1358"/>
      <c r="SHG520" s="1358"/>
      <c r="SHH520" s="1358"/>
      <c r="SHI520" s="1358"/>
      <c r="SHJ520" s="1358"/>
      <c r="SHK520" s="1358"/>
      <c r="SHL520" s="1358"/>
      <c r="SHM520" s="1358"/>
      <c r="SHN520" s="1358"/>
      <c r="SHO520" s="1358"/>
      <c r="SHP520" s="1358"/>
      <c r="SHQ520" s="1358"/>
      <c r="SHR520" s="1358"/>
      <c r="SHS520" s="1358"/>
      <c r="SHT520" s="1358"/>
      <c r="SHU520" s="1358"/>
      <c r="SHV520" s="1358"/>
      <c r="SHW520" s="1358"/>
      <c r="SHX520" s="1358"/>
      <c r="SHY520" s="1358"/>
      <c r="SHZ520" s="1358"/>
      <c r="SIA520" s="1358"/>
      <c r="SIB520" s="1358"/>
      <c r="SIC520" s="1358"/>
      <c r="SID520" s="1358"/>
      <c r="SIE520" s="1358"/>
      <c r="SIF520" s="1358"/>
      <c r="SIG520" s="1358"/>
      <c r="SIH520" s="1358"/>
      <c r="SII520" s="1358"/>
      <c r="SIJ520" s="1358"/>
      <c r="SIK520" s="1358"/>
      <c r="SIL520" s="1358"/>
      <c r="SIM520" s="1358"/>
      <c r="SIN520" s="1358"/>
      <c r="SIO520" s="1358"/>
      <c r="SIP520" s="1358"/>
      <c r="SIQ520" s="1358"/>
      <c r="SIR520" s="1358"/>
      <c r="SIS520" s="1358"/>
      <c r="SIT520" s="1358"/>
      <c r="SIU520" s="1358"/>
      <c r="SIV520" s="1358"/>
      <c r="SIW520" s="1358"/>
      <c r="SIX520" s="1358"/>
      <c r="SIY520" s="1358"/>
      <c r="SIZ520" s="1358"/>
      <c r="SJA520" s="1358"/>
      <c r="SJB520" s="1358"/>
      <c r="SJC520" s="1358"/>
      <c r="SJD520" s="1358"/>
      <c r="SJE520" s="1358"/>
      <c r="SJF520" s="1358"/>
      <c r="SJG520" s="1358"/>
      <c r="SJH520" s="1358"/>
      <c r="SJI520" s="1358"/>
      <c r="SJJ520" s="1358"/>
      <c r="SJK520" s="1358"/>
      <c r="SJL520" s="1358"/>
      <c r="SJM520" s="1358"/>
      <c r="SJN520" s="1358"/>
      <c r="SJO520" s="1358"/>
      <c r="SJP520" s="1358"/>
      <c r="SJQ520" s="1358"/>
      <c r="SJR520" s="1358"/>
      <c r="SJS520" s="1358"/>
      <c r="SJT520" s="1358"/>
      <c r="SJU520" s="1358"/>
      <c r="SJV520" s="1358"/>
      <c r="SJW520" s="1358"/>
      <c r="SJX520" s="1358"/>
      <c r="SJY520" s="1358"/>
      <c r="SJZ520" s="1358"/>
      <c r="SKA520" s="1358"/>
      <c r="SKB520" s="1358"/>
      <c r="SKC520" s="1358"/>
      <c r="SKD520" s="1358"/>
      <c r="SKE520" s="1358"/>
      <c r="SKF520" s="1358"/>
      <c r="SKG520" s="1358"/>
      <c r="SKH520" s="1358"/>
      <c r="SKI520" s="1358"/>
      <c r="SKJ520" s="1358"/>
      <c r="SKK520" s="1358"/>
      <c r="SKL520" s="1358"/>
      <c r="SKM520" s="1358"/>
      <c r="SKN520" s="1358"/>
      <c r="SKO520" s="1358"/>
      <c r="SKP520" s="1358"/>
      <c r="SKQ520" s="1358"/>
      <c r="SKR520" s="1358"/>
      <c r="SKS520" s="1358"/>
      <c r="SKT520" s="1358"/>
      <c r="SKU520" s="1358"/>
      <c r="SKV520" s="1358"/>
      <c r="SKW520" s="1358"/>
      <c r="SKX520" s="1358"/>
      <c r="SKY520" s="1358"/>
      <c r="SKZ520" s="1358"/>
      <c r="SLA520" s="1358"/>
      <c r="SLB520" s="1358"/>
      <c r="SLC520" s="1358"/>
      <c r="SLD520" s="1358"/>
      <c r="SLE520" s="1358"/>
      <c r="SLF520" s="1358"/>
      <c r="SLG520" s="1358"/>
      <c r="SLH520" s="1358"/>
      <c r="SLI520" s="1358"/>
      <c r="SLJ520" s="1358"/>
      <c r="SLK520" s="1358"/>
      <c r="SLL520" s="1358"/>
      <c r="SLM520" s="1358"/>
      <c r="SLN520" s="1358"/>
      <c r="SLO520" s="1358"/>
      <c r="SLP520" s="1358"/>
      <c r="SLQ520" s="1358"/>
      <c r="SLR520" s="1358"/>
      <c r="SLS520" s="1358"/>
      <c r="SLT520" s="1358"/>
      <c r="SLU520" s="1358"/>
      <c r="SLV520" s="1358"/>
      <c r="SLW520" s="1358"/>
      <c r="SLX520" s="1358"/>
      <c r="SLY520" s="1358"/>
      <c r="SLZ520" s="1358"/>
      <c r="SMA520" s="1358"/>
      <c r="SMB520" s="1358"/>
      <c r="SMC520" s="1358"/>
      <c r="SMD520" s="1358"/>
      <c r="SME520" s="1358"/>
      <c r="SMF520" s="1358"/>
      <c r="SMG520" s="1358"/>
      <c r="SMH520" s="1358"/>
      <c r="SMI520" s="1358"/>
      <c r="SMJ520" s="1358"/>
      <c r="SMK520" s="1358"/>
      <c r="SML520" s="1358"/>
      <c r="SMM520" s="1358"/>
      <c r="SMN520" s="1358"/>
      <c r="SMO520" s="1358"/>
      <c r="SMP520" s="1358"/>
      <c r="SMQ520" s="1358"/>
      <c r="SMR520" s="1358"/>
      <c r="SMS520" s="1358"/>
      <c r="SMT520" s="1358"/>
      <c r="SMU520" s="1358"/>
      <c r="SMV520" s="1358"/>
      <c r="SMW520" s="1358"/>
      <c r="SMX520" s="1358"/>
      <c r="SMY520" s="1358"/>
      <c r="SMZ520" s="1358"/>
      <c r="SNA520" s="1358"/>
      <c r="SNB520" s="1358"/>
      <c r="SNC520" s="1358"/>
      <c r="SND520" s="1358"/>
      <c r="SNE520" s="1358"/>
      <c r="SNF520" s="1358"/>
      <c r="SNG520" s="1358"/>
      <c r="SNH520" s="1358"/>
      <c r="SNI520" s="1358"/>
      <c r="SNJ520" s="1358"/>
      <c r="SNK520" s="1358"/>
      <c r="SNL520" s="1358"/>
      <c r="SNM520" s="1358"/>
      <c r="SNN520" s="1358"/>
      <c r="SNO520" s="1358"/>
      <c r="SNP520" s="1358"/>
      <c r="SNQ520" s="1358"/>
      <c r="SNR520" s="1358"/>
      <c r="SNS520" s="1358"/>
      <c r="SNT520" s="1358"/>
      <c r="SNU520" s="1358"/>
      <c r="SNV520" s="1358"/>
      <c r="SNW520" s="1358"/>
      <c r="SNX520" s="1358"/>
      <c r="SNY520" s="1358"/>
      <c r="SNZ520" s="1358"/>
      <c r="SOA520" s="1358"/>
      <c r="SOB520" s="1358"/>
      <c r="SOC520" s="1358"/>
      <c r="SOD520" s="1358"/>
      <c r="SOE520" s="1358"/>
      <c r="SOF520" s="1358"/>
      <c r="SOG520" s="1358"/>
      <c r="SOH520" s="1358"/>
      <c r="SOI520" s="1358"/>
      <c r="SOJ520" s="1358"/>
      <c r="SOK520" s="1358"/>
      <c r="SOL520" s="1358"/>
      <c r="SOM520" s="1358"/>
      <c r="SON520" s="1358"/>
      <c r="SOO520" s="1358"/>
      <c r="SOP520" s="1358"/>
      <c r="SOQ520" s="1358"/>
      <c r="SOR520" s="1358"/>
      <c r="SOS520" s="1358"/>
      <c r="SOT520" s="1358"/>
      <c r="SOU520" s="1358"/>
      <c r="SOV520" s="1358"/>
      <c r="SOW520" s="1358"/>
      <c r="SOX520" s="1358"/>
      <c r="SOY520" s="1358"/>
      <c r="SOZ520" s="1358"/>
      <c r="SPA520" s="1358"/>
      <c r="SPB520" s="1358"/>
      <c r="SPC520" s="1358"/>
      <c r="SPD520" s="1358"/>
      <c r="SPE520" s="1358"/>
      <c r="SPF520" s="1358"/>
      <c r="SPG520" s="1358"/>
      <c r="SPH520" s="1358"/>
      <c r="SPI520" s="1358"/>
      <c r="SPJ520" s="1358"/>
      <c r="SPK520" s="1358"/>
      <c r="SPL520" s="1358"/>
      <c r="SPM520" s="1358"/>
      <c r="SPN520" s="1358"/>
      <c r="SPO520" s="1358"/>
      <c r="SPP520" s="1358"/>
      <c r="SPQ520" s="1358"/>
      <c r="SPR520" s="1358"/>
      <c r="SPS520" s="1358"/>
      <c r="SPT520" s="1358"/>
      <c r="SPU520" s="1358"/>
      <c r="SPV520" s="1358"/>
      <c r="SPW520" s="1358"/>
      <c r="SPX520" s="1358"/>
      <c r="SPY520" s="1358"/>
      <c r="SPZ520" s="1358"/>
      <c r="SQA520" s="1358"/>
      <c r="SQB520" s="1358"/>
      <c r="SQC520" s="1358"/>
      <c r="SQD520" s="1358"/>
      <c r="SQE520" s="1358"/>
      <c r="SQF520" s="1358"/>
      <c r="SQG520" s="1358"/>
      <c r="SQH520" s="1358"/>
      <c r="SQI520" s="1358"/>
      <c r="SQJ520" s="1358"/>
      <c r="SQK520" s="1358"/>
      <c r="SQL520" s="1358"/>
      <c r="SQM520" s="1358"/>
      <c r="SQN520" s="1358"/>
      <c r="SQO520" s="1358"/>
      <c r="SQP520" s="1358"/>
      <c r="SQQ520" s="1358"/>
      <c r="SQR520" s="1358"/>
      <c r="SQS520" s="1358"/>
      <c r="SQT520" s="1358"/>
      <c r="SQU520" s="1358"/>
      <c r="SQV520" s="1358"/>
      <c r="SQW520" s="1358"/>
      <c r="SQX520" s="1358"/>
      <c r="SQY520" s="1358"/>
      <c r="SQZ520" s="1358"/>
      <c r="SRA520" s="1358"/>
      <c r="SRB520" s="1358"/>
      <c r="SRC520" s="1358"/>
      <c r="SRD520" s="1358"/>
      <c r="SRE520" s="1358"/>
      <c r="SRF520" s="1358"/>
      <c r="SRG520" s="1358"/>
      <c r="SRH520" s="1358"/>
      <c r="SRI520" s="1358"/>
      <c r="SRJ520" s="1358"/>
      <c r="SRK520" s="1358"/>
      <c r="SRL520" s="1358"/>
      <c r="SRM520" s="1358"/>
      <c r="SRN520" s="1358"/>
      <c r="SRO520" s="1358"/>
      <c r="SRP520" s="1358"/>
      <c r="SRQ520" s="1358"/>
      <c r="SRR520" s="1358"/>
      <c r="SRS520" s="1358"/>
      <c r="SRT520" s="1358"/>
      <c r="SRU520" s="1358"/>
      <c r="SRV520" s="1358"/>
      <c r="SRW520" s="1358"/>
      <c r="SRX520" s="1358"/>
      <c r="SRY520" s="1358"/>
      <c r="SRZ520" s="1358"/>
      <c r="SSA520" s="1358"/>
      <c r="SSB520" s="1358"/>
      <c r="SSC520" s="1358"/>
      <c r="SSD520" s="1358"/>
      <c r="SSE520" s="1358"/>
      <c r="SSF520" s="1358"/>
      <c r="SSG520" s="1358"/>
      <c r="SSH520" s="1358"/>
      <c r="SSI520" s="1358"/>
      <c r="SSJ520" s="1358"/>
      <c r="SSK520" s="1358"/>
      <c r="SSL520" s="1358"/>
      <c r="SSM520" s="1358"/>
      <c r="SSN520" s="1358"/>
      <c r="SSO520" s="1358"/>
      <c r="SSP520" s="1358"/>
      <c r="SSQ520" s="1358"/>
      <c r="SSR520" s="1358"/>
      <c r="SSS520" s="1358"/>
      <c r="SST520" s="1358"/>
      <c r="SSU520" s="1358"/>
      <c r="SSV520" s="1358"/>
      <c r="SSW520" s="1358"/>
      <c r="SSX520" s="1358"/>
      <c r="SSY520" s="1358"/>
      <c r="SSZ520" s="1358"/>
      <c r="STA520" s="1358"/>
      <c r="STB520" s="1358"/>
      <c r="STC520" s="1358"/>
      <c r="STD520" s="1358"/>
      <c r="STE520" s="1358"/>
      <c r="STF520" s="1358"/>
      <c r="STG520" s="1358"/>
      <c r="STH520" s="1358"/>
      <c r="STI520" s="1358"/>
      <c r="STJ520" s="1358"/>
      <c r="STK520" s="1358"/>
      <c r="STL520" s="1358"/>
      <c r="STM520" s="1358"/>
      <c r="STN520" s="1358"/>
      <c r="STO520" s="1358"/>
      <c r="STP520" s="1358"/>
      <c r="STQ520" s="1358"/>
      <c r="STR520" s="1358"/>
      <c r="STS520" s="1358"/>
      <c r="STT520" s="1358"/>
      <c r="STU520" s="1358"/>
      <c r="STV520" s="1358"/>
      <c r="STW520" s="1358"/>
      <c r="STX520" s="1358"/>
      <c r="STY520" s="1358"/>
      <c r="STZ520" s="1358"/>
      <c r="SUA520" s="1358"/>
      <c r="SUB520" s="1358"/>
      <c r="SUC520" s="1358"/>
      <c r="SUD520" s="1358"/>
      <c r="SUE520" s="1358"/>
      <c r="SUF520" s="1358"/>
      <c r="SUG520" s="1358"/>
      <c r="SUH520" s="1358"/>
      <c r="SUI520" s="1358"/>
      <c r="SUJ520" s="1358"/>
      <c r="SUK520" s="1358"/>
      <c r="SUL520" s="1358"/>
      <c r="SUM520" s="1358"/>
      <c r="SUN520" s="1358"/>
      <c r="SUO520" s="1358"/>
      <c r="SUP520" s="1358"/>
      <c r="SUQ520" s="1358"/>
      <c r="SUR520" s="1358"/>
      <c r="SUS520" s="1358"/>
      <c r="SUT520" s="1358"/>
      <c r="SUU520" s="1358"/>
      <c r="SUV520" s="1358"/>
      <c r="SUW520" s="1358"/>
      <c r="SUX520" s="1358"/>
      <c r="SUY520" s="1358"/>
      <c r="SUZ520" s="1358"/>
      <c r="SVA520" s="1358"/>
      <c r="SVB520" s="1358"/>
      <c r="SVC520" s="1358"/>
      <c r="SVD520" s="1358"/>
      <c r="SVE520" s="1358"/>
      <c r="SVF520" s="1358"/>
      <c r="SVG520" s="1358"/>
      <c r="SVH520" s="1358"/>
      <c r="SVI520" s="1358"/>
      <c r="SVJ520" s="1358"/>
      <c r="SVK520" s="1358"/>
      <c r="SVL520" s="1358"/>
      <c r="SVM520" s="1358"/>
      <c r="SVN520" s="1358"/>
      <c r="SVO520" s="1358"/>
      <c r="SVP520" s="1358"/>
      <c r="SVQ520" s="1358"/>
      <c r="SVR520" s="1358"/>
      <c r="SVS520" s="1358"/>
      <c r="SVT520" s="1358"/>
      <c r="SVU520" s="1358"/>
      <c r="SVV520" s="1358"/>
      <c r="SVW520" s="1358"/>
      <c r="SVX520" s="1358"/>
      <c r="SVY520" s="1358"/>
      <c r="SVZ520" s="1358"/>
      <c r="SWA520" s="1358"/>
      <c r="SWB520" s="1358"/>
      <c r="SWC520" s="1358"/>
      <c r="SWD520" s="1358"/>
      <c r="SWE520" s="1358"/>
      <c r="SWF520" s="1358"/>
      <c r="SWG520" s="1358"/>
      <c r="SWH520" s="1358"/>
      <c r="SWI520" s="1358"/>
      <c r="SWJ520" s="1358"/>
      <c r="SWK520" s="1358"/>
      <c r="SWL520" s="1358"/>
      <c r="SWM520" s="1358"/>
      <c r="SWN520" s="1358"/>
      <c r="SWO520" s="1358"/>
      <c r="SWP520" s="1358"/>
      <c r="SWQ520" s="1358"/>
      <c r="SWR520" s="1358"/>
      <c r="SWS520" s="1358"/>
      <c r="SWT520" s="1358"/>
      <c r="SWU520" s="1358"/>
      <c r="SWV520" s="1358"/>
      <c r="SWW520" s="1358"/>
      <c r="SWX520" s="1358"/>
      <c r="SWY520" s="1358"/>
      <c r="SWZ520" s="1358"/>
      <c r="SXA520" s="1358"/>
      <c r="SXB520" s="1358"/>
      <c r="SXC520" s="1358"/>
      <c r="SXD520" s="1358"/>
      <c r="SXE520" s="1358"/>
      <c r="SXF520" s="1358"/>
      <c r="SXG520" s="1358"/>
      <c r="SXH520" s="1358"/>
      <c r="SXI520" s="1358"/>
      <c r="SXJ520" s="1358"/>
      <c r="SXK520" s="1358"/>
      <c r="SXL520" s="1358"/>
      <c r="SXM520" s="1358"/>
      <c r="SXN520" s="1358"/>
      <c r="SXO520" s="1358"/>
      <c r="SXP520" s="1358"/>
      <c r="SXQ520" s="1358"/>
      <c r="SXR520" s="1358"/>
      <c r="SXS520" s="1358"/>
      <c r="SXT520" s="1358"/>
      <c r="SXU520" s="1358"/>
      <c r="SXV520" s="1358"/>
      <c r="SXW520" s="1358"/>
      <c r="SXX520" s="1358"/>
      <c r="SXY520" s="1358"/>
      <c r="SXZ520" s="1358"/>
      <c r="SYA520" s="1358"/>
      <c r="SYB520" s="1358"/>
      <c r="SYC520" s="1358"/>
      <c r="SYD520" s="1358"/>
      <c r="SYE520" s="1358"/>
      <c r="SYF520" s="1358"/>
      <c r="SYG520" s="1358"/>
      <c r="SYH520" s="1358"/>
      <c r="SYI520" s="1358"/>
      <c r="SYJ520" s="1358"/>
      <c r="SYK520" s="1358"/>
      <c r="SYL520" s="1358"/>
      <c r="SYM520" s="1358"/>
      <c r="SYN520" s="1358"/>
      <c r="SYO520" s="1358"/>
      <c r="SYP520" s="1358"/>
      <c r="SYQ520" s="1358"/>
      <c r="SYR520" s="1358"/>
      <c r="SYS520" s="1358"/>
      <c r="SYT520" s="1358"/>
      <c r="SYU520" s="1358"/>
      <c r="SYV520" s="1358"/>
      <c r="SYW520" s="1358"/>
      <c r="SYX520" s="1358"/>
      <c r="SYY520" s="1358"/>
      <c r="SYZ520" s="1358"/>
      <c r="SZA520" s="1358"/>
      <c r="SZB520" s="1358"/>
      <c r="SZC520" s="1358"/>
      <c r="SZD520" s="1358"/>
      <c r="SZE520" s="1358"/>
      <c r="SZF520" s="1358"/>
      <c r="SZG520" s="1358"/>
      <c r="SZH520" s="1358"/>
      <c r="SZI520" s="1358"/>
      <c r="SZJ520" s="1358"/>
      <c r="SZK520" s="1358"/>
      <c r="SZL520" s="1358"/>
      <c r="SZM520" s="1358"/>
      <c r="SZN520" s="1358"/>
      <c r="SZO520" s="1358"/>
      <c r="SZP520" s="1358"/>
      <c r="SZQ520" s="1358"/>
      <c r="SZR520" s="1358"/>
      <c r="SZS520" s="1358"/>
      <c r="SZT520" s="1358"/>
      <c r="SZU520" s="1358"/>
      <c r="SZV520" s="1358"/>
      <c r="SZW520" s="1358"/>
      <c r="SZX520" s="1358"/>
      <c r="SZY520" s="1358"/>
      <c r="SZZ520" s="1358"/>
      <c r="TAA520" s="1358"/>
      <c r="TAB520" s="1358"/>
      <c r="TAC520" s="1358"/>
      <c r="TAD520" s="1358"/>
      <c r="TAE520" s="1358"/>
      <c r="TAF520" s="1358"/>
      <c r="TAG520" s="1358"/>
      <c r="TAH520" s="1358"/>
      <c r="TAI520" s="1358"/>
      <c r="TAJ520" s="1358"/>
      <c r="TAK520" s="1358"/>
      <c r="TAL520" s="1358"/>
      <c r="TAM520" s="1358"/>
      <c r="TAN520" s="1358"/>
      <c r="TAO520" s="1358"/>
      <c r="TAP520" s="1358"/>
      <c r="TAQ520" s="1358"/>
      <c r="TAR520" s="1358"/>
      <c r="TAS520" s="1358"/>
      <c r="TAT520" s="1358"/>
      <c r="TAU520" s="1358"/>
      <c r="TAV520" s="1358"/>
      <c r="TAW520" s="1358"/>
      <c r="TAX520" s="1358"/>
      <c r="TAY520" s="1358"/>
      <c r="TAZ520" s="1358"/>
      <c r="TBA520" s="1358"/>
      <c r="TBB520" s="1358"/>
      <c r="TBC520" s="1358"/>
      <c r="TBD520" s="1358"/>
      <c r="TBE520" s="1358"/>
      <c r="TBF520" s="1358"/>
      <c r="TBG520" s="1358"/>
      <c r="TBH520" s="1358"/>
      <c r="TBI520" s="1358"/>
      <c r="TBJ520" s="1358"/>
      <c r="TBK520" s="1358"/>
      <c r="TBL520" s="1358"/>
      <c r="TBM520" s="1358"/>
      <c r="TBN520" s="1358"/>
      <c r="TBO520" s="1358"/>
      <c r="TBP520" s="1358"/>
      <c r="TBQ520" s="1358"/>
      <c r="TBR520" s="1358"/>
      <c r="TBS520" s="1358"/>
      <c r="TBT520" s="1358"/>
      <c r="TBU520" s="1358"/>
      <c r="TBV520" s="1358"/>
      <c r="TBW520" s="1358"/>
      <c r="TBX520" s="1358"/>
      <c r="TBY520" s="1358"/>
      <c r="TBZ520" s="1358"/>
      <c r="TCA520" s="1358"/>
      <c r="TCB520" s="1358"/>
      <c r="TCC520" s="1358"/>
      <c r="TCD520" s="1358"/>
      <c r="TCE520" s="1358"/>
      <c r="TCF520" s="1358"/>
      <c r="TCG520" s="1358"/>
      <c r="TCH520" s="1358"/>
      <c r="TCI520" s="1358"/>
      <c r="TCJ520" s="1358"/>
      <c r="TCK520" s="1358"/>
      <c r="TCL520" s="1358"/>
      <c r="TCM520" s="1358"/>
      <c r="TCN520" s="1358"/>
      <c r="TCO520" s="1358"/>
      <c r="TCP520" s="1358"/>
      <c r="TCQ520" s="1358"/>
      <c r="TCR520" s="1358"/>
      <c r="TCS520" s="1358"/>
      <c r="TCT520" s="1358"/>
      <c r="TCU520" s="1358"/>
      <c r="TCV520" s="1358"/>
      <c r="TCW520" s="1358"/>
      <c r="TCX520" s="1358"/>
      <c r="TCY520" s="1358"/>
      <c r="TCZ520" s="1358"/>
      <c r="TDA520" s="1358"/>
      <c r="TDB520" s="1358"/>
      <c r="TDC520" s="1358"/>
      <c r="TDD520" s="1358"/>
      <c r="TDE520" s="1358"/>
      <c r="TDF520" s="1358"/>
      <c r="TDG520" s="1358"/>
      <c r="TDH520" s="1358"/>
      <c r="TDI520" s="1358"/>
      <c r="TDJ520" s="1358"/>
      <c r="TDK520" s="1358"/>
      <c r="TDL520" s="1358"/>
      <c r="TDM520" s="1358"/>
      <c r="TDN520" s="1358"/>
      <c r="TDO520" s="1358"/>
      <c r="TDP520" s="1358"/>
      <c r="TDQ520" s="1358"/>
      <c r="TDR520" s="1358"/>
      <c r="TDS520" s="1358"/>
      <c r="TDT520" s="1358"/>
      <c r="TDU520" s="1358"/>
      <c r="TDV520" s="1358"/>
      <c r="TDW520" s="1358"/>
      <c r="TDX520" s="1358"/>
      <c r="TDY520" s="1358"/>
      <c r="TDZ520" s="1358"/>
      <c r="TEA520" s="1358"/>
      <c r="TEB520" s="1358"/>
      <c r="TEC520" s="1358"/>
      <c r="TED520" s="1358"/>
      <c r="TEE520" s="1358"/>
      <c r="TEF520" s="1358"/>
      <c r="TEG520" s="1358"/>
      <c r="TEH520" s="1358"/>
      <c r="TEI520" s="1358"/>
      <c r="TEJ520" s="1358"/>
      <c r="TEK520" s="1358"/>
      <c r="TEL520" s="1358"/>
      <c r="TEM520" s="1358"/>
      <c r="TEN520" s="1358"/>
      <c r="TEO520" s="1358"/>
      <c r="TEP520" s="1358"/>
      <c r="TEQ520" s="1358"/>
      <c r="TER520" s="1358"/>
      <c r="TES520" s="1358"/>
      <c r="TET520" s="1358"/>
      <c r="TEU520" s="1358"/>
      <c r="TEV520" s="1358"/>
      <c r="TEW520" s="1358"/>
      <c r="TEX520" s="1358"/>
      <c r="TEY520" s="1358"/>
      <c r="TEZ520" s="1358"/>
      <c r="TFA520" s="1358"/>
      <c r="TFB520" s="1358"/>
      <c r="TFC520" s="1358"/>
      <c r="TFD520" s="1358"/>
      <c r="TFE520" s="1358"/>
      <c r="TFF520" s="1358"/>
      <c r="TFG520" s="1358"/>
      <c r="TFH520" s="1358"/>
      <c r="TFI520" s="1358"/>
      <c r="TFJ520" s="1358"/>
      <c r="TFK520" s="1358"/>
      <c r="TFL520" s="1358"/>
      <c r="TFM520" s="1358"/>
      <c r="TFN520" s="1358"/>
      <c r="TFO520" s="1358"/>
      <c r="TFP520" s="1358"/>
      <c r="TFQ520" s="1358"/>
      <c r="TFR520" s="1358"/>
      <c r="TFS520" s="1358"/>
      <c r="TFT520" s="1358"/>
      <c r="TFU520" s="1358"/>
      <c r="TFV520" s="1358"/>
      <c r="TFW520" s="1358"/>
      <c r="TFX520" s="1358"/>
      <c r="TFY520" s="1358"/>
      <c r="TFZ520" s="1358"/>
      <c r="TGA520" s="1358"/>
      <c r="TGB520" s="1358"/>
      <c r="TGC520" s="1358"/>
      <c r="TGD520" s="1358"/>
      <c r="TGE520" s="1358"/>
      <c r="TGF520" s="1358"/>
      <c r="TGG520" s="1358"/>
      <c r="TGH520" s="1358"/>
      <c r="TGI520" s="1358"/>
      <c r="TGJ520" s="1358"/>
      <c r="TGK520" s="1358"/>
      <c r="TGL520" s="1358"/>
      <c r="TGM520" s="1358"/>
      <c r="TGN520" s="1358"/>
      <c r="TGO520" s="1358"/>
      <c r="TGP520" s="1358"/>
      <c r="TGQ520" s="1358"/>
      <c r="TGR520" s="1358"/>
      <c r="TGS520" s="1358"/>
      <c r="TGT520" s="1358"/>
      <c r="TGU520" s="1358"/>
      <c r="TGV520" s="1358"/>
      <c r="TGW520" s="1358"/>
      <c r="TGX520" s="1358"/>
      <c r="TGY520" s="1358"/>
      <c r="TGZ520" s="1358"/>
      <c r="THA520" s="1358"/>
      <c r="THB520" s="1358"/>
      <c r="THC520" s="1358"/>
      <c r="THD520" s="1358"/>
      <c r="THE520" s="1358"/>
      <c r="THF520" s="1358"/>
      <c r="THG520" s="1358"/>
      <c r="THH520" s="1358"/>
      <c r="THI520" s="1358"/>
      <c r="THJ520" s="1358"/>
      <c r="THK520" s="1358"/>
      <c r="THL520" s="1358"/>
      <c r="THM520" s="1358"/>
      <c r="THN520" s="1358"/>
      <c r="THO520" s="1358"/>
      <c r="THP520" s="1358"/>
      <c r="THQ520" s="1358"/>
      <c r="THR520" s="1358"/>
      <c r="THS520" s="1358"/>
      <c r="THT520" s="1358"/>
      <c r="THU520" s="1358"/>
      <c r="THV520" s="1358"/>
      <c r="THW520" s="1358"/>
      <c r="THX520" s="1358"/>
      <c r="THY520" s="1358"/>
      <c r="THZ520" s="1358"/>
      <c r="TIA520" s="1358"/>
      <c r="TIB520" s="1358"/>
      <c r="TIC520" s="1358"/>
      <c r="TID520" s="1358"/>
      <c r="TIE520" s="1358"/>
      <c r="TIF520" s="1358"/>
      <c r="TIG520" s="1358"/>
      <c r="TIH520" s="1358"/>
      <c r="TII520" s="1358"/>
      <c r="TIJ520" s="1358"/>
      <c r="TIK520" s="1358"/>
      <c r="TIL520" s="1358"/>
      <c r="TIM520" s="1358"/>
      <c r="TIN520" s="1358"/>
      <c r="TIO520" s="1358"/>
      <c r="TIP520" s="1358"/>
      <c r="TIQ520" s="1358"/>
      <c r="TIR520" s="1358"/>
      <c r="TIS520" s="1358"/>
      <c r="TIT520" s="1358"/>
      <c r="TIU520" s="1358"/>
      <c r="TIV520" s="1358"/>
      <c r="TIW520" s="1358"/>
      <c r="TIX520" s="1358"/>
      <c r="TIY520" s="1358"/>
      <c r="TIZ520" s="1358"/>
      <c r="TJA520" s="1358"/>
      <c r="TJB520" s="1358"/>
      <c r="TJC520" s="1358"/>
      <c r="TJD520" s="1358"/>
      <c r="TJE520" s="1358"/>
      <c r="TJF520" s="1358"/>
      <c r="TJG520" s="1358"/>
      <c r="TJH520" s="1358"/>
      <c r="TJI520" s="1358"/>
      <c r="TJJ520" s="1358"/>
      <c r="TJK520" s="1358"/>
      <c r="TJL520" s="1358"/>
      <c r="TJM520" s="1358"/>
      <c r="TJN520" s="1358"/>
      <c r="TJO520" s="1358"/>
      <c r="TJP520" s="1358"/>
      <c r="TJQ520" s="1358"/>
      <c r="TJR520" s="1358"/>
      <c r="TJS520" s="1358"/>
      <c r="TJT520" s="1358"/>
      <c r="TJU520" s="1358"/>
      <c r="TJV520" s="1358"/>
      <c r="TJW520" s="1358"/>
      <c r="TJX520" s="1358"/>
      <c r="TJY520" s="1358"/>
      <c r="TJZ520" s="1358"/>
      <c r="TKA520" s="1358"/>
      <c r="TKB520" s="1358"/>
      <c r="TKC520" s="1358"/>
      <c r="TKD520" s="1358"/>
      <c r="TKE520" s="1358"/>
      <c r="TKF520" s="1358"/>
      <c r="TKG520" s="1358"/>
      <c r="TKH520" s="1358"/>
      <c r="TKI520" s="1358"/>
      <c r="TKJ520" s="1358"/>
      <c r="TKK520" s="1358"/>
      <c r="TKL520" s="1358"/>
      <c r="TKM520" s="1358"/>
      <c r="TKN520" s="1358"/>
      <c r="TKO520" s="1358"/>
      <c r="TKP520" s="1358"/>
      <c r="TKQ520" s="1358"/>
      <c r="TKR520" s="1358"/>
      <c r="TKS520" s="1358"/>
      <c r="TKT520" s="1358"/>
      <c r="TKU520" s="1358"/>
      <c r="TKV520" s="1358"/>
      <c r="TKW520" s="1358"/>
      <c r="TKX520" s="1358"/>
      <c r="TKY520" s="1358"/>
      <c r="TKZ520" s="1358"/>
      <c r="TLA520" s="1358"/>
      <c r="TLB520" s="1358"/>
      <c r="TLC520" s="1358"/>
      <c r="TLD520" s="1358"/>
      <c r="TLE520" s="1358"/>
      <c r="TLF520" s="1358"/>
      <c r="TLG520" s="1358"/>
      <c r="TLH520" s="1358"/>
      <c r="TLI520" s="1358"/>
      <c r="TLJ520" s="1358"/>
      <c r="TLK520" s="1358"/>
      <c r="TLL520" s="1358"/>
      <c r="TLM520" s="1358"/>
      <c r="TLN520" s="1358"/>
      <c r="TLO520" s="1358"/>
      <c r="TLP520" s="1358"/>
      <c r="TLQ520" s="1358"/>
      <c r="TLR520" s="1358"/>
      <c r="TLS520" s="1358"/>
      <c r="TLT520" s="1358"/>
      <c r="TLU520" s="1358"/>
      <c r="TLV520" s="1358"/>
      <c r="TLW520" s="1358"/>
      <c r="TLX520" s="1358"/>
      <c r="TLY520" s="1358"/>
      <c r="TLZ520" s="1358"/>
      <c r="TMA520" s="1358"/>
      <c r="TMB520" s="1358"/>
      <c r="TMC520" s="1358"/>
      <c r="TMD520" s="1358"/>
      <c r="TME520" s="1358"/>
      <c r="TMF520" s="1358"/>
      <c r="TMG520" s="1358"/>
      <c r="TMH520" s="1358"/>
      <c r="TMI520" s="1358"/>
      <c r="TMJ520" s="1358"/>
      <c r="TMK520" s="1358"/>
      <c r="TML520" s="1358"/>
      <c r="TMM520" s="1358"/>
      <c r="TMN520" s="1358"/>
      <c r="TMO520" s="1358"/>
      <c r="TMP520" s="1358"/>
      <c r="TMQ520" s="1358"/>
      <c r="TMR520" s="1358"/>
      <c r="TMS520" s="1358"/>
      <c r="TMT520" s="1358"/>
      <c r="TMU520" s="1358"/>
      <c r="TMV520" s="1358"/>
      <c r="TMW520" s="1358"/>
      <c r="TMX520" s="1358"/>
      <c r="TMY520" s="1358"/>
      <c r="TMZ520" s="1358"/>
      <c r="TNA520" s="1358"/>
      <c r="TNB520" s="1358"/>
      <c r="TNC520" s="1358"/>
      <c r="TND520" s="1358"/>
      <c r="TNE520" s="1358"/>
      <c r="TNF520" s="1358"/>
      <c r="TNG520" s="1358"/>
      <c r="TNH520" s="1358"/>
      <c r="TNI520" s="1358"/>
      <c r="TNJ520" s="1358"/>
      <c r="TNK520" s="1358"/>
      <c r="TNL520" s="1358"/>
      <c r="TNM520" s="1358"/>
      <c r="TNN520" s="1358"/>
      <c r="TNO520" s="1358"/>
      <c r="TNP520" s="1358"/>
      <c r="TNQ520" s="1358"/>
      <c r="TNR520" s="1358"/>
      <c r="TNS520" s="1358"/>
      <c r="TNT520" s="1358"/>
      <c r="TNU520" s="1358"/>
      <c r="TNV520" s="1358"/>
      <c r="TNW520" s="1358"/>
      <c r="TNX520" s="1358"/>
      <c r="TNY520" s="1358"/>
      <c r="TNZ520" s="1358"/>
      <c r="TOA520" s="1358"/>
      <c r="TOB520" s="1358"/>
      <c r="TOC520" s="1358"/>
      <c r="TOD520" s="1358"/>
      <c r="TOE520" s="1358"/>
      <c r="TOF520" s="1358"/>
      <c r="TOG520" s="1358"/>
      <c r="TOH520" s="1358"/>
      <c r="TOI520" s="1358"/>
      <c r="TOJ520" s="1358"/>
      <c r="TOK520" s="1358"/>
      <c r="TOL520" s="1358"/>
      <c r="TOM520" s="1358"/>
      <c r="TON520" s="1358"/>
      <c r="TOO520" s="1358"/>
      <c r="TOP520" s="1358"/>
      <c r="TOQ520" s="1358"/>
      <c r="TOR520" s="1358"/>
      <c r="TOS520" s="1358"/>
      <c r="TOT520" s="1358"/>
      <c r="TOU520" s="1358"/>
      <c r="TOV520" s="1358"/>
      <c r="TOW520" s="1358"/>
      <c r="TOX520" s="1358"/>
      <c r="TOY520" s="1358"/>
      <c r="TOZ520" s="1358"/>
      <c r="TPA520" s="1358"/>
      <c r="TPB520" s="1358"/>
      <c r="TPC520" s="1358"/>
      <c r="TPD520" s="1358"/>
      <c r="TPE520" s="1358"/>
      <c r="TPF520" s="1358"/>
      <c r="TPG520" s="1358"/>
      <c r="TPH520" s="1358"/>
      <c r="TPI520" s="1358"/>
      <c r="TPJ520" s="1358"/>
      <c r="TPK520" s="1358"/>
      <c r="TPL520" s="1358"/>
      <c r="TPM520" s="1358"/>
      <c r="TPN520" s="1358"/>
      <c r="TPO520" s="1358"/>
      <c r="TPP520" s="1358"/>
      <c r="TPQ520" s="1358"/>
      <c r="TPR520" s="1358"/>
      <c r="TPS520" s="1358"/>
      <c r="TPT520" s="1358"/>
      <c r="TPU520" s="1358"/>
      <c r="TPV520" s="1358"/>
      <c r="TPW520" s="1358"/>
      <c r="TPX520" s="1358"/>
      <c r="TPY520" s="1358"/>
      <c r="TPZ520" s="1358"/>
      <c r="TQA520" s="1358"/>
      <c r="TQB520" s="1358"/>
      <c r="TQC520" s="1358"/>
      <c r="TQD520" s="1358"/>
      <c r="TQE520" s="1358"/>
      <c r="TQF520" s="1358"/>
      <c r="TQG520" s="1358"/>
      <c r="TQH520" s="1358"/>
      <c r="TQI520" s="1358"/>
      <c r="TQJ520" s="1358"/>
      <c r="TQK520" s="1358"/>
      <c r="TQL520" s="1358"/>
      <c r="TQM520" s="1358"/>
      <c r="TQN520" s="1358"/>
      <c r="TQO520" s="1358"/>
      <c r="TQP520" s="1358"/>
      <c r="TQQ520" s="1358"/>
      <c r="TQR520" s="1358"/>
      <c r="TQS520" s="1358"/>
      <c r="TQT520" s="1358"/>
      <c r="TQU520" s="1358"/>
      <c r="TQV520" s="1358"/>
      <c r="TQW520" s="1358"/>
      <c r="TQX520" s="1358"/>
      <c r="TQY520" s="1358"/>
      <c r="TQZ520" s="1358"/>
      <c r="TRA520" s="1358"/>
      <c r="TRB520" s="1358"/>
      <c r="TRC520" s="1358"/>
      <c r="TRD520" s="1358"/>
      <c r="TRE520" s="1358"/>
      <c r="TRF520" s="1358"/>
      <c r="TRG520" s="1358"/>
      <c r="TRH520" s="1358"/>
      <c r="TRI520" s="1358"/>
      <c r="TRJ520" s="1358"/>
      <c r="TRK520" s="1358"/>
      <c r="TRL520" s="1358"/>
      <c r="TRM520" s="1358"/>
      <c r="TRN520" s="1358"/>
      <c r="TRO520" s="1358"/>
      <c r="TRP520" s="1358"/>
      <c r="TRQ520" s="1358"/>
      <c r="TRR520" s="1358"/>
      <c r="TRS520" s="1358"/>
      <c r="TRT520" s="1358"/>
      <c r="TRU520" s="1358"/>
      <c r="TRV520" s="1358"/>
      <c r="TRW520" s="1358"/>
      <c r="TRX520" s="1358"/>
      <c r="TRY520" s="1358"/>
      <c r="TRZ520" s="1358"/>
      <c r="TSA520" s="1358"/>
      <c r="TSB520" s="1358"/>
      <c r="TSC520" s="1358"/>
      <c r="TSD520" s="1358"/>
      <c r="TSE520" s="1358"/>
      <c r="TSF520" s="1358"/>
      <c r="TSG520" s="1358"/>
      <c r="TSH520" s="1358"/>
      <c r="TSI520" s="1358"/>
      <c r="TSJ520" s="1358"/>
      <c r="TSK520" s="1358"/>
      <c r="TSL520" s="1358"/>
      <c r="TSM520" s="1358"/>
      <c r="TSN520" s="1358"/>
      <c r="TSO520" s="1358"/>
      <c r="TSP520" s="1358"/>
      <c r="TSQ520" s="1358"/>
      <c r="TSR520" s="1358"/>
      <c r="TSS520" s="1358"/>
      <c r="TST520" s="1358"/>
      <c r="TSU520" s="1358"/>
      <c r="TSV520" s="1358"/>
      <c r="TSW520" s="1358"/>
      <c r="TSX520" s="1358"/>
      <c r="TSY520" s="1358"/>
      <c r="TSZ520" s="1358"/>
      <c r="TTA520" s="1358"/>
      <c r="TTB520" s="1358"/>
      <c r="TTC520" s="1358"/>
      <c r="TTD520" s="1358"/>
      <c r="TTE520" s="1358"/>
      <c r="TTF520" s="1358"/>
      <c r="TTG520" s="1358"/>
      <c r="TTH520" s="1358"/>
      <c r="TTI520" s="1358"/>
      <c r="TTJ520" s="1358"/>
      <c r="TTK520" s="1358"/>
      <c r="TTL520" s="1358"/>
      <c r="TTM520" s="1358"/>
      <c r="TTN520" s="1358"/>
      <c r="TTO520" s="1358"/>
      <c r="TTP520" s="1358"/>
      <c r="TTQ520" s="1358"/>
      <c r="TTR520" s="1358"/>
      <c r="TTS520" s="1358"/>
      <c r="TTT520" s="1358"/>
      <c r="TTU520" s="1358"/>
      <c r="TTV520" s="1358"/>
      <c r="TTW520" s="1358"/>
      <c r="TTX520" s="1358"/>
      <c r="TTY520" s="1358"/>
      <c r="TTZ520" s="1358"/>
      <c r="TUA520" s="1358"/>
      <c r="TUB520" s="1358"/>
      <c r="TUC520" s="1358"/>
      <c r="TUD520" s="1358"/>
      <c r="TUE520" s="1358"/>
      <c r="TUF520" s="1358"/>
      <c r="TUG520" s="1358"/>
      <c r="TUH520" s="1358"/>
      <c r="TUI520" s="1358"/>
      <c r="TUJ520" s="1358"/>
      <c r="TUK520" s="1358"/>
      <c r="TUL520" s="1358"/>
      <c r="TUM520" s="1358"/>
      <c r="TUN520" s="1358"/>
      <c r="TUO520" s="1358"/>
      <c r="TUP520" s="1358"/>
      <c r="TUQ520" s="1358"/>
      <c r="TUR520" s="1358"/>
      <c r="TUS520" s="1358"/>
      <c r="TUT520" s="1358"/>
      <c r="TUU520" s="1358"/>
      <c r="TUV520" s="1358"/>
      <c r="TUW520" s="1358"/>
      <c r="TUX520" s="1358"/>
      <c r="TUY520" s="1358"/>
      <c r="TUZ520" s="1358"/>
      <c r="TVA520" s="1358"/>
      <c r="TVB520" s="1358"/>
      <c r="TVC520" s="1358"/>
      <c r="TVD520" s="1358"/>
      <c r="TVE520" s="1358"/>
      <c r="TVF520" s="1358"/>
      <c r="TVG520" s="1358"/>
      <c r="TVH520" s="1358"/>
      <c r="TVI520" s="1358"/>
      <c r="TVJ520" s="1358"/>
      <c r="TVK520" s="1358"/>
      <c r="TVL520" s="1358"/>
      <c r="TVM520" s="1358"/>
      <c r="TVN520" s="1358"/>
      <c r="TVO520" s="1358"/>
      <c r="TVP520" s="1358"/>
      <c r="TVQ520" s="1358"/>
      <c r="TVR520" s="1358"/>
      <c r="TVS520" s="1358"/>
      <c r="TVT520" s="1358"/>
      <c r="TVU520" s="1358"/>
      <c r="TVV520" s="1358"/>
      <c r="TVW520" s="1358"/>
      <c r="TVX520" s="1358"/>
      <c r="TVY520" s="1358"/>
      <c r="TVZ520" s="1358"/>
      <c r="TWA520" s="1358"/>
      <c r="TWB520" s="1358"/>
      <c r="TWC520" s="1358"/>
      <c r="TWD520" s="1358"/>
      <c r="TWE520" s="1358"/>
      <c r="TWF520" s="1358"/>
      <c r="TWG520" s="1358"/>
      <c r="TWH520" s="1358"/>
      <c r="TWI520" s="1358"/>
      <c r="TWJ520" s="1358"/>
      <c r="TWK520" s="1358"/>
      <c r="TWL520" s="1358"/>
      <c r="TWM520" s="1358"/>
      <c r="TWN520" s="1358"/>
      <c r="TWO520" s="1358"/>
      <c r="TWP520" s="1358"/>
      <c r="TWQ520" s="1358"/>
      <c r="TWR520" s="1358"/>
      <c r="TWS520" s="1358"/>
      <c r="TWT520" s="1358"/>
      <c r="TWU520" s="1358"/>
      <c r="TWV520" s="1358"/>
      <c r="TWW520" s="1358"/>
      <c r="TWX520" s="1358"/>
      <c r="TWY520" s="1358"/>
      <c r="TWZ520" s="1358"/>
      <c r="TXA520" s="1358"/>
      <c r="TXB520" s="1358"/>
      <c r="TXC520" s="1358"/>
      <c r="TXD520" s="1358"/>
      <c r="TXE520" s="1358"/>
      <c r="TXF520" s="1358"/>
      <c r="TXG520" s="1358"/>
      <c r="TXH520" s="1358"/>
      <c r="TXI520" s="1358"/>
      <c r="TXJ520" s="1358"/>
      <c r="TXK520" s="1358"/>
      <c r="TXL520" s="1358"/>
      <c r="TXM520" s="1358"/>
      <c r="TXN520" s="1358"/>
      <c r="TXO520" s="1358"/>
      <c r="TXP520" s="1358"/>
      <c r="TXQ520" s="1358"/>
      <c r="TXR520" s="1358"/>
      <c r="TXS520" s="1358"/>
      <c r="TXT520" s="1358"/>
      <c r="TXU520" s="1358"/>
      <c r="TXV520" s="1358"/>
      <c r="TXW520" s="1358"/>
      <c r="TXX520" s="1358"/>
      <c r="TXY520" s="1358"/>
      <c r="TXZ520" s="1358"/>
      <c r="TYA520" s="1358"/>
      <c r="TYB520" s="1358"/>
      <c r="TYC520" s="1358"/>
      <c r="TYD520" s="1358"/>
      <c r="TYE520" s="1358"/>
      <c r="TYF520" s="1358"/>
      <c r="TYG520" s="1358"/>
      <c r="TYH520" s="1358"/>
      <c r="TYI520" s="1358"/>
      <c r="TYJ520" s="1358"/>
      <c r="TYK520" s="1358"/>
      <c r="TYL520" s="1358"/>
      <c r="TYM520" s="1358"/>
      <c r="TYN520" s="1358"/>
      <c r="TYO520" s="1358"/>
      <c r="TYP520" s="1358"/>
      <c r="TYQ520" s="1358"/>
      <c r="TYR520" s="1358"/>
      <c r="TYS520" s="1358"/>
      <c r="TYT520" s="1358"/>
      <c r="TYU520" s="1358"/>
      <c r="TYV520" s="1358"/>
      <c r="TYW520" s="1358"/>
      <c r="TYX520" s="1358"/>
      <c r="TYY520" s="1358"/>
      <c r="TYZ520" s="1358"/>
      <c r="TZA520" s="1358"/>
      <c r="TZB520" s="1358"/>
      <c r="TZC520" s="1358"/>
      <c r="TZD520" s="1358"/>
      <c r="TZE520" s="1358"/>
      <c r="TZF520" s="1358"/>
      <c r="TZG520" s="1358"/>
      <c r="TZH520" s="1358"/>
      <c r="TZI520" s="1358"/>
      <c r="TZJ520" s="1358"/>
      <c r="TZK520" s="1358"/>
      <c r="TZL520" s="1358"/>
      <c r="TZM520" s="1358"/>
      <c r="TZN520" s="1358"/>
      <c r="TZO520" s="1358"/>
      <c r="TZP520" s="1358"/>
      <c r="TZQ520" s="1358"/>
      <c r="TZR520" s="1358"/>
      <c r="TZS520" s="1358"/>
      <c r="TZT520" s="1358"/>
      <c r="TZU520" s="1358"/>
      <c r="TZV520" s="1358"/>
      <c r="TZW520" s="1358"/>
      <c r="TZX520" s="1358"/>
      <c r="TZY520" s="1358"/>
      <c r="TZZ520" s="1358"/>
      <c r="UAA520" s="1358"/>
      <c r="UAB520" s="1358"/>
      <c r="UAC520" s="1358"/>
      <c r="UAD520" s="1358"/>
      <c r="UAE520" s="1358"/>
      <c r="UAF520" s="1358"/>
      <c r="UAG520" s="1358"/>
      <c r="UAH520" s="1358"/>
      <c r="UAI520" s="1358"/>
      <c r="UAJ520" s="1358"/>
      <c r="UAK520" s="1358"/>
      <c r="UAL520" s="1358"/>
      <c r="UAM520" s="1358"/>
      <c r="UAN520" s="1358"/>
      <c r="UAO520" s="1358"/>
      <c r="UAP520" s="1358"/>
      <c r="UAQ520" s="1358"/>
      <c r="UAR520" s="1358"/>
      <c r="UAS520" s="1358"/>
      <c r="UAT520" s="1358"/>
      <c r="UAU520" s="1358"/>
      <c r="UAV520" s="1358"/>
      <c r="UAW520" s="1358"/>
      <c r="UAX520" s="1358"/>
      <c r="UAY520" s="1358"/>
      <c r="UAZ520" s="1358"/>
      <c r="UBA520" s="1358"/>
      <c r="UBB520" s="1358"/>
      <c r="UBC520" s="1358"/>
      <c r="UBD520" s="1358"/>
      <c r="UBE520" s="1358"/>
      <c r="UBF520" s="1358"/>
      <c r="UBG520" s="1358"/>
      <c r="UBH520" s="1358"/>
      <c r="UBI520" s="1358"/>
      <c r="UBJ520" s="1358"/>
      <c r="UBK520" s="1358"/>
      <c r="UBL520" s="1358"/>
      <c r="UBM520" s="1358"/>
      <c r="UBN520" s="1358"/>
      <c r="UBO520" s="1358"/>
      <c r="UBP520" s="1358"/>
      <c r="UBQ520" s="1358"/>
      <c r="UBR520" s="1358"/>
      <c r="UBS520" s="1358"/>
      <c r="UBT520" s="1358"/>
      <c r="UBU520" s="1358"/>
      <c r="UBV520" s="1358"/>
      <c r="UBW520" s="1358"/>
      <c r="UBX520" s="1358"/>
      <c r="UBY520" s="1358"/>
      <c r="UBZ520" s="1358"/>
      <c r="UCA520" s="1358"/>
      <c r="UCB520" s="1358"/>
      <c r="UCC520" s="1358"/>
      <c r="UCD520" s="1358"/>
      <c r="UCE520" s="1358"/>
      <c r="UCF520" s="1358"/>
      <c r="UCG520" s="1358"/>
      <c r="UCH520" s="1358"/>
      <c r="UCI520" s="1358"/>
      <c r="UCJ520" s="1358"/>
      <c r="UCK520" s="1358"/>
      <c r="UCL520" s="1358"/>
      <c r="UCM520" s="1358"/>
      <c r="UCN520" s="1358"/>
      <c r="UCO520" s="1358"/>
      <c r="UCP520" s="1358"/>
      <c r="UCQ520" s="1358"/>
      <c r="UCR520" s="1358"/>
      <c r="UCS520" s="1358"/>
      <c r="UCT520" s="1358"/>
      <c r="UCU520" s="1358"/>
      <c r="UCV520" s="1358"/>
      <c r="UCW520" s="1358"/>
      <c r="UCX520" s="1358"/>
      <c r="UCY520" s="1358"/>
      <c r="UCZ520" s="1358"/>
      <c r="UDA520" s="1358"/>
      <c r="UDB520" s="1358"/>
      <c r="UDC520" s="1358"/>
      <c r="UDD520" s="1358"/>
      <c r="UDE520" s="1358"/>
      <c r="UDF520" s="1358"/>
      <c r="UDG520" s="1358"/>
      <c r="UDH520" s="1358"/>
      <c r="UDI520" s="1358"/>
      <c r="UDJ520" s="1358"/>
      <c r="UDK520" s="1358"/>
      <c r="UDL520" s="1358"/>
      <c r="UDM520" s="1358"/>
      <c r="UDN520" s="1358"/>
      <c r="UDO520" s="1358"/>
      <c r="UDP520" s="1358"/>
      <c r="UDQ520" s="1358"/>
      <c r="UDR520" s="1358"/>
      <c r="UDS520" s="1358"/>
      <c r="UDT520" s="1358"/>
      <c r="UDU520" s="1358"/>
      <c r="UDV520" s="1358"/>
      <c r="UDW520" s="1358"/>
      <c r="UDX520" s="1358"/>
      <c r="UDY520" s="1358"/>
      <c r="UDZ520" s="1358"/>
      <c r="UEA520" s="1358"/>
      <c r="UEB520" s="1358"/>
      <c r="UEC520" s="1358"/>
      <c r="UED520" s="1358"/>
      <c r="UEE520" s="1358"/>
      <c r="UEF520" s="1358"/>
      <c r="UEG520" s="1358"/>
      <c r="UEH520" s="1358"/>
      <c r="UEI520" s="1358"/>
      <c r="UEJ520" s="1358"/>
      <c r="UEK520" s="1358"/>
      <c r="UEL520" s="1358"/>
      <c r="UEM520" s="1358"/>
      <c r="UEN520" s="1358"/>
      <c r="UEO520" s="1358"/>
      <c r="UEP520" s="1358"/>
      <c r="UEQ520" s="1358"/>
      <c r="UER520" s="1358"/>
      <c r="UES520" s="1358"/>
      <c r="UET520" s="1358"/>
      <c r="UEU520" s="1358"/>
      <c r="UEV520" s="1358"/>
      <c r="UEW520" s="1358"/>
      <c r="UEX520" s="1358"/>
      <c r="UEY520" s="1358"/>
      <c r="UEZ520" s="1358"/>
      <c r="UFA520" s="1358"/>
      <c r="UFB520" s="1358"/>
      <c r="UFC520" s="1358"/>
      <c r="UFD520" s="1358"/>
      <c r="UFE520" s="1358"/>
      <c r="UFF520" s="1358"/>
      <c r="UFG520" s="1358"/>
      <c r="UFH520" s="1358"/>
      <c r="UFI520" s="1358"/>
      <c r="UFJ520" s="1358"/>
      <c r="UFK520" s="1358"/>
      <c r="UFL520" s="1358"/>
      <c r="UFM520" s="1358"/>
      <c r="UFN520" s="1358"/>
      <c r="UFO520" s="1358"/>
      <c r="UFP520" s="1358"/>
      <c r="UFQ520" s="1358"/>
      <c r="UFR520" s="1358"/>
      <c r="UFS520" s="1358"/>
      <c r="UFT520" s="1358"/>
      <c r="UFU520" s="1358"/>
      <c r="UFV520" s="1358"/>
      <c r="UFW520" s="1358"/>
      <c r="UFX520" s="1358"/>
      <c r="UFY520" s="1358"/>
      <c r="UFZ520" s="1358"/>
      <c r="UGA520" s="1358"/>
      <c r="UGB520" s="1358"/>
      <c r="UGC520" s="1358"/>
      <c r="UGD520" s="1358"/>
      <c r="UGE520" s="1358"/>
      <c r="UGF520" s="1358"/>
      <c r="UGG520" s="1358"/>
      <c r="UGH520" s="1358"/>
      <c r="UGI520" s="1358"/>
      <c r="UGJ520" s="1358"/>
      <c r="UGK520" s="1358"/>
      <c r="UGL520" s="1358"/>
      <c r="UGM520" s="1358"/>
      <c r="UGN520" s="1358"/>
      <c r="UGO520" s="1358"/>
      <c r="UGP520" s="1358"/>
      <c r="UGQ520" s="1358"/>
      <c r="UGR520" s="1358"/>
      <c r="UGS520" s="1358"/>
      <c r="UGT520" s="1358"/>
      <c r="UGU520" s="1358"/>
      <c r="UGV520" s="1358"/>
      <c r="UGW520" s="1358"/>
      <c r="UGX520" s="1358"/>
      <c r="UGY520" s="1358"/>
      <c r="UGZ520" s="1358"/>
      <c r="UHA520" s="1358"/>
      <c r="UHB520" s="1358"/>
      <c r="UHC520" s="1358"/>
      <c r="UHD520" s="1358"/>
      <c r="UHE520" s="1358"/>
      <c r="UHF520" s="1358"/>
      <c r="UHG520" s="1358"/>
      <c r="UHH520" s="1358"/>
      <c r="UHI520" s="1358"/>
      <c r="UHJ520" s="1358"/>
      <c r="UHK520" s="1358"/>
      <c r="UHL520" s="1358"/>
      <c r="UHM520" s="1358"/>
      <c r="UHN520" s="1358"/>
      <c r="UHO520" s="1358"/>
      <c r="UHP520" s="1358"/>
      <c r="UHQ520" s="1358"/>
      <c r="UHR520" s="1358"/>
      <c r="UHS520" s="1358"/>
      <c r="UHT520" s="1358"/>
      <c r="UHU520" s="1358"/>
      <c r="UHV520" s="1358"/>
      <c r="UHW520" s="1358"/>
      <c r="UHX520" s="1358"/>
      <c r="UHY520" s="1358"/>
      <c r="UHZ520" s="1358"/>
      <c r="UIA520" s="1358"/>
      <c r="UIB520" s="1358"/>
      <c r="UIC520" s="1358"/>
      <c r="UID520" s="1358"/>
      <c r="UIE520" s="1358"/>
      <c r="UIF520" s="1358"/>
      <c r="UIG520" s="1358"/>
      <c r="UIH520" s="1358"/>
      <c r="UII520" s="1358"/>
      <c r="UIJ520" s="1358"/>
      <c r="UIK520" s="1358"/>
      <c r="UIL520" s="1358"/>
      <c r="UIM520" s="1358"/>
      <c r="UIN520" s="1358"/>
      <c r="UIO520" s="1358"/>
      <c r="UIP520" s="1358"/>
      <c r="UIQ520" s="1358"/>
      <c r="UIR520" s="1358"/>
      <c r="UIS520" s="1358"/>
      <c r="UIT520" s="1358"/>
      <c r="UIU520" s="1358"/>
      <c r="UIV520" s="1358"/>
      <c r="UIW520" s="1358"/>
      <c r="UIX520" s="1358"/>
      <c r="UIY520" s="1358"/>
      <c r="UIZ520" s="1358"/>
      <c r="UJA520" s="1358"/>
      <c r="UJB520" s="1358"/>
      <c r="UJC520" s="1358"/>
      <c r="UJD520" s="1358"/>
      <c r="UJE520" s="1358"/>
      <c r="UJF520" s="1358"/>
      <c r="UJG520" s="1358"/>
      <c r="UJH520" s="1358"/>
      <c r="UJI520" s="1358"/>
      <c r="UJJ520" s="1358"/>
      <c r="UJK520" s="1358"/>
      <c r="UJL520" s="1358"/>
      <c r="UJM520" s="1358"/>
      <c r="UJN520" s="1358"/>
      <c r="UJO520" s="1358"/>
      <c r="UJP520" s="1358"/>
      <c r="UJQ520" s="1358"/>
      <c r="UJR520" s="1358"/>
      <c r="UJS520" s="1358"/>
      <c r="UJT520" s="1358"/>
      <c r="UJU520" s="1358"/>
      <c r="UJV520" s="1358"/>
      <c r="UJW520" s="1358"/>
      <c r="UJX520" s="1358"/>
      <c r="UJY520" s="1358"/>
      <c r="UJZ520" s="1358"/>
      <c r="UKA520" s="1358"/>
      <c r="UKB520" s="1358"/>
      <c r="UKC520" s="1358"/>
      <c r="UKD520" s="1358"/>
      <c r="UKE520" s="1358"/>
      <c r="UKF520" s="1358"/>
      <c r="UKG520" s="1358"/>
      <c r="UKH520" s="1358"/>
      <c r="UKI520" s="1358"/>
      <c r="UKJ520" s="1358"/>
      <c r="UKK520" s="1358"/>
      <c r="UKL520" s="1358"/>
      <c r="UKM520" s="1358"/>
      <c r="UKN520" s="1358"/>
      <c r="UKO520" s="1358"/>
      <c r="UKP520" s="1358"/>
      <c r="UKQ520" s="1358"/>
      <c r="UKR520" s="1358"/>
      <c r="UKS520" s="1358"/>
      <c r="UKT520" s="1358"/>
      <c r="UKU520" s="1358"/>
      <c r="UKV520" s="1358"/>
      <c r="UKW520" s="1358"/>
      <c r="UKX520" s="1358"/>
      <c r="UKY520" s="1358"/>
      <c r="UKZ520" s="1358"/>
      <c r="ULA520" s="1358"/>
      <c r="ULB520" s="1358"/>
      <c r="ULC520" s="1358"/>
      <c r="ULD520" s="1358"/>
      <c r="ULE520" s="1358"/>
      <c r="ULF520" s="1358"/>
      <c r="ULG520" s="1358"/>
      <c r="ULH520" s="1358"/>
      <c r="ULI520" s="1358"/>
      <c r="ULJ520" s="1358"/>
      <c r="ULK520" s="1358"/>
      <c r="ULL520" s="1358"/>
      <c r="ULM520" s="1358"/>
      <c r="ULN520" s="1358"/>
      <c r="ULO520" s="1358"/>
      <c r="ULP520" s="1358"/>
      <c r="ULQ520" s="1358"/>
      <c r="ULR520" s="1358"/>
      <c r="ULS520" s="1358"/>
      <c r="ULT520" s="1358"/>
      <c r="ULU520" s="1358"/>
      <c r="ULV520" s="1358"/>
      <c r="ULW520" s="1358"/>
      <c r="ULX520" s="1358"/>
      <c r="ULY520" s="1358"/>
      <c r="ULZ520" s="1358"/>
      <c r="UMA520" s="1358"/>
      <c r="UMB520" s="1358"/>
      <c r="UMC520" s="1358"/>
      <c r="UMD520" s="1358"/>
      <c r="UME520" s="1358"/>
      <c r="UMF520" s="1358"/>
      <c r="UMG520" s="1358"/>
      <c r="UMH520" s="1358"/>
      <c r="UMI520" s="1358"/>
      <c r="UMJ520" s="1358"/>
      <c r="UMK520" s="1358"/>
      <c r="UML520" s="1358"/>
      <c r="UMM520" s="1358"/>
      <c r="UMN520" s="1358"/>
      <c r="UMO520" s="1358"/>
      <c r="UMP520" s="1358"/>
      <c r="UMQ520" s="1358"/>
      <c r="UMR520" s="1358"/>
      <c r="UMS520" s="1358"/>
      <c r="UMT520" s="1358"/>
      <c r="UMU520" s="1358"/>
      <c r="UMV520" s="1358"/>
      <c r="UMW520" s="1358"/>
      <c r="UMX520" s="1358"/>
      <c r="UMY520" s="1358"/>
      <c r="UMZ520" s="1358"/>
      <c r="UNA520" s="1358"/>
      <c r="UNB520" s="1358"/>
      <c r="UNC520" s="1358"/>
      <c r="UND520" s="1358"/>
      <c r="UNE520" s="1358"/>
      <c r="UNF520" s="1358"/>
      <c r="UNG520" s="1358"/>
      <c r="UNH520" s="1358"/>
      <c r="UNI520" s="1358"/>
      <c r="UNJ520" s="1358"/>
      <c r="UNK520" s="1358"/>
      <c r="UNL520" s="1358"/>
      <c r="UNM520" s="1358"/>
      <c r="UNN520" s="1358"/>
      <c r="UNO520" s="1358"/>
      <c r="UNP520" s="1358"/>
      <c r="UNQ520" s="1358"/>
      <c r="UNR520" s="1358"/>
      <c r="UNS520" s="1358"/>
      <c r="UNT520" s="1358"/>
      <c r="UNU520" s="1358"/>
      <c r="UNV520" s="1358"/>
      <c r="UNW520" s="1358"/>
      <c r="UNX520" s="1358"/>
      <c r="UNY520" s="1358"/>
      <c r="UNZ520" s="1358"/>
      <c r="UOA520" s="1358"/>
      <c r="UOB520" s="1358"/>
      <c r="UOC520" s="1358"/>
      <c r="UOD520" s="1358"/>
      <c r="UOE520" s="1358"/>
      <c r="UOF520" s="1358"/>
      <c r="UOG520" s="1358"/>
      <c r="UOH520" s="1358"/>
      <c r="UOI520" s="1358"/>
      <c r="UOJ520" s="1358"/>
      <c r="UOK520" s="1358"/>
      <c r="UOL520" s="1358"/>
      <c r="UOM520" s="1358"/>
      <c r="UON520" s="1358"/>
      <c r="UOO520" s="1358"/>
      <c r="UOP520" s="1358"/>
      <c r="UOQ520" s="1358"/>
      <c r="UOR520" s="1358"/>
      <c r="UOS520" s="1358"/>
      <c r="UOT520" s="1358"/>
      <c r="UOU520" s="1358"/>
      <c r="UOV520" s="1358"/>
      <c r="UOW520" s="1358"/>
      <c r="UOX520" s="1358"/>
      <c r="UOY520" s="1358"/>
      <c r="UOZ520" s="1358"/>
      <c r="UPA520" s="1358"/>
      <c r="UPB520" s="1358"/>
      <c r="UPC520" s="1358"/>
      <c r="UPD520" s="1358"/>
      <c r="UPE520" s="1358"/>
      <c r="UPF520" s="1358"/>
      <c r="UPG520" s="1358"/>
      <c r="UPH520" s="1358"/>
      <c r="UPI520" s="1358"/>
      <c r="UPJ520" s="1358"/>
      <c r="UPK520" s="1358"/>
      <c r="UPL520" s="1358"/>
      <c r="UPM520" s="1358"/>
      <c r="UPN520" s="1358"/>
      <c r="UPO520" s="1358"/>
      <c r="UPP520" s="1358"/>
      <c r="UPQ520" s="1358"/>
      <c r="UPR520" s="1358"/>
      <c r="UPS520" s="1358"/>
      <c r="UPT520" s="1358"/>
      <c r="UPU520" s="1358"/>
      <c r="UPV520" s="1358"/>
      <c r="UPW520" s="1358"/>
      <c r="UPX520" s="1358"/>
      <c r="UPY520" s="1358"/>
      <c r="UPZ520" s="1358"/>
      <c r="UQA520" s="1358"/>
      <c r="UQB520" s="1358"/>
      <c r="UQC520" s="1358"/>
      <c r="UQD520" s="1358"/>
      <c r="UQE520" s="1358"/>
      <c r="UQF520" s="1358"/>
      <c r="UQG520" s="1358"/>
      <c r="UQH520" s="1358"/>
      <c r="UQI520" s="1358"/>
      <c r="UQJ520" s="1358"/>
      <c r="UQK520" s="1358"/>
      <c r="UQL520" s="1358"/>
      <c r="UQM520" s="1358"/>
      <c r="UQN520" s="1358"/>
      <c r="UQO520" s="1358"/>
      <c r="UQP520" s="1358"/>
      <c r="UQQ520" s="1358"/>
      <c r="UQR520" s="1358"/>
      <c r="UQS520" s="1358"/>
      <c r="UQT520" s="1358"/>
      <c r="UQU520" s="1358"/>
      <c r="UQV520" s="1358"/>
      <c r="UQW520" s="1358"/>
      <c r="UQX520" s="1358"/>
      <c r="UQY520" s="1358"/>
      <c r="UQZ520" s="1358"/>
      <c r="URA520" s="1358"/>
      <c r="URB520" s="1358"/>
      <c r="URC520" s="1358"/>
      <c r="URD520" s="1358"/>
      <c r="URE520" s="1358"/>
      <c r="URF520" s="1358"/>
      <c r="URG520" s="1358"/>
      <c r="URH520" s="1358"/>
      <c r="URI520" s="1358"/>
      <c r="URJ520" s="1358"/>
      <c r="URK520" s="1358"/>
      <c r="URL520" s="1358"/>
      <c r="URM520" s="1358"/>
      <c r="URN520" s="1358"/>
      <c r="URO520" s="1358"/>
      <c r="URP520" s="1358"/>
      <c r="URQ520" s="1358"/>
      <c r="URR520" s="1358"/>
      <c r="URS520" s="1358"/>
      <c r="URT520" s="1358"/>
      <c r="URU520" s="1358"/>
      <c r="URV520" s="1358"/>
      <c r="URW520" s="1358"/>
      <c r="URX520" s="1358"/>
      <c r="URY520" s="1358"/>
      <c r="URZ520" s="1358"/>
      <c r="USA520" s="1358"/>
      <c r="USB520" s="1358"/>
      <c r="USC520" s="1358"/>
      <c r="USD520" s="1358"/>
      <c r="USE520" s="1358"/>
      <c r="USF520" s="1358"/>
      <c r="USG520" s="1358"/>
      <c r="USH520" s="1358"/>
      <c r="USI520" s="1358"/>
      <c r="USJ520" s="1358"/>
      <c r="USK520" s="1358"/>
      <c r="USL520" s="1358"/>
      <c r="USM520" s="1358"/>
      <c r="USN520" s="1358"/>
      <c r="USO520" s="1358"/>
      <c r="USP520" s="1358"/>
      <c r="USQ520" s="1358"/>
      <c r="USR520" s="1358"/>
      <c r="USS520" s="1358"/>
      <c r="UST520" s="1358"/>
      <c r="USU520" s="1358"/>
      <c r="USV520" s="1358"/>
      <c r="USW520" s="1358"/>
      <c r="USX520" s="1358"/>
      <c r="USY520" s="1358"/>
      <c r="USZ520" s="1358"/>
      <c r="UTA520" s="1358"/>
      <c r="UTB520" s="1358"/>
      <c r="UTC520" s="1358"/>
      <c r="UTD520" s="1358"/>
      <c r="UTE520" s="1358"/>
      <c r="UTF520" s="1358"/>
      <c r="UTG520" s="1358"/>
      <c r="UTH520" s="1358"/>
      <c r="UTI520" s="1358"/>
      <c r="UTJ520" s="1358"/>
      <c r="UTK520" s="1358"/>
      <c r="UTL520" s="1358"/>
      <c r="UTM520" s="1358"/>
      <c r="UTN520" s="1358"/>
      <c r="UTO520" s="1358"/>
      <c r="UTP520" s="1358"/>
      <c r="UTQ520" s="1358"/>
      <c r="UTR520" s="1358"/>
      <c r="UTS520" s="1358"/>
      <c r="UTT520" s="1358"/>
      <c r="UTU520" s="1358"/>
      <c r="UTV520" s="1358"/>
      <c r="UTW520" s="1358"/>
      <c r="UTX520" s="1358"/>
      <c r="UTY520" s="1358"/>
      <c r="UTZ520" s="1358"/>
      <c r="UUA520" s="1358"/>
      <c r="UUB520" s="1358"/>
      <c r="UUC520" s="1358"/>
      <c r="UUD520" s="1358"/>
      <c r="UUE520" s="1358"/>
      <c r="UUF520" s="1358"/>
      <c r="UUG520" s="1358"/>
      <c r="UUH520" s="1358"/>
      <c r="UUI520" s="1358"/>
      <c r="UUJ520" s="1358"/>
      <c r="UUK520" s="1358"/>
      <c r="UUL520" s="1358"/>
      <c r="UUM520" s="1358"/>
      <c r="UUN520" s="1358"/>
      <c r="UUO520" s="1358"/>
      <c r="UUP520" s="1358"/>
      <c r="UUQ520" s="1358"/>
      <c r="UUR520" s="1358"/>
      <c r="UUS520" s="1358"/>
      <c r="UUT520" s="1358"/>
      <c r="UUU520" s="1358"/>
      <c r="UUV520" s="1358"/>
      <c r="UUW520" s="1358"/>
      <c r="UUX520" s="1358"/>
      <c r="UUY520" s="1358"/>
      <c r="UUZ520" s="1358"/>
      <c r="UVA520" s="1358"/>
      <c r="UVB520" s="1358"/>
      <c r="UVC520" s="1358"/>
      <c r="UVD520" s="1358"/>
      <c r="UVE520" s="1358"/>
      <c r="UVF520" s="1358"/>
      <c r="UVG520" s="1358"/>
      <c r="UVH520" s="1358"/>
      <c r="UVI520" s="1358"/>
      <c r="UVJ520" s="1358"/>
      <c r="UVK520" s="1358"/>
      <c r="UVL520" s="1358"/>
      <c r="UVM520" s="1358"/>
      <c r="UVN520" s="1358"/>
      <c r="UVO520" s="1358"/>
      <c r="UVP520" s="1358"/>
      <c r="UVQ520" s="1358"/>
      <c r="UVR520" s="1358"/>
      <c r="UVS520" s="1358"/>
      <c r="UVT520" s="1358"/>
      <c r="UVU520" s="1358"/>
      <c r="UVV520" s="1358"/>
      <c r="UVW520" s="1358"/>
      <c r="UVX520" s="1358"/>
      <c r="UVY520" s="1358"/>
      <c r="UVZ520" s="1358"/>
      <c r="UWA520" s="1358"/>
      <c r="UWB520" s="1358"/>
      <c r="UWC520" s="1358"/>
      <c r="UWD520" s="1358"/>
      <c r="UWE520" s="1358"/>
      <c r="UWF520" s="1358"/>
      <c r="UWG520" s="1358"/>
      <c r="UWH520" s="1358"/>
      <c r="UWI520" s="1358"/>
      <c r="UWJ520" s="1358"/>
      <c r="UWK520" s="1358"/>
      <c r="UWL520" s="1358"/>
      <c r="UWM520" s="1358"/>
      <c r="UWN520" s="1358"/>
      <c r="UWO520" s="1358"/>
      <c r="UWP520" s="1358"/>
      <c r="UWQ520" s="1358"/>
      <c r="UWR520" s="1358"/>
      <c r="UWS520" s="1358"/>
      <c r="UWT520" s="1358"/>
      <c r="UWU520" s="1358"/>
      <c r="UWV520" s="1358"/>
      <c r="UWW520" s="1358"/>
      <c r="UWX520" s="1358"/>
      <c r="UWY520" s="1358"/>
      <c r="UWZ520" s="1358"/>
      <c r="UXA520" s="1358"/>
      <c r="UXB520" s="1358"/>
      <c r="UXC520" s="1358"/>
      <c r="UXD520" s="1358"/>
      <c r="UXE520" s="1358"/>
      <c r="UXF520" s="1358"/>
      <c r="UXG520" s="1358"/>
      <c r="UXH520" s="1358"/>
      <c r="UXI520" s="1358"/>
      <c r="UXJ520" s="1358"/>
      <c r="UXK520" s="1358"/>
      <c r="UXL520" s="1358"/>
      <c r="UXM520" s="1358"/>
      <c r="UXN520" s="1358"/>
      <c r="UXO520" s="1358"/>
      <c r="UXP520" s="1358"/>
      <c r="UXQ520" s="1358"/>
      <c r="UXR520" s="1358"/>
      <c r="UXS520" s="1358"/>
      <c r="UXT520" s="1358"/>
      <c r="UXU520" s="1358"/>
      <c r="UXV520" s="1358"/>
      <c r="UXW520" s="1358"/>
      <c r="UXX520" s="1358"/>
      <c r="UXY520" s="1358"/>
      <c r="UXZ520" s="1358"/>
      <c r="UYA520" s="1358"/>
      <c r="UYB520" s="1358"/>
      <c r="UYC520" s="1358"/>
      <c r="UYD520" s="1358"/>
      <c r="UYE520" s="1358"/>
      <c r="UYF520" s="1358"/>
      <c r="UYG520" s="1358"/>
      <c r="UYH520" s="1358"/>
      <c r="UYI520" s="1358"/>
      <c r="UYJ520" s="1358"/>
      <c r="UYK520" s="1358"/>
      <c r="UYL520" s="1358"/>
      <c r="UYM520" s="1358"/>
      <c r="UYN520" s="1358"/>
      <c r="UYO520" s="1358"/>
      <c r="UYP520" s="1358"/>
      <c r="UYQ520" s="1358"/>
      <c r="UYR520" s="1358"/>
      <c r="UYS520" s="1358"/>
      <c r="UYT520" s="1358"/>
      <c r="UYU520" s="1358"/>
      <c r="UYV520" s="1358"/>
      <c r="UYW520" s="1358"/>
      <c r="UYX520" s="1358"/>
      <c r="UYY520" s="1358"/>
      <c r="UYZ520" s="1358"/>
      <c r="UZA520" s="1358"/>
      <c r="UZB520" s="1358"/>
      <c r="UZC520" s="1358"/>
      <c r="UZD520" s="1358"/>
      <c r="UZE520" s="1358"/>
      <c r="UZF520" s="1358"/>
      <c r="UZG520" s="1358"/>
      <c r="UZH520" s="1358"/>
      <c r="UZI520" s="1358"/>
      <c r="UZJ520" s="1358"/>
      <c r="UZK520" s="1358"/>
      <c r="UZL520" s="1358"/>
      <c r="UZM520" s="1358"/>
      <c r="UZN520" s="1358"/>
      <c r="UZO520" s="1358"/>
      <c r="UZP520" s="1358"/>
      <c r="UZQ520" s="1358"/>
      <c r="UZR520" s="1358"/>
      <c r="UZS520" s="1358"/>
      <c r="UZT520" s="1358"/>
      <c r="UZU520" s="1358"/>
      <c r="UZV520" s="1358"/>
      <c r="UZW520" s="1358"/>
      <c r="UZX520" s="1358"/>
      <c r="UZY520" s="1358"/>
      <c r="UZZ520" s="1358"/>
      <c r="VAA520" s="1358"/>
      <c r="VAB520" s="1358"/>
      <c r="VAC520" s="1358"/>
      <c r="VAD520" s="1358"/>
      <c r="VAE520" s="1358"/>
      <c r="VAF520" s="1358"/>
      <c r="VAG520" s="1358"/>
      <c r="VAH520" s="1358"/>
      <c r="VAI520" s="1358"/>
      <c r="VAJ520" s="1358"/>
      <c r="VAK520" s="1358"/>
      <c r="VAL520" s="1358"/>
      <c r="VAM520" s="1358"/>
      <c r="VAN520" s="1358"/>
      <c r="VAO520" s="1358"/>
      <c r="VAP520" s="1358"/>
      <c r="VAQ520" s="1358"/>
      <c r="VAR520" s="1358"/>
      <c r="VAS520" s="1358"/>
      <c r="VAT520" s="1358"/>
      <c r="VAU520" s="1358"/>
      <c r="VAV520" s="1358"/>
      <c r="VAW520" s="1358"/>
      <c r="VAX520" s="1358"/>
      <c r="VAY520" s="1358"/>
      <c r="VAZ520" s="1358"/>
      <c r="VBA520" s="1358"/>
      <c r="VBB520" s="1358"/>
      <c r="VBC520" s="1358"/>
      <c r="VBD520" s="1358"/>
      <c r="VBE520" s="1358"/>
      <c r="VBF520" s="1358"/>
      <c r="VBG520" s="1358"/>
      <c r="VBH520" s="1358"/>
      <c r="VBI520" s="1358"/>
      <c r="VBJ520" s="1358"/>
      <c r="VBK520" s="1358"/>
      <c r="VBL520" s="1358"/>
      <c r="VBM520" s="1358"/>
      <c r="VBN520" s="1358"/>
      <c r="VBO520" s="1358"/>
      <c r="VBP520" s="1358"/>
      <c r="VBQ520" s="1358"/>
      <c r="VBR520" s="1358"/>
      <c r="VBS520" s="1358"/>
      <c r="VBT520" s="1358"/>
      <c r="VBU520" s="1358"/>
      <c r="VBV520" s="1358"/>
      <c r="VBW520" s="1358"/>
      <c r="VBX520" s="1358"/>
      <c r="VBY520" s="1358"/>
      <c r="VBZ520" s="1358"/>
      <c r="VCA520" s="1358"/>
      <c r="VCB520" s="1358"/>
      <c r="VCC520" s="1358"/>
      <c r="VCD520" s="1358"/>
      <c r="VCE520" s="1358"/>
      <c r="VCF520" s="1358"/>
      <c r="VCG520" s="1358"/>
      <c r="VCH520" s="1358"/>
      <c r="VCI520" s="1358"/>
      <c r="VCJ520" s="1358"/>
      <c r="VCK520" s="1358"/>
      <c r="VCL520" s="1358"/>
      <c r="VCM520" s="1358"/>
      <c r="VCN520" s="1358"/>
      <c r="VCO520" s="1358"/>
      <c r="VCP520" s="1358"/>
      <c r="VCQ520" s="1358"/>
      <c r="VCR520" s="1358"/>
      <c r="VCS520" s="1358"/>
      <c r="VCT520" s="1358"/>
      <c r="VCU520" s="1358"/>
      <c r="VCV520" s="1358"/>
      <c r="VCW520" s="1358"/>
      <c r="VCX520" s="1358"/>
      <c r="VCY520" s="1358"/>
      <c r="VCZ520" s="1358"/>
      <c r="VDA520" s="1358"/>
      <c r="VDB520" s="1358"/>
      <c r="VDC520" s="1358"/>
      <c r="VDD520" s="1358"/>
      <c r="VDE520" s="1358"/>
      <c r="VDF520" s="1358"/>
      <c r="VDG520" s="1358"/>
      <c r="VDH520" s="1358"/>
      <c r="VDI520" s="1358"/>
      <c r="VDJ520" s="1358"/>
      <c r="VDK520" s="1358"/>
      <c r="VDL520" s="1358"/>
      <c r="VDM520" s="1358"/>
      <c r="VDN520" s="1358"/>
      <c r="VDO520" s="1358"/>
      <c r="VDP520" s="1358"/>
      <c r="VDQ520" s="1358"/>
      <c r="VDR520" s="1358"/>
      <c r="VDS520" s="1358"/>
      <c r="VDT520" s="1358"/>
      <c r="VDU520" s="1358"/>
      <c r="VDV520" s="1358"/>
      <c r="VDW520" s="1358"/>
      <c r="VDX520" s="1358"/>
      <c r="VDY520" s="1358"/>
      <c r="VDZ520" s="1358"/>
      <c r="VEA520" s="1358"/>
      <c r="VEB520" s="1358"/>
      <c r="VEC520" s="1358"/>
      <c r="VED520" s="1358"/>
      <c r="VEE520" s="1358"/>
      <c r="VEF520" s="1358"/>
      <c r="VEG520" s="1358"/>
      <c r="VEH520" s="1358"/>
      <c r="VEI520" s="1358"/>
      <c r="VEJ520" s="1358"/>
      <c r="VEK520" s="1358"/>
      <c r="VEL520" s="1358"/>
      <c r="VEM520" s="1358"/>
      <c r="VEN520" s="1358"/>
      <c r="VEO520" s="1358"/>
      <c r="VEP520" s="1358"/>
      <c r="VEQ520" s="1358"/>
      <c r="VER520" s="1358"/>
      <c r="VES520" s="1358"/>
      <c r="VET520" s="1358"/>
      <c r="VEU520" s="1358"/>
      <c r="VEV520" s="1358"/>
      <c r="VEW520" s="1358"/>
      <c r="VEX520" s="1358"/>
      <c r="VEY520" s="1358"/>
      <c r="VEZ520" s="1358"/>
      <c r="VFA520" s="1358"/>
      <c r="VFB520" s="1358"/>
      <c r="VFC520" s="1358"/>
      <c r="VFD520" s="1358"/>
      <c r="VFE520" s="1358"/>
      <c r="VFF520" s="1358"/>
      <c r="VFG520" s="1358"/>
      <c r="VFH520" s="1358"/>
      <c r="VFI520" s="1358"/>
      <c r="VFJ520" s="1358"/>
      <c r="VFK520" s="1358"/>
      <c r="VFL520" s="1358"/>
      <c r="VFM520" s="1358"/>
      <c r="VFN520" s="1358"/>
      <c r="VFO520" s="1358"/>
      <c r="VFP520" s="1358"/>
      <c r="VFQ520" s="1358"/>
      <c r="VFR520" s="1358"/>
      <c r="VFS520" s="1358"/>
      <c r="VFT520" s="1358"/>
      <c r="VFU520" s="1358"/>
      <c r="VFV520" s="1358"/>
      <c r="VFW520" s="1358"/>
      <c r="VFX520" s="1358"/>
      <c r="VFY520" s="1358"/>
      <c r="VFZ520" s="1358"/>
      <c r="VGA520" s="1358"/>
      <c r="VGB520" s="1358"/>
      <c r="VGC520" s="1358"/>
      <c r="VGD520" s="1358"/>
      <c r="VGE520" s="1358"/>
      <c r="VGF520" s="1358"/>
      <c r="VGG520" s="1358"/>
      <c r="VGH520" s="1358"/>
      <c r="VGI520" s="1358"/>
      <c r="VGJ520" s="1358"/>
      <c r="VGK520" s="1358"/>
      <c r="VGL520" s="1358"/>
      <c r="VGM520" s="1358"/>
      <c r="VGN520" s="1358"/>
      <c r="VGO520" s="1358"/>
      <c r="VGP520" s="1358"/>
      <c r="VGQ520" s="1358"/>
      <c r="VGR520" s="1358"/>
      <c r="VGS520" s="1358"/>
      <c r="VGT520" s="1358"/>
      <c r="VGU520" s="1358"/>
      <c r="VGV520" s="1358"/>
      <c r="VGW520" s="1358"/>
      <c r="VGX520" s="1358"/>
      <c r="VGY520" s="1358"/>
      <c r="VGZ520" s="1358"/>
      <c r="VHA520" s="1358"/>
      <c r="VHB520" s="1358"/>
      <c r="VHC520" s="1358"/>
      <c r="VHD520" s="1358"/>
      <c r="VHE520" s="1358"/>
      <c r="VHF520" s="1358"/>
      <c r="VHG520" s="1358"/>
      <c r="VHH520" s="1358"/>
      <c r="VHI520" s="1358"/>
      <c r="VHJ520" s="1358"/>
      <c r="VHK520" s="1358"/>
      <c r="VHL520" s="1358"/>
      <c r="VHM520" s="1358"/>
      <c r="VHN520" s="1358"/>
      <c r="VHO520" s="1358"/>
      <c r="VHP520" s="1358"/>
      <c r="VHQ520" s="1358"/>
      <c r="VHR520" s="1358"/>
      <c r="VHS520" s="1358"/>
      <c r="VHT520" s="1358"/>
      <c r="VHU520" s="1358"/>
      <c r="VHV520" s="1358"/>
      <c r="VHW520" s="1358"/>
      <c r="VHX520" s="1358"/>
      <c r="VHY520" s="1358"/>
      <c r="VHZ520" s="1358"/>
      <c r="VIA520" s="1358"/>
      <c r="VIB520" s="1358"/>
      <c r="VIC520" s="1358"/>
      <c r="VID520" s="1358"/>
      <c r="VIE520" s="1358"/>
      <c r="VIF520" s="1358"/>
      <c r="VIG520" s="1358"/>
      <c r="VIH520" s="1358"/>
      <c r="VII520" s="1358"/>
      <c r="VIJ520" s="1358"/>
      <c r="VIK520" s="1358"/>
      <c r="VIL520" s="1358"/>
      <c r="VIM520" s="1358"/>
      <c r="VIN520" s="1358"/>
      <c r="VIO520" s="1358"/>
      <c r="VIP520" s="1358"/>
      <c r="VIQ520" s="1358"/>
      <c r="VIR520" s="1358"/>
      <c r="VIS520" s="1358"/>
      <c r="VIT520" s="1358"/>
      <c r="VIU520" s="1358"/>
      <c r="VIV520" s="1358"/>
      <c r="VIW520" s="1358"/>
      <c r="VIX520" s="1358"/>
      <c r="VIY520" s="1358"/>
      <c r="VIZ520" s="1358"/>
      <c r="VJA520" s="1358"/>
      <c r="VJB520" s="1358"/>
      <c r="VJC520" s="1358"/>
      <c r="VJD520" s="1358"/>
      <c r="VJE520" s="1358"/>
      <c r="VJF520" s="1358"/>
      <c r="VJG520" s="1358"/>
      <c r="VJH520" s="1358"/>
      <c r="VJI520" s="1358"/>
      <c r="VJJ520" s="1358"/>
      <c r="VJK520" s="1358"/>
      <c r="VJL520" s="1358"/>
      <c r="VJM520" s="1358"/>
      <c r="VJN520" s="1358"/>
      <c r="VJO520" s="1358"/>
      <c r="VJP520" s="1358"/>
      <c r="VJQ520" s="1358"/>
      <c r="VJR520" s="1358"/>
      <c r="VJS520" s="1358"/>
      <c r="VJT520" s="1358"/>
      <c r="VJU520" s="1358"/>
      <c r="VJV520" s="1358"/>
      <c r="VJW520" s="1358"/>
      <c r="VJX520" s="1358"/>
      <c r="VJY520" s="1358"/>
      <c r="VJZ520" s="1358"/>
      <c r="VKA520" s="1358"/>
      <c r="VKB520" s="1358"/>
      <c r="VKC520" s="1358"/>
      <c r="VKD520" s="1358"/>
      <c r="VKE520" s="1358"/>
      <c r="VKF520" s="1358"/>
      <c r="VKG520" s="1358"/>
      <c r="VKH520" s="1358"/>
      <c r="VKI520" s="1358"/>
      <c r="VKJ520" s="1358"/>
      <c r="VKK520" s="1358"/>
      <c r="VKL520" s="1358"/>
      <c r="VKM520" s="1358"/>
      <c r="VKN520" s="1358"/>
      <c r="VKO520" s="1358"/>
      <c r="VKP520" s="1358"/>
      <c r="VKQ520" s="1358"/>
      <c r="VKR520" s="1358"/>
      <c r="VKS520" s="1358"/>
      <c r="VKT520" s="1358"/>
      <c r="VKU520" s="1358"/>
      <c r="VKV520" s="1358"/>
      <c r="VKW520" s="1358"/>
      <c r="VKX520" s="1358"/>
      <c r="VKY520" s="1358"/>
      <c r="VKZ520" s="1358"/>
      <c r="VLA520" s="1358"/>
      <c r="VLB520" s="1358"/>
      <c r="VLC520" s="1358"/>
      <c r="VLD520" s="1358"/>
      <c r="VLE520" s="1358"/>
      <c r="VLF520" s="1358"/>
      <c r="VLG520" s="1358"/>
      <c r="VLH520" s="1358"/>
      <c r="VLI520" s="1358"/>
      <c r="VLJ520" s="1358"/>
      <c r="VLK520" s="1358"/>
      <c r="VLL520" s="1358"/>
      <c r="VLM520" s="1358"/>
      <c r="VLN520" s="1358"/>
      <c r="VLO520" s="1358"/>
      <c r="VLP520" s="1358"/>
      <c r="VLQ520" s="1358"/>
      <c r="VLR520" s="1358"/>
      <c r="VLS520" s="1358"/>
      <c r="VLT520" s="1358"/>
      <c r="VLU520" s="1358"/>
      <c r="VLV520" s="1358"/>
      <c r="VLW520" s="1358"/>
      <c r="VLX520" s="1358"/>
      <c r="VLY520" s="1358"/>
      <c r="VLZ520" s="1358"/>
      <c r="VMA520" s="1358"/>
      <c r="VMB520" s="1358"/>
      <c r="VMC520" s="1358"/>
      <c r="VMD520" s="1358"/>
      <c r="VME520" s="1358"/>
      <c r="VMF520" s="1358"/>
      <c r="VMG520" s="1358"/>
      <c r="VMH520" s="1358"/>
      <c r="VMI520" s="1358"/>
      <c r="VMJ520" s="1358"/>
      <c r="VMK520" s="1358"/>
      <c r="VML520" s="1358"/>
      <c r="VMM520" s="1358"/>
      <c r="VMN520" s="1358"/>
      <c r="VMO520" s="1358"/>
      <c r="VMP520" s="1358"/>
      <c r="VMQ520" s="1358"/>
      <c r="VMR520" s="1358"/>
      <c r="VMS520" s="1358"/>
      <c r="VMT520" s="1358"/>
      <c r="VMU520" s="1358"/>
      <c r="VMV520" s="1358"/>
      <c r="VMW520" s="1358"/>
      <c r="VMX520" s="1358"/>
      <c r="VMY520" s="1358"/>
      <c r="VMZ520" s="1358"/>
      <c r="VNA520" s="1358"/>
      <c r="VNB520" s="1358"/>
      <c r="VNC520" s="1358"/>
      <c r="VND520" s="1358"/>
      <c r="VNE520" s="1358"/>
      <c r="VNF520" s="1358"/>
      <c r="VNG520" s="1358"/>
      <c r="VNH520" s="1358"/>
      <c r="VNI520" s="1358"/>
      <c r="VNJ520" s="1358"/>
      <c r="VNK520" s="1358"/>
      <c r="VNL520" s="1358"/>
      <c r="VNM520" s="1358"/>
      <c r="VNN520" s="1358"/>
      <c r="VNO520" s="1358"/>
      <c r="VNP520" s="1358"/>
      <c r="VNQ520" s="1358"/>
      <c r="VNR520" s="1358"/>
      <c r="VNS520" s="1358"/>
      <c r="VNT520" s="1358"/>
      <c r="VNU520" s="1358"/>
      <c r="VNV520" s="1358"/>
      <c r="VNW520" s="1358"/>
      <c r="VNX520" s="1358"/>
      <c r="VNY520" s="1358"/>
      <c r="VNZ520" s="1358"/>
      <c r="VOA520" s="1358"/>
      <c r="VOB520" s="1358"/>
      <c r="VOC520" s="1358"/>
      <c r="VOD520" s="1358"/>
      <c r="VOE520" s="1358"/>
      <c r="VOF520" s="1358"/>
      <c r="VOG520" s="1358"/>
      <c r="VOH520" s="1358"/>
      <c r="VOI520" s="1358"/>
      <c r="VOJ520" s="1358"/>
      <c r="VOK520" s="1358"/>
      <c r="VOL520" s="1358"/>
      <c r="VOM520" s="1358"/>
      <c r="VON520" s="1358"/>
      <c r="VOO520" s="1358"/>
      <c r="VOP520" s="1358"/>
      <c r="VOQ520" s="1358"/>
      <c r="VOR520" s="1358"/>
      <c r="VOS520" s="1358"/>
      <c r="VOT520" s="1358"/>
      <c r="VOU520" s="1358"/>
      <c r="VOV520" s="1358"/>
      <c r="VOW520" s="1358"/>
      <c r="VOX520" s="1358"/>
      <c r="VOY520" s="1358"/>
      <c r="VOZ520" s="1358"/>
      <c r="VPA520" s="1358"/>
      <c r="VPB520" s="1358"/>
      <c r="VPC520" s="1358"/>
      <c r="VPD520" s="1358"/>
      <c r="VPE520" s="1358"/>
      <c r="VPF520" s="1358"/>
      <c r="VPG520" s="1358"/>
      <c r="VPH520" s="1358"/>
      <c r="VPI520" s="1358"/>
      <c r="VPJ520" s="1358"/>
      <c r="VPK520" s="1358"/>
      <c r="VPL520" s="1358"/>
      <c r="VPM520" s="1358"/>
      <c r="VPN520" s="1358"/>
      <c r="VPO520" s="1358"/>
      <c r="VPP520" s="1358"/>
      <c r="VPQ520" s="1358"/>
      <c r="VPR520" s="1358"/>
      <c r="VPS520" s="1358"/>
      <c r="VPT520" s="1358"/>
      <c r="VPU520" s="1358"/>
      <c r="VPV520" s="1358"/>
      <c r="VPW520" s="1358"/>
      <c r="VPX520" s="1358"/>
      <c r="VPY520" s="1358"/>
      <c r="VPZ520" s="1358"/>
      <c r="VQA520" s="1358"/>
      <c r="VQB520" s="1358"/>
      <c r="VQC520" s="1358"/>
      <c r="VQD520" s="1358"/>
      <c r="VQE520" s="1358"/>
      <c r="VQF520" s="1358"/>
      <c r="VQG520" s="1358"/>
      <c r="VQH520" s="1358"/>
      <c r="VQI520" s="1358"/>
      <c r="VQJ520" s="1358"/>
      <c r="VQK520" s="1358"/>
      <c r="VQL520" s="1358"/>
      <c r="VQM520" s="1358"/>
      <c r="VQN520" s="1358"/>
      <c r="VQO520" s="1358"/>
      <c r="VQP520" s="1358"/>
      <c r="VQQ520" s="1358"/>
      <c r="VQR520" s="1358"/>
      <c r="VQS520" s="1358"/>
      <c r="VQT520" s="1358"/>
      <c r="VQU520" s="1358"/>
      <c r="VQV520" s="1358"/>
      <c r="VQW520" s="1358"/>
      <c r="VQX520" s="1358"/>
      <c r="VQY520" s="1358"/>
      <c r="VQZ520" s="1358"/>
      <c r="VRA520" s="1358"/>
      <c r="VRB520" s="1358"/>
      <c r="VRC520" s="1358"/>
      <c r="VRD520" s="1358"/>
      <c r="VRE520" s="1358"/>
      <c r="VRF520" s="1358"/>
      <c r="VRG520" s="1358"/>
      <c r="VRH520" s="1358"/>
      <c r="VRI520" s="1358"/>
      <c r="VRJ520" s="1358"/>
      <c r="VRK520" s="1358"/>
      <c r="VRL520" s="1358"/>
      <c r="VRM520" s="1358"/>
      <c r="VRN520" s="1358"/>
      <c r="VRO520" s="1358"/>
      <c r="VRP520" s="1358"/>
      <c r="VRQ520" s="1358"/>
      <c r="VRR520" s="1358"/>
      <c r="VRS520" s="1358"/>
      <c r="VRT520" s="1358"/>
      <c r="VRU520" s="1358"/>
      <c r="VRV520" s="1358"/>
      <c r="VRW520" s="1358"/>
      <c r="VRX520" s="1358"/>
      <c r="VRY520" s="1358"/>
      <c r="VRZ520" s="1358"/>
      <c r="VSA520" s="1358"/>
      <c r="VSB520" s="1358"/>
      <c r="VSC520" s="1358"/>
      <c r="VSD520" s="1358"/>
      <c r="VSE520" s="1358"/>
      <c r="VSF520" s="1358"/>
      <c r="VSG520" s="1358"/>
      <c r="VSH520" s="1358"/>
      <c r="VSI520" s="1358"/>
      <c r="VSJ520" s="1358"/>
      <c r="VSK520" s="1358"/>
      <c r="VSL520" s="1358"/>
      <c r="VSM520" s="1358"/>
      <c r="VSN520" s="1358"/>
      <c r="VSO520" s="1358"/>
      <c r="VSP520" s="1358"/>
      <c r="VSQ520" s="1358"/>
      <c r="VSR520" s="1358"/>
      <c r="VSS520" s="1358"/>
      <c r="VST520" s="1358"/>
      <c r="VSU520" s="1358"/>
      <c r="VSV520" s="1358"/>
      <c r="VSW520" s="1358"/>
      <c r="VSX520" s="1358"/>
      <c r="VSY520" s="1358"/>
      <c r="VSZ520" s="1358"/>
      <c r="VTA520" s="1358"/>
      <c r="VTB520" s="1358"/>
      <c r="VTC520" s="1358"/>
      <c r="VTD520" s="1358"/>
      <c r="VTE520" s="1358"/>
      <c r="VTF520" s="1358"/>
      <c r="VTG520" s="1358"/>
      <c r="VTH520" s="1358"/>
      <c r="VTI520" s="1358"/>
      <c r="VTJ520" s="1358"/>
      <c r="VTK520" s="1358"/>
      <c r="VTL520" s="1358"/>
      <c r="VTM520" s="1358"/>
      <c r="VTN520" s="1358"/>
      <c r="VTO520" s="1358"/>
      <c r="VTP520" s="1358"/>
      <c r="VTQ520" s="1358"/>
      <c r="VTR520" s="1358"/>
      <c r="VTS520" s="1358"/>
      <c r="VTT520" s="1358"/>
      <c r="VTU520" s="1358"/>
      <c r="VTV520" s="1358"/>
      <c r="VTW520" s="1358"/>
      <c r="VTX520" s="1358"/>
      <c r="VTY520" s="1358"/>
      <c r="VTZ520" s="1358"/>
      <c r="VUA520" s="1358"/>
      <c r="VUB520" s="1358"/>
      <c r="VUC520" s="1358"/>
      <c r="VUD520" s="1358"/>
      <c r="VUE520" s="1358"/>
      <c r="VUF520" s="1358"/>
      <c r="VUG520" s="1358"/>
      <c r="VUH520" s="1358"/>
      <c r="VUI520" s="1358"/>
      <c r="VUJ520" s="1358"/>
      <c r="VUK520" s="1358"/>
      <c r="VUL520" s="1358"/>
      <c r="VUM520" s="1358"/>
      <c r="VUN520" s="1358"/>
      <c r="VUO520" s="1358"/>
      <c r="VUP520" s="1358"/>
      <c r="VUQ520" s="1358"/>
      <c r="VUR520" s="1358"/>
      <c r="VUS520" s="1358"/>
      <c r="VUT520" s="1358"/>
      <c r="VUU520" s="1358"/>
      <c r="VUV520" s="1358"/>
      <c r="VUW520" s="1358"/>
      <c r="VUX520" s="1358"/>
      <c r="VUY520" s="1358"/>
      <c r="VUZ520" s="1358"/>
      <c r="VVA520" s="1358"/>
      <c r="VVB520" s="1358"/>
      <c r="VVC520" s="1358"/>
      <c r="VVD520" s="1358"/>
      <c r="VVE520" s="1358"/>
      <c r="VVF520" s="1358"/>
      <c r="VVG520" s="1358"/>
      <c r="VVH520" s="1358"/>
      <c r="VVI520" s="1358"/>
      <c r="VVJ520" s="1358"/>
      <c r="VVK520" s="1358"/>
      <c r="VVL520" s="1358"/>
      <c r="VVM520" s="1358"/>
      <c r="VVN520" s="1358"/>
      <c r="VVO520" s="1358"/>
      <c r="VVP520" s="1358"/>
      <c r="VVQ520" s="1358"/>
      <c r="VVR520" s="1358"/>
      <c r="VVS520" s="1358"/>
      <c r="VVT520" s="1358"/>
      <c r="VVU520" s="1358"/>
      <c r="VVV520" s="1358"/>
      <c r="VVW520" s="1358"/>
      <c r="VVX520" s="1358"/>
      <c r="VVY520" s="1358"/>
      <c r="VVZ520" s="1358"/>
      <c r="VWA520" s="1358"/>
      <c r="VWB520" s="1358"/>
      <c r="VWC520" s="1358"/>
      <c r="VWD520" s="1358"/>
      <c r="VWE520" s="1358"/>
      <c r="VWF520" s="1358"/>
      <c r="VWG520" s="1358"/>
      <c r="VWH520" s="1358"/>
      <c r="VWI520" s="1358"/>
      <c r="VWJ520" s="1358"/>
      <c r="VWK520" s="1358"/>
      <c r="VWL520" s="1358"/>
      <c r="VWM520" s="1358"/>
      <c r="VWN520" s="1358"/>
      <c r="VWO520" s="1358"/>
      <c r="VWP520" s="1358"/>
      <c r="VWQ520" s="1358"/>
      <c r="VWR520" s="1358"/>
      <c r="VWS520" s="1358"/>
      <c r="VWT520" s="1358"/>
      <c r="VWU520" s="1358"/>
      <c r="VWV520" s="1358"/>
      <c r="VWW520" s="1358"/>
      <c r="VWX520" s="1358"/>
      <c r="VWY520" s="1358"/>
      <c r="VWZ520" s="1358"/>
      <c r="VXA520" s="1358"/>
      <c r="VXB520" s="1358"/>
      <c r="VXC520" s="1358"/>
      <c r="VXD520" s="1358"/>
      <c r="VXE520" s="1358"/>
      <c r="VXF520" s="1358"/>
      <c r="VXG520" s="1358"/>
      <c r="VXH520" s="1358"/>
      <c r="VXI520" s="1358"/>
      <c r="VXJ520" s="1358"/>
      <c r="VXK520" s="1358"/>
      <c r="VXL520" s="1358"/>
      <c r="VXM520" s="1358"/>
      <c r="VXN520" s="1358"/>
      <c r="VXO520" s="1358"/>
      <c r="VXP520" s="1358"/>
      <c r="VXQ520" s="1358"/>
      <c r="VXR520" s="1358"/>
      <c r="VXS520" s="1358"/>
      <c r="VXT520" s="1358"/>
      <c r="VXU520" s="1358"/>
      <c r="VXV520" s="1358"/>
      <c r="VXW520" s="1358"/>
      <c r="VXX520" s="1358"/>
      <c r="VXY520" s="1358"/>
      <c r="VXZ520" s="1358"/>
      <c r="VYA520" s="1358"/>
      <c r="VYB520" s="1358"/>
      <c r="VYC520" s="1358"/>
      <c r="VYD520" s="1358"/>
      <c r="VYE520" s="1358"/>
      <c r="VYF520" s="1358"/>
      <c r="VYG520" s="1358"/>
      <c r="VYH520" s="1358"/>
      <c r="VYI520" s="1358"/>
      <c r="VYJ520" s="1358"/>
      <c r="VYK520" s="1358"/>
      <c r="VYL520" s="1358"/>
      <c r="VYM520" s="1358"/>
      <c r="VYN520" s="1358"/>
      <c r="VYO520" s="1358"/>
      <c r="VYP520" s="1358"/>
      <c r="VYQ520" s="1358"/>
      <c r="VYR520" s="1358"/>
      <c r="VYS520" s="1358"/>
      <c r="VYT520" s="1358"/>
      <c r="VYU520" s="1358"/>
      <c r="VYV520" s="1358"/>
      <c r="VYW520" s="1358"/>
      <c r="VYX520" s="1358"/>
      <c r="VYY520" s="1358"/>
      <c r="VYZ520" s="1358"/>
      <c r="VZA520" s="1358"/>
      <c r="VZB520" s="1358"/>
      <c r="VZC520" s="1358"/>
      <c r="VZD520" s="1358"/>
      <c r="VZE520" s="1358"/>
      <c r="VZF520" s="1358"/>
      <c r="VZG520" s="1358"/>
      <c r="VZH520" s="1358"/>
      <c r="VZI520" s="1358"/>
      <c r="VZJ520" s="1358"/>
      <c r="VZK520" s="1358"/>
      <c r="VZL520" s="1358"/>
      <c r="VZM520" s="1358"/>
      <c r="VZN520" s="1358"/>
      <c r="VZO520" s="1358"/>
      <c r="VZP520" s="1358"/>
      <c r="VZQ520" s="1358"/>
      <c r="VZR520" s="1358"/>
      <c r="VZS520" s="1358"/>
      <c r="VZT520" s="1358"/>
      <c r="VZU520" s="1358"/>
      <c r="VZV520" s="1358"/>
      <c r="VZW520" s="1358"/>
      <c r="VZX520" s="1358"/>
      <c r="VZY520" s="1358"/>
      <c r="VZZ520" s="1358"/>
      <c r="WAA520" s="1358"/>
      <c r="WAB520" s="1358"/>
      <c r="WAC520" s="1358"/>
      <c r="WAD520" s="1358"/>
      <c r="WAE520" s="1358"/>
      <c r="WAF520" s="1358"/>
      <c r="WAG520" s="1358"/>
      <c r="WAH520" s="1358"/>
      <c r="WAI520" s="1358"/>
      <c r="WAJ520" s="1358"/>
      <c r="WAK520" s="1358"/>
      <c r="WAL520" s="1358"/>
      <c r="WAM520" s="1358"/>
      <c r="WAN520" s="1358"/>
      <c r="WAO520" s="1358"/>
      <c r="WAP520" s="1358"/>
      <c r="WAQ520" s="1358"/>
      <c r="WAR520" s="1358"/>
      <c r="WAS520" s="1358"/>
      <c r="WAT520" s="1358"/>
      <c r="WAU520" s="1358"/>
      <c r="WAV520" s="1358"/>
      <c r="WAW520" s="1358"/>
      <c r="WAX520" s="1358"/>
      <c r="WAY520" s="1358"/>
      <c r="WAZ520" s="1358"/>
      <c r="WBA520" s="1358"/>
      <c r="WBB520" s="1358"/>
      <c r="WBC520" s="1358"/>
      <c r="WBD520" s="1358"/>
      <c r="WBE520" s="1358"/>
      <c r="WBF520" s="1358"/>
      <c r="WBG520" s="1358"/>
      <c r="WBH520" s="1358"/>
      <c r="WBI520" s="1358"/>
      <c r="WBJ520" s="1358"/>
      <c r="WBK520" s="1358"/>
      <c r="WBL520" s="1358"/>
      <c r="WBM520" s="1358"/>
      <c r="WBN520" s="1358"/>
      <c r="WBO520" s="1358"/>
      <c r="WBP520" s="1358"/>
      <c r="WBQ520" s="1358"/>
      <c r="WBR520" s="1358"/>
      <c r="WBS520" s="1358"/>
      <c r="WBT520" s="1358"/>
      <c r="WBU520" s="1358"/>
      <c r="WBV520" s="1358"/>
      <c r="WBW520" s="1358"/>
      <c r="WBX520" s="1358"/>
      <c r="WBY520" s="1358"/>
      <c r="WBZ520" s="1358"/>
      <c r="WCA520" s="1358"/>
      <c r="WCB520" s="1358"/>
      <c r="WCC520" s="1358"/>
      <c r="WCD520" s="1358"/>
      <c r="WCE520" s="1358"/>
      <c r="WCF520" s="1358"/>
      <c r="WCG520" s="1358"/>
      <c r="WCH520" s="1358"/>
      <c r="WCI520" s="1358"/>
      <c r="WCJ520" s="1358"/>
      <c r="WCK520" s="1358"/>
      <c r="WCL520" s="1358"/>
      <c r="WCM520" s="1358"/>
      <c r="WCN520" s="1358"/>
      <c r="WCO520" s="1358"/>
      <c r="WCP520" s="1358"/>
      <c r="WCQ520" s="1358"/>
      <c r="WCR520" s="1358"/>
      <c r="WCS520" s="1358"/>
      <c r="WCT520" s="1358"/>
      <c r="WCU520" s="1358"/>
      <c r="WCV520" s="1358"/>
      <c r="WCW520" s="1358"/>
      <c r="WCX520" s="1358"/>
      <c r="WCY520" s="1358"/>
      <c r="WCZ520" s="1358"/>
      <c r="WDA520" s="1358"/>
      <c r="WDB520" s="1358"/>
      <c r="WDC520" s="1358"/>
      <c r="WDD520" s="1358"/>
      <c r="WDE520" s="1358"/>
      <c r="WDF520" s="1358"/>
      <c r="WDG520" s="1358"/>
      <c r="WDH520" s="1358"/>
      <c r="WDI520" s="1358"/>
      <c r="WDJ520" s="1358"/>
      <c r="WDK520" s="1358"/>
      <c r="WDL520" s="1358"/>
      <c r="WDM520" s="1358"/>
      <c r="WDN520" s="1358"/>
      <c r="WDO520" s="1358"/>
      <c r="WDP520" s="1358"/>
      <c r="WDQ520" s="1358"/>
      <c r="WDR520" s="1358"/>
      <c r="WDS520" s="1358"/>
      <c r="WDT520" s="1358"/>
      <c r="WDU520" s="1358"/>
      <c r="WDV520" s="1358"/>
      <c r="WDW520" s="1358"/>
      <c r="WDX520" s="1358"/>
      <c r="WDY520" s="1358"/>
      <c r="WDZ520" s="1358"/>
      <c r="WEA520" s="1358"/>
      <c r="WEB520" s="1358"/>
      <c r="WEC520" s="1358"/>
      <c r="WED520" s="1358"/>
      <c r="WEE520" s="1358"/>
      <c r="WEF520" s="1358"/>
      <c r="WEG520" s="1358"/>
      <c r="WEH520" s="1358"/>
      <c r="WEI520" s="1358"/>
      <c r="WEJ520" s="1358"/>
      <c r="WEK520" s="1358"/>
      <c r="WEL520" s="1358"/>
      <c r="WEM520" s="1358"/>
      <c r="WEN520" s="1358"/>
      <c r="WEO520" s="1358"/>
      <c r="WEP520" s="1358"/>
      <c r="WEQ520" s="1358"/>
      <c r="WER520" s="1358"/>
      <c r="WES520" s="1358"/>
      <c r="WET520" s="1358"/>
      <c r="WEU520" s="1358"/>
      <c r="WEV520" s="1358"/>
      <c r="WEW520" s="1358"/>
      <c r="WEX520" s="1358"/>
      <c r="WEY520" s="1358"/>
      <c r="WEZ520" s="1358"/>
      <c r="WFA520" s="1358"/>
      <c r="WFB520" s="1358"/>
      <c r="WFC520" s="1358"/>
      <c r="WFD520" s="1358"/>
      <c r="WFE520" s="1358"/>
      <c r="WFF520" s="1358"/>
      <c r="WFG520" s="1358"/>
      <c r="WFH520" s="1358"/>
      <c r="WFI520" s="1358"/>
      <c r="WFJ520" s="1358"/>
      <c r="WFK520" s="1358"/>
      <c r="WFL520" s="1358"/>
      <c r="WFM520" s="1358"/>
      <c r="WFN520" s="1358"/>
      <c r="WFO520" s="1358"/>
      <c r="WFP520" s="1358"/>
      <c r="WFQ520" s="1358"/>
      <c r="WFR520" s="1358"/>
      <c r="WFS520" s="1358"/>
      <c r="WFT520" s="1358"/>
      <c r="WFU520" s="1358"/>
      <c r="WFV520" s="1358"/>
      <c r="WFW520" s="1358"/>
      <c r="WFX520" s="1358"/>
      <c r="WFY520" s="1358"/>
      <c r="WFZ520" s="1358"/>
      <c r="WGA520" s="1358"/>
      <c r="WGB520" s="1358"/>
      <c r="WGC520" s="1358"/>
      <c r="WGD520" s="1358"/>
      <c r="WGE520" s="1358"/>
      <c r="WGF520" s="1358"/>
      <c r="WGG520" s="1358"/>
      <c r="WGH520" s="1358"/>
      <c r="WGI520" s="1358"/>
      <c r="WGJ520" s="1358"/>
      <c r="WGK520" s="1358"/>
      <c r="WGL520" s="1358"/>
      <c r="WGM520" s="1358"/>
      <c r="WGN520" s="1358"/>
      <c r="WGO520" s="1358"/>
      <c r="WGP520" s="1358"/>
      <c r="WGQ520" s="1358"/>
      <c r="WGR520" s="1358"/>
      <c r="WGS520" s="1358"/>
      <c r="WGT520" s="1358"/>
      <c r="WGU520" s="1358"/>
      <c r="WGV520" s="1358"/>
      <c r="WGW520" s="1358"/>
      <c r="WGX520" s="1358"/>
      <c r="WGY520" s="1358"/>
      <c r="WGZ520" s="1358"/>
      <c r="WHA520" s="1358"/>
      <c r="WHB520" s="1358"/>
      <c r="WHC520" s="1358"/>
      <c r="WHD520" s="1358"/>
      <c r="WHE520" s="1358"/>
      <c r="WHF520" s="1358"/>
      <c r="WHG520" s="1358"/>
      <c r="WHH520" s="1358"/>
      <c r="WHI520" s="1358"/>
      <c r="WHJ520" s="1358"/>
      <c r="WHK520" s="1358"/>
      <c r="WHL520" s="1358"/>
      <c r="WHM520" s="1358"/>
      <c r="WHN520" s="1358"/>
      <c r="WHO520" s="1358"/>
      <c r="WHP520" s="1358"/>
      <c r="WHQ520" s="1358"/>
      <c r="WHR520" s="1358"/>
      <c r="WHS520" s="1358"/>
      <c r="WHT520" s="1358"/>
      <c r="WHU520" s="1358"/>
      <c r="WHV520" s="1358"/>
      <c r="WHW520" s="1358"/>
      <c r="WHX520" s="1358"/>
      <c r="WHY520" s="1358"/>
      <c r="WHZ520" s="1358"/>
      <c r="WIA520" s="1358"/>
      <c r="WIB520" s="1358"/>
      <c r="WIC520" s="1358"/>
      <c r="WID520" s="1358"/>
      <c r="WIE520" s="1358"/>
      <c r="WIF520" s="1358"/>
      <c r="WIG520" s="1358"/>
      <c r="WIH520" s="1358"/>
      <c r="WII520" s="1358"/>
      <c r="WIJ520" s="1358"/>
      <c r="WIK520" s="1358"/>
      <c r="WIL520" s="1358"/>
      <c r="WIM520" s="1358"/>
      <c r="WIN520" s="1358"/>
      <c r="WIO520" s="1358"/>
      <c r="WIP520" s="1358"/>
      <c r="WIQ520" s="1358"/>
      <c r="WIR520" s="1358"/>
      <c r="WIS520" s="1358"/>
      <c r="WIT520" s="1358"/>
      <c r="WIU520" s="1358"/>
      <c r="WIV520" s="1358"/>
      <c r="WIW520" s="1358"/>
      <c r="WIX520" s="1358"/>
      <c r="WIY520" s="1358"/>
      <c r="WIZ520" s="1358"/>
      <c r="WJA520" s="1358"/>
      <c r="WJB520" s="1358"/>
      <c r="WJC520" s="1358"/>
      <c r="WJD520" s="1358"/>
      <c r="WJE520" s="1358"/>
      <c r="WJF520" s="1358"/>
      <c r="WJG520" s="1358"/>
      <c r="WJH520" s="1358"/>
      <c r="WJI520" s="1358"/>
      <c r="WJJ520" s="1358"/>
      <c r="WJK520" s="1358"/>
      <c r="WJL520" s="1358"/>
      <c r="WJM520" s="1358"/>
      <c r="WJN520" s="1358"/>
      <c r="WJO520" s="1358"/>
      <c r="WJP520" s="1358"/>
      <c r="WJQ520" s="1358"/>
      <c r="WJR520" s="1358"/>
      <c r="WJS520" s="1358"/>
      <c r="WJT520" s="1358"/>
      <c r="WJU520" s="1358"/>
      <c r="WJV520" s="1358"/>
      <c r="WJW520" s="1358"/>
      <c r="WJX520" s="1358"/>
      <c r="WJY520" s="1358"/>
      <c r="WJZ520" s="1358"/>
      <c r="WKA520" s="1358"/>
      <c r="WKB520" s="1358"/>
      <c r="WKC520" s="1358"/>
      <c r="WKD520" s="1358"/>
      <c r="WKE520" s="1358"/>
      <c r="WKF520" s="1358"/>
      <c r="WKG520" s="1358"/>
      <c r="WKH520" s="1358"/>
      <c r="WKI520" s="1358"/>
      <c r="WKJ520" s="1358"/>
      <c r="WKK520" s="1358"/>
      <c r="WKL520" s="1358"/>
      <c r="WKM520" s="1358"/>
      <c r="WKN520" s="1358"/>
      <c r="WKO520" s="1358"/>
      <c r="WKP520" s="1358"/>
      <c r="WKQ520" s="1358"/>
      <c r="WKR520" s="1358"/>
      <c r="WKS520" s="1358"/>
      <c r="WKT520" s="1358"/>
      <c r="WKU520" s="1358"/>
      <c r="WKV520" s="1358"/>
      <c r="WKW520" s="1358"/>
      <c r="WKX520" s="1358"/>
      <c r="WKY520" s="1358"/>
      <c r="WKZ520" s="1358"/>
      <c r="WLA520" s="1358"/>
      <c r="WLB520" s="1358"/>
      <c r="WLC520" s="1358"/>
      <c r="WLD520" s="1358"/>
      <c r="WLE520" s="1358"/>
      <c r="WLF520" s="1358"/>
      <c r="WLG520" s="1358"/>
      <c r="WLH520" s="1358"/>
      <c r="WLI520" s="1358"/>
      <c r="WLJ520" s="1358"/>
      <c r="WLK520" s="1358"/>
      <c r="WLL520" s="1358"/>
      <c r="WLM520" s="1358"/>
      <c r="WLN520" s="1358"/>
      <c r="WLO520" s="1358"/>
      <c r="WLP520" s="1358"/>
      <c r="WLQ520" s="1358"/>
      <c r="WLR520" s="1358"/>
      <c r="WLS520" s="1358"/>
      <c r="WLT520" s="1358"/>
      <c r="WLU520" s="1358"/>
      <c r="WLV520" s="1358"/>
      <c r="WLW520" s="1358"/>
      <c r="WLX520" s="1358"/>
      <c r="WLY520" s="1358"/>
      <c r="WLZ520" s="1358"/>
      <c r="WMA520" s="1358"/>
      <c r="WMB520" s="1358"/>
      <c r="WMC520" s="1358"/>
      <c r="WMD520" s="1358"/>
      <c r="WME520" s="1358"/>
      <c r="WMF520" s="1358"/>
      <c r="WMG520" s="1358"/>
      <c r="WMH520" s="1358"/>
      <c r="WMI520" s="1358"/>
      <c r="WMJ520" s="1358"/>
      <c r="WMK520" s="1358"/>
      <c r="WML520" s="1358"/>
      <c r="WMM520" s="1358"/>
      <c r="WMN520" s="1358"/>
      <c r="WMO520" s="1358"/>
      <c r="WMP520" s="1358"/>
      <c r="WMQ520" s="1358"/>
      <c r="WMR520" s="1358"/>
      <c r="WMS520" s="1358"/>
      <c r="WMT520" s="1358"/>
      <c r="WMU520" s="1358"/>
      <c r="WMV520" s="1358"/>
      <c r="WMW520" s="1358"/>
      <c r="WMX520" s="1358"/>
      <c r="WMY520" s="1358"/>
      <c r="WMZ520" s="1358"/>
      <c r="WNA520" s="1358"/>
      <c r="WNB520" s="1358"/>
      <c r="WNC520" s="1358"/>
      <c r="WND520" s="1358"/>
      <c r="WNE520" s="1358"/>
      <c r="WNF520" s="1358"/>
      <c r="WNG520" s="1358"/>
      <c r="WNH520" s="1358"/>
      <c r="WNI520" s="1358"/>
      <c r="WNJ520" s="1358"/>
      <c r="WNK520" s="1358"/>
      <c r="WNL520" s="1358"/>
      <c r="WNM520" s="1358"/>
      <c r="WNN520" s="1358"/>
      <c r="WNO520" s="1358"/>
      <c r="WNP520" s="1358"/>
      <c r="WNQ520" s="1358"/>
      <c r="WNR520" s="1358"/>
      <c r="WNS520" s="1358"/>
      <c r="WNT520" s="1358"/>
      <c r="WNU520" s="1358"/>
      <c r="WNV520" s="1358"/>
      <c r="WNW520" s="1358"/>
      <c r="WNX520" s="1358"/>
      <c r="WNY520" s="1358"/>
      <c r="WNZ520" s="1358"/>
      <c r="WOA520" s="1358"/>
      <c r="WOB520" s="1358"/>
      <c r="WOC520" s="1358"/>
      <c r="WOD520" s="1358"/>
      <c r="WOE520" s="1358"/>
      <c r="WOF520" s="1358"/>
      <c r="WOG520" s="1358"/>
      <c r="WOH520" s="1358"/>
      <c r="WOI520" s="1358"/>
      <c r="WOJ520" s="1358"/>
      <c r="WOK520" s="1358"/>
      <c r="WOL520" s="1358"/>
      <c r="WOM520" s="1358"/>
      <c r="WON520" s="1358"/>
      <c r="WOO520" s="1358"/>
      <c r="WOP520" s="1358"/>
      <c r="WOQ520" s="1358"/>
      <c r="WOR520" s="1358"/>
      <c r="WOS520" s="1358"/>
      <c r="WOT520" s="1358"/>
      <c r="WOU520" s="1358"/>
      <c r="WOV520" s="1358"/>
      <c r="WOW520" s="1358"/>
      <c r="WOX520" s="1358"/>
      <c r="WOY520" s="1358"/>
      <c r="WOZ520" s="1358"/>
      <c r="WPA520" s="1358"/>
      <c r="WPB520" s="1358"/>
      <c r="WPC520" s="1358"/>
      <c r="WPD520" s="1358"/>
      <c r="WPE520" s="1358"/>
      <c r="WPF520" s="1358"/>
      <c r="WPG520" s="1358"/>
      <c r="WPH520" s="1358"/>
      <c r="WPI520" s="1358"/>
      <c r="WPJ520" s="1358"/>
      <c r="WPK520" s="1358"/>
      <c r="WPL520" s="1358"/>
      <c r="WPM520" s="1358"/>
      <c r="WPN520" s="1358"/>
      <c r="WPO520" s="1358"/>
      <c r="WPP520" s="1358"/>
      <c r="WPQ520" s="1358"/>
      <c r="WPR520" s="1358"/>
      <c r="WPS520" s="1358"/>
      <c r="WPT520" s="1358"/>
      <c r="WPU520" s="1358"/>
      <c r="WPV520" s="1358"/>
      <c r="WPW520" s="1358"/>
      <c r="WPX520" s="1358"/>
      <c r="WPY520" s="1358"/>
      <c r="WPZ520" s="1358"/>
      <c r="WQA520" s="1358"/>
      <c r="WQB520" s="1358"/>
      <c r="WQC520" s="1358"/>
      <c r="WQD520" s="1358"/>
      <c r="WQE520" s="1358"/>
      <c r="WQF520" s="1358"/>
      <c r="WQG520" s="1358"/>
      <c r="WQH520" s="1358"/>
      <c r="WQI520" s="1358"/>
      <c r="WQJ520" s="1358"/>
      <c r="WQK520" s="1358"/>
      <c r="WQL520" s="1358"/>
      <c r="WQM520" s="1358"/>
      <c r="WQN520" s="1358"/>
      <c r="WQO520" s="1358"/>
      <c r="WQP520" s="1358"/>
      <c r="WQQ520" s="1358"/>
      <c r="WQR520" s="1358"/>
      <c r="WQS520" s="1358"/>
      <c r="WQT520" s="1358"/>
      <c r="WQU520" s="1358"/>
      <c r="WQV520" s="1358"/>
      <c r="WQW520" s="1358"/>
      <c r="WQX520" s="1358"/>
      <c r="WQY520" s="1358"/>
      <c r="WQZ520" s="1358"/>
      <c r="WRA520" s="1358"/>
      <c r="WRB520" s="1358"/>
      <c r="WRC520" s="1358"/>
      <c r="WRD520" s="1358"/>
      <c r="WRE520" s="1358"/>
      <c r="WRF520" s="1358"/>
      <c r="WRG520" s="1358"/>
      <c r="WRH520" s="1358"/>
      <c r="WRI520" s="1358"/>
      <c r="WRJ520" s="1359"/>
      <c r="WRK520" s="1360"/>
      <c r="WRL520" s="1361"/>
      <c r="WRM520" s="1362"/>
      <c r="WRN520" s="1368"/>
      <c r="WRO520" s="1363"/>
      <c r="WRP520" s="1364"/>
      <c r="WRQ520" s="1365"/>
      <c r="WRR520" s="1364"/>
      <c r="WRS520" s="1366"/>
      <c r="WRT520" s="1367"/>
      <c r="WRU520" s="1363"/>
      <c r="WRV520" s="1363"/>
      <c r="WRW520" s="1363"/>
      <c r="WRX520" s="1358"/>
      <c r="WRY520" s="1358"/>
      <c r="WRZ520" s="1358"/>
      <c r="WSA520" s="1358"/>
      <c r="WSB520" s="1359"/>
      <c r="WSC520" s="1360"/>
      <c r="WSD520" s="1361"/>
      <c r="WSE520" s="1362"/>
      <c r="WSF520" s="1368"/>
      <c r="WSG520" s="1363"/>
      <c r="WSH520" s="1364"/>
      <c r="WSI520" s="1365"/>
      <c r="WSJ520" s="1364"/>
      <c r="WSK520" s="1366"/>
      <c r="WSL520" s="1367"/>
      <c r="WSM520" s="1363"/>
      <c r="WSN520" s="1363"/>
      <c r="WSO520" s="1363"/>
      <c r="WSP520" s="1358"/>
      <c r="WSQ520" s="1358"/>
      <c r="WSR520" s="1358"/>
      <c r="WSS520" s="1358"/>
      <c r="WST520" s="1359"/>
      <c r="WSU520" s="1360"/>
      <c r="WSV520" s="1361"/>
      <c r="WSW520" s="1362"/>
      <c r="WSX520" s="1368"/>
      <c r="WSY520" s="1363"/>
      <c r="WSZ520" s="1364"/>
      <c r="WTA520" s="1365"/>
      <c r="WTB520" s="1364"/>
      <c r="WTC520" s="1366"/>
      <c r="WTD520" s="1367"/>
      <c r="WTE520" s="1363"/>
      <c r="WTF520" s="1363"/>
      <c r="WTG520" s="1363"/>
      <c r="WTH520" s="1358"/>
      <c r="WTI520" s="1358"/>
      <c r="WTJ520" s="1358"/>
      <c r="WTK520" s="1358"/>
      <c r="WTL520" s="1359"/>
      <c r="WTM520" s="1360"/>
      <c r="WTN520" s="1361"/>
      <c r="WTO520" s="1362"/>
      <c r="WTP520" s="1368"/>
      <c r="WTQ520" s="1363"/>
      <c r="WTR520" s="1364"/>
      <c r="WTS520" s="1365"/>
      <c r="WTT520" s="1364"/>
      <c r="WTU520" s="1366"/>
      <c r="WTV520" s="1367"/>
      <c r="WTW520" s="1363"/>
      <c r="WTX520" s="1363"/>
      <c r="WTY520" s="1363"/>
      <c r="WTZ520" s="1358"/>
      <c r="WUA520" s="1358"/>
      <c r="WUB520" s="1358"/>
      <c r="WUC520" s="1358"/>
      <c r="WUD520" s="1359"/>
      <c r="WUE520" s="1360"/>
      <c r="WUF520" s="1361"/>
      <c r="WUG520" s="1362"/>
      <c r="WUH520" s="1368"/>
      <c r="WUI520" s="1363"/>
      <c r="WUJ520" s="1364"/>
      <c r="WUK520" s="1365"/>
      <c r="WUL520" s="1364"/>
      <c r="WUM520" s="1366"/>
      <c r="WUN520" s="1367"/>
      <c r="WUO520" s="1363"/>
      <c r="WUP520" s="1363"/>
      <c r="WUQ520" s="1363"/>
      <c r="WUR520" s="1358"/>
      <c r="WUS520" s="1358"/>
      <c r="WUT520" s="1358"/>
      <c r="WUU520" s="1358"/>
      <c r="WUV520" s="1359"/>
      <c r="WUW520" s="1360"/>
      <c r="WUX520" s="1361"/>
      <c r="WUY520" s="1362"/>
      <c r="WUZ520" s="1368"/>
      <c r="WVA520" s="1363"/>
      <c r="WVB520" s="1364"/>
      <c r="WVC520" s="1365"/>
      <c r="WVD520" s="1364"/>
      <c r="WVE520" s="1366"/>
      <c r="WVF520" s="1367"/>
      <c r="WVG520" s="1363"/>
      <c r="WVH520" s="1363"/>
      <c r="WVI520" s="1363"/>
      <c r="WVJ520" s="1358"/>
      <c r="WVK520" s="1358"/>
      <c r="WVL520" s="1358"/>
      <c r="WVM520" s="1358"/>
      <c r="WVN520" s="1359"/>
      <c r="WVO520" s="1360"/>
      <c r="WVP520" s="1361"/>
      <c r="WVQ520" s="1362"/>
      <c r="WVR520" s="1368"/>
      <c r="WVS520" s="1363"/>
      <c r="WVT520" s="1364"/>
      <c r="WVU520" s="1365"/>
      <c r="WVV520" s="1364"/>
      <c r="WVW520" s="1366"/>
      <c r="WVX520" s="1367"/>
      <c r="WVY520" s="1363"/>
      <c r="WVZ520" s="1363"/>
      <c r="WWA520" s="1363"/>
      <c r="WWB520" s="1358"/>
      <c r="WWC520" s="1358"/>
      <c r="WWD520" s="1358"/>
      <c r="WWE520" s="1358"/>
      <c r="WWF520" s="1359"/>
      <c r="WWG520" s="1360"/>
      <c r="WWH520" s="1361"/>
      <c r="WWI520" s="1362"/>
      <c r="WWJ520" s="1368"/>
      <c r="WWK520" s="1363"/>
      <c r="WWL520" s="1364"/>
      <c r="WWM520" s="1365"/>
      <c r="WWN520" s="1364"/>
      <c r="WWO520" s="1366"/>
      <c r="WWP520" s="1367"/>
      <c r="WWQ520" s="1363"/>
      <c r="WWR520" s="1363"/>
      <c r="WWS520" s="1363"/>
      <c r="WWT520" s="1358"/>
      <c r="WWU520" s="1358"/>
      <c r="WWV520" s="1358"/>
      <c r="WWW520" s="1358"/>
      <c r="WWX520" s="1359"/>
      <c r="WWY520" s="1360"/>
      <c r="WWZ520" s="1361"/>
      <c r="WXA520" s="1362"/>
      <c r="WXB520" s="1368"/>
      <c r="WXC520" s="1363"/>
      <c r="WXD520" s="1364"/>
      <c r="WXE520" s="1365"/>
      <c r="WXF520" s="1364"/>
      <c r="WXG520" s="1366"/>
      <c r="WXH520" s="1367"/>
      <c r="WXI520" s="1363"/>
      <c r="WXJ520" s="1363"/>
      <c r="WXK520" s="1363"/>
      <c r="WXL520" s="1358"/>
      <c r="WXM520" s="1358"/>
      <c r="WXN520" s="1358"/>
      <c r="WXO520" s="1358"/>
      <c r="WXP520" s="1359"/>
      <c r="WXQ520" s="1360"/>
      <c r="WXR520" s="1361"/>
      <c r="WXS520" s="1362"/>
      <c r="WXT520" s="1368"/>
      <c r="WXU520" s="1363"/>
      <c r="WXV520" s="1364"/>
      <c r="WXW520" s="1365"/>
      <c r="WXX520" s="1364"/>
      <c r="WXY520" s="1366"/>
      <c r="WXZ520" s="1367"/>
      <c r="WYA520" s="1363"/>
      <c r="WYB520" s="1363"/>
      <c r="WYC520" s="1363"/>
      <c r="WYD520" s="1358"/>
      <c r="WYE520" s="1358"/>
      <c r="WYF520" s="1358"/>
      <c r="WYG520" s="1358"/>
      <c r="WYH520" s="1359"/>
      <c r="WYI520" s="1360"/>
      <c r="WYJ520" s="1361"/>
      <c r="WYK520" s="1362"/>
      <c r="WYL520" s="1368"/>
      <c r="WYM520" s="1363"/>
      <c r="WYN520" s="1364"/>
      <c r="WYO520" s="1365"/>
      <c r="WYP520" s="1364"/>
      <c r="WYQ520" s="1366"/>
      <c r="WYR520" s="1367"/>
      <c r="WYS520" s="1363"/>
      <c r="WYT520" s="1363"/>
      <c r="WYU520" s="1363"/>
      <c r="WYV520" s="1358"/>
      <c r="WYW520" s="1358"/>
      <c r="WYX520" s="1358"/>
      <c r="WYY520" s="1358"/>
      <c r="WYZ520" s="1359"/>
      <c r="WZA520" s="1360"/>
      <c r="WZB520" s="1361"/>
      <c r="WZC520" s="1362"/>
      <c r="WZD520" s="1368"/>
      <c r="WZE520" s="1363"/>
      <c r="WZF520" s="1364"/>
      <c r="WZG520" s="1365"/>
      <c r="WZH520" s="1364"/>
      <c r="WZI520" s="1366"/>
      <c r="WZJ520" s="1367"/>
      <c r="WZK520" s="1363"/>
      <c r="WZL520" s="1363"/>
      <c r="WZM520" s="1363"/>
      <c r="WZN520" s="1358"/>
      <c r="WZO520" s="1358"/>
      <c r="WZP520" s="1358"/>
      <c r="WZQ520" s="1358"/>
      <c r="WZR520" s="1359"/>
      <c r="WZS520" s="1360"/>
      <c r="WZT520" s="1361"/>
      <c r="WZU520" s="1362"/>
      <c r="WZV520" s="1368"/>
      <c r="WZW520" s="1363"/>
      <c r="WZX520" s="1364"/>
      <c r="WZY520" s="1365"/>
      <c r="WZZ520" s="1364"/>
      <c r="XAA520" s="1366"/>
      <c r="XAB520" s="1367"/>
      <c r="XAC520" s="1363"/>
      <c r="XAD520" s="1363"/>
      <c r="XAE520" s="1363"/>
      <c r="XAF520" s="1358"/>
      <c r="XAG520" s="1358"/>
      <c r="XAH520" s="1358"/>
      <c r="XAI520" s="1358"/>
      <c r="XAJ520" s="1359"/>
      <c r="XAK520" s="1360"/>
      <c r="XAL520" s="1361"/>
      <c r="XAM520" s="1362"/>
      <c r="XAN520" s="1368"/>
      <c r="XAO520" s="1363"/>
      <c r="XAP520" s="1364"/>
      <c r="XAQ520" s="1365"/>
      <c r="XAR520" s="1364"/>
      <c r="XAS520" s="1366"/>
      <c r="XAT520" s="1367"/>
      <c r="XAU520" s="1363"/>
      <c r="XAV520" s="1363"/>
      <c r="XAW520" s="1363"/>
      <c r="XAX520" s="1358"/>
      <c r="XAY520" s="1358"/>
      <c r="XAZ520" s="1358"/>
      <c r="XBA520" s="1358"/>
      <c r="XBB520" s="1359"/>
      <c r="XBC520" s="1360"/>
      <c r="XBD520" s="1361"/>
      <c r="XBE520" s="1362"/>
      <c r="XBF520" s="1368"/>
      <c r="XBG520" s="1363"/>
      <c r="XBH520" s="1364"/>
      <c r="XBI520" s="1365"/>
      <c r="XBJ520" s="1364"/>
      <c r="XBK520" s="1366"/>
      <c r="XBL520" s="1367"/>
      <c r="XBM520" s="1363"/>
      <c r="XBN520" s="1363"/>
      <c r="XBO520" s="1363"/>
      <c r="XBP520" s="1358"/>
      <c r="XBQ520" s="1358"/>
      <c r="XBR520" s="1358"/>
      <c r="XBS520" s="1358"/>
      <c r="XBT520" s="1359"/>
      <c r="XBU520" s="1360"/>
      <c r="XBV520" s="1361"/>
      <c r="XBW520" s="1362"/>
      <c r="XBX520" s="1368"/>
      <c r="XBY520" s="1363"/>
      <c r="XBZ520" s="1364"/>
      <c r="XCA520" s="1365"/>
      <c r="XCB520" s="1364"/>
      <c r="XCC520" s="1366"/>
      <c r="XCD520" s="1367"/>
      <c r="XCE520" s="1363"/>
      <c r="XCF520" s="1363"/>
      <c r="XCG520" s="1363"/>
      <c r="XCH520" s="1358"/>
      <c r="XCI520" s="1358"/>
      <c r="XCJ520" s="1358"/>
      <c r="XCK520" s="1358"/>
      <c r="XCL520" s="1359"/>
      <c r="XCM520" s="1360"/>
      <c r="XCN520" s="1361"/>
      <c r="XCO520" s="1362"/>
      <c r="XCP520" s="1368"/>
      <c r="XCQ520" s="1363"/>
      <c r="XCR520" s="1364"/>
      <c r="XCS520" s="1365"/>
      <c r="XCT520" s="1364"/>
      <c r="XCU520" s="1366"/>
      <c r="XCV520" s="1367"/>
      <c r="XCW520" s="1363"/>
      <c r="XCX520" s="1363"/>
      <c r="XCY520" s="1363"/>
      <c r="XCZ520" s="1358"/>
      <c r="XDA520" s="1358"/>
      <c r="XDB520" s="1358"/>
      <c r="XDC520" s="1358"/>
      <c r="XDD520" s="1359"/>
      <c r="XDE520" s="1360"/>
      <c r="XDF520" s="1361"/>
      <c r="XDG520" s="1362"/>
      <c r="XDH520" s="1368"/>
      <c r="XDI520" s="1363"/>
      <c r="XDJ520" s="1364"/>
      <c r="XDK520" s="1365"/>
      <c r="XDL520" s="1364"/>
      <c r="XDM520" s="1366"/>
      <c r="XDN520" s="1367"/>
      <c r="XDO520" s="1363"/>
      <c r="XDP520" s="1363"/>
      <c r="XDQ520" s="1363"/>
      <c r="XDR520" s="1358"/>
      <c r="XDS520" s="1358"/>
      <c r="XDT520" s="1358"/>
      <c r="XDU520" s="1358"/>
      <c r="XDV520" s="1359"/>
      <c r="XDW520" s="1360"/>
      <c r="XDX520" s="1361"/>
      <c r="XDY520" s="1362"/>
      <c r="XDZ520" s="1368"/>
      <c r="XEA520" s="1363"/>
      <c r="XEB520" s="1364"/>
      <c r="XEC520" s="1365"/>
      <c r="XED520" s="1364"/>
      <c r="XEE520" s="1366"/>
      <c r="XEF520" s="1367"/>
      <c r="XEG520" s="1363"/>
      <c r="XEH520" s="1363"/>
      <c r="XEI520" s="1363"/>
      <c r="XEJ520" s="1358"/>
      <c r="XEK520" s="1358"/>
      <c r="XEL520" s="1358"/>
      <c r="XEM520" s="1358"/>
      <c r="XEN520" s="1359"/>
      <c r="XEO520" s="1360"/>
      <c r="XEP520" s="1361"/>
      <c r="XEQ520" s="1362"/>
      <c r="XER520" s="1368"/>
      <c r="XES520" s="1363"/>
      <c r="XET520" s="1364"/>
      <c r="XEU520" s="1365"/>
      <c r="XEV520" s="1364"/>
      <c r="XEW520" s="1366"/>
      <c r="XEX520" s="1367"/>
      <c r="XEY520" s="1363"/>
      <c r="XEZ520" s="1363"/>
      <c r="XFA520" s="1363"/>
    </row>
    <row r="521" spans="1:16381" s="1414" customFormat="1" ht="28.8" x14ac:dyDescent="0.3">
      <c r="A521" s="1358" t="s">
        <v>264</v>
      </c>
      <c r="B521" s="1359" t="s">
        <v>280</v>
      </c>
      <c r="C521" s="1360" t="s">
        <v>3861</v>
      </c>
      <c r="D521" s="1361" t="s">
        <v>34</v>
      </c>
      <c r="E521" s="1362" t="s">
        <v>282</v>
      </c>
      <c r="F521" s="1368" t="s">
        <v>285</v>
      </c>
      <c r="G521" s="1363">
        <v>1.1599999999999999</v>
      </c>
      <c r="H521" s="1364">
        <v>37068.400000000001</v>
      </c>
      <c r="I521" s="1365" t="s">
        <v>267</v>
      </c>
      <c r="J521" s="1364">
        <v>37068.400000000001</v>
      </c>
      <c r="K521" s="1366">
        <v>0</v>
      </c>
      <c r="L521" s="1367">
        <v>0</v>
      </c>
      <c r="M521" s="1363" t="s">
        <v>133</v>
      </c>
      <c r="N521" s="1363" t="s">
        <v>2027</v>
      </c>
      <c r="O521" s="1363" t="s">
        <v>3862</v>
      </c>
      <c r="P521" s="1358" t="s">
        <v>40</v>
      </c>
      <c r="Q521" s="1358"/>
      <c r="R521" s="1358" t="s">
        <v>64</v>
      </c>
      <c r="S521" s="1358"/>
      <c r="T521" s="1358"/>
      <c r="U521" s="1358"/>
      <c r="V521" s="1358" t="s">
        <v>40</v>
      </c>
      <c r="W521" s="1358"/>
      <c r="X521" s="1358" t="s">
        <v>40</v>
      </c>
      <c r="Y521" s="1358"/>
      <c r="Z521" s="1358" t="s">
        <v>64</v>
      </c>
      <c r="AA521" s="1358"/>
      <c r="AB521" s="1358" t="s">
        <v>40</v>
      </c>
      <c r="AC521" s="1358"/>
      <c r="AD521" s="1358"/>
      <c r="AE521" s="1598">
        <v>46203</v>
      </c>
      <c r="AF521" s="1358" t="s">
        <v>247</v>
      </c>
      <c r="AG521" s="1358">
        <v>2023</v>
      </c>
      <c r="AH521" s="1364">
        <v>183418.15004000001</v>
      </c>
      <c r="AI521" s="1564">
        <v>37427648</v>
      </c>
      <c r="AJ521" s="1358"/>
      <c r="AK521" s="1358" t="s">
        <v>43</v>
      </c>
      <c r="AL521" s="1358" t="s">
        <v>41</v>
      </c>
      <c r="AM521" s="1358">
        <v>0</v>
      </c>
      <c r="AN521" s="1358" t="s">
        <v>40</v>
      </c>
      <c r="AO521" s="1358"/>
      <c r="AP521" s="1358"/>
      <c r="AQ521" s="1358"/>
      <c r="AR521" s="1358"/>
      <c r="AS521" s="1358"/>
      <c r="AT521" s="1358"/>
      <c r="AU521" s="1358"/>
      <c r="AV521" s="1358"/>
      <c r="AW521" s="1358"/>
      <c r="AX521" s="1358"/>
      <c r="AY521" s="1358"/>
      <c r="AZ521" s="1358"/>
      <c r="BA521" s="1358"/>
      <c r="BB521" s="1358"/>
      <c r="BC521" s="1358"/>
      <c r="BD521" s="1358"/>
      <c r="BE521" s="1358"/>
      <c r="BF521" s="1358"/>
      <c r="BG521" s="1358"/>
      <c r="BH521" s="1358"/>
      <c r="BI521" s="1358"/>
      <c r="BJ521" s="1358"/>
      <c r="BK521" s="1358"/>
      <c r="BL521" s="1358"/>
      <c r="BM521" s="1358"/>
      <c r="BN521" s="1358"/>
      <c r="BO521" s="1358"/>
      <c r="BP521" s="1358"/>
      <c r="BQ521" s="1358"/>
      <c r="BR521" s="1358"/>
      <c r="BS521" s="1358"/>
      <c r="BT521" s="1358"/>
      <c r="BU521" s="1358"/>
      <c r="BV521" s="1358"/>
      <c r="BW521" s="1358"/>
      <c r="BX521" s="1358"/>
      <c r="BY521" s="1358"/>
      <c r="BZ521" s="1358"/>
      <c r="CA521" s="1358"/>
      <c r="CB521" s="1358"/>
      <c r="CC521" s="1358"/>
      <c r="CD521" s="1358"/>
      <c r="CE521" s="1358"/>
      <c r="CF521" s="1358"/>
      <c r="CG521" s="1358"/>
      <c r="CH521" s="1358"/>
      <c r="CI521" s="1358"/>
      <c r="CJ521" s="1358"/>
      <c r="CK521" s="1358"/>
      <c r="CL521" s="1358"/>
      <c r="CM521" s="1358"/>
      <c r="CN521" s="1358"/>
      <c r="CO521" s="1358"/>
      <c r="CP521" s="1358"/>
      <c r="CQ521" s="1358"/>
      <c r="CR521" s="1358"/>
      <c r="CS521" s="1358"/>
      <c r="CT521" s="1358"/>
      <c r="CU521" s="1358"/>
      <c r="CV521" s="1358"/>
      <c r="CW521" s="1358"/>
      <c r="CX521" s="1358"/>
      <c r="CY521" s="1358"/>
      <c r="CZ521" s="1358"/>
      <c r="DA521" s="1358"/>
      <c r="DB521" s="1358"/>
      <c r="DC521" s="1358"/>
      <c r="DD521" s="1358"/>
      <c r="DE521" s="1358"/>
      <c r="DF521" s="1358"/>
      <c r="DG521" s="1358"/>
      <c r="DH521" s="1358"/>
      <c r="DI521" s="1358"/>
      <c r="DJ521" s="1358"/>
      <c r="DK521" s="1358"/>
      <c r="DL521" s="1358"/>
      <c r="DM521" s="1358"/>
      <c r="DN521" s="1358"/>
      <c r="DO521" s="1358"/>
      <c r="DP521" s="1358"/>
      <c r="DQ521" s="1358"/>
      <c r="DR521" s="1358"/>
      <c r="DS521" s="1358"/>
      <c r="DT521" s="1358"/>
      <c r="DU521" s="1358"/>
      <c r="DV521" s="1358"/>
      <c r="DW521" s="1358"/>
      <c r="DX521" s="1358"/>
      <c r="DY521" s="1358"/>
      <c r="DZ521" s="1358"/>
      <c r="EA521" s="1358"/>
      <c r="EB521" s="1358"/>
      <c r="EC521" s="1358"/>
      <c r="ED521" s="1358"/>
      <c r="EE521" s="1358"/>
      <c r="EF521" s="1358"/>
      <c r="EG521" s="1358"/>
      <c r="EH521" s="1358"/>
      <c r="EI521" s="1358"/>
      <c r="EJ521" s="1358"/>
      <c r="EK521" s="1358"/>
      <c r="EL521" s="1358"/>
      <c r="EM521" s="1358"/>
      <c r="EN521" s="1358"/>
      <c r="EO521" s="1358"/>
      <c r="EP521" s="1358"/>
      <c r="EQ521" s="1358"/>
      <c r="ER521" s="1358"/>
      <c r="ES521" s="1358"/>
      <c r="ET521" s="1358"/>
      <c r="EU521" s="1358"/>
      <c r="EV521" s="1358"/>
      <c r="EW521" s="1358"/>
      <c r="EX521" s="1358"/>
      <c r="EY521" s="1358"/>
      <c r="EZ521" s="1358"/>
      <c r="FA521" s="1358"/>
      <c r="FB521" s="1358"/>
      <c r="FC521" s="1358"/>
      <c r="FD521" s="1358"/>
      <c r="FE521" s="1358"/>
      <c r="FF521" s="1358"/>
      <c r="FG521" s="1358"/>
      <c r="FH521" s="1358"/>
      <c r="FI521" s="1358"/>
      <c r="FJ521" s="1358"/>
      <c r="FK521" s="1358"/>
      <c r="FL521" s="1358"/>
      <c r="FM521" s="1358"/>
      <c r="FN521" s="1358"/>
      <c r="FO521" s="1358"/>
      <c r="FP521" s="1358"/>
      <c r="FQ521" s="1358"/>
      <c r="FR521" s="1358"/>
      <c r="FS521" s="1358"/>
      <c r="FT521" s="1358"/>
      <c r="FU521" s="1358"/>
      <c r="FV521" s="1358"/>
      <c r="FW521" s="1358"/>
      <c r="FX521" s="1358"/>
      <c r="FY521" s="1358"/>
      <c r="FZ521" s="1358"/>
      <c r="GA521" s="1358"/>
      <c r="GB521" s="1358"/>
      <c r="GC521" s="1358"/>
      <c r="GD521" s="1358"/>
      <c r="GE521" s="1358"/>
      <c r="GF521" s="1358"/>
      <c r="GG521" s="1358"/>
      <c r="GH521" s="1358"/>
      <c r="GI521" s="1358"/>
      <c r="GJ521" s="1358"/>
      <c r="GK521" s="1358"/>
      <c r="GL521" s="1358"/>
      <c r="GM521" s="1358"/>
      <c r="GN521" s="1358"/>
      <c r="GO521" s="1358"/>
      <c r="GP521" s="1358"/>
      <c r="GQ521" s="1358"/>
      <c r="GR521" s="1358"/>
      <c r="GS521" s="1358"/>
      <c r="GT521" s="1358"/>
      <c r="GU521" s="1358"/>
      <c r="GV521" s="1358"/>
      <c r="GW521" s="1358"/>
      <c r="GX521" s="1358"/>
      <c r="GY521" s="1358"/>
      <c r="GZ521" s="1358"/>
      <c r="HA521" s="1358"/>
      <c r="HB521" s="1358"/>
      <c r="HC521" s="1358"/>
      <c r="HD521" s="1358"/>
      <c r="HE521" s="1358"/>
      <c r="HF521" s="1358"/>
      <c r="HG521" s="1358"/>
      <c r="HH521" s="1358"/>
      <c r="HI521" s="1358"/>
      <c r="HJ521" s="1358"/>
      <c r="HK521" s="1358"/>
      <c r="HL521" s="1358"/>
      <c r="HM521" s="1358"/>
      <c r="HN521" s="1358"/>
      <c r="HO521" s="1358"/>
      <c r="HP521" s="1358"/>
      <c r="HQ521" s="1358"/>
      <c r="HR521" s="1358"/>
      <c r="HS521" s="1358"/>
      <c r="HT521" s="1358"/>
      <c r="HU521" s="1358"/>
      <c r="HV521" s="1358"/>
      <c r="HW521" s="1358"/>
      <c r="HX521" s="1358"/>
      <c r="HY521" s="1358"/>
      <c r="HZ521" s="1358"/>
      <c r="IA521" s="1358"/>
      <c r="IB521" s="1358"/>
      <c r="IC521" s="1358"/>
      <c r="ID521" s="1358"/>
      <c r="IE521" s="1358"/>
      <c r="IF521" s="1358"/>
      <c r="IG521" s="1358"/>
      <c r="IH521" s="1358"/>
      <c r="II521" s="1358"/>
      <c r="IJ521" s="1358"/>
      <c r="IK521" s="1358"/>
      <c r="IL521" s="1358"/>
      <c r="IM521" s="1358"/>
      <c r="IN521" s="1358"/>
      <c r="IO521" s="1358"/>
      <c r="IP521" s="1358"/>
      <c r="IQ521" s="1358"/>
      <c r="IR521" s="1358"/>
      <c r="IS521" s="1358"/>
      <c r="IT521" s="1358"/>
      <c r="IU521" s="1358"/>
      <c r="IV521" s="1358"/>
      <c r="IW521" s="1358"/>
      <c r="IX521" s="1358"/>
      <c r="IY521" s="1358"/>
      <c r="IZ521" s="1358"/>
      <c r="JA521" s="1358"/>
      <c r="JB521" s="1358"/>
      <c r="JC521" s="1358"/>
      <c r="JD521" s="1358"/>
      <c r="JE521" s="1358"/>
      <c r="JF521" s="1358"/>
      <c r="JG521" s="1358"/>
      <c r="JH521" s="1358"/>
      <c r="JI521" s="1358"/>
      <c r="JJ521" s="1358"/>
      <c r="JK521" s="1358"/>
      <c r="JL521" s="1358"/>
      <c r="JM521" s="1358"/>
      <c r="JN521" s="1358"/>
      <c r="JO521" s="1358"/>
      <c r="JP521" s="1358"/>
      <c r="JQ521" s="1358"/>
      <c r="JR521" s="1358"/>
      <c r="JS521" s="1358"/>
      <c r="JT521" s="1358"/>
      <c r="JU521" s="1358"/>
      <c r="JV521" s="1358"/>
      <c r="JW521" s="1358"/>
      <c r="JX521" s="1358"/>
      <c r="JY521" s="1358"/>
      <c r="JZ521" s="1358"/>
      <c r="KA521" s="1358"/>
      <c r="KB521" s="1358"/>
      <c r="KC521" s="1358"/>
      <c r="KD521" s="1358"/>
      <c r="KE521" s="1358"/>
      <c r="KF521" s="1358"/>
      <c r="KG521" s="1358"/>
      <c r="KH521" s="1358"/>
      <c r="KI521" s="1358"/>
      <c r="KJ521" s="1358"/>
      <c r="KK521" s="1358"/>
      <c r="KL521" s="1358"/>
      <c r="KM521" s="1358"/>
      <c r="KN521" s="1358"/>
      <c r="KO521" s="1358"/>
      <c r="KP521" s="1358"/>
      <c r="KQ521" s="1358"/>
      <c r="KR521" s="1358"/>
      <c r="KS521" s="1358"/>
      <c r="KT521" s="1358"/>
      <c r="KU521" s="1358"/>
      <c r="KV521" s="1358"/>
      <c r="KW521" s="1358"/>
      <c r="KX521" s="1358"/>
      <c r="KY521" s="1358"/>
      <c r="KZ521" s="1358"/>
      <c r="LA521" s="1358"/>
      <c r="LB521" s="1358"/>
      <c r="LC521" s="1358"/>
      <c r="LD521" s="1358"/>
      <c r="LE521" s="1358"/>
      <c r="LF521" s="1358"/>
      <c r="LG521" s="1358"/>
      <c r="LH521" s="1358"/>
      <c r="LI521" s="1358"/>
      <c r="LJ521" s="1358"/>
      <c r="LK521" s="1358"/>
      <c r="LL521" s="1358"/>
      <c r="LM521" s="1358"/>
      <c r="LN521" s="1358"/>
      <c r="LO521" s="1358"/>
      <c r="LP521" s="1358"/>
      <c r="LQ521" s="1358"/>
      <c r="LR521" s="1358"/>
      <c r="LS521" s="1358"/>
      <c r="LT521" s="1358"/>
      <c r="LU521" s="1358"/>
      <c r="LV521" s="1358"/>
      <c r="LW521" s="1358"/>
      <c r="LX521" s="1358"/>
      <c r="LY521" s="1358"/>
      <c r="LZ521" s="1358"/>
      <c r="MA521" s="1358"/>
      <c r="MB521" s="1358"/>
      <c r="MC521" s="1358"/>
      <c r="MD521" s="1358"/>
      <c r="ME521" s="1358"/>
      <c r="MF521" s="1358"/>
      <c r="MG521" s="1358"/>
      <c r="MH521" s="1358"/>
      <c r="MI521" s="1358"/>
      <c r="MJ521" s="1358"/>
      <c r="MK521" s="1358"/>
      <c r="ML521" s="1358"/>
      <c r="MM521" s="1358"/>
      <c r="MN521" s="1358"/>
      <c r="MO521" s="1358"/>
      <c r="MP521" s="1358"/>
      <c r="MQ521" s="1358"/>
      <c r="MR521" s="1358"/>
      <c r="MS521" s="1358"/>
      <c r="MT521" s="1358"/>
      <c r="MU521" s="1358"/>
      <c r="MV521" s="1358"/>
      <c r="MW521" s="1358"/>
      <c r="MX521" s="1358"/>
      <c r="MY521" s="1358"/>
      <c r="MZ521" s="1358"/>
      <c r="NA521" s="1358"/>
      <c r="NB521" s="1358"/>
      <c r="NC521" s="1358"/>
      <c r="ND521" s="1358"/>
      <c r="NE521" s="1358"/>
      <c r="NF521" s="1358"/>
      <c r="NG521" s="1358"/>
      <c r="NH521" s="1358"/>
      <c r="NI521" s="1358"/>
      <c r="NJ521" s="1358"/>
      <c r="NK521" s="1358"/>
      <c r="NL521" s="1358"/>
      <c r="NM521" s="1358"/>
      <c r="NN521" s="1358"/>
      <c r="NO521" s="1358"/>
      <c r="NP521" s="1358"/>
      <c r="NQ521" s="1358"/>
      <c r="NR521" s="1358"/>
      <c r="NS521" s="1358"/>
      <c r="NT521" s="1358"/>
      <c r="NU521" s="1358"/>
      <c r="NV521" s="1358"/>
      <c r="NW521" s="1358"/>
      <c r="NX521" s="1358"/>
      <c r="NY521" s="1358"/>
      <c r="NZ521" s="1358"/>
      <c r="OA521" s="1358"/>
      <c r="OB521" s="1358"/>
      <c r="OC521" s="1358"/>
      <c r="OD521" s="1358"/>
      <c r="OE521" s="1358"/>
      <c r="OF521" s="1358"/>
      <c r="OG521" s="1358"/>
      <c r="OH521" s="1358"/>
      <c r="OI521" s="1358"/>
      <c r="OJ521" s="1358"/>
      <c r="OK521" s="1358"/>
      <c r="OL521" s="1358"/>
      <c r="OM521" s="1358"/>
      <c r="ON521" s="1358"/>
      <c r="OO521" s="1358"/>
      <c r="OP521" s="1358"/>
      <c r="OQ521" s="1358"/>
      <c r="OR521" s="1358"/>
      <c r="OS521" s="1358"/>
      <c r="OT521" s="1358"/>
      <c r="OU521" s="1358"/>
      <c r="OV521" s="1358"/>
      <c r="OW521" s="1358"/>
      <c r="OX521" s="1358"/>
      <c r="OY521" s="1358"/>
      <c r="OZ521" s="1358"/>
      <c r="PA521" s="1358"/>
      <c r="PB521" s="1358"/>
      <c r="PC521" s="1358"/>
      <c r="PD521" s="1358"/>
      <c r="PE521" s="1358"/>
      <c r="PF521" s="1358"/>
      <c r="PG521" s="1358"/>
      <c r="PH521" s="1358"/>
      <c r="PI521" s="1358"/>
      <c r="PJ521" s="1358"/>
      <c r="PK521" s="1358"/>
      <c r="PL521" s="1358"/>
      <c r="PM521" s="1358"/>
      <c r="PN521" s="1358"/>
      <c r="PO521" s="1358"/>
      <c r="PP521" s="1358"/>
      <c r="PQ521" s="1358"/>
      <c r="PR521" s="1358"/>
      <c r="PS521" s="1358"/>
      <c r="PT521" s="1358"/>
      <c r="PU521" s="1358"/>
      <c r="PV521" s="1358"/>
      <c r="PW521" s="1358"/>
      <c r="PX521" s="1358"/>
      <c r="PY521" s="1358"/>
      <c r="PZ521" s="1358"/>
      <c r="QA521" s="1358"/>
      <c r="QB521" s="1358"/>
      <c r="QC521" s="1358"/>
      <c r="QD521" s="1358"/>
      <c r="QE521" s="1358"/>
      <c r="QF521" s="1358"/>
      <c r="QG521" s="1358"/>
      <c r="QH521" s="1358"/>
      <c r="QI521" s="1358"/>
      <c r="QJ521" s="1358"/>
      <c r="QK521" s="1358"/>
      <c r="QL521" s="1358"/>
      <c r="QM521" s="1358"/>
      <c r="QN521" s="1358"/>
      <c r="QO521" s="1358"/>
      <c r="QP521" s="1358"/>
      <c r="QQ521" s="1358"/>
      <c r="QR521" s="1358"/>
      <c r="QS521" s="1358"/>
      <c r="QT521" s="1358"/>
      <c r="QU521" s="1358"/>
      <c r="QV521" s="1358"/>
      <c r="QW521" s="1358"/>
      <c r="QX521" s="1358"/>
      <c r="QY521" s="1358"/>
      <c r="QZ521" s="1358"/>
      <c r="RA521" s="1358"/>
      <c r="RB521" s="1358"/>
      <c r="RC521" s="1358"/>
      <c r="RD521" s="1358"/>
      <c r="RE521" s="1358"/>
      <c r="RF521" s="1358"/>
      <c r="RG521" s="1358"/>
      <c r="RH521" s="1358"/>
      <c r="RI521" s="1358"/>
      <c r="RJ521" s="1358"/>
      <c r="RK521" s="1358"/>
      <c r="RL521" s="1358"/>
      <c r="RM521" s="1358"/>
      <c r="RN521" s="1358"/>
      <c r="RO521" s="1358"/>
      <c r="RP521" s="1358"/>
      <c r="RQ521" s="1358"/>
      <c r="RR521" s="1358"/>
      <c r="RS521" s="1358"/>
      <c r="RT521" s="1358"/>
      <c r="RU521" s="1358"/>
      <c r="RV521" s="1358"/>
      <c r="RW521" s="1358"/>
      <c r="RX521" s="1358"/>
      <c r="RY521" s="1358"/>
      <c r="RZ521" s="1358"/>
      <c r="SA521" s="1358"/>
      <c r="SB521" s="1358"/>
      <c r="SC521" s="1358"/>
      <c r="SD521" s="1358"/>
      <c r="SE521" s="1358"/>
      <c r="SF521" s="1358"/>
      <c r="SG521" s="1358"/>
      <c r="SH521" s="1358"/>
      <c r="SI521" s="1358"/>
      <c r="SJ521" s="1358"/>
      <c r="SK521" s="1358"/>
      <c r="SL521" s="1358"/>
      <c r="SM521" s="1358"/>
      <c r="SN521" s="1358"/>
      <c r="SO521" s="1358"/>
      <c r="SP521" s="1358"/>
      <c r="SQ521" s="1358"/>
      <c r="SR521" s="1358"/>
      <c r="SS521" s="1358"/>
      <c r="ST521" s="1358"/>
      <c r="SU521" s="1358"/>
      <c r="SV521" s="1358"/>
      <c r="SW521" s="1358"/>
      <c r="SX521" s="1358"/>
      <c r="SY521" s="1358"/>
      <c r="SZ521" s="1358"/>
      <c r="TA521" s="1358"/>
      <c r="TB521" s="1358"/>
      <c r="TC521" s="1358"/>
      <c r="TD521" s="1358"/>
      <c r="TE521" s="1358"/>
      <c r="TF521" s="1358"/>
      <c r="TG521" s="1358"/>
      <c r="TH521" s="1358"/>
      <c r="TI521" s="1358"/>
      <c r="TJ521" s="1358"/>
      <c r="TK521" s="1358"/>
      <c r="TL521" s="1358"/>
      <c r="TM521" s="1358"/>
      <c r="TN521" s="1358"/>
      <c r="TO521" s="1358"/>
      <c r="TP521" s="1358"/>
      <c r="TQ521" s="1358"/>
      <c r="TR521" s="1358"/>
      <c r="TS521" s="1358"/>
      <c r="TT521" s="1358"/>
      <c r="TU521" s="1358"/>
      <c r="TV521" s="1358"/>
      <c r="TW521" s="1358"/>
      <c r="TX521" s="1358"/>
      <c r="TY521" s="1358"/>
      <c r="TZ521" s="1358"/>
      <c r="UA521" s="1358"/>
      <c r="UB521" s="1358"/>
      <c r="UC521" s="1358"/>
      <c r="UD521" s="1358"/>
      <c r="UE521" s="1358"/>
      <c r="UF521" s="1358"/>
      <c r="UG521" s="1358"/>
      <c r="UH521" s="1358"/>
      <c r="UI521" s="1358"/>
      <c r="UJ521" s="1358"/>
      <c r="UK521" s="1358"/>
      <c r="UL521" s="1358"/>
      <c r="UM521" s="1358"/>
      <c r="UN521" s="1358"/>
      <c r="UO521" s="1358"/>
      <c r="UP521" s="1358"/>
      <c r="UQ521" s="1358"/>
      <c r="UR521" s="1358"/>
      <c r="US521" s="1358"/>
      <c r="UT521" s="1358"/>
      <c r="UU521" s="1358"/>
      <c r="UV521" s="1358"/>
      <c r="UW521" s="1358"/>
      <c r="UX521" s="1358"/>
      <c r="UY521" s="1358"/>
      <c r="UZ521" s="1358"/>
      <c r="VA521" s="1358"/>
      <c r="VB521" s="1358"/>
      <c r="VC521" s="1358"/>
      <c r="VD521" s="1358"/>
      <c r="VE521" s="1358"/>
      <c r="VF521" s="1358"/>
      <c r="VG521" s="1358"/>
      <c r="VH521" s="1358"/>
      <c r="VI521" s="1358"/>
      <c r="VJ521" s="1358"/>
      <c r="VK521" s="1358"/>
      <c r="VL521" s="1358"/>
      <c r="VM521" s="1358"/>
      <c r="VN521" s="1358"/>
      <c r="VO521" s="1358"/>
      <c r="VP521" s="1358"/>
      <c r="VQ521" s="1358"/>
      <c r="VR521" s="1358"/>
      <c r="VS521" s="1358"/>
      <c r="VT521" s="1358"/>
      <c r="VU521" s="1358"/>
      <c r="VV521" s="1358"/>
      <c r="VW521" s="1358"/>
      <c r="VX521" s="1358"/>
      <c r="VY521" s="1358"/>
      <c r="VZ521" s="1358"/>
      <c r="WA521" s="1358"/>
      <c r="WB521" s="1358"/>
      <c r="WC521" s="1358"/>
      <c r="WD521" s="1358"/>
      <c r="WE521" s="1358"/>
      <c r="WF521" s="1358"/>
      <c r="WG521" s="1358"/>
      <c r="WH521" s="1358"/>
      <c r="WI521" s="1358"/>
      <c r="WJ521" s="1358"/>
      <c r="WK521" s="1358"/>
      <c r="WL521" s="1358"/>
      <c r="WM521" s="1358"/>
      <c r="WN521" s="1358"/>
      <c r="WO521" s="1358"/>
      <c r="WP521" s="1358"/>
      <c r="WQ521" s="1358"/>
      <c r="WR521" s="1358"/>
      <c r="WS521" s="1358"/>
      <c r="WT521" s="1358"/>
      <c r="WU521" s="1358"/>
      <c r="WV521" s="1358"/>
      <c r="WW521" s="1358"/>
      <c r="WX521" s="1358"/>
      <c r="WY521" s="1358"/>
      <c r="WZ521" s="1358"/>
      <c r="XA521" s="1358"/>
      <c r="XB521" s="1358"/>
      <c r="XC521" s="1358"/>
      <c r="XD521" s="1358"/>
      <c r="XE521" s="1358"/>
      <c r="XF521" s="1358"/>
      <c r="XG521" s="1358"/>
      <c r="XH521" s="1358"/>
      <c r="XI521" s="1358"/>
      <c r="XJ521" s="1358"/>
      <c r="XK521" s="1358"/>
      <c r="XL521" s="1358"/>
      <c r="XM521" s="1358"/>
      <c r="XN521" s="1358"/>
      <c r="XO521" s="1358"/>
      <c r="XP521" s="1358"/>
      <c r="XQ521" s="1358"/>
      <c r="XR521" s="1358"/>
      <c r="XS521" s="1358"/>
      <c r="XT521" s="1358"/>
      <c r="XU521" s="1358"/>
      <c r="XV521" s="1358"/>
      <c r="XW521" s="1358"/>
      <c r="XX521" s="1358"/>
      <c r="XY521" s="1358"/>
      <c r="XZ521" s="1358"/>
      <c r="YA521" s="1358"/>
      <c r="YB521" s="1358"/>
      <c r="YC521" s="1358"/>
      <c r="YD521" s="1358"/>
      <c r="YE521" s="1358"/>
      <c r="YF521" s="1358"/>
      <c r="YG521" s="1358"/>
      <c r="YH521" s="1358"/>
      <c r="YI521" s="1358"/>
      <c r="YJ521" s="1358"/>
      <c r="YK521" s="1358"/>
      <c r="YL521" s="1358"/>
      <c r="YM521" s="1358"/>
      <c r="YN521" s="1358"/>
      <c r="YO521" s="1358"/>
      <c r="YP521" s="1358"/>
      <c r="YQ521" s="1358"/>
      <c r="YR521" s="1358"/>
      <c r="YS521" s="1358"/>
      <c r="YT521" s="1358"/>
      <c r="YU521" s="1358"/>
      <c r="YV521" s="1358"/>
      <c r="YW521" s="1358"/>
      <c r="YX521" s="1358"/>
      <c r="YY521" s="1358"/>
      <c r="YZ521" s="1358"/>
      <c r="ZA521" s="1358"/>
      <c r="ZB521" s="1358"/>
      <c r="ZC521" s="1358"/>
      <c r="ZD521" s="1358"/>
      <c r="ZE521" s="1358"/>
      <c r="ZF521" s="1358"/>
      <c r="ZG521" s="1358"/>
      <c r="ZH521" s="1358"/>
      <c r="ZI521" s="1358"/>
      <c r="ZJ521" s="1358"/>
      <c r="ZK521" s="1358"/>
      <c r="ZL521" s="1358"/>
      <c r="ZM521" s="1358"/>
      <c r="ZN521" s="1358"/>
      <c r="ZO521" s="1358"/>
      <c r="ZP521" s="1358"/>
      <c r="ZQ521" s="1358"/>
      <c r="ZR521" s="1358"/>
      <c r="ZS521" s="1358"/>
      <c r="ZT521" s="1358"/>
      <c r="ZU521" s="1358"/>
      <c r="ZV521" s="1358"/>
      <c r="ZW521" s="1358"/>
      <c r="ZX521" s="1358"/>
      <c r="ZY521" s="1358"/>
      <c r="ZZ521" s="1358"/>
      <c r="AAA521" s="1358"/>
      <c r="AAB521" s="1358"/>
      <c r="AAC521" s="1358"/>
      <c r="AAD521" s="1358"/>
      <c r="AAE521" s="1358"/>
      <c r="AAF521" s="1358"/>
      <c r="AAG521" s="1358"/>
      <c r="AAH521" s="1358"/>
      <c r="AAI521" s="1358"/>
      <c r="AAJ521" s="1358"/>
      <c r="AAK521" s="1358"/>
      <c r="AAL521" s="1358"/>
      <c r="AAM521" s="1358"/>
      <c r="AAN521" s="1358"/>
      <c r="AAO521" s="1358"/>
      <c r="AAP521" s="1358"/>
      <c r="AAQ521" s="1358"/>
      <c r="AAR521" s="1358"/>
      <c r="AAS521" s="1358"/>
      <c r="AAT521" s="1358"/>
      <c r="AAU521" s="1358"/>
      <c r="AAV521" s="1358"/>
      <c r="AAW521" s="1358"/>
      <c r="AAX521" s="1358"/>
      <c r="AAY521" s="1358"/>
      <c r="AAZ521" s="1358"/>
      <c r="ABA521" s="1358"/>
      <c r="ABB521" s="1358"/>
      <c r="ABC521" s="1358"/>
      <c r="ABD521" s="1358"/>
      <c r="ABE521" s="1358"/>
      <c r="ABF521" s="1358"/>
      <c r="ABG521" s="1358"/>
      <c r="ABH521" s="1358"/>
      <c r="ABI521" s="1358"/>
      <c r="ABJ521" s="1358"/>
      <c r="ABK521" s="1358"/>
      <c r="ABL521" s="1358"/>
      <c r="ABM521" s="1358"/>
      <c r="ABN521" s="1358"/>
      <c r="ABO521" s="1358"/>
      <c r="ABP521" s="1358"/>
      <c r="ABQ521" s="1358"/>
      <c r="ABR521" s="1358"/>
      <c r="ABS521" s="1358"/>
      <c r="ABT521" s="1358"/>
      <c r="ABU521" s="1358"/>
      <c r="ABV521" s="1358"/>
      <c r="ABW521" s="1358"/>
      <c r="ABX521" s="1358"/>
      <c r="ABY521" s="1358"/>
      <c r="ABZ521" s="1358"/>
      <c r="ACA521" s="1358"/>
      <c r="ACB521" s="1358"/>
      <c r="ACC521" s="1358"/>
      <c r="ACD521" s="1358"/>
      <c r="ACE521" s="1358"/>
      <c r="ACF521" s="1358"/>
      <c r="ACG521" s="1358"/>
      <c r="ACH521" s="1358"/>
      <c r="ACI521" s="1358"/>
      <c r="ACJ521" s="1358"/>
      <c r="ACK521" s="1358"/>
      <c r="ACL521" s="1358"/>
      <c r="ACM521" s="1358"/>
      <c r="ACN521" s="1358"/>
      <c r="ACO521" s="1358"/>
      <c r="ACP521" s="1358"/>
      <c r="ACQ521" s="1358"/>
      <c r="ACR521" s="1358"/>
      <c r="ACS521" s="1358"/>
      <c r="ACT521" s="1358"/>
      <c r="ACU521" s="1358"/>
      <c r="ACV521" s="1358"/>
      <c r="ACW521" s="1358"/>
      <c r="ACX521" s="1358"/>
      <c r="ACY521" s="1358"/>
      <c r="ACZ521" s="1358"/>
      <c r="ADA521" s="1358"/>
      <c r="ADB521" s="1358"/>
      <c r="ADC521" s="1358"/>
      <c r="ADD521" s="1358"/>
      <c r="ADE521" s="1358"/>
      <c r="ADF521" s="1358"/>
      <c r="ADG521" s="1358"/>
      <c r="ADH521" s="1358"/>
      <c r="ADI521" s="1358"/>
      <c r="ADJ521" s="1358"/>
      <c r="ADK521" s="1358"/>
      <c r="ADL521" s="1358"/>
      <c r="ADM521" s="1358"/>
      <c r="ADN521" s="1358"/>
      <c r="ADO521" s="1358"/>
      <c r="ADP521" s="1358"/>
      <c r="ADQ521" s="1358"/>
      <c r="ADR521" s="1358"/>
      <c r="ADS521" s="1358"/>
      <c r="ADT521" s="1358"/>
      <c r="ADU521" s="1358"/>
      <c r="ADV521" s="1358"/>
      <c r="ADW521" s="1358"/>
      <c r="ADX521" s="1358"/>
      <c r="ADY521" s="1358"/>
      <c r="ADZ521" s="1358"/>
      <c r="AEA521" s="1358"/>
      <c r="AEB521" s="1358"/>
      <c r="AEC521" s="1358"/>
      <c r="AED521" s="1358"/>
      <c r="AEE521" s="1358"/>
      <c r="AEF521" s="1358"/>
      <c r="AEG521" s="1358"/>
      <c r="AEH521" s="1358"/>
      <c r="AEI521" s="1358"/>
      <c r="AEJ521" s="1358"/>
      <c r="AEK521" s="1358"/>
      <c r="AEL521" s="1358"/>
      <c r="AEM521" s="1358"/>
      <c r="AEN521" s="1358"/>
      <c r="AEO521" s="1358"/>
      <c r="AEP521" s="1358"/>
      <c r="AEQ521" s="1358"/>
      <c r="AER521" s="1358"/>
      <c r="AES521" s="1358"/>
      <c r="AET521" s="1358"/>
      <c r="AEU521" s="1358"/>
      <c r="AEV521" s="1358"/>
      <c r="AEW521" s="1358"/>
      <c r="AEX521" s="1358"/>
      <c r="AEY521" s="1358"/>
      <c r="AEZ521" s="1358"/>
      <c r="AFA521" s="1358"/>
      <c r="AFB521" s="1358"/>
      <c r="AFC521" s="1358"/>
      <c r="AFD521" s="1358"/>
      <c r="AFE521" s="1358"/>
      <c r="AFF521" s="1358"/>
      <c r="AFG521" s="1358"/>
      <c r="AFH521" s="1358"/>
      <c r="AFI521" s="1358"/>
      <c r="AFJ521" s="1358"/>
      <c r="AFK521" s="1358"/>
      <c r="AFL521" s="1358"/>
      <c r="AFM521" s="1358"/>
      <c r="AFN521" s="1358"/>
      <c r="AFO521" s="1358"/>
      <c r="AFP521" s="1358"/>
      <c r="AFQ521" s="1358"/>
      <c r="AFR521" s="1358"/>
      <c r="AFS521" s="1358"/>
      <c r="AFT521" s="1358"/>
      <c r="AFU521" s="1358"/>
      <c r="AFV521" s="1358"/>
      <c r="AFW521" s="1358"/>
      <c r="AFX521" s="1358"/>
      <c r="AFY521" s="1358"/>
      <c r="AFZ521" s="1358"/>
      <c r="AGA521" s="1358"/>
      <c r="AGB521" s="1358"/>
      <c r="AGC521" s="1358"/>
      <c r="AGD521" s="1358"/>
      <c r="AGE521" s="1358"/>
      <c r="AGF521" s="1358"/>
      <c r="AGG521" s="1358"/>
      <c r="AGH521" s="1358"/>
      <c r="AGI521" s="1358"/>
      <c r="AGJ521" s="1358"/>
      <c r="AGK521" s="1358"/>
      <c r="AGL521" s="1358"/>
      <c r="AGM521" s="1358"/>
      <c r="AGN521" s="1358"/>
      <c r="AGO521" s="1358"/>
      <c r="AGP521" s="1358"/>
      <c r="AGQ521" s="1358"/>
      <c r="AGR521" s="1358"/>
      <c r="AGS521" s="1358"/>
      <c r="AGT521" s="1358"/>
      <c r="AGU521" s="1358"/>
      <c r="AGV521" s="1358"/>
      <c r="AGW521" s="1358"/>
      <c r="AGX521" s="1358"/>
      <c r="AGY521" s="1358"/>
      <c r="AGZ521" s="1358"/>
      <c r="AHA521" s="1358"/>
      <c r="AHB521" s="1358"/>
      <c r="AHC521" s="1358"/>
      <c r="AHD521" s="1358"/>
      <c r="AHE521" s="1358"/>
      <c r="AHF521" s="1358"/>
      <c r="AHG521" s="1358"/>
      <c r="AHH521" s="1358"/>
      <c r="AHI521" s="1358"/>
      <c r="AHJ521" s="1358"/>
      <c r="AHK521" s="1358"/>
      <c r="AHL521" s="1358"/>
      <c r="AHM521" s="1358"/>
      <c r="AHN521" s="1358"/>
      <c r="AHO521" s="1358"/>
      <c r="AHP521" s="1358"/>
      <c r="AHQ521" s="1358"/>
      <c r="AHR521" s="1358"/>
      <c r="AHS521" s="1358"/>
      <c r="AHT521" s="1358"/>
      <c r="AHU521" s="1358"/>
      <c r="AHV521" s="1358"/>
      <c r="AHW521" s="1358"/>
      <c r="AHX521" s="1358"/>
      <c r="AHY521" s="1358"/>
      <c r="AHZ521" s="1358"/>
      <c r="AIA521" s="1358"/>
      <c r="AIB521" s="1358"/>
      <c r="AIC521" s="1358"/>
      <c r="AID521" s="1358"/>
      <c r="AIE521" s="1358"/>
      <c r="AIF521" s="1358"/>
      <c r="AIG521" s="1358"/>
      <c r="AIH521" s="1358"/>
      <c r="AII521" s="1358"/>
      <c r="AIJ521" s="1358"/>
      <c r="AIK521" s="1358"/>
      <c r="AIL521" s="1358"/>
      <c r="AIM521" s="1358"/>
      <c r="AIN521" s="1358"/>
      <c r="AIO521" s="1358"/>
      <c r="AIP521" s="1358"/>
      <c r="AIQ521" s="1358"/>
      <c r="AIR521" s="1358"/>
      <c r="AIS521" s="1358"/>
      <c r="AIT521" s="1358"/>
      <c r="AIU521" s="1358"/>
      <c r="AIV521" s="1358"/>
      <c r="AIW521" s="1358"/>
      <c r="AIX521" s="1358"/>
      <c r="AIY521" s="1358"/>
      <c r="AIZ521" s="1358"/>
      <c r="AJA521" s="1358"/>
      <c r="AJB521" s="1358"/>
      <c r="AJC521" s="1358"/>
      <c r="AJD521" s="1358"/>
      <c r="AJE521" s="1358"/>
      <c r="AJF521" s="1358"/>
      <c r="AJG521" s="1358"/>
      <c r="AJH521" s="1358"/>
      <c r="AJI521" s="1358"/>
      <c r="AJJ521" s="1358"/>
      <c r="AJK521" s="1358"/>
      <c r="AJL521" s="1358"/>
      <c r="AJM521" s="1358"/>
      <c r="AJN521" s="1358"/>
      <c r="AJO521" s="1358"/>
      <c r="AJP521" s="1358"/>
      <c r="AJQ521" s="1358"/>
      <c r="AJR521" s="1358"/>
      <c r="AJS521" s="1358"/>
      <c r="AJT521" s="1358"/>
      <c r="AJU521" s="1358"/>
      <c r="AJV521" s="1358"/>
      <c r="AJW521" s="1358"/>
      <c r="AJX521" s="1358"/>
      <c r="AJY521" s="1358"/>
      <c r="AJZ521" s="1358"/>
      <c r="AKA521" s="1358"/>
      <c r="AKB521" s="1358"/>
      <c r="AKC521" s="1358"/>
      <c r="AKD521" s="1358"/>
      <c r="AKE521" s="1358"/>
      <c r="AKF521" s="1358"/>
      <c r="AKG521" s="1358"/>
      <c r="AKH521" s="1358"/>
      <c r="AKI521" s="1358"/>
      <c r="AKJ521" s="1358"/>
      <c r="AKK521" s="1358"/>
      <c r="AKL521" s="1358"/>
      <c r="AKM521" s="1358"/>
      <c r="AKN521" s="1358"/>
      <c r="AKO521" s="1358"/>
      <c r="AKP521" s="1358"/>
      <c r="AKQ521" s="1358"/>
      <c r="AKR521" s="1358"/>
      <c r="AKS521" s="1358"/>
      <c r="AKT521" s="1358"/>
      <c r="AKU521" s="1358"/>
      <c r="AKV521" s="1358"/>
      <c r="AKW521" s="1358"/>
      <c r="AKX521" s="1358"/>
      <c r="AKY521" s="1358"/>
      <c r="AKZ521" s="1358"/>
      <c r="ALA521" s="1358"/>
      <c r="ALB521" s="1358"/>
      <c r="ALC521" s="1358"/>
      <c r="ALD521" s="1358"/>
      <c r="ALE521" s="1358"/>
      <c r="ALF521" s="1358"/>
      <c r="ALG521" s="1358"/>
      <c r="ALH521" s="1358"/>
      <c r="ALI521" s="1358"/>
      <c r="ALJ521" s="1358"/>
      <c r="ALK521" s="1358"/>
      <c r="ALL521" s="1358"/>
      <c r="ALM521" s="1358"/>
      <c r="ALN521" s="1358"/>
      <c r="ALO521" s="1358"/>
      <c r="ALP521" s="1358"/>
      <c r="ALQ521" s="1358"/>
      <c r="ALR521" s="1358"/>
      <c r="ALS521" s="1358"/>
      <c r="ALT521" s="1358"/>
      <c r="ALU521" s="1358"/>
      <c r="ALV521" s="1358"/>
      <c r="ALW521" s="1358"/>
      <c r="ALX521" s="1358"/>
      <c r="ALY521" s="1358"/>
      <c r="ALZ521" s="1358"/>
      <c r="AMA521" s="1358"/>
      <c r="AMB521" s="1358"/>
      <c r="AMC521" s="1358"/>
      <c r="AMD521" s="1358"/>
      <c r="AME521" s="1358"/>
      <c r="AMF521" s="1358"/>
      <c r="AMG521" s="1358"/>
      <c r="AMH521" s="1358"/>
      <c r="AMI521" s="1358"/>
      <c r="AMJ521" s="1358"/>
      <c r="AMK521" s="1358"/>
      <c r="AML521" s="1358"/>
      <c r="AMM521" s="1358"/>
      <c r="AMN521" s="1358"/>
      <c r="AMO521" s="1358"/>
      <c r="AMP521" s="1358"/>
      <c r="AMQ521" s="1358"/>
      <c r="AMR521" s="1358"/>
      <c r="AMS521" s="1358"/>
      <c r="AMT521" s="1358"/>
      <c r="AMU521" s="1358"/>
      <c r="AMV521" s="1358"/>
      <c r="AMW521" s="1358"/>
      <c r="AMX521" s="1358"/>
      <c r="AMY521" s="1358"/>
      <c r="AMZ521" s="1358"/>
      <c r="ANA521" s="1358"/>
      <c r="ANB521" s="1358"/>
      <c r="ANC521" s="1358"/>
      <c r="AND521" s="1358"/>
      <c r="ANE521" s="1358"/>
      <c r="ANF521" s="1358"/>
      <c r="ANG521" s="1358"/>
      <c r="ANH521" s="1358"/>
      <c r="ANI521" s="1358"/>
      <c r="ANJ521" s="1358"/>
      <c r="ANK521" s="1358"/>
      <c r="ANL521" s="1358"/>
      <c r="ANM521" s="1358"/>
      <c r="ANN521" s="1358"/>
      <c r="ANO521" s="1358"/>
      <c r="ANP521" s="1358"/>
      <c r="ANQ521" s="1358"/>
      <c r="ANR521" s="1358"/>
      <c r="ANS521" s="1358"/>
      <c r="ANT521" s="1358"/>
      <c r="ANU521" s="1358"/>
      <c r="ANV521" s="1358"/>
      <c r="ANW521" s="1358"/>
      <c r="ANX521" s="1358"/>
      <c r="ANY521" s="1358"/>
      <c r="ANZ521" s="1358"/>
      <c r="AOA521" s="1358"/>
      <c r="AOB521" s="1358"/>
      <c r="AOC521" s="1358"/>
      <c r="AOD521" s="1358"/>
      <c r="AOE521" s="1358"/>
      <c r="AOF521" s="1358"/>
      <c r="AOG521" s="1358"/>
      <c r="AOH521" s="1358"/>
      <c r="AOI521" s="1358"/>
      <c r="AOJ521" s="1358"/>
      <c r="AOK521" s="1358"/>
      <c r="AOL521" s="1358"/>
      <c r="AOM521" s="1358"/>
      <c r="AON521" s="1358"/>
      <c r="AOO521" s="1358"/>
      <c r="AOP521" s="1358"/>
      <c r="AOQ521" s="1358"/>
      <c r="AOR521" s="1358"/>
      <c r="AOS521" s="1358"/>
      <c r="AOT521" s="1358"/>
      <c r="AOU521" s="1358"/>
      <c r="AOV521" s="1358"/>
      <c r="AOW521" s="1358"/>
      <c r="AOX521" s="1358"/>
      <c r="AOY521" s="1358"/>
      <c r="AOZ521" s="1358"/>
      <c r="APA521" s="1358"/>
      <c r="APB521" s="1358"/>
      <c r="APC521" s="1358"/>
      <c r="APD521" s="1358"/>
      <c r="APE521" s="1358"/>
      <c r="APF521" s="1358"/>
      <c r="APG521" s="1358"/>
      <c r="APH521" s="1358"/>
      <c r="API521" s="1358"/>
      <c r="APJ521" s="1358"/>
      <c r="APK521" s="1358"/>
      <c r="APL521" s="1358"/>
      <c r="APM521" s="1358"/>
      <c r="APN521" s="1358"/>
      <c r="APO521" s="1358"/>
      <c r="APP521" s="1358"/>
      <c r="APQ521" s="1358"/>
      <c r="APR521" s="1358"/>
      <c r="APS521" s="1358"/>
      <c r="APT521" s="1358"/>
      <c r="APU521" s="1358"/>
      <c r="APV521" s="1358"/>
      <c r="APW521" s="1358"/>
      <c r="APX521" s="1358"/>
      <c r="APY521" s="1358"/>
      <c r="APZ521" s="1358"/>
      <c r="AQA521" s="1358"/>
      <c r="AQB521" s="1358"/>
      <c r="AQC521" s="1358"/>
      <c r="AQD521" s="1358"/>
      <c r="AQE521" s="1358"/>
      <c r="AQF521" s="1358"/>
      <c r="AQG521" s="1358"/>
      <c r="AQH521" s="1358"/>
      <c r="AQI521" s="1358"/>
      <c r="AQJ521" s="1358"/>
      <c r="AQK521" s="1358"/>
      <c r="AQL521" s="1358"/>
      <c r="AQM521" s="1358"/>
      <c r="AQN521" s="1358"/>
      <c r="AQO521" s="1358"/>
      <c r="AQP521" s="1358"/>
      <c r="AQQ521" s="1358"/>
      <c r="AQR521" s="1358"/>
      <c r="AQS521" s="1358"/>
      <c r="AQT521" s="1358"/>
      <c r="AQU521" s="1358"/>
      <c r="AQV521" s="1358"/>
      <c r="AQW521" s="1358"/>
      <c r="AQX521" s="1358"/>
      <c r="AQY521" s="1358"/>
      <c r="AQZ521" s="1358"/>
      <c r="ARA521" s="1358"/>
      <c r="ARB521" s="1358"/>
      <c r="ARC521" s="1358"/>
      <c r="ARD521" s="1358"/>
      <c r="ARE521" s="1358"/>
      <c r="ARF521" s="1358"/>
      <c r="ARG521" s="1358"/>
      <c r="ARH521" s="1358"/>
      <c r="ARI521" s="1358"/>
      <c r="ARJ521" s="1358"/>
      <c r="ARK521" s="1358"/>
      <c r="ARL521" s="1358"/>
      <c r="ARM521" s="1358"/>
      <c r="ARN521" s="1358"/>
      <c r="ARO521" s="1358"/>
      <c r="ARP521" s="1358"/>
      <c r="ARQ521" s="1358"/>
      <c r="ARR521" s="1358"/>
      <c r="ARS521" s="1358"/>
      <c r="ART521" s="1358"/>
      <c r="ARU521" s="1358"/>
      <c r="ARV521" s="1358"/>
      <c r="ARW521" s="1358"/>
      <c r="ARX521" s="1358"/>
      <c r="ARY521" s="1358"/>
      <c r="ARZ521" s="1358"/>
      <c r="ASA521" s="1358"/>
      <c r="ASB521" s="1358"/>
      <c r="ASC521" s="1358"/>
      <c r="ASD521" s="1358"/>
      <c r="ASE521" s="1358"/>
      <c r="ASF521" s="1358"/>
      <c r="ASG521" s="1358"/>
      <c r="ASH521" s="1358"/>
      <c r="ASI521" s="1358"/>
      <c r="ASJ521" s="1358"/>
      <c r="ASK521" s="1358"/>
      <c r="ASL521" s="1358"/>
      <c r="ASM521" s="1358"/>
      <c r="ASN521" s="1358"/>
      <c r="ASO521" s="1358"/>
      <c r="ASP521" s="1358"/>
      <c r="ASQ521" s="1358"/>
      <c r="ASR521" s="1358"/>
      <c r="ASS521" s="1358"/>
      <c r="AST521" s="1358"/>
      <c r="ASU521" s="1358"/>
      <c r="ASV521" s="1358"/>
      <c r="ASW521" s="1358"/>
      <c r="ASX521" s="1358"/>
      <c r="ASY521" s="1358"/>
      <c r="ASZ521" s="1358"/>
      <c r="ATA521" s="1358"/>
      <c r="ATB521" s="1358"/>
      <c r="ATC521" s="1358"/>
      <c r="ATD521" s="1358"/>
      <c r="ATE521" s="1358"/>
      <c r="ATF521" s="1358"/>
      <c r="ATG521" s="1358"/>
      <c r="ATH521" s="1358"/>
      <c r="ATI521" s="1358"/>
      <c r="ATJ521" s="1358"/>
      <c r="ATK521" s="1358"/>
      <c r="ATL521" s="1358"/>
      <c r="ATM521" s="1358"/>
      <c r="ATN521" s="1358"/>
      <c r="ATO521" s="1358"/>
      <c r="ATP521" s="1358"/>
      <c r="ATQ521" s="1358"/>
      <c r="ATR521" s="1358"/>
      <c r="ATS521" s="1358"/>
      <c r="ATT521" s="1358"/>
      <c r="ATU521" s="1358"/>
      <c r="ATV521" s="1358"/>
      <c r="ATW521" s="1358"/>
      <c r="ATX521" s="1358"/>
      <c r="ATY521" s="1358"/>
      <c r="ATZ521" s="1358"/>
      <c r="AUA521" s="1358"/>
      <c r="AUB521" s="1358"/>
      <c r="AUC521" s="1358"/>
      <c r="AUD521" s="1358"/>
      <c r="AUE521" s="1358"/>
      <c r="AUF521" s="1358"/>
      <c r="AUG521" s="1358"/>
      <c r="AUH521" s="1358"/>
      <c r="AUI521" s="1358"/>
      <c r="AUJ521" s="1358"/>
      <c r="AUK521" s="1358"/>
      <c r="AUL521" s="1358"/>
      <c r="AUM521" s="1358"/>
      <c r="AUN521" s="1358"/>
      <c r="AUO521" s="1358"/>
      <c r="AUP521" s="1358"/>
      <c r="AUQ521" s="1358"/>
      <c r="AUR521" s="1358"/>
      <c r="AUS521" s="1358"/>
      <c r="AUT521" s="1358"/>
      <c r="AUU521" s="1358"/>
      <c r="AUV521" s="1358"/>
      <c r="AUW521" s="1358"/>
      <c r="AUX521" s="1358"/>
      <c r="AUY521" s="1358"/>
      <c r="AUZ521" s="1358"/>
      <c r="AVA521" s="1358"/>
      <c r="AVB521" s="1358"/>
      <c r="AVC521" s="1358"/>
      <c r="AVD521" s="1358"/>
      <c r="AVE521" s="1358"/>
      <c r="AVF521" s="1358"/>
      <c r="AVG521" s="1358"/>
      <c r="AVH521" s="1358"/>
      <c r="AVI521" s="1358"/>
      <c r="AVJ521" s="1358"/>
      <c r="AVK521" s="1358"/>
      <c r="AVL521" s="1358"/>
      <c r="AVM521" s="1358"/>
      <c r="AVN521" s="1358"/>
      <c r="AVO521" s="1358"/>
      <c r="AVP521" s="1358"/>
      <c r="AVQ521" s="1358"/>
      <c r="AVR521" s="1358"/>
      <c r="AVS521" s="1358"/>
      <c r="AVT521" s="1358"/>
      <c r="AVU521" s="1358"/>
      <c r="AVV521" s="1358"/>
      <c r="AVW521" s="1358"/>
      <c r="AVX521" s="1358"/>
      <c r="AVY521" s="1358"/>
      <c r="AVZ521" s="1358"/>
      <c r="AWA521" s="1358"/>
      <c r="AWB521" s="1358"/>
      <c r="AWC521" s="1358"/>
      <c r="AWD521" s="1358"/>
      <c r="AWE521" s="1358"/>
      <c r="AWF521" s="1358"/>
      <c r="AWG521" s="1358"/>
      <c r="AWH521" s="1358"/>
      <c r="AWI521" s="1358"/>
      <c r="AWJ521" s="1358"/>
      <c r="AWK521" s="1358"/>
      <c r="AWL521" s="1358"/>
      <c r="AWM521" s="1358"/>
      <c r="AWN521" s="1358"/>
      <c r="AWO521" s="1358"/>
      <c r="AWP521" s="1358"/>
      <c r="AWQ521" s="1358"/>
      <c r="AWR521" s="1358"/>
      <c r="AWS521" s="1358"/>
      <c r="AWT521" s="1358"/>
      <c r="AWU521" s="1358"/>
      <c r="AWV521" s="1358"/>
      <c r="AWW521" s="1358"/>
      <c r="AWX521" s="1358"/>
      <c r="AWY521" s="1358"/>
      <c r="AWZ521" s="1358"/>
      <c r="AXA521" s="1358"/>
      <c r="AXB521" s="1358"/>
      <c r="AXC521" s="1358"/>
      <c r="AXD521" s="1358"/>
      <c r="AXE521" s="1358"/>
      <c r="AXF521" s="1358"/>
      <c r="AXG521" s="1358"/>
      <c r="AXH521" s="1358"/>
      <c r="AXI521" s="1358"/>
      <c r="AXJ521" s="1358"/>
      <c r="AXK521" s="1358"/>
      <c r="AXL521" s="1358"/>
      <c r="AXM521" s="1358"/>
      <c r="AXN521" s="1358"/>
      <c r="AXO521" s="1358"/>
      <c r="AXP521" s="1358"/>
      <c r="AXQ521" s="1358"/>
      <c r="AXR521" s="1358"/>
      <c r="AXS521" s="1358"/>
      <c r="AXT521" s="1358"/>
      <c r="AXU521" s="1358"/>
      <c r="AXV521" s="1358"/>
      <c r="AXW521" s="1358"/>
      <c r="AXX521" s="1358"/>
      <c r="AXY521" s="1358"/>
      <c r="AXZ521" s="1358"/>
      <c r="AYA521" s="1358"/>
      <c r="AYB521" s="1358"/>
      <c r="AYC521" s="1358"/>
      <c r="AYD521" s="1358"/>
      <c r="AYE521" s="1358"/>
      <c r="AYF521" s="1358"/>
      <c r="AYG521" s="1358"/>
      <c r="AYH521" s="1358"/>
      <c r="AYI521" s="1358"/>
      <c r="AYJ521" s="1358"/>
      <c r="AYK521" s="1358"/>
      <c r="AYL521" s="1358"/>
      <c r="AYM521" s="1358"/>
      <c r="AYN521" s="1358"/>
      <c r="AYO521" s="1358"/>
      <c r="AYP521" s="1358"/>
      <c r="AYQ521" s="1358"/>
      <c r="AYR521" s="1358"/>
      <c r="AYS521" s="1358"/>
      <c r="AYT521" s="1358"/>
      <c r="AYU521" s="1358"/>
      <c r="AYV521" s="1358"/>
      <c r="AYW521" s="1358"/>
      <c r="AYX521" s="1358"/>
      <c r="AYY521" s="1358"/>
      <c r="AYZ521" s="1358"/>
      <c r="AZA521" s="1358"/>
      <c r="AZB521" s="1358"/>
      <c r="AZC521" s="1358"/>
      <c r="AZD521" s="1358"/>
      <c r="AZE521" s="1358"/>
      <c r="AZF521" s="1358"/>
      <c r="AZG521" s="1358"/>
      <c r="AZH521" s="1358"/>
      <c r="AZI521" s="1358"/>
      <c r="AZJ521" s="1358"/>
      <c r="AZK521" s="1358"/>
      <c r="AZL521" s="1358"/>
      <c r="AZM521" s="1358"/>
      <c r="AZN521" s="1358"/>
      <c r="AZO521" s="1358"/>
      <c r="AZP521" s="1358"/>
      <c r="AZQ521" s="1358"/>
      <c r="AZR521" s="1358"/>
      <c r="AZS521" s="1358"/>
      <c r="AZT521" s="1358"/>
      <c r="AZU521" s="1358"/>
      <c r="AZV521" s="1358"/>
      <c r="AZW521" s="1358"/>
      <c r="AZX521" s="1358"/>
      <c r="AZY521" s="1358"/>
      <c r="AZZ521" s="1358"/>
      <c r="BAA521" s="1358"/>
      <c r="BAB521" s="1358"/>
      <c r="BAC521" s="1358"/>
      <c r="BAD521" s="1358"/>
      <c r="BAE521" s="1358"/>
      <c r="BAF521" s="1358"/>
      <c r="BAG521" s="1358"/>
      <c r="BAH521" s="1358"/>
      <c r="BAI521" s="1358"/>
      <c r="BAJ521" s="1358"/>
      <c r="BAK521" s="1358"/>
      <c r="BAL521" s="1358"/>
      <c r="BAM521" s="1358"/>
      <c r="BAN521" s="1358"/>
      <c r="BAO521" s="1358"/>
      <c r="BAP521" s="1358"/>
      <c r="BAQ521" s="1358"/>
      <c r="BAR521" s="1358"/>
      <c r="BAS521" s="1358"/>
      <c r="BAT521" s="1358"/>
      <c r="BAU521" s="1358"/>
      <c r="BAV521" s="1358"/>
      <c r="BAW521" s="1358"/>
      <c r="BAX521" s="1358"/>
      <c r="BAY521" s="1358"/>
      <c r="BAZ521" s="1358"/>
      <c r="BBA521" s="1358"/>
      <c r="BBB521" s="1358"/>
      <c r="BBC521" s="1358"/>
      <c r="BBD521" s="1358"/>
      <c r="BBE521" s="1358"/>
      <c r="BBF521" s="1358"/>
      <c r="BBG521" s="1358"/>
      <c r="BBH521" s="1358"/>
      <c r="BBI521" s="1358"/>
      <c r="BBJ521" s="1358"/>
      <c r="BBK521" s="1358"/>
      <c r="BBL521" s="1358"/>
      <c r="BBM521" s="1358"/>
      <c r="BBN521" s="1358"/>
      <c r="BBO521" s="1358"/>
      <c r="BBP521" s="1358"/>
      <c r="BBQ521" s="1358"/>
      <c r="BBR521" s="1358"/>
      <c r="BBS521" s="1358"/>
      <c r="BBT521" s="1358"/>
      <c r="BBU521" s="1358"/>
      <c r="BBV521" s="1358"/>
      <c r="BBW521" s="1358"/>
      <c r="BBX521" s="1358"/>
      <c r="BBY521" s="1358"/>
      <c r="BBZ521" s="1358"/>
      <c r="BCA521" s="1358"/>
      <c r="BCB521" s="1358"/>
      <c r="BCC521" s="1358"/>
      <c r="BCD521" s="1358"/>
      <c r="BCE521" s="1358"/>
      <c r="BCF521" s="1358"/>
      <c r="BCG521" s="1358"/>
      <c r="BCH521" s="1358"/>
      <c r="BCI521" s="1358"/>
      <c r="BCJ521" s="1358"/>
      <c r="BCK521" s="1358"/>
      <c r="BCL521" s="1358"/>
      <c r="BCM521" s="1358"/>
      <c r="BCN521" s="1358"/>
      <c r="BCO521" s="1358"/>
      <c r="BCP521" s="1358"/>
      <c r="BCQ521" s="1358"/>
      <c r="BCR521" s="1358"/>
      <c r="BCS521" s="1358"/>
      <c r="BCT521" s="1358"/>
      <c r="BCU521" s="1358"/>
      <c r="BCV521" s="1358"/>
      <c r="BCW521" s="1358"/>
      <c r="BCX521" s="1358"/>
      <c r="BCY521" s="1358"/>
      <c r="BCZ521" s="1358"/>
      <c r="BDA521" s="1358"/>
      <c r="BDB521" s="1358"/>
      <c r="BDC521" s="1358"/>
      <c r="BDD521" s="1358"/>
      <c r="BDE521" s="1358"/>
      <c r="BDF521" s="1358"/>
      <c r="BDG521" s="1358"/>
      <c r="BDH521" s="1358"/>
      <c r="BDI521" s="1358"/>
      <c r="BDJ521" s="1358"/>
      <c r="BDK521" s="1358"/>
      <c r="BDL521" s="1358"/>
      <c r="BDM521" s="1358"/>
      <c r="BDN521" s="1358"/>
      <c r="BDO521" s="1358"/>
      <c r="BDP521" s="1358"/>
      <c r="BDQ521" s="1358"/>
      <c r="BDR521" s="1358"/>
      <c r="BDS521" s="1358"/>
      <c r="BDT521" s="1358"/>
      <c r="BDU521" s="1358"/>
      <c r="BDV521" s="1358"/>
      <c r="BDW521" s="1358"/>
      <c r="BDX521" s="1358"/>
      <c r="BDY521" s="1358"/>
      <c r="BDZ521" s="1358"/>
      <c r="BEA521" s="1358"/>
      <c r="BEB521" s="1358"/>
      <c r="BEC521" s="1358"/>
      <c r="BED521" s="1358"/>
      <c r="BEE521" s="1358"/>
      <c r="BEF521" s="1358"/>
      <c r="BEG521" s="1358"/>
      <c r="BEH521" s="1358"/>
      <c r="BEI521" s="1358"/>
      <c r="BEJ521" s="1358"/>
      <c r="BEK521" s="1358"/>
      <c r="BEL521" s="1358"/>
      <c r="BEM521" s="1358"/>
      <c r="BEN521" s="1358"/>
      <c r="BEO521" s="1358"/>
      <c r="BEP521" s="1358"/>
      <c r="BEQ521" s="1358"/>
      <c r="BER521" s="1358"/>
      <c r="BES521" s="1358"/>
      <c r="BET521" s="1358"/>
      <c r="BEU521" s="1358"/>
      <c r="BEV521" s="1358"/>
      <c r="BEW521" s="1358"/>
      <c r="BEX521" s="1358"/>
      <c r="BEY521" s="1358"/>
      <c r="BEZ521" s="1358"/>
      <c r="BFA521" s="1358"/>
      <c r="BFB521" s="1358"/>
      <c r="BFC521" s="1358"/>
      <c r="BFD521" s="1358"/>
      <c r="BFE521" s="1358"/>
      <c r="BFF521" s="1358"/>
      <c r="BFG521" s="1358"/>
      <c r="BFH521" s="1358"/>
      <c r="BFI521" s="1358"/>
      <c r="BFJ521" s="1358"/>
      <c r="BFK521" s="1358"/>
      <c r="BFL521" s="1358"/>
      <c r="BFM521" s="1358"/>
      <c r="BFN521" s="1358"/>
      <c r="BFO521" s="1358"/>
      <c r="BFP521" s="1358"/>
      <c r="BFQ521" s="1358"/>
      <c r="BFR521" s="1358"/>
      <c r="BFS521" s="1358"/>
      <c r="BFT521" s="1358"/>
      <c r="BFU521" s="1358"/>
      <c r="BFV521" s="1358"/>
      <c r="BFW521" s="1358"/>
      <c r="BFX521" s="1358"/>
      <c r="BFY521" s="1358"/>
      <c r="BFZ521" s="1358"/>
      <c r="BGA521" s="1358"/>
      <c r="BGB521" s="1358"/>
      <c r="BGC521" s="1358"/>
      <c r="BGD521" s="1358"/>
      <c r="BGE521" s="1358"/>
      <c r="BGF521" s="1358"/>
      <c r="BGG521" s="1358"/>
      <c r="BGH521" s="1358"/>
      <c r="BGI521" s="1358"/>
      <c r="BGJ521" s="1358"/>
      <c r="BGK521" s="1358"/>
      <c r="BGL521" s="1358"/>
      <c r="BGM521" s="1358"/>
      <c r="BGN521" s="1358"/>
      <c r="BGO521" s="1358"/>
      <c r="BGP521" s="1358"/>
      <c r="BGQ521" s="1358"/>
      <c r="BGR521" s="1358"/>
      <c r="BGS521" s="1358"/>
      <c r="BGT521" s="1358"/>
      <c r="BGU521" s="1358"/>
      <c r="BGV521" s="1358"/>
      <c r="BGW521" s="1358"/>
      <c r="BGX521" s="1358"/>
      <c r="BGY521" s="1358"/>
      <c r="BGZ521" s="1358"/>
      <c r="BHA521" s="1358"/>
      <c r="BHB521" s="1358"/>
      <c r="BHC521" s="1358"/>
      <c r="BHD521" s="1358"/>
      <c r="BHE521" s="1358"/>
      <c r="BHF521" s="1358"/>
      <c r="BHG521" s="1358"/>
      <c r="BHH521" s="1358"/>
      <c r="BHI521" s="1358"/>
      <c r="BHJ521" s="1358"/>
      <c r="BHK521" s="1358"/>
      <c r="BHL521" s="1358"/>
      <c r="BHM521" s="1358"/>
      <c r="BHN521" s="1358"/>
      <c r="BHO521" s="1358"/>
      <c r="BHP521" s="1358"/>
      <c r="BHQ521" s="1358"/>
      <c r="BHR521" s="1358"/>
      <c r="BHS521" s="1358"/>
      <c r="BHT521" s="1358"/>
      <c r="BHU521" s="1358"/>
      <c r="BHV521" s="1358"/>
      <c r="BHW521" s="1358"/>
      <c r="BHX521" s="1358"/>
      <c r="BHY521" s="1358"/>
      <c r="BHZ521" s="1358"/>
      <c r="BIA521" s="1358"/>
      <c r="BIB521" s="1358"/>
      <c r="BIC521" s="1358"/>
      <c r="BID521" s="1358"/>
      <c r="BIE521" s="1358"/>
      <c r="BIF521" s="1358"/>
      <c r="BIG521" s="1358"/>
      <c r="BIH521" s="1358"/>
      <c r="BII521" s="1358"/>
      <c r="BIJ521" s="1358"/>
      <c r="BIK521" s="1358"/>
      <c r="BIL521" s="1358"/>
      <c r="BIM521" s="1358"/>
      <c r="BIN521" s="1358"/>
      <c r="BIO521" s="1358"/>
      <c r="BIP521" s="1358"/>
      <c r="BIQ521" s="1358"/>
      <c r="BIR521" s="1358"/>
      <c r="BIS521" s="1358"/>
      <c r="BIT521" s="1358"/>
      <c r="BIU521" s="1358"/>
      <c r="BIV521" s="1358"/>
      <c r="BIW521" s="1358"/>
      <c r="BIX521" s="1358"/>
      <c r="BIY521" s="1358"/>
      <c r="BIZ521" s="1358"/>
      <c r="BJA521" s="1358"/>
      <c r="BJB521" s="1358"/>
      <c r="BJC521" s="1358"/>
      <c r="BJD521" s="1358"/>
      <c r="BJE521" s="1358"/>
      <c r="BJF521" s="1358"/>
      <c r="BJG521" s="1358"/>
      <c r="BJH521" s="1358"/>
      <c r="BJI521" s="1358"/>
      <c r="BJJ521" s="1358"/>
      <c r="BJK521" s="1358"/>
      <c r="BJL521" s="1358"/>
      <c r="BJM521" s="1358"/>
      <c r="BJN521" s="1358"/>
      <c r="BJO521" s="1358"/>
      <c r="BJP521" s="1358"/>
      <c r="BJQ521" s="1358"/>
      <c r="BJR521" s="1358"/>
      <c r="BJS521" s="1358"/>
      <c r="BJT521" s="1358"/>
      <c r="BJU521" s="1358"/>
      <c r="BJV521" s="1358"/>
      <c r="BJW521" s="1358"/>
      <c r="BJX521" s="1358"/>
      <c r="BJY521" s="1358"/>
      <c r="BJZ521" s="1358"/>
      <c r="BKA521" s="1358"/>
      <c r="BKB521" s="1358"/>
      <c r="BKC521" s="1358"/>
      <c r="BKD521" s="1358"/>
      <c r="BKE521" s="1358"/>
      <c r="BKF521" s="1358"/>
      <c r="BKG521" s="1358"/>
      <c r="BKH521" s="1358"/>
      <c r="BKI521" s="1358"/>
      <c r="BKJ521" s="1358"/>
      <c r="BKK521" s="1358"/>
      <c r="BKL521" s="1358"/>
      <c r="BKM521" s="1358"/>
      <c r="BKN521" s="1358"/>
      <c r="BKO521" s="1358"/>
      <c r="BKP521" s="1358"/>
      <c r="BKQ521" s="1358"/>
      <c r="BKR521" s="1358"/>
      <c r="BKS521" s="1358"/>
      <c r="BKT521" s="1358"/>
      <c r="BKU521" s="1358"/>
      <c r="BKV521" s="1358"/>
      <c r="BKW521" s="1358"/>
      <c r="BKX521" s="1358"/>
      <c r="BKY521" s="1358"/>
      <c r="BKZ521" s="1358"/>
      <c r="BLA521" s="1358"/>
      <c r="BLB521" s="1358"/>
      <c r="BLC521" s="1358"/>
      <c r="BLD521" s="1358"/>
      <c r="BLE521" s="1358"/>
      <c r="BLF521" s="1358"/>
      <c r="BLG521" s="1358"/>
      <c r="BLH521" s="1358"/>
      <c r="BLI521" s="1358"/>
      <c r="BLJ521" s="1358"/>
      <c r="BLK521" s="1358"/>
      <c r="BLL521" s="1358"/>
      <c r="BLM521" s="1358"/>
      <c r="BLN521" s="1358"/>
      <c r="BLO521" s="1358"/>
      <c r="BLP521" s="1358"/>
      <c r="BLQ521" s="1358"/>
      <c r="BLR521" s="1358"/>
      <c r="BLS521" s="1358"/>
      <c r="BLT521" s="1358"/>
      <c r="BLU521" s="1358"/>
      <c r="BLV521" s="1358"/>
      <c r="BLW521" s="1358"/>
      <c r="BLX521" s="1358"/>
      <c r="BLY521" s="1358"/>
      <c r="BLZ521" s="1358"/>
      <c r="BMA521" s="1358"/>
      <c r="BMB521" s="1358"/>
      <c r="BMC521" s="1358"/>
      <c r="BMD521" s="1358"/>
      <c r="BME521" s="1358"/>
      <c r="BMF521" s="1358"/>
      <c r="BMG521" s="1358"/>
      <c r="BMH521" s="1358"/>
      <c r="BMI521" s="1358"/>
      <c r="BMJ521" s="1358"/>
      <c r="BMK521" s="1358"/>
      <c r="BML521" s="1358"/>
      <c r="BMM521" s="1358"/>
      <c r="BMN521" s="1358"/>
      <c r="BMO521" s="1358"/>
      <c r="BMP521" s="1358"/>
      <c r="BMQ521" s="1358"/>
      <c r="BMR521" s="1358"/>
      <c r="BMS521" s="1358"/>
      <c r="BMT521" s="1358"/>
      <c r="BMU521" s="1358"/>
      <c r="BMV521" s="1358"/>
      <c r="BMW521" s="1358"/>
      <c r="BMX521" s="1358"/>
      <c r="BMY521" s="1358"/>
      <c r="BMZ521" s="1358"/>
      <c r="BNA521" s="1358"/>
      <c r="BNB521" s="1358"/>
      <c r="BNC521" s="1358"/>
      <c r="BND521" s="1358"/>
      <c r="BNE521" s="1358"/>
      <c r="BNF521" s="1358"/>
      <c r="BNG521" s="1358"/>
      <c r="BNH521" s="1358"/>
      <c r="BNI521" s="1358"/>
      <c r="BNJ521" s="1358"/>
      <c r="BNK521" s="1358"/>
      <c r="BNL521" s="1358"/>
      <c r="BNM521" s="1358"/>
      <c r="BNN521" s="1358"/>
      <c r="BNO521" s="1358"/>
      <c r="BNP521" s="1358"/>
      <c r="BNQ521" s="1358"/>
      <c r="BNR521" s="1358"/>
      <c r="BNS521" s="1358"/>
      <c r="BNT521" s="1358"/>
      <c r="BNU521" s="1358"/>
      <c r="BNV521" s="1358"/>
      <c r="BNW521" s="1358"/>
      <c r="BNX521" s="1358"/>
      <c r="BNY521" s="1358"/>
      <c r="BNZ521" s="1358"/>
      <c r="BOA521" s="1358"/>
      <c r="BOB521" s="1358"/>
      <c r="BOC521" s="1358"/>
      <c r="BOD521" s="1358"/>
      <c r="BOE521" s="1358"/>
      <c r="BOF521" s="1358"/>
      <c r="BOG521" s="1358"/>
      <c r="BOH521" s="1358"/>
      <c r="BOI521" s="1358"/>
      <c r="BOJ521" s="1358"/>
      <c r="BOK521" s="1358"/>
      <c r="BOL521" s="1358"/>
      <c r="BOM521" s="1358"/>
      <c r="BON521" s="1358"/>
      <c r="BOO521" s="1358"/>
      <c r="BOP521" s="1358"/>
      <c r="BOQ521" s="1358"/>
      <c r="BOR521" s="1358"/>
      <c r="BOS521" s="1358"/>
      <c r="BOT521" s="1358"/>
      <c r="BOU521" s="1358"/>
      <c r="BOV521" s="1358"/>
      <c r="BOW521" s="1358"/>
      <c r="BOX521" s="1358"/>
      <c r="BOY521" s="1358"/>
      <c r="BOZ521" s="1358"/>
      <c r="BPA521" s="1358"/>
      <c r="BPB521" s="1358"/>
      <c r="BPC521" s="1358"/>
      <c r="BPD521" s="1358"/>
      <c r="BPE521" s="1358"/>
      <c r="BPF521" s="1358"/>
      <c r="BPG521" s="1358"/>
      <c r="BPH521" s="1358"/>
      <c r="BPI521" s="1358"/>
      <c r="BPJ521" s="1358"/>
      <c r="BPK521" s="1358"/>
      <c r="BPL521" s="1358"/>
      <c r="BPM521" s="1358"/>
      <c r="BPN521" s="1358"/>
      <c r="BPO521" s="1358"/>
      <c r="BPP521" s="1358"/>
      <c r="BPQ521" s="1358"/>
      <c r="BPR521" s="1358"/>
      <c r="BPS521" s="1358"/>
      <c r="BPT521" s="1358"/>
      <c r="BPU521" s="1358"/>
      <c r="BPV521" s="1358"/>
      <c r="BPW521" s="1358"/>
      <c r="BPX521" s="1358"/>
      <c r="BPY521" s="1358"/>
      <c r="BPZ521" s="1358"/>
      <c r="BQA521" s="1358"/>
      <c r="BQB521" s="1358"/>
      <c r="BQC521" s="1358"/>
      <c r="BQD521" s="1358"/>
      <c r="BQE521" s="1358"/>
      <c r="BQF521" s="1358"/>
      <c r="BQG521" s="1358"/>
      <c r="BQH521" s="1358"/>
      <c r="BQI521" s="1358"/>
      <c r="BQJ521" s="1358"/>
      <c r="BQK521" s="1358"/>
      <c r="BQL521" s="1358"/>
      <c r="BQM521" s="1358"/>
      <c r="BQN521" s="1358"/>
      <c r="BQO521" s="1358"/>
      <c r="BQP521" s="1358"/>
      <c r="BQQ521" s="1358"/>
      <c r="BQR521" s="1358"/>
      <c r="BQS521" s="1358"/>
      <c r="BQT521" s="1358"/>
      <c r="BQU521" s="1358"/>
      <c r="BQV521" s="1358"/>
      <c r="BQW521" s="1358"/>
      <c r="BQX521" s="1358"/>
      <c r="BQY521" s="1358"/>
      <c r="BQZ521" s="1358"/>
      <c r="BRA521" s="1358"/>
      <c r="BRB521" s="1358"/>
      <c r="BRC521" s="1358"/>
      <c r="BRD521" s="1358"/>
      <c r="BRE521" s="1358"/>
      <c r="BRF521" s="1358"/>
      <c r="BRG521" s="1358"/>
      <c r="BRH521" s="1358"/>
      <c r="BRI521" s="1358"/>
      <c r="BRJ521" s="1358"/>
      <c r="BRK521" s="1358"/>
      <c r="BRL521" s="1358"/>
      <c r="BRM521" s="1358"/>
      <c r="BRN521" s="1358"/>
      <c r="BRO521" s="1358"/>
      <c r="BRP521" s="1358"/>
      <c r="BRQ521" s="1358"/>
      <c r="BRR521" s="1358"/>
      <c r="BRS521" s="1358"/>
      <c r="BRT521" s="1358"/>
      <c r="BRU521" s="1358"/>
      <c r="BRV521" s="1358"/>
      <c r="BRW521" s="1358"/>
      <c r="BRX521" s="1358"/>
      <c r="BRY521" s="1358"/>
      <c r="BRZ521" s="1358"/>
      <c r="BSA521" s="1358"/>
      <c r="BSB521" s="1358"/>
      <c r="BSC521" s="1358"/>
      <c r="BSD521" s="1358"/>
      <c r="BSE521" s="1358"/>
      <c r="BSF521" s="1358"/>
      <c r="BSG521" s="1358"/>
      <c r="BSH521" s="1358"/>
      <c r="BSI521" s="1358"/>
      <c r="BSJ521" s="1358"/>
      <c r="BSK521" s="1358"/>
      <c r="BSL521" s="1358"/>
      <c r="BSM521" s="1358"/>
      <c r="BSN521" s="1358"/>
      <c r="BSO521" s="1358"/>
      <c r="BSP521" s="1358"/>
      <c r="BSQ521" s="1358"/>
      <c r="BSR521" s="1358"/>
      <c r="BSS521" s="1358"/>
      <c r="BST521" s="1358"/>
      <c r="BSU521" s="1358"/>
      <c r="BSV521" s="1358"/>
      <c r="BSW521" s="1358"/>
      <c r="BSX521" s="1358"/>
      <c r="BSY521" s="1358"/>
      <c r="BSZ521" s="1358"/>
      <c r="BTA521" s="1358"/>
      <c r="BTB521" s="1358"/>
      <c r="BTC521" s="1358"/>
      <c r="BTD521" s="1358"/>
      <c r="BTE521" s="1358"/>
      <c r="BTF521" s="1358"/>
      <c r="BTG521" s="1358"/>
      <c r="BTH521" s="1358"/>
      <c r="BTI521" s="1358"/>
      <c r="BTJ521" s="1358"/>
      <c r="BTK521" s="1358"/>
      <c r="BTL521" s="1358"/>
      <c r="BTM521" s="1358"/>
      <c r="BTN521" s="1358"/>
      <c r="BTO521" s="1358"/>
      <c r="BTP521" s="1358"/>
      <c r="BTQ521" s="1358"/>
      <c r="BTR521" s="1358"/>
      <c r="BTS521" s="1358"/>
      <c r="BTT521" s="1358"/>
      <c r="BTU521" s="1358"/>
      <c r="BTV521" s="1358"/>
      <c r="BTW521" s="1358"/>
      <c r="BTX521" s="1358"/>
      <c r="BTY521" s="1358"/>
      <c r="BTZ521" s="1358"/>
      <c r="BUA521" s="1358"/>
      <c r="BUB521" s="1358"/>
      <c r="BUC521" s="1358"/>
      <c r="BUD521" s="1358"/>
      <c r="BUE521" s="1358"/>
      <c r="BUF521" s="1358"/>
      <c r="BUG521" s="1358"/>
      <c r="BUH521" s="1358"/>
      <c r="BUI521" s="1358"/>
      <c r="BUJ521" s="1358"/>
      <c r="BUK521" s="1358"/>
      <c r="BUL521" s="1358"/>
      <c r="BUM521" s="1358"/>
      <c r="BUN521" s="1358"/>
      <c r="BUO521" s="1358"/>
      <c r="BUP521" s="1358"/>
      <c r="BUQ521" s="1358"/>
      <c r="BUR521" s="1358"/>
      <c r="BUS521" s="1358"/>
      <c r="BUT521" s="1358"/>
      <c r="BUU521" s="1358"/>
      <c r="BUV521" s="1358"/>
      <c r="BUW521" s="1358"/>
      <c r="BUX521" s="1358"/>
      <c r="BUY521" s="1358"/>
      <c r="BUZ521" s="1358"/>
      <c r="BVA521" s="1358"/>
      <c r="BVB521" s="1358"/>
      <c r="BVC521" s="1358"/>
      <c r="BVD521" s="1358"/>
      <c r="BVE521" s="1358"/>
      <c r="BVF521" s="1358"/>
      <c r="BVG521" s="1358"/>
      <c r="BVH521" s="1358"/>
      <c r="BVI521" s="1358"/>
      <c r="BVJ521" s="1358"/>
      <c r="BVK521" s="1358"/>
      <c r="BVL521" s="1358"/>
      <c r="BVM521" s="1358"/>
      <c r="BVN521" s="1358"/>
      <c r="BVO521" s="1358"/>
      <c r="BVP521" s="1358"/>
      <c r="BVQ521" s="1358"/>
      <c r="BVR521" s="1358"/>
      <c r="BVS521" s="1358"/>
      <c r="BVT521" s="1358"/>
      <c r="BVU521" s="1358"/>
      <c r="BVV521" s="1358"/>
      <c r="BVW521" s="1358"/>
      <c r="BVX521" s="1358"/>
      <c r="BVY521" s="1358"/>
      <c r="BVZ521" s="1358"/>
      <c r="BWA521" s="1358"/>
      <c r="BWB521" s="1358"/>
      <c r="BWC521" s="1358"/>
      <c r="BWD521" s="1358"/>
      <c r="BWE521" s="1358"/>
      <c r="BWF521" s="1358"/>
      <c r="BWG521" s="1358"/>
      <c r="BWH521" s="1358"/>
      <c r="BWI521" s="1358"/>
      <c r="BWJ521" s="1358"/>
      <c r="BWK521" s="1358"/>
      <c r="BWL521" s="1358"/>
      <c r="BWM521" s="1358"/>
      <c r="BWN521" s="1358"/>
      <c r="BWO521" s="1358"/>
      <c r="BWP521" s="1358"/>
      <c r="BWQ521" s="1358"/>
      <c r="BWR521" s="1358"/>
      <c r="BWS521" s="1358"/>
      <c r="BWT521" s="1358"/>
      <c r="BWU521" s="1358"/>
      <c r="BWV521" s="1358"/>
      <c r="BWW521" s="1358"/>
      <c r="BWX521" s="1358"/>
      <c r="BWY521" s="1358"/>
      <c r="BWZ521" s="1358"/>
      <c r="BXA521" s="1358"/>
      <c r="BXB521" s="1358"/>
      <c r="BXC521" s="1358"/>
      <c r="BXD521" s="1358"/>
      <c r="BXE521" s="1358"/>
      <c r="BXF521" s="1358"/>
      <c r="BXG521" s="1358"/>
      <c r="BXH521" s="1358"/>
      <c r="BXI521" s="1358"/>
      <c r="BXJ521" s="1358"/>
      <c r="BXK521" s="1358"/>
      <c r="BXL521" s="1358"/>
      <c r="BXM521" s="1358"/>
      <c r="BXN521" s="1358"/>
      <c r="BXO521" s="1358"/>
      <c r="BXP521" s="1358"/>
      <c r="BXQ521" s="1358"/>
      <c r="BXR521" s="1358"/>
      <c r="BXS521" s="1358"/>
      <c r="BXT521" s="1358"/>
      <c r="BXU521" s="1358"/>
      <c r="BXV521" s="1358"/>
      <c r="BXW521" s="1358"/>
      <c r="BXX521" s="1358"/>
      <c r="BXY521" s="1358"/>
      <c r="BXZ521" s="1358"/>
      <c r="BYA521" s="1358"/>
      <c r="BYB521" s="1358"/>
      <c r="BYC521" s="1358"/>
      <c r="BYD521" s="1358"/>
      <c r="BYE521" s="1358"/>
      <c r="BYF521" s="1358"/>
      <c r="BYG521" s="1358"/>
      <c r="BYH521" s="1358"/>
      <c r="BYI521" s="1358"/>
      <c r="BYJ521" s="1358"/>
      <c r="BYK521" s="1358"/>
      <c r="BYL521" s="1358"/>
      <c r="BYM521" s="1358"/>
      <c r="BYN521" s="1358"/>
      <c r="BYO521" s="1358"/>
      <c r="BYP521" s="1358"/>
      <c r="BYQ521" s="1358"/>
      <c r="BYR521" s="1358"/>
      <c r="BYS521" s="1358"/>
      <c r="BYT521" s="1358"/>
      <c r="BYU521" s="1358"/>
      <c r="BYV521" s="1358"/>
      <c r="BYW521" s="1358"/>
      <c r="BYX521" s="1358"/>
      <c r="BYY521" s="1358"/>
      <c r="BYZ521" s="1358"/>
      <c r="BZA521" s="1358"/>
      <c r="BZB521" s="1358"/>
      <c r="BZC521" s="1358"/>
      <c r="BZD521" s="1358"/>
      <c r="BZE521" s="1358"/>
      <c r="BZF521" s="1358"/>
      <c r="BZG521" s="1358"/>
      <c r="BZH521" s="1358"/>
      <c r="BZI521" s="1358"/>
      <c r="BZJ521" s="1358"/>
      <c r="BZK521" s="1358"/>
      <c r="BZL521" s="1358"/>
      <c r="BZM521" s="1358"/>
      <c r="BZN521" s="1358"/>
      <c r="BZO521" s="1358"/>
      <c r="BZP521" s="1358"/>
      <c r="BZQ521" s="1358"/>
      <c r="BZR521" s="1358"/>
      <c r="BZS521" s="1358"/>
      <c r="BZT521" s="1358"/>
      <c r="BZU521" s="1358"/>
      <c r="BZV521" s="1358"/>
      <c r="BZW521" s="1358"/>
      <c r="BZX521" s="1358"/>
      <c r="BZY521" s="1358"/>
      <c r="BZZ521" s="1358"/>
      <c r="CAA521" s="1358"/>
      <c r="CAB521" s="1358"/>
      <c r="CAC521" s="1358"/>
      <c r="CAD521" s="1358"/>
      <c r="CAE521" s="1358"/>
      <c r="CAF521" s="1358"/>
      <c r="CAG521" s="1358"/>
      <c r="CAH521" s="1358"/>
      <c r="CAI521" s="1358"/>
      <c r="CAJ521" s="1358"/>
      <c r="CAK521" s="1358"/>
      <c r="CAL521" s="1358"/>
      <c r="CAM521" s="1358"/>
      <c r="CAN521" s="1358"/>
      <c r="CAO521" s="1358"/>
      <c r="CAP521" s="1358"/>
      <c r="CAQ521" s="1358"/>
      <c r="CAR521" s="1358"/>
      <c r="CAS521" s="1358"/>
      <c r="CAT521" s="1358"/>
      <c r="CAU521" s="1358"/>
      <c r="CAV521" s="1358"/>
      <c r="CAW521" s="1358"/>
      <c r="CAX521" s="1358"/>
      <c r="CAY521" s="1358"/>
      <c r="CAZ521" s="1358"/>
      <c r="CBA521" s="1358"/>
      <c r="CBB521" s="1358"/>
      <c r="CBC521" s="1358"/>
      <c r="CBD521" s="1358"/>
      <c r="CBE521" s="1358"/>
      <c r="CBF521" s="1358"/>
      <c r="CBG521" s="1358"/>
      <c r="CBH521" s="1358"/>
      <c r="CBI521" s="1358"/>
      <c r="CBJ521" s="1358"/>
      <c r="CBK521" s="1358"/>
      <c r="CBL521" s="1358"/>
      <c r="CBM521" s="1358"/>
      <c r="CBN521" s="1358"/>
      <c r="CBO521" s="1358"/>
      <c r="CBP521" s="1358"/>
      <c r="CBQ521" s="1358"/>
      <c r="CBR521" s="1358"/>
      <c r="CBS521" s="1358"/>
      <c r="CBT521" s="1358"/>
      <c r="CBU521" s="1358"/>
      <c r="CBV521" s="1358"/>
      <c r="CBW521" s="1358"/>
      <c r="CBX521" s="1358"/>
      <c r="CBY521" s="1358"/>
      <c r="CBZ521" s="1358"/>
      <c r="CCA521" s="1358"/>
      <c r="CCB521" s="1358"/>
      <c r="CCC521" s="1358"/>
      <c r="CCD521" s="1358"/>
      <c r="CCE521" s="1358"/>
      <c r="CCF521" s="1358"/>
      <c r="CCG521" s="1358"/>
      <c r="CCH521" s="1358"/>
      <c r="CCI521" s="1358"/>
      <c r="CCJ521" s="1358"/>
      <c r="CCK521" s="1358"/>
      <c r="CCL521" s="1358"/>
      <c r="CCM521" s="1358"/>
      <c r="CCN521" s="1358"/>
      <c r="CCO521" s="1358"/>
      <c r="CCP521" s="1358"/>
      <c r="CCQ521" s="1358"/>
      <c r="CCR521" s="1358"/>
      <c r="CCS521" s="1358"/>
      <c r="CCT521" s="1358"/>
      <c r="CCU521" s="1358"/>
      <c r="CCV521" s="1358"/>
      <c r="CCW521" s="1358"/>
      <c r="CCX521" s="1358"/>
      <c r="CCY521" s="1358"/>
      <c r="CCZ521" s="1358"/>
      <c r="CDA521" s="1358"/>
      <c r="CDB521" s="1358"/>
      <c r="CDC521" s="1358"/>
      <c r="CDD521" s="1358"/>
      <c r="CDE521" s="1358"/>
      <c r="CDF521" s="1358"/>
      <c r="CDG521" s="1358"/>
      <c r="CDH521" s="1358"/>
      <c r="CDI521" s="1358"/>
      <c r="CDJ521" s="1358"/>
      <c r="CDK521" s="1358"/>
      <c r="CDL521" s="1358"/>
      <c r="CDM521" s="1358"/>
      <c r="CDN521" s="1358"/>
      <c r="CDO521" s="1358"/>
      <c r="CDP521" s="1358"/>
      <c r="CDQ521" s="1358"/>
      <c r="CDR521" s="1358"/>
      <c r="CDS521" s="1358"/>
      <c r="CDT521" s="1358"/>
      <c r="CDU521" s="1358"/>
      <c r="CDV521" s="1358"/>
      <c r="CDW521" s="1358"/>
      <c r="CDX521" s="1358"/>
      <c r="CDY521" s="1358"/>
      <c r="CDZ521" s="1358"/>
      <c r="CEA521" s="1358"/>
      <c r="CEB521" s="1358"/>
      <c r="CEC521" s="1358"/>
      <c r="CED521" s="1358"/>
      <c r="CEE521" s="1358"/>
      <c r="CEF521" s="1358"/>
      <c r="CEG521" s="1358"/>
      <c r="CEH521" s="1358"/>
      <c r="CEI521" s="1358"/>
      <c r="CEJ521" s="1358"/>
      <c r="CEK521" s="1358"/>
      <c r="CEL521" s="1358"/>
      <c r="CEM521" s="1358"/>
      <c r="CEN521" s="1358"/>
      <c r="CEO521" s="1358"/>
      <c r="CEP521" s="1358"/>
      <c r="CEQ521" s="1358"/>
      <c r="CER521" s="1358"/>
      <c r="CES521" s="1358"/>
      <c r="CET521" s="1358"/>
      <c r="CEU521" s="1358"/>
      <c r="CEV521" s="1358"/>
      <c r="CEW521" s="1358"/>
      <c r="CEX521" s="1358"/>
      <c r="CEY521" s="1358"/>
      <c r="CEZ521" s="1358"/>
      <c r="CFA521" s="1358"/>
      <c r="CFB521" s="1358"/>
      <c r="CFC521" s="1358"/>
      <c r="CFD521" s="1358"/>
      <c r="CFE521" s="1358"/>
      <c r="CFF521" s="1358"/>
      <c r="CFG521" s="1358"/>
      <c r="CFH521" s="1358"/>
      <c r="CFI521" s="1358"/>
      <c r="CFJ521" s="1358"/>
      <c r="CFK521" s="1358"/>
      <c r="CFL521" s="1358"/>
      <c r="CFM521" s="1358"/>
      <c r="CFN521" s="1358"/>
      <c r="CFO521" s="1358"/>
      <c r="CFP521" s="1358"/>
      <c r="CFQ521" s="1358"/>
      <c r="CFR521" s="1358"/>
      <c r="CFS521" s="1358"/>
      <c r="CFT521" s="1358"/>
      <c r="CFU521" s="1358"/>
      <c r="CFV521" s="1358"/>
      <c r="CFW521" s="1358"/>
      <c r="CFX521" s="1358"/>
      <c r="CFY521" s="1358"/>
      <c r="CFZ521" s="1358"/>
      <c r="CGA521" s="1358"/>
      <c r="CGB521" s="1358"/>
      <c r="CGC521" s="1358"/>
      <c r="CGD521" s="1358"/>
      <c r="CGE521" s="1358"/>
      <c r="CGF521" s="1358"/>
      <c r="CGG521" s="1358"/>
      <c r="CGH521" s="1358"/>
      <c r="CGI521" s="1358"/>
      <c r="CGJ521" s="1358"/>
      <c r="CGK521" s="1358"/>
      <c r="CGL521" s="1358"/>
      <c r="CGM521" s="1358"/>
      <c r="CGN521" s="1358"/>
      <c r="CGO521" s="1358"/>
      <c r="CGP521" s="1358"/>
      <c r="CGQ521" s="1358"/>
      <c r="CGR521" s="1358"/>
      <c r="CGS521" s="1358"/>
      <c r="CGT521" s="1358"/>
      <c r="CGU521" s="1358"/>
      <c r="CGV521" s="1358"/>
      <c r="CGW521" s="1358"/>
      <c r="CGX521" s="1358"/>
      <c r="CGY521" s="1358"/>
      <c r="CGZ521" s="1358"/>
      <c r="CHA521" s="1358"/>
      <c r="CHB521" s="1358"/>
      <c r="CHC521" s="1358"/>
      <c r="CHD521" s="1358"/>
      <c r="CHE521" s="1358"/>
      <c r="CHF521" s="1358"/>
      <c r="CHG521" s="1358"/>
      <c r="CHH521" s="1358"/>
      <c r="CHI521" s="1358"/>
      <c r="CHJ521" s="1358"/>
      <c r="CHK521" s="1358"/>
      <c r="CHL521" s="1358"/>
      <c r="CHM521" s="1358"/>
      <c r="CHN521" s="1358"/>
      <c r="CHO521" s="1358"/>
      <c r="CHP521" s="1358"/>
      <c r="CHQ521" s="1358"/>
      <c r="CHR521" s="1358"/>
      <c r="CHS521" s="1358"/>
      <c r="CHT521" s="1358"/>
      <c r="CHU521" s="1358"/>
      <c r="CHV521" s="1358"/>
      <c r="CHW521" s="1358"/>
      <c r="CHX521" s="1358"/>
      <c r="CHY521" s="1358"/>
      <c r="CHZ521" s="1358"/>
      <c r="CIA521" s="1358"/>
      <c r="CIB521" s="1358"/>
      <c r="CIC521" s="1358"/>
      <c r="CID521" s="1358"/>
      <c r="CIE521" s="1358"/>
      <c r="CIF521" s="1358"/>
      <c r="CIG521" s="1358"/>
      <c r="CIH521" s="1358"/>
      <c r="CII521" s="1358"/>
      <c r="CIJ521" s="1358"/>
      <c r="CIK521" s="1358"/>
      <c r="CIL521" s="1358"/>
      <c r="CIM521" s="1358"/>
      <c r="CIN521" s="1358"/>
      <c r="CIO521" s="1358"/>
      <c r="CIP521" s="1358"/>
      <c r="CIQ521" s="1358"/>
      <c r="CIR521" s="1358"/>
      <c r="CIS521" s="1358"/>
      <c r="CIT521" s="1358"/>
      <c r="CIU521" s="1358"/>
      <c r="CIV521" s="1358"/>
      <c r="CIW521" s="1358"/>
      <c r="CIX521" s="1358"/>
      <c r="CIY521" s="1358"/>
      <c r="CIZ521" s="1358"/>
      <c r="CJA521" s="1358"/>
      <c r="CJB521" s="1358"/>
      <c r="CJC521" s="1358"/>
      <c r="CJD521" s="1358"/>
      <c r="CJE521" s="1358"/>
      <c r="CJF521" s="1358"/>
      <c r="CJG521" s="1358"/>
      <c r="CJH521" s="1358"/>
      <c r="CJI521" s="1358"/>
      <c r="CJJ521" s="1358"/>
      <c r="CJK521" s="1358"/>
      <c r="CJL521" s="1358"/>
      <c r="CJM521" s="1358"/>
      <c r="CJN521" s="1358"/>
      <c r="CJO521" s="1358"/>
      <c r="CJP521" s="1358"/>
      <c r="CJQ521" s="1358"/>
      <c r="CJR521" s="1358"/>
      <c r="CJS521" s="1358"/>
      <c r="CJT521" s="1358"/>
      <c r="CJU521" s="1358"/>
      <c r="CJV521" s="1358"/>
      <c r="CJW521" s="1358"/>
      <c r="CJX521" s="1358"/>
      <c r="CJY521" s="1358"/>
      <c r="CJZ521" s="1358"/>
      <c r="CKA521" s="1358"/>
      <c r="CKB521" s="1358"/>
      <c r="CKC521" s="1358"/>
      <c r="CKD521" s="1358"/>
      <c r="CKE521" s="1358"/>
      <c r="CKF521" s="1358"/>
      <c r="CKG521" s="1358"/>
      <c r="CKH521" s="1358"/>
      <c r="CKI521" s="1358"/>
      <c r="CKJ521" s="1358"/>
      <c r="CKK521" s="1358"/>
      <c r="CKL521" s="1358"/>
      <c r="CKM521" s="1358"/>
      <c r="CKN521" s="1358"/>
      <c r="CKO521" s="1358"/>
      <c r="CKP521" s="1358"/>
      <c r="CKQ521" s="1358"/>
      <c r="CKR521" s="1358"/>
      <c r="CKS521" s="1358"/>
      <c r="CKT521" s="1358"/>
      <c r="CKU521" s="1358"/>
      <c r="CKV521" s="1358"/>
      <c r="CKW521" s="1358"/>
      <c r="CKX521" s="1358"/>
      <c r="CKY521" s="1358"/>
      <c r="CKZ521" s="1358"/>
      <c r="CLA521" s="1358"/>
      <c r="CLB521" s="1358"/>
      <c r="CLC521" s="1358"/>
      <c r="CLD521" s="1358"/>
      <c r="CLE521" s="1358"/>
      <c r="CLF521" s="1358"/>
      <c r="CLG521" s="1358"/>
      <c r="CLH521" s="1358"/>
      <c r="CLI521" s="1358"/>
      <c r="CLJ521" s="1358"/>
      <c r="CLK521" s="1358"/>
      <c r="CLL521" s="1358"/>
      <c r="CLM521" s="1358"/>
      <c r="CLN521" s="1358"/>
      <c r="CLO521" s="1358"/>
      <c r="CLP521" s="1358"/>
      <c r="CLQ521" s="1358"/>
      <c r="CLR521" s="1358"/>
      <c r="CLS521" s="1358"/>
      <c r="CLT521" s="1358"/>
      <c r="CLU521" s="1358"/>
      <c r="CLV521" s="1358"/>
      <c r="CLW521" s="1358"/>
      <c r="CLX521" s="1358"/>
      <c r="CLY521" s="1358"/>
      <c r="CLZ521" s="1358"/>
      <c r="CMA521" s="1358"/>
      <c r="CMB521" s="1358"/>
      <c r="CMC521" s="1358"/>
      <c r="CMD521" s="1358"/>
      <c r="CME521" s="1358"/>
      <c r="CMF521" s="1358"/>
      <c r="CMG521" s="1358"/>
      <c r="CMH521" s="1358"/>
      <c r="CMI521" s="1358"/>
      <c r="CMJ521" s="1358"/>
      <c r="CMK521" s="1358"/>
      <c r="CML521" s="1358"/>
      <c r="CMM521" s="1358"/>
      <c r="CMN521" s="1358"/>
      <c r="CMO521" s="1358"/>
      <c r="CMP521" s="1358"/>
      <c r="CMQ521" s="1358"/>
      <c r="CMR521" s="1358"/>
      <c r="CMS521" s="1358"/>
      <c r="CMT521" s="1358"/>
      <c r="CMU521" s="1358"/>
      <c r="CMV521" s="1358"/>
      <c r="CMW521" s="1358"/>
      <c r="CMX521" s="1358"/>
      <c r="CMY521" s="1358"/>
      <c r="CMZ521" s="1358"/>
      <c r="CNA521" s="1358"/>
      <c r="CNB521" s="1358"/>
      <c r="CNC521" s="1358"/>
      <c r="CND521" s="1358"/>
      <c r="CNE521" s="1358"/>
      <c r="CNF521" s="1358"/>
      <c r="CNG521" s="1358"/>
      <c r="CNH521" s="1358"/>
      <c r="CNI521" s="1358"/>
      <c r="CNJ521" s="1358"/>
      <c r="CNK521" s="1358"/>
      <c r="CNL521" s="1358"/>
      <c r="CNM521" s="1358"/>
      <c r="CNN521" s="1358"/>
      <c r="CNO521" s="1358"/>
      <c r="CNP521" s="1358"/>
      <c r="CNQ521" s="1358"/>
      <c r="CNR521" s="1358"/>
      <c r="CNS521" s="1358"/>
      <c r="CNT521" s="1358"/>
      <c r="CNU521" s="1358"/>
      <c r="CNV521" s="1358"/>
      <c r="CNW521" s="1358"/>
      <c r="CNX521" s="1358"/>
      <c r="CNY521" s="1358"/>
      <c r="CNZ521" s="1358"/>
      <c r="COA521" s="1358"/>
      <c r="COB521" s="1358"/>
      <c r="COC521" s="1358"/>
      <c r="COD521" s="1358"/>
      <c r="COE521" s="1358"/>
      <c r="COF521" s="1358"/>
      <c r="COG521" s="1358"/>
      <c r="COH521" s="1358"/>
      <c r="COI521" s="1358"/>
      <c r="COJ521" s="1358"/>
      <c r="COK521" s="1358"/>
      <c r="COL521" s="1358"/>
      <c r="COM521" s="1358"/>
      <c r="CON521" s="1358"/>
      <c r="COO521" s="1358"/>
      <c r="COP521" s="1358"/>
      <c r="COQ521" s="1358"/>
      <c r="COR521" s="1358"/>
      <c r="COS521" s="1358"/>
      <c r="COT521" s="1358"/>
      <c r="COU521" s="1358"/>
      <c r="COV521" s="1358"/>
      <c r="COW521" s="1358"/>
      <c r="COX521" s="1358"/>
      <c r="COY521" s="1358"/>
      <c r="COZ521" s="1358"/>
      <c r="CPA521" s="1358"/>
      <c r="CPB521" s="1358"/>
      <c r="CPC521" s="1358"/>
      <c r="CPD521" s="1358"/>
      <c r="CPE521" s="1358"/>
      <c r="CPF521" s="1358"/>
      <c r="CPG521" s="1358"/>
      <c r="CPH521" s="1358"/>
      <c r="CPI521" s="1358"/>
      <c r="CPJ521" s="1358"/>
      <c r="CPK521" s="1358"/>
      <c r="CPL521" s="1358"/>
      <c r="CPM521" s="1358"/>
      <c r="CPN521" s="1358"/>
      <c r="CPO521" s="1358"/>
      <c r="CPP521" s="1358"/>
      <c r="CPQ521" s="1358"/>
      <c r="CPR521" s="1358"/>
      <c r="CPS521" s="1358"/>
      <c r="CPT521" s="1358"/>
      <c r="CPU521" s="1358"/>
      <c r="CPV521" s="1358"/>
      <c r="CPW521" s="1358"/>
      <c r="CPX521" s="1358"/>
      <c r="CPY521" s="1358"/>
      <c r="CPZ521" s="1358"/>
      <c r="CQA521" s="1358"/>
      <c r="CQB521" s="1358"/>
      <c r="CQC521" s="1358"/>
      <c r="CQD521" s="1358"/>
      <c r="CQE521" s="1358"/>
      <c r="CQF521" s="1358"/>
      <c r="CQG521" s="1358"/>
      <c r="CQH521" s="1358"/>
      <c r="CQI521" s="1358"/>
      <c r="CQJ521" s="1358"/>
      <c r="CQK521" s="1358"/>
      <c r="CQL521" s="1358"/>
      <c r="CQM521" s="1358"/>
      <c r="CQN521" s="1358"/>
      <c r="CQO521" s="1358"/>
      <c r="CQP521" s="1358"/>
      <c r="CQQ521" s="1358"/>
      <c r="CQR521" s="1358"/>
      <c r="CQS521" s="1358"/>
      <c r="CQT521" s="1358"/>
      <c r="CQU521" s="1358"/>
      <c r="CQV521" s="1358"/>
      <c r="CQW521" s="1358"/>
      <c r="CQX521" s="1358"/>
      <c r="CQY521" s="1358"/>
      <c r="CQZ521" s="1358"/>
      <c r="CRA521" s="1358"/>
      <c r="CRB521" s="1358"/>
      <c r="CRC521" s="1358"/>
      <c r="CRD521" s="1358"/>
      <c r="CRE521" s="1358"/>
      <c r="CRF521" s="1358"/>
      <c r="CRG521" s="1358"/>
      <c r="CRH521" s="1358"/>
      <c r="CRI521" s="1358"/>
      <c r="CRJ521" s="1358"/>
      <c r="CRK521" s="1358"/>
      <c r="CRL521" s="1358"/>
      <c r="CRM521" s="1358"/>
      <c r="CRN521" s="1358"/>
      <c r="CRO521" s="1358"/>
      <c r="CRP521" s="1358"/>
      <c r="CRQ521" s="1358"/>
      <c r="CRR521" s="1358"/>
      <c r="CRS521" s="1358"/>
      <c r="CRT521" s="1358"/>
      <c r="CRU521" s="1358"/>
      <c r="CRV521" s="1358"/>
      <c r="CRW521" s="1358"/>
      <c r="CRX521" s="1358"/>
      <c r="CRY521" s="1358"/>
      <c r="CRZ521" s="1358"/>
      <c r="CSA521" s="1358"/>
      <c r="CSB521" s="1358"/>
      <c r="CSC521" s="1358"/>
      <c r="CSD521" s="1358"/>
      <c r="CSE521" s="1358"/>
      <c r="CSF521" s="1358"/>
      <c r="CSG521" s="1358"/>
      <c r="CSH521" s="1358"/>
      <c r="CSI521" s="1358"/>
      <c r="CSJ521" s="1358"/>
      <c r="CSK521" s="1358"/>
      <c r="CSL521" s="1358"/>
      <c r="CSM521" s="1358"/>
      <c r="CSN521" s="1358"/>
      <c r="CSO521" s="1358"/>
      <c r="CSP521" s="1358"/>
      <c r="CSQ521" s="1358"/>
      <c r="CSR521" s="1358"/>
      <c r="CSS521" s="1358"/>
      <c r="CST521" s="1358"/>
      <c r="CSU521" s="1358"/>
      <c r="CSV521" s="1358"/>
      <c r="CSW521" s="1358"/>
      <c r="CSX521" s="1358"/>
      <c r="CSY521" s="1358"/>
      <c r="CSZ521" s="1358"/>
      <c r="CTA521" s="1358"/>
      <c r="CTB521" s="1358"/>
      <c r="CTC521" s="1358"/>
      <c r="CTD521" s="1358"/>
      <c r="CTE521" s="1358"/>
      <c r="CTF521" s="1358"/>
      <c r="CTG521" s="1358"/>
      <c r="CTH521" s="1358"/>
      <c r="CTI521" s="1358"/>
      <c r="CTJ521" s="1358"/>
      <c r="CTK521" s="1358"/>
      <c r="CTL521" s="1358"/>
      <c r="CTM521" s="1358"/>
      <c r="CTN521" s="1358"/>
      <c r="CTO521" s="1358"/>
      <c r="CTP521" s="1358"/>
      <c r="CTQ521" s="1358"/>
      <c r="CTR521" s="1358"/>
      <c r="CTS521" s="1358"/>
      <c r="CTT521" s="1358"/>
      <c r="CTU521" s="1358"/>
      <c r="CTV521" s="1358"/>
      <c r="CTW521" s="1358"/>
      <c r="CTX521" s="1358"/>
      <c r="CTY521" s="1358"/>
      <c r="CTZ521" s="1358"/>
      <c r="CUA521" s="1358"/>
      <c r="CUB521" s="1358"/>
      <c r="CUC521" s="1358"/>
      <c r="CUD521" s="1358"/>
      <c r="CUE521" s="1358"/>
      <c r="CUF521" s="1358"/>
      <c r="CUG521" s="1358"/>
      <c r="CUH521" s="1358"/>
      <c r="CUI521" s="1358"/>
      <c r="CUJ521" s="1358"/>
      <c r="CUK521" s="1358"/>
      <c r="CUL521" s="1358"/>
      <c r="CUM521" s="1358"/>
      <c r="CUN521" s="1358"/>
      <c r="CUO521" s="1358"/>
      <c r="CUP521" s="1358"/>
      <c r="CUQ521" s="1358"/>
      <c r="CUR521" s="1358"/>
      <c r="CUS521" s="1358"/>
      <c r="CUT521" s="1358"/>
      <c r="CUU521" s="1358"/>
      <c r="CUV521" s="1358"/>
      <c r="CUW521" s="1358"/>
      <c r="CUX521" s="1358"/>
      <c r="CUY521" s="1358"/>
      <c r="CUZ521" s="1358"/>
      <c r="CVA521" s="1358"/>
      <c r="CVB521" s="1358"/>
      <c r="CVC521" s="1358"/>
      <c r="CVD521" s="1358"/>
      <c r="CVE521" s="1358"/>
      <c r="CVF521" s="1358"/>
      <c r="CVG521" s="1358"/>
      <c r="CVH521" s="1358"/>
      <c r="CVI521" s="1358"/>
      <c r="CVJ521" s="1358"/>
      <c r="CVK521" s="1358"/>
      <c r="CVL521" s="1358"/>
      <c r="CVM521" s="1358"/>
      <c r="CVN521" s="1358"/>
      <c r="CVO521" s="1358"/>
      <c r="CVP521" s="1358"/>
      <c r="CVQ521" s="1358"/>
      <c r="CVR521" s="1358"/>
      <c r="CVS521" s="1358"/>
      <c r="CVT521" s="1358"/>
      <c r="CVU521" s="1358"/>
      <c r="CVV521" s="1358"/>
      <c r="CVW521" s="1358"/>
      <c r="CVX521" s="1358"/>
      <c r="CVY521" s="1358"/>
      <c r="CVZ521" s="1358"/>
      <c r="CWA521" s="1358"/>
      <c r="CWB521" s="1358"/>
      <c r="CWC521" s="1358"/>
      <c r="CWD521" s="1358"/>
      <c r="CWE521" s="1358"/>
      <c r="CWF521" s="1358"/>
      <c r="CWG521" s="1358"/>
      <c r="CWH521" s="1358"/>
      <c r="CWI521" s="1358"/>
      <c r="CWJ521" s="1358"/>
      <c r="CWK521" s="1358"/>
      <c r="CWL521" s="1358"/>
      <c r="CWM521" s="1358"/>
      <c r="CWN521" s="1358"/>
      <c r="CWO521" s="1358"/>
      <c r="CWP521" s="1358"/>
      <c r="CWQ521" s="1358"/>
      <c r="CWR521" s="1358"/>
      <c r="CWS521" s="1358"/>
      <c r="CWT521" s="1358"/>
      <c r="CWU521" s="1358"/>
      <c r="CWV521" s="1358"/>
      <c r="CWW521" s="1358"/>
      <c r="CWX521" s="1358"/>
      <c r="CWY521" s="1358"/>
      <c r="CWZ521" s="1358"/>
      <c r="CXA521" s="1358"/>
      <c r="CXB521" s="1358"/>
      <c r="CXC521" s="1358"/>
      <c r="CXD521" s="1358"/>
      <c r="CXE521" s="1358"/>
      <c r="CXF521" s="1358"/>
      <c r="CXG521" s="1358"/>
      <c r="CXH521" s="1358"/>
      <c r="CXI521" s="1358"/>
      <c r="CXJ521" s="1358"/>
      <c r="CXK521" s="1358"/>
      <c r="CXL521" s="1358"/>
      <c r="CXM521" s="1358"/>
      <c r="CXN521" s="1358"/>
      <c r="CXO521" s="1358"/>
      <c r="CXP521" s="1358"/>
      <c r="CXQ521" s="1358"/>
      <c r="CXR521" s="1358"/>
      <c r="CXS521" s="1358"/>
      <c r="CXT521" s="1358"/>
      <c r="CXU521" s="1358"/>
      <c r="CXV521" s="1358"/>
      <c r="CXW521" s="1358"/>
      <c r="CXX521" s="1358"/>
      <c r="CXY521" s="1358"/>
      <c r="CXZ521" s="1358"/>
      <c r="CYA521" s="1358"/>
      <c r="CYB521" s="1358"/>
      <c r="CYC521" s="1358"/>
      <c r="CYD521" s="1358"/>
      <c r="CYE521" s="1358"/>
      <c r="CYF521" s="1358"/>
      <c r="CYG521" s="1358"/>
      <c r="CYH521" s="1358"/>
      <c r="CYI521" s="1358"/>
      <c r="CYJ521" s="1358"/>
      <c r="CYK521" s="1358"/>
      <c r="CYL521" s="1358"/>
      <c r="CYM521" s="1358"/>
      <c r="CYN521" s="1358"/>
      <c r="CYO521" s="1358"/>
      <c r="CYP521" s="1358"/>
      <c r="CYQ521" s="1358"/>
      <c r="CYR521" s="1358"/>
      <c r="CYS521" s="1358"/>
      <c r="CYT521" s="1358"/>
      <c r="CYU521" s="1358"/>
      <c r="CYV521" s="1358"/>
      <c r="CYW521" s="1358"/>
      <c r="CYX521" s="1358"/>
      <c r="CYY521" s="1358"/>
      <c r="CYZ521" s="1358"/>
      <c r="CZA521" s="1358"/>
      <c r="CZB521" s="1358"/>
      <c r="CZC521" s="1358"/>
      <c r="CZD521" s="1358"/>
      <c r="CZE521" s="1358"/>
      <c r="CZF521" s="1358"/>
      <c r="CZG521" s="1358"/>
      <c r="CZH521" s="1358"/>
      <c r="CZI521" s="1358"/>
      <c r="CZJ521" s="1358"/>
      <c r="CZK521" s="1358"/>
      <c r="CZL521" s="1358"/>
      <c r="CZM521" s="1358"/>
      <c r="CZN521" s="1358"/>
      <c r="CZO521" s="1358"/>
      <c r="CZP521" s="1358"/>
      <c r="CZQ521" s="1358"/>
      <c r="CZR521" s="1358"/>
      <c r="CZS521" s="1358"/>
      <c r="CZT521" s="1358"/>
      <c r="CZU521" s="1358"/>
      <c r="CZV521" s="1358"/>
      <c r="CZW521" s="1358"/>
      <c r="CZX521" s="1358"/>
      <c r="CZY521" s="1358"/>
      <c r="CZZ521" s="1358"/>
      <c r="DAA521" s="1358"/>
      <c r="DAB521" s="1358"/>
      <c r="DAC521" s="1358"/>
      <c r="DAD521" s="1358"/>
      <c r="DAE521" s="1358"/>
      <c r="DAF521" s="1358"/>
      <c r="DAG521" s="1358"/>
      <c r="DAH521" s="1358"/>
      <c r="DAI521" s="1358"/>
      <c r="DAJ521" s="1358"/>
      <c r="DAK521" s="1358"/>
      <c r="DAL521" s="1358"/>
      <c r="DAM521" s="1358"/>
      <c r="DAN521" s="1358"/>
      <c r="DAO521" s="1358"/>
      <c r="DAP521" s="1358"/>
      <c r="DAQ521" s="1358"/>
      <c r="DAR521" s="1358"/>
      <c r="DAS521" s="1358"/>
      <c r="DAT521" s="1358"/>
      <c r="DAU521" s="1358"/>
      <c r="DAV521" s="1358"/>
      <c r="DAW521" s="1358"/>
      <c r="DAX521" s="1358"/>
      <c r="DAY521" s="1358"/>
      <c r="DAZ521" s="1358"/>
      <c r="DBA521" s="1358"/>
      <c r="DBB521" s="1358"/>
      <c r="DBC521" s="1358"/>
      <c r="DBD521" s="1358"/>
      <c r="DBE521" s="1358"/>
      <c r="DBF521" s="1358"/>
      <c r="DBG521" s="1358"/>
      <c r="DBH521" s="1358"/>
      <c r="DBI521" s="1358"/>
      <c r="DBJ521" s="1358"/>
      <c r="DBK521" s="1358"/>
      <c r="DBL521" s="1358"/>
      <c r="DBM521" s="1358"/>
      <c r="DBN521" s="1358"/>
      <c r="DBO521" s="1358"/>
      <c r="DBP521" s="1358"/>
      <c r="DBQ521" s="1358"/>
      <c r="DBR521" s="1358"/>
      <c r="DBS521" s="1358"/>
      <c r="DBT521" s="1358"/>
      <c r="DBU521" s="1358"/>
      <c r="DBV521" s="1358"/>
      <c r="DBW521" s="1358"/>
      <c r="DBX521" s="1358"/>
      <c r="DBY521" s="1358"/>
      <c r="DBZ521" s="1358"/>
      <c r="DCA521" s="1358"/>
      <c r="DCB521" s="1358"/>
      <c r="DCC521" s="1358"/>
      <c r="DCD521" s="1358"/>
      <c r="DCE521" s="1358"/>
      <c r="DCF521" s="1358"/>
      <c r="DCG521" s="1358"/>
      <c r="DCH521" s="1358"/>
      <c r="DCI521" s="1358"/>
      <c r="DCJ521" s="1358"/>
      <c r="DCK521" s="1358"/>
      <c r="DCL521" s="1358"/>
      <c r="DCM521" s="1358"/>
      <c r="DCN521" s="1358"/>
      <c r="DCO521" s="1358"/>
      <c r="DCP521" s="1358"/>
      <c r="DCQ521" s="1358"/>
      <c r="DCR521" s="1358"/>
      <c r="DCS521" s="1358"/>
      <c r="DCT521" s="1358"/>
      <c r="DCU521" s="1358"/>
      <c r="DCV521" s="1358"/>
      <c r="DCW521" s="1358"/>
      <c r="DCX521" s="1358"/>
      <c r="DCY521" s="1358"/>
      <c r="DCZ521" s="1358"/>
      <c r="DDA521" s="1358"/>
      <c r="DDB521" s="1358"/>
      <c r="DDC521" s="1358"/>
      <c r="DDD521" s="1358"/>
      <c r="DDE521" s="1358"/>
      <c r="DDF521" s="1358"/>
      <c r="DDG521" s="1358"/>
      <c r="DDH521" s="1358"/>
      <c r="DDI521" s="1358"/>
      <c r="DDJ521" s="1358"/>
      <c r="DDK521" s="1358"/>
      <c r="DDL521" s="1358"/>
      <c r="DDM521" s="1358"/>
      <c r="DDN521" s="1358"/>
      <c r="DDO521" s="1358"/>
      <c r="DDP521" s="1358"/>
      <c r="DDQ521" s="1358"/>
      <c r="DDR521" s="1358"/>
      <c r="DDS521" s="1358"/>
      <c r="DDT521" s="1358"/>
      <c r="DDU521" s="1358"/>
      <c r="DDV521" s="1358"/>
      <c r="DDW521" s="1358"/>
      <c r="DDX521" s="1358"/>
      <c r="DDY521" s="1358"/>
      <c r="DDZ521" s="1358"/>
      <c r="DEA521" s="1358"/>
      <c r="DEB521" s="1358"/>
      <c r="DEC521" s="1358"/>
      <c r="DED521" s="1358"/>
      <c r="DEE521" s="1358"/>
      <c r="DEF521" s="1358"/>
      <c r="DEG521" s="1358"/>
      <c r="DEH521" s="1358"/>
      <c r="DEI521" s="1358"/>
      <c r="DEJ521" s="1358"/>
      <c r="DEK521" s="1358"/>
      <c r="DEL521" s="1358"/>
      <c r="DEM521" s="1358"/>
      <c r="DEN521" s="1358"/>
      <c r="DEO521" s="1358"/>
      <c r="DEP521" s="1358"/>
      <c r="DEQ521" s="1358"/>
      <c r="DER521" s="1358"/>
      <c r="DES521" s="1358"/>
      <c r="DET521" s="1358"/>
      <c r="DEU521" s="1358"/>
      <c r="DEV521" s="1358"/>
      <c r="DEW521" s="1358"/>
      <c r="DEX521" s="1358"/>
      <c r="DEY521" s="1358"/>
      <c r="DEZ521" s="1358"/>
      <c r="DFA521" s="1358"/>
      <c r="DFB521" s="1358"/>
      <c r="DFC521" s="1358"/>
      <c r="DFD521" s="1358"/>
      <c r="DFE521" s="1358"/>
      <c r="DFF521" s="1358"/>
      <c r="DFG521" s="1358"/>
      <c r="DFH521" s="1358"/>
      <c r="DFI521" s="1358"/>
      <c r="DFJ521" s="1358"/>
      <c r="DFK521" s="1358"/>
      <c r="DFL521" s="1358"/>
      <c r="DFM521" s="1358"/>
      <c r="DFN521" s="1358"/>
      <c r="DFO521" s="1358"/>
      <c r="DFP521" s="1358"/>
      <c r="DFQ521" s="1358"/>
      <c r="DFR521" s="1358"/>
      <c r="DFS521" s="1358"/>
      <c r="DFT521" s="1358"/>
      <c r="DFU521" s="1358"/>
      <c r="DFV521" s="1358"/>
      <c r="DFW521" s="1358"/>
      <c r="DFX521" s="1358"/>
      <c r="DFY521" s="1358"/>
      <c r="DFZ521" s="1358"/>
      <c r="DGA521" s="1358"/>
      <c r="DGB521" s="1358"/>
      <c r="DGC521" s="1358"/>
      <c r="DGD521" s="1358"/>
      <c r="DGE521" s="1358"/>
      <c r="DGF521" s="1358"/>
      <c r="DGG521" s="1358"/>
      <c r="DGH521" s="1358"/>
      <c r="DGI521" s="1358"/>
      <c r="DGJ521" s="1358"/>
      <c r="DGK521" s="1358"/>
      <c r="DGL521" s="1358"/>
      <c r="DGM521" s="1358"/>
      <c r="DGN521" s="1358"/>
      <c r="DGO521" s="1358"/>
      <c r="DGP521" s="1358"/>
      <c r="DGQ521" s="1358"/>
      <c r="DGR521" s="1358"/>
      <c r="DGS521" s="1358"/>
      <c r="DGT521" s="1358"/>
      <c r="DGU521" s="1358"/>
      <c r="DGV521" s="1358"/>
      <c r="DGW521" s="1358"/>
      <c r="DGX521" s="1358"/>
      <c r="DGY521" s="1358"/>
      <c r="DGZ521" s="1358"/>
      <c r="DHA521" s="1358"/>
      <c r="DHB521" s="1358"/>
      <c r="DHC521" s="1358"/>
      <c r="DHD521" s="1358"/>
      <c r="DHE521" s="1358"/>
      <c r="DHF521" s="1358"/>
      <c r="DHG521" s="1358"/>
      <c r="DHH521" s="1358"/>
      <c r="DHI521" s="1358"/>
      <c r="DHJ521" s="1358"/>
      <c r="DHK521" s="1358"/>
      <c r="DHL521" s="1358"/>
      <c r="DHM521" s="1358"/>
      <c r="DHN521" s="1358"/>
      <c r="DHO521" s="1358"/>
      <c r="DHP521" s="1358"/>
      <c r="DHQ521" s="1358"/>
      <c r="DHR521" s="1358"/>
      <c r="DHS521" s="1358"/>
      <c r="DHT521" s="1358"/>
      <c r="DHU521" s="1358"/>
      <c r="DHV521" s="1358"/>
      <c r="DHW521" s="1358"/>
      <c r="DHX521" s="1358"/>
      <c r="DHY521" s="1358"/>
      <c r="DHZ521" s="1358"/>
      <c r="DIA521" s="1358"/>
      <c r="DIB521" s="1358"/>
      <c r="DIC521" s="1358"/>
      <c r="DID521" s="1358"/>
      <c r="DIE521" s="1358"/>
      <c r="DIF521" s="1358"/>
      <c r="DIG521" s="1358"/>
      <c r="DIH521" s="1358"/>
      <c r="DII521" s="1358"/>
      <c r="DIJ521" s="1358"/>
      <c r="DIK521" s="1358"/>
      <c r="DIL521" s="1358"/>
      <c r="DIM521" s="1358"/>
      <c r="DIN521" s="1358"/>
      <c r="DIO521" s="1358"/>
      <c r="DIP521" s="1358"/>
      <c r="DIQ521" s="1358"/>
      <c r="DIR521" s="1358"/>
      <c r="DIS521" s="1358"/>
      <c r="DIT521" s="1358"/>
      <c r="DIU521" s="1358"/>
      <c r="DIV521" s="1358"/>
      <c r="DIW521" s="1358"/>
      <c r="DIX521" s="1358"/>
      <c r="DIY521" s="1358"/>
      <c r="DIZ521" s="1358"/>
      <c r="DJA521" s="1358"/>
      <c r="DJB521" s="1358"/>
      <c r="DJC521" s="1358"/>
      <c r="DJD521" s="1358"/>
      <c r="DJE521" s="1358"/>
      <c r="DJF521" s="1358"/>
      <c r="DJG521" s="1358"/>
      <c r="DJH521" s="1358"/>
      <c r="DJI521" s="1358"/>
      <c r="DJJ521" s="1358"/>
      <c r="DJK521" s="1358"/>
      <c r="DJL521" s="1358"/>
      <c r="DJM521" s="1358"/>
      <c r="DJN521" s="1358"/>
      <c r="DJO521" s="1358"/>
      <c r="DJP521" s="1358"/>
      <c r="DJQ521" s="1358"/>
      <c r="DJR521" s="1358"/>
      <c r="DJS521" s="1358"/>
      <c r="DJT521" s="1358"/>
      <c r="DJU521" s="1358"/>
      <c r="DJV521" s="1358"/>
      <c r="DJW521" s="1358"/>
      <c r="DJX521" s="1358"/>
      <c r="DJY521" s="1358"/>
      <c r="DJZ521" s="1358"/>
      <c r="DKA521" s="1358"/>
      <c r="DKB521" s="1358"/>
      <c r="DKC521" s="1358"/>
      <c r="DKD521" s="1358"/>
      <c r="DKE521" s="1358"/>
      <c r="DKF521" s="1358"/>
      <c r="DKG521" s="1358"/>
      <c r="DKH521" s="1358"/>
      <c r="DKI521" s="1358"/>
      <c r="DKJ521" s="1358"/>
      <c r="DKK521" s="1358"/>
      <c r="DKL521" s="1358"/>
      <c r="DKM521" s="1358"/>
      <c r="DKN521" s="1358"/>
      <c r="DKO521" s="1358"/>
      <c r="DKP521" s="1358"/>
      <c r="DKQ521" s="1358"/>
      <c r="DKR521" s="1358"/>
      <c r="DKS521" s="1358"/>
      <c r="DKT521" s="1358"/>
      <c r="DKU521" s="1358"/>
      <c r="DKV521" s="1358"/>
      <c r="DKW521" s="1358"/>
      <c r="DKX521" s="1358"/>
      <c r="DKY521" s="1358"/>
      <c r="DKZ521" s="1358"/>
      <c r="DLA521" s="1358"/>
      <c r="DLB521" s="1358"/>
      <c r="DLC521" s="1358"/>
      <c r="DLD521" s="1358"/>
      <c r="DLE521" s="1358"/>
      <c r="DLF521" s="1358"/>
      <c r="DLG521" s="1358"/>
      <c r="DLH521" s="1358"/>
      <c r="DLI521" s="1358"/>
      <c r="DLJ521" s="1358"/>
      <c r="DLK521" s="1358"/>
      <c r="DLL521" s="1358"/>
      <c r="DLM521" s="1358"/>
      <c r="DLN521" s="1358"/>
      <c r="DLO521" s="1358"/>
      <c r="DLP521" s="1358"/>
      <c r="DLQ521" s="1358"/>
      <c r="DLR521" s="1358"/>
      <c r="DLS521" s="1358"/>
      <c r="DLT521" s="1358"/>
      <c r="DLU521" s="1358"/>
      <c r="DLV521" s="1358"/>
      <c r="DLW521" s="1358"/>
      <c r="DLX521" s="1358"/>
      <c r="DLY521" s="1358"/>
      <c r="DLZ521" s="1358"/>
      <c r="DMA521" s="1358"/>
      <c r="DMB521" s="1358"/>
      <c r="DMC521" s="1358"/>
      <c r="DMD521" s="1358"/>
      <c r="DME521" s="1358"/>
      <c r="DMF521" s="1358"/>
      <c r="DMG521" s="1358"/>
      <c r="DMH521" s="1358"/>
      <c r="DMI521" s="1358"/>
      <c r="DMJ521" s="1358"/>
      <c r="DMK521" s="1358"/>
      <c r="DML521" s="1358"/>
      <c r="DMM521" s="1358"/>
      <c r="DMN521" s="1358"/>
      <c r="DMO521" s="1358"/>
      <c r="DMP521" s="1358"/>
      <c r="DMQ521" s="1358"/>
      <c r="DMR521" s="1358"/>
      <c r="DMS521" s="1358"/>
      <c r="DMT521" s="1358"/>
      <c r="DMU521" s="1358"/>
      <c r="DMV521" s="1358"/>
      <c r="DMW521" s="1358"/>
      <c r="DMX521" s="1358"/>
      <c r="DMY521" s="1358"/>
      <c r="DMZ521" s="1358"/>
      <c r="DNA521" s="1358"/>
      <c r="DNB521" s="1358"/>
      <c r="DNC521" s="1358"/>
      <c r="DND521" s="1358"/>
      <c r="DNE521" s="1358"/>
      <c r="DNF521" s="1358"/>
      <c r="DNG521" s="1358"/>
      <c r="DNH521" s="1358"/>
      <c r="DNI521" s="1358"/>
      <c r="DNJ521" s="1358"/>
      <c r="DNK521" s="1358"/>
      <c r="DNL521" s="1358"/>
      <c r="DNM521" s="1358"/>
      <c r="DNN521" s="1358"/>
      <c r="DNO521" s="1358"/>
      <c r="DNP521" s="1358"/>
      <c r="DNQ521" s="1358"/>
      <c r="DNR521" s="1358"/>
      <c r="DNS521" s="1358"/>
      <c r="DNT521" s="1358"/>
      <c r="DNU521" s="1358"/>
      <c r="DNV521" s="1358"/>
      <c r="DNW521" s="1358"/>
      <c r="DNX521" s="1358"/>
      <c r="DNY521" s="1358"/>
      <c r="DNZ521" s="1358"/>
      <c r="DOA521" s="1358"/>
      <c r="DOB521" s="1358"/>
      <c r="DOC521" s="1358"/>
      <c r="DOD521" s="1358"/>
      <c r="DOE521" s="1358"/>
      <c r="DOF521" s="1358"/>
      <c r="DOG521" s="1358"/>
      <c r="DOH521" s="1358"/>
      <c r="DOI521" s="1358"/>
      <c r="DOJ521" s="1358"/>
      <c r="DOK521" s="1358"/>
      <c r="DOL521" s="1358"/>
      <c r="DOM521" s="1358"/>
      <c r="DON521" s="1358"/>
      <c r="DOO521" s="1358"/>
      <c r="DOP521" s="1358"/>
      <c r="DOQ521" s="1358"/>
      <c r="DOR521" s="1358"/>
      <c r="DOS521" s="1358"/>
      <c r="DOT521" s="1358"/>
      <c r="DOU521" s="1358"/>
      <c r="DOV521" s="1358"/>
      <c r="DOW521" s="1358"/>
      <c r="DOX521" s="1358"/>
      <c r="DOY521" s="1358"/>
      <c r="DOZ521" s="1358"/>
      <c r="DPA521" s="1358"/>
      <c r="DPB521" s="1358"/>
      <c r="DPC521" s="1358"/>
      <c r="DPD521" s="1358"/>
      <c r="DPE521" s="1358"/>
      <c r="DPF521" s="1358"/>
      <c r="DPG521" s="1358"/>
      <c r="DPH521" s="1358"/>
      <c r="DPI521" s="1358"/>
      <c r="DPJ521" s="1358"/>
      <c r="DPK521" s="1358"/>
      <c r="DPL521" s="1358"/>
      <c r="DPM521" s="1358"/>
      <c r="DPN521" s="1358"/>
      <c r="DPO521" s="1358"/>
      <c r="DPP521" s="1358"/>
      <c r="DPQ521" s="1358"/>
      <c r="DPR521" s="1358"/>
      <c r="DPS521" s="1358"/>
      <c r="DPT521" s="1358"/>
      <c r="DPU521" s="1358"/>
      <c r="DPV521" s="1358"/>
      <c r="DPW521" s="1358"/>
      <c r="DPX521" s="1358"/>
      <c r="DPY521" s="1358"/>
      <c r="DPZ521" s="1358"/>
      <c r="DQA521" s="1358"/>
      <c r="DQB521" s="1358"/>
      <c r="DQC521" s="1358"/>
      <c r="DQD521" s="1358"/>
      <c r="DQE521" s="1358"/>
      <c r="DQF521" s="1358"/>
      <c r="DQG521" s="1358"/>
      <c r="DQH521" s="1358"/>
      <c r="DQI521" s="1358"/>
      <c r="DQJ521" s="1358"/>
      <c r="DQK521" s="1358"/>
      <c r="DQL521" s="1358"/>
      <c r="DQM521" s="1358"/>
      <c r="DQN521" s="1358"/>
      <c r="DQO521" s="1358"/>
      <c r="DQP521" s="1358"/>
      <c r="DQQ521" s="1358"/>
      <c r="DQR521" s="1358"/>
      <c r="DQS521" s="1358"/>
      <c r="DQT521" s="1358"/>
      <c r="DQU521" s="1358"/>
      <c r="DQV521" s="1358"/>
      <c r="DQW521" s="1358"/>
      <c r="DQX521" s="1358"/>
      <c r="DQY521" s="1358"/>
      <c r="DQZ521" s="1358"/>
      <c r="DRA521" s="1358"/>
      <c r="DRB521" s="1358"/>
      <c r="DRC521" s="1358"/>
      <c r="DRD521" s="1358"/>
      <c r="DRE521" s="1358"/>
      <c r="DRF521" s="1358"/>
      <c r="DRG521" s="1358"/>
      <c r="DRH521" s="1358"/>
      <c r="DRI521" s="1358"/>
      <c r="DRJ521" s="1358"/>
      <c r="DRK521" s="1358"/>
      <c r="DRL521" s="1358"/>
      <c r="DRM521" s="1358"/>
      <c r="DRN521" s="1358"/>
      <c r="DRO521" s="1358"/>
      <c r="DRP521" s="1358"/>
      <c r="DRQ521" s="1358"/>
      <c r="DRR521" s="1358"/>
      <c r="DRS521" s="1358"/>
      <c r="DRT521" s="1358"/>
      <c r="DRU521" s="1358"/>
      <c r="DRV521" s="1358"/>
      <c r="DRW521" s="1358"/>
      <c r="DRX521" s="1358"/>
      <c r="DRY521" s="1358"/>
      <c r="DRZ521" s="1358"/>
      <c r="DSA521" s="1358"/>
      <c r="DSB521" s="1358"/>
      <c r="DSC521" s="1358"/>
      <c r="DSD521" s="1358"/>
      <c r="DSE521" s="1358"/>
      <c r="DSF521" s="1358"/>
      <c r="DSG521" s="1358"/>
      <c r="DSH521" s="1358"/>
      <c r="DSI521" s="1358"/>
      <c r="DSJ521" s="1358"/>
      <c r="DSK521" s="1358"/>
      <c r="DSL521" s="1358"/>
      <c r="DSM521" s="1358"/>
      <c r="DSN521" s="1358"/>
      <c r="DSO521" s="1358"/>
      <c r="DSP521" s="1358"/>
      <c r="DSQ521" s="1358"/>
      <c r="DSR521" s="1358"/>
      <c r="DSS521" s="1358"/>
      <c r="DST521" s="1358"/>
      <c r="DSU521" s="1358"/>
      <c r="DSV521" s="1358"/>
      <c r="DSW521" s="1358"/>
      <c r="DSX521" s="1358"/>
      <c r="DSY521" s="1358"/>
      <c r="DSZ521" s="1358"/>
      <c r="DTA521" s="1358"/>
      <c r="DTB521" s="1358"/>
      <c r="DTC521" s="1358"/>
      <c r="DTD521" s="1358"/>
      <c r="DTE521" s="1358"/>
      <c r="DTF521" s="1358"/>
      <c r="DTG521" s="1358"/>
      <c r="DTH521" s="1358"/>
      <c r="DTI521" s="1358"/>
      <c r="DTJ521" s="1358"/>
      <c r="DTK521" s="1358"/>
      <c r="DTL521" s="1358"/>
      <c r="DTM521" s="1358"/>
      <c r="DTN521" s="1358"/>
      <c r="DTO521" s="1358"/>
      <c r="DTP521" s="1358"/>
      <c r="DTQ521" s="1358"/>
      <c r="DTR521" s="1358"/>
      <c r="DTS521" s="1358"/>
      <c r="DTT521" s="1358"/>
      <c r="DTU521" s="1358"/>
      <c r="DTV521" s="1358"/>
      <c r="DTW521" s="1358"/>
      <c r="DTX521" s="1358"/>
      <c r="DTY521" s="1358"/>
      <c r="DTZ521" s="1358"/>
      <c r="DUA521" s="1358"/>
      <c r="DUB521" s="1358"/>
      <c r="DUC521" s="1358"/>
      <c r="DUD521" s="1358"/>
      <c r="DUE521" s="1358"/>
      <c r="DUF521" s="1358"/>
      <c r="DUG521" s="1358"/>
      <c r="DUH521" s="1358"/>
      <c r="DUI521" s="1358"/>
      <c r="DUJ521" s="1358"/>
      <c r="DUK521" s="1358"/>
      <c r="DUL521" s="1358"/>
      <c r="DUM521" s="1358"/>
      <c r="DUN521" s="1358"/>
      <c r="DUO521" s="1358"/>
      <c r="DUP521" s="1358"/>
      <c r="DUQ521" s="1358"/>
      <c r="DUR521" s="1358"/>
      <c r="DUS521" s="1358"/>
      <c r="DUT521" s="1358"/>
      <c r="DUU521" s="1358"/>
      <c r="DUV521" s="1358"/>
      <c r="DUW521" s="1358"/>
      <c r="DUX521" s="1358"/>
      <c r="DUY521" s="1358"/>
      <c r="DUZ521" s="1358"/>
      <c r="DVA521" s="1358"/>
      <c r="DVB521" s="1358"/>
      <c r="DVC521" s="1358"/>
      <c r="DVD521" s="1358"/>
      <c r="DVE521" s="1358"/>
      <c r="DVF521" s="1358"/>
      <c r="DVG521" s="1358"/>
      <c r="DVH521" s="1358"/>
      <c r="DVI521" s="1358"/>
      <c r="DVJ521" s="1358"/>
      <c r="DVK521" s="1358"/>
      <c r="DVL521" s="1358"/>
      <c r="DVM521" s="1358"/>
      <c r="DVN521" s="1358"/>
      <c r="DVO521" s="1358"/>
      <c r="DVP521" s="1358"/>
      <c r="DVQ521" s="1358"/>
      <c r="DVR521" s="1358"/>
      <c r="DVS521" s="1358"/>
      <c r="DVT521" s="1358"/>
      <c r="DVU521" s="1358"/>
      <c r="DVV521" s="1358"/>
      <c r="DVW521" s="1358"/>
      <c r="DVX521" s="1358"/>
      <c r="DVY521" s="1358"/>
      <c r="DVZ521" s="1358"/>
      <c r="DWA521" s="1358"/>
      <c r="DWB521" s="1358"/>
      <c r="DWC521" s="1358"/>
      <c r="DWD521" s="1358"/>
      <c r="DWE521" s="1358"/>
      <c r="DWF521" s="1358"/>
      <c r="DWG521" s="1358"/>
      <c r="DWH521" s="1358"/>
      <c r="DWI521" s="1358"/>
      <c r="DWJ521" s="1358"/>
      <c r="DWK521" s="1358"/>
      <c r="DWL521" s="1358"/>
      <c r="DWM521" s="1358"/>
      <c r="DWN521" s="1358"/>
      <c r="DWO521" s="1358"/>
      <c r="DWP521" s="1358"/>
      <c r="DWQ521" s="1358"/>
      <c r="DWR521" s="1358"/>
      <c r="DWS521" s="1358"/>
      <c r="DWT521" s="1358"/>
      <c r="DWU521" s="1358"/>
      <c r="DWV521" s="1358"/>
      <c r="DWW521" s="1358"/>
      <c r="DWX521" s="1358"/>
      <c r="DWY521" s="1358"/>
      <c r="DWZ521" s="1358"/>
      <c r="DXA521" s="1358"/>
      <c r="DXB521" s="1358"/>
      <c r="DXC521" s="1358"/>
      <c r="DXD521" s="1358"/>
      <c r="DXE521" s="1358"/>
      <c r="DXF521" s="1358"/>
      <c r="DXG521" s="1358"/>
      <c r="DXH521" s="1358"/>
      <c r="DXI521" s="1358"/>
      <c r="DXJ521" s="1358"/>
      <c r="DXK521" s="1358"/>
      <c r="DXL521" s="1358"/>
      <c r="DXM521" s="1358"/>
      <c r="DXN521" s="1358"/>
      <c r="DXO521" s="1358"/>
      <c r="DXP521" s="1358"/>
      <c r="DXQ521" s="1358"/>
      <c r="DXR521" s="1358"/>
      <c r="DXS521" s="1358"/>
      <c r="DXT521" s="1358"/>
      <c r="DXU521" s="1358"/>
      <c r="DXV521" s="1358"/>
      <c r="DXW521" s="1358"/>
      <c r="DXX521" s="1358"/>
      <c r="DXY521" s="1358"/>
      <c r="DXZ521" s="1358"/>
      <c r="DYA521" s="1358"/>
      <c r="DYB521" s="1358"/>
      <c r="DYC521" s="1358"/>
      <c r="DYD521" s="1358"/>
      <c r="DYE521" s="1358"/>
      <c r="DYF521" s="1358"/>
      <c r="DYG521" s="1358"/>
      <c r="DYH521" s="1358"/>
      <c r="DYI521" s="1358"/>
      <c r="DYJ521" s="1358"/>
      <c r="DYK521" s="1358"/>
      <c r="DYL521" s="1358"/>
      <c r="DYM521" s="1358"/>
      <c r="DYN521" s="1358"/>
      <c r="DYO521" s="1358"/>
      <c r="DYP521" s="1358"/>
      <c r="DYQ521" s="1358"/>
      <c r="DYR521" s="1358"/>
      <c r="DYS521" s="1358"/>
      <c r="DYT521" s="1358"/>
      <c r="DYU521" s="1358"/>
      <c r="DYV521" s="1358"/>
      <c r="DYW521" s="1358"/>
      <c r="DYX521" s="1358"/>
      <c r="DYY521" s="1358"/>
      <c r="DYZ521" s="1358"/>
      <c r="DZA521" s="1358"/>
      <c r="DZB521" s="1358"/>
      <c r="DZC521" s="1358"/>
      <c r="DZD521" s="1358"/>
      <c r="DZE521" s="1358"/>
      <c r="DZF521" s="1358"/>
      <c r="DZG521" s="1358"/>
      <c r="DZH521" s="1358"/>
      <c r="DZI521" s="1358"/>
      <c r="DZJ521" s="1358"/>
      <c r="DZK521" s="1358"/>
      <c r="DZL521" s="1358"/>
      <c r="DZM521" s="1358"/>
      <c r="DZN521" s="1358"/>
      <c r="DZO521" s="1358"/>
      <c r="DZP521" s="1358"/>
      <c r="DZQ521" s="1358"/>
      <c r="DZR521" s="1358"/>
      <c r="DZS521" s="1358"/>
      <c r="DZT521" s="1358"/>
      <c r="DZU521" s="1358"/>
      <c r="DZV521" s="1358"/>
      <c r="DZW521" s="1358"/>
      <c r="DZX521" s="1358"/>
      <c r="DZY521" s="1358"/>
      <c r="DZZ521" s="1358"/>
      <c r="EAA521" s="1358"/>
      <c r="EAB521" s="1358"/>
      <c r="EAC521" s="1358"/>
      <c r="EAD521" s="1358"/>
      <c r="EAE521" s="1358"/>
      <c r="EAF521" s="1358"/>
      <c r="EAG521" s="1358"/>
      <c r="EAH521" s="1358"/>
      <c r="EAI521" s="1358"/>
      <c r="EAJ521" s="1358"/>
      <c r="EAK521" s="1358"/>
      <c r="EAL521" s="1358"/>
      <c r="EAM521" s="1358"/>
      <c r="EAN521" s="1358"/>
      <c r="EAO521" s="1358"/>
      <c r="EAP521" s="1358"/>
      <c r="EAQ521" s="1358"/>
      <c r="EAR521" s="1358"/>
      <c r="EAS521" s="1358"/>
      <c r="EAT521" s="1358"/>
      <c r="EAU521" s="1358"/>
      <c r="EAV521" s="1358"/>
      <c r="EAW521" s="1358"/>
      <c r="EAX521" s="1358"/>
      <c r="EAY521" s="1358"/>
      <c r="EAZ521" s="1358"/>
      <c r="EBA521" s="1358"/>
      <c r="EBB521" s="1358"/>
      <c r="EBC521" s="1358"/>
      <c r="EBD521" s="1358"/>
      <c r="EBE521" s="1358"/>
      <c r="EBF521" s="1358"/>
      <c r="EBG521" s="1358"/>
      <c r="EBH521" s="1358"/>
      <c r="EBI521" s="1358"/>
      <c r="EBJ521" s="1358"/>
      <c r="EBK521" s="1358"/>
      <c r="EBL521" s="1358"/>
      <c r="EBM521" s="1358"/>
      <c r="EBN521" s="1358"/>
      <c r="EBO521" s="1358"/>
      <c r="EBP521" s="1358"/>
      <c r="EBQ521" s="1358"/>
      <c r="EBR521" s="1358"/>
      <c r="EBS521" s="1358"/>
      <c r="EBT521" s="1358"/>
      <c r="EBU521" s="1358"/>
      <c r="EBV521" s="1358"/>
      <c r="EBW521" s="1358"/>
      <c r="EBX521" s="1358"/>
      <c r="EBY521" s="1358"/>
      <c r="EBZ521" s="1358"/>
      <c r="ECA521" s="1358"/>
      <c r="ECB521" s="1358"/>
      <c r="ECC521" s="1358"/>
      <c r="ECD521" s="1358"/>
      <c r="ECE521" s="1358"/>
      <c r="ECF521" s="1358"/>
      <c r="ECG521" s="1358"/>
      <c r="ECH521" s="1358"/>
      <c r="ECI521" s="1358"/>
      <c r="ECJ521" s="1358"/>
      <c r="ECK521" s="1358"/>
      <c r="ECL521" s="1358"/>
      <c r="ECM521" s="1358"/>
      <c r="ECN521" s="1358"/>
      <c r="ECO521" s="1358"/>
      <c r="ECP521" s="1358"/>
      <c r="ECQ521" s="1358"/>
      <c r="ECR521" s="1358"/>
      <c r="ECS521" s="1358"/>
      <c r="ECT521" s="1358"/>
      <c r="ECU521" s="1358"/>
      <c r="ECV521" s="1358"/>
      <c r="ECW521" s="1358"/>
      <c r="ECX521" s="1358"/>
      <c r="ECY521" s="1358"/>
      <c r="ECZ521" s="1358"/>
      <c r="EDA521" s="1358"/>
      <c r="EDB521" s="1358"/>
      <c r="EDC521" s="1358"/>
      <c r="EDD521" s="1358"/>
      <c r="EDE521" s="1358"/>
      <c r="EDF521" s="1358"/>
      <c r="EDG521" s="1358"/>
      <c r="EDH521" s="1358"/>
      <c r="EDI521" s="1358"/>
      <c r="EDJ521" s="1358"/>
      <c r="EDK521" s="1358"/>
      <c r="EDL521" s="1358"/>
      <c r="EDM521" s="1358"/>
      <c r="EDN521" s="1358"/>
      <c r="EDO521" s="1358"/>
      <c r="EDP521" s="1358"/>
      <c r="EDQ521" s="1358"/>
      <c r="EDR521" s="1358"/>
      <c r="EDS521" s="1358"/>
      <c r="EDT521" s="1358"/>
      <c r="EDU521" s="1358"/>
      <c r="EDV521" s="1358"/>
      <c r="EDW521" s="1358"/>
      <c r="EDX521" s="1358"/>
      <c r="EDY521" s="1358"/>
      <c r="EDZ521" s="1358"/>
      <c r="EEA521" s="1358"/>
      <c r="EEB521" s="1358"/>
      <c r="EEC521" s="1358"/>
      <c r="EED521" s="1358"/>
      <c r="EEE521" s="1358"/>
      <c r="EEF521" s="1358"/>
      <c r="EEG521" s="1358"/>
      <c r="EEH521" s="1358"/>
      <c r="EEI521" s="1358"/>
      <c r="EEJ521" s="1358"/>
      <c r="EEK521" s="1358"/>
      <c r="EEL521" s="1358"/>
      <c r="EEM521" s="1358"/>
      <c r="EEN521" s="1358"/>
      <c r="EEO521" s="1358"/>
      <c r="EEP521" s="1358"/>
      <c r="EEQ521" s="1358"/>
      <c r="EER521" s="1358"/>
      <c r="EES521" s="1358"/>
      <c r="EET521" s="1358"/>
      <c r="EEU521" s="1358"/>
      <c r="EEV521" s="1358"/>
      <c r="EEW521" s="1358"/>
      <c r="EEX521" s="1358"/>
      <c r="EEY521" s="1358"/>
      <c r="EEZ521" s="1358"/>
      <c r="EFA521" s="1358"/>
      <c r="EFB521" s="1358"/>
      <c r="EFC521" s="1358"/>
      <c r="EFD521" s="1358"/>
      <c r="EFE521" s="1358"/>
      <c r="EFF521" s="1358"/>
      <c r="EFG521" s="1358"/>
      <c r="EFH521" s="1358"/>
      <c r="EFI521" s="1358"/>
      <c r="EFJ521" s="1358"/>
      <c r="EFK521" s="1358"/>
      <c r="EFL521" s="1358"/>
      <c r="EFM521" s="1358"/>
      <c r="EFN521" s="1358"/>
      <c r="EFO521" s="1358"/>
      <c r="EFP521" s="1358"/>
      <c r="EFQ521" s="1358"/>
      <c r="EFR521" s="1358"/>
      <c r="EFS521" s="1358"/>
      <c r="EFT521" s="1358"/>
      <c r="EFU521" s="1358"/>
      <c r="EFV521" s="1358"/>
      <c r="EFW521" s="1358"/>
      <c r="EFX521" s="1358"/>
      <c r="EFY521" s="1358"/>
      <c r="EFZ521" s="1358"/>
      <c r="EGA521" s="1358"/>
      <c r="EGB521" s="1358"/>
      <c r="EGC521" s="1358"/>
      <c r="EGD521" s="1358"/>
      <c r="EGE521" s="1358"/>
      <c r="EGF521" s="1358"/>
      <c r="EGG521" s="1358"/>
      <c r="EGH521" s="1358"/>
      <c r="EGI521" s="1358"/>
      <c r="EGJ521" s="1358"/>
      <c r="EGK521" s="1358"/>
      <c r="EGL521" s="1358"/>
      <c r="EGM521" s="1358"/>
      <c r="EGN521" s="1358"/>
      <c r="EGO521" s="1358"/>
      <c r="EGP521" s="1358"/>
      <c r="EGQ521" s="1358"/>
      <c r="EGR521" s="1358"/>
      <c r="EGS521" s="1358"/>
      <c r="EGT521" s="1358"/>
      <c r="EGU521" s="1358"/>
      <c r="EGV521" s="1358"/>
      <c r="EGW521" s="1358"/>
      <c r="EGX521" s="1358"/>
      <c r="EGY521" s="1358"/>
      <c r="EGZ521" s="1358"/>
      <c r="EHA521" s="1358"/>
      <c r="EHB521" s="1358"/>
      <c r="EHC521" s="1358"/>
      <c r="EHD521" s="1358"/>
      <c r="EHE521" s="1358"/>
      <c r="EHF521" s="1358"/>
      <c r="EHG521" s="1358"/>
      <c r="EHH521" s="1358"/>
      <c r="EHI521" s="1358"/>
      <c r="EHJ521" s="1358"/>
      <c r="EHK521" s="1358"/>
      <c r="EHL521" s="1358"/>
      <c r="EHM521" s="1358"/>
      <c r="EHN521" s="1358"/>
      <c r="EHO521" s="1358"/>
      <c r="EHP521" s="1358"/>
      <c r="EHQ521" s="1358"/>
      <c r="EHR521" s="1358"/>
      <c r="EHS521" s="1358"/>
      <c r="EHT521" s="1358"/>
      <c r="EHU521" s="1358"/>
      <c r="EHV521" s="1358"/>
      <c r="EHW521" s="1358"/>
      <c r="EHX521" s="1358"/>
      <c r="EHY521" s="1358"/>
      <c r="EHZ521" s="1358"/>
      <c r="EIA521" s="1358"/>
      <c r="EIB521" s="1358"/>
      <c r="EIC521" s="1358"/>
      <c r="EID521" s="1358"/>
      <c r="EIE521" s="1358"/>
      <c r="EIF521" s="1358"/>
      <c r="EIG521" s="1358"/>
      <c r="EIH521" s="1358"/>
      <c r="EII521" s="1358"/>
      <c r="EIJ521" s="1358"/>
      <c r="EIK521" s="1358"/>
      <c r="EIL521" s="1358"/>
      <c r="EIM521" s="1358"/>
      <c r="EIN521" s="1358"/>
      <c r="EIO521" s="1358"/>
      <c r="EIP521" s="1358"/>
      <c r="EIQ521" s="1358"/>
      <c r="EIR521" s="1358"/>
      <c r="EIS521" s="1358"/>
      <c r="EIT521" s="1358"/>
      <c r="EIU521" s="1358"/>
      <c r="EIV521" s="1358"/>
      <c r="EIW521" s="1358"/>
      <c r="EIX521" s="1358"/>
      <c r="EIY521" s="1358"/>
      <c r="EIZ521" s="1358"/>
      <c r="EJA521" s="1358"/>
      <c r="EJB521" s="1358"/>
      <c r="EJC521" s="1358"/>
      <c r="EJD521" s="1358"/>
      <c r="EJE521" s="1358"/>
      <c r="EJF521" s="1358"/>
      <c r="EJG521" s="1358"/>
      <c r="EJH521" s="1358"/>
      <c r="EJI521" s="1358"/>
      <c r="EJJ521" s="1358"/>
      <c r="EJK521" s="1358"/>
      <c r="EJL521" s="1358"/>
      <c r="EJM521" s="1358"/>
      <c r="EJN521" s="1358"/>
      <c r="EJO521" s="1358"/>
      <c r="EJP521" s="1358"/>
      <c r="EJQ521" s="1358"/>
      <c r="EJR521" s="1358"/>
      <c r="EJS521" s="1358"/>
      <c r="EJT521" s="1358"/>
      <c r="EJU521" s="1358"/>
      <c r="EJV521" s="1358"/>
      <c r="EJW521" s="1358"/>
      <c r="EJX521" s="1358"/>
      <c r="EJY521" s="1358"/>
      <c r="EJZ521" s="1358"/>
      <c r="EKA521" s="1358"/>
      <c r="EKB521" s="1358"/>
      <c r="EKC521" s="1358"/>
      <c r="EKD521" s="1358"/>
      <c r="EKE521" s="1358"/>
      <c r="EKF521" s="1358"/>
      <c r="EKG521" s="1358"/>
      <c r="EKH521" s="1358"/>
      <c r="EKI521" s="1358"/>
      <c r="EKJ521" s="1358"/>
      <c r="EKK521" s="1358"/>
      <c r="EKL521" s="1358"/>
      <c r="EKM521" s="1358"/>
      <c r="EKN521" s="1358"/>
      <c r="EKO521" s="1358"/>
      <c r="EKP521" s="1358"/>
      <c r="EKQ521" s="1358"/>
      <c r="EKR521" s="1358"/>
      <c r="EKS521" s="1358"/>
      <c r="EKT521" s="1358"/>
      <c r="EKU521" s="1358"/>
      <c r="EKV521" s="1358"/>
      <c r="EKW521" s="1358"/>
      <c r="EKX521" s="1358"/>
      <c r="EKY521" s="1358"/>
      <c r="EKZ521" s="1358"/>
      <c r="ELA521" s="1358"/>
      <c r="ELB521" s="1358"/>
      <c r="ELC521" s="1358"/>
      <c r="ELD521" s="1358"/>
      <c r="ELE521" s="1358"/>
      <c r="ELF521" s="1358"/>
      <c r="ELG521" s="1358"/>
      <c r="ELH521" s="1358"/>
      <c r="ELI521" s="1358"/>
      <c r="ELJ521" s="1358"/>
      <c r="ELK521" s="1358"/>
      <c r="ELL521" s="1358"/>
      <c r="ELM521" s="1358"/>
      <c r="ELN521" s="1358"/>
      <c r="ELO521" s="1358"/>
      <c r="ELP521" s="1358"/>
      <c r="ELQ521" s="1358"/>
      <c r="ELR521" s="1358"/>
      <c r="ELS521" s="1358"/>
      <c r="ELT521" s="1358"/>
      <c r="ELU521" s="1358"/>
      <c r="ELV521" s="1358"/>
      <c r="ELW521" s="1358"/>
      <c r="ELX521" s="1358"/>
      <c r="ELY521" s="1358"/>
      <c r="ELZ521" s="1358"/>
      <c r="EMA521" s="1358"/>
      <c r="EMB521" s="1358"/>
      <c r="EMC521" s="1358"/>
      <c r="EMD521" s="1358"/>
      <c r="EME521" s="1358"/>
      <c r="EMF521" s="1358"/>
      <c r="EMG521" s="1358"/>
      <c r="EMH521" s="1358"/>
      <c r="EMI521" s="1358"/>
      <c r="EMJ521" s="1358"/>
      <c r="EMK521" s="1358"/>
      <c r="EML521" s="1358"/>
      <c r="EMM521" s="1358"/>
      <c r="EMN521" s="1358"/>
      <c r="EMO521" s="1358"/>
      <c r="EMP521" s="1358"/>
      <c r="EMQ521" s="1358"/>
      <c r="EMR521" s="1358"/>
      <c r="EMS521" s="1358"/>
      <c r="EMT521" s="1358"/>
      <c r="EMU521" s="1358"/>
      <c r="EMV521" s="1358"/>
      <c r="EMW521" s="1358"/>
      <c r="EMX521" s="1358"/>
      <c r="EMY521" s="1358"/>
      <c r="EMZ521" s="1358"/>
      <c r="ENA521" s="1358"/>
      <c r="ENB521" s="1358"/>
      <c r="ENC521" s="1358"/>
      <c r="END521" s="1358"/>
      <c r="ENE521" s="1358"/>
      <c r="ENF521" s="1358"/>
      <c r="ENG521" s="1358"/>
      <c r="ENH521" s="1358"/>
      <c r="ENI521" s="1358"/>
      <c r="ENJ521" s="1358"/>
      <c r="ENK521" s="1358"/>
      <c r="ENL521" s="1358"/>
      <c r="ENM521" s="1358"/>
      <c r="ENN521" s="1358"/>
      <c r="ENO521" s="1358"/>
      <c r="ENP521" s="1358"/>
      <c r="ENQ521" s="1358"/>
      <c r="ENR521" s="1358"/>
      <c r="ENS521" s="1358"/>
      <c r="ENT521" s="1358"/>
      <c r="ENU521" s="1358"/>
      <c r="ENV521" s="1358"/>
      <c r="ENW521" s="1358"/>
      <c r="ENX521" s="1358"/>
      <c r="ENY521" s="1358"/>
      <c r="ENZ521" s="1358"/>
      <c r="EOA521" s="1358"/>
      <c r="EOB521" s="1358"/>
      <c r="EOC521" s="1358"/>
      <c r="EOD521" s="1358"/>
      <c r="EOE521" s="1358"/>
      <c r="EOF521" s="1358"/>
      <c r="EOG521" s="1358"/>
      <c r="EOH521" s="1358"/>
      <c r="EOI521" s="1358"/>
      <c r="EOJ521" s="1358"/>
      <c r="EOK521" s="1358"/>
      <c r="EOL521" s="1358"/>
      <c r="EOM521" s="1358"/>
      <c r="EON521" s="1358"/>
      <c r="EOO521" s="1358"/>
      <c r="EOP521" s="1358"/>
      <c r="EOQ521" s="1358"/>
      <c r="EOR521" s="1358"/>
      <c r="EOS521" s="1358"/>
      <c r="EOT521" s="1358"/>
      <c r="EOU521" s="1358"/>
      <c r="EOV521" s="1358"/>
      <c r="EOW521" s="1358"/>
      <c r="EOX521" s="1358"/>
      <c r="EOY521" s="1358"/>
      <c r="EOZ521" s="1358"/>
      <c r="EPA521" s="1358"/>
      <c r="EPB521" s="1358"/>
      <c r="EPC521" s="1358"/>
      <c r="EPD521" s="1358"/>
      <c r="EPE521" s="1358"/>
      <c r="EPF521" s="1358"/>
      <c r="EPG521" s="1358"/>
      <c r="EPH521" s="1358"/>
      <c r="EPI521" s="1358"/>
      <c r="EPJ521" s="1358"/>
      <c r="EPK521" s="1358"/>
      <c r="EPL521" s="1358"/>
      <c r="EPM521" s="1358"/>
      <c r="EPN521" s="1358"/>
      <c r="EPO521" s="1358"/>
      <c r="EPP521" s="1358"/>
      <c r="EPQ521" s="1358"/>
      <c r="EPR521" s="1358"/>
      <c r="EPS521" s="1358"/>
      <c r="EPT521" s="1358"/>
      <c r="EPU521" s="1358"/>
      <c r="EPV521" s="1358"/>
      <c r="EPW521" s="1358"/>
      <c r="EPX521" s="1358"/>
      <c r="EPY521" s="1358"/>
      <c r="EPZ521" s="1358"/>
      <c r="EQA521" s="1358"/>
      <c r="EQB521" s="1358"/>
      <c r="EQC521" s="1358"/>
      <c r="EQD521" s="1358"/>
      <c r="EQE521" s="1358"/>
      <c r="EQF521" s="1358"/>
      <c r="EQG521" s="1358"/>
      <c r="EQH521" s="1358"/>
      <c r="EQI521" s="1358"/>
      <c r="EQJ521" s="1358"/>
      <c r="EQK521" s="1358"/>
      <c r="EQL521" s="1358"/>
      <c r="EQM521" s="1358"/>
      <c r="EQN521" s="1358"/>
      <c r="EQO521" s="1358"/>
      <c r="EQP521" s="1358"/>
      <c r="EQQ521" s="1358"/>
      <c r="EQR521" s="1358"/>
      <c r="EQS521" s="1358"/>
      <c r="EQT521" s="1358"/>
      <c r="EQU521" s="1358"/>
      <c r="EQV521" s="1358"/>
      <c r="EQW521" s="1358"/>
      <c r="EQX521" s="1358"/>
      <c r="EQY521" s="1358"/>
      <c r="EQZ521" s="1358"/>
      <c r="ERA521" s="1358"/>
      <c r="ERB521" s="1358"/>
      <c r="ERC521" s="1358"/>
      <c r="ERD521" s="1358"/>
      <c r="ERE521" s="1358"/>
      <c r="ERF521" s="1358"/>
      <c r="ERG521" s="1358"/>
      <c r="ERH521" s="1358"/>
      <c r="ERI521" s="1358"/>
      <c r="ERJ521" s="1358"/>
      <c r="ERK521" s="1358"/>
      <c r="ERL521" s="1358"/>
      <c r="ERM521" s="1358"/>
      <c r="ERN521" s="1358"/>
      <c r="ERO521" s="1358"/>
      <c r="ERP521" s="1358"/>
      <c r="ERQ521" s="1358"/>
      <c r="ERR521" s="1358"/>
      <c r="ERS521" s="1358"/>
      <c r="ERT521" s="1358"/>
      <c r="ERU521" s="1358"/>
      <c r="ERV521" s="1358"/>
      <c r="ERW521" s="1358"/>
      <c r="ERX521" s="1358"/>
      <c r="ERY521" s="1358"/>
      <c r="ERZ521" s="1358"/>
      <c r="ESA521" s="1358"/>
      <c r="ESB521" s="1358"/>
      <c r="ESC521" s="1358"/>
      <c r="ESD521" s="1358"/>
      <c r="ESE521" s="1358"/>
      <c r="ESF521" s="1358"/>
      <c r="ESG521" s="1358"/>
      <c r="ESH521" s="1358"/>
      <c r="ESI521" s="1358"/>
      <c r="ESJ521" s="1358"/>
      <c r="ESK521" s="1358"/>
      <c r="ESL521" s="1358"/>
      <c r="ESM521" s="1358"/>
      <c r="ESN521" s="1358"/>
      <c r="ESO521" s="1358"/>
      <c r="ESP521" s="1358"/>
      <c r="ESQ521" s="1358"/>
      <c r="ESR521" s="1358"/>
      <c r="ESS521" s="1358"/>
      <c r="EST521" s="1358"/>
      <c r="ESU521" s="1358"/>
      <c r="ESV521" s="1358"/>
      <c r="ESW521" s="1358"/>
      <c r="ESX521" s="1358"/>
      <c r="ESY521" s="1358"/>
      <c r="ESZ521" s="1358"/>
      <c r="ETA521" s="1358"/>
      <c r="ETB521" s="1358"/>
      <c r="ETC521" s="1358"/>
      <c r="ETD521" s="1358"/>
      <c r="ETE521" s="1358"/>
      <c r="ETF521" s="1358"/>
      <c r="ETG521" s="1358"/>
      <c r="ETH521" s="1358"/>
      <c r="ETI521" s="1358"/>
      <c r="ETJ521" s="1358"/>
      <c r="ETK521" s="1358"/>
      <c r="ETL521" s="1358"/>
      <c r="ETM521" s="1358"/>
      <c r="ETN521" s="1358"/>
      <c r="ETO521" s="1358"/>
      <c r="ETP521" s="1358"/>
      <c r="ETQ521" s="1358"/>
      <c r="ETR521" s="1358"/>
      <c r="ETS521" s="1358"/>
      <c r="ETT521" s="1358"/>
      <c r="ETU521" s="1358"/>
      <c r="ETV521" s="1358"/>
      <c r="ETW521" s="1358"/>
      <c r="ETX521" s="1358"/>
      <c r="ETY521" s="1358"/>
      <c r="ETZ521" s="1358"/>
      <c r="EUA521" s="1358"/>
      <c r="EUB521" s="1358"/>
      <c r="EUC521" s="1358"/>
      <c r="EUD521" s="1358"/>
      <c r="EUE521" s="1358"/>
      <c r="EUF521" s="1358"/>
      <c r="EUG521" s="1358"/>
      <c r="EUH521" s="1358"/>
      <c r="EUI521" s="1358"/>
      <c r="EUJ521" s="1358"/>
      <c r="EUK521" s="1358"/>
      <c r="EUL521" s="1358"/>
      <c r="EUM521" s="1358"/>
      <c r="EUN521" s="1358"/>
      <c r="EUO521" s="1358"/>
      <c r="EUP521" s="1358"/>
      <c r="EUQ521" s="1358"/>
      <c r="EUR521" s="1358"/>
      <c r="EUS521" s="1358"/>
      <c r="EUT521" s="1358"/>
      <c r="EUU521" s="1358"/>
      <c r="EUV521" s="1358"/>
      <c r="EUW521" s="1358"/>
      <c r="EUX521" s="1358"/>
      <c r="EUY521" s="1358"/>
      <c r="EUZ521" s="1358"/>
      <c r="EVA521" s="1358"/>
      <c r="EVB521" s="1358"/>
      <c r="EVC521" s="1358"/>
      <c r="EVD521" s="1358"/>
      <c r="EVE521" s="1358"/>
      <c r="EVF521" s="1358"/>
      <c r="EVG521" s="1358"/>
      <c r="EVH521" s="1358"/>
      <c r="EVI521" s="1358"/>
      <c r="EVJ521" s="1358"/>
      <c r="EVK521" s="1358"/>
      <c r="EVL521" s="1358"/>
      <c r="EVM521" s="1358"/>
      <c r="EVN521" s="1358"/>
      <c r="EVO521" s="1358"/>
      <c r="EVP521" s="1358"/>
      <c r="EVQ521" s="1358"/>
      <c r="EVR521" s="1358"/>
      <c r="EVS521" s="1358"/>
      <c r="EVT521" s="1358"/>
      <c r="EVU521" s="1358"/>
      <c r="EVV521" s="1358"/>
      <c r="EVW521" s="1358"/>
      <c r="EVX521" s="1358"/>
      <c r="EVY521" s="1358"/>
      <c r="EVZ521" s="1358"/>
      <c r="EWA521" s="1358"/>
      <c r="EWB521" s="1358"/>
      <c r="EWC521" s="1358"/>
      <c r="EWD521" s="1358"/>
      <c r="EWE521" s="1358"/>
      <c r="EWF521" s="1358"/>
      <c r="EWG521" s="1358"/>
      <c r="EWH521" s="1358"/>
      <c r="EWI521" s="1358"/>
      <c r="EWJ521" s="1358"/>
      <c r="EWK521" s="1358"/>
      <c r="EWL521" s="1358"/>
      <c r="EWM521" s="1358"/>
      <c r="EWN521" s="1358"/>
      <c r="EWO521" s="1358"/>
      <c r="EWP521" s="1358"/>
      <c r="EWQ521" s="1358"/>
      <c r="EWR521" s="1358"/>
      <c r="EWS521" s="1358"/>
      <c r="EWT521" s="1358"/>
      <c r="EWU521" s="1358"/>
      <c r="EWV521" s="1358"/>
      <c r="EWW521" s="1358"/>
      <c r="EWX521" s="1358"/>
      <c r="EWY521" s="1358"/>
      <c r="EWZ521" s="1358"/>
      <c r="EXA521" s="1358"/>
      <c r="EXB521" s="1358"/>
      <c r="EXC521" s="1358"/>
      <c r="EXD521" s="1358"/>
      <c r="EXE521" s="1358"/>
      <c r="EXF521" s="1358"/>
      <c r="EXG521" s="1358"/>
      <c r="EXH521" s="1358"/>
      <c r="EXI521" s="1358"/>
      <c r="EXJ521" s="1358"/>
      <c r="EXK521" s="1358"/>
      <c r="EXL521" s="1358"/>
      <c r="EXM521" s="1358"/>
      <c r="EXN521" s="1358"/>
      <c r="EXO521" s="1358"/>
      <c r="EXP521" s="1358"/>
      <c r="EXQ521" s="1358"/>
      <c r="EXR521" s="1358"/>
      <c r="EXS521" s="1358"/>
      <c r="EXT521" s="1358"/>
      <c r="EXU521" s="1358"/>
      <c r="EXV521" s="1358"/>
      <c r="EXW521" s="1358"/>
      <c r="EXX521" s="1358"/>
      <c r="EXY521" s="1358"/>
      <c r="EXZ521" s="1358"/>
      <c r="EYA521" s="1358"/>
      <c r="EYB521" s="1358"/>
      <c r="EYC521" s="1358"/>
      <c r="EYD521" s="1358"/>
      <c r="EYE521" s="1358"/>
      <c r="EYF521" s="1358"/>
      <c r="EYG521" s="1358"/>
      <c r="EYH521" s="1358"/>
      <c r="EYI521" s="1358"/>
      <c r="EYJ521" s="1358"/>
      <c r="EYK521" s="1358"/>
      <c r="EYL521" s="1358"/>
      <c r="EYM521" s="1358"/>
      <c r="EYN521" s="1358"/>
      <c r="EYO521" s="1358"/>
      <c r="EYP521" s="1358"/>
      <c r="EYQ521" s="1358"/>
      <c r="EYR521" s="1358"/>
      <c r="EYS521" s="1358"/>
      <c r="EYT521" s="1358"/>
      <c r="EYU521" s="1358"/>
      <c r="EYV521" s="1358"/>
      <c r="EYW521" s="1358"/>
      <c r="EYX521" s="1358"/>
      <c r="EYY521" s="1358"/>
      <c r="EYZ521" s="1358"/>
      <c r="EZA521" s="1358"/>
      <c r="EZB521" s="1358"/>
      <c r="EZC521" s="1358"/>
      <c r="EZD521" s="1358"/>
      <c r="EZE521" s="1358"/>
      <c r="EZF521" s="1358"/>
      <c r="EZG521" s="1358"/>
      <c r="EZH521" s="1358"/>
      <c r="EZI521" s="1358"/>
      <c r="EZJ521" s="1358"/>
      <c r="EZK521" s="1358"/>
      <c r="EZL521" s="1358"/>
      <c r="EZM521" s="1358"/>
      <c r="EZN521" s="1358"/>
      <c r="EZO521" s="1358"/>
      <c r="EZP521" s="1358"/>
      <c r="EZQ521" s="1358"/>
      <c r="EZR521" s="1358"/>
      <c r="EZS521" s="1358"/>
      <c r="EZT521" s="1358"/>
      <c r="EZU521" s="1358"/>
      <c r="EZV521" s="1358"/>
      <c r="EZW521" s="1358"/>
      <c r="EZX521" s="1358"/>
      <c r="EZY521" s="1358"/>
      <c r="EZZ521" s="1358"/>
      <c r="FAA521" s="1358"/>
      <c r="FAB521" s="1358"/>
      <c r="FAC521" s="1358"/>
      <c r="FAD521" s="1358"/>
      <c r="FAE521" s="1358"/>
      <c r="FAF521" s="1358"/>
      <c r="FAG521" s="1358"/>
      <c r="FAH521" s="1358"/>
      <c r="FAI521" s="1358"/>
      <c r="FAJ521" s="1358"/>
      <c r="FAK521" s="1358"/>
      <c r="FAL521" s="1358"/>
      <c r="FAM521" s="1358"/>
      <c r="FAN521" s="1358"/>
      <c r="FAO521" s="1358"/>
      <c r="FAP521" s="1358"/>
      <c r="FAQ521" s="1358"/>
      <c r="FAR521" s="1358"/>
      <c r="FAS521" s="1358"/>
      <c r="FAT521" s="1358"/>
      <c r="FAU521" s="1358"/>
      <c r="FAV521" s="1358"/>
      <c r="FAW521" s="1358"/>
      <c r="FAX521" s="1358"/>
      <c r="FAY521" s="1358"/>
      <c r="FAZ521" s="1358"/>
      <c r="FBA521" s="1358"/>
      <c r="FBB521" s="1358"/>
      <c r="FBC521" s="1358"/>
      <c r="FBD521" s="1358"/>
      <c r="FBE521" s="1358"/>
      <c r="FBF521" s="1358"/>
      <c r="FBG521" s="1358"/>
      <c r="FBH521" s="1358"/>
      <c r="FBI521" s="1358"/>
      <c r="FBJ521" s="1358"/>
      <c r="FBK521" s="1358"/>
      <c r="FBL521" s="1358"/>
      <c r="FBM521" s="1358"/>
      <c r="FBN521" s="1358"/>
      <c r="FBO521" s="1358"/>
      <c r="FBP521" s="1358"/>
      <c r="FBQ521" s="1358"/>
      <c r="FBR521" s="1358"/>
      <c r="FBS521" s="1358"/>
      <c r="FBT521" s="1358"/>
      <c r="FBU521" s="1358"/>
      <c r="FBV521" s="1358"/>
      <c r="FBW521" s="1358"/>
      <c r="FBX521" s="1358"/>
      <c r="FBY521" s="1358"/>
      <c r="FBZ521" s="1358"/>
      <c r="FCA521" s="1358"/>
      <c r="FCB521" s="1358"/>
      <c r="FCC521" s="1358"/>
      <c r="FCD521" s="1358"/>
      <c r="FCE521" s="1358"/>
      <c r="FCF521" s="1358"/>
      <c r="FCG521" s="1358"/>
      <c r="FCH521" s="1358"/>
      <c r="FCI521" s="1358"/>
      <c r="FCJ521" s="1358"/>
      <c r="FCK521" s="1358"/>
      <c r="FCL521" s="1358"/>
      <c r="FCM521" s="1358"/>
      <c r="FCN521" s="1358"/>
      <c r="FCO521" s="1358"/>
      <c r="FCP521" s="1358"/>
      <c r="FCQ521" s="1358"/>
      <c r="FCR521" s="1358"/>
      <c r="FCS521" s="1358"/>
      <c r="FCT521" s="1358"/>
      <c r="FCU521" s="1358"/>
      <c r="FCV521" s="1358"/>
      <c r="FCW521" s="1358"/>
      <c r="FCX521" s="1358"/>
      <c r="FCY521" s="1358"/>
      <c r="FCZ521" s="1358"/>
      <c r="FDA521" s="1358"/>
      <c r="FDB521" s="1358"/>
      <c r="FDC521" s="1358"/>
      <c r="FDD521" s="1358"/>
      <c r="FDE521" s="1358"/>
      <c r="FDF521" s="1358"/>
      <c r="FDG521" s="1358"/>
      <c r="FDH521" s="1358"/>
      <c r="FDI521" s="1358"/>
      <c r="FDJ521" s="1358"/>
      <c r="FDK521" s="1358"/>
      <c r="FDL521" s="1358"/>
      <c r="FDM521" s="1358"/>
      <c r="FDN521" s="1358"/>
      <c r="FDO521" s="1358"/>
      <c r="FDP521" s="1358"/>
      <c r="FDQ521" s="1358"/>
      <c r="FDR521" s="1358"/>
      <c r="FDS521" s="1358"/>
      <c r="FDT521" s="1358"/>
      <c r="FDU521" s="1358"/>
      <c r="FDV521" s="1358"/>
      <c r="FDW521" s="1358"/>
      <c r="FDX521" s="1358"/>
      <c r="FDY521" s="1358"/>
      <c r="FDZ521" s="1358"/>
      <c r="FEA521" s="1358"/>
      <c r="FEB521" s="1358"/>
      <c r="FEC521" s="1358"/>
      <c r="FED521" s="1358"/>
      <c r="FEE521" s="1358"/>
      <c r="FEF521" s="1358"/>
      <c r="FEG521" s="1358"/>
      <c r="FEH521" s="1358"/>
      <c r="FEI521" s="1358"/>
      <c r="FEJ521" s="1358"/>
      <c r="FEK521" s="1358"/>
      <c r="FEL521" s="1358"/>
      <c r="FEM521" s="1358"/>
      <c r="FEN521" s="1358"/>
      <c r="FEO521" s="1358"/>
      <c r="FEP521" s="1358"/>
      <c r="FEQ521" s="1358"/>
      <c r="FER521" s="1358"/>
      <c r="FES521" s="1358"/>
      <c r="FET521" s="1358"/>
      <c r="FEU521" s="1358"/>
      <c r="FEV521" s="1358"/>
      <c r="FEW521" s="1358"/>
      <c r="FEX521" s="1358"/>
      <c r="FEY521" s="1358"/>
      <c r="FEZ521" s="1358"/>
      <c r="FFA521" s="1358"/>
      <c r="FFB521" s="1358"/>
      <c r="FFC521" s="1358"/>
      <c r="FFD521" s="1358"/>
      <c r="FFE521" s="1358"/>
      <c r="FFF521" s="1358"/>
      <c r="FFG521" s="1358"/>
      <c r="FFH521" s="1358"/>
      <c r="FFI521" s="1358"/>
      <c r="FFJ521" s="1358"/>
      <c r="FFK521" s="1358"/>
      <c r="FFL521" s="1358"/>
      <c r="FFM521" s="1358"/>
      <c r="FFN521" s="1358"/>
      <c r="FFO521" s="1358"/>
      <c r="FFP521" s="1358"/>
      <c r="FFQ521" s="1358"/>
      <c r="FFR521" s="1358"/>
      <c r="FFS521" s="1358"/>
      <c r="FFT521" s="1358"/>
      <c r="FFU521" s="1358"/>
      <c r="FFV521" s="1358"/>
      <c r="FFW521" s="1358"/>
      <c r="FFX521" s="1358"/>
      <c r="FFY521" s="1358"/>
      <c r="FFZ521" s="1358"/>
      <c r="FGA521" s="1358"/>
      <c r="FGB521" s="1358"/>
      <c r="FGC521" s="1358"/>
      <c r="FGD521" s="1358"/>
      <c r="FGE521" s="1358"/>
      <c r="FGF521" s="1358"/>
      <c r="FGG521" s="1358"/>
      <c r="FGH521" s="1358"/>
      <c r="FGI521" s="1358"/>
      <c r="FGJ521" s="1358"/>
      <c r="FGK521" s="1358"/>
      <c r="FGL521" s="1358"/>
      <c r="FGM521" s="1358"/>
      <c r="FGN521" s="1358"/>
      <c r="FGO521" s="1358"/>
      <c r="FGP521" s="1358"/>
      <c r="FGQ521" s="1358"/>
      <c r="FGR521" s="1358"/>
      <c r="FGS521" s="1358"/>
      <c r="FGT521" s="1358"/>
      <c r="FGU521" s="1358"/>
      <c r="FGV521" s="1358"/>
      <c r="FGW521" s="1358"/>
      <c r="FGX521" s="1358"/>
      <c r="FGY521" s="1358"/>
      <c r="FGZ521" s="1358"/>
      <c r="FHA521" s="1358"/>
      <c r="FHB521" s="1358"/>
      <c r="FHC521" s="1358"/>
      <c r="FHD521" s="1358"/>
      <c r="FHE521" s="1358"/>
      <c r="FHF521" s="1358"/>
      <c r="FHG521" s="1358"/>
      <c r="FHH521" s="1358"/>
      <c r="FHI521" s="1358"/>
      <c r="FHJ521" s="1358"/>
      <c r="FHK521" s="1358"/>
      <c r="FHL521" s="1358"/>
      <c r="FHM521" s="1358"/>
      <c r="FHN521" s="1358"/>
      <c r="FHO521" s="1358"/>
      <c r="FHP521" s="1358"/>
      <c r="FHQ521" s="1358"/>
      <c r="FHR521" s="1358"/>
      <c r="FHS521" s="1358"/>
      <c r="FHT521" s="1358"/>
      <c r="FHU521" s="1358"/>
      <c r="FHV521" s="1358"/>
      <c r="FHW521" s="1358"/>
      <c r="FHX521" s="1358"/>
      <c r="FHY521" s="1358"/>
      <c r="FHZ521" s="1358"/>
      <c r="FIA521" s="1358"/>
      <c r="FIB521" s="1358"/>
      <c r="FIC521" s="1358"/>
      <c r="FID521" s="1358"/>
      <c r="FIE521" s="1358"/>
      <c r="FIF521" s="1358"/>
      <c r="FIG521" s="1358"/>
      <c r="FIH521" s="1358"/>
      <c r="FII521" s="1358"/>
      <c r="FIJ521" s="1358"/>
      <c r="FIK521" s="1358"/>
      <c r="FIL521" s="1358"/>
      <c r="FIM521" s="1358"/>
      <c r="FIN521" s="1358"/>
      <c r="FIO521" s="1358"/>
      <c r="FIP521" s="1358"/>
      <c r="FIQ521" s="1358"/>
      <c r="FIR521" s="1358"/>
      <c r="FIS521" s="1358"/>
      <c r="FIT521" s="1358"/>
      <c r="FIU521" s="1358"/>
      <c r="FIV521" s="1358"/>
      <c r="FIW521" s="1358"/>
      <c r="FIX521" s="1358"/>
      <c r="FIY521" s="1358"/>
      <c r="FIZ521" s="1358"/>
      <c r="FJA521" s="1358"/>
      <c r="FJB521" s="1358"/>
      <c r="FJC521" s="1358"/>
      <c r="FJD521" s="1358"/>
      <c r="FJE521" s="1358"/>
      <c r="FJF521" s="1358"/>
      <c r="FJG521" s="1358"/>
      <c r="FJH521" s="1358"/>
      <c r="FJI521" s="1358"/>
      <c r="FJJ521" s="1358"/>
      <c r="FJK521" s="1358"/>
      <c r="FJL521" s="1358"/>
      <c r="FJM521" s="1358"/>
      <c r="FJN521" s="1358"/>
      <c r="FJO521" s="1358"/>
      <c r="FJP521" s="1358"/>
      <c r="FJQ521" s="1358"/>
      <c r="FJR521" s="1358"/>
      <c r="FJS521" s="1358"/>
      <c r="FJT521" s="1358"/>
      <c r="FJU521" s="1358"/>
      <c r="FJV521" s="1358"/>
      <c r="FJW521" s="1358"/>
      <c r="FJX521" s="1358"/>
      <c r="FJY521" s="1358"/>
      <c r="FJZ521" s="1358"/>
      <c r="FKA521" s="1358"/>
      <c r="FKB521" s="1358"/>
      <c r="FKC521" s="1358"/>
      <c r="FKD521" s="1358"/>
      <c r="FKE521" s="1358"/>
      <c r="FKF521" s="1358"/>
      <c r="FKG521" s="1358"/>
      <c r="FKH521" s="1358"/>
      <c r="FKI521" s="1358"/>
      <c r="FKJ521" s="1358"/>
      <c r="FKK521" s="1358"/>
      <c r="FKL521" s="1358"/>
      <c r="FKM521" s="1358"/>
      <c r="FKN521" s="1358"/>
      <c r="FKO521" s="1358"/>
      <c r="FKP521" s="1358"/>
      <c r="FKQ521" s="1358"/>
      <c r="FKR521" s="1358"/>
      <c r="FKS521" s="1358"/>
      <c r="FKT521" s="1358"/>
      <c r="FKU521" s="1358"/>
      <c r="FKV521" s="1358"/>
      <c r="FKW521" s="1358"/>
      <c r="FKX521" s="1358"/>
      <c r="FKY521" s="1358"/>
      <c r="FKZ521" s="1358"/>
      <c r="FLA521" s="1358"/>
      <c r="FLB521" s="1358"/>
      <c r="FLC521" s="1358"/>
      <c r="FLD521" s="1358"/>
      <c r="FLE521" s="1358"/>
      <c r="FLF521" s="1358"/>
      <c r="FLG521" s="1358"/>
      <c r="FLH521" s="1358"/>
      <c r="FLI521" s="1358"/>
      <c r="FLJ521" s="1358"/>
      <c r="FLK521" s="1358"/>
      <c r="FLL521" s="1358"/>
      <c r="FLM521" s="1358"/>
      <c r="FLN521" s="1358"/>
      <c r="FLO521" s="1358"/>
      <c r="FLP521" s="1358"/>
      <c r="FLQ521" s="1358"/>
      <c r="FLR521" s="1358"/>
      <c r="FLS521" s="1358"/>
      <c r="FLT521" s="1358"/>
      <c r="FLU521" s="1358"/>
      <c r="FLV521" s="1358"/>
      <c r="FLW521" s="1358"/>
      <c r="FLX521" s="1358"/>
      <c r="FLY521" s="1358"/>
      <c r="FLZ521" s="1358"/>
      <c r="FMA521" s="1358"/>
      <c r="FMB521" s="1358"/>
      <c r="FMC521" s="1358"/>
      <c r="FMD521" s="1358"/>
      <c r="FME521" s="1358"/>
      <c r="FMF521" s="1358"/>
      <c r="FMG521" s="1358"/>
      <c r="FMH521" s="1358"/>
      <c r="FMI521" s="1358"/>
      <c r="FMJ521" s="1358"/>
      <c r="FMK521" s="1358"/>
      <c r="FML521" s="1358"/>
      <c r="FMM521" s="1358"/>
      <c r="FMN521" s="1358"/>
      <c r="FMO521" s="1358"/>
      <c r="FMP521" s="1358"/>
      <c r="FMQ521" s="1358"/>
      <c r="FMR521" s="1358"/>
      <c r="FMS521" s="1358"/>
      <c r="FMT521" s="1358"/>
      <c r="FMU521" s="1358"/>
      <c r="FMV521" s="1358"/>
      <c r="FMW521" s="1358"/>
      <c r="FMX521" s="1358"/>
      <c r="FMY521" s="1358"/>
      <c r="FMZ521" s="1358"/>
      <c r="FNA521" s="1358"/>
      <c r="FNB521" s="1358"/>
      <c r="FNC521" s="1358"/>
      <c r="FND521" s="1358"/>
      <c r="FNE521" s="1358"/>
      <c r="FNF521" s="1358"/>
      <c r="FNG521" s="1358"/>
      <c r="FNH521" s="1358"/>
      <c r="FNI521" s="1358"/>
      <c r="FNJ521" s="1358"/>
      <c r="FNK521" s="1358"/>
      <c r="FNL521" s="1358"/>
      <c r="FNM521" s="1358"/>
      <c r="FNN521" s="1358"/>
      <c r="FNO521" s="1358"/>
      <c r="FNP521" s="1358"/>
      <c r="FNQ521" s="1358"/>
      <c r="FNR521" s="1358"/>
      <c r="FNS521" s="1358"/>
      <c r="FNT521" s="1358"/>
      <c r="FNU521" s="1358"/>
      <c r="FNV521" s="1358"/>
      <c r="FNW521" s="1358"/>
      <c r="FNX521" s="1358"/>
      <c r="FNY521" s="1358"/>
      <c r="FNZ521" s="1358"/>
      <c r="FOA521" s="1358"/>
      <c r="FOB521" s="1358"/>
      <c r="FOC521" s="1358"/>
      <c r="FOD521" s="1358"/>
      <c r="FOE521" s="1358"/>
      <c r="FOF521" s="1358"/>
      <c r="FOG521" s="1358"/>
      <c r="FOH521" s="1358"/>
      <c r="FOI521" s="1358"/>
      <c r="FOJ521" s="1358"/>
      <c r="FOK521" s="1358"/>
      <c r="FOL521" s="1358"/>
      <c r="FOM521" s="1358"/>
      <c r="FON521" s="1358"/>
      <c r="FOO521" s="1358"/>
      <c r="FOP521" s="1358"/>
      <c r="FOQ521" s="1358"/>
      <c r="FOR521" s="1358"/>
      <c r="FOS521" s="1358"/>
      <c r="FOT521" s="1358"/>
      <c r="FOU521" s="1358"/>
      <c r="FOV521" s="1358"/>
      <c r="FOW521" s="1358"/>
      <c r="FOX521" s="1358"/>
      <c r="FOY521" s="1358"/>
      <c r="FOZ521" s="1358"/>
      <c r="FPA521" s="1358"/>
      <c r="FPB521" s="1358"/>
      <c r="FPC521" s="1358"/>
      <c r="FPD521" s="1358"/>
      <c r="FPE521" s="1358"/>
      <c r="FPF521" s="1358"/>
      <c r="FPG521" s="1358"/>
      <c r="FPH521" s="1358"/>
      <c r="FPI521" s="1358"/>
      <c r="FPJ521" s="1358"/>
      <c r="FPK521" s="1358"/>
      <c r="FPL521" s="1358"/>
      <c r="FPM521" s="1358"/>
      <c r="FPN521" s="1358"/>
      <c r="FPO521" s="1358"/>
      <c r="FPP521" s="1358"/>
      <c r="FPQ521" s="1358"/>
      <c r="FPR521" s="1358"/>
      <c r="FPS521" s="1358"/>
      <c r="FPT521" s="1358"/>
      <c r="FPU521" s="1358"/>
      <c r="FPV521" s="1358"/>
      <c r="FPW521" s="1358"/>
      <c r="FPX521" s="1358"/>
      <c r="FPY521" s="1358"/>
      <c r="FPZ521" s="1358"/>
      <c r="FQA521" s="1358"/>
      <c r="FQB521" s="1358"/>
      <c r="FQC521" s="1358"/>
      <c r="FQD521" s="1358"/>
      <c r="FQE521" s="1358"/>
      <c r="FQF521" s="1358"/>
      <c r="FQG521" s="1358"/>
      <c r="FQH521" s="1358"/>
      <c r="FQI521" s="1358"/>
      <c r="FQJ521" s="1358"/>
      <c r="FQK521" s="1358"/>
      <c r="FQL521" s="1358"/>
      <c r="FQM521" s="1358"/>
      <c r="FQN521" s="1358"/>
      <c r="FQO521" s="1358"/>
      <c r="FQP521" s="1358"/>
      <c r="FQQ521" s="1358"/>
      <c r="FQR521" s="1358"/>
      <c r="FQS521" s="1358"/>
      <c r="FQT521" s="1358"/>
      <c r="FQU521" s="1358"/>
      <c r="FQV521" s="1358"/>
      <c r="FQW521" s="1358"/>
      <c r="FQX521" s="1358"/>
      <c r="FQY521" s="1358"/>
      <c r="FQZ521" s="1358"/>
      <c r="FRA521" s="1358"/>
      <c r="FRB521" s="1358"/>
      <c r="FRC521" s="1358"/>
      <c r="FRD521" s="1358"/>
      <c r="FRE521" s="1358"/>
      <c r="FRF521" s="1358"/>
      <c r="FRG521" s="1358"/>
      <c r="FRH521" s="1358"/>
      <c r="FRI521" s="1358"/>
      <c r="FRJ521" s="1358"/>
      <c r="FRK521" s="1358"/>
      <c r="FRL521" s="1358"/>
      <c r="FRM521" s="1358"/>
      <c r="FRN521" s="1358"/>
      <c r="FRO521" s="1358"/>
      <c r="FRP521" s="1358"/>
      <c r="FRQ521" s="1358"/>
      <c r="FRR521" s="1358"/>
      <c r="FRS521" s="1358"/>
      <c r="FRT521" s="1358"/>
      <c r="FRU521" s="1358"/>
      <c r="FRV521" s="1358"/>
      <c r="FRW521" s="1358"/>
      <c r="FRX521" s="1358"/>
      <c r="FRY521" s="1358"/>
      <c r="FRZ521" s="1358"/>
      <c r="FSA521" s="1358"/>
      <c r="FSB521" s="1358"/>
      <c r="FSC521" s="1358"/>
      <c r="FSD521" s="1358"/>
      <c r="FSE521" s="1358"/>
      <c r="FSF521" s="1358"/>
      <c r="FSG521" s="1358"/>
      <c r="FSH521" s="1358"/>
      <c r="FSI521" s="1358"/>
      <c r="FSJ521" s="1358"/>
      <c r="FSK521" s="1358"/>
      <c r="FSL521" s="1358"/>
      <c r="FSM521" s="1358"/>
      <c r="FSN521" s="1358"/>
      <c r="FSO521" s="1358"/>
      <c r="FSP521" s="1358"/>
      <c r="FSQ521" s="1358"/>
      <c r="FSR521" s="1358"/>
      <c r="FSS521" s="1358"/>
      <c r="FST521" s="1358"/>
      <c r="FSU521" s="1358"/>
      <c r="FSV521" s="1358"/>
      <c r="FSW521" s="1358"/>
      <c r="FSX521" s="1358"/>
      <c r="FSY521" s="1358"/>
      <c r="FSZ521" s="1358"/>
      <c r="FTA521" s="1358"/>
      <c r="FTB521" s="1358"/>
      <c r="FTC521" s="1358"/>
      <c r="FTD521" s="1358"/>
      <c r="FTE521" s="1358"/>
      <c r="FTF521" s="1358"/>
      <c r="FTG521" s="1358"/>
      <c r="FTH521" s="1358"/>
      <c r="FTI521" s="1358"/>
      <c r="FTJ521" s="1358"/>
      <c r="FTK521" s="1358"/>
      <c r="FTL521" s="1358"/>
      <c r="FTM521" s="1358"/>
      <c r="FTN521" s="1358"/>
      <c r="FTO521" s="1358"/>
      <c r="FTP521" s="1358"/>
      <c r="FTQ521" s="1358"/>
      <c r="FTR521" s="1358"/>
      <c r="FTS521" s="1358"/>
      <c r="FTT521" s="1358"/>
      <c r="FTU521" s="1358"/>
      <c r="FTV521" s="1358"/>
      <c r="FTW521" s="1358"/>
      <c r="FTX521" s="1358"/>
      <c r="FTY521" s="1358"/>
      <c r="FTZ521" s="1358"/>
      <c r="FUA521" s="1358"/>
      <c r="FUB521" s="1358"/>
      <c r="FUC521" s="1358"/>
      <c r="FUD521" s="1358"/>
      <c r="FUE521" s="1358"/>
      <c r="FUF521" s="1358"/>
      <c r="FUG521" s="1358"/>
      <c r="FUH521" s="1358"/>
      <c r="FUI521" s="1358"/>
      <c r="FUJ521" s="1358"/>
      <c r="FUK521" s="1358"/>
      <c r="FUL521" s="1358"/>
      <c r="FUM521" s="1358"/>
      <c r="FUN521" s="1358"/>
      <c r="FUO521" s="1358"/>
      <c r="FUP521" s="1358"/>
      <c r="FUQ521" s="1358"/>
      <c r="FUR521" s="1358"/>
      <c r="FUS521" s="1358"/>
      <c r="FUT521" s="1358"/>
      <c r="FUU521" s="1358"/>
      <c r="FUV521" s="1358"/>
      <c r="FUW521" s="1358"/>
      <c r="FUX521" s="1358"/>
      <c r="FUY521" s="1358"/>
      <c r="FUZ521" s="1358"/>
      <c r="FVA521" s="1358"/>
      <c r="FVB521" s="1358"/>
      <c r="FVC521" s="1358"/>
      <c r="FVD521" s="1358"/>
      <c r="FVE521" s="1358"/>
      <c r="FVF521" s="1358"/>
      <c r="FVG521" s="1358"/>
      <c r="FVH521" s="1358"/>
      <c r="FVI521" s="1358"/>
      <c r="FVJ521" s="1358"/>
      <c r="FVK521" s="1358"/>
      <c r="FVL521" s="1358"/>
      <c r="FVM521" s="1358"/>
      <c r="FVN521" s="1358"/>
      <c r="FVO521" s="1358"/>
      <c r="FVP521" s="1358"/>
      <c r="FVQ521" s="1358"/>
      <c r="FVR521" s="1358"/>
      <c r="FVS521" s="1358"/>
      <c r="FVT521" s="1358"/>
      <c r="FVU521" s="1358"/>
      <c r="FVV521" s="1358"/>
      <c r="FVW521" s="1358"/>
      <c r="FVX521" s="1358"/>
      <c r="FVY521" s="1358"/>
      <c r="FVZ521" s="1358"/>
      <c r="FWA521" s="1358"/>
      <c r="FWB521" s="1358"/>
      <c r="FWC521" s="1358"/>
      <c r="FWD521" s="1358"/>
      <c r="FWE521" s="1358"/>
      <c r="FWF521" s="1358"/>
      <c r="FWG521" s="1358"/>
      <c r="FWH521" s="1358"/>
      <c r="FWI521" s="1358"/>
      <c r="FWJ521" s="1358"/>
      <c r="FWK521" s="1358"/>
      <c r="FWL521" s="1358"/>
      <c r="FWM521" s="1358"/>
      <c r="FWN521" s="1358"/>
      <c r="FWO521" s="1358"/>
      <c r="FWP521" s="1358"/>
      <c r="FWQ521" s="1358"/>
      <c r="FWR521" s="1358"/>
      <c r="FWS521" s="1358"/>
      <c r="FWT521" s="1358"/>
      <c r="FWU521" s="1358"/>
      <c r="FWV521" s="1358"/>
      <c r="FWW521" s="1358"/>
      <c r="FWX521" s="1358"/>
      <c r="FWY521" s="1358"/>
      <c r="FWZ521" s="1358"/>
      <c r="FXA521" s="1358"/>
      <c r="FXB521" s="1358"/>
      <c r="FXC521" s="1358"/>
      <c r="FXD521" s="1358"/>
      <c r="FXE521" s="1358"/>
      <c r="FXF521" s="1358"/>
      <c r="FXG521" s="1358"/>
      <c r="FXH521" s="1358"/>
      <c r="FXI521" s="1358"/>
      <c r="FXJ521" s="1358"/>
      <c r="FXK521" s="1358"/>
      <c r="FXL521" s="1358"/>
      <c r="FXM521" s="1358"/>
      <c r="FXN521" s="1358"/>
      <c r="FXO521" s="1358"/>
      <c r="FXP521" s="1358"/>
      <c r="FXQ521" s="1358"/>
      <c r="FXR521" s="1358"/>
      <c r="FXS521" s="1358"/>
      <c r="FXT521" s="1358"/>
      <c r="FXU521" s="1358"/>
      <c r="FXV521" s="1358"/>
      <c r="FXW521" s="1358"/>
      <c r="FXX521" s="1358"/>
      <c r="FXY521" s="1358"/>
      <c r="FXZ521" s="1358"/>
      <c r="FYA521" s="1358"/>
      <c r="FYB521" s="1358"/>
      <c r="FYC521" s="1358"/>
      <c r="FYD521" s="1358"/>
      <c r="FYE521" s="1358"/>
      <c r="FYF521" s="1358"/>
      <c r="FYG521" s="1358"/>
      <c r="FYH521" s="1358"/>
      <c r="FYI521" s="1358"/>
      <c r="FYJ521" s="1358"/>
      <c r="FYK521" s="1358"/>
      <c r="FYL521" s="1358"/>
      <c r="FYM521" s="1358"/>
      <c r="FYN521" s="1358"/>
      <c r="FYO521" s="1358"/>
      <c r="FYP521" s="1358"/>
      <c r="FYQ521" s="1358"/>
      <c r="FYR521" s="1358"/>
      <c r="FYS521" s="1358"/>
      <c r="FYT521" s="1358"/>
      <c r="FYU521" s="1358"/>
      <c r="FYV521" s="1358"/>
      <c r="FYW521" s="1358"/>
      <c r="FYX521" s="1358"/>
      <c r="FYY521" s="1358"/>
      <c r="FYZ521" s="1358"/>
      <c r="FZA521" s="1358"/>
      <c r="FZB521" s="1358"/>
      <c r="FZC521" s="1358"/>
      <c r="FZD521" s="1358"/>
      <c r="FZE521" s="1358"/>
      <c r="FZF521" s="1358"/>
      <c r="FZG521" s="1358"/>
      <c r="FZH521" s="1358"/>
      <c r="FZI521" s="1358"/>
      <c r="FZJ521" s="1358"/>
      <c r="FZK521" s="1358"/>
      <c r="FZL521" s="1358"/>
      <c r="FZM521" s="1358"/>
      <c r="FZN521" s="1358"/>
      <c r="FZO521" s="1358"/>
      <c r="FZP521" s="1358"/>
      <c r="FZQ521" s="1358"/>
      <c r="FZR521" s="1358"/>
      <c r="FZS521" s="1358"/>
      <c r="FZT521" s="1358"/>
      <c r="FZU521" s="1358"/>
      <c r="FZV521" s="1358"/>
      <c r="FZW521" s="1358"/>
      <c r="FZX521" s="1358"/>
      <c r="FZY521" s="1358"/>
      <c r="FZZ521" s="1358"/>
      <c r="GAA521" s="1358"/>
      <c r="GAB521" s="1358"/>
      <c r="GAC521" s="1358"/>
      <c r="GAD521" s="1358"/>
      <c r="GAE521" s="1358"/>
      <c r="GAF521" s="1358"/>
      <c r="GAG521" s="1358"/>
      <c r="GAH521" s="1358"/>
      <c r="GAI521" s="1358"/>
      <c r="GAJ521" s="1358"/>
      <c r="GAK521" s="1358"/>
      <c r="GAL521" s="1358"/>
      <c r="GAM521" s="1358"/>
      <c r="GAN521" s="1358"/>
      <c r="GAO521" s="1358"/>
      <c r="GAP521" s="1358"/>
      <c r="GAQ521" s="1358"/>
      <c r="GAR521" s="1358"/>
      <c r="GAS521" s="1358"/>
      <c r="GAT521" s="1358"/>
      <c r="GAU521" s="1358"/>
      <c r="GAV521" s="1358"/>
      <c r="GAW521" s="1358"/>
      <c r="GAX521" s="1358"/>
      <c r="GAY521" s="1358"/>
      <c r="GAZ521" s="1358"/>
      <c r="GBA521" s="1358"/>
      <c r="GBB521" s="1358"/>
      <c r="GBC521" s="1358"/>
      <c r="GBD521" s="1358"/>
      <c r="GBE521" s="1358"/>
      <c r="GBF521" s="1358"/>
      <c r="GBG521" s="1358"/>
      <c r="GBH521" s="1358"/>
      <c r="GBI521" s="1358"/>
      <c r="GBJ521" s="1358"/>
      <c r="GBK521" s="1358"/>
      <c r="GBL521" s="1358"/>
      <c r="GBM521" s="1358"/>
      <c r="GBN521" s="1358"/>
      <c r="GBO521" s="1358"/>
      <c r="GBP521" s="1358"/>
      <c r="GBQ521" s="1358"/>
      <c r="GBR521" s="1358"/>
      <c r="GBS521" s="1358"/>
      <c r="GBT521" s="1358"/>
      <c r="GBU521" s="1358"/>
      <c r="GBV521" s="1358"/>
      <c r="GBW521" s="1358"/>
      <c r="GBX521" s="1358"/>
      <c r="GBY521" s="1358"/>
      <c r="GBZ521" s="1358"/>
      <c r="GCA521" s="1358"/>
      <c r="GCB521" s="1358"/>
      <c r="GCC521" s="1358"/>
      <c r="GCD521" s="1358"/>
      <c r="GCE521" s="1358"/>
      <c r="GCF521" s="1358"/>
      <c r="GCG521" s="1358"/>
      <c r="GCH521" s="1358"/>
      <c r="GCI521" s="1358"/>
      <c r="GCJ521" s="1358"/>
      <c r="GCK521" s="1358"/>
      <c r="GCL521" s="1358"/>
      <c r="GCM521" s="1358"/>
      <c r="GCN521" s="1358"/>
      <c r="GCO521" s="1358"/>
      <c r="GCP521" s="1358"/>
      <c r="GCQ521" s="1358"/>
      <c r="GCR521" s="1358"/>
      <c r="GCS521" s="1358"/>
      <c r="GCT521" s="1358"/>
      <c r="GCU521" s="1358"/>
      <c r="GCV521" s="1358"/>
      <c r="GCW521" s="1358"/>
      <c r="GCX521" s="1358"/>
      <c r="GCY521" s="1358"/>
      <c r="GCZ521" s="1358"/>
      <c r="GDA521" s="1358"/>
      <c r="GDB521" s="1358"/>
      <c r="GDC521" s="1358"/>
      <c r="GDD521" s="1358"/>
      <c r="GDE521" s="1358"/>
      <c r="GDF521" s="1358"/>
      <c r="GDG521" s="1358"/>
      <c r="GDH521" s="1358"/>
      <c r="GDI521" s="1358"/>
      <c r="GDJ521" s="1358"/>
      <c r="GDK521" s="1358"/>
      <c r="GDL521" s="1358"/>
      <c r="GDM521" s="1358"/>
      <c r="GDN521" s="1358"/>
      <c r="GDO521" s="1358"/>
      <c r="GDP521" s="1358"/>
      <c r="GDQ521" s="1358"/>
      <c r="GDR521" s="1358"/>
      <c r="GDS521" s="1358"/>
      <c r="GDT521" s="1358"/>
      <c r="GDU521" s="1358"/>
      <c r="GDV521" s="1358"/>
      <c r="GDW521" s="1358"/>
      <c r="GDX521" s="1358"/>
      <c r="GDY521" s="1358"/>
      <c r="GDZ521" s="1358"/>
      <c r="GEA521" s="1358"/>
      <c r="GEB521" s="1358"/>
      <c r="GEC521" s="1358"/>
      <c r="GED521" s="1358"/>
      <c r="GEE521" s="1358"/>
      <c r="GEF521" s="1358"/>
      <c r="GEG521" s="1358"/>
      <c r="GEH521" s="1358"/>
      <c r="GEI521" s="1358"/>
      <c r="GEJ521" s="1358"/>
      <c r="GEK521" s="1358"/>
      <c r="GEL521" s="1358"/>
      <c r="GEM521" s="1358"/>
      <c r="GEN521" s="1358"/>
      <c r="GEO521" s="1358"/>
      <c r="GEP521" s="1358"/>
      <c r="GEQ521" s="1358"/>
      <c r="GER521" s="1358"/>
      <c r="GES521" s="1358"/>
      <c r="GET521" s="1358"/>
      <c r="GEU521" s="1358"/>
      <c r="GEV521" s="1358"/>
      <c r="GEW521" s="1358"/>
      <c r="GEX521" s="1358"/>
      <c r="GEY521" s="1358"/>
      <c r="GEZ521" s="1358"/>
      <c r="GFA521" s="1358"/>
      <c r="GFB521" s="1358"/>
      <c r="GFC521" s="1358"/>
      <c r="GFD521" s="1358"/>
      <c r="GFE521" s="1358"/>
      <c r="GFF521" s="1358"/>
      <c r="GFG521" s="1358"/>
      <c r="GFH521" s="1358"/>
      <c r="GFI521" s="1358"/>
      <c r="GFJ521" s="1358"/>
      <c r="GFK521" s="1358"/>
      <c r="GFL521" s="1358"/>
      <c r="GFM521" s="1358"/>
      <c r="GFN521" s="1358"/>
      <c r="GFO521" s="1358"/>
      <c r="GFP521" s="1358"/>
      <c r="GFQ521" s="1358"/>
      <c r="GFR521" s="1358"/>
      <c r="GFS521" s="1358"/>
      <c r="GFT521" s="1358"/>
      <c r="GFU521" s="1358"/>
      <c r="GFV521" s="1358"/>
      <c r="GFW521" s="1358"/>
      <c r="GFX521" s="1358"/>
      <c r="GFY521" s="1358"/>
      <c r="GFZ521" s="1358"/>
      <c r="GGA521" s="1358"/>
      <c r="GGB521" s="1358"/>
      <c r="GGC521" s="1358"/>
      <c r="GGD521" s="1358"/>
      <c r="GGE521" s="1358"/>
      <c r="GGF521" s="1358"/>
      <c r="GGG521" s="1358"/>
      <c r="GGH521" s="1358"/>
      <c r="GGI521" s="1358"/>
      <c r="GGJ521" s="1358"/>
      <c r="GGK521" s="1358"/>
      <c r="GGL521" s="1358"/>
      <c r="GGM521" s="1358"/>
      <c r="GGN521" s="1358"/>
      <c r="GGO521" s="1358"/>
      <c r="GGP521" s="1358"/>
      <c r="GGQ521" s="1358"/>
      <c r="GGR521" s="1358"/>
      <c r="GGS521" s="1358"/>
      <c r="GGT521" s="1358"/>
      <c r="GGU521" s="1358"/>
      <c r="GGV521" s="1358"/>
      <c r="GGW521" s="1358"/>
      <c r="GGX521" s="1358"/>
      <c r="GGY521" s="1358"/>
      <c r="GGZ521" s="1358"/>
      <c r="GHA521" s="1358"/>
      <c r="GHB521" s="1358"/>
      <c r="GHC521" s="1358"/>
      <c r="GHD521" s="1358"/>
      <c r="GHE521" s="1358"/>
      <c r="GHF521" s="1358"/>
      <c r="GHG521" s="1358"/>
      <c r="GHH521" s="1358"/>
      <c r="GHI521" s="1358"/>
      <c r="GHJ521" s="1358"/>
      <c r="GHK521" s="1358"/>
      <c r="GHL521" s="1358"/>
      <c r="GHM521" s="1358"/>
      <c r="GHN521" s="1358"/>
      <c r="GHO521" s="1358"/>
      <c r="GHP521" s="1358"/>
      <c r="GHQ521" s="1358"/>
      <c r="GHR521" s="1358"/>
      <c r="GHS521" s="1358"/>
      <c r="GHT521" s="1358"/>
      <c r="GHU521" s="1358"/>
      <c r="GHV521" s="1358"/>
      <c r="GHW521" s="1358"/>
      <c r="GHX521" s="1358"/>
      <c r="GHY521" s="1358"/>
      <c r="GHZ521" s="1358"/>
      <c r="GIA521" s="1358"/>
      <c r="GIB521" s="1358"/>
      <c r="GIC521" s="1358"/>
      <c r="GID521" s="1358"/>
      <c r="GIE521" s="1358"/>
      <c r="GIF521" s="1358"/>
      <c r="GIG521" s="1358"/>
      <c r="GIH521" s="1358"/>
      <c r="GII521" s="1358"/>
      <c r="GIJ521" s="1358"/>
      <c r="GIK521" s="1358"/>
      <c r="GIL521" s="1358"/>
      <c r="GIM521" s="1358"/>
      <c r="GIN521" s="1358"/>
      <c r="GIO521" s="1358"/>
      <c r="GIP521" s="1358"/>
      <c r="GIQ521" s="1358"/>
      <c r="GIR521" s="1358"/>
      <c r="GIS521" s="1358"/>
      <c r="GIT521" s="1358"/>
      <c r="GIU521" s="1358"/>
      <c r="GIV521" s="1358"/>
      <c r="GIW521" s="1358"/>
      <c r="GIX521" s="1358"/>
      <c r="GIY521" s="1358"/>
      <c r="GIZ521" s="1358"/>
      <c r="GJA521" s="1358"/>
      <c r="GJB521" s="1358"/>
      <c r="GJC521" s="1358"/>
      <c r="GJD521" s="1358"/>
      <c r="GJE521" s="1358"/>
      <c r="GJF521" s="1358"/>
      <c r="GJG521" s="1358"/>
      <c r="GJH521" s="1358"/>
      <c r="GJI521" s="1358"/>
      <c r="GJJ521" s="1358"/>
      <c r="GJK521" s="1358"/>
      <c r="GJL521" s="1358"/>
      <c r="GJM521" s="1358"/>
      <c r="GJN521" s="1358"/>
      <c r="GJO521" s="1358"/>
      <c r="GJP521" s="1358"/>
      <c r="GJQ521" s="1358"/>
      <c r="GJR521" s="1358"/>
      <c r="GJS521" s="1358"/>
      <c r="GJT521" s="1358"/>
      <c r="GJU521" s="1358"/>
      <c r="GJV521" s="1358"/>
      <c r="GJW521" s="1358"/>
      <c r="GJX521" s="1358"/>
      <c r="GJY521" s="1358"/>
      <c r="GJZ521" s="1358"/>
      <c r="GKA521" s="1358"/>
      <c r="GKB521" s="1358"/>
      <c r="GKC521" s="1358"/>
      <c r="GKD521" s="1358"/>
      <c r="GKE521" s="1358"/>
      <c r="GKF521" s="1358"/>
      <c r="GKG521" s="1358"/>
      <c r="GKH521" s="1358"/>
      <c r="GKI521" s="1358"/>
      <c r="GKJ521" s="1358"/>
      <c r="GKK521" s="1358"/>
      <c r="GKL521" s="1358"/>
      <c r="GKM521" s="1358"/>
      <c r="GKN521" s="1358"/>
      <c r="GKO521" s="1358"/>
      <c r="GKP521" s="1358"/>
      <c r="GKQ521" s="1358"/>
      <c r="GKR521" s="1358"/>
      <c r="GKS521" s="1358"/>
      <c r="GKT521" s="1358"/>
      <c r="GKU521" s="1358"/>
      <c r="GKV521" s="1358"/>
      <c r="GKW521" s="1358"/>
      <c r="GKX521" s="1358"/>
      <c r="GKY521" s="1358"/>
      <c r="GKZ521" s="1358"/>
      <c r="GLA521" s="1358"/>
      <c r="GLB521" s="1358"/>
      <c r="GLC521" s="1358"/>
      <c r="GLD521" s="1358"/>
      <c r="GLE521" s="1358"/>
      <c r="GLF521" s="1358"/>
      <c r="GLG521" s="1358"/>
      <c r="GLH521" s="1358"/>
      <c r="GLI521" s="1358"/>
      <c r="GLJ521" s="1358"/>
      <c r="GLK521" s="1358"/>
      <c r="GLL521" s="1358"/>
      <c r="GLM521" s="1358"/>
      <c r="GLN521" s="1358"/>
      <c r="GLO521" s="1358"/>
      <c r="GLP521" s="1358"/>
      <c r="GLQ521" s="1358"/>
      <c r="GLR521" s="1358"/>
      <c r="GLS521" s="1358"/>
      <c r="GLT521" s="1358"/>
      <c r="GLU521" s="1358"/>
      <c r="GLV521" s="1358"/>
      <c r="GLW521" s="1358"/>
      <c r="GLX521" s="1358"/>
      <c r="GLY521" s="1358"/>
      <c r="GLZ521" s="1358"/>
      <c r="GMA521" s="1358"/>
      <c r="GMB521" s="1358"/>
      <c r="GMC521" s="1358"/>
      <c r="GMD521" s="1358"/>
      <c r="GME521" s="1358"/>
      <c r="GMF521" s="1358"/>
      <c r="GMG521" s="1358"/>
      <c r="GMH521" s="1358"/>
      <c r="GMI521" s="1358"/>
      <c r="GMJ521" s="1358"/>
      <c r="GMK521" s="1358"/>
      <c r="GML521" s="1358"/>
      <c r="GMM521" s="1358"/>
      <c r="GMN521" s="1358"/>
      <c r="GMO521" s="1358"/>
      <c r="GMP521" s="1358"/>
      <c r="GMQ521" s="1358"/>
      <c r="GMR521" s="1358"/>
      <c r="GMS521" s="1358"/>
      <c r="GMT521" s="1358"/>
      <c r="GMU521" s="1358"/>
      <c r="GMV521" s="1358"/>
      <c r="GMW521" s="1358"/>
      <c r="GMX521" s="1358"/>
      <c r="GMY521" s="1358"/>
      <c r="GMZ521" s="1358"/>
      <c r="GNA521" s="1358"/>
      <c r="GNB521" s="1358"/>
      <c r="GNC521" s="1358"/>
      <c r="GND521" s="1358"/>
      <c r="GNE521" s="1358"/>
      <c r="GNF521" s="1358"/>
      <c r="GNG521" s="1358"/>
      <c r="GNH521" s="1358"/>
      <c r="GNI521" s="1358"/>
      <c r="GNJ521" s="1358"/>
      <c r="GNK521" s="1358"/>
      <c r="GNL521" s="1358"/>
      <c r="GNM521" s="1358"/>
      <c r="GNN521" s="1358"/>
      <c r="GNO521" s="1358"/>
      <c r="GNP521" s="1358"/>
      <c r="GNQ521" s="1358"/>
      <c r="GNR521" s="1358"/>
      <c r="GNS521" s="1358"/>
      <c r="GNT521" s="1358"/>
      <c r="GNU521" s="1358"/>
      <c r="GNV521" s="1358"/>
      <c r="GNW521" s="1358"/>
      <c r="GNX521" s="1358"/>
      <c r="GNY521" s="1358"/>
      <c r="GNZ521" s="1358"/>
      <c r="GOA521" s="1358"/>
      <c r="GOB521" s="1358"/>
      <c r="GOC521" s="1358"/>
      <c r="GOD521" s="1358"/>
      <c r="GOE521" s="1358"/>
      <c r="GOF521" s="1358"/>
      <c r="GOG521" s="1358"/>
      <c r="GOH521" s="1358"/>
      <c r="GOI521" s="1358"/>
      <c r="GOJ521" s="1358"/>
      <c r="GOK521" s="1358"/>
      <c r="GOL521" s="1358"/>
      <c r="GOM521" s="1358"/>
      <c r="GON521" s="1358"/>
      <c r="GOO521" s="1358"/>
      <c r="GOP521" s="1358"/>
      <c r="GOQ521" s="1358"/>
      <c r="GOR521" s="1358"/>
      <c r="GOS521" s="1358"/>
      <c r="GOT521" s="1358"/>
      <c r="GOU521" s="1358"/>
      <c r="GOV521" s="1358"/>
      <c r="GOW521" s="1358"/>
      <c r="GOX521" s="1358"/>
      <c r="GOY521" s="1358"/>
      <c r="GOZ521" s="1358"/>
      <c r="GPA521" s="1358"/>
      <c r="GPB521" s="1358"/>
      <c r="GPC521" s="1358"/>
      <c r="GPD521" s="1358"/>
      <c r="GPE521" s="1358"/>
      <c r="GPF521" s="1358"/>
      <c r="GPG521" s="1358"/>
      <c r="GPH521" s="1358"/>
      <c r="GPI521" s="1358"/>
      <c r="GPJ521" s="1358"/>
      <c r="GPK521" s="1358"/>
      <c r="GPL521" s="1358"/>
      <c r="GPM521" s="1358"/>
      <c r="GPN521" s="1358"/>
      <c r="GPO521" s="1358"/>
      <c r="GPP521" s="1358"/>
      <c r="GPQ521" s="1358"/>
      <c r="GPR521" s="1358"/>
      <c r="GPS521" s="1358"/>
      <c r="GPT521" s="1358"/>
      <c r="GPU521" s="1358"/>
      <c r="GPV521" s="1358"/>
      <c r="GPW521" s="1358"/>
      <c r="GPX521" s="1358"/>
      <c r="GPY521" s="1358"/>
      <c r="GPZ521" s="1358"/>
      <c r="GQA521" s="1358"/>
      <c r="GQB521" s="1358"/>
      <c r="GQC521" s="1358"/>
      <c r="GQD521" s="1358"/>
      <c r="GQE521" s="1358"/>
      <c r="GQF521" s="1358"/>
      <c r="GQG521" s="1358"/>
      <c r="GQH521" s="1358"/>
      <c r="GQI521" s="1358"/>
      <c r="GQJ521" s="1358"/>
      <c r="GQK521" s="1358"/>
      <c r="GQL521" s="1358"/>
      <c r="GQM521" s="1358"/>
      <c r="GQN521" s="1358"/>
      <c r="GQO521" s="1358"/>
      <c r="GQP521" s="1358"/>
      <c r="GQQ521" s="1358"/>
      <c r="GQR521" s="1358"/>
      <c r="GQS521" s="1358"/>
      <c r="GQT521" s="1358"/>
      <c r="GQU521" s="1358"/>
      <c r="GQV521" s="1358"/>
      <c r="GQW521" s="1358"/>
      <c r="GQX521" s="1358"/>
      <c r="GQY521" s="1358"/>
      <c r="GQZ521" s="1358"/>
      <c r="GRA521" s="1358"/>
      <c r="GRB521" s="1358"/>
      <c r="GRC521" s="1358"/>
      <c r="GRD521" s="1358"/>
      <c r="GRE521" s="1358"/>
      <c r="GRF521" s="1358"/>
      <c r="GRG521" s="1358"/>
      <c r="GRH521" s="1358"/>
      <c r="GRI521" s="1358"/>
      <c r="GRJ521" s="1358"/>
      <c r="GRK521" s="1358"/>
      <c r="GRL521" s="1358"/>
      <c r="GRM521" s="1358"/>
      <c r="GRN521" s="1358"/>
      <c r="GRO521" s="1358"/>
      <c r="GRP521" s="1358"/>
      <c r="GRQ521" s="1358"/>
      <c r="GRR521" s="1358"/>
      <c r="GRS521" s="1358"/>
      <c r="GRT521" s="1358"/>
      <c r="GRU521" s="1358"/>
      <c r="GRV521" s="1358"/>
      <c r="GRW521" s="1358"/>
      <c r="GRX521" s="1358"/>
      <c r="GRY521" s="1358"/>
      <c r="GRZ521" s="1358"/>
      <c r="GSA521" s="1358"/>
      <c r="GSB521" s="1358"/>
      <c r="GSC521" s="1358"/>
      <c r="GSD521" s="1358"/>
      <c r="GSE521" s="1358"/>
      <c r="GSF521" s="1358"/>
      <c r="GSG521" s="1358"/>
      <c r="GSH521" s="1358"/>
      <c r="GSI521" s="1358"/>
      <c r="GSJ521" s="1358"/>
      <c r="GSK521" s="1358"/>
      <c r="GSL521" s="1358"/>
      <c r="GSM521" s="1358"/>
      <c r="GSN521" s="1358"/>
      <c r="GSO521" s="1358"/>
      <c r="GSP521" s="1358"/>
      <c r="GSQ521" s="1358"/>
      <c r="GSR521" s="1358"/>
      <c r="GSS521" s="1358"/>
      <c r="GST521" s="1358"/>
      <c r="GSU521" s="1358"/>
      <c r="GSV521" s="1358"/>
      <c r="GSW521" s="1358"/>
      <c r="GSX521" s="1358"/>
      <c r="GSY521" s="1358"/>
      <c r="GSZ521" s="1358"/>
      <c r="GTA521" s="1358"/>
      <c r="GTB521" s="1358"/>
      <c r="GTC521" s="1358"/>
      <c r="GTD521" s="1358"/>
      <c r="GTE521" s="1358"/>
      <c r="GTF521" s="1358"/>
      <c r="GTG521" s="1358"/>
      <c r="GTH521" s="1358"/>
      <c r="GTI521" s="1358"/>
      <c r="GTJ521" s="1358"/>
      <c r="GTK521" s="1358"/>
      <c r="GTL521" s="1358"/>
      <c r="GTM521" s="1358"/>
      <c r="GTN521" s="1358"/>
      <c r="GTO521" s="1358"/>
      <c r="GTP521" s="1358"/>
      <c r="GTQ521" s="1358"/>
      <c r="GTR521" s="1358"/>
      <c r="GTS521" s="1358"/>
      <c r="GTT521" s="1358"/>
      <c r="GTU521" s="1358"/>
      <c r="GTV521" s="1358"/>
      <c r="GTW521" s="1358"/>
      <c r="GTX521" s="1358"/>
      <c r="GTY521" s="1358"/>
      <c r="GTZ521" s="1358"/>
      <c r="GUA521" s="1358"/>
      <c r="GUB521" s="1358"/>
      <c r="GUC521" s="1358"/>
      <c r="GUD521" s="1358"/>
      <c r="GUE521" s="1358"/>
      <c r="GUF521" s="1358"/>
      <c r="GUG521" s="1358"/>
      <c r="GUH521" s="1358"/>
      <c r="GUI521" s="1358"/>
      <c r="GUJ521" s="1358"/>
      <c r="GUK521" s="1358"/>
      <c r="GUL521" s="1358"/>
      <c r="GUM521" s="1358"/>
      <c r="GUN521" s="1358"/>
      <c r="GUO521" s="1358"/>
      <c r="GUP521" s="1358"/>
      <c r="GUQ521" s="1358"/>
      <c r="GUR521" s="1358"/>
      <c r="GUS521" s="1358"/>
      <c r="GUT521" s="1358"/>
      <c r="GUU521" s="1358"/>
      <c r="GUV521" s="1358"/>
      <c r="GUW521" s="1358"/>
      <c r="GUX521" s="1358"/>
      <c r="GUY521" s="1358"/>
      <c r="GUZ521" s="1358"/>
      <c r="GVA521" s="1358"/>
      <c r="GVB521" s="1358"/>
      <c r="GVC521" s="1358"/>
      <c r="GVD521" s="1358"/>
      <c r="GVE521" s="1358"/>
      <c r="GVF521" s="1358"/>
      <c r="GVG521" s="1358"/>
      <c r="GVH521" s="1358"/>
      <c r="GVI521" s="1358"/>
      <c r="GVJ521" s="1358"/>
      <c r="GVK521" s="1358"/>
      <c r="GVL521" s="1358"/>
      <c r="GVM521" s="1358"/>
      <c r="GVN521" s="1358"/>
      <c r="GVO521" s="1358"/>
      <c r="GVP521" s="1358"/>
      <c r="GVQ521" s="1358"/>
      <c r="GVR521" s="1358"/>
      <c r="GVS521" s="1358"/>
      <c r="GVT521" s="1358"/>
      <c r="GVU521" s="1358"/>
      <c r="GVV521" s="1358"/>
      <c r="GVW521" s="1358"/>
      <c r="GVX521" s="1358"/>
      <c r="GVY521" s="1358"/>
      <c r="GVZ521" s="1358"/>
      <c r="GWA521" s="1358"/>
      <c r="GWB521" s="1358"/>
      <c r="GWC521" s="1358"/>
      <c r="GWD521" s="1358"/>
      <c r="GWE521" s="1358"/>
      <c r="GWF521" s="1358"/>
      <c r="GWG521" s="1358"/>
      <c r="GWH521" s="1358"/>
      <c r="GWI521" s="1358"/>
      <c r="GWJ521" s="1358"/>
      <c r="GWK521" s="1358"/>
      <c r="GWL521" s="1358"/>
      <c r="GWM521" s="1358"/>
      <c r="GWN521" s="1358"/>
      <c r="GWO521" s="1358"/>
      <c r="GWP521" s="1358"/>
      <c r="GWQ521" s="1358"/>
      <c r="GWR521" s="1358"/>
      <c r="GWS521" s="1358"/>
      <c r="GWT521" s="1358"/>
      <c r="GWU521" s="1358"/>
      <c r="GWV521" s="1358"/>
      <c r="GWW521" s="1358"/>
      <c r="GWX521" s="1358"/>
      <c r="GWY521" s="1358"/>
      <c r="GWZ521" s="1358"/>
      <c r="GXA521" s="1358"/>
      <c r="GXB521" s="1358"/>
      <c r="GXC521" s="1358"/>
      <c r="GXD521" s="1358"/>
      <c r="GXE521" s="1358"/>
      <c r="GXF521" s="1358"/>
      <c r="GXG521" s="1358"/>
      <c r="GXH521" s="1358"/>
      <c r="GXI521" s="1358"/>
      <c r="GXJ521" s="1358"/>
      <c r="GXK521" s="1358"/>
      <c r="GXL521" s="1358"/>
      <c r="GXM521" s="1358"/>
      <c r="GXN521" s="1358"/>
      <c r="GXO521" s="1358"/>
      <c r="GXP521" s="1358"/>
      <c r="GXQ521" s="1358"/>
      <c r="GXR521" s="1358"/>
      <c r="GXS521" s="1358"/>
      <c r="GXT521" s="1358"/>
      <c r="GXU521" s="1358"/>
      <c r="GXV521" s="1358"/>
      <c r="GXW521" s="1358"/>
      <c r="GXX521" s="1358"/>
      <c r="GXY521" s="1358"/>
      <c r="GXZ521" s="1358"/>
      <c r="GYA521" s="1358"/>
      <c r="GYB521" s="1358"/>
      <c r="GYC521" s="1358"/>
      <c r="GYD521" s="1358"/>
      <c r="GYE521" s="1358"/>
      <c r="GYF521" s="1358"/>
      <c r="GYG521" s="1358"/>
      <c r="GYH521" s="1358"/>
      <c r="GYI521" s="1358"/>
      <c r="GYJ521" s="1358"/>
      <c r="GYK521" s="1358"/>
      <c r="GYL521" s="1358"/>
      <c r="GYM521" s="1358"/>
      <c r="GYN521" s="1358"/>
      <c r="GYO521" s="1358"/>
      <c r="GYP521" s="1358"/>
      <c r="GYQ521" s="1358"/>
      <c r="GYR521" s="1358"/>
      <c r="GYS521" s="1358"/>
      <c r="GYT521" s="1358"/>
      <c r="GYU521" s="1358"/>
      <c r="GYV521" s="1358"/>
      <c r="GYW521" s="1358"/>
      <c r="GYX521" s="1358"/>
      <c r="GYY521" s="1358"/>
      <c r="GYZ521" s="1358"/>
      <c r="GZA521" s="1358"/>
      <c r="GZB521" s="1358"/>
      <c r="GZC521" s="1358"/>
      <c r="GZD521" s="1358"/>
      <c r="GZE521" s="1358"/>
      <c r="GZF521" s="1358"/>
      <c r="GZG521" s="1358"/>
      <c r="GZH521" s="1358"/>
      <c r="GZI521" s="1358"/>
      <c r="GZJ521" s="1358"/>
      <c r="GZK521" s="1358"/>
      <c r="GZL521" s="1358"/>
      <c r="GZM521" s="1358"/>
      <c r="GZN521" s="1358"/>
      <c r="GZO521" s="1358"/>
      <c r="GZP521" s="1358"/>
      <c r="GZQ521" s="1358"/>
      <c r="GZR521" s="1358"/>
      <c r="GZS521" s="1358"/>
      <c r="GZT521" s="1358"/>
      <c r="GZU521" s="1358"/>
      <c r="GZV521" s="1358"/>
      <c r="GZW521" s="1358"/>
      <c r="GZX521" s="1358"/>
      <c r="GZY521" s="1358"/>
      <c r="GZZ521" s="1358"/>
      <c r="HAA521" s="1358"/>
      <c r="HAB521" s="1358"/>
      <c r="HAC521" s="1358"/>
      <c r="HAD521" s="1358"/>
      <c r="HAE521" s="1358"/>
      <c r="HAF521" s="1358"/>
      <c r="HAG521" s="1358"/>
      <c r="HAH521" s="1358"/>
      <c r="HAI521" s="1358"/>
      <c r="HAJ521" s="1358"/>
      <c r="HAK521" s="1358"/>
      <c r="HAL521" s="1358"/>
      <c r="HAM521" s="1358"/>
      <c r="HAN521" s="1358"/>
      <c r="HAO521" s="1358"/>
      <c r="HAP521" s="1358"/>
      <c r="HAQ521" s="1358"/>
      <c r="HAR521" s="1358"/>
      <c r="HAS521" s="1358"/>
      <c r="HAT521" s="1358"/>
      <c r="HAU521" s="1358"/>
      <c r="HAV521" s="1358"/>
      <c r="HAW521" s="1358"/>
      <c r="HAX521" s="1358"/>
      <c r="HAY521" s="1358"/>
      <c r="HAZ521" s="1358"/>
      <c r="HBA521" s="1358"/>
      <c r="HBB521" s="1358"/>
      <c r="HBC521" s="1358"/>
      <c r="HBD521" s="1358"/>
      <c r="HBE521" s="1358"/>
      <c r="HBF521" s="1358"/>
      <c r="HBG521" s="1358"/>
      <c r="HBH521" s="1358"/>
      <c r="HBI521" s="1358"/>
      <c r="HBJ521" s="1358"/>
      <c r="HBK521" s="1358"/>
      <c r="HBL521" s="1358"/>
      <c r="HBM521" s="1358"/>
      <c r="HBN521" s="1358"/>
      <c r="HBO521" s="1358"/>
      <c r="HBP521" s="1358"/>
      <c r="HBQ521" s="1358"/>
      <c r="HBR521" s="1358"/>
      <c r="HBS521" s="1358"/>
      <c r="HBT521" s="1358"/>
      <c r="HBU521" s="1358"/>
      <c r="HBV521" s="1358"/>
      <c r="HBW521" s="1358"/>
      <c r="HBX521" s="1358"/>
      <c r="HBY521" s="1358"/>
      <c r="HBZ521" s="1358"/>
      <c r="HCA521" s="1358"/>
      <c r="HCB521" s="1358"/>
      <c r="HCC521" s="1358"/>
      <c r="HCD521" s="1358"/>
      <c r="HCE521" s="1358"/>
      <c r="HCF521" s="1358"/>
      <c r="HCG521" s="1358"/>
      <c r="HCH521" s="1358"/>
      <c r="HCI521" s="1358"/>
      <c r="HCJ521" s="1358"/>
      <c r="HCK521" s="1358"/>
      <c r="HCL521" s="1358"/>
      <c r="HCM521" s="1358"/>
      <c r="HCN521" s="1358"/>
      <c r="HCO521" s="1358"/>
      <c r="HCP521" s="1358"/>
      <c r="HCQ521" s="1358"/>
      <c r="HCR521" s="1358"/>
      <c r="HCS521" s="1358"/>
      <c r="HCT521" s="1358"/>
      <c r="HCU521" s="1358"/>
      <c r="HCV521" s="1358"/>
      <c r="HCW521" s="1358"/>
      <c r="HCX521" s="1358"/>
      <c r="HCY521" s="1358"/>
      <c r="HCZ521" s="1358"/>
      <c r="HDA521" s="1358"/>
      <c r="HDB521" s="1358"/>
      <c r="HDC521" s="1358"/>
      <c r="HDD521" s="1358"/>
      <c r="HDE521" s="1358"/>
      <c r="HDF521" s="1358"/>
      <c r="HDG521" s="1358"/>
      <c r="HDH521" s="1358"/>
      <c r="HDI521" s="1358"/>
      <c r="HDJ521" s="1358"/>
      <c r="HDK521" s="1358"/>
      <c r="HDL521" s="1358"/>
      <c r="HDM521" s="1358"/>
      <c r="HDN521" s="1358"/>
      <c r="HDO521" s="1358"/>
      <c r="HDP521" s="1358"/>
      <c r="HDQ521" s="1358"/>
      <c r="HDR521" s="1358"/>
      <c r="HDS521" s="1358"/>
      <c r="HDT521" s="1358"/>
      <c r="HDU521" s="1358"/>
      <c r="HDV521" s="1358"/>
      <c r="HDW521" s="1358"/>
      <c r="HDX521" s="1358"/>
      <c r="HDY521" s="1358"/>
      <c r="HDZ521" s="1358"/>
      <c r="HEA521" s="1358"/>
      <c r="HEB521" s="1358"/>
      <c r="HEC521" s="1358"/>
      <c r="HED521" s="1358"/>
      <c r="HEE521" s="1358"/>
      <c r="HEF521" s="1358"/>
      <c r="HEG521" s="1358"/>
      <c r="HEH521" s="1358"/>
      <c r="HEI521" s="1358"/>
      <c r="HEJ521" s="1358"/>
      <c r="HEK521" s="1358"/>
      <c r="HEL521" s="1358"/>
      <c r="HEM521" s="1358"/>
      <c r="HEN521" s="1358"/>
      <c r="HEO521" s="1358"/>
      <c r="HEP521" s="1358"/>
      <c r="HEQ521" s="1358"/>
      <c r="HER521" s="1358"/>
      <c r="HES521" s="1358"/>
      <c r="HET521" s="1358"/>
      <c r="HEU521" s="1358"/>
      <c r="HEV521" s="1358"/>
      <c r="HEW521" s="1358"/>
      <c r="HEX521" s="1358"/>
      <c r="HEY521" s="1358"/>
      <c r="HEZ521" s="1358"/>
      <c r="HFA521" s="1358"/>
      <c r="HFB521" s="1358"/>
      <c r="HFC521" s="1358"/>
      <c r="HFD521" s="1358"/>
      <c r="HFE521" s="1358"/>
      <c r="HFF521" s="1358"/>
      <c r="HFG521" s="1358"/>
      <c r="HFH521" s="1358"/>
      <c r="HFI521" s="1358"/>
      <c r="HFJ521" s="1358"/>
      <c r="HFK521" s="1358"/>
      <c r="HFL521" s="1358"/>
      <c r="HFM521" s="1358"/>
      <c r="HFN521" s="1358"/>
      <c r="HFO521" s="1358"/>
      <c r="HFP521" s="1358"/>
      <c r="HFQ521" s="1358"/>
      <c r="HFR521" s="1358"/>
      <c r="HFS521" s="1358"/>
      <c r="HFT521" s="1358"/>
      <c r="HFU521" s="1358"/>
      <c r="HFV521" s="1358"/>
      <c r="HFW521" s="1358"/>
      <c r="HFX521" s="1358"/>
      <c r="HFY521" s="1358"/>
      <c r="HFZ521" s="1358"/>
      <c r="HGA521" s="1358"/>
      <c r="HGB521" s="1358"/>
      <c r="HGC521" s="1358"/>
      <c r="HGD521" s="1358"/>
      <c r="HGE521" s="1358"/>
      <c r="HGF521" s="1358"/>
      <c r="HGG521" s="1358"/>
      <c r="HGH521" s="1358"/>
      <c r="HGI521" s="1358"/>
      <c r="HGJ521" s="1358"/>
      <c r="HGK521" s="1358"/>
      <c r="HGL521" s="1358"/>
      <c r="HGM521" s="1358"/>
      <c r="HGN521" s="1358"/>
      <c r="HGO521" s="1358"/>
      <c r="HGP521" s="1358"/>
      <c r="HGQ521" s="1358"/>
      <c r="HGR521" s="1358"/>
      <c r="HGS521" s="1358"/>
      <c r="HGT521" s="1358"/>
      <c r="HGU521" s="1358"/>
      <c r="HGV521" s="1358"/>
      <c r="HGW521" s="1358"/>
      <c r="HGX521" s="1358"/>
      <c r="HGY521" s="1358"/>
      <c r="HGZ521" s="1358"/>
      <c r="HHA521" s="1358"/>
      <c r="HHB521" s="1358"/>
      <c r="HHC521" s="1358"/>
      <c r="HHD521" s="1358"/>
      <c r="HHE521" s="1358"/>
      <c r="HHF521" s="1358"/>
      <c r="HHG521" s="1358"/>
      <c r="HHH521" s="1358"/>
      <c r="HHI521" s="1358"/>
      <c r="HHJ521" s="1358"/>
      <c r="HHK521" s="1358"/>
      <c r="HHL521" s="1358"/>
      <c r="HHM521" s="1358"/>
      <c r="HHN521" s="1358"/>
      <c r="HHO521" s="1358"/>
      <c r="HHP521" s="1358"/>
      <c r="HHQ521" s="1358"/>
      <c r="HHR521" s="1358"/>
      <c r="HHS521" s="1358"/>
      <c r="HHT521" s="1358"/>
      <c r="HHU521" s="1358"/>
      <c r="HHV521" s="1358"/>
      <c r="HHW521" s="1358"/>
      <c r="HHX521" s="1358"/>
      <c r="HHY521" s="1358"/>
      <c r="HHZ521" s="1358"/>
      <c r="HIA521" s="1358"/>
      <c r="HIB521" s="1358"/>
      <c r="HIC521" s="1358"/>
      <c r="HID521" s="1358"/>
      <c r="HIE521" s="1358"/>
      <c r="HIF521" s="1358"/>
      <c r="HIG521" s="1358"/>
      <c r="HIH521" s="1358"/>
      <c r="HII521" s="1358"/>
      <c r="HIJ521" s="1358"/>
      <c r="HIK521" s="1358"/>
      <c r="HIL521" s="1358"/>
      <c r="HIM521" s="1358"/>
      <c r="HIN521" s="1358"/>
      <c r="HIO521" s="1358"/>
      <c r="HIP521" s="1358"/>
      <c r="HIQ521" s="1358"/>
      <c r="HIR521" s="1358"/>
      <c r="HIS521" s="1358"/>
      <c r="HIT521" s="1358"/>
      <c r="HIU521" s="1358"/>
      <c r="HIV521" s="1358"/>
      <c r="HIW521" s="1358"/>
      <c r="HIX521" s="1358"/>
      <c r="HIY521" s="1358"/>
      <c r="HIZ521" s="1358"/>
      <c r="HJA521" s="1358"/>
      <c r="HJB521" s="1358"/>
      <c r="HJC521" s="1358"/>
      <c r="HJD521" s="1358"/>
      <c r="HJE521" s="1358"/>
      <c r="HJF521" s="1358"/>
      <c r="HJG521" s="1358"/>
      <c r="HJH521" s="1358"/>
      <c r="HJI521" s="1358"/>
      <c r="HJJ521" s="1358"/>
      <c r="HJK521" s="1358"/>
      <c r="HJL521" s="1358"/>
      <c r="HJM521" s="1358"/>
      <c r="HJN521" s="1358"/>
      <c r="HJO521" s="1358"/>
      <c r="HJP521" s="1358"/>
      <c r="HJQ521" s="1358"/>
      <c r="HJR521" s="1358"/>
      <c r="HJS521" s="1358"/>
      <c r="HJT521" s="1358"/>
      <c r="HJU521" s="1358"/>
      <c r="HJV521" s="1358"/>
      <c r="HJW521" s="1358"/>
      <c r="HJX521" s="1358"/>
      <c r="HJY521" s="1358"/>
      <c r="HJZ521" s="1358"/>
      <c r="HKA521" s="1358"/>
      <c r="HKB521" s="1358"/>
      <c r="HKC521" s="1358"/>
      <c r="HKD521" s="1358"/>
      <c r="HKE521" s="1358"/>
      <c r="HKF521" s="1358"/>
      <c r="HKG521" s="1358"/>
      <c r="HKH521" s="1358"/>
      <c r="HKI521" s="1358"/>
      <c r="HKJ521" s="1358"/>
      <c r="HKK521" s="1358"/>
      <c r="HKL521" s="1358"/>
      <c r="HKM521" s="1358"/>
      <c r="HKN521" s="1358"/>
      <c r="HKO521" s="1358"/>
      <c r="HKP521" s="1358"/>
      <c r="HKQ521" s="1358"/>
      <c r="HKR521" s="1358"/>
      <c r="HKS521" s="1358"/>
      <c r="HKT521" s="1358"/>
      <c r="HKU521" s="1358"/>
      <c r="HKV521" s="1358"/>
      <c r="HKW521" s="1358"/>
      <c r="HKX521" s="1358"/>
      <c r="HKY521" s="1358"/>
      <c r="HKZ521" s="1358"/>
      <c r="HLA521" s="1358"/>
      <c r="HLB521" s="1358"/>
      <c r="HLC521" s="1358"/>
      <c r="HLD521" s="1358"/>
      <c r="HLE521" s="1358"/>
      <c r="HLF521" s="1358"/>
      <c r="HLG521" s="1358"/>
      <c r="HLH521" s="1358"/>
      <c r="HLI521" s="1358"/>
      <c r="HLJ521" s="1358"/>
      <c r="HLK521" s="1358"/>
      <c r="HLL521" s="1358"/>
      <c r="HLM521" s="1358"/>
      <c r="HLN521" s="1358"/>
      <c r="HLO521" s="1358"/>
      <c r="HLP521" s="1358"/>
      <c r="HLQ521" s="1358"/>
      <c r="HLR521" s="1358"/>
      <c r="HLS521" s="1358"/>
      <c r="HLT521" s="1358"/>
      <c r="HLU521" s="1358"/>
      <c r="HLV521" s="1358"/>
      <c r="HLW521" s="1358"/>
      <c r="HLX521" s="1358"/>
      <c r="HLY521" s="1358"/>
      <c r="HLZ521" s="1358"/>
      <c r="HMA521" s="1358"/>
      <c r="HMB521" s="1358"/>
      <c r="HMC521" s="1358"/>
      <c r="HMD521" s="1358"/>
      <c r="HME521" s="1358"/>
      <c r="HMF521" s="1358"/>
      <c r="HMG521" s="1358"/>
      <c r="HMH521" s="1358"/>
      <c r="HMI521" s="1358"/>
      <c r="HMJ521" s="1358"/>
      <c r="HMK521" s="1358"/>
      <c r="HML521" s="1358"/>
      <c r="HMM521" s="1358"/>
      <c r="HMN521" s="1358"/>
      <c r="HMO521" s="1358"/>
      <c r="HMP521" s="1358"/>
      <c r="HMQ521" s="1358"/>
      <c r="HMR521" s="1358"/>
      <c r="HMS521" s="1358"/>
      <c r="HMT521" s="1358"/>
      <c r="HMU521" s="1358"/>
      <c r="HMV521" s="1358"/>
      <c r="HMW521" s="1358"/>
      <c r="HMX521" s="1358"/>
      <c r="HMY521" s="1358"/>
      <c r="HMZ521" s="1358"/>
      <c r="HNA521" s="1358"/>
      <c r="HNB521" s="1358"/>
      <c r="HNC521" s="1358"/>
      <c r="HND521" s="1358"/>
      <c r="HNE521" s="1358"/>
      <c r="HNF521" s="1358"/>
      <c r="HNG521" s="1358"/>
      <c r="HNH521" s="1358"/>
      <c r="HNI521" s="1358"/>
      <c r="HNJ521" s="1358"/>
      <c r="HNK521" s="1358"/>
      <c r="HNL521" s="1358"/>
      <c r="HNM521" s="1358"/>
      <c r="HNN521" s="1358"/>
      <c r="HNO521" s="1358"/>
      <c r="HNP521" s="1358"/>
      <c r="HNQ521" s="1358"/>
      <c r="HNR521" s="1358"/>
      <c r="HNS521" s="1358"/>
      <c r="HNT521" s="1358"/>
      <c r="HNU521" s="1358"/>
      <c r="HNV521" s="1358"/>
      <c r="HNW521" s="1358"/>
      <c r="HNX521" s="1358"/>
      <c r="HNY521" s="1358"/>
      <c r="HNZ521" s="1358"/>
      <c r="HOA521" s="1358"/>
      <c r="HOB521" s="1358"/>
      <c r="HOC521" s="1358"/>
      <c r="HOD521" s="1358"/>
      <c r="HOE521" s="1358"/>
      <c r="HOF521" s="1358"/>
      <c r="HOG521" s="1358"/>
      <c r="HOH521" s="1358"/>
      <c r="HOI521" s="1358"/>
      <c r="HOJ521" s="1358"/>
      <c r="HOK521" s="1358"/>
      <c r="HOL521" s="1358"/>
      <c r="HOM521" s="1358"/>
      <c r="HON521" s="1358"/>
      <c r="HOO521" s="1358"/>
      <c r="HOP521" s="1358"/>
      <c r="HOQ521" s="1358"/>
      <c r="HOR521" s="1358"/>
      <c r="HOS521" s="1358"/>
      <c r="HOT521" s="1358"/>
      <c r="HOU521" s="1358"/>
      <c r="HOV521" s="1358"/>
      <c r="HOW521" s="1358"/>
      <c r="HOX521" s="1358"/>
      <c r="HOY521" s="1358"/>
      <c r="HOZ521" s="1358"/>
      <c r="HPA521" s="1358"/>
      <c r="HPB521" s="1358"/>
      <c r="HPC521" s="1358"/>
      <c r="HPD521" s="1358"/>
      <c r="HPE521" s="1358"/>
      <c r="HPF521" s="1358"/>
      <c r="HPG521" s="1358"/>
      <c r="HPH521" s="1358"/>
      <c r="HPI521" s="1358"/>
      <c r="HPJ521" s="1358"/>
      <c r="HPK521" s="1358"/>
      <c r="HPL521" s="1358"/>
      <c r="HPM521" s="1358"/>
      <c r="HPN521" s="1358"/>
      <c r="HPO521" s="1358"/>
      <c r="HPP521" s="1358"/>
      <c r="HPQ521" s="1358"/>
      <c r="HPR521" s="1358"/>
      <c r="HPS521" s="1358"/>
      <c r="HPT521" s="1358"/>
      <c r="HPU521" s="1358"/>
      <c r="HPV521" s="1358"/>
      <c r="HPW521" s="1358"/>
      <c r="HPX521" s="1358"/>
      <c r="HPY521" s="1358"/>
      <c r="HPZ521" s="1358"/>
      <c r="HQA521" s="1358"/>
      <c r="HQB521" s="1358"/>
      <c r="HQC521" s="1358"/>
      <c r="HQD521" s="1358"/>
      <c r="HQE521" s="1358"/>
      <c r="HQF521" s="1358"/>
      <c r="HQG521" s="1358"/>
      <c r="HQH521" s="1358"/>
      <c r="HQI521" s="1358"/>
      <c r="HQJ521" s="1358"/>
      <c r="HQK521" s="1358"/>
      <c r="HQL521" s="1358"/>
      <c r="HQM521" s="1358"/>
      <c r="HQN521" s="1358"/>
      <c r="HQO521" s="1358"/>
      <c r="HQP521" s="1358"/>
      <c r="HQQ521" s="1358"/>
      <c r="HQR521" s="1358"/>
      <c r="HQS521" s="1358"/>
      <c r="HQT521" s="1358"/>
      <c r="HQU521" s="1358"/>
      <c r="HQV521" s="1358"/>
      <c r="HQW521" s="1358"/>
      <c r="HQX521" s="1358"/>
      <c r="HQY521" s="1358"/>
      <c r="HQZ521" s="1358"/>
      <c r="HRA521" s="1358"/>
      <c r="HRB521" s="1358"/>
      <c r="HRC521" s="1358"/>
      <c r="HRD521" s="1358"/>
      <c r="HRE521" s="1358"/>
      <c r="HRF521" s="1358"/>
      <c r="HRG521" s="1358"/>
      <c r="HRH521" s="1358"/>
      <c r="HRI521" s="1358"/>
      <c r="HRJ521" s="1358"/>
      <c r="HRK521" s="1358"/>
      <c r="HRL521" s="1358"/>
      <c r="HRM521" s="1358"/>
      <c r="HRN521" s="1358"/>
      <c r="HRO521" s="1358"/>
      <c r="HRP521" s="1358"/>
      <c r="HRQ521" s="1358"/>
      <c r="HRR521" s="1358"/>
      <c r="HRS521" s="1358"/>
      <c r="HRT521" s="1358"/>
      <c r="HRU521" s="1358"/>
      <c r="HRV521" s="1358"/>
      <c r="HRW521" s="1358"/>
      <c r="HRX521" s="1358"/>
      <c r="HRY521" s="1358"/>
      <c r="HRZ521" s="1358"/>
      <c r="HSA521" s="1358"/>
      <c r="HSB521" s="1358"/>
      <c r="HSC521" s="1358"/>
      <c r="HSD521" s="1358"/>
      <c r="HSE521" s="1358"/>
      <c r="HSF521" s="1358"/>
      <c r="HSG521" s="1358"/>
      <c r="HSH521" s="1358"/>
      <c r="HSI521" s="1358"/>
      <c r="HSJ521" s="1358"/>
      <c r="HSK521" s="1358"/>
      <c r="HSL521" s="1358"/>
      <c r="HSM521" s="1358"/>
      <c r="HSN521" s="1358"/>
      <c r="HSO521" s="1358"/>
      <c r="HSP521" s="1358"/>
      <c r="HSQ521" s="1358"/>
      <c r="HSR521" s="1358"/>
      <c r="HSS521" s="1358"/>
      <c r="HST521" s="1358"/>
      <c r="HSU521" s="1358"/>
      <c r="HSV521" s="1358"/>
      <c r="HSW521" s="1358"/>
      <c r="HSX521" s="1358"/>
      <c r="HSY521" s="1358"/>
      <c r="HSZ521" s="1358"/>
      <c r="HTA521" s="1358"/>
      <c r="HTB521" s="1358"/>
      <c r="HTC521" s="1358"/>
      <c r="HTD521" s="1358"/>
      <c r="HTE521" s="1358"/>
      <c r="HTF521" s="1358"/>
      <c r="HTG521" s="1358"/>
      <c r="HTH521" s="1358"/>
      <c r="HTI521" s="1358"/>
      <c r="HTJ521" s="1358"/>
      <c r="HTK521" s="1358"/>
      <c r="HTL521" s="1358"/>
      <c r="HTM521" s="1358"/>
      <c r="HTN521" s="1358"/>
      <c r="HTO521" s="1358"/>
      <c r="HTP521" s="1358"/>
      <c r="HTQ521" s="1358"/>
      <c r="HTR521" s="1358"/>
      <c r="HTS521" s="1358"/>
      <c r="HTT521" s="1358"/>
      <c r="HTU521" s="1358"/>
      <c r="HTV521" s="1358"/>
      <c r="HTW521" s="1358"/>
      <c r="HTX521" s="1358"/>
      <c r="HTY521" s="1358"/>
      <c r="HTZ521" s="1358"/>
      <c r="HUA521" s="1358"/>
      <c r="HUB521" s="1358"/>
      <c r="HUC521" s="1358"/>
      <c r="HUD521" s="1358"/>
      <c r="HUE521" s="1358"/>
      <c r="HUF521" s="1358"/>
      <c r="HUG521" s="1358"/>
      <c r="HUH521" s="1358"/>
      <c r="HUI521" s="1358"/>
      <c r="HUJ521" s="1358"/>
      <c r="HUK521" s="1358"/>
      <c r="HUL521" s="1358"/>
      <c r="HUM521" s="1358"/>
      <c r="HUN521" s="1358"/>
      <c r="HUO521" s="1358"/>
      <c r="HUP521" s="1358"/>
      <c r="HUQ521" s="1358"/>
      <c r="HUR521" s="1358"/>
      <c r="HUS521" s="1358"/>
      <c r="HUT521" s="1358"/>
      <c r="HUU521" s="1358"/>
      <c r="HUV521" s="1358"/>
      <c r="HUW521" s="1358"/>
      <c r="HUX521" s="1358"/>
      <c r="HUY521" s="1358"/>
      <c r="HUZ521" s="1358"/>
      <c r="HVA521" s="1358"/>
      <c r="HVB521" s="1358"/>
      <c r="HVC521" s="1358"/>
      <c r="HVD521" s="1358"/>
      <c r="HVE521" s="1358"/>
      <c r="HVF521" s="1358"/>
      <c r="HVG521" s="1358"/>
      <c r="HVH521" s="1358"/>
      <c r="HVI521" s="1358"/>
      <c r="HVJ521" s="1358"/>
      <c r="HVK521" s="1358"/>
      <c r="HVL521" s="1358"/>
      <c r="HVM521" s="1358"/>
      <c r="HVN521" s="1358"/>
      <c r="HVO521" s="1358"/>
      <c r="HVP521" s="1358"/>
      <c r="HVQ521" s="1358"/>
      <c r="HVR521" s="1358"/>
      <c r="HVS521" s="1358"/>
      <c r="HVT521" s="1358"/>
      <c r="HVU521" s="1358"/>
      <c r="HVV521" s="1358"/>
      <c r="HVW521" s="1358"/>
      <c r="HVX521" s="1358"/>
      <c r="HVY521" s="1358"/>
      <c r="HVZ521" s="1358"/>
      <c r="HWA521" s="1358"/>
      <c r="HWB521" s="1358"/>
      <c r="HWC521" s="1358"/>
      <c r="HWD521" s="1358"/>
      <c r="HWE521" s="1358"/>
      <c r="HWF521" s="1358"/>
      <c r="HWG521" s="1358"/>
      <c r="HWH521" s="1358"/>
      <c r="HWI521" s="1358"/>
      <c r="HWJ521" s="1358"/>
      <c r="HWK521" s="1358"/>
      <c r="HWL521" s="1358"/>
      <c r="HWM521" s="1358"/>
      <c r="HWN521" s="1358"/>
      <c r="HWO521" s="1358"/>
      <c r="HWP521" s="1358"/>
      <c r="HWQ521" s="1358"/>
      <c r="HWR521" s="1358"/>
      <c r="HWS521" s="1358"/>
      <c r="HWT521" s="1358"/>
      <c r="HWU521" s="1358"/>
      <c r="HWV521" s="1358"/>
      <c r="HWW521" s="1358"/>
      <c r="HWX521" s="1358"/>
      <c r="HWY521" s="1358"/>
      <c r="HWZ521" s="1358"/>
      <c r="HXA521" s="1358"/>
      <c r="HXB521" s="1358"/>
      <c r="HXC521" s="1358"/>
      <c r="HXD521" s="1358"/>
      <c r="HXE521" s="1358"/>
      <c r="HXF521" s="1358"/>
      <c r="HXG521" s="1358"/>
      <c r="HXH521" s="1358"/>
      <c r="HXI521" s="1358"/>
      <c r="HXJ521" s="1358"/>
      <c r="HXK521" s="1358"/>
      <c r="HXL521" s="1358"/>
      <c r="HXM521" s="1358"/>
      <c r="HXN521" s="1358"/>
      <c r="HXO521" s="1358"/>
      <c r="HXP521" s="1358"/>
      <c r="HXQ521" s="1358"/>
      <c r="HXR521" s="1358"/>
      <c r="HXS521" s="1358"/>
      <c r="HXT521" s="1358"/>
      <c r="HXU521" s="1358"/>
      <c r="HXV521" s="1358"/>
      <c r="HXW521" s="1358"/>
      <c r="HXX521" s="1358"/>
      <c r="HXY521" s="1358"/>
      <c r="HXZ521" s="1358"/>
      <c r="HYA521" s="1358"/>
      <c r="HYB521" s="1358"/>
      <c r="HYC521" s="1358"/>
      <c r="HYD521" s="1358"/>
      <c r="HYE521" s="1358"/>
      <c r="HYF521" s="1358"/>
      <c r="HYG521" s="1358"/>
      <c r="HYH521" s="1358"/>
      <c r="HYI521" s="1358"/>
      <c r="HYJ521" s="1358"/>
      <c r="HYK521" s="1358"/>
      <c r="HYL521" s="1358"/>
      <c r="HYM521" s="1358"/>
      <c r="HYN521" s="1358"/>
      <c r="HYO521" s="1358"/>
      <c r="HYP521" s="1358"/>
      <c r="HYQ521" s="1358"/>
      <c r="HYR521" s="1358"/>
      <c r="HYS521" s="1358"/>
      <c r="HYT521" s="1358"/>
      <c r="HYU521" s="1358"/>
      <c r="HYV521" s="1358"/>
      <c r="HYW521" s="1358"/>
      <c r="HYX521" s="1358"/>
      <c r="HYY521" s="1358"/>
      <c r="HYZ521" s="1358"/>
      <c r="HZA521" s="1358"/>
      <c r="HZB521" s="1358"/>
      <c r="HZC521" s="1358"/>
      <c r="HZD521" s="1358"/>
      <c r="HZE521" s="1358"/>
      <c r="HZF521" s="1358"/>
      <c r="HZG521" s="1358"/>
      <c r="HZH521" s="1358"/>
      <c r="HZI521" s="1358"/>
      <c r="HZJ521" s="1358"/>
      <c r="HZK521" s="1358"/>
      <c r="HZL521" s="1358"/>
      <c r="HZM521" s="1358"/>
      <c r="HZN521" s="1358"/>
      <c r="HZO521" s="1358"/>
      <c r="HZP521" s="1358"/>
      <c r="HZQ521" s="1358"/>
      <c r="HZR521" s="1358"/>
      <c r="HZS521" s="1358"/>
      <c r="HZT521" s="1358"/>
      <c r="HZU521" s="1358"/>
      <c r="HZV521" s="1358"/>
      <c r="HZW521" s="1358"/>
      <c r="HZX521" s="1358"/>
      <c r="HZY521" s="1358"/>
      <c r="HZZ521" s="1358"/>
      <c r="IAA521" s="1358"/>
      <c r="IAB521" s="1358"/>
      <c r="IAC521" s="1358"/>
      <c r="IAD521" s="1358"/>
      <c r="IAE521" s="1358"/>
      <c r="IAF521" s="1358"/>
      <c r="IAG521" s="1358"/>
      <c r="IAH521" s="1358"/>
      <c r="IAI521" s="1358"/>
      <c r="IAJ521" s="1358"/>
      <c r="IAK521" s="1358"/>
      <c r="IAL521" s="1358"/>
      <c r="IAM521" s="1358"/>
      <c r="IAN521" s="1358"/>
      <c r="IAO521" s="1358"/>
      <c r="IAP521" s="1358"/>
      <c r="IAQ521" s="1358"/>
      <c r="IAR521" s="1358"/>
      <c r="IAS521" s="1358"/>
      <c r="IAT521" s="1358"/>
      <c r="IAU521" s="1358"/>
      <c r="IAV521" s="1358"/>
      <c r="IAW521" s="1358"/>
      <c r="IAX521" s="1358"/>
      <c r="IAY521" s="1358"/>
      <c r="IAZ521" s="1358"/>
      <c r="IBA521" s="1358"/>
      <c r="IBB521" s="1358"/>
      <c r="IBC521" s="1358"/>
      <c r="IBD521" s="1358"/>
      <c r="IBE521" s="1358"/>
      <c r="IBF521" s="1358"/>
      <c r="IBG521" s="1358"/>
      <c r="IBH521" s="1358"/>
      <c r="IBI521" s="1358"/>
      <c r="IBJ521" s="1358"/>
      <c r="IBK521" s="1358"/>
      <c r="IBL521" s="1358"/>
      <c r="IBM521" s="1358"/>
      <c r="IBN521" s="1358"/>
      <c r="IBO521" s="1358"/>
      <c r="IBP521" s="1358"/>
      <c r="IBQ521" s="1358"/>
      <c r="IBR521" s="1358"/>
      <c r="IBS521" s="1358"/>
      <c r="IBT521" s="1358"/>
      <c r="IBU521" s="1358"/>
      <c r="IBV521" s="1358"/>
      <c r="IBW521" s="1358"/>
      <c r="IBX521" s="1358"/>
      <c r="IBY521" s="1358"/>
      <c r="IBZ521" s="1358"/>
      <c r="ICA521" s="1358"/>
      <c r="ICB521" s="1358"/>
      <c r="ICC521" s="1358"/>
      <c r="ICD521" s="1358"/>
      <c r="ICE521" s="1358"/>
      <c r="ICF521" s="1358"/>
      <c r="ICG521" s="1358"/>
      <c r="ICH521" s="1358"/>
      <c r="ICI521" s="1358"/>
      <c r="ICJ521" s="1358"/>
      <c r="ICK521" s="1358"/>
      <c r="ICL521" s="1358"/>
      <c r="ICM521" s="1358"/>
      <c r="ICN521" s="1358"/>
      <c r="ICO521" s="1358"/>
      <c r="ICP521" s="1358"/>
      <c r="ICQ521" s="1358"/>
      <c r="ICR521" s="1358"/>
      <c r="ICS521" s="1358"/>
      <c r="ICT521" s="1358"/>
      <c r="ICU521" s="1358"/>
      <c r="ICV521" s="1358"/>
      <c r="ICW521" s="1358"/>
      <c r="ICX521" s="1358"/>
      <c r="ICY521" s="1358"/>
      <c r="ICZ521" s="1358"/>
      <c r="IDA521" s="1358"/>
      <c r="IDB521" s="1358"/>
      <c r="IDC521" s="1358"/>
      <c r="IDD521" s="1358"/>
      <c r="IDE521" s="1358"/>
      <c r="IDF521" s="1358"/>
      <c r="IDG521" s="1358"/>
      <c r="IDH521" s="1358"/>
      <c r="IDI521" s="1358"/>
      <c r="IDJ521" s="1358"/>
      <c r="IDK521" s="1358"/>
      <c r="IDL521" s="1358"/>
      <c r="IDM521" s="1358"/>
      <c r="IDN521" s="1358"/>
      <c r="IDO521" s="1358"/>
      <c r="IDP521" s="1358"/>
      <c r="IDQ521" s="1358"/>
      <c r="IDR521" s="1358"/>
      <c r="IDS521" s="1358"/>
      <c r="IDT521" s="1358"/>
      <c r="IDU521" s="1358"/>
      <c r="IDV521" s="1358"/>
      <c r="IDW521" s="1358"/>
      <c r="IDX521" s="1358"/>
      <c r="IDY521" s="1358"/>
      <c r="IDZ521" s="1358"/>
      <c r="IEA521" s="1358"/>
      <c r="IEB521" s="1358"/>
      <c r="IEC521" s="1358"/>
      <c r="IED521" s="1358"/>
      <c r="IEE521" s="1358"/>
      <c r="IEF521" s="1358"/>
      <c r="IEG521" s="1358"/>
      <c r="IEH521" s="1358"/>
      <c r="IEI521" s="1358"/>
      <c r="IEJ521" s="1358"/>
      <c r="IEK521" s="1358"/>
      <c r="IEL521" s="1358"/>
      <c r="IEM521" s="1358"/>
      <c r="IEN521" s="1358"/>
      <c r="IEO521" s="1358"/>
      <c r="IEP521" s="1358"/>
      <c r="IEQ521" s="1358"/>
      <c r="IER521" s="1358"/>
      <c r="IES521" s="1358"/>
      <c r="IET521" s="1358"/>
      <c r="IEU521" s="1358"/>
      <c r="IEV521" s="1358"/>
      <c r="IEW521" s="1358"/>
      <c r="IEX521" s="1358"/>
      <c r="IEY521" s="1358"/>
      <c r="IEZ521" s="1358"/>
      <c r="IFA521" s="1358"/>
      <c r="IFB521" s="1358"/>
      <c r="IFC521" s="1358"/>
      <c r="IFD521" s="1358"/>
      <c r="IFE521" s="1358"/>
      <c r="IFF521" s="1358"/>
      <c r="IFG521" s="1358"/>
      <c r="IFH521" s="1358"/>
      <c r="IFI521" s="1358"/>
      <c r="IFJ521" s="1358"/>
      <c r="IFK521" s="1358"/>
      <c r="IFL521" s="1358"/>
      <c r="IFM521" s="1358"/>
      <c r="IFN521" s="1358"/>
      <c r="IFO521" s="1358"/>
      <c r="IFP521" s="1358"/>
      <c r="IFQ521" s="1358"/>
      <c r="IFR521" s="1358"/>
      <c r="IFS521" s="1358"/>
      <c r="IFT521" s="1358"/>
      <c r="IFU521" s="1358"/>
      <c r="IFV521" s="1358"/>
      <c r="IFW521" s="1358"/>
      <c r="IFX521" s="1358"/>
      <c r="IFY521" s="1358"/>
      <c r="IFZ521" s="1358"/>
      <c r="IGA521" s="1358"/>
      <c r="IGB521" s="1358"/>
      <c r="IGC521" s="1358"/>
      <c r="IGD521" s="1358"/>
      <c r="IGE521" s="1358"/>
      <c r="IGF521" s="1358"/>
      <c r="IGG521" s="1358"/>
      <c r="IGH521" s="1358"/>
      <c r="IGI521" s="1358"/>
      <c r="IGJ521" s="1358"/>
      <c r="IGK521" s="1358"/>
      <c r="IGL521" s="1358"/>
      <c r="IGM521" s="1358"/>
      <c r="IGN521" s="1358"/>
      <c r="IGO521" s="1358"/>
      <c r="IGP521" s="1358"/>
      <c r="IGQ521" s="1358"/>
      <c r="IGR521" s="1358"/>
      <c r="IGS521" s="1358"/>
      <c r="IGT521" s="1358"/>
      <c r="IGU521" s="1358"/>
      <c r="IGV521" s="1358"/>
      <c r="IGW521" s="1358"/>
      <c r="IGX521" s="1358"/>
      <c r="IGY521" s="1358"/>
      <c r="IGZ521" s="1358"/>
      <c r="IHA521" s="1358"/>
      <c r="IHB521" s="1358"/>
      <c r="IHC521" s="1358"/>
      <c r="IHD521" s="1358"/>
      <c r="IHE521" s="1358"/>
      <c r="IHF521" s="1358"/>
      <c r="IHG521" s="1358"/>
      <c r="IHH521" s="1358"/>
      <c r="IHI521" s="1358"/>
      <c r="IHJ521" s="1358"/>
      <c r="IHK521" s="1358"/>
      <c r="IHL521" s="1358"/>
      <c r="IHM521" s="1358"/>
      <c r="IHN521" s="1358"/>
      <c r="IHO521" s="1358"/>
      <c r="IHP521" s="1358"/>
      <c r="IHQ521" s="1358"/>
      <c r="IHR521" s="1358"/>
      <c r="IHS521" s="1358"/>
      <c r="IHT521" s="1358"/>
      <c r="IHU521" s="1358"/>
      <c r="IHV521" s="1358"/>
      <c r="IHW521" s="1358"/>
      <c r="IHX521" s="1358"/>
      <c r="IHY521" s="1358"/>
      <c r="IHZ521" s="1358"/>
      <c r="IIA521" s="1358"/>
      <c r="IIB521" s="1358"/>
      <c r="IIC521" s="1358"/>
      <c r="IID521" s="1358"/>
      <c r="IIE521" s="1358"/>
      <c r="IIF521" s="1358"/>
      <c r="IIG521" s="1358"/>
      <c r="IIH521" s="1358"/>
      <c r="III521" s="1358"/>
      <c r="IIJ521" s="1358"/>
      <c r="IIK521" s="1358"/>
      <c r="IIL521" s="1358"/>
      <c r="IIM521" s="1358"/>
      <c r="IIN521" s="1358"/>
      <c r="IIO521" s="1358"/>
      <c r="IIP521" s="1358"/>
      <c r="IIQ521" s="1358"/>
      <c r="IIR521" s="1358"/>
      <c r="IIS521" s="1358"/>
      <c r="IIT521" s="1358"/>
      <c r="IIU521" s="1358"/>
      <c r="IIV521" s="1358"/>
      <c r="IIW521" s="1358"/>
      <c r="IIX521" s="1358"/>
      <c r="IIY521" s="1358"/>
      <c r="IIZ521" s="1358"/>
      <c r="IJA521" s="1358"/>
      <c r="IJB521" s="1358"/>
      <c r="IJC521" s="1358"/>
      <c r="IJD521" s="1358"/>
      <c r="IJE521" s="1358"/>
      <c r="IJF521" s="1358"/>
      <c r="IJG521" s="1358"/>
      <c r="IJH521" s="1358"/>
      <c r="IJI521" s="1358"/>
      <c r="IJJ521" s="1358"/>
      <c r="IJK521" s="1358"/>
      <c r="IJL521" s="1358"/>
      <c r="IJM521" s="1358"/>
      <c r="IJN521" s="1358"/>
      <c r="IJO521" s="1358"/>
      <c r="IJP521" s="1358"/>
      <c r="IJQ521" s="1358"/>
      <c r="IJR521" s="1358"/>
      <c r="IJS521" s="1358"/>
      <c r="IJT521" s="1358"/>
      <c r="IJU521" s="1358"/>
      <c r="IJV521" s="1358"/>
      <c r="IJW521" s="1358"/>
      <c r="IJX521" s="1358"/>
      <c r="IJY521" s="1358"/>
      <c r="IJZ521" s="1358"/>
      <c r="IKA521" s="1358"/>
      <c r="IKB521" s="1358"/>
      <c r="IKC521" s="1358"/>
      <c r="IKD521" s="1358"/>
      <c r="IKE521" s="1358"/>
      <c r="IKF521" s="1358"/>
      <c r="IKG521" s="1358"/>
      <c r="IKH521" s="1358"/>
      <c r="IKI521" s="1358"/>
      <c r="IKJ521" s="1358"/>
      <c r="IKK521" s="1358"/>
      <c r="IKL521" s="1358"/>
      <c r="IKM521" s="1358"/>
      <c r="IKN521" s="1358"/>
      <c r="IKO521" s="1358"/>
      <c r="IKP521" s="1358"/>
      <c r="IKQ521" s="1358"/>
      <c r="IKR521" s="1358"/>
      <c r="IKS521" s="1358"/>
      <c r="IKT521" s="1358"/>
      <c r="IKU521" s="1358"/>
      <c r="IKV521" s="1358"/>
      <c r="IKW521" s="1358"/>
      <c r="IKX521" s="1358"/>
      <c r="IKY521" s="1358"/>
      <c r="IKZ521" s="1358"/>
      <c r="ILA521" s="1358"/>
      <c r="ILB521" s="1358"/>
      <c r="ILC521" s="1358"/>
      <c r="ILD521" s="1358"/>
      <c r="ILE521" s="1358"/>
      <c r="ILF521" s="1358"/>
      <c r="ILG521" s="1358"/>
      <c r="ILH521" s="1358"/>
      <c r="ILI521" s="1358"/>
      <c r="ILJ521" s="1358"/>
      <c r="ILK521" s="1358"/>
      <c r="ILL521" s="1358"/>
      <c r="ILM521" s="1358"/>
      <c r="ILN521" s="1358"/>
      <c r="ILO521" s="1358"/>
      <c r="ILP521" s="1358"/>
      <c r="ILQ521" s="1358"/>
      <c r="ILR521" s="1358"/>
      <c r="ILS521" s="1358"/>
      <c r="ILT521" s="1358"/>
      <c r="ILU521" s="1358"/>
      <c r="ILV521" s="1358"/>
      <c r="ILW521" s="1358"/>
      <c r="ILX521" s="1358"/>
      <c r="ILY521" s="1358"/>
      <c r="ILZ521" s="1358"/>
      <c r="IMA521" s="1358"/>
      <c r="IMB521" s="1358"/>
      <c r="IMC521" s="1358"/>
      <c r="IMD521" s="1358"/>
      <c r="IME521" s="1358"/>
      <c r="IMF521" s="1358"/>
      <c r="IMG521" s="1358"/>
      <c r="IMH521" s="1358"/>
      <c r="IMI521" s="1358"/>
      <c r="IMJ521" s="1358"/>
      <c r="IMK521" s="1358"/>
      <c r="IML521" s="1358"/>
      <c r="IMM521" s="1358"/>
      <c r="IMN521" s="1358"/>
      <c r="IMO521" s="1358"/>
      <c r="IMP521" s="1358"/>
      <c r="IMQ521" s="1358"/>
      <c r="IMR521" s="1358"/>
      <c r="IMS521" s="1358"/>
      <c r="IMT521" s="1358"/>
      <c r="IMU521" s="1358"/>
      <c r="IMV521" s="1358"/>
      <c r="IMW521" s="1358"/>
      <c r="IMX521" s="1358"/>
      <c r="IMY521" s="1358"/>
      <c r="IMZ521" s="1358"/>
      <c r="INA521" s="1358"/>
      <c r="INB521" s="1358"/>
      <c r="INC521" s="1358"/>
      <c r="IND521" s="1358"/>
      <c r="INE521" s="1358"/>
      <c r="INF521" s="1358"/>
      <c r="ING521" s="1358"/>
      <c r="INH521" s="1358"/>
      <c r="INI521" s="1358"/>
      <c r="INJ521" s="1358"/>
      <c r="INK521" s="1358"/>
      <c r="INL521" s="1358"/>
      <c r="INM521" s="1358"/>
      <c r="INN521" s="1358"/>
      <c r="INO521" s="1358"/>
      <c r="INP521" s="1358"/>
      <c r="INQ521" s="1358"/>
      <c r="INR521" s="1358"/>
      <c r="INS521" s="1358"/>
      <c r="INT521" s="1358"/>
      <c r="INU521" s="1358"/>
      <c r="INV521" s="1358"/>
      <c r="INW521" s="1358"/>
      <c r="INX521" s="1358"/>
      <c r="INY521" s="1358"/>
      <c r="INZ521" s="1358"/>
      <c r="IOA521" s="1358"/>
      <c r="IOB521" s="1358"/>
      <c r="IOC521" s="1358"/>
      <c r="IOD521" s="1358"/>
      <c r="IOE521" s="1358"/>
      <c r="IOF521" s="1358"/>
      <c r="IOG521" s="1358"/>
      <c r="IOH521" s="1358"/>
      <c r="IOI521" s="1358"/>
      <c r="IOJ521" s="1358"/>
      <c r="IOK521" s="1358"/>
      <c r="IOL521" s="1358"/>
      <c r="IOM521" s="1358"/>
      <c r="ION521" s="1358"/>
      <c r="IOO521" s="1358"/>
      <c r="IOP521" s="1358"/>
      <c r="IOQ521" s="1358"/>
      <c r="IOR521" s="1358"/>
      <c r="IOS521" s="1358"/>
      <c r="IOT521" s="1358"/>
      <c r="IOU521" s="1358"/>
      <c r="IOV521" s="1358"/>
      <c r="IOW521" s="1358"/>
      <c r="IOX521" s="1358"/>
      <c r="IOY521" s="1358"/>
      <c r="IOZ521" s="1358"/>
      <c r="IPA521" s="1358"/>
      <c r="IPB521" s="1358"/>
      <c r="IPC521" s="1358"/>
      <c r="IPD521" s="1358"/>
      <c r="IPE521" s="1358"/>
      <c r="IPF521" s="1358"/>
      <c r="IPG521" s="1358"/>
      <c r="IPH521" s="1358"/>
      <c r="IPI521" s="1358"/>
      <c r="IPJ521" s="1358"/>
      <c r="IPK521" s="1358"/>
      <c r="IPL521" s="1358"/>
      <c r="IPM521" s="1358"/>
      <c r="IPN521" s="1358"/>
      <c r="IPO521" s="1358"/>
      <c r="IPP521" s="1358"/>
      <c r="IPQ521" s="1358"/>
      <c r="IPR521" s="1358"/>
      <c r="IPS521" s="1358"/>
      <c r="IPT521" s="1358"/>
      <c r="IPU521" s="1358"/>
      <c r="IPV521" s="1358"/>
      <c r="IPW521" s="1358"/>
      <c r="IPX521" s="1358"/>
      <c r="IPY521" s="1358"/>
      <c r="IPZ521" s="1358"/>
      <c r="IQA521" s="1358"/>
      <c r="IQB521" s="1358"/>
      <c r="IQC521" s="1358"/>
      <c r="IQD521" s="1358"/>
      <c r="IQE521" s="1358"/>
      <c r="IQF521" s="1358"/>
      <c r="IQG521" s="1358"/>
      <c r="IQH521" s="1358"/>
      <c r="IQI521" s="1358"/>
      <c r="IQJ521" s="1358"/>
      <c r="IQK521" s="1358"/>
      <c r="IQL521" s="1358"/>
      <c r="IQM521" s="1358"/>
      <c r="IQN521" s="1358"/>
      <c r="IQO521" s="1358"/>
      <c r="IQP521" s="1358"/>
      <c r="IQQ521" s="1358"/>
      <c r="IQR521" s="1358"/>
      <c r="IQS521" s="1358"/>
      <c r="IQT521" s="1358"/>
      <c r="IQU521" s="1358"/>
      <c r="IQV521" s="1358"/>
      <c r="IQW521" s="1358"/>
      <c r="IQX521" s="1358"/>
      <c r="IQY521" s="1358"/>
      <c r="IQZ521" s="1358"/>
      <c r="IRA521" s="1358"/>
      <c r="IRB521" s="1358"/>
      <c r="IRC521" s="1358"/>
      <c r="IRD521" s="1358"/>
      <c r="IRE521" s="1358"/>
      <c r="IRF521" s="1358"/>
      <c r="IRG521" s="1358"/>
      <c r="IRH521" s="1358"/>
      <c r="IRI521" s="1358"/>
      <c r="IRJ521" s="1358"/>
      <c r="IRK521" s="1358"/>
      <c r="IRL521" s="1358"/>
      <c r="IRM521" s="1358"/>
      <c r="IRN521" s="1358"/>
      <c r="IRO521" s="1358"/>
      <c r="IRP521" s="1358"/>
      <c r="IRQ521" s="1358"/>
      <c r="IRR521" s="1358"/>
      <c r="IRS521" s="1358"/>
      <c r="IRT521" s="1358"/>
      <c r="IRU521" s="1358"/>
      <c r="IRV521" s="1358"/>
      <c r="IRW521" s="1358"/>
      <c r="IRX521" s="1358"/>
      <c r="IRY521" s="1358"/>
      <c r="IRZ521" s="1358"/>
      <c r="ISA521" s="1358"/>
      <c r="ISB521" s="1358"/>
      <c r="ISC521" s="1358"/>
      <c r="ISD521" s="1358"/>
      <c r="ISE521" s="1358"/>
      <c r="ISF521" s="1358"/>
      <c r="ISG521" s="1358"/>
      <c r="ISH521" s="1358"/>
      <c r="ISI521" s="1358"/>
      <c r="ISJ521" s="1358"/>
      <c r="ISK521" s="1358"/>
      <c r="ISL521" s="1358"/>
      <c r="ISM521" s="1358"/>
      <c r="ISN521" s="1358"/>
      <c r="ISO521" s="1358"/>
      <c r="ISP521" s="1358"/>
      <c r="ISQ521" s="1358"/>
      <c r="ISR521" s="1358"/>
      <c r="ISS521" s="1358"/>
      <c r="IST521" s="1358"/>
      <c r="ISU521" s="1358"/>
      <c r="ISV521" s="1358"/>
      <c r="ISW521" s="1358"/>
      <c r="ISX521" s="1358"/>
      <c r="ISY521" s="1358"/>
      <c r="ISZ521" s="1358"/>
      <c r="ITA521" s="1358"/>
      <c r="ITB521" s="1358"/>
      <c r="ITC521" s="1358"/>
      <c r="ITD521" s="1358"/>
      <c r="ITE521" s="1358"/>
      <c r="ITF521" s="1358"/>
      <c r="ITG521" s="1358"/>
      <c r="ITH521" s="1358"/>
      <c r="ITI521" s="1358"/>
      <c r="ITJ521" s="1358"/>
      <c r="ITK521" s="1358"/>
      <c r="ITL521" s="1358"/>
      <c r="ITM521" s="1358"/>
      <c r="ITN521" s="1358"/>
      <c r="ITO521" s="1358"/>
      <c r="ITP521" s="1358"/>
      <c r="ITQ521" s="1358"/>
      <c r="ITR521" s="1358"/>
      <c r="ITS521" s="1358"/>
      <c r="ITT521" s="1358"/>
      <c r="ITU521" s="1358"/>
      <c r="ITV521" s="1358"/>
      <c r="ITW521" s="1358"/>
      <c r="ITX521" s="1358"/>
      <c r="ITY521" s="1358"/>
      <c r="ITZ521" s="1358"/>
      <c r="IUA521" s="1358"/>
      <c r="IUB521" s="1358"/>
      <c r="IUC521" s="1358"/>
      <c r="IUD521" s="1358"/>
      <c r="IUE521" s="1358"/>
      <c r="IUF521" s="1358"/>
      <c r="IUG521" s="1358"/>
      <c r="IUH521" s="1358"/>
      <c r="IUI521" s="1358"/>
      <c r="IUJ521" s="1358"/>
      <c r="IUK521" s="1358"/>
      <c r="IUL521" s="1358"/>
      <c r="IUM521" s="1358"/>
      <c r="IUN521" s="1358"/>
      <c r="IUO521" s="1358"/>
      <c r="IUP521" s="1358"/>
      <c r="IUQ521" s="1358"/>
      <c r="IUR521" s="1358"/>
      <c r="IUS521" s="1358"/>
      <c r="IUT521" s="1358"/>
      <c r="IUU521" s="1358"/>
      <c r="IUV521" s="1358"/>
      <c r="IUW521" s="1358"/>
      <c r="IUX521" s="1358"/>
      <c r="IUY521" s="1358"/>
      <c r="IUZ521" s="1358"/>
      <c r="IVA521" s="1358"/>
      <c r="IVB521" s="1358"/>
      <c r="IVC521" s="1358"/>
      <c r="IVD521" s="1358"/>
      <c r="IVE521" s="1358"/>
      <c r="IVF521" s="1358"/>
      <c r="IVG521" s="1358"/>
      <c r="IVH521" s="1358"/>
      <c r="IVI521" s="1358"/>
      <c r="IVJ521" s="1358"/>
      <c r="IVK521" s="1358"/>
      <c r="IVL521" s="1358"/>
      <c r="IVM521" s="1358"/>
      <c r="IVN521" s="1358"/>
      <c r="IVO521" s="1358"/>
      <c r="IVP521" s="1358"/>
      <c r="IVQ521" s="1358"/>
      <c r="IVR521" s="1358"/>
      <c r="IVS521" s="1358"/>
      <c r="IVT521" s="1358"/>
      <c r="IVU521" s="1358"/>
      <c r="IVV521" s="1358"/>
      <c r="IVW521" s="1358"/>
      <c r="IVX521" s="1358"/>
      <c r="IVY521" s="1358"/>
      <c r="IVZ521" s="1358"/>
      <c r="IWA521" s="1358"/>
      <c r="IWB521" s="1358"/>
      <c r="IWC521" s="1358"/>
      <c r="IWD521" s="1358"/>
      <c r="IWE521" s="1358"/>
      <c r="IWF521" s="1358"/>
      <c r="IWG521" s="1358"/>
      <c r="IWH521" s="1358"/>
      <c r="IWI521" s="1358"/>
      <c r="IWJ521" s="1358"/>
      <c r="IWK521" s="1358"/>
      <c r="IWL521" s="1358"/>
      <c r="IWM521" s="1358"/>
      <c r="IWN521" s="1358"/>
      <c r="IWO521" s="1358"/>
      <c r="IWP521" s="1358"/>
      <c r="IWQ521" s="1358"/>
      <c r="IWR521" s="1358"/>
      <c r="IWS521" s="1358"/>
      <c r="IWT521" s="1358"/>
      <c r="IWU521" s="1358"/>
      <c r="IWV521" s="1358"/>
      <c r="IWW521" s="1358"/>
      <c r="IWX521" s="1358"/>
      <c r="IWY521" s="1358"/>
      <c r="IWZ521" s="1358"/>
      <c r="IXA521" s="1358"/>
      <c r="IXB521" s="1358"/>
      <c r="IXC521" s="1358"/>
      <c r="IXD521" s="1358"/>
      <c r="IXE521" s="1358"/>
      <c r="IXF521" s="1358"/>
      <c r="IXG521" s="1358"/>
      <c r="IXH521" s="1358"/>
      <c r="IXI521" s="1358"/>
      <c r="IXJ521" s="1358"/>
      <c r="IXK521" s="1358"/>
      <c r="IXL521" s="1358"/>
      <c r="IXM521" s="1358"/>
      <c r="IXN521" s="1358"/>
      <c r="IXO521" s="1358"/>
      <c r="IXP521" s="1358"/>
      <c r="IXQ521" s="1358"/>
      <c r="IXR521" s="1358"/>
      <c r="IXS521" s="1358"/>
      <c r="IXT521" s="1358"/>
      <c r="IXU521" s="1358"/>
      <c r="IXV521" s="1358"/>
      <c r="IXW521" s="1358"/>
      <c r="IXX521" s="1358"/>
      <c r="IXY521" s="1358"/>
      <c r="IXZ521" s="1358"/>
      <c r="IYA521" s="1358"/>
      <c r="IYB521" s="1358"/>
      <c r="IYC521" s="1358"/>
      <c r="IYD521" s="1358"/>
      <c r="IYE521" s="1358"/>
      <c r="IYF521" s="1358"/>
      <c r="IYG521" s="1358"/>
      <c r="IYH521" s="1358"/>
      <c r="IYI521" s="1358"/>
      <c r="IYJ521" s="1358"/>
      <c r="IYK521" s="1358"/>
      <c r="IYL521" s="1358"/>
      <c r="IYM521" s="1358"/>
      <c r="IYN521" s="1358"/>
      <c r="IYO521" s="1358"/>
      <c r="IYP521" s="1358"/>
      <c r="IYQ521" s="1358"/>
      <c r="IYR521" s="1358"/>
      <c r="IYS521" s="1358"/>
      <c r="IYT521" s="1358"/>
      <c r="IYU521" s="1358"/>
      <c r="IYV521" s="1358"/>
      <c r="IYW521" s="1358"/>
      <c r="IYX521" s="1358"/>
      <c r="IYY521" s="1358"/>
      <c r="IYZ521" s="1358"/>
      <c r="IZA521" s="1358"/>
      <c r="IZB521" s="1358"/>
      <c r="IZC521" s="1358"/>
      <c r="IZD521" s="1358"/>
      <c r="IZE521" s="1358"/>
      <c r="IZF521" s="1358"/>
      <c r="IZG521" s="1358"/>
      <c r="IZH521" s="1358"/>
      <c r="IZI521" s="1358"/>
      <c r="IZJ521" s="1358"/>
      <c r="IZK521" s="1358"/>
      <c r="IZL521" s="1358"/>
      <c r="IZM521" s="1358"/>
      <c r="IZN521" s="1358"/>
      <c r="IZO521" s="1358"/>
      <c r="IZP521" s="1358"/>
      <c r="IZQ521" s="1358"/>
      <c r="IZR521" s="1358"/>
      <c r="IZS521" s="1358"/>
      <c r="IZT521" s="1358"/>
      <c r="IZU521" s="1358"/>
      <c r="IZV521" s="1358"/>
      <c r="IZW521" s="1358"/>
      <c r="IZX521" s="1358"/>
      <c r="IZY521" s="1358"/>
      <c r="IZZ521" s="1358"/>
      <c r="JAA521" s="1358"/>
      <c r="JAB521" s="1358"/>
      <c r="JAC521" s="1358"/>
      <c r="JAD521" s="1358"/>
      <c r="JAE521" s="1358"/>
      <c r="JAF521" s="1358"/>
      <c r="JAG521" s="1358"/>
      <c r="JAH521" s="1358"/>
      <c r="JAI521" s="1358"/>
      <c r="JAJ521" s="1358"/>
      <c r="JAK521" s="1358"/>
      <c r="JAL521" s="1358"/>
      <c r="JAM521" s="1358"/>
      <c r="JAN521" s="1358"/>
      <c r="JAO521" s="1358"/>
      <c r="JAP521" s="1358"/>
      <c r="JAQ521" s="1358"/>
      <c r="JAR521" s="1358"/>
      <c r="JAS521" s="1358"/>
      <c r="JAT521" s="1358"/>
      <c r="JAU521" s="1358"/>
      <c r="JAV521" s="1358"/>
      <c r="JAW521" s="1358"/>
      <c r="JAX521" s="1358"/>
      <c r="JAY521" s="1358"/>
      <c r="JAZ521" s="1358"/>
      <c r="JBA521" s="1358"/>
      <c r="JBB521" s="1358"/>
      <c r="JBC521" s="1358"/>
      <c r="JBD521" s="1358"/>
      <c r="JBE521" s="1358"/>
      <c r="JBF521" s="1358"/>
      <c r="JBG521" s="1358"/>
      <c r="JBH521" s="1358"/>
      <c r="JBI521" s="1358"/>
      <c r="JBJ521" s="1358"/>
      <c r="JBK521" s="1358"/>
      <c r="JBL521" s="1358"/>
      <c r="JBM521" s="1358"/>
      <c r="JBN521" s="1358"/>
      <c r="JBO521" s="1358"/>
      <c r="JBP521" s="1358"/>
      <c r="JBQ521" s="1358"/>
      <c r="JBR521" s="1358"/>
      <c r="JBS521" s="1358"/>
      <c r="JBT521" s="1358"/>
      <c r="JBU521" s="1358"/>
      <c r="JBV521" s="1358"/>
      <c r="JBW521" s="1358"/>
      <c r="JBX521" s="1358"/>
      <c r="JBY521" s="1358"/>
      <c r="JBZ521" s="1358"/>
      <c r="JCA521" s="1358"/>
      <c r="JCB521" s="1358"/>
      <c r="JCC521" s="1358"/>
      <c r="JCD521" s="1358"/>
      <c r="JCE521" s="1358"/>
      <c r="JCF521" s="1358"/>
      <c r="JCG521" s="1358"/>
      <c r="JCH521" s="1358"/>
      <c r="JCI521" s="1358"/>
      <c r="JCJ521" s="1358"/>
      <c r="JCK521" s="1358"/>
      <c r="JCL521" s="1358"/>
      <c r="JCM521" s="1358"/>
      <c r="JCN521" s="1358"/>
      <c r="JCO521" s="1358"/>
      <c r="JCP521" s="1358"/>
      <c r="JCQ521" s="1358"/>
      <c r="JCR521" s="1358"/>
      <c r="JCS521" s="1358"/>
      <c r="JCT521" s="1358"/>
      <c r="JCU521" s="1358"/>
      <c r="JCV521" s="1358"/>
      <c r="JCW521" s="1358"/>
      <c r="JCX521" s="1358"/>
      <c r="JCY521" s="1358"/>
      <c r="JCZ521" s="1358"/>
      <c r="JDA521" s="1358"/>
      <c r="JDB521" s="1358"/>
      <c r="JDC521" s="1358"/>
      <c r="JDD521" s="1358"/>
      <c r="JDE521" s="1358"/>
      <c r="JDF521" s="1358"/>
      <c r="JDG521" s="1358"/>
      <c r="JDH521" s="1358"/>
      <c r="JDI521" s="1358"/>
      <c r="JDJ521" s="1358"/>
      <c r="JDK521" s="1358"/>
      <c r="JDL521" s="1358"/>
      <c r="JDM521" s="1358"/>
      <c r="JDN521" s="1358"/>
      <c r="JDO521" s="1358"/>
      <c r="JDP521" s="1358"/>
      <c r="JDQ521" s="1358"/>
      <c r="JDR521" s="1358"/>
      <c r="JDS521" s="1358"/>
      <c r="JDT521" s="1358"/>
      <c r="JDU521" s="1358"/>
      <c r="JDV521" s="1358"/>
      <c r="JDW521" s="1358"/>
      <c r="JDX521" s="1358"/>
      <c r="JDY521" s="1358"/>
      <c r="JDZ521" s="1358"/>
      <c r="JEA521" s="1358"/>
      <c r="JEB521" s="1358"/>
      <c r="JEC521" s="1358"/>
      <c r="JED521" s="1358"/>
      <c r="JEE521" s="1358"/>
      <c r="JEF521" s="1358"/>
      <c r="JEG521" s="1358"/>
      <c r="JEH521" s="1358"/>
      <c r="JEI521" s="1358"/>
      <c r="JEJ521" s="1358"/>
      <c r="JEK521" s="1358"/>
      <c r="JEL521" s="1358"/>
      <c r="JEM521" s="1358"/>
      <c r="JEN521" s="1358"/>
      <c r="JEO521" s="1358"/>
      <c r="JEP521" s="1358"/>
      <c r="JEQ521" s="1358"/>
      <c r="JER521" s="1358"/>
      <c r="JES521" s="1358"/>
      <c r="JET521" s="1358"/>
      <c r="JEU521" s="1358"/>
      <c r="JEV521" s="1358"/>
      <c r="JEW521" s="1358"/>
      <c r="JEX521" s="1358"/>
      <c r="JEY521" s="1358"/>
      <c r="JEZ521" s="1358"/>
      <c r="JFA521" s="1358"/>
      <c r="JFB521" s="1358"/>
      <c r="JFC521" s="1358"/>
      <c r="JFD521" s="1358"/>
      <c r="JFE521" s="1358"/>
      <c r="JFF521" s="1358"/>
      <c r="JFG521" s="1358"/>
      <c r="JFH521" s="1358"/>
      <c r="JFI521" s="1358"/>
      <c r="JFJ521" s="1358"/>
      <c r="JFK521" s="1358"/>
      <c r="JFL521" s="1358"/>
      <c r="JFM521" s="1358"/>
      <c r="JFN521" s="1358"/>
      <c r="JFO521" s="1358"/>
      <c r="JFP521" s="1358"/>
      <c r="JFQ521" s="1358"/>
      <c r="JFR521" s="1358"/>
      <c r="JFS521" s="1358"/>
      <c r="JFT521" s="1358"/>
      <c r="JFU521" s="1358"/>
      <c r="JFV521" s="1358"/>
      <c r="JFW521" s="1358"/>
      <c r="JFX521" s="1358"/>
      <c r="JFY521" s="1358"/>
      <c r="JFZ521" s="1358"/>
      <c r="JGA521" s="1358"/>
      <c r="JGB521" s="1358"/>
      <c r="JGC521" s="1358"/>
      <c r="JGD521" s="1358"/>
      <c r="JGE521" s="1358"/>
      <c r="JGF521" s="1358"/>
      <c r="JGG521" s="1358"/>
      <c r="JGH521" s="1358"/>
      <c r="JGI521" s="1358"/>
      <c r="JGJ521" s="1358"/>
      <c r="JGK521" s="1358"/>
      <c r="JGL521" s="1358"/>
      <c r="JGM521" s="1358"/>
      <c r="JGN521" s="1358"/>
      <c r="JGO521" s="1358"/>
      <c r="JGP521" s="1358"/>
      <c r="JGQ521" s="1358"/>
      <c r="JGR521" s="1358"/>
      <c r="JGS521" s="1358"/>
      <c r="JGT521" s="1358"/>
      <c r="JGU521" s="1358"/>
      <c r="JGV521" s="1358"/>
      <c r="JGW521" s="1358"/>
      <c r="JGX521" s="1358"/>
      <c r="JGY521" s="1358"/>
      <c r="JGZ521" s="1358"/>
      <c r="JHA521" s="1358"/>
      <c r="JHB521" s="1358"/>
      <c r="JHC521" s="1358"/>
      <c r="JHD521" s="1358"/>
      <c r="JHE521" s="1358"/>
      <c r="JHF521" s="1358"/>
      <c r="JHG521" s="1358"/>
      <c r="JHH521" s="1358"/>
      <c r="JHI521" s="1358"/>
      <c r="JHJ521" s="1358"/>
      <c r="JHK521" s="1358"/>
      <c r="JHL521" s="1358"/>
      <c r="JHM521" s="1358"/>
      <c r="JHN521" s="1358"/>
      <c r="JHO521" s="1358"/>
      <c r="JHP521" s="1358"/>
      <c r="JHQ521" s="1358"/>
      <c r="JHR521" s="1358"/>
      <c r="JHS521" s="1358"/>
      <c r="JHT521" s="1358"/>
      <c r="JHU521" s="1358"/>
      <c r="JHV521" s="1358"/>
      <c r="JHW521" s="1358"/>
      <c r="JHX521" s="1358"/>
      <c r="JHY521" s="1358"/>
      <c r="JHZ521" s="1358"/>
      <c r="JIA521" s="1358"/>
      <c r="JIB521" s="1358"/>
      <c r="JIC521" s="1358"/>
      <c r="JID521" s="1358"/>
      <c r="JIE521" s="1358"/>
      <c r="JIF521" s="1358"/>
      <c r="JIG521" s="1358"/>
      <c r="JIH521" s="1358"/>
      <c r="JII521" s="1358"/>
      <c r="JIJ521" s="1358"/>
      <c r="JIK521" s="1358"/>
      <c r="JIL521" s="1358"/>
      <c r="JIM521" s="1358"/>
      <c r="JIN521" s="1358"/>
      <c r="JIO521" s="1358"/>
      <c r="JIP521" s="1358"/>
      <c r="JIQ521" s="1358"/>
      <c r="JIR521" s="1358"/>
      <c r="JIS521" s="1358"/>
      <c r="JIT521" s="1358"/>
      <c r="JIU521" s="1358"/>
      <c r="JIV521" s="1358"/>
      <c r="JIW521" s="1358"/>
      <c r="JIX521" s="1358"/>
      <c r="JIY521" s="1358"/>
      <c r="JIZ521" s="1358"/>
      <c r="JJA521" s="1358"/>
      <c r="JJB521" s="1358"/>
      <c r="JJC521" s="1358"/>
      <c r="JJD521" s="1358"/>
      <c r="JJE521" s="1358"/>
      <c r="JJF521" s="1358"/>
      <c r="JJG521" s="1358"/>
      <c r="JJH521" s="1358"/>
      <c r="JJI521" s="1358"/>
      <c r="JJJ521" s="1358"/>
      <c r="JJK521" s="1358"/>
      <c r="JJL521" s="1358"/>
      <c r="JJM521" s="1358"/>
      <c r="JJN521" s="1358"/>
      <c r="JJO521" s="1358"/>
      <c r="JJP521" s="1358"/>
      <c r="JJQ521" s="1358"/>
      <c r="JJR521" s="1358"/>
      <c r="JJS521" s="1358"/>
      <c r="JJT521" s="1358"/>
      <c r="JJU521" s="1358"/>
      <c r="JJV521" s="1358"/>
      <c r="JJW521" s="1358"/>
      <c r="JJX521" s="1358"/>
      <c r="JJY521" s="1358"/>
      <c r="JJZ521" s="1358"/>
      <c r="JKA521" s="1358"/>
      <c r="JKB521" s="1358"/>
      <c r="JKC521" s="1358"/>
      <c r="JKD521" s="1358"/>
      <c r="JKE521" s="1358"/>
      <c r="JKF521" s="1358"/>
      <c r="JKG521" s="1358"/>
      <c r="JKH521" s="1358"/>
      <c r="JKI521" s="1358"/>
      <c r="JKJ521" s="1358"/>
      <c r="JKK521" s="1358"/>
      <c r="JKL521" s="1358"/>
      <c r="JKM521" s="1358"/>
      <c r="JKN521" s="1358"/>
      <c r="JKO521" s="1358"/>
      <c r="JKP521" s="1358"/>
      <c r="JKQ521" s="1358"/>
      <c r="JKR521" s="1358"/>
      <c r="JKS521" s="1358"/>
      <c r="JKT521" s="1358"/>
      <c r="JKU521" s="1358"/>
      <c r="JKV521" s="1358"/>
      <c r="JKW521" s="1358"/>
      <c r="JKX521" s="1358"/>
      <c r="JKY521" s="1358"/>
      <c r="JKZ521" s="1358"/>
      <c r="JLA521" s="1358"/>
      <c r="JLB521" s="1358"/>
      <c r="JLC521" s="1358"/>
      <c r="JLD521" s="1358"/>
      <c r="JLE521" s="1358"/>
      <c r="JLF521" s="1358"/>
      <c r="JLG521" s="1358"/>
      <c r="JLH521" s="1358"/>
      <c r="JLI521" s="1358"/>
      <c r="JLJ521" s="1358"/>
      <c r="JLK521" s="1358"/>
      <c r="JLL521" s="1358"/>
      <c r="JLM521" s="1358"/>
      <c r="JLN521" s="1358"/>
      <c r="JLO521" s="1358"/>
      <c r="JLP521" s="1358"/>
      <c r="JLQ521" s="1358"/>
      <c r="JLR521" s="1358"/>
      <c r="JLS521" s="1358"/>
      <c r="JLT521" s="1358"/>
      <c r="JLU521" s="1358"/>
      <c r="JLV521" s="1358"/>
      <c r="JLW521" s="1358"/>
      <c r="JLX521" s="1358"/>
      <c r="JLY521" s="1358"/>
      <c r="JLZ521" s="1358"/>
      <c r="JMA521" s="1358"/>
      <c r="JMB521" s="1358"/>
      <c r="JMC521" s="1358"/>
      <c r="JMD521" s="1358"/>
      <c r="JME521" s="1358"/>
      <c r="JMF521" s="1358"/>
      <c r="JMG521" s="1358"/>
      <c r="JMH521" s="1358"/>
      <c r="JMI521" s="1358"/>
      <c r="JMJ521" s="1358"/>
      <c r="JMK521" s="1358"/>
      <c r="JML521" s="1358"/>
      <c r="JMM521" s="1358"/>
      <c r="JMN521" s="1358"/>
      <c r="JMO521" s="1358"/>
      <c r="JMP521" s="1358"/>
      <c r="JMQ521" s="1358"/>
      <c r="JMR521" s="1358"/>
      <c r="JMS521" s="1358"/>
      <c r="JMT521" s="1358"/>
      <c r="JMU521" s="1358"/>
      <c r="JMV521" s="1358"/>
      <c r="JMW521" s="1358"/>
      <c r="JMX521" s="1358"/>
      <c r="JMY521" s="1358"/>
      <c r="JMZ521" s="1358"/>
      <c r="JNA521" s="1358"/>
      <c r="JNB521" s="1358"/>
      <c r="JNC521" s="1358"/>
      <c r="JND521" s="1358"/>
      <c r="JNE521" s="1358"/>
      <c r="JNF521" s="1358"/>
      <c r="JNG521" s="1358"/>
      <c r="JNH521" s="1358"/>
      <c r="JNI521" s="1358"/>
      <c r="JNJ521" s="1358"/>
      <c r="JNK521" s="1358"/>
      <c r="JNL521" s="1358"/>
      <c r="JNM521" s="1358"/>
      <c r="JNN521" s="1358"/>
      <c r="JNO521" s="1358"/>
      <c r="JNP521" s="1358"/>
      <c r="JNQ521" s="1358"/>
      <c r="JNR521" s="1358"/>
      <c r="JNS521" s="1358"/>
      <c r="JNT521" s="1358"/>
      <c r="JNU521" s="1358"/>
      <c r="JNV521" s="1358"/>
      <c r="JNW521" s="1358"/>
      <c r="JNX521" s="1358"/>
      <c r="JNY521" s="1358"/>
      <c r="JNZ521" s="1358"/>
      <c r="JOA521" s="1358"/>
      <c r="JOB521" s="1358"/>
      <c r="JOC521" s="1358"/>
      <c r="JOD521" s="1358"/>
      <c r="JOE521" s="1358"/>
      <c r="JOF521" s="1358"/>
      <c r="JOG521" s="1358"/>
      <c r="JOH521" s="1358"/>
      <c r="JOI521" s="1358"/>
      <c r="JOJ521" s="1358"/>
      <c r="JOK521" s="1358"/>
      <c r="JOL521" s="1358"/>
      <c r="JOM521" s="1358"/>
      <c r="JON521" s="1358"/>
      <c r="JOO521" s="1358"/>
      <c r="JOP521" s="1358"/>
      <c r="JOQ521" s="1358"/>
      <c r="JOR521" s="1358"/>
      <c r="JOS521" s="1358"/>
      <c r="JOT521" s="1358"/>
      <c r="JOU521" s="1358"/>
      <c r="JOV521" s="1358"/>
      <c r="JOW521" s="1358"/>
      <c r="JOX521" s="1358"/>
      <c r="JOY521" s="1358"/>
      <c r="JOZ521" s="1358"/>
      <c r="JPA521" s="1358"/>
      <c r="JPB521" s="1358"/>
      <c r="JPC521" s="1358"/>
      <c r="JPD521" s="1358"/>
      <c r="JPE521" s="1358"/>
      <c r="JPF521" s="1358"/>
      <c r="JPG521" s="1358"/>
      <c r="JPH521" s="1358"/>
      <c r="JPI521" s="1358"/>
      <c r="JPJ521" s="1358"/>
      <c r="JPK521" s="1358"/>
      <c r="JPL521" s="1358"/>
      <c r="JPM521" s="1358"/>
      <c r="JPN521" s="1358"/>
      <c r="JPO521" s="1358"/>
      <c r="JPP521" s="1358"/>
      <c r="JPQ521" s="1358"/>
      <c r="JPR521" s="1358"/>
      <c r="JPS521" s="1358"/>
      <c r="JPT521" s="1358"/>
      <c r="JPU521" s="1358"/>
      <c r="JPV521" s="1358"/>
      <c r="JPW521" s="1358"/>
      <c r="JPX521" s="1358"/>
      <c r="JPY521" s="1358"/>
      <c r="JPZ521" s="1358"/>
      <c r="JQA521" s="1358"/>
      <c r="JQB521" s="1358"/>
      <c r="JQC521" s="1358"/>
      <c r="JQD521" s="1358"/>
      <c r="JQE521" s="1358"/>
      <c r="JQF521" s="1358"/>
      <c r="JQG521" s="1358"/>
      <c r="JQH521" s="1358"/>
      <c r="JQI521" s="1358"/>
      <c r="JQJ521" s="1358"/>
      <c r="JQK521" s="1358"/>
      <c r="JQL521" s="1358"/>
      <c r="JQM521" s="1358"/>
      <c r="JQN521" s="1358"/>
      <c r="JQO521" s="1358"/>
      <c r="JQP521" s="1358"/>
      <c r="JQQ521" s="1358"/>
      <c r="JQR521" s="1358"/>
      <c r="JQS521" s="1358"/>
      <c r="JQT521" s="1358"/>
      <c r="JQU521" s="1358"/>
      <c r="JQV521" s="1358"/>
      <c r="JQW521" s="1358"/>
      <c r="JQX521" s="1358"/>
      <c r="JQY521" s="1358"/>
      <c r="JQZ521" s="1358"/>
      <c r="JRA521" s="1358"/>
      <c r="JRB521" s="1358"/>
      <c r="JRC521" s="1358"/>
      <c r="JRD521" s="1358"/>
      <c r="JRE521" s="1358"/>
      <c r="JRF521" s="1358"/>
      <c r="JRG521" s="1358"/>
      <c r="JRH521" s="1358"/>
      <c r="JRI521" s="1358"/>
      <c r="JRJ521" s="1358"/>
      <c r="JRK521" s="1358"/>
      <c r="JRL521" s="1358"/>
      <c r="JRM521" s="1358"/>
      <c r="JRN521" s="1358"/>
      <c r="JRO521" s="1358"/>
      <c r="JRP521" s="1358"/>
      <c r="JRQ521" s="1358"/>
      <c r="JRR521" s="1358"/>
      <c r="JRS521" s="1358"/>
      <c r="JRT521" s="1358"/>
      <c r="JRU521" s="1358"/>
      <c r="JRV521" s="1358"/>
      <c r="JRW521" s="1358"/>
      <c r="JRX521" s="1358"/>
      <c r="JRY521" s="1358"/>
      <c r="JRZ521" s="1358"/>
      <c r="JSA521" s="1358"/>
      <c r="JSB521" s="1358"/>
      <c r="JSC521" s="1358"/>
      <c r="JSD521" s="1358"/>
      <c r="JSE521" s="1358"/>
      <c r="JSF521" s="1358"/>
      <c r="JSG521" s="1358"/>
      <c r="JSH521" s="1358"/>
      <c r="JSI521" s="1358"/>
      <c r="JSJ521" s="1358"/>
      <c r="JSK521" s="1358"/>
      <c r="JSL521" s="1358"/>
      <c r="JSM521" s="1358"/>
      <c r="JSN521" s="1358"/>
      <c r="JSO521" s="1358"/>
      <c r="JSP521" s="1358"/>
      <c r="JSQ521" s="1358"/>
      <c r="JSR521" s="1358"/>
      <c r="JSS521" s="1358"/>
      <c r="JST521" s="1358"/>
      <c r="JSU521" s="1358"/>
      <c r="JSV521" s="1358"/>
      <c r="JSW521" s="1358"/>
      <c r="JSX521" s="1358"/>
      <c r="JSY521" s="1358"/>
      <c r="JSZ521" s="1358"/>
      <c r="JTA521" s="1358"/>
      <c r="JTB521" s="1358"/>
      <c r="JTC521" s="1358"/>
      <c r="JTD521" s="1358"/>
      <c r="JTE521" s="1358"/>
      <c r="JTF521" s="1358"/>
      <c r="JTG521" s="1358"/>
      <c r="JTH521" s="1358"/>
      <c r="JTI521" s="1358"/>
      <c r="JTJ521" s="1358"/>
      <c r="JTK521" s="1358"/>
      <c r="JTL521" s="1358"/>
      <c r="JTM521" s="1358"/>
      <c r="JTN521" s="1358"/>
      <c r="JTO521" s="1358"/>
      <c r="JTP521" s="1358"/>
      <c r="JTQ521" s="1358"/>
      <c r="JTR521" s="1358"/>
      <c r="JTS521" s="1358"/>
      <c r="JTT521" s="1358"/>
      <c r="JTU521" s="1358"/>
      <c r="JTV521" s="1358"/>
      <c r="JTW521" s="1358"/>
      <c r="JTX521" s="1358"/>
      <c r="JTY521" s="1358"/>
      <c r="JTZ521" s="1358"/>
      <c r="JUA521" s="1358"/>
      <c r="JUB521" s="1358"/>
      <c r="JUC521" s="1358"/>
      <c r="JUD521" s="1358"/>
      <c r="JUE521" s="1358"/>
      <c r="JUF521" s="1358"/>
      <c r="JUG521" s="1358"/>
      <c r="JUH521" s="1358"/>
      <c r="JUI521" s="1358"/>
      <c r="JUJ521" s="1358"/>
      <c r="JUK521" s="1358"/>
      <c r="JUL521" s="1358"/>
      <c r="JUM521" s="1358"/>
      <c r="JUN521" s="1358"/>
      <c r="JUO521" s="1358"/>
      <c r="JUP521" s="1358"/>
      <c r="JUQ521" s="1358"/>
      <c r="JUR521" s="1358"/>
      <c r="JUS521" s="1358"/>
      <c r="JUT521" s="1358"/>
      <c r="JUU521" s="1358"/>
      <c r="JUV521" s="1358"/>
      <c r="JUW521" s="1358"/>
      <c r="JUX521" s="1358"/>
      <c r="JUY521" s="1358"/>
      <c r="JUZ521" s="1358"/>
      <c r="JVA521" s="1358"/>
      <c r="JVB521" s="1358"/>
      <c r="JVC521" s="1358"/>
      <c r="JVD521" s="1358"/>
      <c r="JVE521" s="1358"/>
      <c r="JVF521" s="1358"/>
      <c r="JVG521" s="1358"/>
      <c r="JVH521" s="1358"/>
      <c r="JVI521" s="1358"/>
      <c r="JVJ521" s="1358"/>
      <c r="JVK521" s="1358"/>
      <c r="JVL521" s="1358"/>
      <c r="JVM521" s="1358"/>
      <c r="JVN521" s="1358"/>
      <c r="JVO521" s="1358"/>
      <c r="JVP521" s="1358"/>
      <c r="JVQ521" s="1358"/>
      <c r="JVR521" s="1358"/>
      <c r="JVS521" s="1358"/>
      <c r="JVT521" s="1358"/>
      <c r="JVU521" s="1358"/>
      <c r="JVV521" s="1358"/>
      <c r="JVW521" s="1358"/>
      <c r="JVX521" s="1358"/>
      <c r="JVY521" s="1358"/>
      <c r="JVZ521" s="1358"/>
      <c r="JWA521" s="1358"/>
      <c r="JWB521" s="1358"/>
      <c r="JWC521" s="1358"/>
      <c r="JWD521" s="1358"/>
      <c r="JWE521" s="1358"/>
      <c r="JWF521" s="1358"/>
      <c r="JWG521" s="1358"/>
      <c r="JWH521" s="1358"/>
      <c r="JWI521" s="1358"/>
      <c r="JWJ521" s="1358"/>
      <c r="JWK521" s="1358"/>
      <c r="JWL521" s="1358"/>
      <c r="JWM521" s="1358"/>
      <c r="JWN521" s="1358"/>
      <c r="JWO521" s="1358"/>
      <c r="JWP521" s="1358"/>
      <c r="JWQ521" s="1358"/>
      <c r="JWR521" s="1358"/>
      <c r="JWS521" s="1358"/>
      <c r="JWT521" s="1358"/>
      <c r="JWU521" s="1358"/>
      <c r="JWV521" s="1358"/>
      <c r="JWW521" s="1358"/>
      <c r="JWX521" s="1358"/>
      <c r="JWY521" s="1358"/>
      <c r="JWZ521" s="1358"/>
      <c r="JXA521" s="1358"/>
      <c r="JXB521" s="1358"/>
      <c r="JXC521" s="1358"/>
      <c r="JXD521" s="1358"/>
      <c r="JXE521" s="1358"/>
      <c r="JXF521" s="1358"/>
      <c r="JXG521" s="1358"/>
      <c r="JXH521" s="1358"/>
      <c r="JXI521" s="1358"/>
      <c r="JXJ521" s="1358"/>
      <c r="JXK521" s="1358"/>
      <c r="JXL521" s="1358"/>
      <c r="JXM521" s="1358"/>
      <c r="JXN521" s="1358"/>
      <c r="JXO521" s="1358"/>
      <c r="JXP521" s="1358"/>
      <c r="JXQ521" s="1358"/>
      <c r="JXR521" s="1358"/>
      <c r="JXS521" s="1358"/>
      <c r="JXT521" s="1358"/>
      <c r="JXU521" s="1358"/>
      <c r="JXV521" s="1358"/>
      <c r="JXW521" s="1358"/>
      <c r="JXX521" s="1358"/>
      <c r="JXY521" s="1358"/>
      <c r="JXZ521" s="1358"/>
      <c r="JYA521" s="1358"/>
      <c r="JYB521" s="1358"/>
      <c r="JYC521" s="1358"/>
      <c r="JYD521" s="1358"/>
      <c r="JYE521" s="1358"/>
      <c r="JYF521" s="1358"/>
      <c r="JYG521" s="1358"/>
      <c r="JYH521" s="1358"/>
      <c r="JYI521" s="1358"/>
      <c r="JYJ521" s="1358"/>
      <c r="JYK521" s="1358"/>
      <c r="JYL521" s="1358"/>
      <c r="JYM521" s="1358"/>
      <c r="JYN521" s="1358"/>
      <c r="JYO521" s="1358"/>
      <c r="JYP521" s="1358"/>
      <c r="JYQ521" s="1358"/>
      <c r="JYR521" s="1358"/>
      <c r="JYS521" s="1358"/>
      <c r="JYT521" s="1358"/>
      <c r="JYU521" s="1358"/>
      <c r="JYV521" s="1358"/>
      <c r="JYW521" s="1358"/>
      <c r="JYX521" s="1358"/>
      <c r="JYY521" s="1358"/>
      <c r="JYZ521" s="1358"/>
      <c r="JZA521" s="1358"/>
      <c r="JZB521" s="1358"/>
      <c r="JZC521" s="1358"/>
      <c r="JZD521" s="1358"/>
      <c r="JZE521" s="1358"/>
      <c r="JZF521" s="1358"/>
      <c r="JZG521" s="1358"/>
      <c r="JZH521" s="1358"/>
      <c r="JZI521" s="1358"/>
      <c r="JZJ521" s="1358"/>
      <c r="JZK521" s="1358"/>
      <c r="JZL521" s="1358"/>
      <c r="JZM521" s="1358"/>
      <c r="JZN521" s="1358"/>
      <c r="JZO521" s="1358"/>
      <c r="JZP521" s="1358"/>
      <c r="JZQ521" s="1358"/>
      <c r="JZR521" s="1358"/>
      <c r="JZS521" s="1358"/>
      <c r="JZT521" s="1358"/>
      <c r="JZU521" s="1358"/>
      <c r="JZV521" s="1358"/>
      <c r="JZW521" s="1358"/>
      <c r="JZX521" s="1358"/>
      <c r="JZY521" s="1358"/>
      <c r="JZZ521" s="1358"/>
      <c r="KAA521" s="1358"/>
      <c r="KAB521" s="1358"/>
      <c r="KAC521" s="1358"/>
      <c r="KAD521" s="1358"/>
      <c r="KAE521" s="1358"/>
      <c r="KAF521" s="1358"/>
      <c r="KAG521" s="1358"/>
      <c r="KAH521" s="1358"/>
      <c r="KAI521" s="1358"/>
      <c r="KAJ521" s="1358"/>
      <c r="KAK521" s="1358"/>
      <c r="KAL521" s="1358"/>
      <c r="KAM521" s="1358"/>
      <c r="KAN521" s="1358"/>
      <c r="KAO521" s="1358"/>
      <c r="KAP521" s="1358"/>
      <c r="KAQ521" s="1358"/>
      <c r="KAR521" s="1358"/>
      <c r="KAS521" s="1358"/>
      <c r="KAT521" s="1358"/>
      <c r="KAU521" s="1358"/>
      <c r="KAV521" s="1358"/>
      <c r="KAW521" s="1358"/>
      <c r="KAX521" s="1358"/>
      <c r="KAY521" s="1358"/>
      <c r="KAZ521" s="1358"/>
      <c r="KBA521" s="1358"/>
      <c r="KBB521" s="1358"/>
      <c r="KBC521" s="1358"/>
      <c r="KBD521" s="1358"/>
      <c r="KBE521" s="1358"/>
      <c r="KBF521" s="1358"/>
      <c r="KBG521" s="1358"/>
      <c r="KBH521" s="1358"/>
      <c r="KBI521" s="1358"/>
      <c r="KBJ521" s="1358"/>
      <c r="KBK521" s="1358"/>
      <c r="KBL521" s="1358"/>
      <c r="KBM521" s="1358"/>
      <c r="KBN521" s="1358"/>
      <c r="KBO521" s="1358"/>
      <c r="KBP521" s="1358"/>
      <c r="KBQ521" s="1358"/>
      <c r="KBR521" s="1358"/>
      <c r="KBS521" s="1358"/>
      <c r="KBT521" s="1358"/>
      <c r="KBU521" s="1358"/>
      <c r="KBV521" s="1358"/>
      <c r="KBW521" s="1358"/>
      <c r="KBX521" s="1358"/>
      <c r="KBY521" s="1358"/>
      <c r="KBZ521" s="1358"/>
      <c r="KCA521" s="1358"/>
      <c r="KCB521" s="1358"/>
      <c r="KCC521" s="1358"/>
      <c r="KCD521" s="1358"/>
      <c r="KCE521" s="1358"/>
      <c r="KCF521" s="1358"/>
      <c r="KCG521" s="1358"/>
      <c r="KCH521" s="1358"/>
      <c r="KCI521" s="1358"/>
      <c r="KCJ521" s="1358"/>
      <c r="KCK521" s="1358"/>
      <c r="KCL521" s="1358"/>
      <c r="KCM521" s="1358"/>
      <c r="KCN521" s="1358"/>
      <c r="KCO521" s="1358"/>
      <c r="KCP521" s="1358"/>
      <c r="KCQ521" s="1358"/>
      <c r="KCR521" s="1358"/>
      <c r="KCS521" s="1358"/>
      <c r="KCT521" s="1358"/>
      <c r="KCU521" s="1358"/>
      <c r="KCV521" s="1358"/>
      <c r="KCW521" s="1358"/>
      <c r="KCX521" s="1358"/>
      <c r="KCY521" s="1358"/>
      <c r="KCZ521" s="1358"/>
      <c r="KDA521" s="1358"/>
      <c r="KDB521" s="1358"/>
      <c r="KDC521" s="1358"/>
      <c r="KDD521" s="1358"/>
      <c r="KDE521" s="1358"/>
      <c r="KDF521" s="1358"/>
      <c r="KDG521" s="1358"/>
      <c r="KDH521" s="1358"/>
      <c r="KDI521" s="1358"/>
      <c r="KDJ521" s="1358"/>
      <c r="KDK521" s="1358"/>
      <c r="KDL521" s="1358"/>
      <c r="KDM521" s="1358"/>
      <c r="KDN521" s="1358"/>
      <c r="KDO521" s="1358"/>
      <c r="KDP521" s="1358"/>
      <c r="KDQ521" s="1358"/>
      <c r="KDR521" s="1358"/>
      <c r="KDS521" s="1358"/>
      <c r="KDT521" s="1358"/>
      <c r="KDU521" s="1358"/>
      <c r="KDV521" s="1358"/>
      <c r="KDW521" s="1358"/>
      <c r="KDX521" s="1358"/>
      <c r="KDY521" s="1358"/>
      <c r="KDZ521" s="1358"/>
      <c r="KEA521" s="1358"/>
      <c r="KEB521" s="1358"/>
      <c r="KEC521" s="1358"/>
      <c r="KED521" s="1358"/>
      <c r="KEE521" s="1358"/>
      <c r="KEF521" s="1358"/>
      <c r="KEG521" s="1358"/>
      <c r="KEH521" s="1358"/>
      <c r="KEI521" s="1358"/>
      <c r="KEJ521" s="1358"/>
      <c r="KEK521" s="1358"/>
      <c r="KEL521" s="1358"/>
      <c r="KEM521" s="1358"/>
      <c r="KEN521" s="1358"/>
      <c r="KEO521" s="1358"/>
      <c r="KEP521" s="1358"/>
      <c r="KEQ521" s="1358"/>
      <c r="KER521" s="1358"/>
      <c r="KES521" s="1358"/>
      <c r="KET521" s="1358"/>
      <c r="KEU521" s="1358"/>
      <c r="KEV521" s="1358"/>
      <c r="KEW521" s="1358"/>
      <c r="KEX521" s="1358"/>
      <c r="KEY521" s="1358"/>
      <c r="KEZ521" s="1358"/>
      <c r="KFA521" s="1358"/>
      <c r="KFB521" s="1358"/>
      <c r="KFC521" s="1358"/>
      <c r="KFD521" s="1358"/>
      <c r="KFE521" s="1358"/>
      <c r="KFF521" s="1358"/>
      <c r="KFG521" s="1358"/>
      <c r="KFH521" s="1358"/>
      <c r="KFI521" s="1358"/>
      <c r="KFJ521" s="1358"/>
      <c r="KFK521" s="1358"/>
      <c r="KFL521" s="1358"/>
      <c r="KFM521" s="1358"/>
      <c r="KFN521" s="1358"/>
      <c r="KFO521" s="1358"/>
      <c r="KFP521" s="1358"/>
      <c r="KFQ521" s="1358"/>
      <c r="KFR521" s="1358"/>
      <c r="KFS521" s="1358"/>
      <c r="KFT521" s="1358"/>
      <c r="KFU521" s="1358"/>
      <c r="KFV521" s="1358"/>
      <c r="KFW521" s="1358"/>
      <c r="KFX521" s="1358"/>
      <c r="KFY521" s="1358"/>
      <c r="KFZ521" s="1358"/>
      <c r="KGA521" s="1358"/>
      <c r="KGB521" s="1358"/>
      <c r="KGC521" s="1358"/>
      <c r="KGD521" s="1358"/>
      <c r="KGE521" s="1358"/>
      <c r="KGF521" s="1358"/>
      <c r="KGG521" s="1358"/>
      <c r="KGH521" s="1358"/>
      <c r="KGI521" s="1358"/>
      <c r="KGJ521" s="1358"/>
      <c r="KGK521" s="1358"/>
      <c r="KGL521" s="1358"/>
      <c r="KGM521" s="1358"/>
      <c r="KGN521" s="1358"/>
      <c r="KGO521" s="1358"/>
      <c r="KGP521" s="1358"/>
      <c r="KGQ521" s="1358"/>
      <c r="KGR521" s="1358"/>
      <c r="KGS521" s="1358"/>
      <c r="KGT521" s="1358"/>
      <c r="KGU521" s="1358"/>
      <c r="KGV521" s="1358"/>
      <c r="KGW521" s="1358"/>
      <c r="KGX521" s="1358"/>
      <c r="KGY521" s="1358"/>
      <c r="KGZ521" s="1358"/>
      <c r="KHA521" s="1358"/>
      <c r="KHB521" s="1358"/>
      <c r="KHC521" s="1358"/>
      <c r="KHD521" s="1358"/>
      <c r="KHE521" s="1358"/>
      <c r="KHF521" s="1358"/>
      <c r="KHG521" s="1358"/>
      <c r="KHH521" s="1358"/>
      <c r="KHI521" s="1358"/>
      <c r="KHJ521" s="1358"/>
      <c r="KHK521" s="1358"/>
      <c r="KHL521" s="1358"/>
      <c r="KHM521" s="1358"/>
      <c r="KHN521" s="1358"/>
      <c r="KHO521" s="1358"/>
      <c r="KHP521" s="1358"/>
      <c r="KHQ521" s="1358"/>
      <c r="KHR521" s="1358"/>
      <c r="KHS521" s="1358"/>
      <c r="KHT521" s="1358"/>
      <c r="KHU521" s="1358"/>
      <c r="KHV521" s="1358"/>
      <c r="KHW521" s="1358"/>
      <c r="KHX521" s="1358"/>
      <c r="KHY521" s="1358"/>
      <c r="KHZ521" s="1358"/>
      <c r="KIA521" s="1358"/>
      <c r="KIB521" s="1358"/>
      <c r="KIC521" s="1358"/>
      <c r="KID521" s="1358"/>
      <c r="KIE521" s="1358"/>
      <c r="KIF521" s="1358"/>
      <c r="KIG521" s="1358"/>
      <c r="KIH521" s="1358"/>
      <c r="KII521" s="1358"/>
      <c r="KIJ521" s="1358"/>
      <c r="KIK521" s="1358"/>
      <c r="KIL521" s="1358"/>
      <c r="KIM521" s="1358"/>
      <c r="KIN521" s="1358"/>
      <c r="KIO521" s="1358"/>
      <c r="KIP521" s="1358"/>
      <c r="KIQ521" s="1358"/>
      <c r="KIR521" s="1358"/>
      <c r="KIS521" s="1358"/>
      <c r="KIT521" s="1358"/>
      <c r="KIU521" s="1358"/>
      <c r="KIV521" s="1358"/>
      <c r="KIW521" s="1358"/>
      <c r="KIX521" s="1358"/>
      <c r="KIY521" s="1358"/>
      <c r="KIZ521" s="1358"/>
      <c r="KJA521" s="1358"/>
      <c r="KJB521" s="1358"/>
      <c r="KJC521" s="1358"/>
      <c r="KJD521" s="1358"/>
      <c r="KJE521" s="1358"/>
      <c r="KJF521" s="1358"/>
      <c r="KJG521" s="1358"/>
      <c r="KJH521" s="1358"/>
      <c r="KJI521" s="1358"/>
      <c r="KJJ521" s="1358"/>
      <c r="KJK521" s="1358"/>
      <c r="KJL521" s="1358"/>
      <c r="KJM521" s="1358"/>
      <c r="KJN521" s="1358"/>
      <c r="KJO521" s="1358"/>
      <c r="KJP521" s="1358"/>
      <c r="KJQ521" s="1358"/>
      <c r="KJR521" s="1358"/>
      <c r="KJS521" s="1358"/>
      <c r="KJT521" s="1358"/>
      <c r="KJU521" s="1358"/>
      <c r="KJV521" s="1358"/>
      <c r="KJW521" s="1358"/>
      <c r="KJX521" s="1358"/>
      <c r="KJY521" s="1358"/>
      <c r="KJZ521" s="1358"/>
      <c r="KKA521" s="1358"/>
      <c r="KKB521" s="1358"/>
      <c r="KKC521" s="1358"/>
      <c r="KKD521" s="1358"/>
      <c r="KKE521" s="1358"/>
      <c r="KKF521" s="1358"/>
      <c r="KKG521" s="1358"/>
      <c r="KKH521" s="1358"/>
      <c r="KKI521" s="1358"/>
      <c r="KKJ521" s="1358"/>
      <c r="KKK521" s="1358"/>
      <c r="KKL521" s="1358"/>
      <c r="KKM521" s="1358"/>
      <c r="KKN521" s="1358"/>
      <c r="KKO521" s="1358"/>
      <c r="KKP521" s="1358"/>
      <c r="KKQ521" s="1358"/>
      <c r="KKR521" s="1358"/>
      <c r="KKS521" s="1358"/>
      <c r="KKT521" s="1358"/>
      <c r="KKU521" s="1358"/>
      <c r="KKV521" s="1358"/>
      <c r="KKW521" s="1358"/>
      <c r="KKX521" s="1358"/>
      <c r="KKY521" s="1358"/>
      <c r="KKZ521" s="1358"/>
      <c r="KLA521" s="1358"/>
      <c r="KLB521" s="1358"/>
      <c r="KLC521" s="1358"/>
      <c r="KLD521" s="1358"/>
      <c r="KLE521" s="1358"/>
      <c r="KLF521" s="1358"/>
      <c r="KLG521" s="1358"/>
      <c r="KLH521" s="1358"/>
      <c r="KLI521" s="1358"/>
      <c r="KLJ521" s="1358"/>
      <c r="KLK521" s="1358"/>
      <c r="KLL521" s="1358"/>
      <c r="KLM521" s="1358"/>
      <c r="KLN521" s="1358"/>
      <c r="KLO521" s="1358"/>
      <c r="KLP521" s="1358"/>
      <c r="KLQ521" s="1358"/>
      <c r="KLR521" s="1358"/>
      <c r="KLS521" s="1358"/>
      <c r="KLT521" s="1358"/>
      <c r="KLU521" s="1358"/>
      <c r="KLV521" s="1358"/>
      <c r="KLW521" s="1358"/>
      <c r="KLX521" s="1358"/>
      <c r="KLY521" s="1358"/>
      <c r="KLZ521" s="1358"/>
      <c r="KMA521" s="1358"/>
      <c r="KMB521" s="1358"/>
      <c r="KMC521" s="1358"/>
      <c r="KMD521" s="1358"/>
      <c r="KME521" s="1358"/>
      <c r="KMF521" s="1358"/>
      <c r="KMG521" s="1358"/>
      <c r="KMH521" s="1358"/>
      <c r="KMI521" s="1358"/>
      <c r="KMJ521" s="1358"/>
      <c r="KMK521" s="1358"/>
      <c r="KML521" s="1358"/>
      <c r="KMM521" s="1358"/>
      <c r="KMN521" s="1358"/>
      <c r="KMO521" s="1358"/>
      <c r="KMP521" s="1358"/>
      <c r="KMQ521" s="1358"/>
      <c r="KMR521" s="1358"/>
      <c r="KMS521" s="1358"/>
      <c r="KMT521" s="1358"/>
      <c r="KMU521" s="1358"/>
      <c r="KMV521" s="1358"/>
      <c r="KMW521" s="1358"/>
      <c r="KMX521" s="1358"/>
      <c r="KMY521" s="1358"/>
      <c r="KMZ521" s="1358"/>
      <c r="KNA521" s="1358"/>
      <c r="KNB521" s="1358"/>
      <c r="KNC521" s="1358"/>
      <c r="KND521" s="1358"/>
      <c r="KNE521" s="1358"/>
      <c r="KNF521" s="1358"/>
      <c r="KNG521" s="1358"/>
      <c r="KNH521" s="1358"/>
      <c r="KNI521" s="1358"/>
      <c r="KNJ521" s="1358"/>
      <c r="KNK521" s="1358"/>
      <c r="KNL521" s="1358"/>
      <c r="KNM521" s="1358"/>
      <c r="KNN521" s="1358"/>
      <c r="KNO521" s="1358"/>
      <c r="KNP521" s="1358"/>
      <c r="KNQ521" s="1358"/>
      <c r="KNR521" s="1358"/>
      <c r="KNS521" s="1358"/>
      <c r="KNT521" s="1358"/>
      <c r="KNU521" s="1358"/>
      <c r="KNV521" s="1358"/>
      <c r="KNW521" s="1358"/>
      <c r="KNX521" s="1358"/>
      <c r="KNY521" s="1358"/>
      <c r="KNZ521" s="1358"/>
      <c r="KOA521" s="1358"/>
      <c r="KOB521" s="1358"/>
      <c r="KOC521" s="1358"/>
      <c r="KOD521" s="1358"/>
      <c r="KOE521" s="1358"/>
      <c r="KOF521" s="1358"/>
      <c r="KOG521" s="1358"/>
      <c r="KOH521" s="1358"/>
      <c r="KOI521" s="1358"/>
      <c r="KOJ521" s="1358"/>
      <c r="KOK521" s="1358"/>
      <c r="KOL521" s="1358"/>
      <c r="KOM521" s="1358"/>
      <c r="KON521" s="1358"/>
      <c r="KOO521" s="1358"/>
      <c r="KOP521" s="1358"/>
      <c r="KOQ521" s="1358"/>
      <c r="KOR521" s="1358"/>
      <c r="KOS521" s="1358"/>
      <c r="KOT521" s="1358"/>
      <c r="KOU521" s="1358"/>
      <c r="KOV521" s="1358"/>
      <c r="KOW521" s="1358"/>
      <c r="KOX521" s="1358"/>
      <c r="KOY521" s="1358"/>
      <c r="KOZ521" s="1358"/>
      <c r="KPA521" s="1358"/>
      <c r="KPB521" s="1358"/>
      <c r="KPC521" s="1358"/>
      <c r="KPD521" s="1358"/>
      <c r="KPE521" s="1358"/>
      <c r="KPF521" s="1358"/>
      <c r="KPG521" s="1358"/>
      <c r="KPH521" s="1358"/>
      <c r="KPI521" s="1358"/>
      <c r="KPJ521" s="1358"/>
      <c r="KPK521" s="1358"/>
      <c r="KPL521" s="1358"/>
      <c r="KPM521" s="1358"/>
      <c r="KPN521" s="1358"/>
      <c r="KPO521" s="1358"/>
      <c r="KPP521" s="1358"/>
      <c r="KPQ521" s="1358"/>
      <c r="KPR521" s="1358"/>
      <c r="KPS521" s="1358"/>
      <c r="KPT521" s="1358"/>
      <c r="KPU521" s="1358"/>
      <c r="KPV521" s="1358"/>
      <c r="KPW521" s="1358"/>
      <c r="KPX521" s="1358"/>
      <c r="KPY521" s="1358"/>
      <c r="KPZ521" s="1358"/>
      <c r="KQA521" s="1358"/>
      <c r="KQB521" s="1358"/>
      <c r="KQC521" s="1358"/>
      <c r="KQD521" s="1358"/>
      <c r="KQE521" s="1358"/>
      <c r="KQF521" s="1358"/>
      <c r="KQG521" s="1358"/>
      <c r="KQH521" s="1358"/>
      <c r="KQI521" s="1358"/>
      <c r="KQJ521" s="1358"/>
      <c r="KQK521" s="1358"/>
      <c r="KQL521" s="1358"/>
      <c r="KQM521" s="1358"/>
      <c r="KQN521" s="1358"/>
      <c r="KQO521" s="1358"/>
      <c r="KQP521" s="1358"/>
      <c r="KQQ521" s="1358"/>
      <c r="KQR521" s="1358"/>
      <c r="KQS521" s="1358"/>
      <c r="KQT521" s="1358"/>
      <c r="KQU521" s="1358"/>
      <c r="KQV521" s="1358"/>
      <c r="KQW521" s="1358"/>
      <c r="KQX521" s="1358"/>
      <c r="KQY521" s="1358"/>
      <c r="KQZ521" s="1358"/>
      <c r="KRA521" s="1358"/>
      <c r="KRB521" s="1358"/>
      <c r="KRC521" s="1358"/>
      <c r="KRD521" s="1358"/>
      <c r="KRE521" s="1358"/>
      <c r="KRF521" s="1358"/>
      <c r="KRG521" s="1358"/>
      <c r="KRH521" s="1358"/>
      <c r="KRI521" s="1358"/>
      <c r="KRJ521" s="1358"/>
      <c r="KRK521" s="1358"/>
      <c r="KRL521" s="1358"/>
      <c r="KRM521" s="1358"/>
      <c r="KRN521" s="1358"/>
      <c r="KRO521" s="1358"/>
      <c r="KRP521" s="1358"/>
      <c r="KRQ521" s="1358"/>
      <c r="KRR521" s="1358"/>
      <c r="KRS521" s="1358"/>
      <c r="KRT521" s="1358"/>
      <c r="KRU521" s="1358"/>
      <c r="KRV521" s="1358"/>
      <c r="KRW521" s="1358"/>
      <c r="KRX521" s="1358"/>
      <c r="KRY521" s="1358"/>
      <c r="KRZ521" s="1358"/>
      <c r="KSA521" s="1358"/>
      <c r="KSB521" s="1358"/>
      <c r="KSC521" s="1358"/>
      <c r="KSD521" s="1358"/>
      <c r="KSE521" s="1358"/>
      <c r="KSF521" s="1358"/>
      <c r="KSG521" s="1358"/>
      <c r="KSH521" s="1358"/>
      <c r="KSI521" s="1358"/>
      <c r="KSJ521" s="1358"/>
      <c r="KSK521" s="1358"/>
      <c r="KSL521" s="1358"/>
      <c r="KSM521" s="1358"/>
      <c r="KSN521" s="1358"/>
      <c r="KSO521" s="1358"/>
      <c r="KSP521" s="1358"/>
      <c r="KSQ521" s="1358"/>
      <c r="KSR521" s="1358"/>
      <c r="KSS521" s="1358"/>
      <c r="KST521" s="1358"/>
      <c r="KSU521" s="1358"/>
      <c r="KSV521" s="1358"/>
      <c r="KSW521" s="1358"/>
      <c r="KSX521" s="1358"/>
      <c r="KSY521" s="1358"/>
      <c r="KSZ521" s="1358"/>
      <c r="KTA521" s="1358"/>
      <c r="KTB521" s="1358"/>
      <c r="KTC521" s="1358"/>
      <c r="KTD521" s="1358"/>
      <c r="KTE521" s="1358"/>
      <c r="KTF521" s="1358"/>
      <c r="KTG521" s="1358"/>
      <c r="KTH521" s="1358"/>
      <c r="KTI521" s="1358"/>
      <c r="KTJ521" s="1358"/>
      <c r="KTK521" s="1358"/>
      <c r="KTL521" s="1358"/>
      <c r="KTM521" s="1358"/>
      <c r="KTN521" s="1358"/>
      <c r="KTO521" s="1358"/>
      <c r="KTP521" s="1358"/>
      <c r="KTQ521" s="1358"/>
      <c r="KTR521" s="1358"/>
      <c r="KTS521" s="1358"/>
      <c r="KTT521" s="1358"/>
      <c r="KTU521" s="1358"/>
      <c r="KTV521" s="1358"/>
      <c r="KTW521" s="1358"/>
      <c r="KTX521" s="1358"/>
      <c r="KTY521" s="1358"/>
      <c r="KTZ521" s="1358"/>
      <c r="KUA521" s="1358"/>
      <c r="KUB521" s="1358"/>
      <c r="KUC521" s="1358"/>
      <c r="KUD521" s="1358"/>
      <c r="KUE521" s="1358"/>
      <c r="KUF521" s="1358"/>
      <c r="KUG521" s="1358"/>
      <c r="KUH521" s="1358"/>
      <c r="KUI521" s="1358"/>
      <c r="KUJ521" s="1358"/>
      <c r="KUK521" s="1358"/>
      <c r="KUL521" s="1358"/>
      <c r="KUM521" s="1358"/>
      <c r="KUN521" s="1358"/>
      <c r="KUO521" s="1358"/>
      <c r="KUP521" s="1358"/>
      <c r="KUQ521" s="1358"/>
      <c r="KUR521" s="1358"/>
      <c r="KUS521" s="1358"/>
      <c r="KUT521" s="1358"/>
      <c r="KUU521" s="1358"/>
      <c r="KUV521" s="1358"/>
      <c r="KUW521" s="1358"/>
      <c r="KUX521" s="1358"/>
      <c r="KUY521" s="1358"/>
      <c r="KUZ521" s="1358"/>
      <c r="KVA521" s="1358"/>
      <c r="KVB521" s="1358"/>
      <c r="KVC521" s="1358"/>
      <c r="KVD521" s="1358"/>
      <c r="KVE521" s="1358"/>
      <c r="KVF521" s="1358"/>
      <c r="KVG521" s="1358"/>
      <c r="KVH521" s="1358"/>
      <c r="KVI521" s="1358"/>
      <c r="KVJ521" s="1358"/>
      <c r="KVK521" s="1358"/>
      <c r="KVL521" s="1358"/>
      <c r="KVM521" s="1358"/>
      <c r="KVN521" s="1358"/>
      <c r="KVO521" s="1358"/>
      <c r="KVP521" s="1358"/>
      <c r="KVQ521" s="1358"/>
      <c r="KVR521" s="1358"/>
      <c r="KVS521" s="1358"/>
      <c r="KVT521" s="1358"/>
      <c r="KVU521" s="1358"/>
      <c r="KVV521" s="1358"/>
      <c r="KVW521" s="1358"/>
      <c r="KVX521" s="1358"/>
      <c r="KVY521" s="1358"/>
      <c r="KVZ521" s="1358"/>
      <c r="KWA521" s="1358"/>
      <c r="KWB521" s="1358"/>
      <c r="KWC521" s="1358"/>
      <c r="KWD521" s="1358"/>
      <c r="KWE521" s="1358"/>
      <c r="KWF521" s="1358"/>
      <c r="KWG521" s="1358"/>
      <c r="KWH521" s="1358"/>
      <c r="KWI521" s="1358"/>
      <c r="KWJ521" s="1358"/>
      <c r="KWK521" s="1358"/>
      <c r="KWL521" s="1358"/>
      <c r="KWM521" s="1358"/>
      <c r="KWN521" s="1358"/>
      <c r="KWO521" s="1358"/>
      <c r="KWP521" s="1358"/>
      <c r="KWQ521" s="1358"/>
      <c r="KWR521" s="1358"/>
      <c r="KWS521" s="1358"/>
      <c r="KWT521" s="1358"/>
      <c r="KWU521" s="1358"/>
      <c r="KWV521" s="1358"/>
      <c r="KWW521" s="1358"/>
      <c r="KWX521" s="1358"/>
      <c r="KWY521" s="1358"/>
      <c r="KWZ521" s="1358"/>
      <c r="KXA521" s="1358"/>
      <c r="KXB521" s="1358"/>
      <c r="KXC521" s="1358"/>
      <c r="KXD521" s="1358"/>
      <c r="KXE521" s="1358"/>
      <c r="KXF521" s="1358"/>
      <c r="KXG521" s="1358"/>
      <c r="KXH521" s="1358"/>
      <c r="KXI521" s="1358"/>
      <c r="KXJ521" s="1358"/>
      <c r="KXK521" s="1358"/>
      <c r="KXL521" s="1358"/>
      <c r="KXM521" s="1358"/>
      <c r="KXN521" s="1358"/>
      <c r="KXO521" s="1358"/>
      <c r="KXP521" s="1358"/>
      <c r="KXQ521" s="1358"/>
      <c r="KXR521" s="1358"/>
      <c r="KXS521" s="1358"/>
      <c r="KXT521" s="1358"/>
      <c r="KXU521" s="1358"/>
      <c r="KXV521" s="1358"/>
      <c r="KXW521" s="1358"/>
      <c r="KXX521" s="1358"/>
      <c r="KXY521" s="1358"/>
      <c r="KXZ521" s="1358"/>
      <c r="KYA521" s="1358"/>
      <c r="KYB521" s="1358"/>
      <c r="KYC521" s="1358"/>
      <c r="KYD521" s="1358"/>
      <c r="KYE521" s="1358"/>
      <c r="KYF521" s="1358"/>
      <c r="KYG521" s="1358"/>
      <c r="KYH521" s="1358"/>
      <c r="KYI521" s="1358"/>
      <c r="KYJ521" s="1358"/>
      <c r="KYK521" s="1358"/>
      <c r="KYL521" s="1358"/>
      <c r="KYM521" s="1358"/>
      <c r="KYN521" s="1358"/>
      <c r="KYO521" s="1358"/>
      <c r="KYP521" s="1358"/>
      <c r="KYQ521" s="1358"/>
      <c r="KYR521" s="1358"/>
      <c r="KYS521" s="1358"/>
      <c r="KYT521" s="1358"/>
      <c r="KYU521" s="1358"/>
      <c r="KYV521" s="1358"/>
      <c r="KYW521" s="1358"/>
      <c r="KYX521" s="1358"/>
      <c r="KYY521" s="1358"/>
      <c r="KYZ521" s="1358"/>
      <c r="KZA521" s="1358"/>
      <c r="KZB521" s="1358"/>
      <c r="KZC521" s="1358"/>
      <c r="KZD521" s="1358"/>
      <c r="KZE521" s="1358"/>
      <c r="KZF521" s="1358"/>
      <c r="KZG521" s="1358"/>
      <c r="KZH521" s="1358"/>
      <c r="KZI521" s="1358"/>
      <c r="KZJ521" s="1358"/>
      <c r="KZK521" s="1358"/>
      <c r="KZL521" s="1358"/>
      <c r="KZM521" s="1358"/>
      <c r="KZN521" s="1358"/>
      <c r="KZO521" s="1358"/>
      <c r="KZP521" s="1358"/>
      <c r="KZQ521" s="1358"/>
      <c r="KZR521" s="1358"/>
      <c r="KZS521" s="1358"/>
      <c r="KZT521" s="1358"/>
      <c r="KZU521" s="1358"/>
      <c r="KZV521" s="1358"/>
      <c r="KZW521" s="1358"/>
      <c r="KZX521" s="1358"/>
      <c r="KZY521" s="1358"/>
      <c r="KZZ521" s="1358"/>
      <c r="LAA521" s="1358"/>
      <c r="LAB521" s="1358"/>
      <c r="LAC521" s="1358"/>
      <c r="LAD521" s="1358"/>
      <c r="LAE521" s="1358"/>
      <c r="LAF521" s="1358"/>
      <c r="LAG521" s="1358"/>
      <c r="LAH521" s="1358"/>
      <c r="LAI521" s="1358"/>
      <c r="LAJ521" s="1358"/>
      <c r="LAK521" s="1358"/>
      <c r="LAL521" s="1358"/>
      <c r="LAM521" s="1358"/>
      <c r="LAN521" s="1358"/>
      <c r="LAO521" s="1358"/>
      <c r="LAP521" s="1358"/>
      <c r="LAQ521" s="1358"/>
      <c r="LAR521" s="1358"/>
      <c r="LAS521" s="1358"/>
      <c r="LAT521" s="1358"/>
      <c r="LAU521" s="1358"/>
      <c r="LAV521" s="1358"/>
      <c r="LAW521" s="1358"/>
      <c r="LAX521" s="1358"/>
      <c r="LAY521" s="1358"/>
      <c r="LAZ521" s="1358"/>
      <c r="LBA521" s="1358"/>
      <c r="LBB521" s="1358"/>
      <c r="LBC521" s="1358"/>
      <c r="LBD521" s="1358"/>
      <c r="LBE521" s="1358"/>
      <c r="LBF521" s="1358"/>
      <c r="LBG521" s="1358"/>
      <c r="LBH521" s="1358"/>
      <c r="LBI521" s="1358"/>
      <c r="LBJ521" s="1358"/>
      <c r="LBK521" s="1358"/>
      <c r="LBL521" s="1358"/>
      <c r="LBM521" s="1358"/>
      <c r="LBN521" s="1358"/>
      <c r="LBO521" s="1358"/>
      <c r="LBP521" s="1358"/>
      <c r="LBQ521" s="1358"/>
      <c r="LBR521" s="1358"/>
      <c r="LBS521" s="1358"/>
      <c r="LBT521" s="1358"/>
      <c r="LBU521" s="1358"/>
      <c r="LBV521" s="1358"/>
      <c r="LBW521" s="1358"/>
      <c r="LBX521" s="1358"/>
      <c r="LBY521" s="1358"/>
      <c r="LBZ521" s="1358"/>
      <c r="LCA521" s="1358"/>
      <c r="LCB521" s="1358"/>
      <c r="LCC521" s="1358"/>
      <c r="LCD521" s="1358"/>
      <c r="LCE521" s="1358"/>
      <c r="LCF521" s="1358"/>
      <c r="LCG521" s="1358"/>
      <c r="LCH521" s="1358"/>
      <c r="LCI521" s="1358"/>
      <c r="LCJ521" s="1358"/>
      <c r="LCK521" s="1358"/>
      <c r="LCL521" s="1358"/>
      <c r="LCM521" s="1358"/>
      <c r="LCN521" s="1358"/>
      <c r="LCO521" s="1358"/>
      <c r="LCP521" s="1358"/>
      <c r="LCQ521" s="1358"/>
      <c r="LCR521" s="1358"/>
      <c r="LCS521" s="1358"/>
      <c r="LCT521" s="1358"/>
      <c r="LCU521" s="1358"/>
      <c r="LCV521" s="1358"/>
      <c r="LCW521" s="1358"/>
      <c r="LCX521" s="1358"/>
      <c r="LCY521" s="1358"/>
      <c r="LCZ521" s="1358"/>
      <c r="LDA521" s="1358"/>
      <c r="LDB521" s="1358"/>
      <c r="LDC521" s="1358"/>
      <c r="LDD521" s="1358"/>
      <c r="LDE521" s="1358"/>
      <c r="LDF521" s="1358"/>
      <c r="LDG521" s="1358"/>
      <c r="LDH521" s="1358"/>
      <c r="LDI521" s="1358"/>
      <c r="LDJ521" s="1358"/>
      <c r="LDK521" s="1358"/>
      <c r="LDL521" s="1358"/>
      <c r="LDM521" s="1358"/>
      <c r="LDN521" s="1358"/>
      <c r="LDO521" s="1358"/>
      <c r="LDP521" s="1358"/>
      <c r="LDQ521" s="1358"/>
      <c r="LDR521" s="1358"/>
      <c r="LDS521" s="1358"/>
      <c r="LDT521" s="1358"/>
      <c r="LDU521" s="1358"/>
      <c r="LDV521" s="1358"/>
      <c r="LDW521" s="1358"/>
      <c r="LDX521" s="1358"/>
      <c r="LDY521" s="1358"/>
      <c r="LDZ521" s="1358"/>
      <c r="LEA521" s="1358"/>
      <c r="LEB521" s="1358"/>
      <c r="LEC521" s="1358"/>
      <c r="LED521" s="1358"/>
      <c r="LEE521" s="1358"/>
      <c r="LEF521" s="1358"/>
      <c r="LEG521" s="1358"/>
      <c r="LEH521" s="1358"/>
      <c r="LEI521" s="1358"/>
      <c r="LEJ521" s="1358"/>
      <c r="LEK521" s="1358"/>
      <c r="LEL521" s="1358"/>
      <c r="LEM521" s="1358"/>
      <c r="LEN521" s="1358"/>
      <c r="LEO521" s="1358"/>
      <c r="LEP521" s="1358"/>
      <c r="LEQ521" s="1358"/>
      <c r="LER521" s="1358"/>
      <c r="LES521" s="1358"/>
      <c r="LET521" s="1358"/>
      <c r="LEU521" s="1358"/>
      <c r="LEV521" s="1358"/>
      <c r="LEW521" s="1358"/>
      <c r="LEX521" s="1358"/>
      <c r="LEY521" s="1358"/>
      <c r="LEZ521" s="1358"/>
      <c r="LFA521" s="1358"/>
      <c r="LFB521" s="1358"/>
      <c r="LFC521" s="1358"/>
      <c r="LFD521" s="1358"/>
      <c r="LFE521" s="1358"/>
      <c r="LFF521" s="1358"/>
      <c r="LFG521" s="1358"/>
      <c r="LFH521" s="1358"/>
      <c r="LFI521" s="1358"/>
      <c r="LFJ521" s="1358"/>
      <c r="LFK521" s="1358"/>
      <c r="LFL521" s="1358"/>
      <c r="LFM521" s="1358"/>
      <c r="LFN521" s="1358"/>
      <c r="LFO521" s="1358"/>
      <c r="LFP521" s="1358"/>
      <c r="LFQ521" s="1358"/>
      <c r="LFR521" s="1358"/>
      <c r="LFS521" s="1358"/>
      <c r="LFT521" s="1358"/>
      <c r="LFU521" s="1358"/>
      <c r="LFV521" s="1358"/>
      <c r="LFW521" s="1358"/>
      <c r="LFX521" s="1358"/>
      <c r="LFY521" s="1358"/>
      <c r="LFZ521" s="1358"/>
      <c r="LGA521" s="1358"/>
      <c r="LGB521" s="1358"/>
      <c r="LGC521" s="1358"/>
      <c r="LGD521" s="1358"/>
      <c r="LGE521" s="1358"/>
      <c r="LGF521" s="1358"/>
      <c r="LGG521" s="1358"/>
      <c r="LGH521" s="1358"/>
      <c r="LGI521" s="1358"/>
      <c r="LGJ521" s="1358"/>
      <c r="LGK521" s="1358"/>
      <c r="LGL521" s="1358"/>
      <c r="LGM521" s="1358"/>
      <c r="LGN521" s="1358"/>
      <c r="LGO521" s="1358"/>
      <c r="LGP521" s="1358"/>
      <c r="LGQ521" s="1358"/>
      <c r="LGR521" s="1358"/>
      <c r="LGS521" s="1358"/>
      <c r="LGT521" s="1358"/>
      <c r="LGU521" s="1358"/>
      <c r="LGV521" s="1358"/>
      <c r="LGW521" s="1358"/>
      <c r="LGX521" s="1358"/>
      <c r="LGY521" s="1358"/>
      <c r="LGZ521" s="1358"/>
      <c r="LHA521" s="1358"/>
      <c r="LHB521" s="1358"/>
      <c r="LHC521" s="1358"/>
      <c r="LHD521" s="1358"/>
      <c r="LHE521" s="1358"/>
      <c r="LHF521" s="1358"/>
      <c r="LHG521" s="1358"/>
      <c r="LHH521" s="1358"/>
      <c r="LHI521" s="1358"/>
      <c r="LHJ521" s="1358"/>
      <c r="LHK521" s="1358"/>
      <c r="LHL521" s="1358"/>
      <c r="LHM521" s="1358"/>
      <c r="LHN521" s="1358"/>
      <c r="LHO521" s="1358"/>
      <c r="LHP521" s="1358"/>
      <c r="LHQ521" s="1358"/>
      <c r="LHR521" s="1358"/>
      <c r="LHS521" s="1358"/>
      <c r="LHT521" s="1358"/>
      <c r="LHU521" s="1358"/>
      <c r="LHV521" s="1358"/>
      <c r="LHW521" s="1358"/>
      <c r="LHX521" s="1358"/>
      <c r="LHY521" s="1358"/>
      <c r="LHZ521" s="1358"/>
      <c r="LIA521" s="1358"/>
      <c r="LIB521" s="1358"/>
      <c r="LIC521" s="1358"/>
      <c r="LID521" s="1358"/>
      <c r="LIE521" s="1358"/>
      <c r="LIF521" s="1358"/>
      <c r="LIG521" s="1358"/>
      <c r="LIH521" s="1358"/>
      <c r="LII521" s="1358"/>
      <c r="LIJ521" s="1358"/>
      <c r="LIK521" s="1358"/>
      <c r="LIL521" s="1358"/>
      <c r="LIM521" s="1358"/>
      <c r="LIN521" s="1358"/>
      <c r="LIO521" s="1358"/>
      <c r="LIP521" s="1358"/>
      <c r="LIQ521" s="1358"/>
      <c r="LIR521" s="1358"/>
      <c r="LIS521" s="1358"/>
      <c r="LIT521" s="1358"/>
      <c r="LIU521" s="1358"/>
      <c r="LIV521" s="1358"/>
      <c r="LIW521" s="1358"/>
      <c r="LIX521" s="1358"/>
      <c r="LIY521" s="1358"/>
      <c r="LIZ521" s="1358"/>
      <c r="LJA521" s="1358"/>
      <c r="LJB521" s="1358"/>
      <c r="LJC521" s="1358"/>
      <c r="LJD521" s="1358"/>
      <c r="LJE521" s="1358"/>
      <c r="LJF521" s="1358"/>
      <c r="LJG521" s="1358"/>
      <c r="LJH521" s="1358"/>
      <c r="LJI521" s="1358"/>
      <c r="LJJ521" s="1358"/>
      <c r="LJK521" s="1358"/>
      <c r="LJL521" s="1358"/>
      <c r="LJM521" s="1358"/>
      <c r="LJN521" s="1358"/>
      <c r="LJO521" s="1358"/>
      <c r="LJP521" s="1358"/>
      <c r="LJQ521" s="1358"/>
      <c r="LJR521" s="1358"/>
      <c r="LJS521" s="1358"/>
      <c r="LJT521" s="1358"/>
      <c r="LJU521" s="1358"/>
      <c r="LJV521" s="1358"/>
      <c r="LJW521" s="1358"/>
      <c r="LJX521" s="1358"/>
      <c r="LJY521" s="1358"/>
      <c r="LJZ521" s="1358"/>
      <c r="LKA521" s="1358"/>
      <c r="LKB521" s="1358"/>
      <c r="LKC521" s="1358"/>
      <c r="LKD521" s="1358"/>
      <c r="LKE521" s="1358"/>
      <c r="LKF521" s="1358"/>
      <c r="LKG521" s="1358"/>
      <c r="LKH521" s="1358"/>
      <c r="LKI521" s="1358"/>
      <c r="LKJ521" s="1358"/>
      <c r="LKK521" s="1358"/>
      <c r="LKL521" s="1358"/>
      <c r="LKM521" s="1358"/>
      <c r="LKN521" s="1358"/>
      <c r="LKO521" s="1358"/>
      <c r="LKP521" s="1358"/>
      <c r="LKQ521" s="1358"/>
      <c r="LKR521" s="1358"/>
      <c r="LKS521" s="1358"/>
      <c r="LKT521" s="1358"/>
      <c r="LKU521" s="1358"/>
      <c r="LKV521" s="1358"/>
      <c r="LKW521" s="1358"/>
      <c r="LKX521" s="1358"/>
      <c r="LKY521" s="1358"/>
      <c r="LKZ521" s="1358"/>
      <c r="LLA521" s="1358"/>
      <c r="LLB521" s="1358"/>
      <c r="LLC521" s="1358"/>
      <c r="LLD521" s="1358"/>
      <c r="LLE521" s="1358"/>
      <c r="LLF521" s="1358"/>
      <c r="LLG521" s="1358"/>
      <c r="LLH521" s="1358"/>
      <c r="LLI521" s="1358"/>
      <c r="LLJ521" s="1358"/>
      <c r="LLK521" s="1358"/>
      <c r="LLL521" s="1358"/>
      <c r="LLM521" s="1358"/>
      <c r="LLN521" s="1358"/>
      <c r="LLO521" s="1358"/>
      <c r="LLP521" s="1358"/>
      <c r="LLQ521" s="1358"/>
      <c r="LLR521" s="1358"/>
      <c r="LLS521" s="1358"/>
      <c r="LLT521" s="1358"/>
      <c r="LLU521" s="1358"/>
      <c r="LLV521" s="1358"/>
      <c r="LLW521" s="1358"/>
      <c r="LLX521" s="1358"/>
      <c r="LLY521" s="1358"/>
      <c r="LLZ521" s="1358"/>
      <c r="LMA521" s="1358"/>
      <c r="LMB521" s="1358"/>
      <c r="LMC521" s="1358"/>
      <c r="LMD521" s="1358"/>
      <c r="LME521" s="1358"/>
      <c r="LMF521" s="1358"/>
      <c r="LMG521" s="1358"/>
      <c r="LMH521" s="1358"/>
      <c r="LMI521" s="1358"/>
      <c r="LMJ521" s="1358"/>
      <c r="LMK521" s="1358"/>
      <c r="LML521" s="1358"/>
      <c r="LMM521" s="1358"/>
      <c r="LMN521" s="1358"/>
      <c r="LMO521" s="1358"/>
      <c r="LMP521" s="1358"/>
      <c r="LMQ521" s="1358"/>
      <c r="LMR521" s="1358"/>
      <c r="LMS521" s="1358"/>
      <c r="LMT521" s="1358"/>
      <c r="LMU521" s="1358"/>
      <c r="LMV521" s="1358"/>
      <c r="LMW521" s="1358"/>
      <c r="LMX521" s="1358"/>
      <c r="LMY521" s="1358"/>
      <c r="LMZ521" s="1358"/>
      <c r="LNA521" s="1358"/>
      <c r="LNB521" s="1358"/>
      <c r="LNC521" s="1358"/>
      <c r="LND521" s="1358"/>
      <c r="LNE521" s="1358"/>
      <c r="LNF521" s="1358"/>
      <c r="LNG521" s="1358"/>
      <c r="LNH521" s="1358"/>
      <c r="LNI521" s="1358"/>
      <c r="LNJ521" s="1358"/>
      <c r="LNK521" s="1358"/>
      <c r="LNL521" s="1358"/>
      <c r="LNM521" s="1358"/>
      <c r="LNN521" s="1358"/>
      <c r="LNO521" s="1358"/>
      <c r="LNP521" s="1358"/>
      <c r="LNQ521" s="1358"/>
      <c r="LNR521" s="1358"/>
      <c r="LNS521" s="1358"/>
      <c r="LNT521" s="1358"/>
      <c r="LNU521" s="1358"/>
      <c r="LNV521" s="1358"/>
      <c r="LNW521" s="1358"/>
      <c r="LNX521" s="1358"/>
      <c r="LNY521" s="1358"/>
      <c r="LNZ521" s="1358"/>
      <c r="LOA521" s="1358"/>
      <c r="LOB521" s="1358"/>
      <c r="LOC521" s="1358"/>
      <c r="LOD521" s="1358"/>
      <c r="LOE521" s="1358"/>
      <c r="LOF521" s="1358"/>
      <c r="LOG521" s="1358"/>
      <c r="LOH521" s="1358"/>
      <c r="LOI521" s="1358"/>
      <c r="LOJ521" s="1358"/>
      <c r="LOK521" s="1358"/>
      <c r="LOL521" s="1358"/>
      <c r="LOM521" s="1358"/>
      <c r="LON521" s="1358"/>
      <c r="LOO521" s="1358"/>
      <c r="LOP521" s="1358"/>
      <c r="LOQ521" s="1358"/>
      <c r="LOR521" s="1358"/>
      <c r="LOS521" s="1358"/>
      <c r="LOT521" s="1358"/>
      <c r="LOU521" s="1358"/>
      <c r="LOV521" s="1358"/>
      <c r="LOW521" s="1358"/>
      <c r="LOX521" s="1358"/>
      <c r="LOY521" s="1358"/>
      <c r="LOZ521" s="1358"/>
      <c r="LPA521" s="1358"/>
      <c r="LPB521" s="1358"/>
      <c r="LPC521" s="1358"/>
      <c r="LPD521" s="1358"/>
      <c r="LPE521" s="1358"/>
      <c r="LPF521" s="1358"/>
      <c r="LPG521" s="1358"/>
      <c r="LPH521" s="1358"/>
      <c r="LPI521" s="1358"/>
      <c r="LPJ521" s="1358"/>
      <c r="LPK521" s="1358"/>
      <c r="LPL521" s="1358"/>
      <c r="LPM521" s="1358"/>
      <c r="LPN521" s="1358"/>
      <c r="LPO521" s="1358"/>
      <c r="LPP521" s="1358"/>
      <c r="LPQ521" s="1358"/>
      <c r="LPR521" s="1358"/>
      <c r="LPS521" s="1358"/>
      <c r="LPT521" s="1358"/>
      <c r="LPU521" s="1358"/>
      <c r="LPV521" s="1358"/>
      <c r="LPW521" s="1358"/>
      <c r="LPX521" s="1358"/>
      <c r="LPY521" s="1358"/>
      <c r="LPZ521" s="1358"/>
      <c r="LQA521" s="1358"/>
      <c r="LQB521" s="1358"/>
      <c r="LQC521" s="1358"/>
      <c r="LQD521" s="1358"/>
      <c r="LQE521" s="1358"/>
      <c r="LQF521" s="1358"/>
      <c r="LQG521" s="1358"/>
      <c r="LQH521" s="1358"/>
      <c r="LQI521" s="1358"/>
      <c r="LQJ521" s="1358"/>
      <c r="LQK521" s="1358"/>
      <c r="LQL521" s="1358"/>
      <c r="LQM521" s="1358"/>
      <c r="LQN521" s="1358"/>
      <c r="LQO521" s="1358"/>
      <c r="LQP521" s="1358"/>
      <c r="LQQ521" s="1358"/>
      <c r="LQR521" s="1358"/>
      <c r="LQS521" s="1358"/>
      <c r="LQT521" s="1358"/>
      <c r="LQU521" s="1358"/>
      <c r="LQV521" s="1358"/>
      <c r="LQW521" s="1358"/>
      <c r="LQX521" s="1358"/>
      <c r="LQY521" s="1358"/>
      <c r="LQZ521" s="1358"/>
      <c r="LRA521" s="1358"/>
      <c r="LRB521" s="1358"/>
      <c r="LRC521" s="1358"/>
      <c r="LRD521" s="1358"/>
      <c r="LRE521" s="1358"/>
      <c r="LRF521" s="1358"/>
      <c r="LRG521" s="1358"/>
      <c r="LRH521" s="1358"/>
      <c r="LRI521" s="1358"/>
      <c r="LRJ521" s="1358"/>
      <c r="LRK521" s="1358"/>
      <c r="LRL521" s="1358"/>
      <c r="LRM521" s="1358"/>
      <c r="LRN521" s="1358"/>
      <c r="LRO521" s="1358"/>
      <c r="LRP521" s="1358"/>
      <c r="LRQ521" s="1358"/>
      <c r="LRR521" s="1358"/>
      <c r="LRS521" s="1358"/>
      <c r="LRT521" s="1358"/>
      <c r="LRU521" s="1358"/>
      <c r="LRV521" s="1358"/>
      <c r="LRW521" s="1358"/>
      <c r="LRX521" s="1358"/>
      <c r="LRY521" s="1358"/>
      <c r="LRZ521" s="1358"/>
      <c r="LSA521" s="1358"/>
      <c r="LSB521" s="1358"/>
      <c r="LSC521" s="1358"/>
      <c r="LSD521" s="1358"/>
      <c r="LSE521" s="1358"/>
      <c r="LSF521" s="1358"/>
      <c r="LSG521" s="1358"/>
      <c r="LSH521" s="1358"/>
      <c r="LSI521" s="1358"/>
      <c r="LSJ521" s="1358"/>
      <c r="LSK521" s="1358"/>
      <c r="LSL521" s="1358"/>
      <c r="LSM521" s="1358"/>
      <c r="LSN521" s="1358"/>
      <c r="LSO521" s="1358"/>
      <c r="LSP521" s="1358"/>
      <c r="LSQ521" s="1358"/>
      <c r="LSR521" s="1358"/>
      <c r="LSS521" s="1358"/>
      <c r="LST521" s="1358"/>
      <c r="LSU521" s="1358"/>
      <c r="LSV521" s="1358"/>
      <c r="LSW521" s="1358"/>
      <c r="LSX521" s="1358"/>
      <c r="LSY521" s="1358"/>
      <c r="LSZ521" s="1358"/>
      <c r="LTA521" s="1358"/>
      <c r="LTB521" s="1358"/>
      <c r="LTC521" s="1358"/>
      <c r="LTD521" s="1358"/>
      <c r="LTE521" s="1358"/>
      <c r="LTF521" s="1358"/>
      <c r="LTG521" s="1358"/>
      <c r="LTH521" s="1358"/>
      <c r="LTI521" s="1358"/>
      <c r="LTJ521" s="1358"/>
      <c r="LTK521" s="1358"/>
      <c r="LTL521" s="1358"/>
      <c r="LTM521" s="1358"/>
      <c r="LTN521" s="1358"/>
      <c r="LTO521" s="1358"/>
      <c r="LTP521" s="1358"/>
      <c r="LTQ521" s="1358"/>
      <c r="LTR521" s="1358"/>
      <c r="LTS521" s="1358"/>
      <c r="LTT521" s="1358"/>
      <c r="LTU521" s="1358"/>
      <c r="LTV521" s="1358"/>
      <c r="LTW521" s="1358"/>
      <c r="LTX521" s="1358"/>
      <c r="LTY521" s="1358"/>
      <c r="LTZ521" s="1358"/>
      <c r="LUA521" s="1358"/>
      <c r="LUB521" s="1358"/>
      <c r="LUC521" s="1358"/>
      <c r="LUD521" s="1358"/>
      <c r="LUE521" s="1358"/>
      <c r="LUF521" s="1358"/>
      <c r="LUG521" s="1358"/>
      <c r="LUH521" s="1358"/>
      <c r="LUI521" s="1358"/>
      <c r="LUJ521" s="1358"/>
      <c r="LUK521" s="1358"/>
      <c r="LUL521" s="1358"/>
      <c r="LUM521" s="1358"/>
      <c r="LUN521" s="1358"/>
      <c r="LUO521" s="1358"/>
      <c r="LUP521" s="1358"/>
      <c r="LUQ521" s="1358"/>
      <c r="LUR521" s="1358"/>
      <c r="LUS521" s="1358"/>
      <c r="LUT521" s="1358"/>
      <c r="LUU521" s="1358"/>
      <c r="LUV521" s="1358"/>
      <c r="LUW521" s="1358"/>
      <c r="LUX521" s="1358"/>
      <c r="LUY521" s="1358"/>
      <c r="LUZ521" s="1358"/>
      <c r="LVA521" s="1358"/>
      <c r="LVB521" s="1358"/>
      <c r="LVC521" s="1358"/>
      <c r="LVD521" s="1358"/>
      <c r="LVE521" s="1358"/>
      <c r="LVF521" s="1358"/>
      <c r="LVG521" s="1358"/>
      <c r="LVH521" s="1358"/>
      <c r="LVI521" s="1358"/>
      <c r="LVJ521" s="1358"/>
      <c r="LVK521" s="1358"/>
      <c r="LVL521" s="1358"/>
      <c r="LVM521" s="1358"/>
      <c r="LVN521" s="1358"/>
      <c r="LVO521" s="1358"/>
      <c r="LVP521" s="1358"/>
      <c r="LVQ521" s="1358"/>
      <c r="LVR521" s="1358"/>
      <c r="LVS521" s="1358"/>
      <c r="LVT521" s="1358"/>
      <c r="LVU521" s="1358"/>
      <c r="LVV521" s="1358"/>
      <c r="LVW521" s="1358"/>
      <c r="LVX521" s="1358"/>
      <c r="LVY521" s="1358"/>
      <c r="LVZ521" s="1358"/>
      <c r="LWA521" s="1358"/>
      <c r="LWB521" s="1358"/>
      <c r="LWC521" s="1358"/>
      <c r="LWD521" s="1358"/>
      <c r="LWE521" s="1358"/>
      <c r="LWF521" s="1358"/>
      <c r="LWG521" s="1358"/>
      <c r="LWH521" s="1358"/>
      <c r="LWI521" s="1358"/>
      <c r="LWJ521" s="1358"/>
      <c r="LWK521" s="1358"/>
      <c r="LWL521" s="1358"/>
      <c r="LWM521" s="1358"/>
      <c r="LWN521" s="1358"/>
      <c r="LWO521" s="1358"/>
      <c r="LWP521" s="1358"/>
      <c r="LWQ521" s="1358"/>
      <c r="LWR521" s="1358"/>
      <c r="LWS521" s="1358"/>
      <c r="LWT521" s="1358"/>
      <c r="LWU521" s="1358"/>
      <c r="LWV521" s="1358"/>
      <c r="LWW521" s="1358"/>
      <c r="LWX521" s="1358"/>
      <c r="LWY521" s="1358"/>
      <c r="LWZ521" s="1358"/>
      <c r="LXA521" s="1358"/>
      <c r="LXB521" s="1358"/>
      <c r="LXC521" s="1358"/>
      <c r="LXD521" s="1358"/>
      <c r="LXE521" s="1358"/>
      <c r="LXF521" s="1358"/>
      <c r="LXG521" s="1358"/>
      <c r="LXH521" s="1358"/>
      <c r="LXI521" s="1358"/>
      <c r="LXJ521" s="1358"/>
      <c r="LXK521" s="1358"/>
      <c r="LXL521" s="1358"/>
      <c r="LXM521" s="1358"/>
      <c r="LXN521" s="1358"/>
      <c r="LXO521" s="1358"/>
      <c r="LXP521" s="1358"/>
      <c r="LXQ521" s="1358"/>
      <c r="LXR521" s="1358"/>
      <c r="LXS521" s="1358"/>
      <c r="LXT521" s="1358"/>
      <c r="LXU521" s="1358"/>
      <c r="LXV521" s="1358"/>
      <c r="LXW521" s="1358"/>
      <c r="LXX521" s="1358"/>
      <c r="LXY521" s="1358"/>
      <c r="LXZ521" s="1358"/>
      <c r="LYA521" s="1358"/>
      <c r="LYB521" s="1358"/>
      <c r="LYC521" s="1358"/>
      <c r="LYD521" s="1358"/>
      <c r="LYE521" s="1358"/>
      <c r="LYF521" s="1358"/>
      <c r="LYG521" s="1358"/>
      <c r="LYH521" s="1358"/>
      <c r="LYI521" s="1358"/>
      <c r="LYJ521" s="1358"/>
      <c r="LYK521" s="1358"/>
      <c r="LYL521" s="1358"/>
      <c r="LYM521" s="1358"/>
      <c r="LYN521" s="1358"/>
      <c r="LYO521" s="1358"/>
      <c r="LYP521" s="1358"/>
      <c r="LYQ521" s="1358"/>
      <c r="LYR521" s="1358"/>
      <c r="LYS521" s="1358"/>
      <c r="LYT521" s="1358"/>
      <c r="LYU521" s="1358"/>
      <c r="LYV521" s="1358"/>
      <c r="LYW521" s="1358"/>
      <c r="LYX521" s="1358"/>
      <c r="LYY521" s="1358"/>
      <c r="LYZ521" s="1358"/>
      <c r="LZA521" s="1358"/>
      <c r="LZB521" s="1358"/>
      <c r="LZC521" s="1358"/>
      <c r="LZD521" s="1358"/>
      <c r="LZE521" s="1358"/>
      <c r="LZF521" s="1358"/>
      <c r="LZG521" s="1358"/>
      <c r="LZH521" s="1358"/>
      <c r="LZI521" s="1358"/>
      <c r="LZJ521" s="1358"/>
      <c r="LZK521" s="1358"/>
      <c r="LZL521" s="1358"/>
      <c r="LZM521" s="1358"/>
      <c r="LZN521" s="1358"/>
      <c r="LZO521" s="1358"/>
      <c r="LZP521" s="1358"/>
      <c r="LZQ521" s="1358"/>
      <c r="LZR521" s="1358"/>
      <c r="LZS521" s="1358"/>
      <c r="LZT521" s="1358"/>
      <c r="LZU521" s="1358"/>
      <c r="LZV521" s="1358"/>
      <c r="LZW521" s="1358"/>
      <c r="LZX521" s="1358"/>
      <c r="LZY521" s="1358"/>
      <c r="LZZ521" s="1358"/>
      <c r="MAA521" s="1358"/>
      <c r="MAB521" s="1358"/>
      <c r="MAC521" s="1358"/>
      <c r="MAD521" s="1358"/>
      <c r="MAE521" s="1358"/>
      <c r="MAF521" s="1358"/>
      <c r="MAG521" s="1358"/>
      <c r="MAH521" s="1358"/>
      <c r="MAI521" s="1358"/>
      <c r="MAJ521" s="1358"/>
      <c r="MAK521" s="1358"/>
      <c r="MAL521" s="1358"/>
      <c r="MAM521" s="1358"/>
      <c r="MAN521" s="1358"/>
      <c r="MAO521" s="1358"/>
      <c r="MAP521" s="1358"/>
      <c r="MAQ521" s="1358"/>
      <c r="MAR521" s="1358"/>
      <c r="MAS521" s="1358"/>
      <c r="MAT521" s="1358"/>
      <c r="MAU521" s="1358"/>
      <c r="MAV521" s="1358"/>
      <c r="MAW521" s="1358"/>
      <c r="MAX521" s="1358"/>
      <c r="MAY521" s="1358"/>
      <c r="MAZ521" s="1358"/>
      <c r="MBA521" s="1358"/>
      <c r="MBB521" s="1358"/>
      <c r="MBC521" s="1358"/>
      <c r="MBD521" s="1358"/>
      <c r="MBE521" s="1358"/>
      <c r="MBF521" s="1358"/>
      <c r="MBG521" s="1358"/>
      <c r="MBH521" s="1358"/>
      <c r="MBI521" s="1358"/>
      <c r="MBJ521" s="1358"/>
      <c r="MBK521" s="1358"/>
      <c r="MBL521" s="1358"/>
      <c r="MBM521" s="1358"/>
      <c r="MBN521" s="1358"/>
      <c r="MBO521" s="1358"/>
      <c r="MBP521" s="1358"/>
      <c r="MBQ521" s="1358"/>
      <c r="MBR521" s="1358"/>
      <c r="MBS521" s="1358"/>
      <c r="MBT521" s="1358"/>
      <c r="MBU521" s="1358"/>
      <c r="MBV521" s="1358"/>
      <c r="MBW521" s="1358"/>
      <c r="MBX521" s="1358"/>
      <c r="MBY521" s="1358"/>
      <c r="MBZ521" s="1358"/>
      <c r="MCA521" s="1358"/>
      <c r="MCB521" s="1358"/>
      <c r="MCC521" s="1358"/>
      <c r="MCD521" s="1358"/>
      <c r="MCE521" s="1358"/>
      <c r="MCF521" s="1358"/>
      <c r="MCG521" s="1358"/>
      <c r="MCH521" s="1358"/>
      <c r="MCI521" s="1358"/>
      <c r="MCJ521" s="1358"/>
      <c r="MCK521" s="1358"/>
      <c r="MCL521" s="1358"/>
      <c r="MCM521" s="1358"/>
      <c r="MCN521" s="1358"/>
      <c r="MCO521" s="1358"/>
      <c r="MCP521" s="1358"/>
      <c r="MCQ521" s="1358"/>
      <c r="MCR521" s="1358"/>
      <c r="MCS521" s="1358"/>
      <c r="MCT521" s="1358"/>
      <c r="MCU521" s="1358"/>
      <c r="MCV521" s="1358"/>
      <c r="MCW521" s="1358"/>
      <c r="MCX521" s="1358"/>
      <c r="MCY521" s="1358"/>
      <c r="MCZ521" s="1358"/>
      <c r="MDA521" s="1358"/>
      <c r="MDB521" s="1358"/>
      <c r="MDC521" s="1358"/>
      <c r="MDD521" s="1358"/>
      <c r="MDE521" s="1358"/>
      <c r="MDF521" s="1358"/>
      <c r="MDG521" s="1358"/>
      <c r="MDH521" s="1358"/>
      <c r="MDI521" s="1358"/>
      <c r="MDJ521" s="1358"/>
      <c r="MDK521" s="1358"/>
      <c r="MDL521" s="1358"/>
      <c r="MDM521" s="1358"/>
      <c r="MDN521" s="1358"/>
      <c r="MDO521" s="1358"/>
      <c r="MDP521" s="1358"/>
      <c r="MDQ521" s="1358"/>
      <c r="MDR521" s="1358"/>
      <c r="MDS521" s="1358"/>
      <c r="MDT521" s="1358"/>
      <c r="MDU521" s="1358"/>
      <c r="MDV521" s="1358"/>
      <c r="MDW521" s="1358"/>
      <c r="MDX521" s="1358"/>
      <c r="MDY521" s="1358"/>
      <c r="MDZ521" s="1358"/>
      <c r="MEA521" s="1358"/>
      <c r="MEB521" s="1358"/>
      <c r="MEC521" s="1358"/>
      <c r="MED521" s="1358"/>
      <c r="MEE521" s="1358"/>
      <c r="MEF521" s="1358"/>
      <c r="MEG521" s="1358"/>
      <c r="MEH521" s="1358"/>
      <c r="MEI521" s="1358"/>
      <c r="MEJ521" s="1358"/>
      <c r="MEK521" s="1358"/>
      <c r="MEL521" s="1358"/>
      <c r="MEM521" s="1358"/>
      <c r="MEN521" s="1358"/>
      <c r="MEO521" s="1358"/>
      <c r="MEP521" s="1358"/>
      <c r="MEQ521" s="1358"/>
      <c r="MER521" s="1358"/>
      <c r="MES521" s="1358"/>
      <c r="MET521" s="1358"/>
      <c r="MEU521" s="1358"/>
      <c r="MEV521" s="1358"/>
      <c r="MEW521" s="1358"/>
      <c r="MEX521" s="1358"/>
      <c r="MEY521" s="1358"/>
      <c r="MEZ521" s="1358"/>
      <c r="MFA521" s="1358"/>
      <c r="MFB521" s="1358"/>
      <c r="MFC521" s="1358"/>
      <c r="MFD521" s="1358"/>
      <c r="MFE521" s="1358"/>
      <c r="MFF521" s="1358"/>
      <c r="MFG521" s="1358"/>
      <c r="MFH521" s="1358"/>
      <c r="MFI521" s="1358"/>
      <c r="MFJ521" s="1358"/>
      <c r="MFK521" s="1358"/>
      <c r="MFL521" s="1358"/>
      <c r="MFM521" s="1358"/>
      <c r="MFN521" s="1358"/>
      <c r="MFO521" s="1358"/>
      <c r="MFP521" s="1358"/>
      <c r="MFQ521" s="1358"/>
      <c r="MFR521" s="1358"/>
      <c r="MFS521" s="1358"/>
      <c r="MFT521" s="1358"/>
      <c r="MFU521" s="1358"/>
      <c r="MFV521" s="1358"/>
      <c r="MFW521" s="1358"/>
      <c r="MFX521" s="1358"/>
      <c r="MFY521" s="1358"/>
      <c r="MFZ521" s="1358"/>
      <c r="MGA521" s="1358"/>
      <c r="MGB521" s="1358"/>
      <c r="MGC521" s="1358"/>
      <c r="MGD521" s="1358"/>
      <c r="MGE521" s="1358"/>
      <c r="MGF521" s="1358"/>
      <c r="MGG521" s="1358"/>
      <c r="MGH521" s="1358"/>
      <c r="MGI521" s="1358"/>
      <c r="MGJ521" s="1358"/>
      <c r="MGK521" s="1358"/>
      <c r="MGL521" s="1358"/>
      <c r="MGM521" s="1358"/>
      <c r="MGN521" s="1358"/>
      <c r="MGO521" s="1358"/>
      <c r="MGP521" s="1358"/>
      <c r="MGQ521" s="1358"/>
      <c r="MGR521" s="1358"/>
      <c r="MGS521" s="1358"/>
      <c r="MGT521" s="1358"/>
      <c r="MGU521" s="1358"/>
      <c r="MGV521" s="1358"/>
      <c r="MGW521" s="1358"/>
      <c r="MGX521" s="1358"/>
      <c r="MGY521" s="1358"/>
      <c r="MGZ521" s="1358"/>
      <c r="MHA521" s="1358"/>
      <c r="MHB521" s="1358"/>
      <c r="MHC521" s="1358"/>
      <c r="MHD521" s="1358"/>
      <c r="MHE521" s="1358"/>
      <c r="MHF521" s="1358"/>
      <c r="MHG521" s="1358"/>
      <c r="MHH521" s="1358"/>
      <c r="MHI521" s="1358"/>
      <c r="MHJ521" s="1358"/>
      <c r="MHK521" s="1358"/>
      <c r="MHL521" s="1358"/>
      <c r="MHM521" s="1358"/>
      <c r="MHN521" s="1358"/>
      <c r="MHO521" s="1358"/>
      <c r="MHP521" s="1358"/>
      <c r="MHQ521" s="1358"/>
      <c r="MHR521" s="1358"/>
      <c r="MHS521" s="1358"/>
      <c r="MHT521" s="1358"/>
      <c r="MHU521" s="1358"/>
      <c r="MHV521" s="1358"/>
      <c r="MHW521" s="1358"/>
      <c r="MHX521" s="1358"/>
      <c r="MHY521" s="1358"/>
      <c r="MHZ521" s="1358"/>
      <c r="MIA521" s="1358"/>
      <c r="MIB521" s="1358"/>
      <c r="MIC521" s="1358"/>
      <c r="MID521" s="1358"/>
      <c r="MIE521" s="1358"/>
      <c r="MIF521" s="1358"/>
      <c r="MIG521" s="1358"/>
      <c r="MIH521" s="1358"/>
      <c r="MII521" s="1358"/>
      <c r="MIJ521" s="1358"/>
      <c r="MIK521" s="1358"/>
      <c r="MIL521" s="1358"/>
      <c r="MIM521" s="1358"/>
      <c r="MIN521" s="1358"/>
      <c r="MIO521" s="1358"/>
      <c r="MIP521" s="1358"/>
      <c r="MIQ521" s="1358"/>
      <c r="MIR521" s="1358"/>
      <c r="MIS521" s="1358"/>
      <c r="MIT521" s="1358"/>
      <c r="MIU521" s="1358"/>
      <c r="MIV521" s="1358"/>
      <c r="MIW521" s="1358"/>
      <c r="MIX521" s="1358"/>
      <c r="MIY521" s="1358"/>
      <c r="MIZ521" s="1358"/>
      <c r="MJA521" s="1358"/>
      <c r="MJB521" s="1358"/>
      <c r="MJC521" s="1358"/>
      <c r="MJD521" s="1358"/>
      <c r="MJE521" s="1358"/>
      <c r="MJF521" s="1358"/>
      <c r="MJG521" s="1358"/>
      <c r="MJH521" s="1358"/>
      <c r="MJI521" s="1358"/>
      <c r="MJJ521" s="1358"/>
      <c r="MJK521" s="1358"/>
      <c r="MJL521" s="1358"/>
      <c r="MJM521" s="1358"/>
      <c r="MJN521" s="1358"/>
      <c r="MJO521" s="1358"/>
      <c r="MJP521" s="1358"/>
      <c r="MJQ521" s="1358"/>
      <c r="MJR521" s="1358"/>
      <c r="MJS521" s="1358"/>
      <c r="MJT521" s="1358"/>
      <c r="MJU521" s="1358"/>
      <c r="MJV521" s="1358"/>
      <c r="MJW521" s="1358"/>
      <c r="MJX521" s="1358"/>
      <c r="MJY521" s="1358"/>
      <c r="MJZ521" s="1358"/>
      <c r="MKA521" s="1358"/>
      <c r="MKB521" s="1358"/>
      <c r="MKC521" s="1358"/>
      <c r="MKD521" s="1358"/>
      <c r="MKE521" s="1358"/>
      <c r="MKF521" s="1358"/>
      <c r="MKG521" s="1358"/>
      <c r="MKH521" s="1358"/>
      <c r="MKI521" s="1358"/>
      <c r="MKJ521" s="1358"/>
      <c r="MKK521" s="1358"/>
      <c r="MKL521" s="1358"/>
      <c r="MKM521" s="1358"/>
      <c r="MKN521" s="1358"/>
      <c r="MKO521" s="1358"/>
      <c r="MKP521" s="1358"/>
      <c r="MKQ521" s="1358"/>
      <c r="MKR521" s="1358"/>
      <c r="MKS521" s="1358"/>
      <c r="MKT521" s="1358"/>
      <c r="MKU521" s="1358"/>
      <c r="MKV521" s="1358"/>
      <c r="MKW521" s="1358"/>
      <c r="MKX521" s="1358"/>
      <c r="MKY521" s="1358"/>
      <c r="MKZ521" s="1358"/>
      <c r="MLA521" s="1358"/>
      <c r="MLB521" s="1358"/>
      <c r="MLC521" s="1358"/>
      <c r="MLD521" s="1358"/>
      <c r="MLE521" s="1358"/>
      <c r="MLF521" s="1358"/>
      <c r="MLG521" s="1358"/>
      <c r="MLH521" s="1358"/>
      <c r="MLI521" s="1358"/>
      <c r="MLJ521" s="1358"/>
      <c r="MLK521" s="1358"/>
      <c r="MLL521" s="1358"/>
      <c r="MLM521" s="1358"/>
      <c r="MLN521" s="1358"/>
      <c r="MLO521" s="1358"/>
      <c r="MLP521" s="1358"/>
      <c r="MLQ521" s="1358"/>
      <c r="MLR521" s="1358"/>
      <c r="MLS521" s="1358"/>
      <c r="MLT521" s="1358"/>
      <c r="MLU521" s="1358"/>
      <c r="MLV521" s="1358"/>
      <c r="MLW521" s="1358"/>
      <c r="MLX521" s="1358"/>
      <c r="MLY521" s="1358"/>
      <c r="MLZ521" s="1358"/>
      <c r="MMA521" s="1358"/>
      <c r="MMB521" s="1358"/>
      <c r="MMC521" s="1358"/>
      <c r="MMD521" s="1358"/>
      <c r="MME521" s="1358"/>
      <c r="MMF521" s="1358"/>
      <c r="MMG521" s="1358"/>
      <c r="MMH521" s="1358"/>
      <c r="MMI521" s="1358"/>
      <c r="MMJ521" s="1358"/>
      <c r="MMK521" s="1358"/>
      <c r="MML521" s="1358"/>
      <c r="MMM521" s="1358"/>
      <c r="MMN521" s="1358"/>
      <c r="MMO521" s="1358"/>
      <c r="MMP521" s="1358"/>
      <c r="MMQ521" s="1358"/>
      <c r="MMR521" s="1358"/>
      <c r="MMS521" s="1358"/>
      <c r="MMT521" s="1358"/>
      <c r="MMU521" s="1358"/>
      <c r="MMV521" s="1358"/>
      <c r="MMW521" s="1358"/>
      <c r="MMX521" s="1358"/>
      <c r="MMY521" s="1358"/>
      <c r="MMZ521" s="1358"/>
      <c r="MNA521" s="1358"/>
      <c r="MNB521" s="1358"/>
      <c r="MNC521" s="1358"/>
      <c r="MND521" s="1358"/>
      <c r="MNE521" s="1358"/>
      <c r="MNF521" s="1358"/>
      <c r="MNG521" s="1358"/>
      <c r="MNH521" s="1358"/>
      <c r="MNI521" s="1358"/>
      <c r="MNJ521" s="1358"/>
      <c r="MNK521" s="1358"/>
      <c r="MNL521" s="1358"/>
      <c r="MNM521" s="1358"/>
      <c r="MNN521" s="1358"/>
      <c r="MNO521" s="1358"/>
      <c r="MNP521" s="1358"/>
      <c r="MNQ521" s="1358"/>
      <c r="MNR521" s="1358"/>
      <c r="MNS521" s="1358"/>
      <c r="MNT521" s="1358"/>
      <c r="MNU521" s="1358"/>
      <c r="MNV521" s="1358"/>
      <c r="MNW521" s="1358"/>
      <c r="MNX521" s="1358"/>
      <c r="MNY521" s="1358"/>
      <c r="MNZ521" s="1358"/>
      <c r="MOA521" s="1358"/>
      <c r="MOB521" s="1358"/>
      <c r="MOC521" s="1358"/>
      <c r="MOD521" s="1358"/>
      <c r="MOE521" s="1358"/>
      <c r="MOF521" s="1358"/>
      <c r="MOG521" s="1358"/>
      <c r="MOH521" s="1358"/>
      <c r="MOI521" s="1358"/>
      <c r="MOJ521" s="1358"/>
      <c r="MOK521" s="1358"/>
      <c r="MOL521" s="1358"/>
      <c r="MOM521" s="1358"/>
      <c r="MON521" s="1358"/>
      <c r="MOO521" s="1358"/>
      <c r="MOP521" s="1358"/>
      <c r="MOQ521" s="1358"/>
      <c r="MOR521" s="1358"/>
      <c r="MOS521" s="1358"/>
      <c r="MOT521" s="1358"/>
      <c r="MOU521" s="1358"/>
      <c r="MOV521" s="1358"/>
      <c r="MOW521" s="1358"/>
      <c r="MOX521" s="1358"/>
      <c r="MOY521" s="1358"/>
      <c r="MOZ521" s="1358"/>
      <c r="MPA521" s="1358"/>
      <c r="MPB521" s="1358"/>
      <c r="MPC521" s="1358"/>
      <c r="MPD521" s="1358"/>
      <c r="MPE521" s="1358"/>
      <c r="MPF521" s="1358"/>
      <c r="MPG521" s="1358"/>
      <c r="MPH521" s="1358"/>
      <c r="MPI521" s="1358"/>
      <c r="MPJ521" s="1358"/>
      <c r="MPK521" s="1358"/>
      <c r="MPL521" s="1358"/>
      <c r="MPM521" s="1358"/>
      <c r="MPN521" s="1358"/>
      <c r="MPO521" s="1358"/>
      <c r="MPP521" s="1358"/>
      <c r="MPQ521" s="1358"/>
      <c r="MPR521" s="1358"/>
      <c r="MPS521" s="1358"/>
      <c r="MPT521" s="1358"/>
      <c r="MPU521" s="1358"/>
      <c r="MPV521" s="1358"/>
      <c r="MPW521" s="1358"/>
      <c r="MPX521" s="1358"/>
      <c r="MPY521" s="1358"/>
      <c r="MPZ521" s="1358"/>
      <c r="MQA521" s="1358"/>
      <c r="MQB521" s="1358"/>
      <c r="MQC521" s="1358"/>
      <c r="MQD521" s="1358"/>
      <c r="MQE521" s="1358"/>
      <c r="MQF521" s="1358"/>
      <c r="MQG521" s="1358"/>
      <c r="MQH521" s="1358"/>
      <c r="MQI521" s="1358"/>
      <c r="MQJ521" s="1358"/>
      <c r="MQK521" s="1358"/>
      <c r="MQL521" s="1358"/>
      <c r="MQM521" s="1358"/>
      <c r="MQN521" s="1358"/>
      <c r="MQO521" s="1358"/>
      <c r="MQP521" s="1358"/>
      <c r="MQQ521" s="1358"/>
      <c r="MQR521" s="1358"/>
      <c r="MQS521" s="1358"/>
      <c r="MQT521" s="1358"/>
      <c r="MQU521" s="1358"/>
      <c r="MQV521" s="1358"/>
      <c r="MQW521" s="1358"/>
      <c r="MQX521" s="1358"/>
      <c r="MQY521" s="1358"/>
      <c r="MQZ521" s="1358"/>
      <c r="MRA521" s="1358"/>
      <c r="MRB521" s="1358"/>
      <c r="MRC521" s="1358"/>
      <c r="MRD521" s="1358"/>
      <c r="MRE521" s="1358"/>
      <c r="MRF521" s="1358"/>
      <c r="MRG521" s="1358"/>
      <c r="MRH521" s="1358"/>
      <c r="MRI521" s="1358"/>
      <c r="MRJ521" s="1358"/>
      <c r="MRK521" s="1358"/>
      <c r="MRL521" s="1358"/>
      <c r="MRM521" s="1358"/>
      <c r="MRN521" s="1358"/>
      <c r="MRO521" s="1358"/>
      <c r="MRP521" s="1358"/>
      <c r="MRQ521" s="1358"/>
      <c r="MRR521" s="1358"/>
      <c r="MRS521" s="1358"/>
      <c r="MRT521" s="1358"/>
      <c r="MRU521" s="1358"/>
      <c r="MRV521" s="1358"/>
      <c r="MRW521" s="1358"/>
      <c r="MRX521" s="1358"/>
      <c r="MRY521" s="1358"/>
      <c r="MRZ521" s="1358"/>
      <c r="MSA521" s="1358"/>
      <c r="MSB521" s="1358"/>
      <c r="MSC521" s="1358"/>
      <c r="MSD521" s="1358"/>
      <c r="MSE521" s="1358"/>
      <c r="MSF521" s="1358"/>
      <c r="MSG521" s="1358"/>
      <c r="MSH521" s="1358"/>
      <c r="MSI521" s="1358"/>
      <c r="MSJ521" s="1358"/>
      <c r="MSK521" s="1358"/>
      <c r="MSL521" s="1358"/>
      <c r="MSM521" s="1358"/>
      <c r="MSN521" s="1358"/>
      <c r="MSO521" s="1358"/>
      <c r="MSP521" s="1358"/>
      <c r="MSQ521" s="1358"/>
      <c r="MSR521" s="1358"/>
      <c r="MSS521" s="1358"/>
      <c r="MST521" s="1358"/>
      <c r="MSU521" s="1358"/>
      <c r="MSV521" s="1358"/>
      <c r="MSW521" s="1358"/>
      <c r="MSX521" s="1358"/>
      <c r="MSY521" s="1358"/>
      <c r="MSZ521" s="1358"/>
      <c r="MTA521" s="1358"/>
      <c r="MTB521" s="1358"/>
      <c r="MTC521" s="1358"/>
      <c r="MTD521" s="1358"/>
      <c r="MTE521" s="1358"/>
      <c r="MTF521" s="1358"/>
      <c r="MTG521" s="1358"/>
      <c r="MTH521" s="1358"/>
      <c r="MTI521" s="1358"/>
      <c r="MTJ521" s="1358"/>
      <c r="MTK521" s="1358"/>
      <c r="MTL521" s="1358"/>
      <c r="MTM521" s="1358"/>
      <c r="MTN521" s="1358"/>
      <c r="MTO521" s="1358"/>
      <c r="MTP521" s="1358"/>
      <c r="MTQ521" s="1358"/>
      <c r="MTR521" s="1358"/>
      <c r="MTS521" s="1358"/>
      <c r="MTT521" s="1358"/>
      <c r="MTU521" s="1358"/>
      <c r="MTV521" s="1358"/>
      <c r="MTW521" s="1358"/>
      <c r="MTX521" s="1358"/>
      <c r="MTY521" s="1358"/>
      <c r="MTZ521" s="1358"/>
      <c r="MUA521" s="1358"/>
      <c r="MUB521" s="1358"/>
      <c r="MUC521" s="1358"/>
      <c r="MUD521" s="1358"/>
      <c r="MUE521" s="1358"/>
      <c r="MUF521" s="1358"/>
      <c r="MUG521" s="1358"/>
      <c r="MUH521" s="1358"/>
      <c r="MUI521" s="1358"/>
      <c r="MUJ521" s="1358"/>
      <c r="MUK521" s="1358"/>
      <c r="MUL521" s="1358"/>
      <c r="MUM521" s="1358"/>
      <c r="MUN521" s="1358"/>
      <c r="MUO521" s="1358"/>
      <c r="MUP521" s="1358"/>
      <c r="MUQ521" s="1358"/>
      <c r="MUR521" s="1358"/>
      <c r="MUS521" s="1358"/>
      <c r="MUT521" s="1358"/>
      <c r="MUU521" s="1358"/>
      <c r="MUV521" s="1358"/>
      <c r="MUW521" s="1358"/>
      <c r="MUX521" s="1358"/>
      <c r="MUY521" s="1358"/>
      <c r="MUZ521" s="1358"/>
      <c r="MVA521" s="1358"/>
      <c r="MVB521" s="1358"/>
      <c r="MVC521" s="1358"/>
      <c r="MVD521" s="1358"/>
      <c r="MVE521" s="1358"/>
      <c r="MVF521" s="1358"/>
      <c r="MVG521" s="1358"/>
      <c r="MVH521" s="1358"/>
      <c r="MVI521" s="1358"/>
      <c r="MVJ521" s="1358"/>
      <c r="MVK521" s="1358"/>
      <c r="MVL521" s="1358"/>
      <c r="MVM521" s="1358"/>
      <c r="MVN521" s="1358"/>
      <c r="MVO521" s="1358"/>
      <c r="MVP521" s="1358"/>
      <c r="MVQ521" s="1358"/>
      <c r="MVR521" s="1358"/>
      <c r="MVS521" s="1358"/>
      <c r="MVT521" s="1358"/>
      <c r="MVU521" s="1358"/>
      <c r="MVV521" s="1358"/>
      <c r="MVW521" s="1358"/>
      <c r="MVX521" s="1358"/>
      <c r="MVY521" s="1358"/>
      <c r="MVZ521" s="1358"/>
      <c r="MWA521" s="1358"/>
      <c r="MWB521" s="1358"/>
      <c r="MWC521" s="1358"/>
      <c r="MWD521" s="1358"/>
      <c r="MWE521" s="1358"/>
      <c r="MWF521" s="1358"/>
      <c r="MWG521" s="1358"/>
      <c r="MWH521" s="1358"/>
      <c r="MWI521" s="1358"/>
      <c r="MWJ521" s="1358"/>
      <c r="MWK521" s="1358"/>
      <c r="MWL521" s="1358"/>
      <c r="MWM521" s="1358"/>
      <c r="MWN521" s="1358"/>
      <c r="MWO521" s="1358"/>
      <c r="MWP521" s="1358"/>
      <c r="MWQ521" s="1358"/>
      <c r="MWR521" s="1358"/>
      <c r="MWS521" s="1358"/>
      <c r="MWT521" s="1358"/>
      <c r="MWU521" s="1358"/>
      <c r="MWV521" s="1358"/>
      <c r="MWW521" s="1358"/>
      <c r="MWX521" s="1358"/>
      <c r="MWY521" s="1358"/>
      <c r="MWZ521" s="1358"/>
      <c r="MXA521" s="1358"/>
      <c r="MXB521" s="1358"/>
      <c r="MXC521" s="1358"/>
      <c r="MXD521" s="1358"/>
      <c r="MXE521" s="1358"/>
      <c r="MXF521" s="1358"/>
      <c r="MXG521" s="1358"/>
      <c r="MXH521" s="1358"/>
      <c r="MXI521" s="1358"/>
      <c r="MXJ521" s="1358"/>
      <c r="MXK521" s="1358"/>
      <c r="MXL521" s="1358"/>
      <c r="MXM521" s="1358"/>
      <c r="MXN521" s="1358"/>
      <c r="MXO521" s="1358"/>
      <c r="MXP521" s="1358"/>
      <c r="MXQ521" s="1358"/>
      <c r="MXR521" s="1358"/>
      <c r="MXS521" s="1358"/>
      <c r="MXT521" s="1358"/>
      <c r="MXU521" s="1358"/>
      <c r="MXV521" s="1358"/>
      <c r="MXW521" s="1358"/>
      <c r="MXX521" s="1358"/>
      <c r="MXY521" s="1358"/>
      <c r="MXZ521" s="1358"/>
      <c r="MYA521" s="1358"/>
      <c r="MYB521" s="1358"/>
      <c r="MYC521" s="1358"/>
      <c r="MYD521" s="1358"/>
      <c r="MYE521" s="1358"/>
      <c r="MYF521" s="1358"/>
      <c r="MYG521" s="1358"/>
      <c r="MYH521" s="1358"/>
      <c r="MYI521" s="1358"/>
      <c r="MYJ521" s="1358"/>
      <c r="MYK521" s="1358"/>
      <c r="MYL521" s="1358"/>
      <c r="MYM521" s="1358"/>
      <c r="MYN521" s="1358"/>
      <c r="MYO521" s="1358"/>
      <c r="MYP521" s="1358"/>
      <c r="MYQ521" s="1358"/>
      <c r="MYR521" s="1358"/>
      <c r="MYS521" s="1358"/>
      <c r="MYT521" s="1358"/>
      <c r="MYU521" s="1358"/>
      <c r="MYV521" s="1358"/>
      <c r="MYW521" s="1358"/>
      <c r="MYX521" s="1358"/>
      <c r="MYY521" s="1358"/>
      <c r="MYZ521" s="1358"/>
      <c r="MZA521" s="1358"/>
      <c r="MZB521" s="1358"/>
      <c r="MZC521" s="1358"/>
      <c r="MZD521" s="1358"/>
      <c r="MZE521" s="1358"/>
      <c r="MZF521" s="1358"/>
      <c r="MZG521" s="1358"/>
      <c r="MZH521" s="1358"/>
      <c r="MZI521" s="1358"/>
      <c r="MZJ521" s="1358"/>
      <c r="MZK521" s="1358"/>
      <c r="MZL521" s="1358"/>
      <c r="MZM521" s="1358"/>
      <c r="MZN521" s="1358"/>
      <c r="MZO521" s="1358"/>
      <c r="MZP521" s="1358"/>
      <c r="MZQ521" s="1358"/>
      <c r="MZR521" s="1358"/>
      <c r="MZS521" s="1358"/>
      <c r="MZT521" s="1358"/>
      <c r="MZU521" s="1358"/>
      <c r="MZV521" s="1358"/>
      <c r="MZW521" s="1358"/>
      <c r="MZX521" s="1358"/>
      <c r="MZY521" s="1358"/>
      <c r="MZZ521" s="1358"/>
      <c r="NAA521" s="1358"/>
      <c r="NAB521" s="1358"/>
      <c r="NAC521" s="1358"/>
      <c r="NAD521" s="1358"/>
      <c r="NAE521" s="1358"/>
      <c r="NAF521" s="1358"/>
      <c r="NAG521" s="1358"/>
      <c r="NAH521" s="1358"/>
      <c r="NAI521" s="1358"/>
      <c r="NAJ521" s="1358"/>
      <c r="NAK521" s="1358"/>
      <c r="NAL521" s="1358"/>
      <c r="NAM521" s="1358"/>
      <c r="NAN521" s="1358"/>
      <c r="NAO521" s="1358"/>
      <c r="NAP521" s="1358"/>
      <c r="NAQ521" s="1358"/>
      <c r="NAR521" s="1358"/>
      <c r="NAS521" s="1358"/>
      <c r="NAT521" s="1358"/>
      <c r="NAU521" s="1358"/>
      <c r="NAV521" s="1358"/>
      <c r="NAW521" s="1358"/>
      <c r="NAX521" s="1358"/>
      <c r="NAY521" s="1358"/>
      <c r="NAZ521" s="1358"/>
      <c r="NBA521" s="1358"/>
      <c r="NBB521" s="1358"/>
      <c r="NBC521" s="1358"/>
      <c r="NBD521" s="1358"/>
      <c r="NBE521" s="1358"/>
      <c r="NBF521" s="1358"/>
      <c r="NBG521" s="1358"/>
      <c r="NBH521" s="1358"/>
      <c r="NBI521" s="1358"/>
      <c r="NBJ521" s="1358"/>
      <c r="NBK521" s="1358"/>
      <c r="NBL521" s="1358"/>
      <c r="NBM521" s="1358"/>
      <c r="NBN521" s="1358"/>
      <c r="NBO521" s="1358"/>
      <c r="NBP521" s="1358"/>
      <c r="NBQ521" s="1358"/>
      <c r="NBR521" s="1358"/>
      <c r="NBS521" s="1358"/>
      <c r="NBT521" s="1358"/>
      <c r="NBU521" s="1358"/>
      <c r="NBV521" s="1358"/>
      <c r="NBW521" s="1358"/>
      <c r="NBX521" s="1358"/>
      <c r="NBY521" s="1358"/>
      <c r="NBZ521" s="1358"/>
      <c r="NCA521" s="1358"/>
      <c r="NCB521" s="1358"/>
      <c r="NCC521" s="1358"/>
      <c r="NCD521" s="1358"/>
      <c r="NCE521" s="1358"/>
      <c r="NCF521" s="1358"/>
      <c r="NCG521" s="1358"/>
      <c r="NCH521" s="1358"/>
      <c r="NCI521" s="1358"/>
      <c r="NCJ521" s="1358"/>
      <c r="NCK521" s="1358"/>
      <c r="NCL521" s="1358"/>
      <c r="NCM521" s="1358"/>
      <c r="NCN521" s="1358"/>
      <c r="NCO521" s="1358"/>
      <c r="NCP521" s="1358"/>
      <c r="NCQ521" s="1358"/>
      <c r="NCR521" s="1358"/>
      <c r="NCS521" s="1358"/>
      <c r="NCT521" s="1358"/>
      <c r="NCU521" s="1358"/>
      <c r="NCV521" s="1358"/>
      <c r="NCW521" s="1358"/>
      <c r="NCX521" s="1358"/>
      <c r="NCY521" s="1358"/>
      <c r="NCZ521" s="1358"/>
      <c r="NDA521" s="1358"/>
      <c r="NDB521" s="1358"/>
      <c r="NDC521" s="1358"/>
      <c r="NDD521" s="1358"/>
      <c r="NDE521" s="1358"/>
      <c r="NDF521" s="1358"/>
      <c r="NDG521" s="1358"/>
      <c r="NDH521" s="1358"/>
      <c r="NDI521" s="1358"/>
      <c r="NDJ521" s="1358"/>
      <c r="NDK521" s="1358"/>
      <c r="NDL521" s="1358"/>
      <c r="NDM521" s="1358"/>
      <c r="NDN521" s="1358"/>
      <c r="NDO521" s="1358"/>
      <c r="NDP521" s="1358"/>
      <c r="NDQ521" s="1358"/>
      <c r="NDR521" s="1358"/>
      <c r="NDS521" s="1358"/>
      <c r="NDT521" s="1358"/>
      <c r="NDU521" s="1358"/>
      <c r="NDV521" s="1358"/>
      <c r="NDW521" s="1358"/>
      <c r="NDX521" s="1358"/>
      <c r="NDY521" s="1358"/>
      <c r="NDZ521" s="1358"/>
      <c r="NEA521" s="1358"/>
      <c r="NEB521" s="1358"/>
      <c r="NEC521" s="1358"/>
      <c r="NED521" s="1358"/>
      <c r="NEE521" s="1358"/>
      <c r="NEF521" s="1358"/>
      <c r="NEG521" s="1358"/>
      <c r="NEH521" s="1358"/>
      <c r="NEI521" s="1358"/>
      <c r="NEJ521" s="1358"/>
      <c r="NEK521" s="1358"/>
      <c r="NEL521" s="1358"/>
      <c r="NEM521" s="1358"/>
      <c r="NEN521" s="1358"/>
      <c r="NEO521" s="1358"/>
      <c r="NEP521" s="1358"/>
      <c r="NEQ521" s="1358"/>
      <c r="NER521" s="1358"/>
      <c r="NES521" s="1358"/>
      <c r="NET521" s="1358"/>
      <c r="NEU521" s="1358"/>
      <c r="NEV521" s="1358"/>
      <c r="NEW521" s="1358"/>
      <c r="NEX521" s="1358"/>
      <c r="NEY521" s="1358"/>
      <c r="NEZ521" s="1358"/>
      <c r="NFA521" s="1358"/>
      <c r="NFB521" s="1358"/>
      <c r="NFC521" s="1358"/>
      <c r="NFD521" s="1358"/>
      <c r="NFE521" s="1358"/>
      <c r="NFF521" s="1358"/>
      <c r="NFG521" s="1358"/>
      <c r="NFH521" s="1358"/>
      <c r="NFI521" s="1358"/>
      <c r="NFJ521" s="1358"/>
      <c r="NFK521" s="1358"/>
      <c r="NFL521" s="1358"/>
      <c r="NFM521" s="1358"/>
      <c r="NFN521" s="1358"/>
      <c r="NFO521" s="1358"/>
      <c r="NFP521" s="1358"/>
      <c r="NFQ521" s="1358"/>
      <c r="NFR521" s="1358"/>
      <c r="NFS521" s="1358"/>
      <c r="NFT521" s="1358"/>
      <c r="NFU521" s="1358"/>
      <c r="NFV521" s="1358"/>
      <c r="NFW521" s="1358"/>
      <c r="NFX521" s="1358"/>
      <c r="NFY521" s="1358"/>
      <c r="NFZ521" s="1358"/>
      <c r="NGA521" s="1358"/>
      <c r="NGB521" s="1358"/>
      <c r="NGC521" s="1358"/>
      <c r="NGD521" s="1358"/>
      <c r="NGE521" s="1358"/>
      <c r="NGF521" s="1358"/>
      <c r="NGG521" s="1358"/>
      <c r="NGH521" s="1358"/>
      <c r="NGI521" s="1358"/>
      <c r="NGJ521" s="1358"/>
      <c r="NGK521" s="1358"/>
      <c r="NGL521" s="1358"/>
      <c r="NGM521" s="1358"/>
      <c r="NGN521" s="1358"/>
      <c r="NGO521" s="1358"/>
      <c r="NGP521" s="1358"/>
      <c r="NGQ521" s="1358"/>
      <c r="NGR521" s="1358"/>
      <c r="NGS521" s="1358"/>
      <c r="NGT521" s="1358"/>
      <c r="NGU521" s="1358"/>
      <c r="NGV521" s="1358"/>
      <c r="NGW521" s="1358"/>
      <c r="NGX521" s="1358"/>
      <c r="NGY521" s="1358"/>
      <c r="NGZ521" s="1358"/>
      <c r="NHA521" s="1358"/>
      <c r="NHB521" s="1358"/>
      <c r="NHC521" s="1358"/>
      <c r="NHD521" s="1358"/>
      <c r="NHE521" s="1358"/>
      <c r="NHF521" s="1358"/>
      <c r="NHG521" s="1358"/>
      <c r="NHH521" s="1358"/>
      <c r="NHI521" s="1358"/>
      <c r="NHJ521" s="1358"/>
      <c r="NHK521" s="1358"/>
      <c r="NHL521" s="1358"/>
      <c r="NHM521" s="1358"/>
      <c r="NHN521" s="1358"/>
      <c r="NHO521" s="1358"/>
      <c r="NHP521" s="1358"/>
      <c r="NHQ521" s="1358"/>
      <c r="NHR521" s="1358"/>
      <c r="NHS521" s="1358"/>
      <c r="NHT521" s="1358"/>
      <c r="NHU521" s="1358"/>
      <c r="NHV521" s="1358"/>
      <c r="NHW521" s="1358"/>
      <c r="NHX521" s="1358"/>
      <c r="NHY521" s="1358"/>
      <c r="NHZ521" s="1358"/>
      <c r="NIA521" s="1358"/>
      <c r="NIB521" s="1358"/>
      <c r="NIC521" s="1358"/>
      <c r="NID521" s="1358"/>
      <c r="NIE521" s="1358"/>
      <c r="NIF521" s="1358"/>
      <c r="NIG521" s="1358"/>
      <c r="NIH521" s="1358"/>
      <c r="NII521" s="1358"/>
      <c r="NIJ521" s="1358"/>
      <c r="NIK521" s="1358"/>
      <c r="NIL521" s="1358"/>
      <c r="NIM521" s="1358"/>
      <c r="NIN521" s="1358"/>
      <c r="NIO521" s="1358"/>
      <c r="NIP521" s="1358"/>
      <c r="NIQ521" s="1358"/>
      <c r="NIR521" s="1358"/>
      <c r="NIS521" s="1358"/>
      <c r="NIT521" s="1358"/>
      <c r="NIU521" s="1358"/>
      <c r="NIV521" s="1358"/>
      <c r="NIW521" s="1358"/>
      <c r="NIX521" s="1358"/>
      <c r="NIY521" s="1358"/>
      <c r="NIZ521" s="1358"/>
      <c r="NJA521" s="1358"/>
      <c r="NJB521" s="1358"/>
      <c r="NJC521" s="1358"/>
      <c r="NJD521" s="1358"/>
      <c r="NJE521" s="1358"/>
      <c r="NJF521" s="1358"/>
      <c r="NJG521" s="1358"/>
      <c r="NJH521" s="1358"/>
      <c r="NJI521" s="1358"/>
      <c r="NJJ521" s="1358"/>
      <c r="NJK521" s="1358"/>
      <c r="NJL521" s="1358"/>
      <c r="NJM521" s="1358"/>
      <c r="NJN521" s="1358"/>
      <c r="NJO521" s="1358"/>
      <c r="NJP521" s="1358"/>
      <c r="NJQ521" s="1358"/>
      <c r="NJR521" s="1358"/>
      <c r="NJS521" s="1358"/>
      <c r="NJT521" s="1358"/>
      <c r="NJU521" s="1358"/>
      <c r="NJV521" s="1358"/>
      <c r="NJW521" s="1358"/>
      <c r="NJX521" s="1358"/>
      <c r="NJY521" s="1358"/>
      <c r="NJZ521" s="1358"/>
      <c r="NKA521" s="1358"/>
      <c r="NKB521" s="1358"/>
      <c r="NKC521" s="1358"/>
      <c r="NKD521" s="1358"/>
      <c r="NKE521" s="1358"/>
      <c r="NKF521" s="1358"/>
      <c r="NKG521" s="1358"/>
      <c r="NKH521" s="1358"/>
      <c r="NKI521" s="1358"/>
      <c r="NKJ521" s="1358"/>
      <c r="NKK521" s="1358"/>
      <c r="NKL521" s="1358"/>
      <c r="NKM521" s="1358"/>
      <c r="NKN521" s="1358"/>
      <c r="NKO521" s="1358"/>
      <c r="NKP521" s="1358"/>
      <c r="NKQ521" s="1358"/>
      <c r="NKR521" s="1358"/>
      <c r="NKS521" s="1358"/>
      <c r="NKT521" s="1358"/>
      <c r="NKU521" s="1358"/>
      <c r="NKV521" s="1358"/>
      <c r="NKW521" s="1358"/>
      <c r="NKX521" s="1358"/>
      <c r="NKY521" s="1358"/>
      <c r="NKZ521" s="1358"/>
      <c r="NLA521" s="1358"/>
      <c r="NLB521" s="1358"/>
      <c r="NLC521" s="1358"/>
      <c r="NLD521" s="1358"/>
      <c r="NLE521" s="1358"/>
      <c r="NLF521" s="1358"/>
      <c r="NLG521" s="1358"/>
      <c r="NLH521" s="1358"/>
      <c r="NLI521" s="1358"/>
      <c r="NLJ521" s="1358"/>
      <c r="NLK521" s="1358"/>
      <c r="NLL521" s="1358"/>
      <c r="NLM521" s="1358"/>
      <c r="NLN521" s="1358"/>
      <c r="NLO521" s="1358"/>
      <c r="NLP521" s="1358"/>
      <c r="NLQ521" s="1358"/>
      <c r="NLR521" s="1358"/>
      <c r="NLS521" s="1358"/>
      <c r="NLT521" s="1358"/>
      <c r="NLU521" s="1358"/>
      <c r="NLV521" s="1358"/>
      <c r="NLW521" s="1358"/>
      <c r="NLX521" s="1358"/>
      <c r="NLY521" s="1358"/>
      <c r="NLZ521" s="1358"/>
      <c r="NMA521" s="1358"/>
      <c r="NMB521" s="1358"/>
      <c r="NMC521" s="1358"/>
      <c r="NMD521" s="1358"/>
      <c r="NME521" s="1358"/>
      <c r="NMF521" s="1358"/>
      <c r="NMG521" s="1358"/>
      <c r="NMH521" s="1358"/>
      <c r="NMI521" s="1358"/>
      <c r="NMJ521" s="1358"/>
      <c r="NMK521" s="1358"/>
      <c r="NML521" s="1358"/>
      <c r="NMM521" s="1358"/>
      <c r="NMN521" s="1358"/>
      <c r="NMO521" s="1358"/>
      <c r="NMP521" s="1358"/>
      <c r="NMQ521" s="1358"/>
      <c r="NMR521" s="1358"/>
      <c r="NMS521" s="1358"/>
      <c r="NMT521" s="1358"/>
      <c r="NMU521" s="1358"/>
      <c r="NMV521" s="1358"/>
      <c r="NMW521" s="1358"/>
      <c r="NMX521" s="1358"/>
      <c r="NMY521" s="1358"/>
      <c r="NMZ521" s="1358"/>
      <c r="NNA521" s="1358"/>
      <c r="NNB521" s="1358"/>
      <c r="NNC521" s="1358"/>
      <c r="NND521" s="1358"/>
      <c r="NNE521" s="1358"/>
      <c r="NNF521" s="1358"/>
      <c r="NNG521" s="1358"/>
      <c r="NNH521" s="1358"/>
      <c r="NNI521" s="1358"/>
      <c r="NNJ521" s="1358"/>
      <c r="NNK521" s="1358"/>
      <c r="NNL521" s="1358"/>
      <c r="NNM521" s="1358"/>
      <c r="NNN521" s="1358"/>
      <c r="NNO521" s="1358"/>
      <c r="NNP521" s="1358"/>
      <c r="NNQ521" s="1358"/>
      <c r="NNR521" s="1358"/>
      <c r="NNS521" s="1358"/>
      <c r="NNT521" s="1358"/>
      <c r="NNU521" s="1358"/>
      <c r="NNV521" s="1358"/>
      <c r="NNW521" s="1358"/>
      <c r="NNX521" s="1358"/>
      <c r="NNY521" s="1358"/>
      <c r="NNZ521" s="1358"/>
      <c r="NOA521" s="1358"/>
      <c r="NOB521" s="1358"/>
      <c r="NOC521" s="1358"/>
      <c r="NOD521" s="1358"/>
      <c r="NOE521" s="1358"/>
      <c r="NOF521" s="1358"/>
      <c r="NOG521" s="1358"/>
      <c r="NOH521" s="1358"/>
      <c r="NOI521" s="1358"/>
      <c r="NOJ521" s="1358"/>
      <c r="NOK521" s="1358"/>
      <c r="NOL521" s="1358"/>
      <c r="NOM521" s="1358"/>
      <c r="NON521" s="1358"/>
      <c r="NOO521" s="1358"/>
      <c r="NOP521" s="1358"/>
      <c r="NOQ521" s="1358"/>
      <c r="NOR521" s="1358"/>
      <c r="NOS521" s="1358"/>
      <c r="NOT521" s="1358"/>
      <c r="NOU521" s="1358"/>
      <c r="NOV521" s="1358"/>
      <c r="NOW521" s="1358"/>
      <c r="NOX521" s="1358"/>
      <c r="NOY521" s="1358"/>
      <c r="NOZ521" s="1358"/>
      <c r="NPA521" s="1358"/>
      <c r="NPB521" s="1358"/>
      <c r="NPC521" s="1358"/>
      <c r="NPD521" s="1358"/>
      <c r="NPE521" s="1358"/>
      <c r="NPF521" s="1358"/>
      <c r="NPG521" s="1358"/>
      <c r="NPH521" s="1358"/>
      <c r="NPI521" s="1358"/>
      <c r="NPJ521" s="1358"/>
      <c r="NPK521" s="1358"/>
      <c r="NPL521" s="1358"/>
      <c r="NPM521" s="1358"/>
      <c r="NPN521" s="1358"/>
      <c r="NPO521" s="1358"/>
      <c r="NPP521" s="1358"/>
      <c r="NPQ521" s="1358"/>
      <c r="NPR521" s="1358"/>
      <c r="NPS521" s="1358"/>
      <c r="NPT521" s="1358"/>
      <c r="NPU521" s="1358"/>
      <c r="NPV521" s="1358"/>
      <c r="NPW521" s="1358"/>
      <c r="NPX521" s="1358"/>
      <c r="NPY521" s="1358"/>
      <c r="NPZ521" s="1358"/>
      <c r="NQA521" s="1358"/>
      <c r="NQB521" s="1358"/>
      <c r="NQC521" s="1358"/>
      <c r="NQD521" s="1358"/>
      <c r="NQE521" s="1358"/>
      <c r="NQF521" s="1358"/>
      <c r="NQG521" s="1358"/>
      <c r="NQH521" s="1358"/>
      <c r="NQI521" s="1358"/>
      <c r="NQJ521" s="1358"/>
      <c r="NQK521" s="1358"/>
      <c r="NQL521" s="1358"/>
      <c r="NQM521" s="1358"/>
      <c r="NQN521" s="1358"/>
      <c r="NQO521" s="1358"/>
      <c r="NQP521" s="1358"/>
      <c r="NQQ521" s="1358"/>
      <c r="NQR521" s="1358"/>
      <c r="NQS521" s="1358"/>
      <c r="NQT521" s="1358"/>
      <c r="NQU521" s="1358"/>
      <c r="NQV521" s="1358"/>
      <c r="NQW521" s="1358"/>
      <c r="NQX521" s="1358"/>
      <c r="NQY521" s="1358"/>
      <c r="NQZ521" s="1358"/>
      <c r="NRA521" s="1358"/>
      <c r="NRB521" s="1358"/>
      <c r="NRC521" s="1358"/>
      <c r="NRD521" s="1358"/>
      <c r="NRE521" s="1358"/>
      <c r="NRF521" s="1358"/>
      <c r="NRG521" s="1358"/>
      <c r="NRH521" s="1358"/>
      <c r="NRI521" s="1358"/>
      <c r="NRJ521" s="1358"/>
      <c r="NRK521" s="1358"/>
      <c r="NRL521" s="1358"/>
      <c r="NRM521" s="1358"/>
      <c r="NRN521" s="1358"/>
      <c r="NRO521" s="1358"/>
      <c r="NRP521" s="1358"/>
      <c r="NRQ521" s="1358"/>
      <c r="NRR521" s="1358"/>
      <c r="NRS521" s="1358"/>
      <c r="NRT521" s="1358"/>
      <c r="NRU521" s="1358"/>
      <c r="NRV521" s="1358"/>
      <c r="NRW521" s="1358"/>
      <c r="NRX521" s="1358"/>
      <c r="NRY521" s="1358"/>
      <c r="NRZ521" s="1358"/>
      <c r="NSA521" s="1358"/>
      <c r="NSB521" s="1358"/>
      <c r="NSC521" s="1358"/>
      <c r="NSD521" s="1358"/>
      <c r="NSE521" s="1358"/>
      <c r="NSF521" s="1358"/>
      <c r="NSG521" s="1358"/>
      <c r="NSH521" s="1358"/>
      <c r="NSI521" s="1358"/>
      <c r="NSJ521" s="1358"/>
      <c r="NSK521" s="1358"/>
      <c r="NSL521" s="1358"/>
      <c r="NSM521" s="1358"/>
      <c r="NSN521" s="1358"/>
      <c r="NSO521" s="1358"/>
      <c r="NSP521" s="1358"/>
      <c r="NSQ521" s="1358"/>
      <c r="NSR521" s="1358"/>
      <c r="NSS521" s="1358"/>
      <c r="NST521" s="1358"/>
      <c r="NSU521" s="1358"/>
      <c r="NSV521" s="1358"/>
      <c r="NSW521" s="1358"/>
      <c r="NSX521" s="1358"/>
      <c r="NSY521" s="1358"/>
      <c r="NSZ521" s="1358"/>
      <c r="NTA521" s="1358"/>
      <c r="NTB521" s="1358"/>
      <c r="NTC521" s="1358"/>
      <c r="NTD521" s="1358"/>
      <c r="NTE521" s="1358"/>
      <c r="NTF521" s="1358"/>
      <c r="NTG521" s="1358"/>
      <c r="NTH521" s="1358"/>
      <c r="NTI521" s="1358"/>
      <c r="NTJ521" s="1358"/>
      <c r="NTK521" s="1358"/>
      <c r="NTL521" s="1358"/>
      <c r="NTM521" s="1358"/>
      <c r="NTN521" s="1358"/>
      <c r="NTO521" s="1358"/>
      <c r="NTP521" s="1358"/>
      <c r="NTQ521" s="1358"/>
      <c r="NTR521" s="1358"/>
      <c r="NTS521" s="1358"/>
      <c r="NTT521" s="1358"/>
      <c r="NTU521" s="1358"/>
      <c r="NTV521" s="1358"/>
      <c r="NTW521" s="1358"/>
      <c r="NTX521" s="1358"/>
      <c r="NTY521" s="1358"/>
      <c r="NTZ521" s="1358"/>
      <c r="NUA521" s="1358"/>
      <c r="NUB521" s="1358"/>
      <c r="NUC521" s="1358"/>
      <c r="NUD521" s="1358"/>
      <c r="NUE521" s="1358"/>
      <c r="NUF521" s="1358"/>
      <c r="NUG521" s="1358"/>
      <c r="NUH521" s="1358"/>
      <c r="NUI521" s="1358"/>
      <c r="NUJ521" s="1358"/>
      <c r="NUK521" s="1358"/>
      <c r="NUL521" s="1358"/>
      <c r="NUM521" s="1358"/>
      <c r="NUN521" s="1358"/>
      <c r="NUO521" s="1358"/>
      <c r="NUP521" s="1358"/>
      <c r="NUQ521" s="1358"/>
      <c r="NUR521" s="1358"/>
      <c r="NUS521" s="1358"/>
      <c r="NUT521" s="1358"/>
      <c r="NUU521" s="1358"/>
      <c r="NUV521" s="1358"/>
      <c r="NUW521" s="1358"/>
      <c r="NUX521" s="1358"/>
      <c r="NUY521" s="1358"/>
      <c r="NUZ521" s="1358"/>
      <c r="NVA521" s="1358"/>
      <c r="NVB521" s="1358"/>
      <c r="NVC521" s="1358"/>
      <c r="NVD521" s="1358"/>
      <c r="NVE521" s="1358"/>
      <c r="NVF521" s="1358"/>
      <c r="NVG521" s="1358"/>
      <c r="NVH521" s="1358"/>
      <c r="NVI521" s="1358"/>
      <c r="NVJ521" s="1358"/>
      <c r="NVK521" s="1358"/>
      <c r="NVL521" s="1358"/>
      <c r="NVM521" s="1358"/>
      <c r="NVN521" s="1358"/>
      <c r="NVO521" s="1358"/>
      <c r="NVP521" s="1358"/>
      <c r="NVQ521" s="1358"/>
      <c r="NVR521" s="1358"/>
      <c r="NVS521" s="1358"/>
      <c r="NVT521" s="1358"/>
      <c r="NVU521" s="1358"/>
      <c r="NVV521" s="1358"/>
      <c r="NVW521" s="1358"/>
      <c r="NVX521" s="1358"/>
      <c r="NVY521" s="1358"/>
      <c r="NVZ521" s="1358"/>
      <c r="NWA521" s="1358"/>
      <c r="NWB521" s="1358"/>
      <c r="NWC521" s="1358"/>
      <c r="NWD521" s="1358"/>
      <c r="NWE521" s="1358"/>
      <c r="NWF521" s="1358"/>
      <c r="NWG521" s="1358"/>
      <c r="NWH521" s="1358"/>
      <c r="NWI521" s="1358"/>
      <c r="NWJ521" s="1358"/>
      <c r="NWK521" s="1358"/>
      <c r="NWL521" s="1358"/>
      <c r="NWM521" s="1358"/>
      <c r="NWN521" s="1358"/>
      <c r="NWO521" s="1358"/>
      <c r="NWP521" s="1358"/>
      <c r="NWQ521" s="1358"/>
      <c r="NWR521" s="1358"/>
      <c r="NWS521" s="1358"/>
      <c r="NWT521" s="1358"/>
      <c r="NWU521" s="1358"/>
      <c r="NWV521" s="1358"/>
      <c r="NWW521" s="1358"/>
      <c r="NWX521" s="1358"/>
      <c r="NWY521" s="1358"/>
      <c r="NWZ521" s="1358"/>
      <c r="NXA521" s="1358"/>
      <c r="NXB521" s="1358"/>
      <c r="NXC521" s="1358"/>
      <c r="NXD521" s="1358"/>
      <c r="NXE521" s="1358"/>
      <c r="NXF521" s="1358"/>
      <c r="NXG521" s="1358"/>
      <c r="NXH521" s="1358"/>
      <c r="NXI521" s="1358"/>
      <c r="NXJ521" s="1358"/>
      <c r="NXK521" s="1358"/>
      <c r="NXL521" s="1358"/>
      <c r="NXM521" s="1358"/>
      <c r="NXN521" s="1358"/>
      <c r="NXO521" s="1358"/>
      <c r="NXP521" s="1358"/>
      <c r="NXQ521" s="1358"/>
      <c r="NXR521" s="1358"/>
      <c r="NXS521" s="1358"/>
      <c r="NXT521" s="1358"/>
      <c r="NXU521" s="1358"/>
      <c r="NXV521" s="1358"/>
      <c r="NXW521" s="1358"/>
      <c r="NXX521" s="1358"/>
      <c r="NXY521" s="1358"/>
      <c r="NXZ521" s="1358"/>
      <c r="NYA521" s="1358"/>
      <c r="NYB521" s="1358"/>
      <c r="NYC521" s="1358"/>
      <c r="NYD521" s="1358"/>
      <c r="NYE521" s="1358"/>
      <c r="NYF521" s="1358"/>
      <c r="NYG521" s="1358"/>
      <c r="NYH521" s="1358"/>
      <c r="NYI521" s="1358"/>
      <c r="NYJ521" s="1358"/>
      <c r="NYK521" s="1358"/>
      <c r="NYL521" s="1358"/>
      <c r="NYM521" s="1358"/>
      <c r="NYN521" s="1358"/>
      <c r="NYO521" s="1358"/>
      <c r="NYP521" s="1358"/>
      <c r="NYQ521" s="1358"/>
      <c r="NYR521" s="1358"/>
      <c r="NYS521" s="1358"/>
      <c r="NYT521" s="1358"/>
      <c r="NYU521" s="1358"/>
      <c r="NYV521" s="1358"/>
      <c r="NYW521" s="1358"/>
      <c r="NYX521" s="1358"/>
      <c r="NYY521" s="1358"/>
      <c r="NYZ521" s="1358"/>
      <c r="NZA521" s="1358"/>
      <c r="NZB521" s="1358"/>
      <c r="NZC521" s="1358"/>
      <c r="NZD521" s="1358"/>
      <c r="NZE521" s="1358"/>
      <c r="NZF521" s="1358"/>
      <c r="NZG521" s="1358"/>
      <c r="NZH521" s="1358"/>
      <c r="NZI521" s="1358"/>
      <c r="NZJ521" s="1358"/>
      <c r="NZK521" s="1358"/>
      <c r="NZL521" s="1358"/>
      <c r="NZM521" s="1358"/>
      <c r="NZN521" s="1358"/>
      <c r="NZO521" s="1358"/>
      <c r="NZP521" s="1358"/>
      <c r="NZQ521" s="1358"/>
      <c r="NZR521" s="1358"/>
      <c r="NZS521" s="1358"/>
      <c r="NZT521" s="1358"/>
      <c r="NZU521" s="1358"/>
      <c r="NZV521" s="1358"/>
      <c r="NZW521" s="1358"/>
      <c r="NZX521" s="1358"/>
      <c r="NZY521" s="1358"/>
      <c r="NZZ521" s="1358"/>
      <c r="OAA521" s="1358"/>
      <c r="OAB521" s="1358"/>
      <c r="OAC521" s="1358"/>
      <c r="OAD521" s="1358"/>
      <c r="OAE521" s="1358"/>
      <c r="OAF521" s="1358"/>
      <c r="OAG521" s="1358"/>
      <c r="OAH521" s="1358"/>
      <c r="OAI521" s="1358"/>
      <c r="OAJ521" s="1358"/>
      <c r="OAK521" s="1358"/>
      <c r="OAL521" s="1358"/>
      <c r="OAM521" s="1358"/>
      <c r="OAN521" s="1358"/>
      <c r="OAO521" s="1358"/>
      <c r="OAP521" s="1358"/>
      <c r="OAQ521" s="1358"/>
      <c r="OAR521" s="1358"/>
      <c r="OAS521" s="1358"/>
      <c r="OAT521" s="1358"/>
      <c r="OAU521" s="1358"/>
      <c r="OAV521" s="1358"/>
      <c r="OAW521" s="1358"/>
      <c r="OAX521" s="1358"/>
      <c r="OAY521" s="1358"/>
      <c r="OAZ521" s="1358"/>
      <c r="OBA521" s="1358"/>
      <c r="OBB521" s="1358"/>
      <c r="OBC521" s="1358"/>
      <c r="OBD521" s="1358"/>
      <c r="OBE521" s="1358"/>
      <c r="OBF521" s="1358"/>
      <c r="OBG521" s="1358"/>
      <c r="OBH521" s="1358"/>
      <c r="OBI521" s="1358"/>
      <c r="OBJ521" s="1358"/>
      <c r="OBK521" s="1358"/>
      <c r="OBL521" s="1358"/>
      <c r="OBM521" s="1358"/>
      <c r="OBN521" s="1358"/>
      <c r="OBO521" s="1358"/>
      <c r="OBP521" s="1358"/>
      <c r="OBQ521" s="1358"/>
      <c r="OBR521" s="1358"/>
      <c r="OBS521" s="1358"/>
      <c r="OBT521" s="1358"/>
      <c r="OBU521" s="1358"/>
      <c r="OBV521" s="1358"/>
      <c r="OBW521" s="1358"/>
      <c r="OBX521" s="1358"/>
      <c r="OBY521" s="1358"/>
      <c r="OBZ521" s="1358"/>
      <c r="OCA521" s="1358"/>
      <c r="OCB521" s="1358"/>
      <c r="OCC521" s="1358"/>
      <c r="OCD521" s="1358"/>
      <c r="OCE521" s="1358"/>
      <c r="OCF521" s="1358"/>
      <c r="OCG521" s="1358"/>
      <c r="OCH521" s="1358"/>
      <c r="OCI521" s="1358"/>
      <c r="OCJ521" s="1358"/>
      <c r="OCK521" s="1358"/>
      <c r="OCL521" s="1358"/>
      <c r="OCM521" s="1358"/>
      <c r="OCN521" s="1358"/>
      <c r="OCO521" s="1358"/>
      <c r="OCP521" s="1358"/>
      <c r="OCQ521" s="1358"/>
      <c r="OCR521" s="1358"/>
      <c r="OCS521" s="1358"/>
      <c r="OCT521" s="1358"/>
      <c r="OCU521" s="1358"/>
      <c r="OCV521" s="1358"/>
      <c r="OCW521" s="1358"/>
      <c r="OCX521" s="1358"/>
      <c r="OCY521" s="1358"/>
      <c r="OCZ521" s="1358"/>
      <c r="ODA521" s="1358"/>
      <c r="ODB521" s="1358"/>
      <c r="ODC521" s="1358"/>
      <c r="ODD521" s="1358"/>
      <c r="ODE521" s="1358"/>
      <c r="ODF521" s="1358"/>
      <c r="ODG521" s="1358"/>
      <c r="ODH521" s="1358"/>
      <c r="ODI521" s="1358"/>
      <c r="ODJ521" s="1358"/>
      <c r="ODK521" s="1358"/>
      <c r="ODL521" s="1358"/>
      <c r="ODM521" s="1358"/>
      <c r="ODN521" s="1358"/>
      <c r="ODO521" s="1358"/>
      <c r="ODP521" s="1358"/>
      <c r="ODQ521" s="1358"/>
      <c r="ODR521" s="1358"/>
      <c r="ODS521" s="1358"/>
      <c r="ODT521" s="1358"/>
      <c r="ODU521" s="1358"/>
      <c r="ODV521" s="1358"/>
      <c r="ODW521" s="1358"/>
      <c r="ODX521" s="1358"/>
      <c r="ODY521" s="1358"/>
      <c r="ODZ521" s="1358"/>
      <c r="OEA521" s="1358"/>
      <c r="OEB521" s="1358"/>
      <c r="OEC521" s="1358"/>
      <c r="OED521" s="1358"/>
      <c r="OEE521" s="1358"/>
      <c r="OEF521" s="1358"/>
      <c r="OEG521" s="1358"/>
      <c r="OEH521" s="1358"/>
      <c r="OEI521" s="1358"/>
      <c r="OEJ521" s="1358"/>
      <c r="OEK521" s="1358"/>
      <c r="OEL521" s="1358"/>
      <c r="OEM521" s="1358"/>
      <c r="OEN521" s="1358"/>
      <c r="OEO521" s="1358"/>
      <c r="OEP521" s="1358"/>
      <c r="OEQ521" s="1358"/>
      <c r="OER521" s="1358"/>
      <c r="OES521" s="1358"/>
      <c r="OET521" s="1358"/>
      <c r="OEU521" s="1358"/>
      <c r="OEV521" s="1358"/>
      <c r="OEW521" s="1358"/>
      <c r="OEX521" s="1358"/>
      <c r="OEY521" s="1358"/>
      <c r="OEZ521" s="1358"/>
      <c r="OFA521" s="1358"/>
      <c r="OFB521" s="1358"/>
      <c r="OFC521" s="1358"/>
      <c r="OFD521" s="1358"/>
      <c r="OFE521" s="1358"/>
      <c r="OFF521" s="1358"/>
      <c r="OFG521" s="1358"/>
      <c r="OFH521" s="1358"/>
      <c r="OFI521" s="1358"/>
      <c r="OFJ521" s="1358"/>
      <c r="OFK521" s="1358"/>
      <c r="OFL521" s="1358"/>
      <c r="OFM521" s="1358"/>
      <c r="OFN521" s="1358"/>
      <c r="OFO521" s="1358"/>
      <c r="OFP521" s="1358"/>
      <c r="OFQ521" s="1358"/>
      <c r="OFR521" s="1358"/>
      <c r="OFS521" s="1358"/>
      <c r="OFT521" s="1358"/>
      <c r="OFU521" s="1358"/>
      <c r="OFV521" s="1358"/>
      <c r="OFW521" s="1358"/>
      <c r="OFX521" s="1358"/>
      <c r="OFY521" s="1358"/>
      <c r="OFZ521" s="1358"/>
      <c r="OGA521" s="1358"/>
      <c r="OGB521" s="1358"/>
      <c r="OGC521" s="1358"/>
      <c r="OGD521" s="1358"/>
      <c r="OGE521" s="1358"/>
      <c r="OGF521" s="1358"/>
      <c r="OGG521" s="1358"/>
      <c r="OGH521" s="1358"/>
      <c r="OGI521" s="1358"/>
      <c r="OGJ521" s="1358"/>
      <c r="OGK521" s="1358"/>
      <c r="OGL521" s="1358"/>
      <c r="OGM521" s="1358"/>
      <c r="OGN521" s="1358"/>
      <c r="OGO521" s="1358"/>
      <c r="OGP521" s="1358"/>
      <c r="OGQ521" s="1358"/>
      <c r="OGR521" s="1358"/>
      <c r="OGS521" s="1358"/>
      <c r="OGT521" s="1358"/>
      <c r="OGU521" s="1358"/>
      <c r="OGV521" s="1358"/>
      <c r="OGW521" s="1358"/>
      <c r="OGX521" s="1358"/>
      <c r="OGY521" s="1358"/>
      <c r="OGZ521" s="1358"/>
      <c r="OHA521" s="1358"/>
      <c r="OHB521" s="1358"/>
      <c r="OHC521" s="1358"/>
      <c r="OHD521" s="1358"/>
      <c r="OHE521" s="1358"/>
      <c r="OHF521" s="1358"/>
      <c r="OHG521" s="1358"/>
      <c r="OHH521" s="1358"/>
      <c r="OHI521" s="1358"/>
      <c r="OHJ521" s="1358"/>
      <c r="OHK521" s="1358"/>
      <c r="OHL521" s="1358"/>
      <c r="OHM521" s="1358"/>
      <c r="OHN521" s="1358"/>
      <c r="OHO521" s="1358"/>
      <c r="OHP521" s="1358"/>
      <c r="OHQ521" s="1358"/>
      <c r="OHR521" s="1358"/>
      <c r="OHS521" s="1358"/>
      <c r="OHT521" s="1358"/>
      <c r="OHU521" s="1358"/>
      <c r="OHV521" s="1358"/>
      <c r="OHW521" s="1358"/>
      <c r="OHX521" s="1358"/>
      <c r="OHY521" s="1358"/>
      <c r="OHZ521" s="1358"/>
      <c r="OIA521" s="1358"/>
      <c r="OIB521" s="1358"/>
      <c r="OIC521" s="1358"/>
      <c r="OID521" s="1358"/>
      <c r="OIE521" s="1358"/>
      <c r="OIF521" s="1358"/>
      <c r="OIG521" s="1358"/>
      <c r="OIH521" s="1358"/>
      <c r="OII521" s="1358"/>
      <c r="OIJ521" s="1358"/>
      <c r="OIK521" s="1358"/>
      <c r="OIL521" s="1358"/>
      <c r="OIM521" s="1358"/>
      <c r="OIN521" s="1358"/>
      <c r="OIO521" s="1358"/>
      <c r="OIP521" s="1358"/>
      <c r="OIQ521" s="1358"/>
      <c r="OIR521" s="1358"/>
      <c r="OIS521" s="1358"/>
      <c r="OIT521" s="1358"/>
      <c r="OIU521" s="1358"/>
      <c r="OIV521" s="1358"/>
      <c r="OIW521" s="1358"/>
      <c r="OIX521" s="1358"/>
      <c r="OIY521" s="1358"/>
      <c r="OIZ521" s="1358"/>
      <c r="OJA521" s="1358"/>
      <c r="OJB521" s="1358"/>
      <c r="OJC521" s="1358"/>
      <c r="OJD521" s="1358"/>
      <c r="OJE521" s="1358"/>
      <c r="OJF521" s="1358"/>
      <c r="OJG521" s="1358"/>
      <c r="OJH521" s="1358"/>
      <c r="OJI521" s="1358"/>
      <c r="OJJ521" s="1358"/>
      <c r="OJK521" s="1358"/>
      <c r="OJL521" s="1358"/>
      <c r="OJM521" s="1358"/>
      <c r="OJN521" s="1358"/>
      <c r="OJO521" s="1358"/>
      <c r="OJP521" s="1358"/>
      <c r="OJQ521" s="1358"/>
      <c r="OJR521" s="1358"/>
      <c r="OJS521" s="1358"/>
      <c r="OJT521" s="1358"/>
      <c r="OJU521" s="1358"/>
      <c r="OJV521" s="1358"/>
      <c r="OJW521" s="1358"/>
      <c r="OJX521" s="1358"/>
      <c r="OJY521" s="1358"/>
      <c r="OJZ521" s="1358"/>
      <c r="OKA521" s="1358"/>
      <c r="OKB521" s="1358"/>
      <c r="OKC521" s="1358"/>
      <c r="OKD521" s="1358"/>
      <c r="OKE521" s="1358"/>
      <c r="OKF521" s="1358"/>
      <c r="OKG521" s="1358"/>
      <c r="OKH521" s="1358"/>
      <c r="OKI521" s="1358"/>
      <c r="OKJ521" s="1358"/>
      <c r="OKK521" s="1358"/>
      <c r="OKL521" s="1358"/>
      <c r="OKM521" s="1358"/>
      <c r="OKN521" s="1358"/>
      <c r="OKO521" s="1358"/>
      <c r="OKP521" s="1358"/>
      <c r="OKQ521" s="1358"/>
      <c r="OKR521" s="1358"/>
      <c r="OKS521" s="1358"/>
      <c r="OKT521" s="1358"/>
      <c r="OKU521" s="1358"/>
      <c r="OKV521" s="1358"/>
      <c r="OKW521" s="1358"/>
      <c r="OKX521" s="1358"/>
      <c r="OKY521" s="1358"/>
      <c r="OKZ521" s="1358"/>
      <c r="OLA521" s="1358"/>
      <c r="OLB521" s="1358"/>
      <c r="OLC521" s="1358"/>
      <c r="OLD521" s="1358"/>
      <c r="OLE521" s="1358"/>
      <c r="OLF521" s="1358"/>
      <c r="OLG521" s="1358"/>
      <c r="OLH521" s="1358"/>
      <c r="OLI521" s="1358"/>
      <c r="OLJ521" s="1358"/>
      <c r="OLK521" s="1358"/>
      <c r="OLL521" s="1358"/>
      <c r="OLM521" s="1358"/>
      <c r="OLN521" s="1358"/>
      <c r="OLO521" s="1358"/>
      <c r="OLP521" s="1358"/>
      <c r="OLQ521" s="1358"/>
      <c r="OLR521" s="1358"/>
      <c r="OLS521" s="1358"/>
      <c r="OLT521" s="1358"/>
      <c r="OLU521" s="1358"/>
      <c r="OLV521" s="1358"/>
      <c r="OLW521" s="1358"/>
      <c r="OLX521" s="1358"/>
      <c r="OLY521" s="1358"/>
      <c r="OLZ521" s="1358"/>
      <c r="OMA521" s="1358"/>
      <c r="OMB521" s="1358"/>
      <c r="OMC521" s="1358"/>
      <c r="OMD521" s="1358"/>
      <c r="OME521" s="1358"/>
      <c r="OMF521" s="1358"/>
      <c r="OMG521" s="1358"/>
      <c r="OMH521" s="1358"/>
      <c r="OMI521" s="1358"/>
      <c r="OMJ521" s="1358"/>
      <c r="OMK521" s="1358"/>
      <c r="OML521" s="1358"/>
      <c r="OMM521" s="1358"/>
      <c r="OMN521" s="1358"/>
      <c r="OMO521" s="1358"/>
      <c r="OMP521" s="1358"/>
      <c r="OMQ521" s="1358"/>
      <c r="OMR521" s="1358"/>
      <c r="OMS521" s="1358"/>
      <c r="OMT521" s="1358"/>
      <c r="OMU521" s="1358"/>
      <c r="OMV521" s="1358"/>
      <c r="OMW521" s="1358"/>
      <c r="OMX521" s="1358"/>
      <c r="OMY521" s="1358"/>
      <c r="OMZ521" s="1358"/>
      <c r="ONA521" s="1358"/>
      <c r="ONB521" s="1358"/>
      <c r="ONC521" s="1358"/>
      <c r="OND521" s="1358"/>
      <c r="ONE521" s="1358"/>
      <c r="ONF521" s="1358"/>
      <c r="ONG521" s="1358"/>
      <c r="ONH521" s="1358"/>
      <c r="ONI521" s="1358"/>
      <c r="ONJ521" s="1358"/>
      <c r="ONK521" s="1358"/>
      <c r="ONL521" s="1358"/>
      <c r="ONM521" s="1358"/>
      <c r="ONN521" s="1358"/>
      <c r="ONO521" s="1358"/>
      <c r="ONP521" s="1358"/>
      <c r="ONQ521" s="1358"/>
      <c r="ONR521" s="1358"/>
      <c r="ONS521" s="1358"/>
      <c r="ONT521" s="1358"/>
      <c r="ONU521" s="1358"/>
      <c r="ONV521" s="1358"/>
      <c r="ONW521" s="1358"/>
      <c r="ONX521" s="1358"/>
      <c r="ONY521" s="1358"/>
      <c r="ONZ521" s="1358"/>
      <c r="OOA521" s="1358"/>
      <c r="OOB521" s="1358"/>
      <c r="OOC521" s="1358"/>
      <c r="OOD521" s="1358"/>
      <c r="OOE521" s="1358"/>
      <c r="OOF521" s="1358"/>
      <c r="OOG521" s="1358"/>
      <c r="OOH521" s="1358"/>
      <c r="OOI521" s="1358"/>
      <c r="OOJ521" s="1358"/>
      <c r="OOK521" s="1358"/>
      <c r="OOL521" s="1358"/>
      <c r="OOM521" s="1358"/>
      <c r="OON521" s="1358"/>
      <c r="OOO521" s="1358"/>
      <c r="OOP521" s="1358"/>
      <c r="OOQ521" s="1358"/>
      <c r="OOR521" s="1358"/>
      <c r="OOS521" s="1358"/>
      <c r="OOT521" s="1358"/>
      <c r="OOU521" s="1358"/>
      <c r="OOV521" s="1358"/>
      <c r="OOW521" s="1358"/>
      <c r="OOX521" s="1358"/>
      <c r="OOY521" s="1358"/>
      <c r="OOZ521" s="1358"/>
      <c r="OPA521" s="1358"/>
      <c r="OPB521" s="1358"/>
      <c r="OPC521" s="1358"/>
      <c r="OPD521" s="1358"/>
      <c r="OPE521" s="1358"/>
      <c r="OPF521" s="1358"/>
      <c r="OPG521" s="1358"/>
      <c r="OPH521" s="1358"/>
      <c r="OPI521" s="1358"/>
      <c r="OPJ521" s="1358"/>
      <c r="OPK521" s="1358"/>
      <c r="OPL521" s="1358"/>
      <c r="OPM521" s="1358"/>
      <c r="OPN521" s="1358"/>
      <c r="OPO521" s="1358"/>
      <c r="OPP521" s="1358"/>
      <c r="OPQ521" s="1358"/>
      <c r="OPR521" s="1358"/>
      <c r="OPS521" s="1358"/>
      <c r="OPT521" s="1358"/>
      <c r="OPU521" s="1358"/>
      <c r="OPV521" s="1358"/>
      <c r="OPW521" s="1358"/>
      <c r="OPX521" s="1358"/>
      <c r="OPY521" s="1358"/>
      <c r="OPZ521" s="1358"/>
      <c r="OQA521" s="1358"/>
      <c r="OQB521" s="1358"/>
      <c r="OQC521" s="1358"/>
      <c r="OQD521" s="1358"/>
      <c r="OQE521" s="1358"/>
      <c r="OQF521" s="1358"/>
      <c r="OQG521" s="1358"/>
      <c r="OQH521" s="1358"/>
      <c r="OQI521" s="1358"/>
      <c r="OQJ521" s="1358"/>
      <c r="OQK521" s="1358"/>
      <c r="OQL521" s="1358"/>
      <c r="OQM521" s="1358"/>
      <c r="OQN521" s="1358"/>
      <c r="OQO521" s="1358"/>
      <c r="OQP521" s="1358"/>
      <c r="OQQ521" s="1358"/>
      <c r="OQR521" s="1358"/>
      <c r="OQS521" s="1358"/>
      <c r="OQT521" s="1358"/>
      <c r="OQU521" s="1358"/>
      <c r="OQV521" s="1358"/>
      <c r="OQW521" s="1358"/>
      <c r="OQX521" s="1358"/>
      <c r="OQY521" s="1358"/>
      <c r="OQZ521" s="1358"/>
      <c r="ORA521" s="1358"/>
      <c r="ORB521" s="1358"/>
      <c r="ORC521" s="1358"/>
      <c r="ORD521" s="1358"/>
      <c r="ORE521" s="1358"/>
      <c r="ORF521" s="1358"/>
      <c r="ORG521" s="1358"/>
      <c r="ORH521" s="1358"/>
      <c r="ORI521" s="1358"/>
      <c r="ORJ521" s="1358"/>
      <c r="ORK521" s="1358"/>
      <c r="ORL521" s="1358"/>
      <c r="ORM521" s="1358"/>
      <c r="ORN521" s="1358"/>
      <c r="ORO521" s="1358"/>
      <c r="ORP521" s="1358"/>
      <c r="ORQ521" s="1358"/>
      <c r="ORR521" s="1358"/>
      <c r="ORS521" s="1358"/>
      <c r="ORT521" s="1358"/>
      <c r="ORU521" s="1358"/>
      <c r="ORV521" s="1358"/>
      <c r="ORW521" s="1358"/>
      <c r="ORX521" s="1358"/>
      <c r="ORY521" s="1358"/>
      <c r="ORZ521" s="1358"/>
      <c r="OSA521" s="1358"/>
      <c r="OSB521" s="1358"/>
      <c r="OSC521" s="1358"/>
      <c r="OSD521" s="1358"/>
      <c r="OSE521" s="1358"/>
      <c r="OSF521" s="1358"/>
      <c r="OSG521" s="1358"/>
      <c r="OSH521" s="1358"/>
      <c r="OSI521" s="1358"/>
      <c r="OSJ521" s="1358"/>
      <c r="OSK521" s="1358"/>
      <c r="OSL521" s="1358"/>
      <c r="OSM521" s="1358"/>
      <c r="OSN521" s="1358"/>
      <c r="OSO521" s="1358"/>
      <c r="OSP521" s="1358"/>
      <c r="OSQ521" s="1358"/>
      <c r="OSR521" s="1358"/>
      <c r="OSS521" s="1358"/>
      <c r="OST521" s="1358"/>
      <c r="OSU521" s="1358"/>
      <c r="OSV521" s="1358"/>
      <c r="OSW521" s="1358"/>
      <c r="OSX521" s="1358"/>
      <c r="OSY521" s="1358"/>
      <c r="OSZ521" s="1358"/>
      <c r="OTA521" s="1358"/>
      <c r="OTB521" s="1358"/>
      <c r="OTC521" s="1358"/>
      <c r="OTD521" s="1358"/>
      <c r="OTE521" s="1358"/>
      <c r="OTF521" s="1358"/>
      <c r="OTG521" s="1358"/>
      <c r="OTH521" s="1358"/>
      <c r="OTI521" s="1358"/>
      <c r="OTJ521" s="1358"/>
      <c r="OTK521" s="1358"/>
      <c r="OTL521" s="1358"/>
      <c r="OTM521" s="1358"/>
      <c r="OTN521" s="1358"/>
      <c r="OTO521" s="1358"/>
      <c r="OTP521" s="1358"/>
      <c r="OTQ521" s="1358"/>
      <c r="OTR521" s="1358"/>
      <c r="OTS521" s="1358"/>
      <c r="OTT521" s="1358"/>
      <c r="OTU521" s="1358"/>
      <c r="OTV521" s="1358"/>
      <c r="OTW521" s="1358"/>
      <c r="OTX521" s="1358"/>
      <c r="OTY521" s="1358"/>
      <c r="OTZ521" s="1358"/>
      <c r="OUA521" s="1358"/>
      <c r="OUB521" s="1358"/>
      <c r="OUC521" s="1358"/>
      <c r="OUD521" s="1358"/>
      <c r="OUE521" s="1358"/>
      <c r="OUF521" s="1358"/>
      <c r="OUG521" s="1358"/>
      <c r="OUH521" s="1358"/>
      <c r="OUI521" s="1358"/>
      <c r="OUJ521" s="1358"/>
      <c r="OUK521" s="1358"/>
      <c r="OUL521" s="1358"/>
      <c r="OUM521" s="1358"/>
      <c r="OUN521" s="1358"/>
      <c r="OUO521" s="1358"/>
      <c r="OUP521" s="1358"/>
      <c r="OUQ521" s="1358"/>
      <c r="OUR521" s="1358"/>
      <c r="OUS521" s="1358"/>
      <c r="OUT521" s="1358"/>
      <c r="OUU521" s="1358"/>
      <c r="OUV521" s="1358"/>
      <c r="OUW521" s="1358"/>
      <c r="OUX521" s="1358"/>
      <c r="OUY521" s="1358"/>
      <c r="OUZ521" s="1358"/>
      <c r="OVA521" s="1358"/>
      <c r="OVB521" s="1358"/>
      <c r="OVC521" s="1358"/>
      <c r="OVD521" s="1358"/>
      <c r="OVE521" s="1358"/>
      <c r="OVF521" s="1358"/>
      <c r="OVG521" s="1358"/>
      <c r="OVH521" s="1358"/>
      <c r="OVI521" s="1358"/>
      <c r="OVJ521" s="1358"/>
      <c r="OVK521" s="1358"/>
      <c r="OVL521" s="1358"/>
      <c r="OVM521" s="1358"/>
      <c r="OVN521" s="1358"/>
      <c r="OVO521" s="1358"/>
      <c r="OVP521" s="1358"/>
      <c r="OVQ521" s="1358"/>
      <c r="OVR521" s="1358"/>
      <c r="OVS521" s="1358"/>
      <c r="OVT521" s="1358"/>
      <c r="OVU521" s="1358"/>
      <c r="OVV521" s="1358"/>
      <c r="OVW521" s="1358"/>
      <c r="OVX521" s="1358"/>
      <c r="OVY521" s="1358"/>
      <c r="OVZ521" s="1358"/>
      <c r="OWA521" s="1358"/>
      <c r="OWB521" s="1358"/>
      <c r="OWC521" s="1358"/>
      <c r="OWD521" s="1358"/>
      <c r="OWE521" s="1358"/>
      <c r="OWF521" s="1358"/>
      <c r="OWG521" s="1358"/>
      <c r="OWH521" s="1358"/>
      <c r="OWI521" s="1358"/>
      <c r="OWJ521" s="1358"/>
      <c r="OWK521" s="1358"/>
      <c r="OWL521" s="1358"/>
      <c r="OWM521" s="1358"/>
      <c r="OWN521" s="1358"/>
      <c r="OWO521" s="1358"/>
      <c r="OWP521" s="1358"/>
      <c r="OWQ521" s="1358"/>
      <c r="OWR521" s="1358"/>
      <c r="OWS521" s="1358"/>
      <c r="OWT521" s="1358"/>
      <c r="OWU521" s="1358"/>
      <c r="OWV521" s="1358"/>
      <c r="OWW521" s="1358"/>
      <c r="OWX521" s="1358"/>
      <c r="OWY521" s="1358"/>
      <c r="OWZ521" s="1358"/>
      <c r="OXA521" s="1358"/>
      <c r="OXB521" s="1358"/>
      <c r="OXC521" s="1358"/>
      <c r="OXD521" s="1358"/>
      <c r="OXE521" s="1358"/>
      <c r="OXF521" s="1358"/>
      <c r="OXG521" s="1358"/>
      <c r="OXH521" s="1358"/>
      <c r="OXI521" s="1358"/>
      <c r="OXJ521" s="1358"/>
      <c r="OXK521" s="1358"/>
      <c r="OXL521" s="1358"/>
      <c r="OXM521" s="1358"/>
      <c r="OXN521" s="1358"/>
      <c r="OXO521" s="1358"/>
      <c r="OXP521" s="1358"/>
      <c r="OXQ521" s="1358"/>
      <c r="OXR521" s="1358"/>
      <c r="OXS521" s="1358"/>
      <c r="OXT521" s="1358"/>
      <c r="OXU521" s="1358"/>
      <c r="OXV521" s="1358"/>
      <c r="OXW521" s="1358"/>
      <c r="OXX521" s="1358"/>
      <c r="OXY521" s="1358"/>
      <c r="OXZ521" s="1358"/>
      <c r="OYA521" s="1358"/>
      <c r="OYB521" s="1358"/>
      <c r="OYC521" s="1358"/>
      <c r="OYD521" s="1358"/>
      <c r="OYE521" s="1358"/>
      <c r="OYF521" s="1358"/>
      <c r="OYG521" s="1358"/>
      <c r="OYH521" s="1358"/>
      <c r="OYI521" s="1358"/>
      <c r="OYJ521" s="1358"/>
      <c r="OYK521" s="1358"/>
      <c r="OYL521" s="1358"/>
      <c r="OYM521" s="1358"/>
      <c r="OYN521" s="1358"/>
      <c r="OYO521" s="1358"/>
      <c r="OYP521" s="1358"/>
      <c r="OYQ521" s="1358"/>
      <c r="OYR521" s="1358"/>
      <c r="OYS521" s="1358"/>
      <c r="OYT521" s="1358"/>
      <c r="OYU521" s="1358"/>
      <c r="OYV521" s="1358"/>
      <c r="OYW521" s="1358"/>
      <c r="OYX521" s="1358"/>
      <c r="OYY521" s="1358"/>
      <c r="OYZ521" s="1358"/>
      <c r="OZA521" s="1358"/>
      <c r="OZB521" s="1358"/>
      <c r="OZC521" s="1358"/>
      <c r="OZD521" s="1358"/>
      <c r="OZE521" s="1358"/>
      <c r="OZF521" s="1358"/>
      <c r="OZG521" s="1358"/>
      <c r="OZH521" s="1358"/>
      <c r="OZI521" s="1358"/>
      <c r="OZJ521" s="1358"/>
      <c r="OZK521" s="1358"/>
      <c r="OZL521" s="1358"/>
      <c r="OZM521" s="1358"/>
      <c r="OZN521" s="1358"/>
      <c r="OZO521" s="1358"/>
      <c r="OZP521" s="1358"/>
      <c r="OZQ521" s="1358"/>
      <c r="OZR521" s="1358"/>
      <c r="OZS521" s="1358"/>
      <c r="OZT521" s="1358"/>
      <c r="OZU521" s="1358"/>
      <c r="OZV521" s="1358"/>
      <c r="OZW521" s="1358"/>
      <c r="OZX521" s="1358"/>
      <c r="OZY521" s="1358"/>
      <c r="OZZ521" s="1358"/>
      <c r="PAA521" s="1358"/>
      <c r="PAB521" s="1358"/>
      <c r="PAC521" s="1358"/>
      <c r="PAD521" s="1358"/>
      <c r="PAE521" s="1358"/>
      <c r="PAF521" s="1358"/>
      <c r="PAG521" s="1358"/>
      <c r="PAH521" s="1358"/>
      <c r="PAI521" s="1358"/>
      <c r="PAJ521" s="1358"/>
      <c r="PAK521" s="1358"/>
      <c r="PAL521" s="1358"/>
      <c r="PAM521" s="1358"/>
      <c r="PAN521" s="1358"/>
      <c r="PAO521" s="1358"/>
      <c r="PAP521" s="1358"/>
      <c r="PAQ521" s="1358"/>
      <c r="PAR521" s="1358"/>
      <c r="PAS521" s="1358"/>
      <c r="PAT521" s="1358"/>
      <c r="PAU521" s="1358"/>
      <c r="PAV521" s="1358"/>
      <c r="PAW521" s="1358"/>
      <c r="PAX521" s="1358"/>
      <c r="PAY521" s="1358"/>
      <c r="PAZ521" s="1358"/>
      <c r="PBA521" s="1358"/>
      <c r="PBB521" s="1358"/>
      <c r="PBC521" s="1358"/>
      <c r="PBD521" s="1358"/>
      <c r="PBE521" s="1358"/>
      <c r="PBF521" s="1358"/>
      <c r="PBG521" s="1358"/>
      <c r="PBH521" s="1358"/>
      <c r="PBI521" s="1358"/>
      <c r="PBJ521" s="1358"/>
      <c r="PBK521" s="1358"/>
      <c r="PBL521" s="1358"/>
      <c r="PBM521" s="1358"/>
      <c r="PBN521" s="1358"/>
      <c r="PBO521" s="1358"/>
      <c r="PBP521" s="1358"/>
      <c r="PBQ521" s="1358"/>
      <c r="PBR521" s="1358"/>
      <c r="PBS521" s="1358"/>
      <c r="PBT521" s="1358"/>
      <c r="PBU521" s="1358"/>
      <c r="PBV521" s="1358"/>
      <c r="PBW521" s="1358"/>
      <c r="PBX521" s="1358"/>
      <c r="PBY521" s="1358"/>
      <c r="PBZ521" s="1358"/>
      <c r="PCA521" s="1358"/>
      <c r="PCB521" s="1358"/>
      <c r="PCC521" s="1358"/>
      <c r="PCD521" s="1358"/>
      <c r="PCE521" s="1358"/>
      <c r="PCF521" s="1358"/>
      <c r="PCG521" s="1358"/>
      <c r="PCH521" s="1358"/>
      <c r="PCI521" s="1358"/>
      <c r="PCJ521" s="1358"/>
      <c r="PCK521" s="1358"/>
      <c r="PCL521" s="1358"/>
      <c r="PCM521" s="1358"/>
      <c r="PCN521" s="1358"/>
      <c r="PCO521" s="1358"/>
      <c r="PCP521" s="1358"/>
      <c r="PCQ521" s="1358"/>
      <c r="PCR521" s="1358"/>
      <c r="PCS521" s="1358"/>
      <c r="PCT521" s="1358"/>
      <c r="PCU521" s="1358"/>
      <c r="PCV521" s="1358"/>
      <c r="PCW521" s="1358"/>
      <c r="PCX521" s="1358"/>
      <c r="PCY521" s="1358"/>
      <c r="PCZ521" s="1358"/>
      <c r="PDA521" s="1358"/>
      <c r="PDB521" s="1358"/>
      <c r="PDC521" s="1358"/>
      <c r="PDD521" s="1358"/>
      <c r="PDE521" s="1358"/>
      <c r="PDF521" s="1358"/>
      <c r="PDG521" s="1358"/>
      <c r="PDH521" s="1358"/>
      <c r="PDI521" s="1358"/>
      <c r="PDJ521" s="1358"/>
      <c r="PDK521" s="1358"/>
      <c r="PDL521" s="1358"/>
      <c r="PDM521" s="1358"/>
      <c r="PDN521" s="1358"/>
      <c r="PDO521" s="1358"/>
      <c r="PDP521" s="1358"/>
      <c r="PDQ521" s="1358"/>
      <c r="PDR521" s="1358"/>
      <c r="PDS521" s="1358"/>
      <c r="PDT521" s="1358"/>
      <c r="PDU521" s="1358"/>
      <c r="PDV521" s="1358"/>
      <c r="PDW521" s="1358"/>
      <c r="PDX521" s="1358"/>
      <c r="PDY521" s="1358"/>
      <c r="PDZ521" s="1358"/>
      <c r="PEA521" s="1358"/>
      <c r="PEB521" s="1358"/>
      <c r="PEC521" s="1358"/>
      <c r="PED521" s="1358"/>
      <c r="PEE521" s="1358"/>
      <c r="PEF521" s="1358"/>
      <c r="PEG521" s="1358"/>
      <c r="PEH521" s="1358"/>
      <c r="PEI521" s="1358"/>
      <c r="PEJ521" s="1358"/>
      <c r="PEK521" s="1358"/>
      <c r="PEL521" s="1358"/>
      <c r="PEM521" s="1358"/>
      <c r="PEN521" s="1358"/>
      <c r="PEO521" s="1358"/>
      <c r="PEP521" s="1358"/>
      <c r="PEQ521" s="1358"/>
      <c r="PER521" s="1358"/>
      <c r="PES521" s="1358"/>
      <c r="PET521" s="1358"/>
      <c r="PEU521" s="1358"/>
      <c r="PEV521" s="1358"/>
      <c r="PEW521" s="1358"/>
      <c r="PEX521" s="1358"/>
      <c r="PEY521" s="1358"/>
      <c r="PEZ521" s="1358"/>
      <c r="PFA521" s="1358"/>
      <c r="PFB521" s="1358"/>
      <c r="PFC521" s="1358"/>
      <c r="PFD521" s="1358"/>
      <c r="PFE521" s="1358"/>
      <c r="PFF521" s="1358"/>
      <c r="PFG521" s="1358"/>
      <c r="PFH521" s="1358"/>
      <c r="PFI521" s="1358"/>
      <c r="PFJ521" s="1358"/>
      <c r="PFK521" s="1358"/>
      <c r="PFL521" s="1358"/>
      <c r="PFM521" s="1358"/>
      <c r="PFN521" s="1358"/>
      <c r="PFO521" s="1358"/>
      <c r="PFP521" s="1358"/>
      <c r="PFQ521" s="1358"/>
      <c r="PFR521" s="1358"/>
      <c r="PFS521" s="1358"/>
      <c r="PFT521" s="1358"/>
      <c r="PFU521" s="1358"/>
      <c r="PFV521" s="1358"/>
      <c r="PFW521" s="1358"/>
      <c r="PFX521" s="1358"/>
      <c r="PFY521" s="1358"/>
      <c r="PFZ521" s="1358"/>
      <c r="PGA521" s="1358"/>
      <c r="PGB521" s="1358"/>
      <c r="PGC521" s="1358"/>
      <c r="PGD521" s="1358"/>
      <c r="PGE521" s="1358"/>
      <c r="PGF521" s="1358"/>
      <c r="PGG521" s="1358"/>
      <c r="PGH521" s="1358"/>
      <c r="PGI521" s="1358"/>
      <c r="PGJ521" s="1358"/>
      <c r="PGK521" s="1358"/>
      <c r="PGL521" s="1358"/>
      <c r="PGM521" s="1358"/>
      <c r="PGN521" s="1358"/>
      <c r="PGO521" s="1358"/>
      <c r="PGP521" s="1358"/>
      <c r="PGQ521" s="1358"/>
      <c r="PGR521" s="1358"/>
      <c r="PGS521" s="1358"/>
      <c r="PGT521" s="1358"/>
      <c r="PGU521" s="1358"/>
      <c r="PGV521" s="1358"/>
      <c r="PGW521" s="1358"/>
      <c r="PGX521" s="1358"/>
      <c r="PGY521" s="1358"/>
      <c r="PGZ521" s="1358"/>
      <c r="PHA521" s="1358"/>
      <c r="PHB521" s="1358"/>
      <c r="PHC521" s="1358"/>
      <c r="PHD521" s="1358"/>
      <c r="PHE521" s="1358"/>
      <c r="PHF521" s="1358"/>
      <c r="PHG521" s="1358"/>
      <c r="PHH521" s="1358"/>
      <c r="PHI521" s="1358"/>
      <c r="PHJ521" s="1358"/>
      <c r="PHK521" s="1358"/>
      <c r="PHL521" s="1358"/>
      <c r="PHM521" s="1358"/>
      <c r="PHN521" s="1358"/>
      <c r="PHO521" s="1358"/>
      <c r="PHP521" s="1358"/>
      <c r="PHQ521" s="1358"/>
      <c r="PHR521" s="1358"/>
      <c r="PHS521" s="1358"/>
      <c r="PHT521" s="1358"/>
      <c r="PHU521" s="1358"/>
      <c r="PHV521" s="1358"/>
      <c r="PHW521" s="1358"/>
      <c r="PHX521" s="1358"/>
      <c r="PHY521" s="1358"/>
      <c r="PHZ521" s="1358"/>
      <c r="PIA521" s="1358"/>
      <c r="PIB521" s="1358"/>
      <c r="PIC521" s="1358"/>
      <c r="PID521" s="1358"/>
      <c r="PIE521" s="1358"/>
      <c r="PIF521" s="1358"/>
      <c r="PIG521" s="1358"/>
      <c r="PIH521" s="1358"/>
      <c r="PII521" s="1358"/>
      <c r="PIJ521" s="1358"/>
      <c r="PIK521" s="1358"/>
      <c r="PIL521" s="1358"/>
      <c r="PIM521" s="1358"/>
      <c r="PIN521" s="1358"/>
      <c r="PIO521" s="1358"/>
      <c r="PIP521" s="1358"/>
      <c r="PIQ521" s="1358"/>
      <c r="PIR521" s="1358"/>
      <c r="PIS521" s="1358"/>
      <c r="PIT521" s="1358"/>
      <c r="PIU521" s="1358"/>
      <c r="PIV521" s="1358"/>
      <c r="PIW521" s="1358"/>
      <c r="PIX521" s="1358"/>
      <c r="PIY521" s="1358"/>
      <c r="PIZ521" s="1358"/>
      <c r="PJA521" s="1358"/>
      <c r="PJB521" s="1358"/>
      <c r="PJC521" s="1358"/>
      <c r="PJD521" s="1358"/>
      <c r="PJE521" s="1358"/>
      <c r="PJF521" s="1358"/>
      <c r="PJG521" s="1358"/>
      <c r="PJH521" s="1358"/>
      <c r="PJI521" s="1358"/>
      <c r="PJJ521" s="1358"/>
      <c r="PJK521" s="1358"/>
      <c r="PJL521" s="1358"/>
      <c r="PJM521" s="1358"/>
      <c r="PJN521" s="1358"/>
      <c r="PJO521" s="1358"/>
      <c r="PJP521" s="1358"/>
      <c r="PJQ521" s="1358"/>
      <c r="PJR521" s="1358"/>
      <c r="PJS521" s="1358"/>
      <c r="PJT521" s="1358"/>
      <c r="PJU521" s="1358"/>
      <c r="PJV521" s="1358"/>
      <c r="PJW521" s="1358"/>
      <c r="PJX521" s="1358"/>
      <c r="PJY521" s="1358"/>
      <c r="PJZ521" s="1358"/>
      <c r="PKA521" s="1358"/>
      <c r="PKB521" s="1358"/>
      <c r="PKC521" s="1358"/>
      <c r="PKD521" s="1358"/>
      <c r="PKE521" s="1358"/>
      <c r="PKF521" s="1358"/>
      <c r="PKG521" s="1358"/>
      <c r="PKH521" s="1358"/>
      <c r="PKI521" s="1358"/>
      <c r="PKJ521" s="1358"/>
      <c r="PKK521" s="1358"/>
      <c r="PKL521" s="1358"/>
      <c r="PKM521" s="1358"/>
      <c r="PKN521" s="1358"/>
      <c r="PKO521" s="1358"/>
      <c r="PKP521" s="1358"/>
      <c r="PKQ521" s="1358"/>
      <c r="PKR521" s="1358"/>
      <c r="PKS521" s="1358"/>
      <c r="PKT521" s="1358"/>
      <c r="PKU521" s="1358"/>
      <c r="PKV521" s="1358"/>
      <c r="PKW521" s="1358"/>
      <c r="PKX521" s="1358"/>
      <c r="PKY521" s="1358"/>
      <c r="PKZ521" s="1358"/>
      <c r="PLA521" s="1358"/>
      <c r="PLB521" s="1358"/>
      <c r="PLC521" s="1358"/>
      <c r="PLD521" s="1358"/>
      <c r="PLE521" s="1358"/>
      <c r="PLF521" s="1358"/>
      <c r="PLG521" s="1358"/>
      <c r="PLH521" s="1358"/>
      <c r="PLI521" s="1358"/>
      <c r="PLJ521" s="1358"/>
      <c r="PLK521" s="1358"/>
      <c r="PLL521" s="1358"/>
      <c r="PLM521" s="1358"/>
      <c r="PLN521" s="1358"/>
      <c r="PLO521" s="1358"/>
      <c r="PLP521" s="1358"/>
      <c r="PLQ521" s="1358"/>
      <c r="PLR521" s="1358"/>
      <c r="PLS521" s="1358"/>
      <c r="PLT521" s="1358"/>
      <c r="PLU521" s="1358"/>
      <c r="PLV521" s="1358"/>
      <c r="PLW521" s="1358"/>
      <c r="PLX521" s="1358"/>
      <c r="PLY521" s="1358"/>
      <c r="PLZ521" s="1358"/>
      <c r="PMA521" s="1358"/>
      <c r="PMB521" s="1358"/>
      <c r="PMC521" s="1358"/>
      <c r="PMD521" s="1358"/>
      <c r="PME521" s="1358"/>
      <c r="PMF521" s="1358"/>
      <c r="PMG521" s="1358"/>
      <c r="PMH521" s="1358"/>
      <c r="PMI521" s="1358"/>
      <c r="PMJ521" s="1358"/>
      <c r="PMK521" s="1358"/>
      <c r="PML521" s="1358"/>
      <c r="PMM521" s="1358"/>
      <c r="PMN521" s="1358"/>
      <c r="PMO521" s="1358"/>
      <c r="PMP521" s="1358"/>
      <c r="PMQ521" s="1358"/>
      <c r="PMR521" s="1358"/>
      <c r="PMS521" s="1358"/>
      <c r="PMT521" s="1358"/>
      <c r="PMU521" s="1358"/>
      <c r="PMV521" s="1358"/>
      <c r="PMW521" s="1358"/>
      <c r="PMX521" s="1358"/>
      <c r="PMY521" s="1358"/>
      <c r="PMZ521" s="1358"/>
      <c r="PNA521" s="1358"/>
      <c r="PNB521" s="1358"/>
      <c r="PNC521" s="1358"/>
      <c r="PND521" s="1358"/>
      <c r="PNE521" s="1358"/>
      <c r="PNF521" s="1358"/>
      <c r="PNG521" s="1358"/>
      <c r="PNH521" s="1358"/>
      <c r="PNI521" s="1358"/>
      <c r="PNJ521" s="1358"/>
      <c r="PNK521" s="1358"/>
      <c r="PNL521" s="1358"/>
      <c r="PNM521" s="1358"/>
      <c r="PNN521" s="1358"/>
      <c r="PNO521" s="1358"/>
      <c r="PNP521" s="1358"/>
      <c r="PNQ521" s="1358"/>
      <c r="PNR521" s="1358"/>
      <c r="PNS521" s="1358"/>
      <c r="PNT521" s="1358"/>
      <c r="PNU521" s="1358"/>
      <c r="PNV521" s="1358"/>
      <c r="PNW521" s="1358"/>
      <c r="PNX521" s="1358"/>
      <c r="PNY521" s="1358"/>
      <c r="PNZ521" s="1358"/>
      <c r="POA521" s="1358"/>
      <c r="POB521" s="1358"/>
      <c r="POC521" s="1358"/>
      <c r="POD521" s="1358"/>
      <c r="POE521" s="1358"/>
      <c r="POF521" s="1358"/>
      <c r="POG521" s="1358"/>
      <c r="POH521" s="1358"/>
      <c r="POI521" s="1358"/>
      <c r="POJ521" s="1358"/>
      <c r="POK521" s="1358"/>
      <c r="POL521" s="1358"/>
      <c r="POM521" s="1358"/>
      <c r="PON521" s="1358"/>
      <c r="POO521" s="1358"/>
      <c r="POP521" s="1358"/>
      <c r="POQ521" s="1358"/>
      <c r="POR521" s="1358"/>
      <c r="POS521" s="1358"/>
      <c r="POT521" s="1358"/>
      <c r="POU521" s="1358"/>
      <c r="POV521" s="1358"/>
      <c r="POW521" s="1358"/>
      <c r="POX521" s="1358"/>
      <c r="POY521" s="1358"/>
      <c r="POZ521" s="1358"/>
      <c r="PPA521" s="1358"/>
      <c r="PPB521" s="1358"/>
      <c r="PPC521" s="1358"/>
      <c r="PPD521" s="1358"/>
      <c r="PPE521" s="1358"/>
      <c r="PPF521" s="1358"/>
      <c r="PPG521" s="1358"/>
      <c r="PPH521" s="1358"/>
      <c r="PPI521" s="1358"/>
      <c r="PPJ521" s="1358"/>
      <c r="PPK521" s="1358"/>
      <c r="PPL521" s="1358"/>
      <c r="PPM521" s="1358"/>
      <c r="PPN521" s="1358"/>
      <c r="PPO521" s="1358"/>
      <c r="PPP521" s="1358"/>
      <c r="PPQ521" s="1358"/>
      <c r="PPR521" s="1358"/>
      <c r="PPS521" s="1358"/>
      <c r="PPT521" s="1358"/>
      <c r="PPU521" s="1358"/>
      <c r="PPV521" s="1358"/>
      <c r="PPW521" s="1358"/>
      <c r="PPX521" s="1358"/>
      <c r="PPY521" s="1358"/>
      <c r="PPZ521" s="1358"/>
      <c r="PQA521" s="1358"/>
      <c r="PQB521" s="1358"/>
      <c r="PQC521" s="1358"/>
      <c r="PQD521" s="1358"/>
      <c r="PQE521" s="1358"/>
      <c r="PQF521" s="1358"/>
      <c r="PQG521" s="1358"/>
      <c r="PQH521" s="1358"/>
      <c r="PQI521" s="1358"/>
      <c r="PQJ521" s="1358"/>
      <c r="PQK521" s="1358"/>
      <c r="PQL521" s="1358"/>
      <c r="PQM521" s="1358"/>
      <c r="PQN521" s="1358"/>
      <c r="PQO521" s="1358"/>
      <c r="PQP521" s="1358"/>
      <c r="PQQ521" s="1358"/>
      <c r="PQR521" s="1358"/>
      <c r="PQS521" s="1358"/>
      <c r="PQT521" s="1358"/>
      <c r="PQU521" s="1358"/>
      <c r="PQV521" s="1358"/>
      <c r="PQW521" s="1358"/>
      <c r="PQX521" s="1358"/>
      <c r="PQY521" s="1358"/>
      <c r="PQZ521" s="1358"/>
      <c r="PRA521" s="1358"/>
      <c r="PRB521" s="1358"/>
      <c r="PRC521" s="1358"/>
      <c r="PRD521" s="1358"/>
      <c r="PRE521" s="1358"/>
      <c r="PRF521" s="1358"/>
      <c r="PRG521" s="1358"/>
      <c r="PRH521" s="1358"/>
      <c r="PRI521" s="1358"/>
      <c r="PRJ521" s="1358"/>
      <c r="PRK521" s="1358"/>
      <c r="PRL521" s="1358"/>
      <c r="PRM521" s="1358"/>
      <c r="PRN521" s="1358"/>
      <c r="PRO521" s="1358"/>
      <c r="PRP521" s="1358"/>
      <c r="PRQ521" s="1358"/>
      <c r="PRR521" s="1358"/>
      <c r="PRS521" s="1358"/>
      <c r="PRT521" s="1358"/>
      <c r="PRU521" s="1358"/>
      <c r="PRV521" s="1358"/>
      <c r="PRW521" s="1358"/>
      <c r="PRX521" s="1358"/>
      <c r="PRY521" s="1358"/>
      <c r="PRZ521" s="1358"/>
      <c r="PSA521" s="1358"/>
      <c r="PSB521" s="1358"/>
      <c r="PSC521" s="1358"/>
      <c r="PSD521" s="1358"/>
      <c r="PSE521" s="1358"/>
      <c r="PSF521" s="1358"/>
      <c r="PSG521" s="1358"/>
      <c r="PSH521" s="1358"/>
      <c r="PSI521" s="1358"/>
      <c r="PSJ521" s="1358"/>
      <c r="PSK521" s="1358"/>
      <c r="PSL521" s="1358"/>
      <c r="PSM521" s="1358"/>
      <c r="PSN521" s="1358"/>
      <c r="PSO521" s="1358"/>
      <c r="PSP521" s="1358"/>
      <c r="PSQ521" s="1358"/>
      <c r="PSR521" s="1358"/>
      <c r="PSS521" s="1358"/>
      <c r="PST521" s="1358"/>
      <c r="PSU521" s="1358"/>
      <c r="PSV521" s="1358"/>
      <c r="PSW521" s="1358"/>
      <c r="PSX521" s="1358"/>
      <c r="PSY521" s="1358"/>
      <c r="PSZ521" s="1358"/>
      <c r="PTA521" s="1358"/>
      <c r="PTB521" s="1358"/>
      <c r="PTC521" s="1358"/>
      <c r="PTD521" s="1358"/>
      <c r="PTE521" s="1358"/>
      <c r="PTF521" s="1358"/>
      <c r="PTG521" s="1358"/>
      <c r="PTH521" s="1358"/>
      <c r="PTI521" s="1358"/>
      <c r="PTJ521" s="1358"/>
      <c r="PTK521" s="1358"/>
      <c r="PTL521" s="1358"/>
      <c r="PTM521" s="1358"/>
      <c r="PTN521" s="1358"/>
      <c r="PTO521" s="1358"/>
      <c r="PTP521" s="1358"/>
      <c r="PTQ521" s="1358"/>
      <c r="PTR521" s="1358"/>
      <c r="PTS521" s="1358"/>
      <c r="PTT521" s="1358"/>
      <c r="PTU521" s="1358"/>
      <c r="PTV521" s="1358"/>
      <c r="PTW521" s="1358"/>
      <c r="PTX521" s="1358"/>
      <c r="PTY521" s="1358"/>
      <c r="PTZ521" s="1358"/>
      <c r="PUA521" s="1358"/>
      <c r="PUB521" s="1358"/>
      <c r="PUC521" s="1358"/>
      <c r="PUD521" s="1358"/>
      <c r="PUE521" s="1358"/>
      <c r="PUF521" s="1358"/>
      <c r="PUG521" s="1358"/>
      <c r="PUH521" s="1358"/>
      <c r="PUI521" s="1358"/>
      <c r="PUJ521" s="1358"/>
      <c r="PUK521" s="1358"/>
      <c r="PUL521" s="1358"/>
      <c r="PUM521" s="1358"/>
      <c r="PUN521" s="1358"/>
      <c r="PUO521" s="1358"/>
      <c r="PUP521" s="1358"/>
      <c r="PUQ521" s="1358"/>
      <c r="PUR521" s="1358"/>
      <c r="PUS521" s="1358"/>
      <c r="PUT521" s="1358"/>
      <c r="PUU521" s="1358"/>
      <c r="PUV521" s="1358"/>
      <c r="PUW521" s="1358"/>
      <c r="PUX521" s="1358"/>
      <c r="PUY521" s="1358"/>
      <c r="PUZ521" s="1358"/>
      <c r="PVA521" s="1358"/>
      <c r="PVB521" s="1358"/>
      <c r="PVC521" s="1358"/>
      <c r="PVD521" s="1358"/>
      <c r="PVE521" s="1358"/>
      <c r="PVF521" s="1358"/>
      <c r="PVG521" s="1358"/>
      <c r="PVH521" s="1358"/>
      <c r="PVI521" s="1358"/>
      <c r="PVJ521" s="1358"/>
      <c r="PVK521" s="1358"/>
      <c r="PVL521" s="1358"/>
      <c r="PVM521" s="1358"/>
      <c r="PVN521" s="1358"/>
      <c r="PVO521" s="1358"/>
      <c r="PVP521" s="1358"/>
      <c r="PVQ521" s="1358"/>
      <c r="PVR521" s="1358"/>
      <c r="PVS521" s="1358"/>
      <c r="PVT521" s="1358"/>
      <c r="PVU521" s="1358"/>
      <c r="PVV521" s="1358"/>
      <c r="PVW521" s="1358"/>
      <c r="PVX521" s="1358"/>
      <c r="PVY521" s="1358"/>
      <c r="PVZ521" s="1358"/>
      <c r="PWA521" s="1358"/>
      <c r="PWB521" s="1358"/>
      <c r="PWC521" s="1358"/>
      <c r="PWD521" s="1358"/>
      <c r="PWE521" s="1358"/>
      <c r="PWF521" s="1358"/>
      <c r="PWG521" s="1358"/>
      <c r="PWH521" s="1358"/>
      <c r="PWI521" s="1358"/>
      <c r="PWJ521" s="1358"/>
      <c r="PWK521" s="1358"/>
      <c r="PWL521" s="1358"/>
      <c r="PWM521" s="1358"/>
      <c r="PWN521" s="1358"/>
      <c r="PWO521" s="1358"/>
      <c r="PWP521" s="1358"/>
      <c r="PWQ521" s="1358"/>
      <c r="PWR521" s="1358"/>
      <c r="PWS521" s="1358"/>
      <c r="PWT521" s="1358"/>
      <c r="PWU521" s="1358"/>
      <c r="PWV521" s="1358"/>
      <c r="PWW521" s="1358"/>
      <c r="PWX521" s="1358"/>
      <c r="PWY521" s="1358"/>
      <c r="PWZ521" s="1358"/>
      <c r="PXA521" s="1358"/>
      <c r="PXB521" s="1358"/>
      <c r="PXC521" s="1358"/>
      <c r="PXD521" s="1358"/>
      <c r="PXE521" s="1358"/>
      <c r="PXF521" s="1358"/>
      <c r="PXG521" s="1358"/>
      <c r="PXH521" s="1358"/>
      <c r="PXI521" s="1358"/>
      <c r="PXJ521" s="1358"/>
      <c r="PXK521" s="1358"/>
      <c r="PXL521" s="1358"/>
      <c r="PXM521" s="1358"/>
      <c r="PXN521" s="1358"/>
      <c r="PXO521" s="1358"/>
      <c r="PXP521" s="1358"/>
      <c r="PXQ521" s="1358"/>
      <c r="PXR521" s="1358"/>
      <c r="PXS521" s="1358"/>
      <c r="PXT521" s="1358"/>
      <c r="PXU521" s="1358"/>
      <c r="PXV521" s="1358"/>
      <c r="PXW521" s="1358"/>
      <c r="PXX521" s="1358"/>
      <c r="PXY521" s="1358"/>
      <c r="PXZ521" s="1358"/>
      <c r="PYA521" s="1358"/>
      <c r="PYB521" s="1358"/>
      <c r="PYC521" s="1358"/>
      <c r="PYD521" s="1358"/>
      <c r="PYE521" s="1358"/>
      <c r="PYF521" s="1358"/>
      <c r="PYG521" s="1358"/>
      <c r="PYH521" s="1358"/>
      <c r="PYI521" s="1358"/>
      <c r="PYJ521" s="1358"/>
      <c r="PYK521" s="1358"/>
      <c r="PYL521" s="1358"/>
      <c r="PYM521" s="1358"/>
      <c r="PYN521" s="1358"/>
      <c r="PYO521" s="1358"/>
      <c r="PYP521" s="1358"/>
      <c r="PYQ521" s="1358"/>
      <c r="PYR521" s="1358"/>
      <c r="PYS521" s="1358"/>
      <c r="PYT521" s="1358"/>
      <c r="PYU521" s="1358"/>
      <c r="PYV521" s="1358"/>
      <c r="PYW521" s="1358"/>
      <c r="PYX521" s="1358"/>
      <c r="PYY521" s="1358"/>
      <c r="PYZ521" s="1358"/>
      <c r="PZA521" s="1358"/>
      <c r="PZB521" s="1358"/>
      <c r="PZC521" s="1358"/>
      <c r="PZD521" s="1358"/>
      <c r="PZE521" s="1358"/>
      <c r="PZF521" s="1358"/>
      <c r="PZG521" s="1358"/>
      <c r="PZH521" s="1358"/>
      <c r="PZI521" s="1358"/>
      <c r="PZJ521" s="1358"/>
      <c r="PZK521" s="1358"/>
      <c r="PZL521" s="1358"/>
      <c r="PZM521" s="1358"/>
      <c r="PZN521" s="1358"/>
      <c r="PZO521" s="1358"/>
      <c r="PZP521" s="1358"/>
      <c r="PZQ521" s="1358"/>
      <c r="PZR521" s="1358"/>
      <c r="PZS521" s="1358"/>
      <c r="PZT521" s="1358"/>
      <c r="PZU521" s="1358"/>
      <c r="PZV521" s="1358"/>
      <c r="PZW521" s="1358"/>
      <c r="PZX521" s="1358"/>
      <c r="PZY521" s="1358"/>
      <c r="PZZ521" s="1358"/>
      <c r="QAA521" s="1358"/>
      <c r="QAB521" s="1358"/>
      <c r="QAC521" s="1358"/>
      <c r="QAD521" s="1358"/>
      <c r="QAE521" s="1358"/>
      <c r="QAF521" s="1358"/>
      <c r="QAG521" s="1358"/>
      <c r="QAH521" s="1358"/>
      <c r="QAI521" s="1358"/>
      <c r="QAJ521" s="1358"/>
      <c r="QAK521" s="1358"/>
      <c r="QAL521" s="1358"/>
      <c r="QAM521" s="1358"/>
      <c r="QAN521" s="1358"/>
      <c r="QAO521" s="1358"/>
      <c r="QAP521" s="1358"/>
      <c r="QAQ521" s="1358"/>
      <c r="QAR521" s="1358"/>
      <c r="QAS521" s="1358"/>
      <c r="QAT521" s="1358"/>
      <c r="QAU521" s="1358"/>
      <c r="QAV521" s="1358"/>
      <c r="QAW521" s="1358"/>
      <c r="QAX521" s="1358"/>
      <c r="QAY521" s="1358"/>
      <c r="QAZ521" s="1358"/>
      <c r="QBA521" s="1358"/>
      <c r="QBB521" s="1358"/>
      <c r="QBC521" s="1358"/>
      <c r="QBD521" s="1358"/>
      <c r="QBE521" s="1358"/>
      <c r="QBF521" s="1358"/>
      <c r="QBG521" s="1358"/>
      <c r="QBH521" s="1358"/>
      <c r="QBI521" s="1358"/>
      <c r="QBJ521" s="1358"/>
      <c r="QBK521" s="1358"/>
      <c r="QBL521" s="1358"/>
      <c r="QBM521" s="1358"/>
      <c r="QBN521" s="1358"/>
      <c r="QBO521" s="1358"/>
      <c r="QBP521" s="1358"/>
      <c r="QBQ521" s="1358"/>
      <c r="QBR521" s="1358"/>
      <c r="QBS521" s="1358"/>
      <c r="QBT521" s="1358"/>
      <c r="QBU521" s="1358"/>
      <c r="QBV521" s="1358"/>
      <c r="QBW521" s="1358"/>
      <c r="QBX521" s="1358"/>
      <c r="QBY521" s="1358"/>
      <c r="QBZ521" s="1358"/>
      <c r="QCA521" s="1358"/>
      <c r="QCB521" s="1358"/>
      <c r="QCC521" s="1358"/>
      <c r="QCD521" s="1358"/>
      <c r="QCE521" s="1358"/>
      <c r="QCF521" s="1358"/>
      <c r="QCG521" s="1358"/>
      <c r="QCH521" s="1358"/>
      <c r="QCI521" s="1358"/>
      <c r="QCJ521" s="1358"/>
      <c r="QCK521" s="1358"/>
      <c r="QCL521" s="1358"/>
      <c r="QCM521" s="1358"/>
      <c r="QCN521" s="1358"/>
      <c r="QCO521" s="1358"/>
      <c r="QCP521" s="1358"/>
      <c r="QCQ521" s="1358"/>
      <c r="QCR521" s="1358"/>
      <c r="QCS521" s="1358"/>
      <c r="QCT521" s="1358"/>
      <c r="QCU521" s="1358"/>
      <c r="QCV521" s="1358"/>
      <c r="QCW521" s="1358"/>
      <c r="QCX521" s="1358"/>
      <c r="QCY521" s="1358"/>
      <c r="QCZ521" s="1358"/>
      <c r="QDA521" s="1358"/>
      <c r="QDB521" s="1358"/>
      <c r="QDC521" s="1358"/>
      <c r="QDD521" s="1358"/>
      <c r="QDE521" s="1358"/>
      <c r="QDF521" s="1358"/>
      <c r="QDG521" s="1358"/>
      <c r="QDH521" s="1358"/>
      <c r="QDI521" s="1358"/>
      <c r="QDJ521" s="1358"/>
      <c r="QDK521" s="1358"/>
      <c r="QDL521" s="1358"/>
      <c r="QDM521" s="1358"/>
      <c r="QDN521" s="1358"/>
      <c r="QDO521" s="1358"/>
      <c r="QDP521" s="1358"/>
      <c r="QDQ521" s="1358"/>
      <c r="QDR521" s="1358"/>
      <c r="QDS521" s="1358"/>
      <c r="QDT521" s="1358"/>
      <c r="QDU521" s="1358"/>
      <c r="QDV521" s="1358"/>
      <c r="QDW521" s="1358"/>
      <c r="QDX521" s="1358"/>
      <c r="QDY521" s="1358"/>
      <c r="QDZ521" s="1358"/>
      <c r="QEA521" s="1358"/>
      <c r="QEB521" s="1358"/>
      <c r="QEC521" s="1358"/>
      <c r="QED521" s="1358"/>
      <c r="QEE521" s="1358"/>
      <c r="QEF521" s="1358"/>
      <c r="QEG521" s="1358"/>
      <c r="QEH521" s="1358"/>
      <c r="QEI521" s="1358"/>
      <c r="QEJ521" s="1358"/>
      <c r="QEK521" s="1358"/>
      <c r="QEL521" s="1358"/>
      <c r="QEM521" s="1358"/>
      <c r="QEN521" s="1358"/>
      <c r="QEO521" s="1358"/>
      <c r="QEP521" s="1358"/>
      <c r="QEQ521" s="1358"/>
      <c r="QER521" s="1358"/>
      <c r="QES521" s="1358"/>
      <c r="QET521" s="1358"/>
      <c r="QEU521" s="1358"/>
      <c r="QEV521" s="1358"/>
      <c r="QEW521" s="1358"/>
      <c r="QEX521" s="1358"/>
      <c r="QEY521" s="1358"/>
      <c r="QEZ521" s="1358"/>
      <c r="QFA521" s="1358"/>
      <c r="QFB521" s="1358"/>
      <c r="QFC521" s="1358"/>
      <c r="QFD521" s="1358"/>
      <c r="QFE521" s="1358"/>
      <c r="QFF521" s="1358"/>
      <c r="QFG521" s="1358"/>
      <c r="QFH521" s="1358"/>
      <c r="QFI521" s="1358"/>
      <c r="QFJ521" s="1358"/>
      <c r="QFK521" s="1358"/>
      <c r="QFL521" s="1358"/>
      <c r="QFM521" s="1358"/>
      <c r="QFN521" s="1358"/>
      <c r="QFO521" s="1358"/>
      <c r="QFP521" s="1358"/>
      <c r="QFQ521" s="1358"/>
      <c r="QFR521" s="1358"/>
      <c r="QFS521" s="1358"/>
      <c r="QFT521" s="1358"/>
      <c r="QFU521" s="1358"/>
      <c r="QFV521" s="1358"/>
      <c r="QFW521" s="1358"/>
      <c r="QFX521" s="1358"/>
      <c r="QFY521" s="1358"/>
      <c r="QFZ521" s="1358"/>
      <c r="QGA521" s="1358"/>
      <c r="QGB521" s="1358"/>
      <c r="QGC521" s="1358"/>
      <c r="QGD521" s="1358"/>
      <c r="QGE521" s="1358"/>
      <c r="QGF521" s="1358"/>
      <c r="QGG521" s="1358"/>
      <c r="QGH521" s="1358"/>
      <c r="QGI521" s="1358"/>
      <c r="QGJ521" s="1358"/>
      <c r="QGK521" s="1358"/>
      <c r="QGL521" s="1358"/>
      <c r="QGM521" s="1358"/>
      <c r="QGN521" s="1358"/>
      <c r="QGO521" s="1358"/>
      <c r="QGP521" s="1358"/>
      <c r="QGQ521" s="1358"/>
      <c r="QGR521" s="1358"/>
      <c r="QGS521" s="1358"/>
      <c r="QGT521" s="1358"/>
      <c r="QGU521" s="1358"/>
      <c r="QGV521" s="1358"/>
      <c r="QGW521" s="1358"/>
      <c r="QGX521" s="1358"/>
      <c r="QGY521" s="1358"/>
      <c r="QGZ521" s="1358"/>
      <c r="QHA521" s="1358"/>
      <c r="QHB521" s="1358"/>
      <c r="QHC521" s="1358"/>
      <c r="QHD521" s="1358"/>
      <c r="QHE521" s="1358"/>
      <c r="QHF521" s="1358"/>
      <c r="QHG521" s="1358"/>
      <c r="QHH521" s="1358"/>
      <c r="QHI521" s="1358"/>
      <c r="QHJ521" s="1358"/>
      <c r="QHK521" s="1358"/>
      <c r="QHL521" s="1358"/>
      <c r="QHM521" s="1358"/>
      <c r="QHN521" s="1358"/>
      <c r="QHO521" s="1358"/>
      <c r="QHP521" s="1358"/>
      <c r="QHQ521" s="1358"/>
      <c r="QHR521" s="1358"/>
      <c r="QHS521" s="1358"/>
      <c r="QHT521" s="1358"/>
      <c r="QHU521" s="1358"/>
      <c r="QHV521" s="1358"/>
      <c r="QHW521" s="1358"/>
      <c r="QHX521" s="1358"/>
      <c r="QHY521" s="1358"/>
      <c r="QHZ521" s="1358"/>
      <c r="QIA521" s="1358"/>
      <c r="QIB521" s="1358"/>
      <c r="QIC521" s="1358"/>
      <c r="QID521" s="1358"/>
      <c r="QIE521" s="1358"/>
      <c r="QIF521" s="1358"/>
      <c r="QIG521" s="1358"/>
      <c r="QIH521" s="1358"/>
      <c r="QII521" s="1358"/>
      <c r="QIJ521" s="1358"/>
      <c r="QIK521" s="1358"/>
      <c r="QIL521" s="1358"/>
      <c r="QIM521" s="1358"/>
      <c r="QIN521" s="1358"/>
      <c r="QIO521" s="1358"/>
      <c r="QIP521" s="1358"/>
      <c r="QIQ521" s="1358"/>
      <c r="QIR521" s="1358"/>
      <c r="QIS521" s="1358"/>
      <c r="QIT521" s="1358"/>
      <c r="QIU521" s="1358"/>
      <c r="QIV521" s="1358"/>
      <c r="QIW521" s="1358"/>
      <c r="QIX521" s="1358"/>
      <c r="QIY521" s="1358"/>
      <c r="QIZ521" s="1358"/>
      <c r="QJA521" s="1358"/>
      <c r="QJB521" s="1358"/>
      <c r="QJC521" s="1358"/>
      <c r="QJD521" s="1358"/>
      <c r="QJE521" s="1358"/>
      <c r="QJF521" s="1358"/>
      <c r="QJG521" s="1358"/>
      <c r="QJH521" s="1358"/>
      <c r="QJI521" s="1358"/>
      <c r="QJJ521" s="1358"/>
      <c r="QJK521" s="1358"/>
      <c r="QJL521" s="1358"/>
      <c r="QJM521" s="1358"/>
      <c r="QJN521" s="1358"/>
      <c r="QJO521" s="1358"/>
      <c r="QJP521" s="1358"/>
      <c r="QJQ521" s="1358"/>
      <c r="QJR521" s="1358"/>
      <c r="QJS521" s="1358"/>
      <c r="QJT521" s="1358"/>
      <c r="QJU521" s="1358"/>
      <c r="QJV521" s="1358"/>
      <c r="QJW521" s="1358"/>
      <c r="QJX521" s="1358"/>
      <c r="QJY521" s="1358"/>
      <c r="QJZ521" s="1358"/>
      <c r="QKA521" s="1358"/>
      <c r="QKB521" s="1358"/>
      <c r="QKC521" s="1358"/>
      <c r="QKD521" s="1358"/>
      <c r="QKE521" s="1358"/>
      <c r="QKF521" s="1358"/>
      <c r="QKG521" s="1358"/>
      <c r="QKH521" s="1358"/>
      <c r="QKI521" s="1358"/>
      <c r="QKJ521" s="1358"/>
      <c r="QKK521" s="1358"/>
      <c r="QKL521" s="1358"/>
      <c r="QKM521" s="1358"/>
      <c r="QKN521" s="1358"/>
      <c r="QKO521" s="1358"/>
      <c r="QKP521" s="1358"/>
      <c r="QKQ521" s="1358"/>
      <c r="QKR521" s="1358"/>
      <c r="QKS521" s="1358"/>
      <c r="QKT521" s="1358"/>
      <c r="QKU521" s="1358"/>
      <c r="QKV521" s="1358"/>
      <c r="QKW521" s="1358"/>
      <c r="QKX521" s="1358"/>
      <c r="QKY521" s="1358"/>
      <c r="QKZ521" s="1358"/>
      <c r="QLA521" s="1358"/>
      <c r="QLB521" s="1358"/>
      <c r="QLC521" s="1358"/>
      <c r="QLD521" s="1358"/>
      <c r="QLE521" s="1358"/>
      <c r="QLF521" s="1358"/>
      <c r="QLG521" s="1358"/>
      <c r="QLH521" s="1358"/>
      <c r="QLI521" s="1358"/>
      <c r="QLJ521" s="1358"/>
      <c r="QLK521" s="1358"/>
      <c r="QLL521" s="1358"/>
      <c r="QLM521" s="1358"/>
      <c r="QLN521" s="1358"/>
      <c r="QLO521" s="1358"/>
      <c r="QLP521" s="1358"/>
      <c r="QLQ521" s="1358"/>
      <c r="QLR521" s="1358"/>
      <c r="QLS521" s="1358"/>
      <c r="QLT521" s="1358"/>
      <c r="QLU521" s="1358"/>
      <c r="QLV521" s="1358"/>
      <c r="QLW521" s="1358"/>
      <c r="QLX521" s="1358"/>
      <c r="QLY521" s="1358"/>
      <c r="QLZ521" s="1358"/>
      <c r="QMA521" s="1358"/>
      <c r="QMB521" s="1358"/>
      <c r="QMC521" s="1358"/>
      <c r="QMD521" s="1358"/>
      <c r="QME521" s="1358"/>
      <c r="QMF521" s="1358"/>
      <c r="QMG521" s="1358"/>
      <c r="QMH521" s="1358"/>
      <c r="QMI521" s="1358"/>
      <c r="QMJ521" s="1358"/>
      <c r="QMK521" s="1358"/>
      <c r="QML521" s="1358"/>
      <c r="QMM521" s="1358"/>
      <c r="QMN521" s="1358"/>
      <c r="QMO521" s="1358"/>
      <c r="QMP521" s="1358"/>
      <c r="QMQ521" s="1358"/>
      <c r="QMR521" s="1358"/>
      <c r="QMS521" s="1358"/>
      <c r="QMT521" s="1358"/>
      <c r="QMU521" s="1358"/>
      <c r="QMV521" s="1358"/>
      <c r="QMW521" s="1358"/>
      <c r="QMX521" s="1358"/>
      <c r="QMY521" s="1358"/>
      <c r="QMZ521" s="1358"/>
      <c r="QNA521" s="1358"/>
      <c r="QNB521" s="1358"/>
      <c r="QNC521" s="1358"/>
      <c r="QND521" s="1358"/>
      <c r="QNE521" s="1358"/>
      <c r="QNF521" s="1358"/>
      <c r="QNG521" s="1358"/>
      <c r="QNH521" s="1358"/>
      <c r="QNI521" s="1358"/>
      <c r="QNJ521" s="1358"/>
      <c r="QNK521" s="1358"/>
      <c r="QNL521" s="1358"/>
      <c r="QNM521" s="1358"/>
      <c r="QNN521" s="1358"/>
      <c r="QNO521" s="1358"/>
      <c r="QNP521" s="1358"/>
      <c r="QNQ521" s="1358"/>
      <c r="QNR521" s="1358"/>
      <c r="QNS521" s="1358"/>
      <c r="QNT521" s="1358"/>
      <c r="QNU521" s="1358"/>
      <c r="QNV521" s="1358"/>
      <c r="QNW521" s="1358"/>
      <c r="QNX521" s="1358"/>
      <c r="QNY521" s="1358"/>
      <c r="QNZ521" s="1358"/>
      <c r="QOA521" s="1358"/>
      <c r="QOB521" s="1358"/>
      <c r="QOC521" s="1358"/>
      <c r="QOD521" s="1358"/>
      <c r="QOE521" s="1358"/>
      <c r="QOF521" s="1358"/>
      <c r="QOG521" s="1358"/>
      <c r="QOH521" s="1358"/>
      <c r="QOI521" s="1358"/>
      <c r="QOJ521" s="1358"/>
      <c r="QOK521" s="1358"/>
      <c r="QOL521" s="1358"/>
      <c r="QOM521" s="1358"/>
      <c r="QON521" s="1358"/>
      <c r="QOO521" s="1358"/>
      <c r="QOP521" s="1358"/>
      <c r="QOQ521" s="1358"/>
      <c r="QOR521" s="1358"/>
      <c r="QOS521" s="1358"/>
      <c r="QOT521" s="1358"/>
      <c r="QOU521" s="1358"/>
      <c r="QOV521" s="1358"/>
      <c r="QOW521" s="1358"/>
      <c r="QOX521" s="1358"/>
      <c r="QOY521" s="1358"/>
      <c r="QOZ521" s="1358"/>
      <c r="QPA521" s="1358"/>
      <c r="QPB521" s="1358"/>
      <c r="QPC521" s="1358"/>
      <c r="QPD521" s="1358"/>
      <c r="QPE521" s="1358"/>
      <c r="QPF521" s="1358"/>
      <c r="QPG521" s="1358"/>
      <c r="QPH521" s="1358"/>
      <c r="QPI521" s="1358"/>
      <c r="QPJ521" s="1358"/>
      <c r="QPK521" s="1358"/>
      <c r="QPL521" s="1358"/>
      <c r="QPM521" s="1358"/>
      <c r="QPN521" s="1358"/>
      <c r="QPO521" s="1358"/>
      <c r="QPP521" s="1358"/>
      <c r="QPQ521" s="1358"/>
      <c r="QPR521" s="1358"/>
      <c r="QPS521" s="1358"/>
      <c r="QPT521" s="1358"/>
      <c r="QPU521" s="1358"/>
      <c r="QPV521" s="1358"/>
      <c r="QPW521" s="1358"/>
      <c r="QPX521" s="1358"/>
      <c r="QPY521" s="1358"/>
      <c r="QPZ521" s="1358"/>
      <c r="QQA521" s="1358"/>
      <c r="QQB521" s="1358"/>
      <c r="QQC521" s="1358"/>
      <c r="QQD521" s="1358"/>
      <c r="QQE521" s="1358"/>
      <c r="QQF521" s="1358"/>
      <c r="QQG521" s="1358"/>
      <c r="QQH521" s="1358"/>
      <c r="QQI521" s="1358"/>
      <c r="QQJ521" s="1358"/>
      <c r="QQK521" s="1358"/>
      <c r="QQL521" s="1358"/>
      <c r="QQM521" s="1358"/>
      <c r="QQN521" s="1358"/>
      <c r="QQO521" s="1358"/>
      <c r="QQP521" s="1358"/>
      <c r="QQQ521" s="1358"/>
      <c r="QQR521" s="1358"/>
      <c r="QQS521" s="1358"/>
      <c r="QQT521" s="1358"/>
      <c r="QQU521" s="1358"/>
      <c r="QQV521" s="1358"/>
      <c r="QQW521" s="1358"/>
      <c r="QQX521" s="1358"/>
      <c r="QQY521" s="1358"/>
      <c r="QQZ521" s="1358"/>
      <c r="QRA521" s="1358"/>
      <c r="QRB521" s="1358"/>
      <c r="QRC521" s="1358"/>
      <c r="QRD521" s="1358"/>
      <c r="QRE521" s="1358"/>
      <c r="QRF521" s="1358"/>
      <c r="QRG521" s="1358"/>
      <c r="QRH521" s="1358"/>
      <c r="QRI521" s="1358"/>
      <c r="QRJ521" s="1358"/>
      <c r="QRK521" s="1358"/>
      <c r="QRL521" s="1358"/>
      <c r="QRM521" s="1358"/>
      <c r="QRN521" s="1358"/>
      <c r="QRO521" s="1358"/>
      <c r="QRP521" s="1358"/>
      <c r="QRQ521" s="1358"/>
      <c r="QRR521" s="1358"/>
      <c r="QRS521" s="1358"/>
      <c r="QRT521" s="1358"/>
      <c r="QRU521" s="1358"/>
      <c r="QRV521" s="1358"/>
      <c r="QRW521" s="1358"/>
      <c r="QRX521" s="1358"/>
      <c r="QRY521" s="1358"/>
      <c r="QRZ521" s="1358"/>
      <c r="QSA521" s="1358"/>
      <c r="QSB521" s="1358"/>
      <c r="QSC521" s="1358"/>
      <c r="QSD521" s="1358"/>
      <c r="QSE521" s="1358"/>
      <c r="QSF521" s="1358"/>
      <c r="QSG521" s="1358"/>
      <c r="QSH521" s="1358"/>
      <c r="QSI521" s="1358"/>
      <c r="QSJ521" s="1358"/>
      <c r="QSK521" s="1358"/>
      <c r="QSL521" s="1358"/>
      <c r="QSM521" s="1358"/>
      <c r="QSN521" s="1358"/>
      <c r="QSO521" s="1358"/>
      <c r="QSP521" s="1358"/>
      <c r="QSQ521" s="1358"/>
      <c r="QSR521" s="1358"/>
      <c r="QSS521" s="1358"/>
      <c r="QST521" s="1358"/>
      <c r="QSU521" s="1358"/>
      <c r="QSV521" s="1358"/>
      <c r="QSW521" s="1358"/>
      <c r="QSX521" s="1358"/>
      <c r="QSY521" s="1358"/>
      <c r="QSZ521" s="1358"/>
      <c r="QTA521" s="1358"/>
      <c r="QTB521" s="1358"/>
      <c r="QTC521" s="1358"/>
      <c r="QTD521" s="1358"/>
      <c r="QTE521" s="1358"/>
      <c r="QTF521" s="1358"/>
      <c r="QTG521" s="1358"/>
      <c r="QTH521" s="1358"/>
      <c r="QTI521" s="1358"/>
      <c r="QTJ521" s="1358"/>
      <c r="QTK521" s="1358"/>
      <c r="QTL521" s="1358"/>
      <c r="QTM521" s="1358"/>
      <c r="QTN521" s="1358"/>
      <c r="QTO521" s="1358"/>
      <c r="QTP521" s="1358"/>
      <c r="QTQ521" s="1358"/>
      <c r="QTR521" s="1358"/>
      <c r="QTS521" s="1358"/>
      <c r="QTT521" s="1358"/>
      <c r="QTU521" s="1358"/>
      <c r="QTV521" s="1358"/>
      <c r="QTW521" s="1358"/>
      <c r="QTX521" s="1358"/>
      <c r="QTY521" s="1358"/>
      <c r="QTZ521" s="1358"/>
      <c r="QUA521" s="1358"/>
      <c r="QUB521" s="1358"/>
      <c r="QUC521" s="1358"/>
      <c r="QUD521" s="1358"/>
      <c r="QUE521" s="1358"/>
      <c r="QUF521" s="1358"/>
      <c r="QUG521" s="1358"/>
      <c r="QUH521" s="1358"/>
      <c r="QUI521" s="1358"/>
      <c r="QUJ521" s="1358"/>
      <c r="QUK521" s="1358"/>
      <c r="QUL521" s="1358"/>
      <c r="QUM521" s="1358"/>
      <c r="QUN521" s="1358"/>
      <c r="QUO521" s="1358"/>
      <c r="QUP521" s="1358"/>
      <c r="QUQ521" s="1358"/>
      <c r="QUR521" s="1358"/>
      <c r="QUS521" s="1358"/>
      <c r="QUT521" s="1358"/>
      <c r="QUU521" s="1358"/>
      <c r="QUV521" s="1358"/>
      <c r="QUW521" s="1358"/>
      <c r="QUX521" s="1358"/>
      <c r="QUY521" s="1358"/>
      <c r="QUZ521" s="1358"/>
      <c r="QVA521" s="1358"/>
      <c r="QVB521" s="1358"/>
      <c r="QVC521" s="1358"/>
      <c r="QVD521" s="1358"/>
      <c r="QVE521" s="1358"/>
      <c r="QVF521" s="1358"/>
      <c r="QVG521" s="1358"/>
      <c r="QVH521" s="1358"/>
      <c r="QVI521" s="1358"/>
      <c r="QVJ521" s="1358"/>
      <c r="QVK521" s="1358"/>
      <c r="QVL521" s="1358"/>
      <c r="QVM521" s="1358"/>
      <c r="QVN521" s="1358"/>
      <c r="QVO521" s="1358"/>
      <c r="QVP521" s="1358"/>
      <c r="QVQ521" s="1358"/>
      <c r="QVR521" s="1358"/>
      <c r="QVS521" s="1358"/>
      <c r="QVT521" s="1358"/>
      <c r="QVU521" s="1358"/>
      <c r="QVV521" s="1358"/>
      <c r="QVW521" s="1358"/>
      <c r="QVX521" s="1358"/>
      <c r="QVY521" s="1358"/>
      <c r="QVZ521" s="1358"/>
      <c r="QWA521" s="1358"/>
      <c r="QWB521" s="1358"/>
      <c r="QWC521" s="1358"/>
      <c r="QWD521" s="1358"/>
      <c r="QWE521" s="1358"/>
      <c r="QWF521" s="1358"/>
      <c r="QWG521" s="1358"/>
      <c r="QWH521" s="1358"/>
      <c r="QWI521" s="1358"/>
      <c r="QWJ521" s="1358"/>
      <c r="QWK521" s="1358"/>
      <c r="QWL521" s="1358"/>
      <c r="QWM521" s="1358"/>
      <c r="QWN521" s="1358"/>
      <c r="QWO521" s="1358"/>
      <c r="QWP521" s="1358"/>
      <c r="QWQ521" s="1358"/>
      <c r="QWR521" s="1358"/>
      <c r="QWS521" s="1358"/>
      <c r="QWT521" s="1358"/>
      <c r="QWU521" s="1358"/>
      <c r="QWV521" s="1358"/>
      <c r="QWW521" s="1358"/>
      <c r="QWX521" s="1358"/>
      <c r="QWY521" s="1358"/>
      <c r="QWZ521" s="1358"/>
      <c r="QXA521" s="1358"/>
      <c r="QXB521" s="1358"/>
      <c r="QXC521" s="1358"/>
      <c r="QXD521" s="1358"/>
      <c r="QXE521" s="1358"/>
      <c r="QXF521" s="1358"/>
      <c r="QXG521" s="1358"/>
      <c r="QXH521" s="1358"/>
      <c r="QXI521" s="1358"/>
      <c r="QXJ521" s="1358"/>
      <c r="QXK521" s="1358"/>
      <c r="QXL521" s="1358"/>
      <c r="QXM521" s="1358"/>
      <c r="QXN521" s="1358"/>
      <c r="QXO521" s="1358"/>
      <c r="QXP521" s="1358"/>
      <c r="QXQ521" s="1358"/>
      <c r="QXR521" s="1358"/>
      <c r="QXS521" s="1358"/>
      <c r="QXT521" s="1358"/>
      <c r="QXU521" s="1358"/>
      <c r="QXV521" s="1358"/>
      <c r="QXW521" s="1358"/>
      <c r="QXX521" s="1358"/>
      <c r="QXY521" s="1358"/>
      <c r="QXZ521" s="1358"/>
      <c r="QYA521" s="1358"/>
      <c r="QYB521" s="1358"/>
      <c r="QYC521" s="1358"/>
      <c r="QYD521" s="1358"/>
      <c r="QYE521" s="1358"/>
      <c r="QYF521" s="1358"/>
      <c r="QYG521" s="1358"/>
      <c r="QYH521" s="1358"/>
      <c r="QYI521" s="1358"/>
      <c r="QYJ521" s="1358"/>
      <c r="QYK521" s="1358"/>
      <c r="QYL521" s="1358"/>
      <c r="QYM521" s="1358"/>
      <c r="QYN521" s="1358"/>
      <c r="QYO521" s="1358"/>
      <c r="QYP521" s="1358"/>
      <c r="QYQ521" s="1358"/>
      <c r="QYR521" s="1358"/>
      <c r="QYS521" s="1358"/>
      <c r="QYT521" s="1358"/>
      <c r="QYU521" s="1358"/>
      <c r="QYV521" s="1358"/>
      <c r="QYW521" s="1358"/>
      <c r="QYX521" s="1358"/>
      <c r="QYY521" s="1358"/>
      <c r="QYZ521" s="1358"/>
      <c r="QZA521" s="1358"/>
      <c r="QZB521" s="1358"/>
      <c r="QZC521" s="1358"/>
      <c r="QZD521" s="1358"/>
      <c r="QZE521" s="1358"/>
      <c r="QZF521" s="1358"/>
      <c r="QZG521" s="1358"/>
      <c r="QZH521" s="1358"/>
      <c r="QZI521" s="1358"/>
      <c r="QZJ521" s="1358"/>
      <c r="QZK521" s="1358"/>
      <c r="QZL521" s="1358"/>
      <c r="QZM521" s="1358"/>
      <c r="QZN521" s="1358"/>
      <c r="QZO521" s="1358"/>
      <c r="QZP521" s="1358"/>
      <c r="QZQ521" s="1358"/>
      <c r="QZR521" s="1358"/>
      <c r="QZS521" s="1358"/>
      <c r="QZT521" s="1358"/>
      <c r="QZU521" s="1358"/>
      <c r="QZV521" s="1358"/>
      <c r="QZW521" s="1358"/>
      <c r="QZX521" s="1358"/>
      <c r="QZY521" s="1358"/>
      <c r="QZZ521" s="1358"/>
      <c r="RAA521" s="1358"/>
      <c r="RAB521" s="1358"/>
      <c r="RAC521" s="1358"/>
      <c r="RAD521" s="1358"/>
      <c r="RAE521" s="1358"/>
      <c r="RAF521" s="1358"/>
      <c r="RAG521" s="1358"/>
      <c r="RAH521" s="1358"/>
      <c r="RAI521" s="1358"/>
      <c r="RAJ521" s="1358"/>
      <c r="RAK521" s="1358"/>
      <c r="RAL521" s="1358"/>
      <c r="RAM521" s="1358"/>
      <c r="RAN521" s="1358"/>
      <c r="RAO521" s="1358"/>
      <c r="RAP521" s="1358"/>
      <c r="RAQ521" s="1358"/>
      <c r="RAR521" s="1358"/>
      <c r="RAS521" s="1358"/>
      <c r="RAT521" s="1358"/>
      <c r="RAU521" s="1358"/>
      <c r="RAV521" s="1358"/>
      <c r="RAW521" s="1358"/>
      <c r="RAX521" s="1358"/>
      <c r="RAY521" s="1358"/>
      <c r="RAZ521" s="1358"/>
      <c r="RBA521" s="1358"/>
      <c r="RBB521" s="1358"/>
      <c r="RBC521" s="1358"/>
      <c r="RBD521" s="1358"/>
      <c r="RBE521" s="1358"/>
      <c r="RBF521" s="1358"/>
      <c r="RBG521" s="1358"/>
      <c r="RBH521" s="1358"/>
      <c r="RBI521" s="1358"/>
      <c r="RBJ521" s="1358"/>
      <c r="RBK521" s="1358"/>
      <c r="RBL521" s="1358"/>
      <c r="RBM521" s="1358"/>
      <c r="RBN521" s="1358"/>
      <c r="RBO521" s="1358"/>
      <c r="RBP521" s="1358"/>
      <c r="RBQ521" s="1358"/>
      <c r="RBR521" s="1358"/>
      <c r="RBS521" s="1358"/>
      <c r="RBT521" s="1358"/>
      <c r="RBU521" s="1358"/>
      <c r="RBV521" s="1358"/>
      <c r="RBW521" s="1358"/>
      <c r="RBX521" s="1358"/>
      <c r="RBY521" s="1358"/>
      <c r="RBZ521" s="1358"/>
      <c r="RCA521" s="1358"/>
      <c r="RCB521" s="1358"/>
      <c r="RCC521" s="1358"/>
      <c r="RCD521" s="1358"/>
      <c r="RCE521" s="1358"/>
      <c r="RCF521" s="1358"/>
      <c r="RCG521" s="1358"/>
      <c r="RCH521" s="1358"/>
      <c r="RCI521" s="1358"/>
      <c r="RCJ521" s="1358"/>
      <c r="RCK521" s="1358"/>
      <c r="RCL521" s="1358"/>
      <c r="RCM521" s="1358"/>
      <c r="RCN521" s="1358"/>
      <c r="RCO521" s="1358"/>
      <c r="RCP521" s="1358"/>
      <c r="RCQ521" s="1358"/>
      <c r="RCR521" s="1358"/>
      <c r="RCS521" s="1358"/>
      <c r="RCT521" s="1358"/>
      <c r="RCU521" s="1358"/>
      <c r="RCV521" s="1358"/>
      <c r="RCW521" s="1358"/>
      <c r="RCX521" s="1358"/>
      <c r="RCY521" s="1358"/>
      <c r="RCZ521" s="1358"/>
      <c r="RDA521" s="1358"/>
      <c r="RDB521" s="1358"/>
      <c r="RDC521" s="1358"/>
      <c r="RDD521" s="1358"/>
      <c r="RDE521" s="1358"/>
      <c r="RDF521" s="1358"/>
      <c r="RDG521" s="1358"/>
      <c r="RDH521" s="1358"/>
      <c r="RDI521" s="1358"/>
      <c r="RDJ521" s="1358"/>
      <c r="RDK521" s="1358"/>
      <c r="RDL521" s="1358"/>
      <c r="RDM521" s="1358"/>
      <c r="RDN521" s="1358"/>
      <c r="RDO521" s="1358"/>
      <c r="RDP521" s="1358"/>
      <c r="RDQ521" s="1358"/>
      <c r="RDR521" s="1358"/>
      <c r="RDS521" s="1358"/>
      <c r="RDT521" s="1358"/>
      <c r="RDU521" s="1358"/>
      <c r="RDV521" s="1358"/>
      <c r="RDW521" s="1358"/>
      <c r="RDX521" s="1358"/>
      <c r="RDY521" s="1358"/>
      <c r="RDZ521" s="1358"/>
      <c r="REA521" s="1358"/>
      <c r="REB521" s="1358"/>
      <c r="REC521" s="1358"/>
      <c r="RED521" s="1358"/>
      <c r="REE521" s="1358"/>
      <c r="REF521" s="1358"/>
      <c r="REG521" s="1358"/>
      <c r="REH521" s="1358"/>
      <c r="REI521" s="1358"/>
      <c r="REJ521" s="1358"/>
      <c r="REK521" s="1358"/>
      <c r="REL521" s="1358"/>
      <c r="REM521" s="1358"/>
      <c r="REN521" s="1358"/>
      <c r="REO521" s="1358"/>
      <c r="REP521" s="1358"/>
      <c r="REQ521" s="1358"/>
      <c r="RER521" s="1358"/>
      <c r="RES521" s="1358"/>
      <c r="RET521" s="1358"/>
      <c r="REU521" s="1358"/>
      <c r="REV521" s="1358"/>
      <c r="REW521" s="1358"/>
      <c r="REX521" s="1358"/>
      <c r="REY521" s="1358"/>
      <c r="REZ521" s="1358"/>
      <c r="RFA521" s="1358"/>
      <c r="RFB521" s="1358"/>
      <c r="RFC521" s="1358"/>
      <c r="RFD521" s="1358"/>
      <c r="RFE521" s="1358"/>
      <c r="RFF521" s="1358"/>
      <c r="RFG521" s="1358"/>
      <c r="RFH521" s="1358"/>
      <c r="RFI521" s="1358"/>
      <c r="RFJ521" s="1358"/>
      <c r="RFK521" s="1358"/>
      <c r="RFL521" s="1358"/>
      <c r="RFM521" s="1358"/>
      <c r="RFN521" s="1358"/>
      <c r="RFO521" s="1358"/>
      <c r="RFP521" s="1358"/>
      <c r="RFQ521" s="1358"/>
      <c r="RFR521" s="1358"/>
      <c r="RFS521" s="1358"/>
      <c r="RFT521" s="1358"/>
      <c r="RFU521" s="1358"/>
      <c r="RFV521" s="1358"/>
      <c r="RFW521" s="1358"/>
      <c r="RFX521" s="1358"/>
      <c r="RFY521" s="1358"/>
      <c r="RFZ521" s="1358"/>
      <c r="RGA521" s="1358"/>
      <c r="RGB521" s="1358"/>
      <c r="RGC521" s="1358"/>
      <c r="RGD521" s="1358"/>
      <c r="RGE521" s="1358"/>
      <c r="RGF521" s="1358"/>
      <c r="RGG521" s="1358"/>
      <c r="RGH521" s="1358"/>
      <c r="RGI521" s="1358"/>
      <c r="RGJ521" s="1358"/>
      <c r="RGK521" s="1358"/>
      <c r="RGL521" s="1358"/>
      <c r="RGM521" s="1358"/>
      <c r="RGN521" s="1358"/>
      <c r="RGO521" s="1358"/>
      <c r="RGP521" s="1358"/>
      <c r="RGQ521" s="1358"/>
      <c r="RGR521" s="1358"/>
      <c r="RGS521" s="1358"/>
      <c r="RGT521" s="1358"/>
      <c r="RGU521" s="1358"/>
      <c r="RGV521" s="1358"/>
      <c r="RGW521" s="1358"/>
      <c r="RGX521" s="1358"/>
      <c r="RGY521" s="1358"/>
      <c r="RGZ521" s="1358"/>
      <c r="RHA521" s="1358"/>
      <c r="RHB521" s="1358"/>
      <c r="RHC521" s="1358"/>
      <c r="RHD521" s="1358"/>
      <c r="RHE521" s="1358"/>
      <c r="RHF521" s="1358"/>
      <c r="RHG521" s="1358"/>
      <c r="RHH521" s="1358"/>
      <c r="RHI521" s="1358"/>
      <c r="RHJ521" s="1358"/>
      <c r="RHK521" s="1358"/>
      <c r="RHL521" s="1358"/>
      <c r="RHM521" s="1358"/>
      <c r="RHN521" s="1358"/>
      <c r="RHO521" s="1358"/>
      <c r="RHP521" s="1358"/>
      <c r="RHQ521" s="1358"/>
      <c r="RHR521" s="1358"/>
      <c r="RHS521" s="1358"/>
      <c r="RHT521" s="1358"/>
      <c r="RHU521" s="1358"/>
      <c r="RHV521" s="1358"/>
      <c r="RHW521" s="1358"/>
      <c r="RHX521" s="1358"/>
      <c r="RHY521" s="1358"/>
      <c r="RHZ521" s="1358"/>
      <c r="RIA521" s="1358"/>
      <c r="RIB521" s="1358"/>
      <c r="RIC521" s="1358"/>
      <c r="RID521" s="1358"/>
      <c r="RIE521" s="1358"/>
      <c r="RIF521" s="1358"/>
      <c r="RIG521" s="1358"/>
      <c r="RIH521" s="1358"/>
      <c r="RII521" s="1358"/>
      <c r="RIJ521" s="1358"/>
      <c r="RIK521" s="1358"/>
      <c r="RIL521" s="1358"/>
      <c r="RIM521" s="1358"/>
      <c r="RIN521" s="1358"/>
      <c r="RIO521" s="1358"/>
      <c r="RIP521" s="1358"/>
      <c r="RIQ521" s="1358"/>
      <c r="RIR521" s="1358"/>
      <c r="RIS521" s="1358"/>
      <c r="RIT521" s="1358"/>
      <c r="RIU521" s="1358"/>
      <c r="RIV521" s="1358"/>
      <c r="RIW521" s="1358"/>
      <c r="RIX521" s="1358"/>
      <c r="RIY521" s="1358"/>
      <c r="RIZ521" s="1358"/>
      <c r="RJA521" s="1358"/>
      <c r="RJB521" s="1358"/>
      <c r="RJC521" s="1358"/>
      <c r="RJD521" s="1358"/>
      <c r="RJE521" s="1358"/>
      <c r="RJF521" s="1358"/>
      <c r="RJG521" s="1358"/>
      <c r="RJH521" s="1358"/>
      <c r="RJI521" s="1358"/>
      <c r="RJJ521" s="1358"/>
      <c r="RJK521" s="1358"/>
      <c r="RJL521" s="1358"/>
      <c r="RJM521" s="1358"/>
      <c r="RJN521" s="1358"/>
      <c r="RJO521" s="1358"/>
      <c r="RJP521" s="1358"/>
      <c r="RJQ521" s="1358"/>
      <c r="RJR521" s="1358"/>
      <c r="RJS521" s="1358"/>
      <c r="RJT521" s="1358"/>
      <c r="RJU521" s="1358"/>
      <c r="RJV521" s="1358"/>
      <c r="RJW521" s="1358"/>
      <c r="RJX521" s="1358"/>
      <c r="RJY521" s="1358"/>
      <c r="RJZ521" s="1358"/>
      <c r="RKA521" s="1358"/>
      <c r="RKB521" s="1358"/>
      <c r="RKC521" s="1358"/>
      <c r="RKD521" s="1358"/>
      <c r="RKE521" s="1358"/>
      <c r="RKF521" s="1358"/>
      <c r="RKG521" s="1358"/>
      <c r="RKH521" s="1358"/>
      <c r="RKI521" s="1358"/>
      <c r="RKJ521" s="1358"/>
      <c r="RKK521" s="1358"/>
      <c r="RKL521" s="1358"/>
      <c r="RKM521" s="1358"/>
      <c r="RKN521" s="1358"/>
      <c r="RKO521" s="1358"/>
      <c r="RKP521" s="1358"/>
      <c r="RKQ521" s="1358"/>
      <c r="RKR521" s="1358"/>
      <c r="RKS521" s="1358"/>
      <c r="RKT521" s="1358"/>
      <c r="RKU521" s="1358"/>
      <c r="RKV521" s="1358"/>
      <c r="RKW521" s="1358"/>
      <c r="RKX521" s="1358"/>
      <c r="RKY521" s="1358"/>
      <c r="RKZ521" s="1358"/>
      <c r="RLA521" s="1358"/>
      <c r="RLB521" s="1358"/>
      <c r="RLC521" s="1358"/>
      <c r="RLD521" s="1358"/>
      <c r="RLE521" s="1358"/>
      <c r="RLF521" s="1358"/>
      <c r="RLG521" s="1358"/>
      <c r="RLH521" s="1358"/>
      <c r="RLI521" s="1358"/>
      <c r="RLJ521" s="1358"/>
      <c r="RLK521" s="1358"/>
      <c r="RLL521" s="1358"/>
      <c r="RLM521" s="1358"/>
      <c r="RLN521" s="1358"/>
      <c r="RLO521" s="1358"/>
      <c r="RLP521" s="1358"/>
      <c r="RLQ521" s="1358"/>
      <c r="RLR521" s="1358"/>
      <c r="RLS521" s="1358"/>
      <c r="RLT521" s="1358"/>
      <c r="RLU521" s="1358"/>
      <c r="RLV521" s="1358"/>
      <c r="RLW521" s="1358"/>
      <c r="RLX521" s="1358"/>
      <c r="RLY521" s="1358"/>
      <c r="RLZ521" s="1358"/>
      <c r="RMA521" s="1358"/>
      <c r="RMB521" s="1358"/>
      <c r="RMC521" s="1358"/>
      <c r="RMD521" s="1358"/>
      <c r="RME521" s="1358"/>
      <c r="RMF521" s="1358"/>
      <c r="RMG521" s="1358"/>
      <c r="RMH521" s="1358"/>
      <c r="RMI521" s="1358"/>
      <c r="RMJ521" s="1358"/>
      <c r="RMK521" s="1358"/>
      <c r="RML521" s="1358"/>
      <c r="RMM521" s="1358"/>
      <c r="RMN521" s="1358"/>
      <c r="RMO521" s="1358"/>
      <c r="RMP521" s="1358"/>
      <c r="RMQ521" s="1358"/>
      <c r="RMR521" s="1358"/>
      <c r="RMS521" s="1358"/>
      <c r="RMT521" s="1358"/>
      <c r="RMU521" s="1358"/>
      <c r="RMV521" s="1358"/>
      <c r="RMW521" s="1358"/>
      <c r="RMX521" s="1358"/>
      <c r="RMY521" s="1358"/>
      <c r="RMZ521" s="1358"/>
      <c r="RNA521" s="1358"/>
      <c r="RNB521" s="1358"/>
      <c r="RNC521" s="1358"/>
      <c r="RND521" s="1358"/>
      <c r="RNE521" s="1358"/>
      <c r="RNF521" s="1358"/>
      <c r="RNG521" s="1358"/>
      <c r="RNH521" s="1358"/>
      <c r="RNI521" s="1358"/>
      <c r="RNJ521" s="1358"/>
      <c r="RNK521" s="1358"/>
      <c r="RNL521" s="1358"/>
      <c r="RNM521" s="1358"/>
      <c r="RNN521" s="1358"/>
      <c r="RNO521" s="1358"/>
      <c r="RNP521" s="1358"/>
      <c r="RNQ521" s="1358"/>
      <c r="RNR521" s="1358"/>
      <c r="RNS521" s="1358"/>
      <c r="RNT521" s="1358"/>
      <c r="RNU521" s="1358"/>
      <c r="RNV521" s="1358"/>
      <c r="RNW521" s="1358"/>
      <c r="RNX521" s="1358"/>
      <c r="RNY521" s="1358"/>
      <c r="RNZ521" s="1358"/>
      <c r="ROA521" s="1358"/>
      <c r="ROB521" s="1358"/>
      <c r="ROC521" s="1358"/>
      <c r="ROD521" s="1358"/>
      <c r="ROE521" s="1358"/>
      <c r="ROF521" s="1358"/>
      <c r="ROG521" s="1358"/>
      <c r="ROH521" s="1358"/>
      <c r="ROI521" s="1358"/>
      <c r="ROJ521" s="1358"/>
      <c r="ROK521" s="1358"/>
      <c r="ROL521" s="1358"/>
      <c r="ROM521" s="1358"/>
      <c r="RON521" s="1358"/>
      <c r="ROO521" s="1358"/>
      <c r="ROP521" s="1358"/>
      <c r="ROQ521" s="1358"/>
      <c r="ROR521" s="1358"/>
      <c r="ROS521" s="1358"/>
      <c r="ROT521" s="1358"/>
      <c r="ROU521" s="1358"/>
      <c r="ROV521" s="1358"/>
      <c r="ROW521" s="1358"/>
      <c r="ROX521" s="1358"/>
      <c r="ROY521" s="1358"/>
      <c r="ROZ521" s="1358"/>
      <c r="RPA521" s="1358"/>
      <c r="RPB521" s="1358"/>
      <c r="RPC521" s="1358"/>
      <c r="RPD521" s="1358"/>
      <c r="RPE521" s="1358"/>
      <c r="RPF521" s="1358"/>
      <c r="RPG521" s="1358"/>
      <c r="RPH521" s="1358"/>
      <c r="RPI521" s="1358"/>
      <c r="RPJ521" s="1358"/>
      <c r="RPK521" s="1358"/>
      <c r="RPL521" s="1358"/>
      <c r="RPM521" s="1358"/>
      <c r="RPN521" s="1358"/>
      <c r="RPO521" s="1358"/>
      <c r="RPP521" s="1358"/>
      <c r="RPQ521" s="1358"/>
      <c r="RPR521" s="1358"/>
      <c r="RPS521" s="1358"/>
      <c r="RPT521" s="1358"/>
      <c r="RPU521" s="1358"/>
      <c r="RPV521" s="1358"/>
      <c r="RPW521" s="1358"/>
      <c r="RPX521" s="1358"/>
      <c r="RPY521" s="1358"/>
      <c r="RPZ521" s="1358"/>
      <c r="RQA521" s="1358"/>
      <c r="RQB521" s="1358"/>
      <c r="RQC521" s="1358"/>
      <c r="RQD521" s="1358"/>
      <c r="RQE521" s="1358"/>
      <c r="RQF521" s="1358"/>
      <c r="RQG521" s="1358"/>
      <c r="RQH521" s="1358"/>
      <c r="RQI521" s="1358"/>
      <c r="RQJ521" s="1358"/>
      <c r="RQK521" s="1358"/>
      <c r="RQL521" s="1358"/>
      <c r="RQM521" s="1358"/>
      <c r="RQN521" s="1358"/>
      <c r="RQO521" s="1358"/>
      <c r="RQP521" s="1358"/>
      <c r="RQQ521" s="1358"/>
      <c r="RQR521" s="1358"/>
      <c r="RQS521" s="1358"/>
      <c r="RQT521" s="1358"/>
      <c r="RQU521" s="1358"/>
      <c r="RQV521" s="1358"/>
      <c r="RQW521" s="1358"/>
      <c r="RQX521" s="1358"/>
      <c r="RQY521" s="1358"/>
      <c r="RQZ521" s="1358"/>
      <c r="RRA521" s="1358"/>
      <c r="RRB521" s="1358"/>
      <c r="RRC521" s="1358"/>
      <c r="RRD521" s="1358"/>
      <c r="RRE521" s="1358"/>
      <c r="RRF521" s="1358"/>
      <c r="RRG521" s="1358"/>
      <c r="RRH521" s="1358"/>
      <c r="RRI521" s="1358"/>
      <c r="RRJ521" s="1358"/>
      <c r="RRK521" s="1358"/>
      <c r="RRL521" s="1358"/>
      <c r="RRM521" s="1358"/>
      <c r="RRN521" s="1358"/>
      <c r="RRO521" s="1358"/>
      <c r="RRP521" s="1358"/>
      <c r="RRQ521" s="1358"/>
      <c r="RRR521" s="1358"/>
      <c r="RRS521" s="1358"/>
      <c r="RRT521" s="1358"/>
      <c r="RRU521" s="1358"/>
      <c r="RRV521" s="1358"/>
      <c r="RRW521" s="1358"/>
      <c r="RRX521" s="1358"/>
      <c r="RRY521" s="1358"/>
      <c r="RRZ521" s="1358"/>
      <c r="RSA521" s="1358"/>
      <c r="RSB521" s="1358"/>
      <c r="RSC521" s="1358"/>
      <c r="RSD521" s="1358"/>
      <c r="RSE521" s="1358"/>
      <c r="RSF521" s="1358"/>
      <c r="RSG521" s="1358"/>
      <c r="RSH521" s="1358"/>
      <c r="RSI521" s="1358"/>
      <c r="RSJ521" s="1358"/>
      <c r="RSK521" s="1358"/>
      <c r="RSL521" s="1358"/>
      <c r="RSM521" s="1358"/>
      <c r="RSN521" s="1358"/>
      <c r="RSO521" s="1358"/>
      <c r="RSP521" s="1358"/>
      <c r="RSQ521" s="1358"/>
      <c r="RSR521" s="1358"/>
      <c r="RSS521" s="1358"/>
      <c r="RST521" s="1358"/>
      <c r="RSU521" s="1358"/>
      <c r="RSV521" s="1358"/>
      <c r="RSW521" s="1358"/>
      <c r="RSX521" s="1358"/>
      <c r="RSY521" s="1358"/>
      <c r="RSZ521" s="1358"/>
      <c r="RTA521" s="1358"/>
      <c r="RTB521" s="1358"/>
      <c r="RTC521" s="1358"/>
      <c r="RTD521" s="1358"/>
      <c r="RTE521" s="1358"/>
      <c r="RTF521" s="1358"/>
      <c r="RTG521" s="1358"/>
      <c r="RTH521" s="1358"/>
      <c r="RTI521" s="1358"/>
      <c r="RTJ521" s="1358"/>
      <c r="RTK521" s="1358"/>
      <c r="RTL521" s="1358"/>
      <c r="RTM521" s="1358"/>
      <c r="RTN521" s="1358"/>
      <c r="RTO521" s="1358"/>
      <c r="RTP521" s="1358"/>
      <c r="RTQ521" s="1358"/>
      <c r="RTR521" s="1358"/>
      <c r="RTS521" s="1358"/>
      <c r="RTT521" s="1358"/>
      <c r="RTU521" s="1358"/>
      <c r="RTV521" s="1358"/>
      <c r="RTW521" s="1358"/>
      <c r="RTX521" s="1358"/>
      <c r="RTY521" s="1358"/>
      <c r="RTZ521" s="1358"/>
      <c r="RUA521" s="1358"/>
      <c r="RUB521" s="1358"/>
      <c r="RUC521" s="1358"/>
      <c r="RUD521" s="1358"/>
      <c r="RUE521" s="1358"/>
      <c r="RUF521" s="1358"/>
      <c r="RUG521" s="1358"/>
      <c r="RUH521" s="1358"/>
      <c r="RUI521" s="1358"/>
      <c r="RUJ521" s="1358"/>
      <c r="RUK521" s="1358"/>
      <c r="RUL521" s="1358"/>
      <c r="RUM521" s="1358"/>
      <c r="RUN521" s="1358"/>
      <c r="RUO521" s="1358"/>
      <c r="RUP521" s="1358"/>
      <c r="RUQ521" s="1358"/>
      <c r="RUR521" s="1358"/>
      <c r="RUS521" s="1358"/>
      <c r="RUT521" s="1358"/>
      <c r="RUU521" s="1358"/>
      <c r="RUV521" s="1358"/>
      <c r="RUW521" s="1358"/>
      <c r="RUX521" s="1358"/>
      <c r="RUY521" s="1358"/>
      <c r="RUZ521" s="1358"/>
      <c r="RVA521" s="1358"/>
      <c r="RVB521" s="1358"/>
      <c r="RVC521" s="1358"/>
      <c r="RVD521" s="1358"/>
      <c r="RVE521" s="1358"/>
      <c r="RVF521" s="1358"/>
      <c r="RVG521" s="1358"/>
      <c r="RVH521" s="1358"/>
      <c r="RVI521" s="1358"/>
      <c r="RVJ521" s="1358"/>
      <c r="RVK521" s="1358"/>
      <c r="RVL521" s="1358"/>
      <c r="RVM521" s="1358"/>
      <c r="RVN521" s="1358"/>
      <c r="RVO521" s="1358"/>
      <c r="RVP521" s="1358"/>
      <c r="RVQ521" s="1358"/>
      <c r="RVR521" s="1358"/>
      <c r="RVS521" s="1358"/>
      <c r="RVT521" s="1358"/>
      <c r="RVU521" s="1358"/>
      <c r="RVV521" s="1358"/>
      <c r="RVW521" s="1358"/>
      <c r="RVX521" s="1358"/>
      <c r="RVY521" s="1358"/>
      <c r="RVZ521" s="1358"/>
      <c r="RWA521" s="1358"/>
      <c r="RWB521" s="1358"/>
      <c r="RWC521" s="1358"/>
      <c r="RWD521" s="1358"/>
      <c r="RWE521" s="1358"/>
      <c r="RWF521" s="1358"/>
      <c r="RWG521" s="1358"/>
      <c r="RWH521" s="1358"/>
      <c r="RWI521" s="1358"/>
      <c r="RWJ521" s="1358"/>
      <c r="RWK521" s="1358"/>
      <c r="RWL521" s="1358"/>
      <c r="RWM521" s="1358"/>
      <c r="RWN521" s="1358"/>
      <c r="RWO521" s="1358"/>
      <c r="RWP521" s="1358"/>
      <c r="RWQ521" s="1358"/>
      <c r="RWR521" s="1358"/>
      <c r="RWS521" s="1358"/>
      <c r="RWT521" s="1358"/>
      <c r="RWU521" s="1358"/>
      <c r="RWV521" s="1358"/>
      <c r="RWW521" s="1358"/>
      <c r="RWX521" s="1358"/>
      <c r="RWY521" s="1358"/>
      <c r="RWZ521" s="1358"/>
      <c r="RXA521" s="1358"/>
      <c r="RXB521" s="1358"/>
      <c r="RXC521" s="1358"/>
      <c r="RXD521" s="1358"/>
      <c r="RXE521" s="1358"/>
      <c r="RXF521" s="1358"/>
      <c r="RXG521" s="1358"/>
      <c r="RXH521" s="1358"/>
      <c r="RXI521" s="1358"/>
      <c r="RXJ521" s="1358"/>
      <c r="RXK521" s="1358"/>
      <c r="RXL521" s="1358"/>
      <c r="RXM521" s="1358"/>
      <c r="RXN521" s="1358"/>
      <c r="RXO521" s="1358"/>
      <c r="RXP521" s="1358"/>
      <c r="RXQ521" s="1358"/>
      <c r="RXR521" s="1358"/>
      <c r="RXS521" s="1358"/>
      <c r="RXT521" s="1358"/>
      <c r="RXU521" s="1358"/>
      <c r="RXV521" s="1358"/>
      <c r="RXW521" s="1358"/>
      <c r="RXX521" s="1358"/>
      <c r="RXY521" s="1358"/>
      <c r="RXZ521" s="1358"/>
      <c r="RYA521" s="1358"/>
      <c r="RYB521" s="1358"/>
      <c r="RYC521" s="1358"/>
      <c r="RYD521" s="1358"/>
      <c r="RYE521" s="1358"/>
      <c r="RYF521" s="1358"/>
      <c r="RYG521" s="1358"/>
      <c r="RYH521" s="1358"/>
      <c r="RYI521" s="1358"/>
      <c r="RYJ521" s="1358"/>
      <c r="RYK521" s="1358"/>
      <c r="RYL521" s="1358"/>
      <c r="RYM521" s="1358"/>
      <c r="RYN521" s="1358"/>
      <c r="RYO521" s="1358"/>
      <c r="RYP521" s="1358"/>
      <c r="RYQ521" s="1358"/>
      <c r="RYR521" s="1358"/>
      <c r="RYS521" s="1358"/>
      <c r="RYT521" s="1358"/>
      <c r="RYU521" s="1358"/>
      <c r="RYV521" s="1358"/>
      <c r="RYW521" s="1358"/>
      <c r="RYX521" s="1358"/>
      <c r="RYY521" s="1358"/>
      <c r="RYZ521" s="1358"/>
      <c r="RZA521" s="1358"/>
      <c r="RZB521" s="1358"/>
      <c r="RZC521" s="1358"/>
      <c r="RZD521" s="1358"/>
      <c r="RZE521" s="1358"/>
      <c r="RZF521" s="1358"/>
      <c r="RZG521" s="1358"/>
      <c r="RZH521" s="1358"/>
      <c r="RZI521" s="1358"/>
      <c r="RZJ521" s="1358"/>
      <c r="RZK521" s="1358"/>
      <c r="RZL521" s="1358"/>
      <c r="RZM521" s="1358"/>
      <c r="RZN521" s="1358"/>
      <c r="RZO521" s="1358"/>
      <c r="RZP521" s="1358"/>
      <c r="RZQ521" s="1358"/>
      <c r="RZR521" s="1358"/>
      <c r="RZS521" s="1358"/>
      <c r="RZT521" s="1358"/>
      <c r="RZU521" s="1358"/>
      <c r="RZV521" s="1358"/>
      <c r="RZW521" s="1358"/>
      <c r="RZX521" s="1358"/>
      <c r="RZY521" s="1358"/>
      <c r="RZZ521" s="1358"/>
      <c r="SAA521" s="1358"/>
      <c r="SAB521" s="1358"/>
      <c r="SAC521" s="1358"/>
      <c r="SAD521" s="1358"/>
      <c r="SAE521" s="1358"/>
      <c r="SAF521" s="1358"/>
      <c r="SAG521" s="1358"/>
      <c r="SAH521" s="1358"/>
      <c r="SAI521" s="1358"/>
      <c r="SAJ521" s="1358"/>
      <c r="SAK521" s="1358"/>
      <c r="SAL521" s="1358"/>
      <c r="SAM521" s="1358"/>
      <c r="SAN521" s="1358"/>
      <c r="SAO521" s="1358"/>
      <c r="SAP521" s="1358"/>
      <c r="SAQ521" s="1358"/>
      <c r="SAR521" s="1358"/>
      <c r="SAS521" s="1358"/>
      <c r="SAT521" s="1358"/>
      <c r="SAU521" s="1358"/>
      <c r="SAV521" s="1358"/>
      <c r="SAW521" s="1358"/>
      <c r="SAX521" s="1358"/>
      <c r="SAY521" s="1358"/>
      <c r="SAZ521" s="1358"/>
      <c r="SBA521" s="1358"/>
      <c r="SBB521" s="1358"/>
      <c r="SBC521" s="1358"/>
      <c r="SBD521" s="1358"/>
      <c r="SBE521" s="1358"/>
      <c r="SBF521" s="1358"/>
      <c r="SBG521" s="1358"/>
      <c r="SBH521" s="1358"/>
      <c r="SBI521" s="1358"/>
      <c r="SBJ521" s="1358"/>
      <c r="SBK521" s="1358"/>
      <c r="SBL521" s="1358"/>
      <c r="SBM521" s="1358"/>
      <c r="SBN521" s="1358"/>
      <c r="SBO521" s="1358"/>
      <c r="SBP521" s="1358"/>
      <c r="SBQ521" s="1358"/>
      <c r="SBR521" s="1358"/>
      <c r="SBS521" s="1358"/>
      <c r="SBT521" s="1358"/>
      <c r="SBU521" s="1358"/>
      <c r="SBV521" s="1358"/>
      <c r="SBW521" s="1358"/>
      <c r="SBX521" s="1358"/>
      <c r="SBY521" s="1358"/>
      <c r="SBZ521" s="1358"/>
      <c r="SCA521" s="1358"/>
      <c r="SCB521" s="1358"/>
      <c r="SCC521" s="1358"/>
      <c r="SCD521" s="1358"/>
      <c r="SCE521" s="1358"/>
      <c r="SCF521" s="1358"/>
      <c r="SCG521" s="1358"/>
      <c r="SCH521" s="1358"/>
      <c r="SCI521" s="1358"/>
      <c r="SCJ521" s="1358"/>
      <c r="SCK521" s="1358"/>
      <c r="SCL521" s="1358"/>
      <c r="SCM521" s="1358"/>
      <c r="SCN521" s="1358"/>
      <c r="SCO521" s="1358"/>
      <c r="SCP521" s="1358"/>
      <c r="SCQ521" s="1358"/>
      <c r="SCR521" s="1358"/>
      <c r="SCS521" s="1358"/>
      <c r="SCT521" s="1358"/>
      <c r="SCU521" s="1358"/>
      <c r="SCV521" s="1358"/>
      <c r="SCW521" s="1358"/>
      <c r="SCX521" s="1358"/>
      <c r="SCY521" s="1358"/>
      <c r="SCZ521" s="1358"/>
      <c r="SDA521" s="1358"/>
      <c r="SDB521" s="1358"/>
      <c r="SDC521" s="1358"/>
      <c r="SDD521" s="1358"/>
      <c r="SDE521" s="1358"/>
      <c r="SDF521" s="1358"/>
      <c r="SDG521" s="1358"/>
      <c r="SDH521" s="1358"/>
      <c r="SDI521" s="1358"/>
      <c r="SDJ521" s="1358"/>
      <c r="SDK521" s="1358"/>
      <c r="SDL521" s="1358"/>
      <c r="SDM521" s="1358"/>
      <c r="SDN521" s="1358"/>
      <c r="SDO521" s="1358"/>
      <c r="SDP521" s="1358"/>
      <c r="SDQ521" s="1358"/>
      <c r="SDR521" s="1358"/>
      <c r="SDS521" s="1358"/>
      <c r="SDT521" s="1358"/>
      <c r="SDU521" s="1358"/>
      <c r="SDV521" s="1358"/>
      <c r="SDW521" s="1358"/>
      <c r="SDX521" s="1358"/>
      <c r="SDY521" s="1358"/>
      <c r="SDZ521" s="1358"/>
      <c r="SEA521" s="1358"/>
      <c r="SEB521" s="1358"/>
      <c r="SEC521" s="1358"/>
      <c r="SED521" s="1358"/>
      <c r="SEE521" s="1358"/>
      <c r="SEF521" s="1358"/>
      <c r="SEG521" s="1358"/>
      <c r="SEH521" s="1358"/>
      <c r="SEI521" s="1358"/>
      <c r="SEJ521" s="1358"/>
      <c r="SEK521" s="1358"/>
      <c r="SEL521" s="1358"/>
      <c r="SEM521" s="1358"/>
      <c r="SEN521" s="1358"/>
      <c r="SEO521" s="1358"/>
      <c r="SEP521" s="1358"/>
      <c r="SEQ521" s="1358"/>
      <c r="SER521" s="1358"/>
      <c r="SES521" s="1358"/>
      <c r="SET521" s="1358"/>
      <c r="SEU521" s="1358"/>
      <c r="SEV521" s="1358"/>
      <c r="SEW521" s="1358"/>
      <c r="SEX521" s="1358"/>
      <c r="SEY521" s="1358"/>
      <c r="SEZ521" s="1358"/>
      <c r="SFA521" s="1358"/>
      <c r="SFB521" s="1358"/>
      <c r="SFC521" s="1358"/>
      <c r="SFD521" s="1358"/>
      <c r="SFE521" s="1358"/>
      <c r="SFF521" s="1358"/>
      <c r="SFG521" s="1358"/>
      <c r="SFH521" s="1358"/>
      <c r="SFI521" s="1358"/>
      <c r="SFJ521" s="1358"/>
      <c r="SFK521" s="1358"/>
      <c r="SFL521" s="1358"/>
      <c r="SFM521" s="1358"/>
      <c r="SFN521" s="1358"/>
      <c r="SFO521" s="1358"/>
      <c r="SFP521" s="1358"/>
      <c r="SFQ521" s="1358"/>
      <c r="SFR521" s="1358"/>
      <c r="SFS521" s="1358"/>
      <c r="SFT521" s="1358"/>
      <c r="SFU521" s="1358"/>
      <c r="SFV521" s="1358"/>
      <c r="SFW521" s="1358"/>
      <c r="SFX521" s="1358"/>
      <c r="SFY521" s="1358"/>
      <c r="SFZ521" s="1358"/>
      <c r="SGA521" s="1358"/>
      <c r="SGB521" s="1358"/>
      <c r="SGC521" s="1358"/>
      <c r="SGD521" s="1358"/>
      <c r="SGE521" s="1358"/>
      <c r="SGF521" s="1358"/>
      <c r="SGG521" s="1358"/>
      <c r="SGH521" s="1358"/>
      <c r="SGI521" s="1358"/>
      <c r="SGJ521" s="1358"/>
      <c r="SGK521" s="1358"/>
      <c r="SGL521" s="1358"/>
      <c r="SGM521" s="1358"/>
      <c r="SGN521" s="1358"/>
      <c r="SGO521" s="1358"/>
      <c r="SGP521" s="1358"/>
      <c r="SGQ521" s="1358"/>
      <c r="SGR521" s="1358"/>
      <c r="SGS521" s="1358"/>
      <c r="SGT521" s="1358"/>
      <c r="SGU521" s="1358"/>
      <c r="SGV521" s="1358"/>
      <c r="SGW521" s="1358"/>
      <c r="SGX521" s="1358"/>
      <c r="SGY521" s="1358"/>
      <c r="SGZ521" s="1358"/>
      <c r="SHA521" s="1358"/>
      <c r="SHB521" s="1358"/>
      <c r="SHC521" s="1358"/>
      <c r="SHD521" s="1358"/>
      <c r="SHE521" s="1358"/>
      <c r="SHF521" s="1358"/>
      <c r="SHG521" s="1358"/>
      <c r="SHH521" s="1358"/>
      <c r="SHI521" s="1358"/>
      <c r="SHJ521" s="1358"/>
      <c r="SHK521" s="1358"/>
      <c r="SHL521" s="1358"/>
      <c r="SHM521" s="1358"/>
      <c r="SHN521" s="1358"/>
      <c r="SHO521" s="1358"/>
      <c r="SHP521" s="1358"/>
      <c r="SHQ521" s="1358"/>
      <c r="SHR521" s="1358"/>
      <c r="SHS521" s="1358"/>
      <c r="SHT521" s="1358"/>
      <c r="SHU521" s="1358"/>
      <c r="SHV521" s="1358"/>
      <c r="SHW521" s="1358"/>
      <c r="SHX521" s="1358"/>
      <c r="SHY521" s="1358"/>
      <c r="SHZ521" s="1358"/>
      <c r="SIA521" s="1358"/>
      <c r="SIB521" s="1358"/>
      <c r="SIC521" s="1358"/>
      <c r="SID521" s="1358"/>
      <c r="SIE521" s="1358"/>
      <c r="SIF521" s="1358"/>
      <c r="SIG521" s="1358"/>
      <c r="SIH521" s="1358"/>
      <c r="SII521" s="1358"/>
      <c r="SIJ521" s="1358"/>
      <c r="SIK521" s="1358"/>
      <c r="SIL521" s="1358"/>
      <c r="SIM521" s="1358"/>
      <c r="SIN521" s="1358"/>
      <c r="SIO521" s="1358"/>
      <c r="SIP521" s="1358"/>
      <c r="SIQ521" s="1358"/>
      <c r="SIR521" s="1358"/>
      <c r="SIS521" s="1358"/>
      <c r="SIT521" s="1358"/>
      <c r="SIU521" s="1358"/>
      <c r="SIV521" s="1358"/>
      <c r="SIW521" s="1358"/>
      <c r="SIX521" s="1358"/>
      <c r="SIY521" s="1358"/>
      <c r="SIZ521" s="1358"/>
      <c r="SJA521" s="1358"/>
      <c r="SJB521" s="1358"/>
      <c r="SJC521" s="1358"/>
      <c r="SJD521" s="1358"/>
      <c r="SJE521" s="1358"/>
      <c r="SJF521" s="1358"/>
      <c r="SJG521" s="1358"/>
      <c r="SJH521" s="1358"/>
      <c r="SJI521" s="1358"/>
      <c r="SJJ521" s="1358"/>
      <c r="SJK521" s="1358"/>
      <c r="SJL521" s="1358"/>
      <c r="SJM521" s="1358"/>
      <c r="SJN521" s="1358"/>
      <c r="SJO521" s="1358"/>
      <c r="SJP521" s="1358"/>
      <c r="SJQ521" s="1358"/>
      <c r="SJR521" s="1358"/>
      <c r="SJS521" s="1358"/>
      <c r="SJT521" s="1358"/>
      <c r="SJU521" s="1358"/>
      <c r="SJV521" s="1358"/>
      <c r="SJW521" s="1358"/>
      <c r="SJX521" s="1358"/>
      <c r="SJY521" s="1358"/>
      <c r="SJZ521" s="1358"/>
      <c r="SKA521" s="1358"/>
      <c r="SKB521" s="1358"/>
      <c r="SKC521" s="1358"/>
      <c r="SKD521" s="1358"/>
      <c r="SKE521" s="1358"/>
      <c r="SKF521" s="1358"/>
      <c r="SKG521" s="1358"/>
      <c r="SKH521" s="1358"/>
      <c r="SKI521" s="1358"/>
      <c r="SKJ521" s="1358"/>
      <c r="SKK521" s="1358"/>
      <c r="SKL521" s="1358"/>
      <c r="SKM521" s="1358"/>
      <c r="SKN521" s="1358"/>
      <c r="SKO521" s="1358"/>
      <c r="SKP521" s="1358"/>
      <c r="SKQ521" s="1358"/>
      <c r="SKR521" s="1358"/>
      <c r="SKS521" s="1358"/>
      <c r="SKT521" s="1358"/>
      <c r="SKU521" s="1358"/>
      <c r="SKV521" s="1358"/>
      <c r="SKW521" s="1358"/>
      <c r="SKX521" s="1358"/>
      <c r="SKY521" s="1358"/>
      <c r="SKZ521" s="1358"/>
      <c r="SLA521" s="1358"/>
      <c r="SLB521" s="1358"/>
      <c r="SLC521" s="1358"/>
      <c r="SLD521" s="1358"/>
      <c r="SLE521" s="1358"/>
      <c r="SLF521" s="1358"/>
      <c r="SLG521" s="1358"/>
      <c r="SLH521" s="1358"/>
      <c r="SLI521" s="1358"/>
      <c r="SLJ521" s="1358"/>
      <c r="SLK521" s="1358"/>
      <c r="SLL521" s="1358"/>
      <c r="SLM521" s="1358"/>
      <c r="SLN521" s="1358"/>
      <c r="SLO521" s="1358"/>
      <c r="SLP521" s="1358"/>
      <c r="SLQ521" s="1358"/>
      <c r="SLR521" s="1358"/>
      <c r="SLS521" s="1358"/>
      <c r="SLT521" s="1358"/>
      <c r="SLU521" s="1358"/>
      <c r="SLV521" s="1358"/>
      <c r="SLW521" s="1358"/>
      <c r="SLX521" s="1358"/>
      <c r="SLY521" s="1358"/>
      <c r="SLZ521" s="1358"/>
      <c r="SMA521" s="1358"/>
      <c r="SMB521" s="1358"/>
      <c r="SMC521" s="1358"/>
      <c r="SMD521" s="1358"/>
      <c r="SME521" s="1358"/>
      <c r="SMF521" s="1358"/>
      <c r="SMG521" s="1358"/>
      <c r="SMH521" s="1358"/>
      <c r="SMI521" s="1358"/>
      <c r="SMJ521" s="1358"/>
      <c r="SMK521" s="1358"/>
      <c r="SML521" s="1358"/>
      <c r="SMM521" s="1358"/>
      <c r="SMN521" s="1358"/>
      <c r="SMO521" s="1358"/>
      <c r="SMP521" s="1358"/>
      <c r="SMQ521" s="1358"/>
      <c r="SMR521" s="1358"/>
      <c r="SMS521" s="1358"/>
      <c r="SMT521" s="1358"/>
      <c r="SMU521" s="1358"/>
      <c r="SMV521" s="1358"/>
      <c r="SMW521" s="1358"/>
      <c r="SMX521" s="1358"/>
      <c r="SMY521" s="1358"/>
      <c r="SMZ521" s="1358"/>
      <c r="SNA521" s="1358"/>
      <c r="SNB521" s="1358"/>
      <c r="SNC521" s="1358"/>
      <c r="SND521" s="1358"/>
      <c r="SNE521" s="1358"/>
      <c r="SNF521" s="1358"/>
      <c r="SNG521" s="1358"/>
      <c r="SNH521" s="1358"/>
      <c r="SNI521" s="1358"/>
      <c r="SNJ521" s="1358"/>
      <c r="SNK521" s="1358"/>
      <c r="SNL521" s="1358"/>
      <c r="SNM521" s="1358"/>
      <c r="SNN521" s="1358"/>
      <c r="SNO521" s="1358"/>
      <c r="SNP521" s="1358"/>
      <c r="SNQ521" s="1358"/>
      <c r="SNR521" s="1358"/>
      <c r="SNS521" s="1358"/>
      <c r="SNT521" s="1358"/>
      <c r="SNU521" s="1358"/>
      <c r="SNV521" s="1358"/>
      <c r="SNW521" s="1358"/>
      <c r="SNX521" s="1358"/>
      <c r="SNY521" s="1358"/>
      <c r="SNZ521" s="1358"/>
      <c r="SOA521" s="1358"/>
      <c r="SOB521" s="1358"/>
      <c r="SOC521" s="1358"/>
      <c r="SOD521" s="1358"/>
      <c r="SOE521" s="1358"/>
      <c r="SOF521" s="1358"/>
      <c r="SOG521" s="1358"/>
      <c r="SOH521" s="1358"/>
      <c r="SOI521" s="1358"/>
      <c r="SOJ521" s="1358"/>
      <c r="SOK521" s="1358"/>
      <c r="SOL521" s="1358"/>
      <c r="SOM521" s="1358"/>
      <c r="SON521" s="1358"/>
      <c r="SOO521" s="1358"/>
      <c r="SOP521" s="1358"/>
      <c r="SOQ521" s="1358"/>
      <c r="SOR521" s="1358"/>
      <c r="SOS521" s="1358"/>
      <c r="SOT521" s="1358"/>
      <c r="SOU521" s="1358"/>
      <c r="SOV521" s="1358"/>
      <c r="SOW521" s="1358"/>
      <c r="SOX521" s="1358"/>
      <c r="SOY521" s="1358"/>
      <c r="SOZ521" s="1358"/>
      <c r="SPA521" s="1358"/>
      <c r="SPB521" s="1358"/>
      <c r="SPC521" s="1358"/>
      <c r="SPD521" s="1358"/>
      <c r="SPE521" s="1358"/>
      <c r="SPF521" s="1358"/>
      <c r="SPG521" s="1358"/>
      <c r="SPH521" s="1358"/>
      <c r="SPI521" s="1358"/>
      <c r="SPJ521" s="1358"/>
      <c r="SPK521" s="1358"/>
      <c r="SPL521" s="1358"/>
      <c r="SPM521" s="1358"/>
      <c r="SPN521" s="1358"/>
      <c r="SPO521" s="1358"/>
      <c r="SPP521" s="1358"/>
      <c r="SPQ521" s="1358"/>
      <c r="SPR521" s="1358"/>
      <c r="SPS521" s="1358"/>
      <c r="SPT521" s="1358"/>
      <c r="SPU521" s="1358"/>
      <c r="SPV521" s="1358"/>
      <c r="SPW521" s="1358"/>
      <c r="SPX521" s="1358"/>
      <c r="SPY521" s="1358"/>
      <c r="SPZ521" s="1358"/>
      <c r="SQA521" s="1358"/>
      <c r="SQB521" s="1358"/>
      <c r="SQC521" s="1358"/>
      <c r="SQD521" s="1358"/>
      <c r="SQE521" s="1358"/>
      <c r="SQF521" s="1358"/>
      <c r="SQG521" s="1358"/>
      <c r="SQH521" s="1358"/>
      <c r="SQI521" s="1358"/>
      <c r="SQJ521" s="1358"/>
      <c r="SQK521" s="1358"/>
      <c r="SQL521" s="1358"/>
      <c r="SQM521" s="1358"/>
      <c r="SQN521" s="1358"/>
      <c r="SQO521" s="1358"/>
      <c r="SQP521" s="1358"/>
      <c r="SQQ521" s="1358"/>
      <c r="SQR521" s="1358"/>
      <c r="SQS521" s="1358"/>
      <c r="SQT521" s="1358"/>
      <c r="SQU521" s="1358"/>
      <c r="SQV521" s="1358"/>
      <c r="SQW521" s="1358"/>
      <c r="SQX521" s="1358"/>
      <c r="SQY521" s="1358"/>
      <c r="SQZ521" s="1358"/>
      <c r="SRA521" s="1358"/>
      <c r="SRB521" s="1358"/>
      <c r="SRC521" s="1358"/>
      <c r="SRD521" s="1358"/>
      <c r="SRE521" s="1358"/>
      <c r="SRF521" s="1358"/>
      <c r="SRG521" s="1358"/>
      <c r="SRH521" s="1358"/>
      <c r="SRI521" s="1358"/>
      <c r="SRJ521" s="1358"/>
      <c r="SRK521" s="1358"/>
      <c r="SRL521" s="1358"/>
      <c r="SRM521" s="1358"/>
      <c r="SRN521" s="1358"/>
      <c r="SRO521" s="1358"/>
      <c r="SRP521" s="1358"/>
      <c r="SRQ521" s="1358"/>
      <c r="SRR521" s="1358"/>
      <c r="SRS521" s="1358"/>
      <c r="SRT521" s="1358"/>
      <c r="SRU521" s="1358"/>
      <c r="SRV521" s="1358"/>
      <c r="SRW521" s="1358"/>
      <c r="SRX521" s="1358"/>
      <c r="SRY521" s="1358"/>
      <c r="SRZ521" s="1358"/>
      <c r="SSA521" s="1358"/>
      <c r="SSB521" s="1358"/>
      <c r="SSC521" s="1358"/>
      <c r="SSD521" s="1358"/>
      <c r="SSE521" s="1358"/>
      <c r="SSF521" s="1358"/>
      <c r="SSG521" s="1358"/>
      <c r="SSH521" s="1358"/>
      <c r="SSI521" s="1358"/>
      <c r="SSJ521" s="1358"/>
      <c r="SSK521" s="1358"/>
      <c r="SSL521" s="1358"/>
      <c r="SSM521" s="1358"/>
      <c r="SSN521" s="1358"/>
      <c r="SSO521" s="1358"/>
      <c r="SSP521" s="1358"/>
      <c r="SSQ521" s="1358"/>
      <c r="SSR521" s="1358"/>
      <c r="SSS521" s="1358"/>
      <c r="SST521" s="1358"/>
      <c r="SSU521" s="1358"/>
      <c r="SSV521" s="1358"/>
      <c r="SSW521" s="1358"/>
      <c r="SSX521" s="1358"/>
      <c r="SSY521" s="1358"/>
      <c r="SSZ521" s="1358"/>
      <c r="STA521" s="1358"/>
      <c r="STB521" s="1358"/>
      <c r="STC521" s="1358"/>
      <c r="STD521" s="1358"/>
      <c r="STE521" s="1358"/>
      <c r="STF521" s="1358"/>
      <c r="STG521" s="1358"/>
      <c r="STH521" s="1358"/>
      <c r="STI521" s="1358"/>
      <c r="STJ521" s="1358"/>
      <c r="STK521" s="1358"/>
      <c r="STL521" s="1358"/>
      <c r="STM521" s="1358"/>
      <c r="STN521" s="1358"/>
      <c r="STO521" s="1358"/>
      <c r="STP521" s="1358"/>
      <c r="STQ521" s="1358"/>
      <c r="STR521" s="1358"/>
      <c r="STS521" s="1358"/>
      <c r="STT521" s="1358"/>
      <c r="STU521" s="1358"/>
      <c r="STV521" s="1358"/>
      <c r="STW521" s="1358"/>
      <c r="STX521" s="1358"/>
      <c r="STY521" s="1358"/>
      <c r="STZ521" s="1358"/>
      <c r="SUA521" s="1358"/>
      <c r="SUB521" s="1358"/>
      <c r="SUC521" s="1358"/>
      <c r="SUD521" s="1358"/>
      <c r="SUE521" s="1358"/>
      <c r="SUF521" s="1358"/>
      <c r="SUG521" s="1358"/>
      <c r="SUH521" s="1358"/>
      <c r="SUI521" s="1358"/>
      <c r="SUJ521" s="1358"/>
      <c r="SUK521" s="1358"/>
      <c r="SUL521" s="1358"/>
      <c r="SUM521" s="1358"/>
      <c r="SUN521" s="1358"/>
      <c r="SUO521" s="1358"/>
      <c r="SUP521" s="1358"/>
      <c r="SUQ521" s="1358"/>
      <c r="SUR521" s="1358"/>
      <c r="SUS521" s="1358"/>
      <c r="SUT521" s="1358"/>
      <c r="SUU521" s="1358"/>
      <c r="SUV521" s="1358"/>
      <c r="SUW521" s="1358"/>
      <c r="SUX521" s="1358"/>
      <c r="SUY521" s="1358"/>
      <c r="SUZ521" s="1358"/>
      <c r="SVA521" s="1358"/>
      <c r="SVB521" s="1358"/>
      <c r="SVC521" s="1358"/>
      <c r="SVD521" s="1358"/>
      <c r="SVE521" s="1358"/>
      <c r="SVF521" s="1358"/>
      <c r="SVG521" s="1358"/>
      <c r="SVH521" s="1358"/>
      <c r="SVI521" s="1358"/>
      <c r="SVJ521" s="1358"/>
      <c r="SVK521" s="1358"/>
      <c r="SVL521" s="1358"/>
      <c r="SVM521" s="1358"/>
      <c r="SVN521" s="1358"/>
      <c r="SVO521" s="1358"/>
      <c r="SVP521" s="1358"/>
      <c r="SVQ521" s="1358"/>
      <c r="SVR521" s="1358"/>
      <c r="SVS521" s="1358"/>
      <c r="SVT521" s="1358"/>
      <c r="SVU521" s="1358"/>
      <c r="SVV521" s="1358"/>
      <c r="SVW521" s="1358"/>
      <c r="SVX521" s="1358"/>
      <c r="SVY521" s="1358"/>
      <c r="SVZ521" s="1358"/>
      <c r="SWA521" s="1358"/>
      <c r="SWB521" s="1358"/>
      <c r="SWC521" s="1358"/>
      <c r="SWD521" s="1358"/>
      <c r="SWE521" s="1358"/>
      <c r="SWF521" s="1358"/>
      <c r="SWG521" s="1358"/>
      <c r="SWH521" s="1358"/>
      <c r="SWI521" s="1358"/>
      <c r="SWJ521" s="1358"/>
      <c r="SWK521" s="1358"/>
      <c r="SWL521" s="1358"/>
      <c r="SWM521" s="1358"/>
      <c r="SWN521" s="1358"/>
      <c r="SWO521" s="1358"/>
      <c r="SWP521" s="1358"/>
      <c r="SWQ521" s="1358"/>
      <c r="SWR521" s="1358"/>
      <c r="SWS521" s="1358"/>
      <c r="SWT521" s="1358"/>
      <c r="SWU521" s="1358"/>
      <c r="SWV521" s="1358"/>
      <c r="SWW521" s="1358"/>
      <c r="SWX521" s="1358"/>
      <c r="SWY521" s="1358"/>
      <c r="SWZ521" s="1358"/>
      <c r="SXA521" s="1358"/>
      <c r="SXB521" s="1358"/>
      <c r="SXC521" s="1358"/>
      <c r="SXD521" s="1358"/>
      <c r="SXE521" s="1358"/>
      <c r="SXF521" s="1358"/>
      <c r="SXG521" s="1358"/>
      <c r="SXH521" s="1358"/>
      <c r="SXI521" s="1358"/>
      <c r="SXJ521" s="1358"/>
      <c r="SXK521" s="1358"/>
      <c r="SXL521" s="1358"/>
      <c r="SXM521" s="1358"/>
      <c r="SXN521" s="1358"/>
      <c r="SXO521" s="1358"/>
      <c r="SXP521" s="1358"/>
      <c r="SXQ521" s="1358"/>
      <c r="SXR521" s="1358"/>
      <c r="SXS521" s="1358"/>
      <c r="SXT521" s="1358"/>
      <c r="SXU521" s="1358"/>
      <c r="SXV521" s="1358"/>
      <c r="SXW521" s="1358"/>
      <c r="SXX521" s="1358"/>
      <c r="SXY521" s="1358"/>
      <c r="SXZ521" s="1358"/>
      <c r="SYA521" s="1358"/>
      <c r="SYB521" s="1358"/>
      <c r="SYC521" s="1358"/>
      <c r="SYD521" s="1358"/>
      <c r="SYE521" s="1358"/>
      <c r="SYF521" s="1358"/>
      <c r="SYG521" s="1358"/>
      <c r="SYH521" s="1358"/>
      <c r="SYI521" s="1358"/>
      <c r="SYJ521" s="1358"/>
      <c r="SYK521" s="1358"/>
      <c r="SYL521" s="1358"/>
      <c r="SYM521" s="1358"/>
      <c r="SYN521" s="1358"/>
      <c r="SYO521" s="1358"/>
      <c r="SYP521" s="1358"/>
      <c r="SYQ521" s="1358"/>
      <c r="SYR521" s="1358"/>
      <c r="SYS521" s="1358"/>
      <c r="SYT521" s="1358"/>
      <c r="SYU521" s="1358"/>
      <c r="SYV521" s="1358"/>
      <c r="SYW521" s="1358"/>
      <c r="SYX521" s="1358"/>
      <c r="SYY521" s="1358"/>
      <c r="SYZ521" s="1358"/>
      <c r="SZA521" s="1358"/>
      <c r="SZB521" s="1358"/>
      <c r="SZC521" s="1358"/>
      <c r="SZD521" s="1358"/>
      <c r="SZE521" s="1358"/>
      <c r="SZF521" s="1358"/>
      <c r="SZG521" s="1358"/>
      <c r="SZH521" s="1358"/>
      <c r="SZI521" s="1358"/>
      <c r="SZJ521" s="1358"/>
      <c r="SZK521" s="1358"/>
      <c r="SZL521" s="1358"/>
      <c r="SZM521" s="1358"/>
      <c r="SZN521" s="1358"/>
      <c r="SZO521" s="1358"/>
      <c r="SZP521" s="1358"/>
      <c r="SZQ521" s="1358"/>
      <c r="SZR521" s="1358"/>
      <c r="SZS521" s="1358"/>
      <c r="SZT521" s="1358"/>
      <c r="SZU521" s="1358"/>
      <c r="SZV521" s="1358"/>
      <c r="SZW521" s="1358"/>
      <c r="SZX521" s="1358"/>
      <c r="SZY521" s="1358"/>
      <c r="SZZ521" s="1358"/>
      <c r="TAA521" s="1358"/>
      <c r="TAB521" s="1358"/>
      <c r="TAC521" s="1358"/>
      <c r="TAD521" s="1358"/>
      <c r="TAE521" s="1358"/>
      <c r="TAF521" s="1358"/>
      <c r="TAG521" s="1358"/>
      <c r="TAH521" s="1358"/>
      <c r="TAI521" s="1358"/>
      <c r="TAJ521" s="1358"/>
      <c r="TAK521" s="1358"/>
      <c r="TAL521" s="1358"/>
      <c r="TAM521" s="1358"/>
      <c r="TAN521" s="1358"/>
      <c r="TAO521" s="1358"/>
      <c r="TAP521" s="1358"/>
      <c r="TAQ521" s="1358"/>
      <c r="TAR521" s="1358"/>
      <c r="TAS521" s="1358"/>
      <c r="TAT521" s="1358"/>
      <c r="TAU521" s="1358"/>
      <c r="TAV521" s="1358"/>
      <c r="TAW521" s="1358"/>
      <c r="TAX521" s="1358"/>
      <c r="TAY521" s="1358"/>
      <c r="TAZ521" s="1358"/>
      <c r="TBA521" s="1358"/>
      <c r="TBB521" s="1358"/>
      <c r="TBC521" s="1358"/>
      <c r="TBD521" s="1358"/>
      <c r="TBE521" s="1358"/>
      <c r="TBF521" s="1358"/>
      <c r="TBG521" s="1358"/>
      <c r="TBH521" s="1358"/>
      <c r="TBI521" s="1358"/>
      <c r="TBJ521" s="1358"/>
      <c r="TBK521" s="1358"/>
      <c r="TBL521" s="1358"/>
      <c r="TBM521" s="1358"/>
      <c r="TBN521" s="1358"/>
      <c r="TBO521" s="1358"/>
      <c r="TBP521" s="1358"/>
      <c r="TBQ521" s="1358"/>
      <c r="TBR521" s="1358"/>
      <c r="TBS521" s="1358"/>
      <c r="TBT521" s="1358"/>
      <c r="TBU521" s="1358"/>
      <c r="TBV521" s="1358"/>
      <c r="TBW521" s="1358"/>
      <c r="TBX521" s="1358"/>
      <c r="TBY521" s="1358"/>
      <c r="TBZ521" s="1358"/>
      <c r="TCA521" s="1358"/>
      <c r="TCB521" s="1358"/>
      <c r="TCC521" s="1358"/>
      <c r="TCD521" s="1358"/>
      <c r="TCE521" s="1358"/>
      <c r="TCF521" s="1358"/>
      <c r="TCG521" s="1358"/>
      <c r="TCH521" s="1358"/>
      <c r="TCI521" s="1358"/>
      <c r="TCJ521" s="1358"/>
      <c r="TCK521" s="1358"/>
      <c r="TCL521" s="1358"/>
      <c r="TCM521" s="1358"/>
      <c r="TCN521" s="1358"/>
      <c r="TCO521" s="1358"/>
      <c r="TCP521" s="1358"/>
      <c r="TCQ521" s="1358"/>
      <c r="TCR521" s="1358"/>
      <c r="TCS521" s="1358"/>
      <c r="TCT521" s="1358"/>
      <c r="TCU521" s="1358"/>
      <c r="TCV521" s="1358"/>
      <c r="TCW521" s="1358"/>
      <c r="TCX521" s="1358"/>
      <c r="TCY521" s="1358"/>
      <c r="TCZ521" s="1358"/>
      <c r="TDA521" s="1358"/>
      <c r="TDB521" s="1358"/>
      <c r="TDC521" s="1358"/>
      <c r="TDD521" s="1358"/>
      <c r="TDE521" s="1358"/>
      <c r="TDF521" s="1358"/>
      <c r="TDG521" s="1358"/>
      <c r="TDH521" s="1358"/>
      <c r="TDI521" s="1358"/>
      <c r="TDJ521" s="1358"/>
      <c r="TDK521" s="1358"/>
      <c r="TDL521" s="1358"/>
      <c r="TDM521" s="1358"/>
      <c r="TDN521" s="1358"/>
      <c r="TDO521" s="1358"/>
      <c r="TDP521" s="1358"/>
      <c r="TDQ521" s="1358"/>
      <c r="TDR521" s="1358"/>
      <c r="TDS521" s="1358"/>
      <c r="TDT521" s="1358"/>
      <c r="TDU521" s="1358"/>
      <c r="TDV521" s="1358"/>
      <c r="TDW521" s="1358"/>
      <c r="TDX521" s="1358"/>
      <c r="TDY521" s="1358"/>
      <c r="TDZ521" s="1358"/>
      <c r="TEA521" s="1358"/>
      <c r="TEB521" s="1358"/>
      <c r="TEC521" s="1358"/>
      <c r="TED521" s="1358"/>
      <c r="TEE521" s="1358"/>
      <c r="TEF521" s="1358"/>
      <c r="TEG521" s="1358"/>
      <c r="TEH521" s="1358"/>
      <c r="TEI521" s="1358"/>
      <c r="TEJ521" s="1358"/>
      <c r="TEK521" s="1358"/>
      <c r="TEL521" s="1358"/>
      <c r="TEM521" s="1358"/>
      <c r="TEN521" s="1358"/>
      <c r="TEO521" s="1358"/>
      <c r="TEP521" s="1358"/>
      <c r="TEQ521" s="1358"/>
      <c r="TER521" s="1358"/>
      <c r="TES521" s="1358"/>
      <c r="TET521" s="1358"/>
      <c r="TEU521" s="1358"/>
      <c r="TEV521" s="1358"/>
      <c r="TEW521" s="1358"/>
      <c r="TEX521" s="1358"/>
      <c r="TEY521" s="1358"/>
      <c r="TEZ521" s="1358"/>
      <c r="TFA521" s="1358"/>
      <c r="TFB521" s="1358"/>
      <c r="TFC521" s="1358"/>
      <c r="TFD521" s="1358"/>
      <c r="TFE521" s="1358"/>
      <c r="TFF521" s="1358"/>
      <c r="TFG521" s="1358"/>
      <c r="TFH521" s="1358"/>
      <c r="TFI521" s="1358"/>
      <c r="TFJ521" s="1358"/>
      <c r="TFK521" s="1358"/>
      <c r="TFL521" s="1358"/>
      <c r="TFM521" s="1358"/>
      <c r="TFN521" s="1358"/>
      <c r="TFO521" s="1358"/>
      <c r="TFP521" s="1358"/>
      <c r="TFQ521" s="1358"/>
      <c r="TFR521" s="1358"/>
      <c r="TFS521" s="1358"/>
      <c r="TFT521" s="1358"/>
      <c r="TFU521" s="1358"/>
      <c r="TFV521" s="1358"/>
      <c r="TFW521" s="1358"/>
      <c r="TFX521" s="1358"/>
      <c r="TFY521" s="1358"/>
      <c r="TFZ521" s="1358"/>
      <c r="TGA521" s="1358"/>
      <c r="TGB521" s="1358"/>
      <c r="TGC521" s="1358"/>
      <c r="TGD521" s="1358"/>
      <c r="TGE521" s="1358"/>
      <c r="TGF521" s="1358"/>
      <c r="TGG521" s="1358"/>
      <c r="TGH521" s="1358"/>
      <c r="TGI521" s="1358"/>
      <c r="TGJ521" s="1358"/>
      <c r="TGK521" s="1358"/>
      <c r="TGL521" s="1358"/>
      <c r="TGM521" s="1358"/>
      <c r="TGN521" s="1358"/>
      <c r="TGO521" s="1358"/>
      <c r="TGP521" s="1358"/>
      <c r="TGQ521" s="1358"/>
      <c r="TGR521" s="1358"/>
      <c r="TGS521" s="1358"/>
      <c r="TGT521" s="1358"/>
      <c r="TGU521" s="1358"/>
      <c r="TGV521" s="1358"/>
      <c r="TGW521" s="1358"/>
      <c r="TGX521" s="1358"/>
      <c r="TGY521" s="1358"/>
      <c r="TGZ521" s="1358"/>
      <c r="THA521" s="1358"/>
      <c r="THB521" s="1358"/>
      <c r="THC521" s="1358"/>
      <c r="THD521" s="1358"/>
      <c r="THE521" s="1358"/>
      <c r="THF521" s="1358"/>
      <c r="THG521" s="1358"/>
      <c r="THH521" s="1358"/>
      <c r="THI521" s="1358"/>
      <c r="THJ521" s="1358"/>
      <c r="THK521" s="1358"/>
      <c r="THL521" s="1358"/>
      <c r="THM521" s="1358"/>
      <c r="THN521" s="1358"/>
      <c r="THO521" s="1358"/>
      <c r="THP521" s="1358"/>
      <c r="THQ521" s="1358"/>
      <c r="THR521" s="1358"/>
      <c r="THS521" s="1358"/>
      <c r="THT521" s="1358"/>
      <c r="THU521" s="1358"/>
      <c r="THV521" s="1358"/>
      <c r="THW521" s="1358"/>
      <c r="THX521" s="1358"/>
      <c r="THY521" s="1358"/>
      <c r="THZ521" s="1358"/>
      <c r="TIA521" s="1358"/>
      <c r="TIB521" s="1358"/>
      <c r="TIC521" s="1358"/>
      <c r="TID521" s="1358"/>
      <c r="TIE521" s="1358"/>
      <c r="TIF521" s="1358"/>
      <c r="TIG521" s="1358"/>
      <c r="TIH521" s="1358"/>
      <c r="TII521" s="1358"/>
      <c r="TIJ521" s="1358"/>
      <c r="TIK521" s="1358"/>
      <c r="TIL521" s="1358"/>
      <c r="TIM521" s="1358"/>
      <c r="TIN521" s="1358"/>
      <c r="TIO521" s="1358"/>
      <c r="TIP521" s="1358"/>
      <c r="TIQ521" s="1358"/>
      <c r="TIR521" s="1358"/>
      <c r="TIS521" s="1358"/>
      <c r="TIT521" s="1358"/>
      <c r="TIU521" s="1358"/>
      <c r="TIV521" s="1358"/>
      <c r="TIW521" s="1358"/>
      <c r="TIX521" s="1358"/>
      <c r="TIY521" s="1358"/>
      <c r="TIZ521" s="1358"/>
      <c r="TJA521" s="1358"/>
      <c r="TJB521" s="1358"/>
      <c r="TJC521" s="1358"/>
      <c r="TJD521" s="1358"/>
      <c r="TJE521" s="1358"/>
      <c r="TJF521" s="1358"/>
      <c r="TJG521" s="1358"/>
      <c r="TJH521" s="1358"/>
      <c r="TJI521" s="1358"/>
      <c r="TJJ521" s="1358"/>
      <c r="TJK521" s="1358"/>
      <c r="TJL521" s="1358"/>
      <c r="TJM521" s="1358"/>
      <c r="TJN521" s="1358"/>
      <c r="TJO521" s="1358"/>
      <c r="TJP521" s="1358"/>
      <c r="TJQ521" s="1358"/>
      <c r="TJR521" s="1358"/>
      <c r="TJS521" s="1358"/>
      <c r="TJT521" s="1358"/>
      <c r="TJU521" s="1358"/>
      <c r="TJV521" s="1358"/>
      <c r="TJW521" s="1358"/>
      <c r="TJX521" s="1358"/>
      <c r="TJY521" s="1358"/>
      <c r="TJZ521" s="1358"/>
      <c r="TKA521" s="1358"/>
      <c r="TKB521" s="1358"/>
      <c r="TKC521" s="1358"/>
      <c r="TKD521" s="1358"/>
      <c r="TKE521" s="1358"/>
      <c r="TKF521" s="1358"/>
      <c r="TKG521" s="1358"/>
      <c r="TKH521" s="1358"/>
      <c r="TKI521" s="1358"/>
      <c r="TKJ521" s="1358"/>
      <c r="TKK521" s="1358"/>
      <c r="TKL521" s="1358"/>
      <c r="TKM521" s="1358"/>
      <c r="TKN521" s="1358"/>
      <c r="TKO521" s="1358"/>
      <c r="TKP521" s="1358"/>
      <c r="TKQ521" s="1358"/>
      <c r="TKR521" s="1358"/>
      <c r="TKS521" s="1358"/>
      <c r="TKT521" s="1358"/>
      <c r="TKU521" s="1358"/>
      <c r="TKV521" s="1358"/>
      <c r="TKW521" s="1358"/>
      <c r="TKX521" s="1358"/>
      <c r="TKY521" s="1358"/>
      <c r="TKZ521" s="1358"/>
      <c r="TLA521" s="1358"/>
      <c r="TLB521" s="1358"/>
      <c r="TLC521" s="1358"/>
      <c r="TLD521" s="1358"/>
      <c r="TLE521" s="1358"/>
      <c r="TLF521" s="1358"/>
      <c r="TLG521" s="1358"/>
      <c r="TLH521" s="1358"/>
      <c r="TLI521" s="1358"/>
      <c r="TLJ521" s="1358"/>
      <c r="TLK521" s="1358"/>
      <c r="TLL521" s="1358"/>
      <c r="TLM521" s="1358"/>
      <c r="TLN521" s="1358"/>
      <c r="TLO521" s="1358"/>
      <c r="TLP521" s="1358"/>
      <c r="TLQ521" s="1358"/>
      <c r="TLR521" s="1358"/>
      <c r="TLS521" s="1358"/>
      <c r="TLT521" s="1358"/>
      <c r="TLU521" s="1358"/>
      <c r="TLV521" s="1358"/>
      <c r="TLW521" s="1358"/>
      <c r="TLX521" s="1358"/>
      <c r="TLY521" s="1358"/>
      <c r="TLZ521" s="1358"/>
      <c r="TMA521" s="1358"/>
      <c r="TMB521" s="1358"/>
      <c r="TMC521" s="1358"/>
      <c r="TMD521" s="1358"/>
      <c r="TME521" s="1358"/>
      <c r="TMF521" s="1358"/>
      <c r="TMG521" s="1358"/>
      <c r="TMH521" s="1358"/>
      <c r="TMI521" s="1358"/>
      <c r="TMJ521" s="1358"/>
      <c r="TMK521" s="1358"/>
      <c r="TML521" s="1358"/>
      <c r="TMM521" s="1358"/>
      <c r="TMN521" s="1358"/>
      <c r="TMO521" s="1358"/>
      <c r="TMP521" s="1358"/>
      <c r="TMQ521" s="1358"/>
      <c r="TMR521" s="1358"/>
      <c r="TMS521" s="1358"/>
      <c r="TMT521" s="1358"/>
      <c r="TMU521" s="1358"/>
      <c r="TMV521" s="1358"/>
      <c r="TMW521" s="1358"/>
      <c r="TMX521" s="1358"/>
      <c r="TMY521" s="1358"/>
      <c r="TMZ521" s="1358"/>
      <c r="TNA521" s="1358"/>
      <c r="TNB521" s="1358"/>
      <c r="TNC521" s="1358"/>
      <c r="TND521" s="1358"/>
      <c r="TNE521" s="1358"/>
      <c r="TNF521" s="1358"/>
      <c r="TNG521" s="1358"/>
      <c r="TNH521" s="1358"/>
      <c r="TNI521" s="1358"/>
      <c r="TNJ521" s="1358"/>
      <c r="TNK521" s="1358"/>
      <c r="TNL521" s="1358"/>
      <c r="TNM521" s="1358"/>
      <c r="TNN521" s="1358"/>
      <c r="TNO521" s="1358"/>
      <c r="TNP521" s="1358"/>
      <c r="TNQ521" s="1358"/>
      <c r="TNR521" s="1358"/>
      <c r="TNS521" s="1358"/>
      <c r="TNT521" s="1358"/>
      <c r="TNU521" s="1358"/>
      <c r="TNV521" s="1358"/>
      <c r="TNW521" s="1358"/>
      <c r="TNX521" s="1358"/>
      <c r="TNY521" s="1358"/>
      <c r="TNZ521" s="1358"/>
      <c r="TOA521" s="1358"/>
      <c r="TOB521" s="1358"/>
      <c r="TOC521" s="1358"/>
      <c r="TOD521" s="1358"/>
      <c r="TOE521" s="1358"/>
      <c r="TOF521" s="1358"/>
      <c r="TOG521" s="1358"/>
      <c r="TOH521" s="1358"/>
      <c r="TOI521" s="1358"/>
      <c r="TOJ521" s="1358"/>
      <c r="TOK521" s="1358"/>
      <c r="TOL521" s="1358"/>
      <c r="TOM521" s="1358"/>
      <c r="TON521" s="1358"/>
      <c r="TOO521" s="1358"/>
      <c r="TOP521" s="1358"/>
      <c r="TOQ521" s="1358"/>
      <c r="TOR521" s="1358"/>
      <c r="TOS521" s="1358"/>
      <c r="TOT521" s="1358"/>
      <c r="TOU521" s="1358"/>
      <c r="TOV521" s="1358"/>
      <c r="TOW521" s="1358"/>
      <c r="TOX521" s="1358"/>
      <c r="TOY521" s="1358"/>
      <c r="TOZ521" s="1358"/>
      <c r="TPA521" s="1358"/>
      <c r="TPB521" s="1358"/>
      <c r="TPC521" s="1358"/>
      <c r="TPD521" s="1358"/>
      <c r="TPE521" s="1358"/>
      <c r="TPF521" s="1358"/>
      <c r="TPG521" s="1358"/>
      <c r="TPH521" s="1358"/>
      <c r="TPI521" s="1358"/>
      <c r="TPJ521" s="1358"/>
      <c r="TPK521" s="1358"/>
      <c r="TPL521" s="1358"/>
      <c r="TPM521" s="1358"/>
      <c r="TPN521" s="1358"/>
      <c r="TPO521" s="1358"/>
      <c r="TPP521" s="1358"/>
      <c r="TPQ521" s="1358"/>
      <c r="TPR521" s="1358"/>
      <c r="TPS521" s="1358"/>
      <c r="TPT521" s="1358"/>
      <c r="TPU521" s="1358"/>
      <c r="TPV521" s="1358"/>
      <c r="TPW521" s="1358"/>
      <c r="TPX521" s="1358"/>
      <c r="TPY521" s="1358"/>
      <c r="TPZ521" s="1358"/>
      <c r="TQA521" s="1358"/>
      <c r="TQB521" s="1358"/>
      <c r="TQC521" s="1358"/>
      <c r="TQD521" s="1358"/>
      <c r="TQE521" s="1358"/>
      <c r="TQF521" s="1358"/>
      <c r="TQG521" s="1358"/>
      <c r="TQH521" s="1358"/>
      <c r="TQI521" s="1358"/>
      <c r="TQJ521" s="1358"/>
      <c r="TQK521" s="1358"/>
      <c r="TQL521" s="1358"/>
      <c r="TQM521" s="1358"/>
      <c r="TQN521" s="1358"/>
      <c r="TQO521" s="1358"/>
      <c r="TQP521" s="1358"/>
      <c r="TQQ521" s="1358"/>
      <c r="TQR521" s="1358"/>
      <c r="TQS521" s="1358"/>
      <c r="TQT521" s="1358"/>
      <c r="TQU521" s="1358"/>
      <c r="TQV521" s="1358"/>
      <c r="TQW521" s="1358"/>
      <c r="TQX521" s="1358"/>
      <c r="TQY521" s="1358"/>
      <c r="TQZ521" s="1358"/>
      <c r="TRA521" s="1358"/>
      <c r="TRB521" s="1358"/>
      <c r="TRC521" s="1358"/>
      <c r="TRD521" s="1358"/>
      <c r="TRE521" s="1358"/>
      <c r="TRF521" s="1358"/>
      <c r="TRG521" s="1358"/>
      <c r="TRH521" s="1358"/>
      <c r="TRI521" s="1358"/>
      <c r="TRJ521" s="1358"/>
      <c r="TRK521" s="1358"/>
      <c r="TRL521" s="1358"/>
      <c r="TRM521" s="1358"/>
      <c r="TRN521" s="1358"/>
      <c r="TRO521" s="1358"/>
      <c r="TRP521" s="1358"/>
      <c r="TRQ521" s="1358"/>
      <c r="TRR521" s="1358"/>
      <c r="TRS521" s="1358"/>
      <c r="TRT521" s="1358"/>
      <c r="TRU521" s="1358"/>
      <c r="TRV521" s="1358"/>
      <c r="TRW521" s="1358"/>
      <c r="TRX521" s="1358"/>
      <c r="TRY521" s="1358"/>
      <c r="TRZ521" s="1358"/>
      <c r="TSA521" s="1358"/>
      <c r="TSB521" s="1358"/>
      <c r="TSC521" s="1358"/>
      <c r="TSD521" s="1358"/>
      <c r="TSE521" s="1358"/>
      <c r="TSF521" s="1358"/>
      <c r="TSG521" s="1358"/>
      <c r="TSH521" s="1358"/>
      <c r="TSI521" s="1358"/>
      <c r="TSJ521" s="1358"/>
      <c r="TSK521" s="1358"/>
      <c r="TSL521" s="1358"/>
      <c r="TSM521" s="1358"/>
      <c r="TSN521" s="1358"/>
      <c r="TSO521" s="1358"/>
      <c r="TSP521" s="1358"/>
      <c r="TSQ521" s="1358"/>
      <c r="TSR521" s="1358"/>
      <c r="TSS521" s="1358"/>
      <c r="TST521" s="1358"/>
      <c r="TSU521" s="1358"/>
      <c r="TSV521" s="1358"/>
      <c r="TSW521" s="1358"/>
      <c r="TSX521" s="1358"/>
      <c r="TSY521" s="1358"/>
      <c r="TSZ521" s="1358"/>
      <c r="TTA521" s="1358"/>
      <c r="TTB521" s="1358"/>
      <c r="TTC521" s="1358"/>
      <c r="TTD521" s="1358"/>
      <c r="TTE521" s="1358"/>
      <c r="TTF521" s="1358"/>
      <c r="TTG521" s="1358"/>
      <c r="TTH521" s="1358"/>
      <c r="TTI521" s="1358"/>
      <c r="TTJ521" s="1358"/>
      <c r="TTK521" s="1358"/>
      <c r="TTL521" s="1358"/>
      <c r="TTM521" s="1358"/>
      <c r="TTN521" s="1358"/>
      <c r="TTO521" s="1358"/>
      <c r="TTP521" s="1358"/>
      <c r="TTQ521" s="1358"/>
      <c r="TTR521" s="1358"/>
      <c r="TTS521" s="1358"/>
      <c r="TTT521" s="1358"/>
      <c r="TTU521" s="1358"/>
      <c r="TTV521" s="1358"/>
      <c r="TTW521" s="1358"/>
      <c r="TTX521" s="1358"/>
      <c r="TTY521" s="1358"/>
      <c r="TTZ521" s="1358"/>
      <c r="TUA521" s="1358"/>
      <c r="TUB521" s="1358"/>
      <c r="TUC521" s="1358"/>
      <c r="TUD521" s="1358"/>
      <c r="TUE521" s="1358"/>
      <c r="TUF521" s="1358"/>
      <c r="TUG521" s="1358"/>
      <c r="TUH521" s="1358"/>
      <c r="TUI521" s="1358"/>
      <c r="TUJ521" s="1358"/>
      <c r="TUK521" s="1358"/>
      <c r="TUL521" s="1358"/>
      <c r="TUM521" s="1358"/>
      <c r="TUN521" s="1358"/>
      <c r="TUO521" s="1358"/>
      <c r="TUP521" s="1358"/>
      <c r="TUQ521" s="1358"/>
      <c r="TUR521" s="1358"/>
      <c r="TUS521" s="1358"/>
      <c r="TUT521" s="1358"/>
      <c r="TUU521" s="1358"/>
      <c r="TUV521" s="1358"/>
      <c r="TUW521" s="1358"/>
      <c r="TUX521" s="1358"/>
      <c r="TUY521" s="1358"/>
      <c r="TUZ521" s="1358"/>
      <c r="TVA521" s="1358"/>
      <c r="TVB521" s="1358"/>
      <c r="TVC521" s="1358"/>
      <c r="TVD521" s="1358"/>
      <c r="TVE521" s="1358"/>
      <c r="TVF521" s="1358"/>
      <c r="TVG521" s="1358"/>
      <c r="TVH521" s="1358"/>
      <c r="TVI521" s="1358"/>
      <c r="TVJ521" s="1358"/>
      <c r="TVK521" s="1358"/>
      <c r="TVL521" s="1358"/>
      <c r="TVM521" s="1358"/>
      <c r="TVN521" s="1358"/>
      <c r="TVO521" s="1358"/>
      <c r="TVP521" s="1358"/>
      <c r="TVQ521" s="1358"/>
      <c r="TVR521" s="1358"/>
      <c r="TVS521" s="1358"/>
      <c r="TVT521" s="1358"/>
      <c r="TVU521" s="1358"/>
      <c r="TVV521" s="1358"/>
      <c r="TVW521" s="1358"/>
      <c r="TVX521" s="1358"/>
      <c r="TVY521" s="1358"/>
      <c r="TVZ521" s="1358"/>
      <c r="TWA521" s="1358"/>
      <c r="TWB521" s="1358"/>
      <c r="TWC521" s="1358"/>
      <c r="TWD521" s="1358"/>
      <c r="TWE521" s="1358"/>
      <c r="TWF521" s="1358"/>
      <c r="TWG521" s="1358"/>
      <c r="TWH521" s="1358"/>
      <c r="TWI521" s="1358"/>
      <c r="TWJ521" s="1358"/>
      <c r="TWK521" s="1358"/>
      <c r="TWL521" s="1358"/>
      <c r="TWM521" s="1358"/>
      <c r="TWN521" s="1358"/>
      <c r="TWO521" s="1358"/>
      <c r="TWP521" s="1358"/>
      <c r="TWQ521" s="1358"/>
      <c r="TWR521" s="1358"/>
      <c r="TWS521" s="1358"/>
      <c r="TWT521" s="1358"/>
      <c r="TWU521" s="1358"/>
      <c r="TWV521" s="1358"/>
      <c r="TWW521" s="1358"/>
      <c r="TWX521" s="1358"/>
      <c r="TWY521" s="1358"/>
      <c r="TWZ521" s="1358"/>
      <c r="TXA521" s="1358"/>
      <c r="TXB521" s="1358"/>
      <c r="TXC521" s="1358"/>
      <c r="TXD521" s="1358"/>
      <c r="TXE521" s="1358"/>
      <c r="TXF521" s="1358"/>
      <c r="TXG521" s="1358"/>
      <c r="TXH521" s="1358"/>
      <c r="TXI521" s="1358"/>
      <c r="TXJ521" s="1358"/>
      <c r="TXK521" s="1358"/>
      <c r="TXL521" s="1358"/>
      <c r="TXM521" s="1358"/>
      <c r="TXN521" s="1358"/>
      <c r="TXO521" s="1358"/>
      <c r="TXP521" s="1358"/>
      <c r="TXQ521" s="1358"/>
      <c r="TXR521" s="1358"/>
      <c r="TXS521" s="1358"/>
      <c r="TXT521" s="1358"/>
      <c r="TXU521" s="1358"/>
      <c r="TXV521" s="1358"/>
      <c r="TXW521" s="1358"/>
      <c r="TXX521" s="1358"/>
      <c r="TXY521" s="1358"/>
      <c r="TXZ521" s="1358"/>
      <c r="TYA521" s="1358"/>
      <c r="TYB521" s="1358"/>
      <c r="TYC521" s="1358"/>
      <c r="TYD521" s="1358"/>
      <c r="TYE521" s="1358"/>
      <c r="TYF521" s="1358"/>
      <c r="TYG521" s="1358"/>
      <c r="TYH521" s="1358"/>
      <c r="TYI521" s="1358"/>
      <c r="TYJ521" s="1358"/>
      <c r="TYK521" s="1358"/>
      <c r="TYL521" s="1358"/>
      <c r="TYM521" s="1358"/>
      <c r="TYN521" s="1358"/>
      <c r="TYO521" s="1358"/>
      <c r="TYP521" s="1358"/>
      <c r="TYQ521" s="1358"/>
      <c r="TYR521" s="1358"/>
      <c r="TYS521" s="1358"/>
      <c r="TYT521" s="1358"/>
      <c r="TYU521" s="1358"/>
      <c r="TYV521" s="1358"/>
      <c r="TYW521" s="1358"/>
      <c r="TYX521" s="1358"/>
      <c r="TYY521" s="1358"/>
      <c r="TYZ521" s="1358"/>
      <c r="TZA521" s="1358"/>
      <c r="TZB521" s="1358"/>
      <c r="TZC521" s="1358"/>
      <c r="TZD521" s="1358"/>
      <c r="TZE521" s="1358"/>
      <c r="TZF521" s="1358"/>
      <c r="TZG521" s="1358"/>
      <c r="TZH521" s="1358"/>
      <c r="TZI521" s="1358"/>
      <c r="TZJ521" s="1358"/>
      <c r="TZK521" s="1358"/>
      <c r="TZL521" s="1358"/>
      <c r="TZM521" s="1358"/>
      <c r="TZN521" s="1358"/>
      <c r="TZO521" s="1358"/>
      <c r="TZP521" s="1358"/>
      <c r="TZQ521" s="1358"/>
      <c r="TZR521" s="1358"/>
      <c r="TZS521" s="1358"/>
      <c r="TZT521" s="1358"/>
      <c r="TZU521" s="1358"/>
      <c r="TZV521" s="1358"/>
      <c r="TZW521" s="1358"/>
      <c r="TZX521" s="1358"/>
      <c r="TZY521" s="1358"/>
      <c r="TZZ521" s="1358"/>
      <c r="UAA521" s="1358"/>
      <c r="UAB521" s="1358"/>
      <c r="UAC521" s="1358"/>
      <c r="UAD521" s="1358"/>
      <c r="UAE521" s="1358"/>
      <c r="UAF521" s="1358"/>
      <c r="UAG521" s="1358"/>
      <c r="UAH521" s="1358"/>
      <c r="UAI521" s="1358"/>
      <c r="UAJ521" s="1358"/>
      <c r="UAK521" s="1358"/>
      <c r="UAL521" s="1358"/>
      <c r="UAM521" s="1358"/>
      <c r="UAN521" s="1358"/>
      <c r="UAO521" s="1358"/>
      <c r="UAP521" s="1358"/>
      <c r="UAQ521" s="1358"/>
      <c r="UAR521" s="1358"/>
      <c r="UAS521" s="1358"/>
      <c r="UAT521" s="1358"/>
      <c r="UAU521" s="1358"/>
      <c r="UAV521" s="1358"/>
      <c r="UAW521" s="1358"/>
      <c r="UAX521" s="1358"/>
      <c r="UAY521" s="1358"/>
      <c r="UAZ521" s="1358"/>
      <c r="UBA521" s="1358"/>
      <c r="UBB521" s="1358"/>
      <c r="UBC521" s="1358"/>
      <c r="UBD521" s="1358"/>
      <c r="UBE521" s="1358"/>
      <c r="UBF521" s="1358"/>
      <c r="UBG521" s="1358"/>
      <c r="UBH521" s="1358"/>
      <c r="UBI521" s="1358"/>
      <c r="UBJ521" s="1358"/>
      <c r="UBK521" s="1358"/>
      <c r="UBL521" s="1358"/>
      <c r="UBM521" s="1358"/>
      <c r="UBN521" s="1358"/>
      <c r="UBO521" s="1358"/>
      <c r="UBP521" s="1358"/>
      <c r="UBQ521" s="1358"/>
      <c r="UBR521" s="1358"/>
      <c r="UBS521" s="1358"/>
      <c r="UBT521" s="1358"/>
      <c r="UBU521" s="1358"/>
      <c r="UBV521" s="1358"/>
      <c r="UBW521" s="1358"/>
      <c r="UBX521" s="1358"/>
      <c r="UBY521" s="1358"/>
      <c r="UBZ521" s="1358"/>
      <c r="UCA521" s="1358"/>
      <c r="UCB521" s="1358"/>
      <c r="UCC521" s="1358"/>
      <c r="UCD521" s="1358"/>
      <c r="UCE521" s="1358"/>
      <c r="UCF521" s="1358"/>
      <c r="UCG521" s="1358"/>
      <c r="UCH521" s="1358"/>
      <c r="UCI521" s="1358"/>
      <c r="UCJ521" s="1358"/>
      <c r="UCK521" s="1358"/>
      <c r="UCL521" s="1358"/>
      <c r="UCM521" s="1358"/>
      <c r="UCN521" s="1358"/>
      <c r="UCO521" s="1358"/>
      <c r="UCP521" s="1358"/>
      <c r="UCQ521" s="1358"/>
      <c r="UCR521" s="1358"/>
      <c r="UCS521" s="1358"/>
      <c r="UCT521" s="1358"/>
      <c r="UCU521" s="1358"/>
      <c r="UCV521" s="1358"/>
      <c r="UCW521" s="1358"/>
      <c r="UCX521" s="1358"/>
      <c r="UCY521" s="1358"/>
      <c r="UCZ521" s="1358"/>
      <c r="UDA521" s="1358"/>
      <c r="UDB521" s="1358"/>
      <c r="UDC521" s="1358"/>
      <c r="UDD521" s="1358"/>
      <c r="UDE521" s="1358"/>
      <c r="UDF521" s="1358"/>
      <c r="UDG521" s="1358"/>
      <c r="UDH521" s="1358"/>
      <c r="UDI521" s="1358"/>
      <c r="UDJ521" s="1358"/>
      <c r="UDK521" s="1358"/>
      <c r="UDL521" s="1358"/>
      <c r="UDM521" s="1358"/>
      <c r="UDN521" s="1358"/>
      <c r="UDO521" s="1358"/>
      <c r="UDP521" s="1358"/>
      <c r="UDQ521" s="1358"/>
      <c r="UDR521" s="1358"/>
      <c r="UDS521" s="1358"/>
      <c r="UDT521" s="1358"/>
      <c r="UDU521" s="1358"/>
      <c r="UDV521" s="1358"/>
      <c r="UDW521" s="1358"/>
      <c r="UDX521" s="1358"/>
      <c r="UDY521" s="1358"/>
      <c r="UDZ521" s="1358"/>
      <c r="UEA521" s="1358"/>
      <c r="UEB521" s="1358"/>
      <c r="UEC521" s="1358"/>
      <c r="UED521" s="1358"/>
      <c r="UEE521" s="1358"/>
      <c r="UEF521" s="1358"/>
      <c r="UEG521" s="1358"/>
      <c r="UEH521" s="1358"/>
      <c r="UEI521" s="1358"/>
      <c r="UEJ521" s="1358"/>
      <c r="UEK521" s="1358"/>
      <c r="UEL521" s="1358"/>
      <c r="UEM521" s="1358"/>
      <c r="UEN521" s="1358"/>
      <c r="UEO521" s="1358"/>
      <c r="UEP521" s="1358"/>
      <c r="UEQ521" s="1358"/>
      <c r="UER521" s="1358"/>
      <c r="UES521" s="1358"/>
      <c r="UET521" s="1358"/>
      <c r="UEU521" s="1358"/>
      <c r="UEV521" s="1358"/>
      <c r="UEW521" s="1358"/>
      <c r="UEX521" s="1358"/>
      <c r="UEY521" s="1358"/>
      <c r="UEZ521" s="1358"/>
      <c r="UFA521" s="1358"/>
      <c r="UFB521" s="1358"/>
      <c r="UFC521" s="1358"/>
      <c r="UFD521" s="1358"/>
      <c r="UFE521" s="1358"/>
      <c r="UFF521" s="1358"/>
      <c r="UFG521" s="1358"/>
      <c r="UFH521" s="1358"/>
      <c r="UFI521" s="1358"/>
      <c r="UFJ521" s="1358"/>
      <c r="UFK521" s="1358"/>
      <c r="UFL521" s="1358"/>
      <c r="UFM521" s="1358"/>
      <c r="UFN521" s="1358"/>
      <c r="UFO521" s="1358"/>
      <c r="UFP521" s="1358"/>
      <c r="UFQ521" s="1358"/>
      <c r="UFR521" s="1358"/>
      <c r="UFS521" s="1358"/>
      <c r="UFT521" s="1358"/>
      <c r="UFU521" s="1358"/>
      <c r="UFV521" s="1358"/>
      <c r="UFW521" s="1358"/>
      <c r="UFX521" s="1358"/>
      <c r="UFY521" s="1358"/>
      <c r="UFZ521" s="1358"/>
      <c r="UGA521" s="1358"/>
      <c r="UGB521" s="1358"/>
      <c r="UGC521" s="1358"/>
      <c r="UGD521" s="1358"/>
      <c r="UGE521" s="1358"/>
      <c r="UGF521" s="1358"/>
      <c r="UGG521" s="1358"/>
      <c r="UGH521" s="1358"/>
      <c r="UGI521" s="1358"/>
      <c r="UGJ521" s="1358"/>
      <c r="UGK521" s="1358"/>
      <c r="UGL521" s="1358"/>
      <c r="UGM521" s="1358"/>
      <c r="UGN521" s="1358"/>
      <c r="UGO521" s="1358"/>
      <c r="UGP521" s="1358"/>
      <c r="UGQ521" s="1358"/>
      <c r="UGR521" s="1358"/>
      <c r="UGS521" s="1358"/>
      <c r="UGT521" s="1358"/>
      <c r="UGU521" s="1358"/>
      <c r="UGV521" s="1358"/>
      <c r="UGW521" s="1358"/>
      <c r="UGX521" s="1358"/>
      <c r="UGY521" s="1358"/>
      <c r="UGZ521" s="1358"/>
      <c r="UHA521" s="1358"/>
      <c r="UHB521" s="1358"/>
      <c r="UHC521" s="1358"/>
      <c r="UHD521" s="1358"/>
      <c r="UHE521" s="1358"/>
      <c r="UHF521" s="1358"/>
      <c r="UHG521" s="1358"/>
      <c r="UHH521" s="1358"/>
      <c r="UHI521" s="1358"/>
      <c r="UHJ521" s="1358"/>
      <c r="UHK521" s="1358"/>
      <c r="UHL521" s="1358"/>
      <c r="UHM521" s="1358"/>
      <c r="UHN521" s="1358"/>
      <c r="UHO521" s="1358"/>
      <c r="UHP521" s="1358"/>
      <c r="UHQ521" s="1358"/>
      <c r="UHR521" s="1358"/>
      <c r="UHS521" s="1358"/>
      <c r="UHT521" s="1358"/>
      <c r="UHU521" s="1358"/>
      <c r="UHV521" s="1358"/>
      <c r="UHW521" s="1358"/>
      <c r="UHX521" s="1358"/>
      <c r="UHY521" s="1358"/>
      <c r="UHZ521" s="1358"/>
      <c r="UIA521" s="1358"/>
      <c r="UIB521" s="1358"/>
      <c r="UIC521" s="1358"/>
      <c r="UID521" s="1358"/>
      <c r="UIE521" s="1358"/>
      <c r="UIF521" s="1358"/>
      <c r="UIG521" s="1358"/>
      <c r="UIH521" s="1358"/>
      <c r="UII521" s="1358"/>
      <c r="UIJ521" s="1358"/>
      <c r="UIK521" s="1358"/>
      <c r="UIL521" s="1358"/>
      <c r="UIM521" s="1358"/>
      <c r="UIN521" s="1358"/>
      <c r="UIO521" s="1358"/>
      <c r="UIP521" s="1358"/>
      <c r="UIQ521" s="1358"/>
      <c r="UIR521" s="1358"/>
      <c r="UIS521" s="1358"/>
      <c r="UIT521" s="1358"/>
      <c r="UIU521" s="1358"/>
      <c r="UIV521" s="1358"/>
      <c r="UIW521" s="1358"/>
      <c r="UIX521" s="1358"/>
      <c r="UIY521" s="1358"/>
      <c r="UIZ521" s="1358"/>
      <c r="UJA521" s="1358"/>
      <c r="UJB521" s="1358"/>
      <c r="UJC521" s="1358"/>
      <c r="UJD521" s="1358"/>
      <c r="UJE521" s="1358"/>
      <c r="UJF521" s="1358"/>
      <c r="UJG521" s="1358"/>
      <c r="UJH521" s="1358"/>
      <c r="UJI521" s="1358"/>
      <c r="UJJ521" s="1358"/>
      <c r="UJK521" s="1358"/>
      <c r="UJL521" s="1358"/>
      <c r="UJM521" s="1358"/>
      <c r="UJN521" s="1358"/>
      <c r="UJO521" s="1358"/>
      <c r="UJP521" s="1358"/>
      <c r="UJQ521" s="1358"/>
      <c r="UJR521" s="1358"/>
      <c r="UJS521" s="1358"/>
      <c r="UJT521" s="1358"/>
      <c r="UJU521" s="1358"/>
      <c r="UJV521" s="1358"/>
      <c r="UJW521" s="1358"/>
      <c r="UJX521" s="1358"/>
      <c r="UJY521" s="1358"/>
      <c r="UJZ521" s="1358"/>
      <c r="UKA521" s="1358"/>
      <c r="UKB521" s="1358"/>
      <c r="UKC521" s="1358"/>
      <c r="UKD521" s="1358"/>
      <c r="UKE521" s="1358"/>
      <c r="UKF521" s="1358"/>
      <c r="UKG521" s="1358"/>
      <c r="UKH521" s="1358"/>
      <c r="UKI521" s="1358"/>
      <c r="UKJ521" s="1358"/>
      <c r="UKK521" s="1358"/>
      <c r="UKL521" s="1358"/>
      <c r="UKM521" s="1358"/>
      <c r="UKN521" s="1358"/>
      <c r="UKO521" s="1358"/>
      <c r="UKP521" s="1358"/>
      <c r="UKQ521" s="1358"/>
      <c r="UKR521" s="1358"/>
      <c r="UKS521" s="1358"/>
      <c r="UKT521" s="1358"/>
      <c r="UKU521" s="1358"/>
      <c r="UKV521" s="1358"/>
      <c r="UKW521" s="1358"/>
      <c r="UKX521" s="1358"/>
      <c r="UKY521" s="1358"/>
      <c r="UKZ521" s="1358"/>
      <c r="ULA521" s="1358"/>
      <c r="ULB521" s="1358"/>
      <c r="ULC521" s="1358"/>
      <c r="ULD521" s="1358"/>
      <c r="ULE521" s="1358"/>
      <c r="ULF521" s="1358"/>
      <c r="ULG521" s="1358"/>
      <c r="ULH521" s="1358"/>
      <c r="ULI521" s="1358"/>
      <c r="ULJ521" s="1358"/>
      <c r="ULK521" s="1358"/>
      <c r="ULL521" s="1358"/>
      <c r="ULM521" s="1358"/>
      <c r="ULN521" s="1358"/>
      <c r="ULO521" s="1358"/>
      <c r="ULP521" s="1358"/>
      <c r="ULQ521" s="1358"/>
      <c r="ULR521" s="1358"/>
      <c r="ULS521" s="1358"/>
      <c r="ULT521" s="1358"/>
      <c r="ULU521" s="1358"/>
      <c r="ULV521" s="1358"/>
      <c r="ULW521" s="1358"/>
      <c r="ULX521" s="1358"/>
      <c r="ULY521" s="1358"/>
      <c r="ULZ521" s="1358"/>
      <c r="UMA521" s="1358"/>
      <c r="UMB521" s="1358"/>
      <c r="UMC521" s="1358"/>
      <c r="UMD521" s="1358"/>
      <c r="UME521" s="1358"/>
      <c r="UMF521" s="1358"/>
      <c r="UMG521" s="1358"/>
      <c r="UMH521" s="1358"/>
      <c r="UMI521" s="1358"/>
      <c r="UMJ521" s="1358"/>
      <c r="UMK521" s="1358"/>
      <c r="UML521" s="1358"/>
      <c r="UMM521" s="1358"/>
      <c r="UMN521" s="1358"/>
      <c r="UMO521" s="1358"/>
      <c r="UMP521" s="1358"/>
      <c r="UMQ521" s="1358"/>
      <c r="UMR521" s="1358"/>
      <c r="UMS521" s="1358"/>
      <c r="UMT521" s="1358"/>
      <c r="UMU521" s="1358"/>
      <c r="UMV521" s="1358"/>
      <c r="UMW521" s="1358"/>
      <c r="UMX521" s="1358"/>
      <c r="UMY521" s="1358"/>
      <c r="UMZ521" s="1358"/>
      <c r="UNA521" s="1358"/>
      <c r="UNB521" s="1358"/>
      <c r="UNC521" s="1358"/>
      <c r="UND521" s="1358"/>
      <c r="UNE521" s="1358"/>
      <c r="UNF521" s="1358"/>
      <c r="UNG521" s="1358"/>
      <c r="UNH521" s="1358"/>
      <c r="UNI521" s="1358"/>
      <c r="UNJ521" s="1358"/>
      <c r="UNK521" s="1358"/>
      <c r="UNL521" s="1358"/>
      <c r="UNM521" s="1358"/>
      <c r="UNN521" s="1358"/>
      <c r="UNO521" s="1358"/>
      <c r="UNP521" s="1358"/>
      <c r="UNQ521" s="1358"/>
      <c r="UNR521" s="1358"/>
      <c r="UNS521" s="1358"/>
      <c r="UNT521" s="1358"/>
      <c r="UNU521" s="1358"/>
      <c r="UNV521" s="1358"/>
      <c r="UNW521" s="1358"/>
      <c r="UNX521" s="1358"/>
      <c r="UNY521" s="1358"/>
      <c r="UNZ521" s="1358"/>
      <c r="UOA521" s="1358"/>
      <c r="UOB521" s="1358"/>
      <c r="UOC521" s="1358"/>
      <c r="UOD521" s="1358"/>
      <c r="UOE521" s="1358"/>
      <c r="UOF521" s="1358"/>
      <c r="UOG521" s="1358"/>
      <c r="UOH521" s="1358"/>
      <c r="UOI521" s="1358"/>
      <c r="UOJ521" s="1358"/>
      <c r="UOK521" s="1358"/>
      <c r="UOL521" s="1358"/>
      <c r="UOM521" s="1358"/>
      <c r="UON521" s="1358"/>
      <c r="UOO521" s="1358"/>
      <c r="UOP521" s="1358"/>
      <c r="UOQ521" s="1358"/>
      <c r="UOR521" s="1358"/>
      <c r="UOS521" s="1358"/>
      <c r="UOT521" s="1358"/>
      <c r="UOU521" s="1358"/>
      <c r="UOV521" s="1358"/>
      <c r="UOW521" s="1358"/>
      <c r="UOX521" s="1358"/>
      <c r="UOY521" s="1358"/>
      <c r="UOZ521" s="1358"/>
      <c r="UPA521" s="1358"/>
      <c r="UPB521" s="1358"/>
      <c r="UPC521" s="1358"/>
      <c r="UPD521" s="1358"/>
      <c r="UPE521" s="1358"/>
      <c r="UPF521" s="1358"/>
      <c r="UPG521" s="1358"/>
      <c r="UPH521" s="1358"/>
      <c r="UPI521" s="1358"/>
      <c r="UPJ521" s="1358"/>
      <c r="UPK521" s="1358"/>
      <c r="UPL521" s="1358"/>
      <c r="UPM521" s="1358"/>
      <c r="UPN521" s="1358"/>
      <c r="UPO521" s="1358"/>
      <c r="UPP521" s="1358"/>
      <c r="UPQ521" s="1358"/>
      <c r="UPR521" s="1358"/>
      <c r="UPS521" s="1358"/>
      <c r="UPT521" s="1358"/>
      <c r="UPU521" s="1358"/>
      <c r="UPV521" s="1358"/>
      <c r="UPW521" s="1358"/>
      <c r="UPX521" s="1358"/>
      <c r="UPY521" s="1358"/>
      <c r="UPZ521" s="1358"/>
      <c r="UQA521" s="1358"/>
      <c r="UQB521" s="1358"/>
      <c r="UQC521" s="1358"/>
      <c r="UQD521" s="1358"/>
      <c r="UQE521" s="1358"/>
      <c r="UQF521" s="1358"/>
      <c r="UQG521" s="1358"/>
      <c r="UQH521" s="1358"/>
      <c r="UQI521" s="1358"/>
      <c r="UQJ521" s="1358"/>
      <c r="UQK521" s="1358"/>
      <c r="UQL521" s="1358"/>
      <c r="UQM521" s="1358"/>
      <c r="UQN521" s="1358"/>
      <c r="UQO521" s="1358"/>
      <c r="UQP521" s="1358"/>
      <c r="UQQ521" s="1358"/>
      <c r="UQR521" s="1358"/>
      <c r="UQS521" s="1358"/>
      <c r="UQT521" s="1358"/>
      <c r="UQU521" s="1358"/>
      <c r="UQV521" s="1358"/>
      <c r="UQW521" s="1358"/>
      <c r="UQX521" s="1358"/>
      <c r="UQY521" s="1358"/>
      <c r="UQZ521" s="1358"/>
      <c r="URA521" s="1358"/>
      <c r="URB521" s="1358"/>
      <c r="URC521" s="1358"/>
      <c r="URD521" s="1358"/>
      <c r="URE521" s="1358"/>
      <c r="URF521" s="1358"/>
      <c r="URG521" s="1358"/>
      <c r="URH521" s="1358"/>
      <c r="URI521" s="1358"/>
      <c r="URJ521" s="1358"/>
      <c r="URK521" s="1358"/>
      <c r="URL521" s="1358"/>
      <c r="URM521" s="1358"/>
      <c r="URN521" s="1358"/>
      <c r="URO521" s="1358"/>
      <c r="URP521" s="1358"/>
      <c r="URQ521" s="1358"/>
      <c r="URR521" s="1358"/>
      <c r="URS521" s="1358"/>
      <c r="URT521" s="1358"/>
      <c r="URU521" s="1358"/>
      <c r="URV521" s="1358"/>
      <c r="URW521" s="1358"/>
      <c r="URX521" s="1358"/>
      <c r="URY521" s="1358"/>
      <c r="URZ521" s="1358"/>
      <c r="USA521" s="1358"/>
      <c r="USB521" s="1358"/>
      <c r="USC521" s="1358"/>
      <c r="USD521" s="1358"/>
      <c r="USE521" s="1358"/>
      <c r="USF521" s="1358"/>
      <c r="USG521" s="1358"/>
      <c r="USH521" s="1358"/>
      <c r="USI521" s="1358"/>
      <c r="USJ521" s="1358"/>
      <c r="USK521" s="1358"/>
      <c r="USL521" s="1358"/>
      <c r="USM521" s="1358"/>
      <c r="USN521" s="1358"/>
      <c r="USO521" s="1358"/>
      <c r="USP521" s="1358"/>
      <c r="USQ521" s="1358"/>
      <c r="USR521" s="1358"/>
      <c r="USS521" s="1358"/>
      <c r="UST521" s="1358"/>
      <c r="USU521" s="1358"/>
      <c r="USV521" s="1358"/>
      <c r="USW521" s="1358"/>
      <c r="USX521" s="1358"/>
      <c r="USY521" s="1358"/>
      <c r="USZ521" s="1358"/>
      <c r="UTA521" s="1358"/>
      <c r="UTB521" s="1358"/>
      <c r="UTC521" s="1358"/>
      <c r="UTD521" s="1358"/>
      <c r="UTE521" s="1358"/>
      <c r="UTF521" s="1358"/>
      <c r="UTG521" s="1358"/>
      <c r="UTH521" s="1358"/>
      <c r="UTI521" s="1358"/>
      <c r="UTJ521" s="1358"/>
      <c r="UTK521" s="1358"/>
      <c r="UTL521" s="1358"/>
      <c r="UTM521" s="1358"/>
      <c r="UTN521" s="1358"/>
      <c r="UTO521" s="1358"/>
      <c r="UTP521" s="1358"/>
      <c r="UTQ521" s="1358"/>
      <c r="UTR521" s="1358"/>
      <c r="UTS521" s="1358"/>
      <c r="UTT521" s="1358"/>
      <c r="UTU521" s="1358"/>
      <c r="UTV521" s="1358"/>
      <c r="UTW521" s="1358"/>
      <c r="UTX521" s="1358"/>
      <c r="UTY521" s="1358"/>
      <c r="UTZ521" s="1358"/>
      <c r="UUA521" s="1358"/>
      <c r="UUB521" s="1358"/>
      <c r="UUC521" s="1358"/>
      <c r="UUD521" s="1358"/>
      <c r="UUE521" s="1358"/>
      <c r="UUF521" s="1358"/>
      <c r="UUG521" s="1358"/>
      <c r="UUH521" s="1358"/>
      <c r="UUI521" s="1358"/>
      <c r="UUJ521" s="1358"/>
      <c r="UUK521" s="1358"/>
      <c r="UUL521" s="1358"/>
      <c r="UUM521" s="1358"/>
      <c r="UUN521" s="1358"/>
      <c r="UUO521" s="1358"/>
      <c r="UUP521" s="1358"/>
      <c r="UUQ521" s="1358"/>
      <c r="UUR521" s="1358"/>
      <c r="UUS521" s="1358"/>
      <c r="UUT521" s="1358"/>
      <c r="UUU521" s="1358"/>
      <c r="UUV521" s="1358"/>
      <c r="UUW521" s="1358"/>
      <c r="UUX521" s="1358"/>
      <c r="UUY521" s="1358"/>
      <c r="UUZ521" s="1358"/>
      <c r="UVA521" s="1358"/>
      <c r="UVB521" s="1358"/>
      <c r="UVC521" s="1358"/>
      <c r="UVD521" s="1358"/>
      <c r="UVE521" s="1358"/>
      <c r="UVF521" s="1358"/>
      <c r="UVG521" s="1358"/>
      <c r="UVH521" s="1358"/>
      <c r="UVI521" s="1358"/>
      <c r="UVJ521" s="1358"/>
      <c r="UVK521" s="1358"/>
      <c r="UVL521" s="1358"/>
      <c r="UVM521" s="1358"/>
      <c r="UVN521" s="1358"/>
      <c r="UVO521" s="1358"/>
      <c r="UVP521" s="1358"/>
      <c r="UVQ521" s="1358"/>
      <c r="UVR521" s="1358"/>
      <c r="UVS521" s="1358"/>
      <c r="UVT521" s="1358"/>
      <c r="UVU521" s="1358"/>
      <c r="UVV521" s="1358"/>
      <c r="UVW521" s="1358"/>
      <c r="UVX521" s="1358"/>
      <c r="UVY521" s="1358"/>
      <c r="UVZ521" s="1358"/>
      <c r="UWA521" s="1358"/>
      <c r="UWB521" s="1358"/>
      <c r="UWC521" s="1358"/>
      <c r="UWD521" s="1358"/>
      <c r="UWE521" s="1358"/>
      <c r="UWF521" s="1358"/>
      <c r="UWG521" s="1358"/>
      <c r="UWH521" s="1358"/>
      <c r="UWI521" s="1358"/>
      <c r="UWJ521" s="1358"/>
      <c r="UWK521" s="1358"/>
      <c r="UWL521" s="1358"/>
      <c r="UWM521" s="1358"/>
      <c r="UWN521" s="1358"/>
      <c r="UWO521" s="1358"/>
      <c r="UWP521" s="1358"/>
      <c r="UWQ521" s="1358"/>
      <c r="UWR521" s="1358"/>
      <c r="UWS521" s="1358"/>
      <c r="UWT521" s="1358"/>
      <c r="UWU521" s="1358"/>
      <c r="UWV521" s="1358"/>
      <c r="UWW521" s="1358"/>
      <c r="UWX521" s="1358"/>
      <c r="UWY521" s="1358"/>
      <c r="UWZ521" s="1358"/>
      <c r="UXA521" s="1358"/>
      <c r="UXB521" s="1358"/>
      <c r="UXC521" s="1358"/>
      <c r="UXD521" s="1358"/>
      <c r="UXE521" s="1358"/>
      <c r="UXF521" s="1358"/>
      <c r="UXG521" s="1358"/>
      <c r="UXH521" s="1358"/>
      <c r="UXI521" s="1358"/>
      <c r="UXJ521" s="1358"/>
      <c r="UXK521" s="1358"/>
      <c r="UXL521" s="1358"/>
      <c r="UXM521" s="1358"/>
      <c r="UXN521" s="1358"/>
      <c r="UXO521" s="1358"/>
      <c r="UXP521" s="1358"/>
      <c r="UXQ521" s="1358"/>
      <c r="UXR521" s="1358"/>
      <c r="UXS521" s="1358"/>
      <c r="UXT521" s="1358"/>
      <c r="UXU521" s="1358"/>
      <c r="UXV521" s="1358"/>
      <c r="UXW521" s="1358"/>
      <c r="UXX521" s="1358"/>
      <c r="UXY521" s="1358"/>
      <c r="UXZ521" s="1358"/>
      <c r="UYA521" s="1358"/>
      <c r="UYB521" s="1358"/>
      <c r="UYC521" s="1358"/>
      <c r="UYD521" s="1358"/>
      <c r="UYE521" s="1358"/>
      <c r="UYF521" s="1358"/>
      <c r="UYG521" s="1358"/>
      <c r="UYH521" s="1358"/>
      <c r="UYI521" s="1358"/>
      <c r="UYJ521" s="1358"/>
      <c r="UYK521" s="1358"/>
      <c r="UYL521" s="1358"/>
      <c r="UYM521" s="1358"/>
      <c r="UYN521" s="1358"/>
      <c r="UYO521" s="1358"/>
      <c r="UYP521" s="1358"/>
      <c r="UYQ521" s="1358"/>
      <c r="UYR521" s="1358"/>
      <c r="UYS521" s="1358"/>
      <c r="UYT521" s="1358"/>
      <c r="UYU521" s="1358"/>
      <c r="UYV521" s="1358"/>
      <c r="UYW521" s="1358"/>
      <c r="UYX521" s="1358"/>
      <c r="UYY521" s="1358"/>
      <c r="UYZ521" s="1358"/>
      <c r="UZA521" s="1358"/>
      <c r="UZB521" s="1358"/>
      <c r="UZC521" s="1358"/>
      <c r="UZD521" s="1358"/>
      <c r="UZE521" s="1358"/>
      <c r="UZF521" s="1358"/>
      <c r="UZG521" s="1358"/>
      <c r="UZH521" s="1358"/>
      <c r="UZI521" s="1358"/>
      <c r="UZJ521" s="1358"/>
      <c r="UZK521" s="1358"/>
      <c r="UZL521" s="1358"/>
      <c r="UZM521" s="1358"/>
      <c r="UZN521" s="1358"/>
      <c r="UZO521" s="1358"/>
      <c r="UZP521" s="1358"/>
      <c r="UZQ521" s="1358"/>
      <c r="UZR521" s="1358"/>
      <c r="UZS521" s="1358"/>
      <c r="UZT521" s="1358"/>
      <c r="UZU521" s="1358"/>
      <c r="UZV521" s="1358"/>
      <c r="UZW521" s="1358"/>
      <c r="UZX521" s="1358"/>
      <c r="UZY521" s="1358"/>
      <c r="UZZ521" s="1358"/>
      <c r="VAA521" s="1358"/>
      <c r="VAB521" s="1358"/>
      <c r="VAC521" s="1358"/>
      <c r="VAD521" s="1358"/>
      <c r="VAE521" s="1358"/>
      <c r="VAF521" s="1358"/>
      <c r="VAG521" s="1358"/>
      <c r="VAH521" s="1358"/>
      <c r="VAI521" s="1358"/>
      <c r="VAJ521" s="1358"/>
      <c r="VAK521" s="1358"/>
      <c r="VAL521" s="1358"/>
      <c r="VAM521" s="1358"/>
      <c r="VAN521" s="1358"/>
      <c r="VAO521" s="1358"/>
      <c r="VAP521" s="1358"/>
      <c r="VAQ521" s="1358"/>
      <c r="VAR521" s="1358"/>
      <c r="VAS521" s="1358"/>
      <c r="VAT521" s="1358"/>
      <c r="VAU521" s="1358"/>
      <c r="VAV521" s="1358"/>
      <c r="VAW521" s="1358"/>
      <c r="VAX521" s="1358"/>
      <c r="VAY521" s="1358"/>
      <c r="VAZ521" s="1358"/>
      <c r="VBA521" s="1358"/>
      <c r="VBB521" s="1358"/>
      <c r="VBC521" s="1358"/>
      <c r="VBD521" s="1358"/>
      <c r="VBE521" s="1358"/>
      <c r="VBF521" s="1358"/>
      <c r="VBG521" s="1358"/>
      <c r="VBH521" s="1358"/>
      <c r="VBI521" s="1358"/>
      <c r="VBJ521" s="1358"/>
      <c r="VBK521" s="1358"/>
      <c r="VBL521" s="1358"/>
      <c r="VBM521" s="1358"/>
      <c r="VBN521" s="1358"/>
      <c r="VBO521" s="1358"/>
      <c r="VBP521" s="1358"/>
      <c r="VBQ521" s="1358"/>
      <c r="VBR521" s="1358"/>
      <c r="VBS521" s="1358"/>
      <c r="VBT521" s="1358"/>
      <c r="VBU521" s="1358"/>
      <c r="VBV521" s="1358"/>
      <c r="VBW521" s="1358"/>
      <c r="VBX521" s="1358"/>
      <c r="VBY521" s="1358"/>
      <c r="VBZ521" s="1358"/>
      <c r="VCA521" s="1358"/>
      <c r="VCB521" s="1358"/>
      <c r="VCC521" s="1358"/>
      <c r="VCD521" s="1358"/>
      <c r="VCE521" s="1358"/>
      <c r="VCF521" s="1358"/>
      <c r="VCG521" s="1358"/>
      <c r="VCH521" s="1358"/>
      <c r="VCI521" s="1358"/>
      <c r="VCJ521" s="1358"/>
      <c r="VCK521" s="1358"/>
      <c r="VCL521" s="1358"/>
      <c r="VCM521" s="1358"/>
      <c r="VCN521" s="1358"/>
      <c r="VCO521" s="1358"/>
      <c r="VCP521" s="1358"/>
      <c r="VCQ521" s="1358"/>
      <c r="VCR521" s="1358"/>
      <c r="VCS521" s="1358"/>
      <c r="VCT521" s="1358"/>
      <c r="VCU521" s="1358"/>
      <c r="VCV521" s="1358"/>
      <c r="VCW521" s="1358"/>
      <c r="VCX521" s="1358"/>
      <c r="VCY521" s="1358"/>
      <c r="VCZ521" s="1358"/>
      <c r="VDA521" s="1358"/>
      <c r="VDB521" s="1358"/>
      <c r="VDC521" s="1358"/>
      <c r="VDD521" s="1358"/>
      <c r="VDE521" s="1358"/>
      <c r="VDF521" s="1358"/>
      <c r="VDG521" s="1358"/>
      <c r="VDH521" s="1358"/>
      <c r="VDI521" s="1358"/>
      <c r="VDJ521" s="1358"/>
      <c r="VDK521" s="1358"/>
      <c r="VDL521" s="1358"/>
      <c r="VDM521" s="1358"/>
      <c r="VDN521" s="1358"/>
      <c r="VDO521" s="1358"/>
      <c r="VDP521" s="1358"/>
      <c r="VDQ521" s="1358"/>
      <c r="VDR521" s="1358"/>
      <c r="VDS521" s="1358"/>
      <c r="VDT521" s="1358"/>
      <c r="VDU521" s="1358"/>
      <c r="VDV521" s="1358"/>
      <c r="VDW521" s="1358"/>
      <c r="VDX521" s="1358"/>
      <c r="VDY521" s="1358"/>
      <c r="VDZ521" s="1358"/>
      <c r="VEA521" s="1358"/>
      <c r="VEB521" s="1358"/>
      <c r="VEC521" s="1358"/>
      <c r="VED521" s="1358"/>
      <c r="VEE521" s="1358"/>
      <c r="VEF521" s="1358"/>
      <c r="VEG521" s="1358"/>
      <c r="VEH521" s="1358"/>
      <c r="VEI521" s="1358"/>
      <c r="VEJ521" s="1358"/>
      <c r="VEK521" s="1358"/>
      <c r="VEL521" s="1358"/>
      <c r="VEM521" s="1358"/>
      <c r="VEN521" s="1358"/>
      <c r="VEO521" s="1358"/>
      <c r="VEP521" s="1358"/>
      <c r="VEQ521" s="1358"/>
      <c r="VER521" s="1358"/>
      <c r="VES521" s="1358"/>
      <c r="VET521" s="1358"/>
      <c r="VEU521" s="1358"/>
      <c r="VEV521" s="1358"/>
      <c r="VEW521" s="1358"/>
      <c r="VEX521" s="1358"/>
      <c r="VEY521" s="1358"/>
      <c r="VEZ521" s="1358"/>
      <c r="VFA521" s="1358"/>
      <c r="VFB521" s="1358"/>
      <c r="VFC521" s="1358"/>
      <c r="VFD521" s="1358"/>
      <c r="VFE521" s="1358"/>
      <c r="VFF521" s="1358"/>
      <c r="VFG521" s="1358"/>
      <c r="VFH521" s="1358"/>
      <c r="VFI521" s="1358"/>
      <c r="VFJ521" s="1358"/>
      <c r="VFK521" s="1358"/>
      <c r="VFL521" s="1358"/>
      <c r="VFM521" s="1358"/>
      <c r="VFN521" s="1358"/>
      <c r="VFO521" s="1358"/>
      <c r="VFP521" s="1358"/>
      <c r="VFQ521" s="1358"/>
      <c r="VFR521" s="1358"/>
      <c r="VFS521" s="1358"/>
      <c r="VFT521" s="1358"/>
      <c r="VFU521" s="1358"/>
      <c r="VFV521" s="1358"/>
      <c r="VFW521" s="1358"/>
      <c r="VFX521" s="1358"/>
      <c r="VFY521" s="1358"/>
      <c r="VFZ521" s="1358"/>
      <c r="VGA521" s="1358"/>
      <c r="VGB521" s="1358"/>
      <c r="VGC521" s="1358"/>
      <c r="VGD521" s="1358"/>
      <c r="VGE521" s="1358"/>
      <c r="VGF521" s="1358"/>
      <c r="VGG521" s="1358"/>
      <c r="VGH521" s="1358"/>
      <c r="VGI521" s="1358"/>
      <c r="VGJ521" s="1358"/>
      <c r="VGK521" s="1358"/>
      <c r="VGL521" s="1358"/>
      <c r="VGM521" s="1358"/>
      <c r="VGN521" s="1358"/>
      <c r="VGO521" s="1358"/>
      <c r="VGP521" s="1358"/>
      <c r="VGQ521" s="1358"/>
      <c r="VGR521" s="1358"/>
      <c r="VGS521" s="1358"/>
      <c r="VGT521" s="1358"/>
      <c r="VGU521" s="1358"/>
      <c r="VGV521" s="1358"/>
      <c r="VGW521" s="1358"/>
      <c r="VGX521" s="1358"/>
      <c r="VGY521" s="1358"/>
      <c r="VGZ521" s="1358"/>
      <c r="VHA521" s="1358"/>
      <c r="VHB521" s="1358"/>
      <c r="VHC521" s="1358"/>
      <c r="VHD521" s="1358"/>
      <c r="VHE521" s="1358"/>
      <c r="VHF521" s="1358"/>
      <c r="VHG521" s="1358"/>
      <c r="VHH521" s="1358"/>
      <c r="VHI521" s="1358"/>
      <c r="VHJ521" s="1358"/>
      <c r="VHK521" s="1358"/>
      <c r="VHL521" s="1358"/>
      <c r="VHM521" s="1358"/>
      <c r="VHN521" s="1358"/>
      <c r="VHO521" s="1358"/>
      <c r="VHP521" s="1358"/>
      <c r="VHQ521" s="1358"/>
      <c r="VHR521" s="1358"/>
      <c r="VHS521" s="1358"/>
      <c r="VHT521" s="1358"/>
      <c r="VHU521" s="1358"/>
      <c r="VHV521" s="1358"/>
      <c r="VHW521" s="1358"/>
      <c r="VHX521" s="1358"/>
      <c r="VHY521" s="1358"/>
      <c r="VHZ521" s="1358"/>
      <c r="VIA521" s="1358"/>
      <c r="VIB521" s="1358"/>
      <c r="VIC521" s="1358"/>
      <c r="VID521" s="1358"/>
      <c r="VIE521" s="1358"/>
      <c r="VIF521" s="1358"/>
      <c r="VIG521" s="1358"/>
      <c r="VIH521" s="1358"/>
      <c r="VII521" s="1358"/>
      <c r="VIJ521" s="1358"/>
      <c r="VIK521" s="1358"/>
      <c r="VIL521" s="1358"/>
      <c r="VIM521" s="1358"/>
      <c r="VIN521" s="1358"/>
      <c r="VIO521" s="1358"/>
      <c r="VIP521" s="1358"/>
      <c r="VIQ521" s="1358"/>
      <c r="VIR521" s="1358"/>
      <c r="VIS521" s="1358"/>
      <c r="VIT521" s="1358"/>
      <c r="VIU521" s="1358"/>
      <c r="VIV521" s="1358"/>
      <c r="VIW521" s="1358"/>
      <c r="VIX521" s="1358"/>
      <c r="VIY521" s="1358"/>
      <c r="VIZ521" s="1358"/>
      <c r="VJA521" s="1358"/>
      <c r="VJB521" s="1358"/>
      <c r="VJC521" s="1358"/>
      <c r="VJD521" s="1358"/>
      <c r="VJE521" s="1358"/>
      <c r="VJF521" s="1358"/>
      <c r="VJG521" s="1358"/>
      <c r="VJH521" s="1358"/>
      <c r="VJI521" s="1358"/>
      <c r="VJJ521" s="1358"/>
      <c r="VJK521" s="1358"/>
      <c r="VJL521" s="1358"/>
      <c r="VJM521" s="1358"/>
      <c r="VJN521" s="1358"/>
      <c r="VJO521" s="1358"/>
      <c r="VJP521" s="1358"/>
      <c r="VJQ521" s="1358"/>
      <c r="VJR521" s="1358"/>
      <c r="VJS521" s="1358"/>
      <c r="VJT521" s="1358"/>
      <c r="VJU521" s="1358"/>
      <c r="VJV521" s="1358"/>
      <c r="VJW521" s="1358"/>
      <c r="VJX521" s="1358"/>
      <c r="VJY521" s="1358"/>
      <c r="VJZ521" s="1358"/>
      <c r="VKA521" s="1358"/>
      <c r="VKB521" s="1358"/>
      <c r="VKC521" s="1358"/>
      <c r="VKD521" s="1358"/>
      <c r="VKE521" s="1358"/>
      <c r="VKF521" s="1358"/>
      <c r="VKG521" s="1358"/>
      <c r="VKH521" s="1358"/>
      <c r="VKI521" s="1358"/>
      <c r="VKJ521" s="1358"/>
      <c r="VKK521" s="1358"/>
      <c r="VKL521" s="1358"/>
      <c r="VKM521" s="1358"/>
      <c r="VKN521" s="1358"/>
      <c r="VKO521" s="1358"/>
      <c r="VKP521" s="1358"/>
      <c r="VKQ521" s="1358"/>
      <c r="VKR521" s="1358"/>
      <c r="VKS521" s="1358"/>
      <c r="VKT521" s="1358"/>
      <c r="VKU521" s="1358"/>
      <c r="VKV521" s="1358"/>
      <c r="VKW521" s="1358"/>
      <c r="VKX521" s="1358"/>
      <c r="VKY521" s="1358"/>
      <c r="VKZ521" s="1358"/>
      <c r="VLA521" s="1358"/>
      <c r="VLB521" s="1358"/>
      <c r="VLC521" s="1358"/>
      <c r="VLD521" s="1358"/>
      <c r="VLE521" s="1358"/>
      <c r="VLF521" s="1358"/>
      <c r="VLG521" s="1358"/>
      <c r="VLH521" s="1358"/>
      <c r="VLI521" s="1358"/>
      <c r="VLJ521" s="1358"/>
      <c r="VLK521" s="1358"/>
      <c r="VLL521" s="1358"/>
      <c r="VLM521" s="1358"/>
      <c r="VLN521" s="1358"/>
      <c r="VLO521" s="1358"/>
      <c r="VLP521" s="1358"/>
      <c r="VLQ521" s="1358"/>
      <c r="VLR521" s="1358"/>
      <c r="VLS521" s="1358"/>
      <c r="VLT521" s="1358"/>
      <c r="VLU521" s="1358"/>
      <c r="VLV521" s="1358"/>
      <c r="VLW521" s="1358"/>
      <c r="VLX521" s="1358"/>
      <c r="VLY521" s="1358"/>
      <c r="VLZ521" s="1358"/>
      <c r="VMA521" s="1358"/>
      <c r="VMB521" s="1358"/>
      <c r="VMC521" s="1358"/>
      <c r="VMD521" s="1358"/>
      <c r="VME521" s="1358"/>
      <c r="VMF521" s="1358"/>
      <c r="VMG521" s="1358"/>
      <c r="VMH521" s="1358"/>
      <c r="VMI521" s="1358"/>
      <c r="VMJ521" s="1358"/>
      <c r="VMK521" s="1358"/>
      <c r="VML521" s="1358"/>
      <c r="VMM521" s="1358"/>
      <c r="VMN521" s="1358"/>
      <c r="VMO521" s="1358"/>
      <c r="VMP521" s="1358"/>
      <c r="VMQ521" s="1358"/>
      <c r="VMR521" s="1358"/>
      <c r="VMS521" s="1358"/>
      <c r="VMT521" s="1358"/>
      <c r="VMU521" s="1358"/>
      <c r="VMV521" s="1358"/>
      <c r="VMW521" s="1358"/>
      <c r="VMX521" s="1358"/>
      <c r="VMY521" s="1358"/>
      <c r="VMZ521" s="1358"/>
      <c r="VNA521" s="1358"/>
      <c r="VNB521" s="1358"/>
      <c r="VNC521" s="1358"/>
      <c r="VND521" s="1358"/>
      <c r="VNE521" s="1358"/>
      <c r="VNF521" s="1358"/>
      <c r="VNG521" s="1358"/>
      <c r="VNH521" s="1358"/>
      <c r="VNI521" s="1358"/>
      <c r="VNJ521" s="1358"/>
      <c r="VNK521" s="1358"/>
      <c r="VNL521" s="1358"/>
      <c r="VNM521" s="1358"/>
      <c r="VNN521" s="1358"/>
      <c r="VNO521" s="1358"/>
      <c r="VNP521" s="1358"/>
      <c r="VNQ521" s="1358"/>
      <c r="VNR521" s="1358"/>
      <c r="VNS521" s="1358"/>
      <c r="VNT521" s="1358"/>
      <c r="VNU521" s="1358"/>
      <c r="VNV521" s="1358"/>
      <c r="VNW521" s="1358"/>
      <c r="VNX521" s="1358"/>
      <c r="VNY521" s="1358"/>
      <c r="VNZ521" s="1358"/>
      <c r="VOA521" s="1358"/>
      <c r="VOB521" s="1358"/>
      <c r="VOC521" s="1358"/>
      <c r="VOD521" s="1358"/>
      <c r="VOE521" s="1358"/>
      <c r="VOF521" s="1358"/>
      <c r="VOG521" s="1358"/>
      <c r="VOH521" s="1358"/>
      <c r="VOI521" s="1358"/>
      <c r="VOJ521" s="1358"/>
      <c r="VOK521" s="1358"/>
      <c r="VOL521" s="1358"/>
      <c r="VOM521" s="1358"/>
      <c r="VON521" s="1358"/>
      <c r="VOO521" s="1358"/>
      <c r="VOP521" s="1358"/>
      <c r="VOQ521" s="1358"/>
      <c r="VOR521" s="1358"/>
      <c r="VOS521" s="1358"/>
      <c r="VOT521" s="1358"/>
      <c r="VOU521" s="1358"/>
      <c r="VOV521" s="1358"/>
      <c r="VOW521" s="1358"/>
      <c r="VOX521" s="1358"/>
      <c r="VOY521" s="1358"/>
      <c r="VOZ521" s="1358"/>
      <c r="VPA521" s="1358"/>
      <c r="VPB521" s="1358"/>
      <c r="VPC521" s="1358"/>
      <c r="VPD521" s="1358"/>
      <c r="VPE521" s="1358"/>
      <c r="VPF521" s="1358"/>
      <c r="VPG521" s="1358"/>
      <c r="VPH521" s="1358"/>
      <c r="VPI521" s="1358"/>
      <c r="VPJ521" s="1358"/>
      <c r="VPK521" s="1358"/>
      <c r="VPL521" s="1358"/>
      <c r="VPM521" s="1358"/>
      <c r="VPN521" s="1358"/>
      <c r="VPO521" s="1358"/>
      <c r="VPP521" s="1358"/>
      <c r="VPQ521" s="1358"/>
      <c r="VPR521" s="1358"/>
      <c r="VPS521" s="1358"/>
      <c r="VPT521" s="1358"/>
      <c r="VPU521" s="1358"/>
      <c r="VPV521" s="1358"/>
      <c r="VPW521" s="1358"/>
      <c r="VPX521" s="1358"/>
      <c r="VPY521" s="1358"/>
      <c r="VPZ521" s="1358"/>
      <c r="VQA521" s="1358"/>
      <c r="VQB521" s="1358"/>
      <c r="VQC521" s="1358"/>
      <c r="VQD521" s="1358"/>
      <c r="VQE521" s="1358"/>
      <c r="VQF521" s="1358"/>
      <c r="VQG521" s="1358"/>
      <c r="VQH521" s="1358"/>
      <c r="VQI521" s="1358"/>
      <c r="VQJ521" s="1358"/>
      <c r="VQK521" s="1358"/>
      <c r="VQL521" s="1358"/>
      <c r="VQM521" s="1358"/>
      <c r="VQN521" s="1358"/>
      <c r="VQO521" s="1358"/>
      <c r="VQP521" s="1358"/>
      <c r="VQQ521" s="1358"/>
      <c r="VQR521" s="1358"/>
      <c r="VQS521" s="1358"/>
      <c r="VQT521" s="1358"/>
      <c r="VQU521" s="1358"/>
      <c r="VQV521" s="1358"/>
      <c r="VQW521" s="1358"/>
      <c r="VQX521" s="1358"/>
      <c r="VQY521" s="1358"/>
      <c r="VQZ521" s="1358"/>
      <c r="VRA521" s="1358"/>
      <c r="VRB521" s="1358"/>
      <c r="VRC521" s="1358"/>
      <c r="VRD521" s="1358"/>
      <c r="VRE521" s="1358"/>
      <c r="VRF521" s="1358"/>
      <c r="VRG521" s="1358"/>
      <c r="VRH521" s="1358"/>
      <c r="VRI521" s="1358"/>
      <c r="VRJ521" s="1358"/>
      <c r="VRK521" s="1358"/>
      <c r="VRL521" s="1358"/>
      <c r="VRM521" s="1358"/>
      <c r="VRN521" s="1358"/>
      <c r="VRO521" s="1358"/>
      <c r="VRP521" s="1358"/>
      <c r="VRQ521" s="1358"/>
      <c r="VRR521" s="1358"/>
      <c r="VRS521" s="1358"/>
      <c r="VRT521" s="1358"/>
      <c r="VRU521" s="1358"/>
      <c r="VRV521" s="1358"/>
      <c r="VRW521" s="1358"/>
      <c r="VRX521" s="1358"/>
      <c r="VRY521" s="1358"/>
      <c r="VRZ521" s="1358"/>
      <c r="VSA521" s="1358"/>
      <c r="VSB521" s="1358"/>
      <c r="VSC521" s="1358"/>
      <c r="VSD521" s="1358"/>
      <c r="VSE521" s="1358"/>
      <c r="VSF521" s="1358"/>
      <c r="VSG521" s="1358"/>
      <c r="VSH521" s="1358"/>
      <c r="VSI521" s="1358"/>
      <c r="VSJ521" s="1358"/>
      <c r="VSK521" s="1358"/>
      <c r="VSL521" s="1358"/>
      <c r="VSM521" s="1358"/>
      <c r="VSN521" s="1358"/>
      <c r="VSO521" s="1358"/>
      <c r="VSP521" s="1358"/>
      <c r="VSQ521" s="1358"/>
      <c r="VSR521" s="1358"/>
      <c r="VSS521" s="1358"/>
      <c r="VST521" s="1358"/>
      <c r="VSU521" s="1358"/>
      <c r="VSV521" s="1358"/>
      <c r="VSW521" s="1358"/>
      <c r="VSX521" s="1358"/>
      <c r="VSY521" s="1358"/>
      <c r="VSZ521" s="1358"/>
      <c r="VTA521" s="1358"/>
      <c r="VTB521" s="1358"/>
      <c r="VTC521" s="1358"/>
      <c r="VTD521" s="1358"/>
      <c r="VTE521" s="1358"/>
      <c r="VTF521" s="1358"/>
      <c r="VTG521" s="1358"/>
      <c r="VTH521" s="1358"/>
      <c r="VTI521" s="1358"/>
      <c r="VTJ521" s="1358"/>
      <c r="VTK521" s="1358"/>
      <c r="VTL521" s="1358"/>
      <c r="VTM521" s="1358"/>
      <c r="VTN521" s="1358"/>
      <c r="VTO521" s="1358"/>
      <c r="VTP521" s="1358"/>
      <c r="VTQ521" s="1358"/>
      <c r="VTR521" s="1358"/>
      <c r="VTS521" s="1358"/>
      <c r="VTT521" s="1358"/>
      <c r="VTU521" s="1358"/>
      <c r="VTV521" s="1358"/>
      <c r="VTW521" s="1358"/>
      <c r="VTX521" s="1358"/>
      <c r="VTY521" s="1358"/>
      <c r="VTZ521" s="1358"/>
      <c r="VUA521" s="1358"/>
      <c r="VUB521" s="1358"/>
      <c r="VUC521" s="1358"/>
      <c r="VUD521" s="1358"/>
      <c r="VUE521" s="1358"/>
      <c r="VUF521" s="1358"/>
      <c r="VUG521" s="1358"/>
      <c r="VUH521" s="1358"/>
      <c r="VUI521" s="1358"/>
      <c r="VUJ521" s="1358"/>
      <c r="VUK521" s="1358"/>
      <c r="VUL521" s="1358"/>
      <c r="VUM521" s="1358"/>
      <c r="VUN521" s="1358"/>
      <c r="VUO521" s="1358"/>
      <c r="VUP521" s="1358"/>
      <c r="VUQ521" s="1358"/>
      <c r="VUR521" s="1358"/>
      <c r="VUS521" s="1358"/>
      <c r="VUT521" s="1358"/>
      <c r="VUU521" s="1358"/>
      <c r="VUV521" s="1358"/>
      <c r="VUW521" s="1358"/>
      <c r="VUX521" s="1358"/>
      <c r="VUY521" s="1358"/>
      <c r="VUZ521" s="1358"/>
      <c r="VVA521" s="1358"/>
      <c r="VVB521" s="1358"/>
      <c r="VVC521" s="1358"/>
      <c r="VVD521" s="1358"/>
      <c r="VVE521" s="1358"/>
      <c r="VVF521" s="1358"/>
      <c r="VVG521" s="1358"/>
      <c r="VVH521" s="1358"/>
      <c r="VVI521" s="1358"/>
      <c r="VVJ521" s="1358"/>
      <c r="VVK521" s="1358"/>
      <c r="VVL521" s="1358"/>
      <c r="VVM521" s="1358"/>
      <c r="VVN521" s="1358"/>
      <c r="VVO521" s="1358"/>
      <c r="VVP521" s="1358"/>
      <c r="VVQ521" s="1358"/>
      <c r="VVR521" s="1358"/>
      <c r="VVS521" s="1358"/>
      <c r="VVT521" s="1358"/>
      <c r="VVU521" s="1358"/>
      <c r="VVV521" s="1358"/>
      <c r="VVW521" s="1358"/>
      <c r="VVX521" s="1358"/>
      <c r="VVY521" s="1358"/>
      <c r="VVZ521" s="1358"/>
      <c r="VWA521" s="1358"/>
      <c r="VWB521" s="1358"/>
      <c r="VWC521" s="1358"/>
      <c r="VWD521" s="1358"/>
      <c r="VWE521" s="1358"/>
      <c r="VWF521" s="1358"/>
      <c r="VWG521" s="1358"/>
      <c r="VWH521" s="1358"/>
      <c r="VWI521" s="1358"/>
      <c r="VWJ521" s="1358"/>
      <c r="VWK521" s="1358"/>
      <c r="VWL521" s="1358"/>
      <c r="VWM521" s="1358"/>
      <c r="VWN521" s="1358"/>
      <c r="VWO521" s="1358"/>
      <c r="VWP521" s="1358"/>
      <c r="VWQ521" s="1358"/>
      <c r="VWR521" s="1358"/>
      <c r="VWS521" s="1358"/>
      <c r="VWT521" s="1358"/>
      <c r="VWU521" s="1358"/>
      <c r="VWV521" s="1358"/>
      <c r="VWW521" s="1358"/>
      <c r="VWX521" s="1358"/>
      <c r="VWY521" s="1358"/>
      <c r="VWZ521" s="1358"/>
      <c r="VXA521" s="1358"/>
      <c r="VXB521" s="1358"/>
      <c r="VXC521" s="1358"/>
      <c r="VXD521" s="1358"/>
      <c r="VXE521" s="1358"/>
      <c r="VXF521" s="1358"/>
      <c r="VXG521" s="1358"/>
      <c r="VXH521" s="1358"/>
      <c r="VXI521" s="1358"/>
      <c r="VXJ521" s="1358"/>
      <c r="VXK521" s="1358"/>
      <c r="VXL521" s="1358"/>
      <c r="VXM521" s="1358"/>
      <c r="VXN521" s="1358"/>
      <c r="VXO521" s="1358"/>
      <c r="VXP521" s="1358"/>
      <c r="VXQ521" s="1358"/>
      <c r="VXR521" s="1358"/>
      <c r="VXS521" s="1358"/>
      <c r="VXT521" s="1358"/>
      <c r="VXU521" s="1358"/>
      <c r="VXV521" s="1358"/>
      <c r="VXW521" s="1358"/>
      <c r="VXX521" s="1358"/>
      <c r="VXY521" s="1358"/>
      <c r="VXZ521" s="1358"/>
      <c r="VYA521" s="1358"/>
      <c r="VYB521" s="1358"/>
      <c r="VYC521" s="1358"/>
      <c r="VYD521" s="1358"/>
      <c r="VYE521" s="1358"/>
      <c r="VYF521" s="1358"/>
      <c r="VYG521" s="1358"/>
      <c r="VYH521" s="1358"/>
      <c r="VYI521" s="1358"/>
      <c r="VYJ521" s="1358"/>
      <c r="VYK521" s="1358"/>
      <c r="VYL521" s="1358"/>
      <c r="VYM521" s="1358"/>
      <c r="VYN521" s="1358"/>
      <c r="VYO521" s="1358"/>
      <c r="VYP521" s="1358"/>
      <c r="VYQ521" s="1358"/>
      <c r="VYR521" s="1358"/>
      <c r="VYS521" s="1358"/>
      <c r="VYT521" s="1358"/>
      <c r="VYU521" s="1358"/>
      <c r="VYV521" s="1358"/>
      <c r="VYW521" s="1358"/>
      <c r="VYX521" s="1358"/>
      <c r="VYY521" s="1358"/>
      <c r="VYZ521" s="1358"/>
      <c r="VZA521" s="1358"/>
      <c r="VZB521" s="1358"/>
      <c r="VZC521" s="1358"/>
      <c r="VZD521" s="1358"/>
      <c r="VZE521" s="1358"/>
      <c r="VZF521" s="1358"/>
      <c r="VZG521" s="1358"/>
      <c r="VZH521" s="1358"/>
      <c r="VZI521" s="1358"/>
      <c r="VZJ521" s="1358"/>
      <c r="VZK521" s="1358"/>
      <c r="VZL521" s="1358"/>
      <c r="VZM521" s="1358"/>
      <c r="VZN521" s="1358"/>
      <c r="VZO521" s="1358"/>
      <c r="VZP521" s="1358"/>
      <c r="VZQ521" s="1358"/>
      <c r="VZR521" s="1358"/>
      <c r="VZS521" s="1358"/>
      <c r="VZT521" s="1358"/>
      <c r="VZU521" s="1358"/>
      <c r="VZV521" s="1358"/>
      <c r="VZW521" s="1358"/>
      <c r="VZX521" s="1358"/>
      <c r="VZY521" s="1358"/>
      <c r="VZZ521" s="1358"/>
      <c r="WAA521" s="1358"/>
      <c r="WAB521" s="1358"/>
      <c r="WAC521" s="1358"/>
      <c r="WAD521" s="1358"/>
      <c r="WAE521" s="1358"/>
      <c r="WAF521" s="1358"/>
      <c r="WAG521" s="1358"/>
      <c r="WAH521" s="1358"/>
      <c r="WAI521" s="1358"/>
      <c r="WAJ521" s="1358"/>
      <c r="WAK521" s="1358"/>
      <c r="WAL521" s="1358"/>
      <c r="WAM521" s="1358"/>
      <c r="WAN521" s="1358"/>
      <c r="WAO521" s="1358"/>
      <c r="WAP521" s="1358"/>
      <c r="WAQ521" s="1358"/>
      <c r="WAR521" s="1358"/>
      <c r="WAS521" s="1358"/>
      <c r="WAT521" s="1358"/>
      <c r="WAU521" s="1358"/>
      <c r="WAV521" s="1358"/>
      <c r="WAW521" s="1358"/>
      <c r="WAX521" s="1358"/>
      <c r="WAY521" s="1358"/>
      <c r="WAZ521" s="1358"/>
      <c r="WBA521" s="1358"/>
      <c r="WBB521" s="1358"/>
      <c r="WBC521" s="1358"/>
      <c r="WBD521" s="1358"/>
      <c r="WBE521" s="1358"/>
      <c r="WBF521" s="1358"/>
      <c r="WBG521" s="1358"/>
      <c r="WBH521" s="1358"/>
      <c r="WBI521" s="1358"/>
      <c r="WBJ521" s="1358"/>
      <c r="WBK521" s="1358"/>
      <c r="WBL521" s="1358"/>
      <c r="WBM521" s="1358"/>
      <c r="WBN521" s="1358"/>
      <c r="WBO521" s="1358"/>
      <c r="WBP521" s="1358"/>
      <c r="WBQ521" s="1358"/>
      <c r="WBR521" s="1358"/>
      <c r="WBS521" s="1358"/>
      <c r="WBT521" s="1358"/>
      <c r="WBU521" s="1358"/>
      <c r="WBV521" s="1358"/>
      <c r="WBW521" s="1358"/>
      <c r="WBX521" s="1358"/>
      <c r="WBY521" s="1358"/>
      <c r="WBZ521" s="1358"/>
      <c r="WCA521" s="1358"/>
      <c r="WCB521" s="1358"/>
      <c r="WCC521" s="1358"/>
      <c r="WCD521" s="1358"/>
      <c r="WCE521" s="1358"/>
      <c r="WCF521" s="1358"/>
      <c r="WCG521" s="1358"/>
      <c r="WCH521" s="1358"/>
      <c r="WCI521" s="1358"/>
      <c r="WCJ521" s="1358"/>
      <c r="WCK521" s="1358"/>
      <c r="WCL521" s="1358"/>
      <c r="WCM521" s="1358"/>
      <c r="WCN521" s="1358"/>
      <c r="WCO521" s="1358"/>
      <c r="WCP521" s="1358"/>
      <c r="WCQ521" s="1358"/>
      <c r="WCR521" s="1358"/>
      <c r="WCS521" s="1358"/>
      <c r="WCT521" s="1358"/>
      <c r="WCU521" s="1358"/>
      <c r="WCV521" s="1358"/>
      <c r="WCW521" s="1358"/>
      <c r="WCX521" s="1358"/>
      <c r="WCY521" s="1358"/>
      <c r="WCZ521" s="1358"/>
      <c r="WDA521" s="1358"/>
      <c r="WDB521" s="1358"/>
      <c r="WDC521" s="1358"/>
      <c r="WDD521" s="1358"/>
      <c r="WDE521" s="1358"/>
      <c r="WDF521" s="1358"/>
      <c r="WDG521" s="1358"/>
      <c r="WDH521" s="1358"/>
      <c r="WDI521" s="1358"/>
      <c r="WDJ521" s="1358"/>
      <c r="WDK521" s="1358"/>
      <c r="WDL521" s="1358"/>
      <c r="WDM521" s="1358"/>
      <c r="WDN521" s="1358"/>
      <c r="WDO521" s="1358"/>
      <c r="WDP521" s="1358"/>
      <c r="WDQ521" s="1358"/>
      <c r="WDR521" s="1358"/>
      <c r="WDS521" s="1358"/>
      <c r="WDT521" s="1358"/>
      <c r="WDU521" s="1358"/>
      <c r="WDV521" s="1358"/>
      <c r="WDW521" s="1358"/>
      <c r="WDX521" s="1358"/>
      <c r="WDY521" s="1358"/>
      <c r="WDZ521" s="1358"/>
      <c r="WEA521" s="1358"/>
      <c r="WEB521" s="1358"/>
      <c r="WEC521" s="1358"/>
      <c r="WED521" s="1358"/>
      <c r="WEE521" s="1358"/>
      <c r="WEF521" s="1358"/>
      <c r="WEG521" s="1358"/>
      <c r="WEH521" s="1358"/>
      <c r="WEI521" s="1358"/>
      <c r="WEJ521" s="1358"/>
      <c r="WEK521" s="1358"/>
      <c r="WEL521" s="1358"/>
      <c r="WEM521" s="1358"/>
      <c r="WEN521" s="1358"/>
      <c r="WEO521" s="1358"/>
      <c r="WEP521" s="1358"/>
      <c r="WEQ521" s="1358"/>
      <c r="WER521" s="1358"/>
      <c r="WES521" s="1358"/>
      <c r="WET521" s="1358"/>
      <c r="WEU521" s="1358"/>
      <c r="WEV521" s="1358"/>
      <c r="WEW521" s="1358"/>
      <c r="WEX521" s="1358"/>
      <c r="WEY521" s="1358"/>
      <c r="WEZ521" s="1358"/>
      <c r="WFA521" s="1358"/>
      <c r="WFB521" s="1358"/>
      <c r="WFC521" s="1358"/>
      <c r="WFD521" s="1358"/>
      <c r="WFE521" s="1358"/>
      <c r="WFF521" s="1358"/>
      <c r="WFG521" s="1358"/>
      <c r="WFH521" s="1358"/>
      <c r="WFI521" s="1358"/>
      <c r="WFJ521" s="1358"/>
      <c r="WFK521" s="1358"/>
      <c r="WFL521" s="1358"/>
      <c r="WFM521" s="1358"/>
      <c r="WFN521" s="1358"/>
      <c r="WFO521" s="1358"/>
      <c r="WFP521" s="1358"/>
      <c r="WFQ521" s="1358"/>
      <c r="WFR521" s="1358"/>
      <c r="WFS521" s="1358"/>
      <c r="WFT521" s="1358"/>
      <c r="WFU521" s="1358"/>
      <c r="WFV521" s="1358"/>
      <c r="WFW521" s="1358"/>
      <c r="WFX521" s="1358"/>
      <c r="WFY521" s="1358"/>
      <c r="WFZ521" s="1358"/>
      <c r="WGA521" s="1358"/>
      <c r="WGB521" s="1358"/>
      <c r="WGC521" s="1358"/>
      <c r="WGD521" s="1358"/>
      <c r="WGE521" s="1358"/>
      <c r="WGF521" s="1358"/>
      <c r="WGG521" s="1358"/>
      <c r="WGH521" s="1358"/>
      <c r="WGI521" s="1358"/>
      <c r="WGJ521" s="1358"/>
      <c r="WGK521" s="1358"/>
      <c r="WGL521" s="1358"/>
      <c r="WGM521" s="1358"/>
      <c r="WGN521" s="1358"/>
      <c r="WGO521" s="1358"/>
      <c r="WGP521" s="1358"/>
      <c r="WGQ521" s="1358"/>
      <c r="WGR521" s="1358"/>
      <c r="WGS521" s="1358"/>
      <c r="WGT521" s="1358"/>
      <c r="WGU521" s="1358"/>
      <c r="WGV521" s="1358"/>
      <c r="WGW521" s="1358"/>
      <c r="WGX521" s="1358"/>
      <c r="WGY521" s="1358"/>
      <c r="WGZ521" s="1358"/>
      <c r="WHA521" s="1358"/>
      <c r="WHB521" s="1358"/>
      <c r="WHC521" s="1358"/>
      <c r="WHD521" s="1358"/>
      <c r="WHE521" s="1358"/>
      <c r="WHF521" s="1358"/>
      <c r="WHG521" s="1358"/>
      <c r="WHH521" s="1358"/>
      <c r="WHI521" s="1358"/>
      <c r="WHJ521" s="1358"/>
      <c r="WHK521" s="1358"/>
      <c r="WHL521" s="1358"/>
      <c r="WHM521" s="1358"/>
      <c r="WHN521" s="1358"/>
      <c r="WHO521" s="1358"/>
      <c r="WHP521" s="1358"/>
      <c r="WHQ521" s="1358"/>
      <c r="WHR521" s="1358"/>
      <c r="WHS521" s="1358"/>
      <c r="WHT521" s="1358"/>
      <c r="WHU521" s="1358"/>
      <c r="WHV521" s="1358"/>
      <c r="WHW521" s="1358"/>
      <c r="WHX521" s="1358"/>
      <c r="WHY521" s="1358"/>
      <c r="WHZ521" s="1358"/>
      <c r="WIA521" s="1358"/>
      <c r="WIB521" s="1358"/>
      <c r="WIC521" s="1358"/>
      <c r="WID521" s="1358"/>
      <c r="WIE521" s="1358"/>
      <c r="WIF521" s="1358"/>
      <c r="WIG521" s="1358"/>
      <c r="WIH521" s="1358"/>
      <c r="WII521" s="1358"/>
      <c r="WIJ521" s="1358"/>
      <c r="WIK521" s="1358"/>
      <c r="WIL521" s="1358"/>
      <c r="WIM521" s="1358"/>
      <c r="WIN521" s="1358"/>
      <c r="WIO521" s="1358"/>
      <c r="WIP521" s="1358"/>
      <c r="WIQ521" s="1358"/>
      <c r="WIR521" s="1358"/>
      <c r="WIS521" s="1358"/>
      <c r="WIT521" s="1358"/>
      <c r="WIU521" s="1358"/>
      <c r="WIV521" s="1358"/>
      <c r="WIW521" s="1358"/>
      <c r="WIX521" s="1358"/>
      <c r="WIY521" s="1358"/>
      <c r="WIZ521" s="1358"/>
      <c r="WJA521" s="1358"/>
      <c r="WJB521" s="1358"/>
      <c r="WJC521" s="1358"/>
      <c r="WJD521" s="1358"/>
      <c r="WJE521" s="1358"/>
      <c r="WJF521" s="1358"/>
      <c r="WJG521" s="1358"/>
      <c r="WJH521" s="1358"/>
      <c r="WJI521" s="1358"/>
      <c r="WJJ521" s="1358"/>
      <c r="WJK521" s="1358"/>
      <c r="WJL521" s="1358"/>
      <c r="WJM521" s="1358"/>
      <c r="WJN521" s="1358"/>
      <c r="WJO521" s="1358"/>
      <c r="WJP521" s="1358"/>
      <c r="WJQ521" s="1358"/>
      <c r="WJR521" s="1358"/>
      <c r="WJS521" s="1358"/>
      <c r="WJT521" s="1358"/>
      <c r="WJU521" s="1358"/>
      <c r="WJV521" s="1358"/>
      <c r="WJW521" s="1358"/>
      <c r="WJX521" s="1358"/>
      <c r="WJY521" s="1358"/>
      <c r="WJZ521" s="1358"/>
      <c r="WKA521" s="1358"/>
      <c r="WKB521" s="1358"/>
      <c r="WKC521" s="1358"/>
      <c r="WKD521" s="1358"/>
      <c r="WKE521" s="1358"/>
      <c r="WKF521" s="1358"/>
      <c r="WKG521" s="1358"/>
      <c r="WKH521" s="1358"/>
      <c r="WKI521" s="1358"/>
      <c r="WKJ521" s="1358"/>
      <c r="WKK521" s="1358"/>
      <c r="WKL521" s="1358"/>
      <c r="WKM521" s="1358"/>
      <c r="WKN521" s="1358"/>
      <c r="WKO521" s="1358"/>
      <c r="WKP521" s="1358"/>
      <c r="WKQ521" s="1358"/>
      <c r="WKR521" s="1358"/>
      <c r="WKS521" s="1358"/>
      <c r="WKT521" s="1358"/>
      <c r="WKU521" s="1358"/>
      <c r="WKV521" s="1358"/>
      <c r="WKW521" s="1358"/>
      <c r="WKX521" s="1358"/>
      <c r="WKY521" s="1358"/>
      <c r="WKZ521" s="1358"/>
      <c r="WLA521" s="1358"/>
      <c r="WLB521" s="1358"/>
      <c r="WLC521" s="1358"/>
      <c r="WLD521" s="1358"/>
      <c r="WLE521" s="1358"/>
      <c r="WLF521" s="1358"/>
      <c r="WLG521" s="1358"/>
      <c r="WLH521" s="1358"/>
      <c r="WLI521" s="1358"/>
      <c r="WLJ521" s="1358"/>
      <c r="WLK521" s="1358"/>
      <c r="WLL521" s="1358"/>
      <c r="WLM521" s="1358"/>
      <c r="WLN521" s="1358"/>
      <c r="WLO521" s="1358"/>
      <c r="WLP521" s="1358"/>
      <c r="WLQ521" s="1358"/>
      <c r="WLR521" s="1358"/>
      <c r="WLS521" s="1358"/>
      <c r="WLT521" s="1358"/>
      <c r="WLU521" s="1358"/>
      <c r="WLV521" s="1358"/>
      <c r="WLW521" s="1358"/>
      <c r="WLX521" s="1358"/>
      <c r="WLY521" s="1358"/>
      <c r="WLZ521" s="1358"/>
      <c r="WMA521" s="1358"/>
      <c r="WMB521" s="1358"/>
      <c r="WMC521" s="1358"/>
      <c r="WMD521" s="1358"/>
      <c r="WME521" s="1358"/>
      <c r="WMF521" s="1358"/>
      <c r="WMG521" s="1358"/>
      <c r="WMH521" s="1358"/>
      <c r="WMI521" s="1358"/>
      <c r="WMJ521" s="1358"/>
      <c r="WMK521" s="1358"/>
      <c r="WML521" s="1358"/>
      <c r="WMM521" s="1358"/>
      <c r="WMN521" s="1358"/>
      <c r="WMO521" s="1358"/>
      <c r="WMP521" s="1358"/>
      <c r="WMQ521" s="1358"/>
      <c r="WMR521" s="1358"/>
      <c r="WMS521" s="1358"/>
      <c r="WMT521" s="1358"/>
      <c r="WMU521" s="1358"/>
      <c r="WMV521" s="1358"/>
      <c r="WMW521" s="1358"/>
      <c r="WMX521" s="1358"/>
      <c r="WMY521" s="1358"/>
      <c r="WMZ521" s="1358"/>
      <c r="WNA521" s="1358"/>
      <c r="WNB521" s="1358"/>
      <c r="WNC521" s="1358"/>
      <c r="WND521" s="1358"/>
      <c r="WNE521" s="1358"/>
      <c r="WNF521" s="1358"/>
      <c r="WNG521" s="1358"/>
      <c r="WNH521" s="1358"/>
      <c r="WNI521" s="1358"/>
      <c r="WNJ521" s="1358"/>
      <c r="WNK521" s="1358"/>
      <c r="WNL521" s="1358"/>
      <c r="WNM521" s="1358"/>
      <c r="WNN521" s="1358"/>
      <c r="WNO521" s="1358"/>
      <c r="WNP521" s="1358"/>
      <c r="WNQ521" s="1358"/>
      <c r="WNR521" s="1358"/>
      <c r="WNS521" s="1358"/>
      <c r="WNT521" s="1358"/>
      <c r="WNU521" s="1358"/>
      <c r="WNV521" s="1358"/>
      <c r="WNW521" s="1358"/>
      <c r="WNX521" s="1358"/>
      <c r="WNY521" s="1358"/>
      <c r="WNZ521" s="1358"/>
      <c r="WOA521" s="1358"/>
      <c r="WOB521" s="1358"/>
      <c r="WOC521" s="1358"/>
      <c r="WOD521" s="1358"/>
      <c r="WOE521" s="1358"/>
      <c r="WOF521" s="1358"/>
      <c r="WOG521" s="1358"/>
      <c r="WOH521" s="1358"/>
      <c r="WOI521" s="1358"/>
      <c r="WOJ521" s="1358"/>
      <c r="WOK521" s="1358"/>
      <c r="WOL521" s="1358"/>
      <c r="WOM521" s="1358"/>
      <c r="WON521" s="1358"/>
      <c r="WOO521" s="1358"/>
      <c r="WOP521" s="1358"/>
      <c r="WOQ521" s="1358"/>
      <c r="WOR521" s="1358"/>
      <c r="WOS521" s="1358"/>
      <c r="WOT521" s="1358"/>
      <c r="WOU521" s="1358"/>
      <c r="WOV521" s="1358"/>
      <c r="WOW521" s="1358"/>
      <c r="WOX521" s="1358"/>
      <c r="WOY521" s="1358"/>
      <c r="WOZ521" s="1358"/>
      <c r="WPA521" s="1358"/>
      <c r="WPB521" s="1358"/>
      <c r="WPC521" s="1358"/>
      <c r="WPD521" s="1358"/>
      <c r="WPE521" s="1358"/>
      <c r="WPF521" s="1358"/>
      <c r="WPG521" s="1358"/>
      <c r="WPH521" s="1358"/>
      <c r="WPI521" s="1358"/>
      <c r="WPJ521" s="1358"/>
      <c r="WPK521" s="1358"/>
      <c r="WPL521" s="1358"/>
      <c r="WPM521" s="1358"/>
      <c r="WPN521" s="1358"/>
      <c r="WPO521" s="1358"/>
      <c r="WPP521" s="1358"/>
      <c r="WPQ521" s="1358"/>
      <c r="WPR521" s="1358"/>
      <c r="WPS521" s="1358"/>
      <c r="WPT521" s="1358"/>
      <c r="WPU521" s="1358"/>
      <c r="WPV521" s="1358"/>
      <c r="WPW521" s="1358"/>
      <c r="WPX521" s="1358"/>
      <c r="WPY521" s="1358"/>
      <c r="WPZ521" s="1358"/>
      <c r="WQA521" s="1358"/>
      <c r="WQB521" s="1358"/>
      <c r="WQC521" s="1358"/>
      <c r="WQD521" s="1358"/>
      <c r="WQE521" s="1358"/>
      <c r="WQF521" s="1358"/>
      <c r="WQG521" s="1358"/>
      <c r="WQH521" s="1358"/>
      <c r="WQI521" s="1358"/>
      <c r="WQJ521" s="1358"/>
      <c r="WQK521" s="1358"/>
      <c r="WQL521" s="1358"/>
      <c r="WQM521" s="1358"/>
      <c r="WQN521" s="1358"/>
      <c r="WQO521" s="1358"/>
      <c r="WQP521" s="1358"/>
      <c r="WQQ521" s="1358"/>
      <c r="WQR521" s="1358"/>
      <c r="WQS521" s="1358"/>
      <c r="WQT521" s="1358"/>
      <c r="WQU521" s="1358"/>
      <c r="WQV521" s="1358"/>
      <c r="WQW521" s="1358"/>
      <c r="WQX521" s="1358"/>
      <c r="WQY521" s="1358"/>
      <c r="WQZ521" s="1358"/>
      <c r="WRA521" s="1358"/>
      <c r="WRB521" s="1358"/>
      <c r="WRC521" s="1358"/>
      <c r="WRD521" s="1358"/>
      <c r="WRE521" s="1358"/>
      <c r="WRF521" s="1358"/>
      <c r="WRG521" s="1358"/>
      <c r="WRH521" s="1358"/>
      <c r="WRI521" s="1358"/>
      <c r="WRJ521" s="1359"/>
      <c r="WRK521" s="1360"/>
      <c r="WRL521" s="1361"/>
      <c r="WRM521" s="1362"/>
      <c r="WRN521" s="1368"/>
      <c r="WRO521" s="1363"/>
      <c r="WRP521" s="1364"/>
      <c r="WRQ521" s="1365"/>
      <c r="WRR521" s="1364"/>
      <c r="WRS521" s="1366"/>
      <c r="WRT521" s="1367"/>
      <c r="WRU521" s="1363"/>
      <c r="WRV521" s="1363"/>
      <c r="WRW521" s="1363"/>
      <c r="WRX521" s="1358"/>
      <c r="WRY521" s="1358"/>
      <c r="WRZ521" s="1358"/>
      <c r="WSA521" s="1358"/>
      <c r="WSB521" s="1359"/>
      <c r="WSC521" s="1360"/>
      <c r="WSD521" s="1361"/>
      <c r="WSE521" s="1362"/>
      <c r="WSF521" s="1368"/>
      <c r="WSG521" s="1363"/>
      <c r="WSH521" s="1364"/>
      <c r="WSI521" s="1365"/>
      <c r="WSJ521" s="1364"/>
      <c r="WSK521" s="1366"/>
      <c r="WSL521" s="1367"/>
      <c r="WSM521" s="1363"/>
      <c r="WSN521" s="1363"/>
      <c r="WSO521" s="1363"/>
      <c r="WSP521" s="1358"/>
      <c r="WSQ521" s="1358"/>
      <c r="WSR521" s="1358"/>
      <c r="WSS521" s="1358"/>
      <c r="WST521" s="1359"/>
      <c r="WSU521" s="1360"/>
      <c r="WSV521" s="1361"/>
      <c r="WSW521" s="1362"/>
      <c r="WSX521" s="1368"/>
      <c r="WSY521" s="1363"/>
      <c r="WSZ521" s="1364"/>
      <c r="WTA521" s="1365"/>
      <c r="WTB521" s="1364"/>
      <c r="WTC521" s="1366"/>
      <c r="WTD521" s="1367"/>
      <c r="WTE521" s="1363"/>
      <c r="WTF521" s="1363"/>
      <c r="WTG521" s="1363"/>
      <c r="WTH521" s="1358"/>
      <c r="WTI521" s="1358"/>
      <c r="WTJ521" s="1358"/>
      <c r="WTK521" s="1358"/>
      <c r="WTL521" s="1359"/>
      <c r="WTM521" s="1360"/>
      <c r="WTN521" s="1361"/>
      <c r="WTO521" s="1362"/>
      <c r="WTP521" s="1368"/>
      <c r="WTQ521" s="1363"/>
      <c r="WTR521" s="1364"/>
      <c r="WTS521" s="1365"/>
      <c r="WTT521" s="1364"/>
      <c r="WTU521" s="1366"/>
      <c r="WTV521" s="1367"/>
      <c r="WTW521" s="1363"/>
      <c r="WTX521" s="1363"/>
      <c r="WTY521" s="1363"/>
      <c r="WTZ521" s="1358"/>
      <c r="WUA521" s="1358"/>
      <c r="WUB521" s="1358"/>
      <c r="WUC521" s="1358"/>
      <c r="WUD521" s="1359"/>
      <c r="WUE521" s="1360"/>
      <c r="WUF521" s="1361"/>
      <c r="WUG521" s="1362"/>
      <c r="WUH521" s="1368"/>
      <c r="WUI521" s="1363"/>
      <c r="WUJ521" s="1364"/>
      <c r="WUK521" s="1365"/>
      <c r="WUL521" s="1364"/>
      <c r="WUM521" s="1366"/>
      <c r="WUN521" s="1367"/>
      <c r="WUO521" s="1363"/>
      <c r="WUP521" s="1363"/>
      <c r="WUQ521" s="1363"/>
      <c r="WUR521" s="1358"/>
      <c r="WUS521" s="1358"/>
      <c r="WUT521" s="1358"/>
      <c r="WUU521" s="1358"/>
      <c r="WUV521" s="1359"/>
      <c r="WUW521" s="1360"/>
      <c r="WUX521" s="1361"/>
      <c r="WUY521" s="1362"/>
      <c r="WUZ521" s="1368"/>
      <c r="WVA521" s="1363"/>
      <c r="WVB521" s="1364"/>
      <c r="WVC521" s="1365"/>
      <c r="WVD521" s="1364"/>
      <c r="WVE521" s="1366"/>
      <c r="WVF521" s="1367"/>
      <c r="WVG521" s="1363"/>
      <c r="WVH521" s="1363"/>
      <c r="WVI521" s="1363"/>
      <c r="WVJ521" s="1358"/>
      <c r="WVK521" s="1358"/>
      <c r="WVL521" s="1358"/>
      <c r="WVM521" s="1358"/>
      <c r="WVN521" s="1359"/>
      <c r="WVO521" s="1360"/>
      <c r="WVP521" s="1361"/>
      <c r="WVQ521" s="1362"/>
      <c r="WVR521" s="1368"/>
      <c r="WVS521" s="1363"/>
      <c r="WVT521" s="1364"/>
      <c r="WVU521" s="1365"/>
      <c r="WVV521" s="1364"/>
      <c r="WVW521" s="1366"/>
      <c r="WVX521" s="1367"/>
      <c r="WVY521" s="1363"/>
      <c r="WVZ521" s="1363"/>
      <c r="WWA521" s="1363"/>
      <c r="WWB521" s="1358"/>
      <c r="WWC521" s="1358"/>
      <c r="WWD521" s="1358"/>
      <c r="WWE521" s="1358"/>
      <c r="WWF521" s="1359"/>
      <c r="WWG521" s="1360"/>
      <c r="WWH521" s="1361"/>
      <c r="WWI521" s="1362"/>
      <c r="WWJ521" s="1368"/>
      <c r="WWK521" s="1363"/>
      <c r="WWL521" s="1364"/>
      <c r="WWM521" s="1365"/>
      <c r="WWN521" s="1364"/>
      <c r="WWO521" s="1366"/>
      <c r="WWP521" s="1367"/>
      <c r="WWQ521" s="1363"/>
      <c r="WWR521" s="1363"/>
      <c r="WWS521" s="1363"/>
      <c r="WWT521" s="1358"/>
      <c r="WWU521" s="1358"/>
      <c r="WWV521" s="1358"/>
      <c r="WWW521" s="1358"/>
      <c r="WWX521" s="1359"/>
      <c r="WWY521" s="1360"/>
      <c r="WWZ521" s="1361"/>
      <c r="WXA521" s="1362"/>
      <c r="WXB521" s="1368"/>
      <c r="WXC521" s="1363"/>
      <c r="WXD521" s="1364"/>
      <c r="WXE521" s="1365"/>
      <c r="WXF521" s="1364"/>
      <c r="WXG521" s="1366"/>
      <c r="WXH521" s="1367"/>
      <c r="WXI521" s="1363"/>
      <c r="WXJ521" s="1363"/>
      <c r="WXK521" s="1363"/>
      <c r="WXL521" s="1358"/>
      <c r="WXM521" s="1358"/>
      <c r="WXN521" s="1358"/>
      <c r="WXO521" s="1358"/>
      <c r="WXP521" s="1359"/>
      <c r="WXQ521" s="1360"/>
      <c r="WXR521" s="1361"/>
      <c r="WXS521" s="1362"/>
      <c r="WXT521" s="1368"/>
      <c r="WXU521" s="1363"/>
      <c r="WXV521" s="1364"/>
      <c r="WXW521" s="1365"/>
      <c r="WXX521" s="1364"/>
      <c r="WXY521" s="1366"/>
      <c r="WXZ521" s="1367"/>
      <c r="WYA521" s="1363"/>
      <c r="WYB521" s="1363"/>
      <c r="WYC521" s="1363"/>
      <c r="WYD521" s="1358"/>
      <c r="WYE521" s="1358"/>
      <c r="WYF521" s="1358"/>
      <c r="WYG521" s="1358"/>
      <c r="WYH521" s="1359"/>
      <c r="WYI521" s="1360"/>
      <c r="WYJ521" s="1361"/>
      <c r="WYK521" s="1362"/>
      <c r="WYL521" s="1368"/>
      <c r="WYM521" s="1363"/>
      <c r="WYN521" s="1364"/>
      <c r="WYO521" s="1365"/>
      <c r="WYP521" s="1364"/>
      <c r="WYQ521" s="1366"/>
      <c r="WYR521" s="1367"/>
      <c r="WYS521" s="1363"/>
      <c r="WYT521" s="1363"/>
      <c r="WYU521" s="1363"/>
      <c r="WYV521" s="1358"/>
      <c r="WYW521" s="1358"/>
      <c r="WYX521" s="1358"/>
      <c r="WYY521" s="1358"/>
      <c r="WYZ521" s="1359"/>
      <c r="WZA521" s="1360"/>
      <c r="WZB521" s="1361"/>
      <c r="WZC521" s="1362"/>
      <c r="WZD521" s="1368"/>
      <c r="WZE521" s="1363"/>
      <c r="WZF521" s="1364"/>
      <c r="WZG521" s="1365"/>
      <c r="WZH521" s="1364"/>
      <c r="WZI521" s="1366"/>
      <c r="WZJ521" s="1367"/>
      <c r="WZK521" s="1363"/>
      <c r="WZL521" s="1363"/>
      <c r="WZM521" s="1363"/>
      <c r="WZN521" s="1358"/>
      <c r="WZO521" s="1358"/>
      <c r="WZP521" s="1358"/>
      <c r="WZQ521" s="1358"/>
      <c r="WZR521" s="1359"/>
      <c r="WZS521" s="1360"/>
      <c r="WZT521" s="1361"/>
      <c r="WZU521" s="1362"/>
      <c r="WZV521" s="1368"/>
      <c r="WZW521" s="1363"/>
      <c r="WZX521" s="1364"/>
      <c r="WZY521" s="1365"/>
      <c r="WZZ521" s="1364"/>
      <c r="XAA521" s="1366"/>
      <c r="XAB521" s="1367"/>
      <c r="XAC521" s="1363"/>
      <c r="XAD521" s="1363"/>
      <c r="XAE521" s="1363"/>
      <c r="XAF521" s="1358"/>
      <c r="XAG521" s="1358"/>
      <c r="XAH521" s="1358"/>
      <c r="XAI521" s="1358"/>
      <c r="XAJ521" s="1359"/>
      <c r="XAK521" s="1360"/>
      <c r="XAL521" s="1361"/>
      <c r="XAM521" s="1362"/>
      <c r="XAN521" s="1368"/>
      <c r="XAO521" s="1363"/>
      <c r="XAP521" s="1364"/>
      <c r="XAQ521" s="1365"/>
      <c r="XAR521" s="1364"/>
      <c r="XAS521" s="1366"/>
      <c r="XAT521" s="1367"/>
      <c r="XAU521" s="1363"/>
      <c r="XAV521" s="1363"/>
      <c r="XAW521" s="1363"/>
      <c r="XAX521" s="1358"/>
      <c r="XAY521" s="1358"/>
      <c r="XAZ521" s="1358"/>
      <c r="XBA521" s="1358"/>
      <c r="XBB521" s="1359"/>
      <c r="XBC521" s="1360"/>
      <c r="XBD521" s="1361"/>
      <c r="XBE521" s="1362"/>
      <c r="XBF521" s="1368"/>
      <c r="XBG521" s="1363"/>
      <c r="XBH521" s="1364"/>
      <c r="XBI521" s="1365"/>
      <c r="XBJ521" s="1364"/>
      <c r="XBK521" s="1366"/>
      <c r="XBL521" s="1367"/>
      <c r="XBM521" s="1363"/>
      <c r="XBN521" s="1363"/>
      <c r="XBO521" s="1363"/>
      <c r="XBP521" s="1358"/>
      <c r="XBQ521" s="1358"/>
      <c r="XBR521" s="1358"/>
      <c r="XBS521" s="1358"/>
      <c r="XBT521" s="1359"/>
      <c r="XBU521" s="1360"/>
      <c r="XBV521" s="1361"/>
      <c r="XBW521" s="1362"/>
      <c r="XBX521" s="1368"/>
      <c r="XBY521" s="1363"/>
      <c r="XBZ521" s="1364"/>
      <c r="XCA521" s="1365"/>
      <c r="XCB521" s="1364"/>
      <c r="XCC521" s="1366"/>
      <c r="XCD521" s="1367"/>
      <c r="XCE521" s="1363"/>
      <c r="XCF521" s="1363"/>
      <c r="XCG521" s="1363"/>
      <c r="XCH521" s="1358"/>
      <c r="XCI521" s="1358"/>
      <c r="XCJ521" s="1358"/>
      <c r="XCK521" s="1358"/>
      <c r="XCL521" s="1359"/>
      <c r="XCM521" s="1360"/>
      <c r="XCN521" s="1361"/>
      <c r="XCO521" s="1362"/>
      <c r="XCP521" s="1368"/>
      <c r="XCQ521" s="1363"/>
      <c r="XCR521" s="1364"/>
      <c r="XCS521" s="1365"/>
      <c r="XCT521" s="1364"/>
      <c r="XCU521" s="1366"/>
      <c r="XCV521" s="1367"/>
      <c r="XCW521" s="1363"/>
      <c r="XCX521" s="1363"/>
      <c r="XCY521" s="1363"/>
      <c r="XCZ521" s="1358"/>
      <c r="XDA521" s="1358"/>
      <c r="XDB521" s="1358"/>
      <c r="XDC521" s="1358"/>
      <c r="XDD521" s="1359"/>
      <c r="XDE521" s="1360"/>
      <c r="XDF521" s="1361"/>
      <c r="XDG521" s="1362"/>
      <c r="XDH521" s="1368"/>
      <c r="XDI521" s="1363"/>
      <c r="XDJ521" s="1364"/>
      <c r="XDK521" s="1365"/>
      <c r="XDL521" s="1364"/>
      <c r="XDM521" s="1366"/>
      <c r="XDN521" s="1367"/>
      <c r="XDO521" s="1363"/>
      <c r="XDP521" s="1363"/>
      <c r="XDQ521" s="1363"/>
      <c r="XDR521" s="1358"/>
      <c r="XDS521" s="1358"/>
      <c r="XDT521" s="1358"/>
      <c r="XDU521" s="1358"/>
      <c r="XDV521" s="1359"/>
      <c r="XDW521" s="1360"/>
      <c r="XDX521" s="1361"/>
      <c r="XDY521" s="1362"/>
      <c r="XDZ521" s="1368"/>
      <c r="XEA521" s="1363"/>
      <c r="XEB521" s="1364"/>
      <c r="XEC521" s="1365"/>
      <c r="XED521" s="1364"/>
      <c r="XEE521" s="1366"/>
      <c r="XEF521" s="1367"/>
      <c r="XEG521" s="1363"/>
      <c r="XEH521" s="1363"/>
      <c r="XEI521" s="1363"/>
      <c r="XEJ521" s="1358"/>
      <c r="XEK521" s="1358"/>
      <c r="XEL521" s="1358"/>
      <c r="XEM521" s="1358"/>
      <c r="XEN521" s="1359"/>
      <c r="XEO521" s="1360"/>
      <c r="XEP521" s="1361"/>
      <c r="XEQ521" s="1362"/>
      <c r="XER521" s="1368"/>
      <c r="XES521" s="1363"/>
      <c r="XET521" s="1364"/>
      <c r="XEU521" s="1365"/>
      <c r="XEV521" s="1364"/>
      <c r="XEW521" s="1366"/>
      <c r="XEX521" s="1367"/>
      <c r="XEY521" s="1363"/>
      <c r="XEZ521" s="1363"/>
      <c r="XFA521" s="1363"/>
    </row>
    <row r="522" spans="1:16381" s="1414" customFormat="1" ht="28.8" x14ac:dyDescent="0.3">
      <c r="A522" s="1358" t="s">
        <v>264</v>
      </c>
      <c r="B522" s="1359" t="s">
        <v>280</v>
      </c>
      <c r="C522" s="1360" t="s">
        <v>3863</v>
      </c>
      <c r="D522" s="1361" t="s">
        <v>34</v>
      </c>
      <c r="E522" s="1362" t="s">
        <v>282</v>
      </c>
      <c r="F522" s="1368" t="s">
        <v>285</v>
      </c>
      <c r="G522" s="1363">
        <v>1.1399999999999999</v>
      </c>
      <c r="H522" s="1364">
        <v>41488.870000000003</v>
      </c>
      <c r="I522" s="1365" t="s">
        <v>267</v>
      </c>
      <c r="J522" s="1364">
        <v>41488.870000000003</v>
      </c>
      <c r="K522" s="1366">
        <v>0</v>
      </c>
      <c r="L522" s="1367">
        <v>0</v>
      </c>
      <c r="M522" s="1363" t="s">
        <v>54</v>
      </c>
      <c r="N522" s="1363" t="s">
        <v>3754</v>
      </c>
      <c r="O522" s="1363" t="s">
        <v>3864</v>
      </c>
      <c r="P522" s="1358" t="s">
        <v>40</v>
      </c>
      <c r="Q522" s="1358"/>
      <c r="R522" s="1358" t="s">
        <v>64</v>
      </c>
      <c r="S522" s="1358"/>
      <c r="T522" s="1358"/>
      <c r="U522" s="1358"/>
      <c r="V522" s="1358" t="s">
        <v>40</v>
      </c>
      <c r="W522" s="1358"/>
      <c r="X522" s="1358" t="s">
        <v>40</v>
      </c>
      <c r="Y522" s="1358"/>
      <c r="Z522" s="1358" t="s">
        <v>64</v>
      </c>
      <c r="AA522" s="1358"/>
      <c r="AB522" s="1358" t="s">
        <v>40</v>
      </c>
      <c r="AC522" s="1358"/>
      <c r="AD522" s="1358"/>
      <c r="AE522" s="1598">
        <v>46203</v>
      </c>
      <c r="AF522" s="1358" t="s">
        <v>247</v>
      </c>
      <c r="AG522" s="1358">
        <v>2023</v>
      </c>
      <c r="AH522" s="1364">
        <v>205291.07</v>
      </c>
      <c r="AI522" s="1564">
        <v>1840519245095</v>
      </c>
      <c r="AJ522" s="1358"/>
      <c r="AK522" s="1358" t="s">
        <v>43</v>
      </c>
      <c r="AL522" s="1358" t="s">
        <v>41</v>
      </c>
      <c r="AM522" s="1358">
        <v>0</v>
      </c>
      <c r="AN522" s="1358" t="s">
        <v>40</v>
      </c>
      <c r="AO522" s="1358"/>
      <c r="AP522" s="1358"/>
      <c r="AQ522" s="1358"/>
      <c r="AR522" s="1358"/>
      <c r="AS522" s="1358"/>
      <c r="AT522" s="1358"/>
      <c r="AU522" s="1358"/>
      <c r="AV522" s="1358"/>
      <c r="AW522" s="1358"/>
      <c r="AX522" s="1358"/>
      <c r="AY522" s="1358"/>
      <c r="AZ522" s="1358"/>
      <c r="BA522" s="1358"/>
      <c r="BB522" s="1358"/>
      <c r="BC522" s="1358"/>
      <c r="BD522" s="1358"/>
      <c r="BE522" s="1358"/>
      <c r="BF522" s="1358"/>
      <c r="BG522" s="1358"/>
      <c r="BH522" s="1358"/>
      <c r="BI522" s="1358"/>
      <c r="BJ522" s="1358"/>
      <c r="BK522" s="1358"/>
      <c r="BL522" s="1358"/>
      <c r="BM522" s="1358"/>
      <c r="BN522" s="1358"/>
      <c r="BO522" s="1358"/>
      <c r="BP522" s="1358"/>
      <c r="BQ522" s="1358"/>
      <c r="BR522" s="1358"/>
      <c r="BS522" s="1358"/>
      <c r="BT522" s="1358"/>
      <c r="BU522" s="1358"/>
      <c r="BV522" s="1358"/>
      <c r="BW522" s="1358"/>
      <c r="BX522" s="1358"/>
      <c r="BY522" s="1358"/>
      <c r="BZ522" s="1358"/>
      <c r="CA522" s="1358"/>
      <c r="CB522" s="1358"/>
      <c r="CC522" s="1358"/>
      <c r="CD522" s="1358"/>
      <c r="CE522" s="1358"/>
      <c r="CF522" s="1358"/>
      <c r="CG522" s="1358"/>
      <c r="CH522" s="1358"/>
      <c r="CI522" s="1358"/>
      <c r="CJ522" s="1358"/>
      <c r="CK522" s="1358"/>
      <c r="CL522" s="1358"/>
      <c r="CM522" s="1358"/>
      <c r="CN522" s="1358"/>
      <c r="CO522" s="1358"/>
      <c r="CP522" s="1358"/>
      <c r="CQ522" s="1358"/>
      <c r="CR522" s="1358"/>
      <c r="CS522" s="1358"/>
      <c r="CT522" s="1358"/>
      <c r="CU522" s="1358"/>
      <c r="CV522" s="1358"/>
      <c r="CW522" s="1358"/>
      <c r="CX522" s="1358"/>
      <c r="CY522" s="1358"/>
      <c r="CZ522" s="1358"/>
      <c r="DA522" s="1358"/>
      <c r="DB522" s="1358"/>
      <c r="DC522" s="1358"/>
      <c r="DD522" s="1358"/>
      <c r="DE522" s="1358"/>
      <c r="DF522" s="1358"/>
      <c r="DG522" s="1358"/>
      <c r="DH522" s="1358"/>
      <c r="DI522" s="1358"/>
      <c r="DJ522" s="1358"/>
      <c r="DK522" s="1358"/>
      <c r="DL522" s="1358"/>
      <c r="DM522" s="1358"/>
      <c r="DN522" s="1358"/>
      <c r="DO522" s="1358"/>
      <c r="DP522" s="1358"/>
      <c r="DQ522" s="1358"/>
      <c r="DR522" s="1358"/>
      <c r="DS522" s="1358"/>
      <c r="DT522" s="1358"/>
      <c r="DU522" s="1358"/>
      <c r="DV522" s="1358"/>
      <c r="DW522" s="1358"/>
      <c r="DX522" s="1358"/>
      <c r="DY522" s="1358"/>
      <c r="DZ522" s="1358"/>
      <c r="EA522" s="1358"/>
      <c r="EB522" s="1358"/>
      <c r="EC522" s="1358"/>
      <c r="ED522" s="1358"/>
      <c r="EE522" s="1358"/>
      <c r="EF522" s="1358"/>
      <c r="EG522" s="1358"/>
      <c r="EH522" s="1358"/>
      <c r="EI522" s="1358"/>
      <c r="EJ522" s="1358"/>
      <c r="EK522" s="1358"/>
      <c r="EL522" s="1358"/>
      <c r="EM522" s="1358"/>
      <c r="EN522" s="1358"/>
      <c r="EO522" s="1358"/>
      <c r="EP522" s="1358"/>
      <c r="EQ522" s="1358"/>
      <c r="ER522" s="1358"/>
      <c r="ES522" s="1358"/>
      <c r="ET522" s="1358"/>
      <c r="EU522" s="1358"/>
      <c r="EV522" s="1358"/>
      <c r="EW522" s="1358"/>
      <c r="EX522" s="1358"/>
      <c r="EY522" s="1358"/>
      <c r="EZ522" s="1358"/>
      <c r="FA522" s="1358"/>
      <c r="FB522" s="1358"/>
      <c r="FC522" s="1358"/>
      <c r="FD522" s="1358"/>
      <c r="FE522" s="1358"/>
      <c r="FF522" s="1358"/>
      <c r="FG522" s="1358"/>
      <c r="FH522" s="1358"/>
      <c r="FI522" s="1358"/>
      <c r="FJ522" s="1358"/>
      <c r="FK522" s="1358"/>
      <c r="FL522" s="1358"/>
      <c r="FM522" s="1358"/>
      <c r="FN522" s="1358"/>
      <c r="FO522" s="1358"/>
      <c r="FP522" s="1358"/>
      <c r="FQ522" s="1358"/>
      <c r="FR522" s="1358"/>
      <c r="FS522" s="1358"/>
      <c r="FT522" s="1358"/>
      <c r="FU522" s="1358"/>
      <c r="FV522" s="1358"/>
      <c r="FW522" s="1358"/>
      <c r="FX522" s="1358"/>
      <c r="FY522" s="1358"/>
      <c r="FZ522" s="1358"/>
      <c r="GA522" s="1358"/>
      <c r="GB522" s="1358"/>
      <c r="GC522" s="1358"/>
      <c r="GD522" s="1358"/>
      <c r="GE522" s="1358"/>
      <c r="GF522" s="1358"/>
      <c r="GG522" s="1358"/>
      <c r="GH522" s="1358"/>
      <c r="GI522" s="1358"/>
      <c r="GJ522" s="1358"/>
      <c r="GK522" s="1358"/>
      <c r="GL522" s="1358"/>
      <c r="GM522" s="1358"/>
      <c r="GN522" s="1358"/>
      <c r="GO522" s="1358"/>
      <c r="GP522" s="1358"/>
      <c r="GQ522" s="1358"/>
      <c r="GR522" s="1358"/>
      <c r="GS522" s="1358"/>
      <c r="GT522" s="1358"/>
      <c r="GU522" s="1358"/>
      <c r="GV522" s="1358"/>
      <c r="GW522" s="1358"/>
      <c r="GX522" s="1358"/>
      <c r="GY522" s="1358"/>
      <c r="GZ522" s="1358"/>
      <c r="HA522" s="1358"/>
      <c r="HB522" s="1358"/>
      <c r="HC522" s="1358"/>
      <c r="HD522" s="1358"/>
      <c r="HE522" s="1358"/>
      <c r="HF522" s="1358"/>
      <c r="HG522" s="1358"/>
      <c r="HH522" s="1358"/>
      <c r="HI522" s="1358"/>
      <c r="HJ522" s="1358"/>
      <c r="HK522" s="1358"/>
      <c r="HL522" s="1358"/>
      <c r="HM522" s="1358"/>
      <c r="HN522" s="1358"/>
      <c r="HO522" s="1358"/>
      <c r="HP522" s="1358"/>
      <c r="HQ522" s="1358"/>
      <c r="HR522" s="1358"/>
      <c r="HS522" s="1358"/>
      <c r="HT522" s="1358"/>
      <c r="HU522" s="1358"/>
      <c r="HV522" s="1358"/>
      <c r="HW522" s="1358"/>
      <c r="HX522" s="1358"/>
      <c r="HY522" s="1358"/>
      <c r="HZ522" s="1358"/>
      <c r="IA522" s="1358"/>
      <c r="IB522" s="1358"/>
      <c r="IC522" s="1358"/>
      <c r="ID522" s="1358"/>
      <c r="IE522" s="1358"/>
      <c r="IF522" s="1358"/>
      <c r="IG522" s="1358"/>
      <c r="IH522" s="1358"/>
      <c r="II522" s="1358"/>
      <c r="IJ522" s="1358"/>
      <c r="IK522" s="1358"/>
      <c r="IL522" s="1358"/>
      <c r="IM522" s="1358"/>
      <c r="IN522" s="1358"/>
      <c r="IO522" s="1358"/>
      <c r="IP522" s="1358"/>
      <c r="IQ522" s="1358"/>
      <c r="IR522" s="1358"/>
      <c r="IS522" s="1358"/>
      <c r="IT522" s="1358"/>
      <c r="IU522" s="1358"/>
      <c r="IV522" s="1358"/>
      <c r="IW522" s="1358"/>
      <c r="IX522" s="1358"/>
      <c r="IY522" s="1358"/>
      <c r="IZ522" s="1358"/>
      <c r="JA522" s="1358"/>
      <c r="JB522" s="1358"/>
      <c r="JC522" s="1358"/>
      <c r="JD522" s="1358"/>
      <c r="JE522" s="1358"/>
      <c r="JF522" s="1358"/>
      <c r="JG522" s="1358"/>
      <c r="JH522" s="1358"/>
      <c r="JI522" s="1358"/>
      <c r="JJ522" s="1358"/>
      <c r="JK522" s="1358"/>
      <c r="JL522" s="1358"/>
      <c r="JM522" s="1358"/>
      <c r="JN522" s="1358"/>
      <c r="JO522" s="1358"/>
      <c r="JP522" s="1358"/>
      <c r="JQ522" s="1358"/>
      <c r="JR522" s="1358"/>
      <c r="JS522" s="1358"/>
      <c r="JT522" s="1358"/>
      <c r="JU522" s="1358"/>
      <c r="JV522" s="1358"/>
      <c r="JW522" s="1358"/>
      <c r="JX522" s="1358"/>
      <c r="JY522" s="1358"/>
      <c r="JZ522" s="1358"/>
      <c r="KA522" s="1358"/>
      <c r="KB522" s="1358"/>
      <c r="KC522" s="1358"/>
      <c r="KD522" s="1358"/>
      <c r="KE522" s="1358"/>
      <c r="KF522" s="1358"/>
      <c r="KG522" s="1358"/>
      <c r="KH522" s="1358"/>
      <c r="KI522" s="1358"/>
      <c r="KJ522" s="1358"/>
      <c r="KK522" s="1358"/>
      <c r="KL522" s="1358"/>
      <c r="KM522" s="1358"/>
      <c r="KN522" s="1358"/>
      <c r="KO522" s="1358"/>
      <c r="KP522" s="1358"/>
      <c r="KQ522" s="1358"/>
      <c r="KR522" s="1358"/>
      <c r="KS522" s="1358"/>
      <c r="KT522" s="1358"/>
      <c r="KU522" s="1358"/>
      <c r="KV522" s="1358"/>
      <c r="KW522" s="1358"/>
      <c r="KX522" s="1358"/>
      <c r="KY522" s="1358"/>
      <c r="KZ522" s="1358"/>
      <c r="LA522" s="1358"/>
      <c r="LB522" s="1358"/>
      <c r="LC522" s="1358"/>
      <c r="LD522" s="1358"/>
      <c r="LE522" s="1358"/>
      <c r="LF522" s="1358"/>
      <c r="LG522" s="1358"/>
      <c r="LH522" s="1358"/>
      <c r="LI522" s="1358"/>
      <c r="LJ522" s="1358"/>
      <c r="LK522" s="1358"/>
      <c r="LL522" s="1358"/>
      <c r="LM522" s="1358"/>
      <c r="LN522" s="1358"/>
      <c r="LO522" s="1358"/>
      <c r="LP522" s="1358"/>
      <c r="LQ522" s="1358"/>
      <c r="LR522" s="1358"/>
      <c r="LS522" s="1358"/>
      <c r="LT522" s="1358"/>
      <c r="LU522" s="1358"/>
      <c r="LV522" s="1358"/>
      <c r="LW522" s="1358"/>
      <c r="LX522" s="1358"/>
      <c r="LY522" s="1358"/>
      <c r="LZ522" s="1358"/>
      <c r="MA522" s="1358"/>
      <c r="MB522" s="1358"/>
      <c r="MC522" s="1358"/>
      <c r="MD522" s="1358"/>
      <c r="ME522" s="1358"/>
      <c r="MF522" s="1358"/>
      <c r="MG522" s="1358"/>
      <c r="MH522" s="1358"/>
      <c r="MI522" s="1358"/>
      <c r="MJ522" s="1358"/>
      <c r="MK522" s="1358"/>
      <c r="ML522" s="1358"/>
      <c r="MM522" s="1358"/>
      <c r="MN522" s="1358"/>
      <c r="MO522" s="1358"/>
      <c r="MP522" s="1358"/>
      <c r="MQ522" s="1358"/>
      <c r="MR522" s="1358"/>
      <c r="MS522" s="1358"/>
      <c r="MT522" s="1358"/>
      <c r="MU522" s="1358"/>
      <c r="MV522" s="1358"/>
      <c r="MW522" s="1358"/>
      <c r="MX522" s="1358"/>
      <c r="MY522" s="1358"/>
      <c r="MZ522" s="1358"/>
      <c r="NA522" s="1358"/>
      <c r="NB522" s="1358"/>
      <c r="NC522" s="1358"/>
      <c r="ND522" s="1358"/>
      <c r="NE522" s="1358"/>
      <c r="NF522" s="1358"/>
      <c r="NG522" s="1358"/>
      <c r="NH522" s="1358"/>
      <c r="NI522" s="1358"/>
      <c r="NJ522" s="1358"/>
      <c r="NK522" s="1358"/>
      <c r="NL522" s="1358"/>
      <c r="NM522" s="1358"/>
      <c r="NN522" s="1358"/>
      <c r="NO522" s="1358"/>
      <c r="NP522" s="1358"/>
      <c r="NQ522" s="1358"/>
      <c r="NR522" s="1358"/>
      <c r="NS522" s="1358"/>
      <c r="NT522" s="1358"/>
      <c r="NU522" s="1358"/>
      <c r="NV522" s="1358"/>
      <c r="NW522" s="1358"/>
      <c r="NX522" s="1358"/>
      <c r="NY522" s="1358"/>
      <c r="NZ522" s="1358"/>
      <c r="OA522" s="1358"/>
      <c r="OB522" s="1358"/>
      <c r="OC522" s="1358"/>
      <c r="OD522" s="1358"/>
      <c r="OE522" s="1358"/>
      <c r="OF522" s="1358"/>
      <c r="OG522" s="1358"/>
      <c r="OH522" s="1358"/>
      <c r="OI522" s="1358"/>
      <c r="OJ522" s="1358"/>
      <c r="OK522" s="1358"/>
      <c r="OL522" s="1358"/>
      <c r="OM522" s="1358"/>
      <c r="ON522" s="1358"/>
      <c r="OO522" s="1358"/>
      <c r="OP522" s="1358"/>
      <c r="OQ522" s="1358"/>
      <c r="OR522" s="1358"/>
      <c r="OS522" s="1358"/>
      <c r="OT522" s="1358"/>
      <c r="OU522" s="1358"/>
      <c r="OV522" s="1358"/>
      <c r="OW522" s="1358"/>
      <c r="OX522" s="1358"/>
      <c r="OY522" s="1358"/>
      <c r="OZ522" s="1358"/>
      <c r="PA522" s="1358"/>
      <c r="PB522" s="1358"/>
      <c r="PC522" s="1358"/>
      <c r="PD522" s="1358"/>
      <c r="PE522" s="1358"/>
      <c r="PF522" s="1358"/>
      <c r="PG522" s="1358"/>
      <c r="PH522" s="1358"/>
      <c r="PI522" s="1358"/>
      <c r="PJ522" s="1358"/>
      <c r="PK522" s="1358"/>
      <c r="PL522" s="1358"/>
      <c r="PM522" s="1358"/>
      <c r="PN522" s="1358"/>
      <c r="PO522" s="1358"/>
      <c r="PP522" s="1358"/>
      <c r="PQ522" s="1358"/>
      <c r="PR522" s="1358"/>
      <c r="PS522" s="1358"/>
      <c r="PT522" s="1358"/>
      <c r="PU522" s="1358"/>
      <c r="PV522" s="1358"/>
      <c r="PW522" s="1358"/>
      <c r="PX522" s="1358"/>
      <c r="PY522" s="1358"/>
      <c r="PZ522" s="1358"/>
      <c r="QA522" s="1358"/>
      <c r="QB522" s="1358"/>
      <c r="QC522" s="1358"/>
      <c r="QD522" s="1358"/>
      <c r="QE522" s="1358"/>
      <c r="QF522" s="1358"/>
      <c r="QG522" s="1358"/>
      <c r="QH522" s="1358"/>
      <c r="QI522" s="1358"/>
      <c r="QJ522" s="1358"/>
      <c r="QK522" s="1358"/>
      <c r="QL522" s="1358"/>
      <c r="QM522" s="1358"/>
      <c r="QN522" s="1358"/>
      <c r="QO522" s="1358"/>
      <c r="QP522" s="1358"/>
      <c r="QQ522" s="1358"/>
      <c r="QR522" s="1358"/>
      <c r="QS522" s="1358"/>
      <c r="QT522" s="1358"/>
      <c r="QU522" s="1358"/>
      <c r="QV522" s="1358"/>
      <c r="QW522" s="1358"/>
      <c r="QX522" s="1358"/>
      <c r="QY522" s="1358"/>
      <c r="QZ522" s="1358"/>
      <c r="RA522" s="1358"/>
      <c r="RB522" s="1358"/>
      <c r="RC522" s="1358"/>
      <c r="RD522" s="1358"/>
      <c r="RE522" s="1358"/>
      <c r="RF522" s="1358"/>
      <c r="RG522" s="1358"/>
      <c r="RH522" s="1358"/>
      <c r="RI522" s="1358"/>
      <c r="RJ522" s="1358"/>
      <c r="RK522" s="1358"/>
      <c r="RL522" s="1358"/>
      <c r="RM522" s="1358"/>
      <c r="RN522" s="1358"/>
      <c r="RO522" s="1358"/>
      <c r="RP522" s="1358"/>
      <c r="RQ522" s="1358"/>
      <c r="RR522" s="1358"/>
      <c r="RS522" s="1358"/>
      <c r="RT522" s="1358"/>
      <c r="RU522" s="1358"/>
      <c r="RV522" s="1358"/>
      <c r="RW522" s="1358"/>
      <c r="RX522" s="1358"/>
      <c r="RY522" s="1358"/>
      <c r="RZ522" s="1358"/>
      <c r="SA522" s="1358"/>
      <c r="SB522" s="1358"/>
      <c r="SC522" s="1358"/>
      <c r="SD522" s="1358"/>
      <c r="SE522" s="1358"/>
      <c r="SF522" s="1358"/>
      <c r="SG522" s="1358"/>
      <c r="SH522" s="1358"/>
      <c r="SI522" s="1358"/>
      <c r="SJ522" s="1358"/>
      <c r="SK522" s="1358"/>
      <c r="SL522" s="1358"/>
      <c r="SM522" s="1358"/>
      <c r="SN522" s="1358"/>
      <c r="SO522" s="1358"/>
      <c r="SP522" s="1358"/>
      <c r="SQ522" s="1358"/>
      <c r="SR522" s="1358"/>
      <c r="SS522" s="1358"/>
      <c r="ST522" s="1358"/>
      <c r="SU522" s="1358"/>
      <c r="SV522" s="1358"/>
      <c r="SW522" s="1358"/>
      <c r="SX522" s="1358"/>
      <c r="SY522" s="1358"/>
      <c r="SZ522" s="1358"/>
      <c r="TA522" s="1358"/>
      <c r="TB522" s="1358"/>
      <c r="TC522" s="1358"/>
      <c r="TD522" s="1358"/>
      <c r="TE522" s="1358"/>
      <c r="TF522" s="1358"/>
      <c r="TG522" s="1358"/>
      <c r="TH522" s="1358"/>
      <c r="TI522" s="1358"/>
      <c r="TJ522" s="1358"/>
      <c r="TK522" s="1358"/>
      <c r="TL522" s="1358"/>
      <c r="TM522" s="1358"/>
      <c r="TN522" s="1358"/>
      <c r="TO522" s="1358"/>
      <c r="TP522" s="1358"/>
      <c r="TQ522" s="1358"/>
      <c r="TR522" s="1358"/>
      <c r="TS522" s="1358"/>
      <c r="TT522" s="1358"/>
      <c r="TU522" s="1358"/>
      <c r="TV522" s="1358"/>
      <c r="TW522" s="1358"/>
      <c r="TX522" s="1358"/>
      <c r="TY522" s="1358"/>
      <c r="TZ522" s="1358"/>
      <c r="UA522" s="1358"/>
      <c r="UB522" s="1358"/>
      <c r="UC522" s="1358"/>
      <c r="UD522" s="1358"/>
      <c r="UE522" s="1358"/>
      <c r="UF522" s="1358"/>
      <c r="UG522" s="1358"/>
      <c r="UH522" s="1358"/>
      <c r="UI522" s="1358"/>
      <c r="UJ522" s="1358"/>
      <c r="UK522" s="1358"/>
      <c r="UL522" s="1358"/>
      <c r="UM522" s="1358"/>
      <c r="UN522" s="1358"/>
      <c r="UO522" s="1358"/>
      <c r="UP522" s="1358"/>
      <c r="UQ522" s="1358"/>
      <c r="UR522" s="1358"/>
      <c r="US522" s="1358"/>
      <c r="UT522" s="1358"/>
      <c r="UU522" s="1358"/>
      <c r="UV522" s="1358"/>
      <c r="UW522" s="1358"/>
      <c r="UX522" s="1358"/>
      <c r="UY522" s="1358"/>
      <c r="UZ522" s="1358"/>
      <c r="VA522" s="1358"/>
      <c r="VB522" s="1358"/>
      <c r="VC522" s="1358"/>
      <c r="VD522" s="1358"/>
      <c r="VE522" s="1358"/>
      <c r="VF522" s="1358"/>
      <c r="VG522" s="1358"/>
      <c r="VH522" s="1358"/>
      <c r="VI522" s="1358"/>
      <c r="VJ522" s="1358"/>
      <c r="VK522" s="1358"/>
      <c r="VL522" s="1358"/>
      <c r="VM522" s="1358"/>
      <c r="VN522" s="1358"/>
      <c r="VO522" s="1358"/>
      <c r="VP522" s="1358"/>
      <c r="VQ522" s="1358"/>
      <c r="VR522" s="1358"/>
      <c r="VS522" s="1358"/>
      <c r="VT522" s="1358"/>
      <c r="VU522" s="1358"/>
      <c r="VV522" s="1358"/>
      <c r="VW522" s="1358"/>
      <c r="VX522" s="1358"/>
      <c r="VY522" s="1358"/>
      <c r="VZ522" s="1358"/>
      <c r="WA522" s="1358"/>
      <c r="WB522" s="1358"/>
      <c r="WC522" s="1358"/>
      <c r="WD522" s="1358"/>
      <c r="WE522" s="1358"/>
      <c r="WF522" s="1358"/>
      <c r="WG522" s="1358"/>
      <c r="WH522" s="1358"/>
      <c r="WI522" s="1358"/>
      <c r="WJ522" s="1358"/>
      <c r="WK522" s="1358"/>
      <c r="WL522" s="1358"/>
      <c r="WM522" s="1358"/>
      <c r="WN522" s="1358"/>
      <c r="WO522" s="1358"/>
      <c r="WP522" s="1358"/>
      <c r="WQ522" s="1358"/>
      <c r="WR522" s="1358"/>
      <c r="WS522" s="1358"/>
      <c r="WT522" s="1358"/>
      <c r="WU522" s="1358"/>
      <c r="WV522" s="1358"/>
      <c r="WW522" s="1358"/>
      <c r="WX522" s="1358"/>
      <c r="WY522" s="1358"/>
      <c r="WZ522" s="1358"/>
      <c r="XA522" s="1358"/>
      <c r="XB522" s="1358"/>
      <c r="XC522" s="1358"/>
      <c r="XD522" s="1358"/>
      <c r="XE522" s="1358"/>
      <c r="XF522" s="1358"/>
      <c r="XG522" s="1358"/>
      <c r="XH522" s="1358"/>
      <c r="XI522" s="1358"/>
      <c r="XJ522" s="1358"/>
      <c r="XK522" s="1358"/>
      <c r="XL522" s="1358"/>
      <c r="XM522" s="1358"/>
      <c r="XN522" s="1358"/>
      <c r="XO522" s="1358"/>
      <c r="XP522" s="1358"/>
      <c r="XQ522" s="1358"/>
      <c r="XR522" s="1358"/>
      <c r="XS522" s="1358"/>
      <c r="XT522" s="1358"/>
      <c r="XU522" s="1358"/>
      <c r="XV522" s="1358"/>
      <c r="XW522" s="1358"/>
      <c r="XX522" s="1358"/>
      <c r="XY522" s="1358"/>
      <c r="XZ522" s="1358"/>
      <c r="YA522" s="1358"/>
      <c r="YB522" s="1358"/>
      <c r="YC522" s="1358"/>
      <c r="YD522" s="1358"/>
      <c r="YE522" s="1358"/>
      <c r="YF522" s="1358"/>
      <c r="YG522" s="1358"/>
      <c r="YH522" s="1358"/>
      <c r="YI522" s="1358"/>
      <c r="YJ522" s="1358"/>
      <c r="YK522" s="1358"/>
      <c r="YL522" s="1358"/>
      <c r="YM522" s="1358"/>
      <c r="YN522" s="1358"/>
      <c r="YO522" s="1358"/>
      <c r="YP522" s="1358"/>
      <c r="YQ522" s="1358"/>
      <c r="YR522" s="1358"/>
      <c r="YS522" s="1358"/>
      <c r="YT522" s="1358"/>
      <c r="YU522" s="1358"/>
      <c r="YV522" s="1358"/>
      <c r="YW522" s="1358"/>
      <c r="YX522" s="1358"/>
      <c r="YY522" s="1358"/>
      <c r="YZ522" s="1358"/>
      <c r="ZA522" s="1358"/>
      <c r="ZB522" s="1358"/>
      <c r="ZC522" s="1358"/>
      <c r="ZD522" s="1358"/>
      <c r="ZE522" s="1358"/>
      <c r="ZF522" s="1358"/>
      <c r="ZG522" s="1358"/>
      <c r="ZH522" s="1358"/>
      <c r="ZI522" s="1358"/>
      <c r="ZJ522" s="1358"/>
      <c r="ZK522" s="1358"/>
      <c r="ZL522" s="1358"/>
      <c r="ZM522" s="1358"/>
      <c r="ZN522" s="1358"/>
      <c r="ZO522" s="1358"/>
      <c r="ZP522" s="1358"/>
      <c r="ZQ522" s="1358"/>
      <c r="ZR522" s="1358"/>
      <c r="ZS522" s="1358"/>
      <c r="ZT522" s="1358"/>
      <c r="ZU522" s="1358"/>
      <c r="ZV522" s="1358"/>
      <c r="ZW522" s="1358"/>
      <c r="ZX522" s="1358"/>
      <c r="ZY522" s="1358"/>
      <c r="ZZ522" s="1358"/>
      <c r="AAA522" s="1358"/>
      <c r="AAB522" s="1358"/>
      <c r="AAC522" s="1358"/>
      <c r="AAD522" s="1358"/>
      <c r="AAE522" s="1358"/>
      <c r="AAF522" s="1358"/>
      <c r="AAG522" s="1358"/>
      <c r="AAH522" s="1358"/>
      <c r="AAI522" s="1358"/>
      <c r="AAJ522" s="1358"/>
      <c r="AAK522" s="1358"/>
      <c r="AAL522" s="1358"/>
      <c r="AAM522" s="1358"/>
      <c r="AAN522" s="1358"/>
      <c r="AAO522" s="1358"/>
      <c r="AAP522" s="1358"/>
      <c r="AAQ522" s="1358"/>
      <c r="AAR522" s="1358"/>
      <c r="AAS522" s="1358"/>
      <c r="AAT522" s="1358"/>
      <c r="AAU522" s="1358"/>
      <c r="AAV522" s="1358"/>
      <c r="AAW522" s="1358"/>
      <c r="AAX522" s="1358"/>
      <c r="AAY522" s="1358"/>
      <c r="AAZ522" s="1358"/>
      <c r="ABA522" s="1358"/>
      <c r="ABB522" s="1358"/>
      <c r="ABC522" s="1358"/>
      <c r="ABD522" s="1358"/>
      <c r="ABE522" s="1358"/>
      <c r="ABF522" s="1358"/>
      <c r="ABG522" s="1358"/>
      <c r="ABH522" s="1358"/>
      <c r="ABI522" s="1358"/>
      <c r="ABJ522" s="1358"/>
      <c r="ABK522" s="1358"/>
      <c r="ABL522" s="1358"/>
      <c r="ABM522" s="1358"/>
      <c r="ABN522" s="1358"/>
      <c r="ABO522" s="1358"/>
      <c r="ABP522" s="1358"/>
      <c r="ABQ522" s="1358"/>
      <c r="ABR522" s="1358"/>
      <c r="ABS522" s="1358"/>
      <c r="ABT522" s="1358"/>
      <c r="ABU522" s="1358"/>
      <c r="ABV522" s="1358"/>
      <c r="ABW522" s="1358"/>
      <c r="ABX522" s="1358"/>
      <c r="ABY522" s="1358"/>
      <c r="ABZ522" s="1358"/>
      <c r="ACA522" s="1358"/>
      <c r="ACB522" s="1358"/>
      <c r="ACC522" s="1358"/>
      <c r="ACD522" s="1358"/>
      <c r="ACE522" s="1358"/>
      <c r="ACF522" s="1358"/>
      <c r="ACG522" s="1358"/>
      <c r="ACH522" s="1358"/>
      <c r="ACI522" s="1358"/>
      <c r="ACJ522" s="1358"/>
      <c r="ACK522" s="1358"/>
      <c r="ACL522" s="1358"/>
      <c r="ACM522" s="1358"/>
      <c r="ACN522" s="1358"/>
      <c r="ACO522" s="1358"/>
      <c r="ACP522" s="1358"/>
      <c r="ACQ522" s="1358"/>
      <c r="ACR522" s="1358"/>
      <c r="ACS522" s="1358"/>
      <c r="ACT522" s="1358"/>
      <c r="ACU522" s="1358"/>
      <c r="ACV522" s="1358"/>
      <c r="ACW522" s="1358"/>
      <c r="ACX522" s="1358"/>
      <c r="ACY522" s="1358"/>
      <c r="ACZ522" s="1358"/>
      <c r="ADA522" s="1358"/>
      <c r="ADB522" s="1358"/>
      <c r="ADC522" s="1358"/>
      <c r="ADD522" s="1358"/>
      <c r="ADE522" s="1358"/>
      <c r="ADF522" s="1358"/>
      <c r="ADG522" s="1358"/>
      <c r="ADH522" s="1358"/>
      <c r="ADI522" s="1358"/>
      <c r="ADJ522" s="1358"/>
      <c r="ADK522" s="1358"/>
      <c r="ADL522" s="1358"/>
      <c r="ADM522" s="1358"/>
      <c r="ADN522" s="1358"/>
      <c r="ADO522" s="1358"/>
      <c r="ADP522" s="1358"/>
      <c r="ADQ522" s="1358"/>
      <c r="ADR522" s="1358"/>
      <c r="ADS522" s="1358"/>
      <c r="ADT522" s="1358"/>
      <c r="ADU522" s="1358"/>
      <c r="ADV522" s="1358"/>
      <c r="ADW522" s="1358"/>
      <c r="ADX522" s="1358"/>
      <c r="ADY522" s="1358"/>
      <c r="ADZ522" s="1358"/>
      <c r="AEA522" s="1358"/>
      <c r="AEB522" s="1358"/>
      <c r="AEC522" s="1358"/>
      <c r="AED522" s="1358"/>
      <c r="AEE522" s="1358"/>
      <c r="AEF522" s="1358"/>
      <c r="AEG522" s="1358"/>
      <c r="AEH522" s="1358"/>
      <c r="AEI522" s="1358"/>
      <c r="AEJ522" s="1358"/>
      <c r="AEK522" s="1358"/>
      <c r="AEL522" s="1358"/>
      <c r="AEM522" s="1358"/>
      <c r="AEN522" s="1358"/>
      <c r="AEO522" s="1358"/>
      <c r="AEP522" s="1358"/>
      <c r="AEQ522" s="1358"/>
      <c r="AER522" s="1358"/>
      <c r="AES522" s="1358"/>
      <c r="AET522" s="1358"/>
      <c r="AEU522" s="1358"/>
      <c r="AEV522" s="1358"/>
      <c r="AEW522" s="1358"/>
      <c r="AEX522" s="1358"/>
      <c r="AEY522" s="1358"/>
      <c r="AEZ522" s="1358"/>
      <c r="AFA522" s="1358"/>
      <c r="AFB522" s="1358"/>
      <c r="AFC522" s="1358"/>
      <c r="AFD522" s="1358"/>
      <c r="AFE522" s="1358"/>
      <c r="AFF522" s="1358"/>
      <c r="AFG522" s="1358"/>
      <c r="AFH522" s="1358"/>
      <c r="AFI522" s="1358"/>
      <c r="AFJ522" s="1358"/>
      <c r="AFK522" s="1358"/>
      <c r="AFL522" s="1358"/>
      <c r="AFM522" s="1358"/>
      <c r="AFN522" s="1358"/>
      <c r="AFO522" s="1358"/>
      <c r="AFP522" s="1358"/>
      <c r="AFQ522" s="1358"/>
      <c r="AFR522" s="1358"/>
      <c r="AFS522" s="1358"/>
      <c r="AFT522" s="1358"/>
      <c r="AFU522" s="1358"/>
      <c r="AFV522" s="1358"/>
      <c r="AFW522" s="1358"/>
      <c r="AFX522" s="1358"/>
      <c r="AFY522" s="1358"/>
      <c r="AFZ522" s="1358"/>
      <c r="AGA522" s="1358"/>
      <c r="AGB522" s="1358"/>
      <c r="AGC522" s="1358"/>
      <c r="AGD522" s="1358"/>
      <c r="AGE522" s="1358"/>
      <c r="AGF522" s="1358"/>
      <c r="AGG522" s="1358"/>
      <c r="AGH522" s="1358"/>
      <c r="AGI522" s="1358"/>
      <c r="AGJ522" s="1358"/>
      <c r="AGK522" s="1358"/>
      <c r="AGL522" s="1358"/>
      <c r="AGM522" s="1358"/>
      <c r="AGN522" s="1358"/>
      <c r="AGO522" s="1358"/>
      <c r="AGP522" s="1358"/>
      <c r="AGQ522" s="1358"/>
      <c r="AGR522" s="1358"/>
      <c r="AGS522" s="1358"/>
      <c r="AGT522" s="1358"/>
      <c r="AGU522" s="1358"/>
      <c r="AGV522" s="1358"/>
      <c r="AGW522" s="1358"/>
      <c r="AGX522" s="1358"/>
      <c r="AGY522" s="1358"/>
      <c r="AGZ522" s="1358"/>
      <c r="AHA522" s="1358"/>
      <c r="AHB522" s="1358"/>
      <c r="AHC522" s="1358"/>
      <c r="AHD522" s="1358"/>
      <c r="AHE522" s="1358"/>
      <c r="AHF522" s="1358"/>
      <c r="AHG522" s="1358"/>
      <c r="AHH522" s="1358"/>
      <c r="AHI522" s="1358"/>
      <c r="AHJ522" s="1358"/>
      <c r="AHK522" s="1358"/>
      <c r="AHL522" s="1358"/>
      <c r="AHM522" s="1358"/>
      <c r="AHN522" s="1358"/>
      <c r="AHO522" s="1358"/>
      <c r="AHP522" s="1358"/>
      <c r="AHQ522" s="1358"/>
      <c r="AHR522" s="1358"/>
      <c r="AHS522" s="1358"/>
      <c r="AHT522" s="1358"/>
      <c r="AHU522" s="1358"/>
      <c r="AHV522" s="1358"/>
      <c r="AHW522" s="1358"/>
      <c r="AHX522" s="1358"/>
      <c r="AHY522" s="1358"/>
      <c r="AHZ522" s="1358"/>
      <c r="AIA522" s="1358"/>
      <c r="AIB522" s="1358"/>
      <c r="AIC522" s="1358"/>
      <c r="AID522" s="1358"/>
      <c r="AIE522" s="1358"/>
      <c r="AIF522" s="1358"/>
      <c r="AIG522" s="1358"/>
      <c r="AIH522" s="1358"/>
      <c r="AII522" s="1358"/>
      <c r="AIJ522" s="1358"/>
      <c r="AIK522" s="1358"/>
      <c r="AIL522" s="1358"/>
      <c r="AIM522" s="1358"/>
      <c r="AIN522" s="1358"/>
      <c r="AIO522" s="1358"/>
      <c r="AIP522" s="1358"/>
      <c r="AIQ522" s="1358"/>
      <c r="AIR522" s="1358"/>
      <c r="AIS522" s="1358"/>
      <c r="AIT522" s="1358"/>
      <c r="AIU522" s="1358"/>
      <c r="AIV522" s="1358"/>
      <c r="AIW522" s="1358"/>
      <c r="AIX522" s="1358"/>
      <c r="AIY522" s="1358"/>
      <c r="AIZ522" s="1358"/>
      <c r="AJA522" s="1358"/>
      <c r="AJB522" s="1358"/>
      <c r="AJC522" s="1358"/>
      <c r="AJD522" s="1358"/>
      <c r="AJE522" s="1358"/>
      <c r="AJF522" s="1358"/>
      <c r="AJG522" s="1358"/>
      <c r="AJH522" s="1358"/>
      <c r="AJI522" s="1358"/>
      <c r="AJJ522" s="1358"/>
      <c r="AJK522" s="1358"/>
      <c r="AJL522" s="1358"/>
      <c r="AJM522" s="1358"/>
      <c r="AJN522" s="1358"/>
      <c r="AJO522" s="1358"/>
      <c r="AJP522" s="1358"/>
      <c r="AJQ522" s="1358"/>
      <c r="AJR522" s="1358"/>
      <c r="AJS522" s="1358"/>
      <c r="AJT522" s="1358"/>
      <c r="AJU522" s="1358"/>
      <c r="AJV522" s="1358"/>
      <c r="AJW522" s="1358"/>
      <c r="AJX522" s="1358"/>
      <c r="AJY522" s="1358"/>
      <c r="AJZ522" s="1358"/>
      <c r="AKA522" s="1358"/>
      <c r="AKB522" s="1358"/>
      <c r="AKC522" s="1358"/>
      <c r="AKD522" s="1358"/>
      <c r="AKE522" s="1358"/>
      <c r="AKF522" s="1358"/>
      <c r="AKG522" s="1358"/>
      <c r="AKH522" s="1358"/>
      <c r="AKI522" s="1358"/>
      <c r="AKJ522" s="1358"/>
      <c r="AKK522" s="1358"/>
      <c r="AKL522" s="1358"/>
      <c r="AKM522" s="1358"/>
      <c r="AKN522" s="1358"/>
      <c r="AKO522" s="1358"/>
      <c r="AKP522" s="1358"/>
      <c r="AKQ522" s="1358"/>
      <c r="AKR522" s="1358"/>
      <c r="AKS522" s="1358"/>
      <c r="AKT522" s="1358"/>
      <c r="AKU522" s="1358"/>
      <c r="AKV522" s="1358"/>
      <c r="AKW522" s="1358"/>
      <c r="AKX522" s="1358"/>
      <c r="AKY522" s="1358"/>
      <c r="AKZ522" s="1358"/>
      <c r="ALA522" s="1358"/>
      <c r="ALB522" s="1358"/>
      <c r="ALC522" s="1358"/>
      <c r="ALD522" s="1358"/>
      <c r="ALE522" s="1358"/>
      <c r="ALF522" s="1358"/>
      <c r="ALG522" s="1358"/>
      <c r="ALH522" s="1358"/>
      <c r="ALI522" s="1358"/>
      <c r="ALJ522" s="1358"/>
      <c r="ALK522" s="1358"/>
      <c r="ALL522" s="1358"/>
      <c r="ALM522" s="1358"/>
      <c r="ALN522" s="1358"/>
      <c r="ALO522" s="1358"/>
      <c r="ALP522" s="1358"/>
      <c r="ALQ522" s="1358"/>
      <c r="ALR522" s="1358"/>
      <c r="ALS522" s="1358"/>
      <c r="ALT522" s="1358"/>
      <c r="ALU522" s="1358"/>
      <c r="ALV522" s="1358"/>
      <c r="ALW522" s="1358"/>
      <c r="ALX522" s="1358"/>
      <c r="ALY522" s="1358"/>
      <c r="ALZ522" s="1358"/>
      <c r="AMA522" s="1358"/>
      <c r="AMB522" s="1358"/>
      <c r="AMC522" s="1358"/>
      <c r="AMD522" s="1358"/>
      <c r="AME522" s="1358"/>
      <c r="AMF522" s="1358"/>
      <c r="AMG522" s="1358"/>
      <c r="AMH522" s="1358"/>
      <c r="AMI522" s="1358"/>
      <c r="AMJ522" s="1358"/>
      <c r="AMK522" s="1358"/>
      <c r="AML522" s="1358"/>
      <c r="AMM522" s="1358"/>
      <c r="AMN522" s="1358"/>
      <c r="AMO522" s="1358"/>
      <c r="AMP522" s="1358"/>
      <c r="AMQ522" s="1358"/>
      <c r="AMR522" s="1358"/>
      <c r="AMS522" s="1358"/>
      <c r="AMT522" s="1358"/>
      <c r="AMU522" s="1358"/>
      <c r="AMV522" s="1358"/>
      <c r="AMW522" s="1358"/>
      <c r="AMX522" s="1358"/>
      <c r="AMY522" s="1358"/>
      <c r="AMZ522" s="1358"/>
      <c r="ANA522" s="1358"/>
      <c r="ANB522" s="1358"/>
      <c r="ANC522" s="1358"/>
      <c r="AND522" s="1358"/>
      <c r="ANE522" s="1358"/>
      <c r="ANF522" s="1358"/>
      <c r="ANG522" s="1358"/>
      <c r="ANH522" s="1358"/>
      <c r="ANI522" s="1358"/>
      <c r="ANJ522" s="1358"/>
      <c r="ANK522" s="1358"/>
      <c r="ANL522" s="1358"/>
      <c r="ANM522" s="1358"/>
      <c r="ANN522" s="1358"/>
      <c r="ANO522" s="1358"/>
      <c r="ANP522" s="1358"/>
      <c r="ANQ522" s="1358"/>
      <c r="ANR522" s="1358"/>
      <c r="ANS522" s="1358"/>
      <c r="ANT522" s="1358"/>
      <c r="ANU522" s="1358"/>
      <c r="ANV522" s="1358"/>
      <c r="ANW522" s="1358"/>
      <c r="ANX522" s="1358"/>
      <c r="ANY522" s="1358"/>
      <c r="ANZ522" s="1358"/>
      <c r="AOA522" s="1358"/>
      <c r="AOB522" s="1358"/>
      <c r="AOC522" s="1358"/>
      <c r="AOD522" s="1358"/>
      <c r="AOE522" s="1358"/>
      <c r="AOF522" s="1358"/>
      <c r="AOG522" s="1358"/>
      <c r="AOH522" s="1358"/>
      <c r="AOI522" s="1358"/>
      <c r="AOJ522" s="1358"/>
      <c r="AOK522" s="1358"/>
      <c r="AOL522" s="1358"/>
      <c r="AOM522" s="1358"/>
      <c r="AON522" s="1358"/>
      <c r="AOO522" s="1358"/>
      <c r="AOP522" s="1358"/>
      <c r="AOQ522" s="1358"/>
      <c r="AOR522" s="1358"/>
      <c r="AOS522" s="1358"/>
      <c r="AOT522" s="1358"/>
      <c r="AOU522" s="1358"/>
      <c r="AOV522" s="1358"/>
      <c r="AOW522" s="1358"/>
      <c r="AOX522" s="1358"/>
      <c r="AOY522" s="1358"/>
      <c r="AOZ522" s="1358"/>
      <c r="APA522" s="1358"/>
      <c r="APB522" s="1358"/>
      <c r="APC522" s="1358"/>
      <c r="APD522" s="1358"/>
      <c r="APE522" s="1358"/>
      <c r="APF522" s="1358"/>
      <c r="APG522" s="1358"/>
      <c r="APH522" s="1358"/>
      <c r="API522" s="1358"/>
      <c r="APJ522" s="1358"/>
      <c r="APK522" s="1358"/>
      <c r="APL522" s="1358"/>
      <c r="APM522" s="1358"/>
      <c r="APN522" s="1358"/>
      <c r="APO522" s="1358"/>
      <c r="APP522" s="1358"/>
      <c r="APQ522" s="1358"/>
      <c r="APR522" s="1358"/>
      <c r="APS522" s="1358"/>
      <c r="APT522" s="1358"/>
      <c r="APU522" s="1358"/>
      <c r="APV522" s="1358"/>
      <c r="APW522" s="1358"/>
      <c r="APX522" s="1358"/>
      <c r="APY522" s="1358"/>
      <c r="APZ522" s="1358"/>
      <c r="AQA522" s="1358"/>
      <c r="AQB522" s="1358"/>
      <c r="AQC522" s="1358"/>
      <c r="AQD522" s="1358"/>
      <c r="AQE522" s="1358"/>
      <c r="AQF522" s="1358"/>
      <c r="AQG522" s="1358"/>
      <c r="AQH522" s="1358"/>
      <c r="AQI522" s="1358"/>
      <c r="AQJ522" s="1358"/>
      <c r="AQK522" s="1358"/>
      <c r="AQL522" s="1358"/>
      <c r="AQM522" s="1358"/>
      <c r="AQN522" s="1358"/>
      <c r="AQO522" s="1358"/>
      <c r="AQP522" s="1358"/>
      <c r="AQQ522" s="1358"/>
      <c r="AQR522" s="1358"/>
      <c r="AQS522" s="1358"/>
      <c r="AQT522" s="1358"/>
      <c r="AQU522" s="1358"/>
      <c r="AQV522" s="1358"/>
      <c r="AQW522" s="1358"/>
      <c r="AQX522" s="1358"/>
      <c r="AQY522" s="1358"/>
      <c r="AQZ522" s="1358"/>
      <c r="ARA522" s="1358"/>
      <c r="ARB522" s="1358"/>
      <c r="ARC522" s="1358"/>
      <c r="ARD522" s="1358"/>
      <c r="ARE522" s="1358"/>
      <c r="ARF522" s="1358"/>
      <c r="ARG522" s="1358"/>
      <c r="ARH522" s="1358"/>
      <c r="ARI522" s="1358"/>
      <c r="ARJ522" s="1358"/>
      <c r="ARK522" s="1358"/>
      <c r="ARL522" s="1358"/>
      <c r="ARM522" s="1358"/>
      <c r="ARN522" s="1358"/>
      <c r="ARO522" s="1358"/>
      <c r="ARP522" s="1358"/>
      <c r="ARQ522" s="1358"/>
      <c r="ARR522" s="1358"/>
      <c r="ARS522" s="1358"/>
      <c r="ART522" s="1358"/>
      <c r="ARU522" s="1358"/>
      <c r="ARV522" s="1358"/>
      <c r="ARW522" s="1358"/>
      <c r="ARX522" s="1358"/>
      <c r="ARY522" s="1358"/>
      <c r="ARZ522" s="1358"/>
      <c r="ASA522" s="1358"/>
      <c r="ASB522" s="1358"/>
      <c r="ASC522" s="1358"/>
      <c r="ASD522" s="1358"/>
      <c r="ASE522" s="1358"/>
      <c r="ASF522" s="1358"/>
      <c r="ASG522" s="1358"/>
      <c r="ASH522" s="1358"/>
      <c r="ASI522" s="1358"/>
      <c r="ASJ522" s="1358"/>
      <c r="ASK522" s="1358"/>
      <c r="ASL522" s="1358"/>
      <c r="ASM522" s="1358"/>
      <c r="ASN522" s="1358"/>
      <c r="ASO522" s="1358"/>
      <c r="ASP522" s="1358"/>
      <c r="ASQ522" s="1358"/>
      <c r="ASR522" s="1358"/>
      <c r="ASS522" s="1358"/>
      <c r="AST522" s="1358"/>
      <c r="ASU522" s="1358"/>
      <c r="ASV522" s="1358"/>
      <c r="ASW522" s="1358"/>
      <c r="ASX522" s="1358"/>
      <c r="ASY522" s="1358"/>
      <c r="ASZ522" s="1358"/>
      <c r="ATA522" s="1358"/>
      <c r="ATB522" s="1358"/>
      <c r="ATC522" s="1358"/>
      <c r="ATD522" s="1358"/>
      <c r="ATE522" s="1358"/>
      <c r="ATF522" s="1358"/>
      <c r="ATG522" s="1358"/>
      <c r="ATH522" s="1358"/>
      <c r="ATI522" s="1358"/>
      <c r="ATJ522" s="1358"/>
      <c r="ATK522" s="1358"/>
      <c r="ATL522" s="1358"/>
      <c r="ATM522" s="1358"/>
      <c r="ATN522" s="1358"/>
      <c r="ATO522" s="1358"/>
      <c r="ATP522" s="1358"/>
      <c r="ATQ522" s="1358"/>
      <c r="ATR522" s="1358"/>
      <c r="ATS522" s="1358"/>
      <c r="ATT522" s="1358"/>
      <c r="ATU522" s="1358"/>
      <c r="ATV522" s="1358"/>
      <c r="ATW522" s="1358"/>
      <c r="ATX522" s="1358"/>
      <c r="ATY522" s="1358"/>
      <c r="ATZ522" s="1358"/>
      <c r="AUA522" s="1358"/>
      <c r="AUB522" s="1358"/>
      <c r="AUC522" s="1358"/>
      <c r="AUD522" s="1358"/>
      <c r="AUE522" s="1358"/>
      <c r="AUF522" s="1358"/>
      <c r="AUG522" s="1358"/>
      <c r="AUH522" s="1358"/>
      <c r="AUI522" s="1358"/>
      <c r="AUJ522" s="1358"/>
      <c r="AUK522" s="1358"/>
      <c r="AUL522" s="1358"/>
      <c r="AUM522" s="1358"/>
      <c r="AUN522" s="1358"/>
      <c r="AUO522" s="1358"/>
      <c r="AUP522" s="1358"/>
      <c r="AUQ522" s="1358"/>
      <c r="AUR522" s="1358"/>
      <c r="AUS522" s="1358"/>
      <c r="AUT522" s="1358"/>
      <c r="AUU522" s="1358"/>
      <c r="AUV522" s="1358"/>
      <c r="AUW522" s="1358"/>
      <c r="AUX522" s="1358"/>
      <c r="AUY522" s="1358"/>
      <c r="AUZ522" s="1358"/>
      <c r="AVA522" s="1358"/>
      <c r="AVB522" s="1358"/>
      <c r="AVC522" s="1358"/>
      <c r="AVD522" s="1358"/>
      <c r="AVE522" s="1358"/>
      <c r="AVF522" s="1358"/>
      <c r="AVG522" s="1358"/>
      <c r="AVH522" s="1358"/>
      <c r="AVI522" s="1358"/>
      <c r="AVJ522" s="1358"/>
      <c r="AVK522" s="1358"/>
      <c r="AVL522" s="1358"/>
      <c r="AVM522" s="1358"/>
      <c r="AVN522" s="1358"/>
      <c r="AVO522" s="1358"/>
      <c r="AVP522" s="1358"/>
      <c r="AVQ522" s="1358"/>
      <c r="AVR522" s="1358"/>
      <c r="AVS522" s="1358"/>
      <c r="AVT522" s="1358"/>
      <c r="AVU522" s="1358"/>
      <c r="AVV522" s="1358"/>
      <c r="AVW522" s="1358"/>
      <c r="AVX522" s="1358"/>
      <c r="AVY522" s="1358"/>
      <c r="AVZ522" s="1358"/>
      <c r="AWA522" s="1358"/>
      <c r="AWB522" s="1358"/>
      <c r="AWC522" s="1358"/>
      <c r="AWD522" s="1358"/>
      <c r="AWE522" s="1358"/>
      <c r="AWF522" s="1358"/>
      <c r="AWG522" s="1358"/>
      <c r="AWH522" s="1358"/>
      <c r="AWI522" s="1358"/>
      <c r="AWJ522" s="1358"/>
      <c r="AWK522" s="1358"/>
      <c r="AWL522" s="1358"/>
      <c r="AWM522" s="1358"/>
      <c r="AWN522" s="1358"/>
      <c r="AWO522" s="1358"/>
      <c r="AWP522" s="1358"/>
      <c r="AWQ522" s="1358"/>
      <c r="AWR522" s="1358"/>
      <c r="AWS522" s="1358"/>
      <c r="AWT522" s="1358"/>
      <c r="AWU522" s="1358"/>
      <c r="AWV522" s="1358"/>
      <c r="AWW522" s="1358"/>
      <c r="AWX522" s="1358"/>
      <c r="AWY522" s="1358"/>
      <c r="AWZ522" s="1358"/>
      <c r="AXA522" s="1358"/>
      <c r="AXB522" s="1358"/>
      <c r="AXC522" s="1358"/>
      <c r="AXD522" s="1358"/>
      <c r="AXE522" s="1358"/>
      <c r="AXF522" s="1358"/>
      <c r="AXG522" s="1358"/>
      <c r="AXH522" s="1358"/>
      <c r="AXI522" s="1358"/>
      <c r="AXJ522" s="1358"/>
      <c r="AXK522" s="1358"/>
      <c r="AXL522" s="1358"/>
      <c r="AXM522" s="1358"/>
      <c r="AXN522" s="1358"/>
      <c r="AXO522" s="1358"/>
      <c r="AXP522" s="1358"/>
      <c r="AXQ522" s="1358"/>
      <c r="AXR522" s="1358"/>
      <c r="AXS522" s="1358"/>
      <c r="AXT522" s="1358"/>
      <c r="AXU522" s="1358"/>
      <c r="AXV522" s="1358"/>
      <c r="AXW522" s="1358"/>
      <c r="AXX522" s="1358"/>
      <c r="AXY522" s="1358"/>
      <c r="AXZ522" s="1358"/>
      <c r="AYA522" s="1358"/>
      <c r="AYB522" s="1358"/>
      <c r="AYC522" s="1358"/>
      <c r="AYD522" s="1358"/>
      <c r="AYE522" s="1358"/>
      <c r="AYF522" s="1358"/>
      <c r="AYG522" s="1358"/>
      <c r="AYH522" s="1358"/>
      <c r="AYI522" s="1358"/>
      <c r="AYJ522" s="1358"/>
      <c r="AYK522" s="1358"/>
      <c r="AYL522" s="1358"/>
      <c r="AYM522" s="1358"/>
      <c r="AYN522" s="1358"/>
      <c r="AYO522" s="1358"/>
      <c r="AYP522" s="1358"/>
      <c r="AYQ522" s="1358"/>
      <c r="AYR522" s="1358"/>
      <c r="AYS522" s="1358"/>
      <c r="AYT522" s="1358"/>
      <c r="AYU522" s="1358"/>
      <c r="AYV522" s="1358"/>
      <c r="AYW522" s="1358"/>
      <c r="AYX522" s="1358"/>
      <c r="AYY522" s="1358"/>
      <c r="AYZ522" s="1358"/>
      <c r="AZA522" s="1358"/>
      <c r="AZB522" s="1358"/>
      <c r="AZC522" s="1358"/>
      <c r="AZD522" s="1358"/>
      <c r="AZE522" s="1358"/>
      <c r="AZF522" s="1358"/>
      <c r="AZG522" s="1358"/>
      <c r="AZH522" s="1358"/>
      <c r="AZI522" s="1358"/>
      <c r="AZJ522" s="1358"/>
      <c r="AZK522" s="1358"/>
      <c r="AZL522" s="1358"/>
      <c r="AZM522" s="1358"/>
      <c r="AZN522" s="1358"/>
      <c r="AZO522" s="1358"/>
      <c r="AZP522" s="1358"/>
      <c r="AZQ522" s="1358"/>
      <c r="AZR522" s="1358"/>
      <c r="AZS522" s="1358"/>
      <c r="AZT522" s="1358"/>
      <c r="AZU522" s="1358"/>
      <c r="AZV522" s="1358"/>
      <c r="AZW522" s="1358"/>
      <c r="AZX522" s="1358"/>
      <c r="AZY522" s="1358"/>
      <c r="AZZ522" s="1358"/>
      <c r="BAA522" s="1358"/>
      <c r="BAB522" s="1358"/>
      <c r="BAC522" s="1358"/>
      <c r="BAD522" s="1358"/>
      <c r="BAE522" s="1358"/>
      <c r="BAF522" s="1358"/>
      <c r="BAG522" s="1358"/>
      <c r="BAH522" s="1358"/>
      <c r="BAI522" s="1358"/>
      <c r="BAJ522" s="1358"/>
      <c r="BAK522" s="1358"/>
      <c r="BAL522" s="1358"/>
      <c r="BAM522" s="1358"/>
      <c r="BAN522" s="1358"/>
      <c r="BAO522" s="1358"/>
      <c r="BAP522" s="1358"/>
      <c r="BAQ522" s="1358"/>
      <c r="BAR522" s="1358"/>
      <c r="BAS522" s="1358"/>
      <c r="BAT522" s="1358"/>
      <c r="BAU522" s="1358"/>
      <c r="BAV522" s="1358"/>
      <c r="BAW522" s="1358"/>
      <c r="BAX522" s="1358"/>
      <c r="BAY522" s="1358"/>
      <c r="BAZ522" s="1358"/>
      <c r="BBA522" s="1358"/>
      <c r="BBB522" s="1358"/>
      <c r="BBC522" s="1358"/>
      <c r="BBD522" s="1358"/>
      <c r="BBE522" s="1358"/>
      <c r="BBF522" s="1358"/>
      <c r="BBG522" s="1358"/>
      <c r="BBH522" s="1358"/>
      <c r="BBI522" s="1358"/>
      <c r="BBJ522" s="1358"/>
      <c r="BBK522" s="1358"/>
      <c r="BBL522" s="1358"/>
      <c r="BBM522" s="1358"/>
      <c r="BBN522" s="1358"/>
      <c r="BBO522" s="1358"/>
      <c r="BBP522" s="1358"/>
      <c r="BBQ522" s="1358"/>
      <c r="BBR522" s="1358"/>
      <c r="BBS522" s="1358"/>
      <c r="BBT522" s="1358"/>
      <c r="BBU522" s="1358"/>
      <c r="BBV522" s="1358"/>
      <c r="BBW522" s="1358"/>
      <c r="BBX522" s="1358"/>
      <c r="BBY522" s="1358"/>
      <c r="BBZ522" s="1358"/>
      <c r="BCA522" s="1358"/>
      <c r="BCB522" s="1358"/>
      <c r="BCC522" s="1358"/>
      <c r="BCD522" s="1358"/>
      <c r="BCE522" s="1358"/>
      <c r="BCF522" s="1358"/>
      <c r="BCG522" s="1358"/>
      <c r="BCH522" s="1358"/>
      <c r="BCI522" s="1358"/>
      <c r="BCJ522" s="1358"/>
      <c r="BCK522" s="1358"/>
      <c r="BCL522" s="1358"/>
      <c r="BCM522" s="1358"/>
      <c r="BCN522" s="1358"/>
      <c r="BCO522" s="1358"/>
      <c r="BCP522" s="1358"/>
      <c r="BCQ522" s="1358"/>
      <c r="BCR522" s="1358"/>
      <c r="BCS522" s="1358"/>
      <c r="BCT522" s="1358"/>
      <c r="BCU522" s="1358"/>
      <c r="BCV522" s="1358"/>
      <c r="BCW522" s="1358"/>
      <c r="BCX522" s="1358"/>
      <c r="BCY522" s="1358"/>
      <c r="BCZ522" s="1358"/>
      <c r="BDA522" s="1358"/>
      <c r="BDB522" s="1358"/>
      <c r="BDC522" s="1358"/>
      <c r="BDD522" s="1358"/>
      <c r="BDE522" s="1358"/>
      <c r="BDF522" s="1358"/>
      <c r="BDG522" s="1358"/>
      <c r="BDH522" s="1358"/>
      <c r="BDI522" s="1358"/>
      <c r="BDJ522" s="1358"/>
      <c r="BDK522" s="1358"/>
      <c r="BDL522" s="1358"/>
      <c r="BDM522" s="1358"/>
      <c r="BDN522" s="1358"/>
      <c r="BDO522" s="1358"/>
      <c r="BDP522" s="1358"/>
      <c r="BDQ522" s="1358"/>
      <c r="BDR522" s="1358"/>
      <c r="BDS522" s="1358"/>
      <c r="BDT522" s="1358"/>
      <c r="BDU522" s="1358"/>
      <c r="BDV522" s="1358"/>
      <c r="BDW522" s="1358"/>
      <c r="BDX522" s="1358"/>
      <c r="BDY522" s="1358"/>
      <c r="BDZ522" s="1358"/>
      <c r="BEA522" s="1358"/>
      <c r="BEB522" s="1358"/>
      <c r="BEC522" s="1358"/>
      <c r="BED522" s="1358"/>
      <c r="BEE522" s="1358"/>
      <c r="BEF522" s="1358"/>
      <c r="BEG522" s="1358"/>
      <c r="BEH522" s="1358"/>
      <c r="BEI522" s="1358"/>
      <c r="BEJ522" s="1358"/>
      <c r="BEK522" s="1358"/>
      <c r="BEL522" s="1358"/>
      <c r="BEM522" s="1358"/>
      <c r="BEN522" s="1358"/>
      <c r="BEO522" s="1358"/>
      <c r="BEP522" s="1358"/>
      <c r="BEQ522" s="1358"/>
      <c r="BER522" s="1358"/>
      <c r="BES522" s="1358"/>
      <c r="BET522" s="1358"/>
      <c r="BEU522" s="1358"/>
      <c r="BEV522" s="1358"/>
      <c r="BEW522" s="1358"/>
      <c r="BEX522" s="1358"/>
      <c r="BEY522" s="1358"/>
      <c r="BEZ522" s="1358"/>
      <c r="BFA522" s="1358"/>
      <c r="BFB522" s="1358"/>
      <c r="BFC522" s="1358"/>
      <c r="BFD522" s="1358"/>
      <c r="BFE522" s="1358"/>
      <c r="BFF522" s="1358"/>
      <c r="BFG522" s="1358"/>
      <c r="BFH522" s="1358"/>
      <c r="BFI522" s="1358"/>
      <c r="BFJ522" s="1358"/>
      <c r="BFK522" s="1358"/>
      <c r="BFL522" s="1358"/>
      <c r="BFM522" s="1358"/>
      <c r="BFN522" s="1358"/>
      <c r="BFO522" s="1358"/>
      <c r="BFP522" s="1358"/>
      <c r="BFQ522" s="1358"/>
      <c r="BFR522" s="1358"/>
      <c r="BFS522" s="1358"/>
      <c r="BFT522" s="1358"/>
      <c r="BFU522" s="1358"/>
      <c r="BFV522" s="1358"/>
      <c r="BFW522" s="1358"/>
      <c r="BFX522" s="1358"/>
      <c r="BFY522" s="1358"/>
      <c r="BFZ522" s="1358"/>
      <c r="BGA522" s="1358"/>
      <c r="BGB522" s="1358"/>
      <c r="BGC522" s="1358"/>
      <c r="BGD522" s="1358"/>
      <c r="BGE522" s="1358"/>
      <c r="BGF522" s="1358"/>
      <c r="BGG522" s="1358"/>
      <c r="BGH522" s="1358"/>
      <c r="BGI522" s="1358"/>
      <c r="BGJ522" s="1358"/>
      <c r="BGK522" s="1358"/>
      <c r="BGL522" s="1358"/>
      <c r="BGM522" s="1358"/>
      <c r="BGN522" s="1358"/>
      <c r="BGO522" s="1358"/>
      <c r="BGP522" s="1358"/>
      <c r="BGQ522" s="1358"/>
      <c r="BGR522" s="1358"/>
      <c r="BGS522" s="1358"/>
      <c r="BGT522" s="1358"/>
      <c r="BGU522" s="1358"/>
      <c r="BGV522" s="1358"/>
      <c r="BGW522" s="1358"/>
      <c r="BGX522" s="1358"/>
      <c r="BGY522" s="1358"/>
      <c r="BGZ522" s="1358"/>
      <c r="BHA522" s="1358"/>
      <c r="BHB522" s="1358"/>
      <c r="BHC522" s="1358"/>
      <c r="BHD522" s="1358"/>
      <c r="BHE522" s="1358"/>
      <c r="BHF522" s="1358"/>
      <c r="BHG522" s="1358"/>
      <c r="BHH522" s="1358"/>
      <c r="BHI522" s="1358"/>
      <c r="BHJ522" s="1358"/>
      <c r="BHK522" s="1358"/>
      <c r="BHL522" s="1358"/>
      <c r="BHM522" s="1358"/>
      <c r="BHN522" s="1358"/>
      <c r="BHO522" s="1358"/>
      <c r="BHP522" s="1358"/>
      <c r="BHQ522" s="1358"/>
      <c r="BHR522" s="1358"/>
      <c r="BHS522" s="1358"/>
      <c r="BHT522" s="1358"/>
      <c r="BHU522" s="1358"/>
      <c r="BHV522" s="1358"/>
      <c r="BHW522" s="1358"/>
      <c r="BHX522" s="1358"/>
      <c r="BHY522" s="1358"/>
      <c r="BHZ522" s="1358"/>
      <c r="BIA522" s="1358"/>
      <c r="BIB522" s="1358"/>
      <c r="BIC522" s="1358"/>
      <c r="BID522" s="1358"/>
      <c r="BIE522" s="1358"/>
      <c r="BIF522" s="1358"/>
      <c r="BIG522" s="1358"/>
      <c r="BIH522" s="1358"/>
      <c r="BII522" s="1358"/>
      <c r="BIJ522" s="1358"/>
      <c r="BIK522" s="1358"/>
      <c r="BIL522" s="1358"/>
      <c r="BIM522" s="1358"/>
      <c r="BIN522" s="1358"/>
      <c r="BIO522" s="1358"/>
      <c r="BIP522" s="1358"/>
      <c r="BIQ522" s="1358"/>
      <c r="BIR522" s="1358"/>
      <c r="BIS522" s="1358"/>
      <c r="BIT522" s="1358"/>
      <c r="BIU522" s="1358"/>
      <c r="BIV522" s="1358"/>
      <c r="BIW522" s="1358"/>
      <c r="BIX522" s="1358"/>
      <c r="BIY522" s="1358"/>
      <c r="BIZ522" s="1358"/>
      <c r="BJA522" s="1358"/>
      <c r="BJB522" s="1358"/>
      <c r="BJC522" s="1358"/>
      <c r="BJD522" s="1358"/>
      <c r="BJE522" s="1358"/>
      <c r="BJF522" s="1358"/>
      <c r="BJG522" s="1358"/>
      <c r="BJH522" s="1358"/>
      <c r="BJI522" s="1358"/>
      <c r="BJJ522" s="1358"/>
      <c r="BJK522" s="1358"/>
      <c r="BJL522" s="1358"/>
      <c r="BJM522" s="1358"/>
      <c r="BJN522" s="1358"/>
      <c r="BJO522" s="1358"/>
      <c r="BJP522" s="1358"/>
      <c r="BJQ522" s="1358"/>
      <c r="BJR522" s="1358"/>
      <c r="BJS522" s="1358"/>
      <c r="BJT522" s="1358"/>
      <c r="BJU522" s="1358"/>
      <c r="BJV522" s="1358"/>
      <c r="BJW522" s="1358"/>
      <c r="BJX522" s="1358"/>
      <c r="BJY522" s="1358"/>
      <c r="BJZ522" s="1358"/>
      <c r="BKA522" s="1358"/>
      <c r="BKB522" s="1358"/>
      <c r="BKC522" s="1358"/>
      <c r="BKD522" s="1358"/>
      <c r="BKE522" s="1358"/>
      <c r="BKF522" s="1358"/>
      <c r="BKG522" s="1358"/>
      <c r="BKH522" s="1358"/>
      <c r="BKI522" s="1358"/>
      <c r="BKJ522" s="1358"/>
      <c r="BKK522" s="1358"/>
      <c r="BKL522" s="1358"/>
      <c r="BKM522" s="1358"/>
      <c r="BKN522" s="1358"/>
      <c r="BKO522" s="1358"/>
      <c r="BKP522" s="1358"/>
      <c r="BKQ522" s="1358"/>
      <c r="BKR522" s="1358"/>
      <c r="BKS522" s="1358"/>
      <c r="BKT522" s="1358"/>
      <c r="BKU522" s="1358"/>
      <c r="BKV522" s="1358"/>
      <c r="BKW522" s="1358"/>
      <c r="BKX522" s="1358"/>
      <c r="BKY522" s="1358"/>
      <c r="BKZ522" s="1358"/>
      <c r="BLA522" s="1358"/>
      <c r="BLB522" s="1358"/>
      <c r="BLC522" s="1358"/>
      <c r="BLD522" s="1358"/>
      <c r="BLE522" s="1358"/>
      <c r="BLF522" s="1358"/>
      <c r="BLG522" s="1358"/>
      <c r="BLH522" s="1358"/>
      <c r="BLI522" s="1358"/>
      <c r="BLJ522" s="1358"/>
      <c r="BLK522" s="1358"/>
      <c r="BLL522" s="1358"/>
      <c r="BLM522" s="1358"/>
      <c r="BLN522" s="1358"/>
      <c r="BLO522" s="1358"/>
      <c r="BLP522" s="1358"/>
      <c r="BLQ522" s="1358"/>
      <c r="BLR522" s="1358"/>
      <c r="BLS522" s="1358"/>
      <c r="BLT522" s="1358"/>
      <c r="BLU522" s="1358"/>
      <c r="BLV522" s="1358"/>
      <c r="BLW522" s="1358"/>
      <c r="BLX522" s="1358"/>
      <c r="BLY522" s="1358"/>
      <c r="BLZ522" s="1358"/>
      <c r="BMA522" s="1358"/>
      <c r="BMB522" s="1358"/>
      <c r="BMC522" s="1358"/>
      <c r="BMD522" s="1358"/>
      <c r="BME522" s="1358"/>
      <c r="BMF522" s="1358"/>
      <c r="BMG522" s="1358"/>
      <c r="BMH522" s="1358"/>
      <c r="BMI522" s="1358"/>
      <c r="BMJ522" s="1358"/>
      <c r="BMK522" s="1358"/>
      <c r="BML522" s="1358"/>
      <c r="BMM522" s="1358"/>
      <c r="BMN522" s="1358"/>
      <c r="BMO522" s="1358"/>
      <c r="BMP522" s="1358"/>
      <c r="BMQ522" s="1358"/>
      <c r="BMR522" s="1358"/>
      <c r="BMS522" s="1358"/>
      <c r="BMT522" s="1358"/>
      <c r="BMU522" s="1358"/>
      <c r="BMV522" s="1358"/>
      <c r="BMW522" s="1358"/>
      <c r="BMX522" s="1358"/>
      <c r="BMY522" s="1358"/>
      <c r="BMZ522" s="1358"/>
      <c r="BNA522" s="1358"/>
      <c r="BNB522" s="1358"/>
      <c r="BNC522" s="1358"/>
      <c r="BND522" s="1358"/>
      <c r="BNE522" s="1358"/>
      <c r="BNF522" s="1358"/>
      <c r="BNG522" s="1358"/>
      <c r="BNH522" s="1358"/>
      <c r="BNI522" s="1358"/>
      <c r="BNJ522" s="1358"/>
      <c r="BNK522" s="1358"/>
      <c r="BNL522" s="1358"/>
      <c r="BNM522" s="1358"/>
      <c r="BNN522" s="1358"/>
      <c r="BNO522" s="1358"/>
      <c r="BNP522" s="1358"/>
      <c r="BNQ522" s="1358"/>
      <c r="BNR522" s="1358"/>
      <c r="BNS522" s="1358"/>
      <c r="BNT522" s="1358"/>
      <c r="BNU522" s="1358"/>
      <c r="BNV522" s="1358"/>
      <c r="BNW522" s="1358"/>
      <c r="BNX522" s="1358"/>
      <c r="BNY522" s="1358"/>
      <c r="BNZ522" s="1358"/>
      <c r="BOA522" s="1358"/>
      <c r="BOB522" s="1358"/>
      <c r="BOC522" s="1358"/>
      <c r="BOD522" s="1358"/>
      <c r="BOE522" s="1358"/>
      <c r="BOF522" s="1358"/>
      <c r="BOG522" s="1358"/>
      <c r="BOH522" s="1358"/>
      <c r="BOI522" s="1358"/>
      <c r="BOJ522" s="1358"/>
      <c r="BOK522" s="1358"/>
      <c r="BOL522" s="1358"/>
      <c r="BOM522" s="1358"/>
      <c r="BON522" s="1358"/>
      <c r="BOO522" s="1358"/>
      <c r="BOP522" s="1358"/>
      <c r="BOQ522" s="1358"/>
      <c r="BOR522" s="1358"/>
      <c r="BOS522" s="1358"/>
      <c r="BOT522" s="1358"/>
      <c r="BOU522" s="1358"/>
      <c r="BOV522" s="1358"/>
      <c r="BOW522" s="1358"/>
      <c r="BOX522" s="1358"/>
      <c r="BOY522" s="1358"/>
      <c r="BOZ522" s="1358"/>
      <c r="BPA522" s="1358"/>
      <c r="BPB522" s="1358"/>
      <c r="BPC522" s="1358"/>
      <c r="BPD522" s="1358"/>
      <c r="BPE522" s="1358"/>
      <c r="BPF522" s="1358"/>
      <c r="BPG522" s="1358"/>
      <c r="BPH522" s="1358"/>
      <c r="BPI522" s="1358"/>
      <c r="BPJ522" s="1358"/>
      <c r="BPK522" s="1358"/>
      <c r="BPL522" s="1358"/>
      <c r="BPM522" s="1358"/>
      <c r="BPN522" s="1358"/>
      <c r="BPO522" s="1358"/>
      <c r="BPP522" s="1358"/>
      <c r="BPQ522" s="1358"/>
      <c r="BPR522" s="1358"/>
      <c r="BPS522" s="1358"/>
      <c r="BPT522" s="1358"/>
      <c r="BPU522" s="1358"/>
      <c r="BPV522" s="1358"/>
      <c r="BPW522" s="1358"/>
      <c r="BPX522" s="1358"/>
      <c r="BPY522" s="1358"/>
      <c r="BPZ522" s="1358"/>
      <c r="BQA522" s="1358"/>
      <c r="BQB522" s="1358"/>
      <c r="BQC522" s="1358"/>
      <c r="BQD522" s="1358"/>
      <c r="BQE522" s="1358"/>
      <c r="BQF522" s="1358"/>
      <c r="BQG522" s="1358"/>
      <c r="BQH522" s="1358"/>
      <c r="BQI522" s="1358"/>
      <c r="BQJ522" s="1358"/>
      <c r="BQK522" s="1358"/>
      <c r="BQL522" s="1358"/>
      <c r="BQM522" s="1358"/>
      <c r="BQN522" s="1358"/>
      <c r="BQO522" s="1358"/>
      <c r="BQP522" s="1358"/>
      <c r="BQQ522" s="1358"/>
      <c r="BQR522" s="1358"/>
      <c r="BQS522" s="1358"/>
      <c r="BQT522" s="1358"/>
      <c r="BQU522" s="1358"/>
      <c r="BQV522" s="1358"/>
      <c r="BQW522" s="1358"/>
      <c r="BQX522" s="1358"/>
      <c r="BQY522" s="1358"/>
      <c r="BQZ522" s="1358"/>
      <c r="BRA522" s="1358"/>
      <c r="BRB522" s="1358"/>
      <c r="BRC522" s="1358"/>
      <c r="BRD522" s="1358"/>
      <c r="BRE522" s="1358"/>
      <c r="BRF522" s="1358"/>
      <c r="BRG522" s="1358"/>
      <c r="BRH522" s="1358"/>
      <c r="BRI522" s="1358"/>
      <c r="BRJ522" s="1358"/>
      <c r="BRK522" s="1358"/>
      <c r="BRL522" s="1358"/>
      <c r="BRM522" s="1358"/>
      <c r="BRN522" s="1358"/>
      <c r="BRO522" s="1358"/>
      <c r="BRP522" s="1358"/>
      <c r="BRQ522" s="1358"/>
      <c r="BRR522" s="1358"/>
      <c r="BRS522" s="1358"/>
      <c r="BRT522" s="1358"/>
      <c r="BRU522" s="1358"/>
      <c r="BRV522" s="1358"/>
      <c r="BRW522" s="1358"/>
      <c r="BRX522" s="1358"/>
      <c r="BRY522" s="1358"/>
      <c r="BRZ522" s="1358"/>
      <c r="BSA522" s="1358"/>
      <c r="BSB522" s="1358"/>
      <c r="BSC522" s="1358"/>
      <c r="BSD522" s="1358"/>
      <c r="BSE522" s="1358"/>
      <c r="BSF522" s="1358"/>
      <c r="BSG522" s="1358"/>
      <c r="BSH522" s="1358"/>
      <c r="BSI522" s="1358"/>
      <c r="BSJ522" s="1358"/>
      <c r="BSK522" s="1358"/>
      <c r="BSL522" s="1358"/>
      <c r="BSM522" s="1358"/>
      <c r="BSN522" s="1358"/>
      <c r="BSO522" s="1358"/>
      <c r="BSP522" s="1358"/>
      <c r="BSQ522" s="1358"/>
      <c r="BSR522" s="1358"/>
      <c r="BSS522" s="1358"/>
      <c r="BST522" s="1358"/>
      <c r="BSU522" s="1358"/>
      <c r="BSV522" s="1358"/>
      <c r="BSW522" s="1358"/>
      <c r="BSX522" s="1358"/>
      <c r="BSY522" s="1358"/>
      <c r="BSZ522" s="1358"/>
      <c r="BTA522" s="1358"/>
      <c r="BTB522" s="1358"/>
      <c r="BTC522" s="1358"/>
      <c r="BTD522" s="1358"/>
      <c r="BTE522" s="1358"/>
      <c r="BTF522" s="1358"/>
      <c r="BTG522" s="1358"/>
      <c r="BTH522" s="1358"/>
      <c r="BTI522" s="1358"/>
      <c r="BTJ522" s="1358"/>
      <c r="BTK522" s="1358"/>
      <c r="BTL522" s="1358"/>
      <c r="BTM522" s="1358"/>
      <c r="BTN522" s="1358"/>
      <c r="BTO522" s="1358"/>
      <c r="BTP522" s="1358"/>
      <c r="BTQ522" s="1358"/>
      <c r="BTR522" s="1358"/>
      <c r="BTS522" s="1358"/>
      <c r="BTT522" s="1358"/>
      <c r="BTU522" s="1358"/>
      <c r="BTV522" s="1358"/>
      <c r="BTW522" s="1358"/>
      <c r="BTX522" s="1358"/>
      <c r="BTY522" s="1358"/>
      <c r="BTZ522" s="1358"/>
      <c r="BUA522" s="1358"/>
      <c r="BUB522" s="1358"/>
      <c r="BUC522" s="1358"/>
      <c r="BUD522" s="1358"/>
      <c r="BUE522" s="1358"/>
      <c r="BUF522" s="1358"/>
      <c r="BUG522" s="1358"/>
      <c r="BUH522" s="1358"/>
      <c r="BUI522" s="1358"/>
      <c r="BUJ522" s="1358"/>
      <c r="BUK522" s="1358"/>
      <c r="BUL522" s="1358"/>
      <c r="BUM522" s="1358"/>
      <c r="BUN522" s="1358"/>
      <c r="BUO522" s="1358"/>
      <c r="BUP522" s="1358"/>
      <c r="BUQ522" s="1358"/>
      <c r="BUR522" s="1358"/>
      <c r="BUS522" s="1358"/>
      <c r="BUT522" s="1358"/>
      <c r="BUU522" s="1358"/>
      <c r="BUV522" s="1358"/>
      <c r="BUW522" s="1358"/>
      <c r="BUX522" s="1358"/>
      <c r="BUY522" s="1358"/>
      <c r="BUZ522" s="1358"/>
      <c r="BVA522" s="1358"/>
      <c r="BVB522" s="1358"/>
      <c r="BVC522" s="1358"/>
      <c r="BVD522" s="1358"/>
      <c r="BVE522" s="1358"/>
      <c r="BVF522" s="1358"/>
      <c r="BVG522" s="1358"/>
      <c r="BVH522" s="1358"/>
      <c r="BVI522" s="1358"/>
      <c r="BVJ522" s="1358"/>
      <c r="BVK522" s="1358"/>
      <c r="BVL522" s="1358"/>
      <c r="BVM522" s="1358"/>
      <c r="BVN522" s="1358"/>
      <c r="BVO522" s="1358"/>
      <c r="BVP522" s="1358"/>
      <c r="BVQ522" s="1358"/>
      <c r="BVR522" s="1358"/>
      <c r="BVS522" s="1358"/>
      <c r="BVT522" s="1358"/>
      <c r="BVU522" s="1358"/>
      <c r="BVV522" s="1358"/>
      <c r="BVW522" s="1358"/>
      <c r="BVX522" s="1358"/>
      <c r="BVY522" s="1358"/>
      <c r="BVZ522" s="1358"/>
      <c r="BWA522" s="1358"/>
      <c r="BWB522" s="1358"/>
      <c r="BWC522" s="1358"/>
      <c r="BWD522" s="1358"/>
      <c r="BWE522" s="1358"/>
      <c r="BWF522" s="1358"/>
      <c r="BWG522" s="1358"/>
      <c r="BWH522" s="1358"/>
      <c r="BWI522" s="1358"/>
      <c r="BWJ522" s="1358"/>
      <c r="BWK522" s="1358"/>
      <c r="BWL522" s="1358"/>
      <c r="BWM522" s="1358"/>
      <c r="BWN522" s="1358"/>
      <c r="BWO522" s="1358"/>
      <c r="BWP522" s="1358"/>
      <c r="BWQ522" s="1358"/>
      <c r="BWR522" s="1358"/>
      <c r="BWS522" s="1358"/>
      <c r="BWT522" s="1358"/>
      <c r="BWU522" s="1358"/>
      <c r="BWV522" s="1358"/>
      <c r="BWW522" s="1358"/>
      <c r="BWX522" s="1358"/>
      <c r="BWY522" s="1358"/>
      <c r="BWZ522" s="1358"/>
      <c r="BXA522" s="1358"/>
      <c r="BXB522" s="1358"/>
      <c r="BXC522" s="1358"/>
      <c r="BXD522" s="1358"/>
      <c r="BXE522" s="1358"/>
      <c r="BXF522" s="1358"/>
      <c r="BXG522" s="1358"/>
      <c r="BXH522" s="1358"/>
      <c r="BXI522" s="1358"/>
      <c r="BXJ522" s="1358"/>
      <c r="BXK522" s="1358"/>
      <c r="BXL522" s="1358"/>
      <c r="BXM522" s="1358"/>
      <c r="BXN522" s="1358"/>
      <c r="BXO522" s="1358"/>
      <c r="BXP522" s="1358"/>
      <c r="BXQ522" s="1358"/>
      <c r="BXR522" s="1358"/>
      <c r="BXS522" s="1358"/>
      <c r="BXT522" s="1358"/>
      <c r="BXU522" s="1358"/>
      <c r="BXV522" s="1358"/>
      <c r="BXW522" s="1358"/>
      <c r="BXX522" s="1358"/>
      <c r="BXY522" s="1358"/>
      <c r="BXZ522" s="1358"/>
      <c r="BYA522" s="1358"/>
      <c r="BYB522" s="1358"/>
      <c r="BYC522" s="1358"/>
      <c r="BYD522" s="1358"/>
      <c r="BYE522" s="1358"/>
      <c r="BYF522" s="1358"/>
      <c r="BYG522" s="1358"/>
      <c r="BYH522" s="1358"/>
      <c r="BYI522" s="1358"/>
      <c r="BYJ522" s="1358"/>
      <c r="BYK522" s="1358"/>
      <c r="BYL522" s="1358"/>
      <c r="BYM522" s="1358"/>
      <c r="BYN522" s="1358"/>
      <c r="BYO522" s="1358"/>
      <c r="BYP522" s="1358"/>
      <c r="BYQ522" s="1358"/>
      <c r="BYR522" s="1358"/>
      <c r="BYS522" s="1358"/>
      <c r="BYT522" s="1358"/>
      <c r="BYU522" s="1358"/>
      <c r="BYV522" s="1358"/>
      <c r="BYW522" s="1358"/>
      <c r="BYX522" s="1358"/>
      <c r="BYY522" s="1358"/>
      <c r="BYZ522" s="1358"/>
      <c r="BZA522" s="1358"/>
      <c r="BZB522" s="1358"/>
      <c r="BZC522" s="1358"/>
      <c r="BZD522" s="1358"/>
      <c r="BZE522" s="1358"/>
      <c r="BZF522" s="1358"/>
      <c r="BZG522" s="1358"/>
      <c r="BZH522" s="1358"/>
      <c r="BZI522" s="1358"/>
      <c r="BZJ522" s="1358"/>
      <c r="BZK522" s="1358"/>
      <c r="BZL522" s="1358"/>
      <c r="BZM522" s="1358"/>
      <c r="BZN522" s="1358"/>
      <c r="BZO522" s="1358"/>
      <c r="BZP522" s="1358"/>
      <c r="BZQ522" s="1358"/>
      <c r="BZR522" s="1358"/>
      <c r="BZS522" s="1358"/>
      <c r="BZT522" s="1358"/>
      <c r="BZU522" s="1358"/>
      <c r="BZV522" s="1358"/>
      <c r="BZW522" s="1358"/>
      <c r="BZX522" s="1358"/>
      <c r="BZY522" s="1358"/>
      <c r="BZZ522" s="1358"/>
      <c r="CAA522" s="1358"/>
      <c r="CAB522" s="1358"/>
      <c r="CAC522" s="1358"/>
      <c r="CAD522" s="1358"/>
      <c r="CAE522" s="1358"/>
      <c r="CAF522" s="1358"/>
      <c r="CAG522" s="1358"/>
      <c r="CAH522" s="1358"/>
      <c r="CAI522" s="1358"/>
      <c r="CAJ522" s="1358"/>
      <c r="CAK522" s="1358"/>
      <c r="CAL522" s="1358"/>
      <c r="CAM522" s="1358"/>
      <c r="CAN522" s="1358"/>
      <c r="CAO522" s="1358"/>
      <c r="CAP522" s="1358"/>
      <c r="CAQ522" s="1358"/>
      <c r="CAR522" s="1358"/>
      <c r="CAS522" s="1358"/>
      <c r="CAT522" s="1358"/>
      <c r="CAU522" s="1358"/>
      <c r="CAV522" s="1358"/>
      <c r="CAW522" s="1358"/>
      <c r="CAX522" s="1358"/>
      <c r="CAY522" s="1358"/>
      <c r="CAZ522" s="1358"/>
      <c r="CBA522" s="1358"/>
      <c r="CBB522" s="1358"/>
      <c r="CBC522" s="1358"/>
      <c r="CBD522" s="1358"/>
      <c r="CBE522" s="1358"/>
      <c r="CBF522" s="1358"/>
      <c r="CBG522" s="1358"/>
      <c r="CBH522" s="1358"/>
      <c r="CBI522" s="1358"/>
      <c r="CBJ522" s="1358"/>
      <c r="CBK522" s="1358"/>
      <c r="CBL522" s="1358"/>
      <c r="CBM522" s="1358"/>
      <c r="CBN522" s="1358"/>
      <c r="CBO522" s="1358"/>
      <c r="CBP522" s="1358"/>
      <c r="CBQ522" s="1358"/>
      <c r="CBR522" s="1358"/>
      <c r="CBS522" s="1358"/>
      <c r="CBT522" s="1358"/>
      <c r="CBU522" s="1358"/>
      <c r="CBV522" s="1358"/>
      <c r="CBW522" s="1358"/>
      <c r="CBX522" s="1358"/>
      <c r="CBY522" s="1358"/>
      <c r="CBZ522" s="1358"/>
      <c r="CCA522" s="1358"/>
      <c r="CCB522" s="1358"/>
      <c r="CCC522" s="1358"/>
      <c r="CCD522" s="1358"/>
      <c r="CCE522" s="1358"/>
      <c r="CCF522" s="1358"/>
      <c r="CCG522" s="1358"/>
      <c r="CCH522" s="1358"/>
      <c r="CCI522" s="1358"/>
      <c r="CCJ522" s="1358"/>
      <c r="CCK522" s="1358"/>
      <c r="CCL522" s="1358"/>
      <c r="CCM522" s="1358"/>
      <c r="CCN522" s="1358"/>
      <c r="CCO522" s="1358"/>
      <c r="CCP522" s="1358"/>
      <c r="CCQ522" s="1358"/>
      <c r="CCR522" s="1358"/>
      <c r="CCS522" s="1358"/>
      <c r="CCT522" s="1358"/>
      <c r="CCU522" s="1358"/>
      <c r="CCV522" s="1358"/>
      <c r="CCW522" s="1358"/>
      <c r="CCX522" s="1358"/>
      <c r="CCY522" s="1358"/>
      <c r="CCZ522" s="1358"/>
      <c r="CDA522" s="1358"/>
      <c r="CDB522" s="1358"/>
      <c r="CDC522" s="1358"/>
      <c r="CDD522" s="1358"/>
      <c r="CDE522" s="1358"/>
      <c r="CDF522" s="1358"/>
      <c r="CDG522" s="1358"/>
      <c r="CDH522" s="1358"/>
      <c r="CDI522" s="1358"/>
      <c r="CDJ522" s="1358"/>
      <c r="CDK522" s="1358"/>
      <c r="CDL522" s="1358"/>
      <c r="CDM522" s="1358"/>
      <c r="CDN522" s="1358"/>
      <c r="CDO522" s="1358"/>
      <c r="CDP522" s="1358"/>
      <c r="CDQ522" s="1358"/>
      <c r="CDR522" s="1358"/>
      <c r="CDS522" s="1358"/>
      <c r="CDT522" s="1358"/>
      <c r="CDU522" s="1358"/>
      <c r="CDV522" s="1358"/>
      <c r="CDW522" s="1358"/>
      <c r="CDX522" s="1358"/>
      <c r="CDY522" s="1358"/>
      <c r="CDZ522" s="1358"/>
      <c r="CEA522" s="1358"/>
      <c r="CEB522" s="1358"/>
      <c r="CEC522" s="1358"/>
      <c r="CED522" s="1358"/>
      <c r="CEE522" s="1358"/>
      <c r="CEF522" s="1358"/>
      <c r="CEG522" s="1358"/>
      <c r="CEH522" s="1358"/>
      <c r="CEI522" s="1358"/>
      <c r="CEJ522" s="1358"/>
      <c r="CEK522" s="1358"/>
      <c r="CEL522" s="1358"/>
      <c r="CEM522" s="1358"/>
      <c r="CEN522" s="1358"/>
      <c r="CEO522" s="1358"/>
      <c r="CEP522" s="1358"/>
      <c r="CEQ522" s="1358"/>
      <c r="CER522" s="1358"/>
      <c r="CES522" s="1358"/>
      <c r="CET522" s="1358"/>
      <c r="CEU522" s="1358"/>
      <c r="CEV522" s="1358"/>
      <c r="CEW522" s="1358"/>
      <c r="CEX522" s="1358"/>
      <c r="CEY522" s="1358"/>
      <c r="CEZ522" s="1358"/>
      <c r="CFA522" s="1358"/>
      <c r="CFB522" s="1358"/>
      <c r="CFC522" s="1358"/>
      <c r="CFD522" s="1358"/>
      <c r="CFE522" s="1358"/>
      <c r="CFF522" s="1358"/>
      <c r="CFG522" s="1358"/>
      <c r="CFH522" s="1358"/>
      <c r="CFI522" s="1358"/>
      <c r="CFJ522" s="1358"/>
      <c r="CFK522" s="1358"/>
      <c r="CFL522" s="1358"/>
      <c r="CFM522" s="1358"/>
      <c r="CFN522" s="1358"/>
      <c r="CFO522" s="1358"/>
      <c r="CFP522" s="1358"/>
      <c r="CFQ522" s="1358"/>
      <c r="CFR522" s="1358"/>
      <c r="CFS522" s="1358"/>
      <c r="CFT522" s="1358"/>
      <c r="CFU522" s="1358"/>
      <c r="CFV522" s="1358"/>
      <c r="CFW522" s="1358"/>
      <c r="CFX522" s="1358"/>
      <c r="CFY522" s="1358"/>
      <c r="CFZ522" s="1358"/>
      <c r="CGA522" s="1358"/>
      <c r="CGB522" s="1358"/>
      <c r="CGC522" s="1358"/>
      <c r="CGD522" s="1358"/>
      <c r="CGE522" s="1358"/>
      <c r="CGF522" s="1358"/>
      <c r="CGG522" s="1358"/>
      <c r="CGH522" s="1358"/>
      <c r="CGI522" s="1358"/>
      <c r="CGJ522" s="1358"/>
      <c r="CGK522" s="1358"/>
      <c r="CGL522" s="1358"/>
      <c r="CGM522" s="1358"/>
      <c r="CGN522" s="1358"/>
      <c r="CGO522" s="1358"/>
      <c r="CGP522" s="1358"/>
      <c r="CGQ522" s="1358"/>
      <c r="CGR522" s="1358"/>
      <c r="CGS522" s="1358"/>
      <c r="CGT522" s="1358"/>
      <c r="CGU522" s="1358"/>
      <c r="CGV522" s="1358"/>
      <c r="CGW522" s="1358"/>
      <c r="CGX522" s="1358"/>
      <c r="CGY522" s="1358"/>
      <c r="CGZ522" s="1358"/>
      <c r="CHA522" s="1358"/>
      <c r="CHB522" s="1358"/>
      <c r="CHC522" s="1358"/>
      <c r="CHD522" s="1358"/>
      <c r="CHE522" s="1358"/>
      <c r="CHF522" s="1358"/>
      <c r="CHG522" s="1358"/>
      <c r="CHH522" s="1358"/>
      <c r="CHI522" s="1358"/>
      <c r="CHJ522" s="1358"/>
      <c r="CHK522" s="1358"/>
      <c r="CHL522" s="1358"/>
      <c r="CHM522" s="1358"/>
      <c r="CHN522" s="1358"/>
      <c r="CHO522" s="1358"/>
      <c r="CHP522" s="1358"/>
      <c r="CHQ522" s="1358"/>
      <c r="CHR522" s="1358"/>
      <c r="CHS522" s="1358"/>
      <c r="CHT522" s="1358"/>
      <c r="CHU522" s="1358"/>
      <c r="CHV522" s="1358"/>
      <c r="CHW522" s="1358"/>
      <c r="CHX522" s="1358"/>
      <c r="CHY522" s="1358"/>
      <c r="CHZ522" s="1358"/>
      <c r="CIA522" s="1358"/>
      <c r="CIB522" s="1358"/>
      <c r="CIC522" s="1358"/>
      <c r="CID522" s="1358"/>
      <c r="CIE522" s="1358"/>
      <c r="CIF522" s="1358"/>
      <c r="CIG522" s="1358"/>
      <c r="CIH522" s="1358"/>
      <c r="CII522" s="1358"/>
      <c r="CIJ522" s="1358"/>
      <c r="CIK522" s="1358"/>
      <c r="CIL522" s="1358"/>
      <c r="CIM522" s="1358"/>
      <c r="CIN522" s="1358"/>
      <c r="CIO522" s="1358"/>
      <c r="CIP522" s="1358"/>
      <c r="CIQ522" s="1358"/>
      <c r="CIR522" s="1358"/>
      <c r="CIS522" s="1358"/>
      <c r="CIT522" s="1358"/>
      <c r="CIU522" s="1358"/>
      <c r="CIV522" s="1358"/>
      <c r="CIW522" s="1358"/>
      <c r="CIX522" s="1358"/>
      <c r="CIY522" s="1358"/>
      <c r="CIZ522" s="1358"/>
      <c r="CJA522" s="1358"/>
      <c r="CJB522" s="1358"/>
      <c r="CJC522" s="1358"/>
      <c r="CJD522" s="1358"/>
      <c r="CJE522" s="1358"/>
      <c r="CJF522" s="1358"/>
      <c r="CJG522" s="1358"/>
      <c r="CJH522" s="1358"/>
      <c r="CJI522" s="1358"/>
      <c r="CJJ522" s="1358"/>
      <c r="CJK522" s="1358"/>
      <c r="CJL522" s="1358"/>
      <c r="CJM522" s="1358"/>
      <c r="CJN522" s="1358"/>
      <c r="CJO522" s="1358"/>
      <c r="CJP522" s="1358"/>
      <c r="CJQ522" s="1358"/>
      <c r="CJR522" s="1358"/>
      <c r="CJS522" s="1358"/>
      <c r="CJT522" s="1358"/>
      <c r="CJU522" s="1358"/>
      <c r="CJV522" s="1358"/>
      <c r="CJW522" s="1358"/>
      <c r="CJX522" s="1358"/>
      <c r="CJY522" s="1358"/>
      <c r="CJZ522" s="1358"/>
      <c r="CKA522" s="1358"/>
      <c r="CKB522" s="1358"/>
      <c r="CKC522" s="1358"/>
      <c r="CKD522" s="1358"/>
      <c r="CKE522" s="1358"/>
      <c r="CKF522" s="1358"/>
      <c r="CKG522" s="1358"/>
      <c r="CKH522" s="1358"/>
      <c r="CKI522" s="1358"/>
      <c r="CKJ522" s="1358"/>
      <c r="CKK522" s="1358"/>
      <c r="CKL522" s="1358"/>
      <c r="CKM522" s="1358"/>
      <c r="CKN522" s="1358"/>
      <c r="CKO522" s="1358"/>
      <c r="CKP522" s="1358"/>
      <c r="CKQ522" s="1358"/>
      <c r="CKR522" s="1358"/>
      <c r="CKS522" s="1358"/>
      <c r="CKT522" s="1358"/>
      <c r="CKU522" s="1358"/>
      <c r="CKV522" s="1358"/>
      <c r="CKW522" s="1358"/>
      <c r="CKX522" s="1358"/>
      <c r="CKY522" s="1358"/>
      <c r="CKZ522" s="1358"/>
      <c r="CLA522" s="1358"/>
      <c r="CLB522" s="1358"/>
      <c r="CLC522" s="1358"/>
      <c r="CLD522" s="1358"/>
      <c r="CLE522" s="1358"/>
      <c r="CLF522" s="1358"/>
      <c r="CLG522" s="1358"/>
      <c r="CLH522" s="1358"/>
      <c r="CLI522" s="1358"/>
      <c r="CLJ522" s="1358"/>
      <c r="CLK522" s="1358"/>
      <c r="CLL522" s="1358"/>
      <c r="CLM522" s="1358"/>
      <c r="CLN522" s="1358"/>
      <c r="CLO522" s="1358"/>
      <c r="CLP522" s="1358"/>
      <c r="CLQ522" s="1358"/>
      <c r="CLR522" s="1358"/>
      <c r="CLS522" s="1358"/>
      <c r="CLT522" s="1358"/>
      <c r="CLU522" s="1358"/>
      <c r="CLV522" s="1358"/>
      <c r="CLW522" s="1358"/>
      <c r="CLX522" s="1358"/>
      <c r="CLY522" s="1358"/>
      <c r="CLZ522" s="1358"/>
      <c r="CMA522" s="1358"/>
      <c r="CMB522" s="1358"/>
      <c r="CMC522" s="1358"/>
      <c r="CMD522" s="1358"/>
      <c r="CME522" s="1358"/>
      <c r="CMF522" s="1358"/>
      <c r="CMG522" s="1358"/>
      <c r="CMH522" s="1358"/>
      <c r="CMI522" s="1358"/>
      <c r="CMJ522" s="1358"/>
      <c r="CMK522" s="1358"/>
      <c r="CML522" s="1358"/>
      <c r="CMM522" s="1358"/>
      <c r="CMN522" s="1358"/>
      <c r="CMO522" s="1358"/>
      <c r="CMP522" s="1358"/>
      <c r="CMQ522" s="1358"/>
      <c r="CMR522" s="1358"/>
      <c r="CMS522" s="1358"/>
      <c r="CMT522" s="1358"/>
      <c r="CMU522" s="1358"/>
      <c r="CMV522" s="1358"/>
      <c r="CMW522" s="1358"/>
      <c r="CMX522" s="1358"/>
      <c r="CMY522" s="1358"/>
      <c r="CMZ522" s="1358"/>
      <c r="CNA522" s="1358"/>
      <c r="CNB522" s="1358"/>
      <c r="CNC522" s="1358"/>
      <c r="CND522" s="1358"/>
      <c r="CNE522" s="1358"/>
      <c r="CNF522" s="1358"/>
      <c r="CNG522" s="1358"/>
      <c r="CNH522" s="1358"/>
      <c r="CNI522" s="1358"/>
      <c r="CNJ522" s="1358"/>
      <c r="CNK522" s="1358"/>
      <c r="CNL522" s="1358"/>
      <c r="CNM522" s="1358"/>
      <c r="CNN522" s="1358"/>
      <c r="CNO522" s="1358"/>
      <c r="CNP522" s="1358"/>
      <c r="CNQ522" s="1358"/>
      <c r="CNR522" s="1358"/>
      <c r="CNS522" s="1358"/>
      <c r="CNT522" s="1358"/>
      <c r="CNU522" s="1358"/>
      <c r="CNV522" s="1358"/>
      <c r="CNW522" s="1358"/>
      <c r="CNX522" s="1358"/>
      <c r="CNY522" s="1358"/>
      <c r="CNZ522" s="1358"/>
      <c r="COA522" s="1358"/>
      <c r="COB522" s="1358"/>
      <c r="COC522" s="1358"/>
      <c r="COD522" s="1358"/>
      <c r="COE522" s="1358"/>
      <c r="COF522" s="1358"/>
      <c r="COG522" s="1358"/>
      <c r="COH522" s="1358"/>
      <c r="COI522" s="1358"/>
      <c r="COJ522" s="1358"/>
      <c r="COK522" s="1358"/>
      <c r="COL522" s="1358"/>
      <c r="COM522" s="1358"/>
      <c r="CON522" s="1358"/>
      <c r="COO522" s="1358"/>
      <c r="COP522" s="1358"/>
      <c r="COQ522" s="1358"/>
      <c r="COR522" s="1358"/>
      <c r="COS522" s="1358"/>
      <c r="COT522" s="1358"/>
      <c r="COU522" s="1358"/>
      <c r="COV522" s="1358"/>
      <c r="COW522" s="1358"/>
      <c r="COX522" s="1358"/>
      <c r="COY522" s="1358"/>
      <c r="COZ522" s="1358"/>
      <c r="CPA522" s="1358"/>
      <c r="CPB522" s="1358"/>
      <c r="CPC522" s="1358"/>
      <c r="CPD522" s="1358"/>
      <c r="CPE522" s="1358"/>
      <c r="CPF522" s="1358"/>
      <c r="CPG522" s="1358"/>
      <c r="CPH522" s="1358"/>
      <c r="CPI522" s="1358"/>
      <c r="CPJ522" s="1358"/>
      <c r="CPK522" s="1358"/>
      <c r="CPL522" s="1358"/>
      <c r="CPM522" s="1358"/>
      <c r="CPN522" s="1358"/>
      <c r="CPO522" s="1358"/>
      <c r="CPP522" s="1358"/>
      <c r="CPQ522" s="1358"/>
      <c r="CPR522" s="1358"/>
      <c r="CPS522" s="1358"/>
      <c r="CPT522" s="1358"/>
      <c r="CPU522" s="1358"/>
      <c r="CPV522" s="1358"/>
      <c r="CPW522" s="1358"/>
      <c r="CPX522" s="1358"/>
      <c r="CPY522" s="1358"/>
      <c r="CPZ522" s="1358"/>
      <c r="CQA522" s="1358"/>
      <c r="CQB522" s="1358"/>
      <c r="CQC522" s="1358"/>
      <c r="CQD522" s="1358"/>
      <c r="CQE522" s="1358"/>
      <c r="CQF522" s="1358"/>
      <c r="CQG522" s="1358"/>
      <c r="CQH522" s="1358"/>
      <c r="CQI522" s="1358"/>
      <c r="CQJ522" s="1358"/>
      <c r="CQK522" s="1358"/>
      <c r="CQL522" s="1358"/>
      <c r="CQM522" s="1358"/>
      <c r="CQN522" s="1358"/>
      <c r="CQO522" s="1358"/>
      <c r="CQP522" s="1358"/>
      <c r="CQQ522" s="1358"/>
      <c r="CQR522" s="1358"/>
      <c r="CQS522" s="1358"/>
      <c r="CQT522" s="1358"/>
      <c r="CQU522" s="1358"/>
      <c r="CQV522" s="1358"/>
      <c r="CQW522" s="1358"/>
      <c r="CQX522" s="1358"/>
      <c r="CQY522" s="1358"/>
      <c r="CQZ522" s="1358"/>
      <c r="CRA522" s="1358"/>
      <c r="CRB522" s="1358"/>
      <c r="CRC522" s="1358"/>
      <c r="CRD522" s="1358"/>
      <c r="CRE522" s="1358"/>
      <c r="CRF522" s="1358"/>
      <c r="CRG522" s="1358"/>
      <c r="CRH522" s="1358"/>
      <c r="CRI522" s="1358"/>
      <c r="CRJ522" s="1358"/>
      <c r="CRK522" s="1358"/>
      <c r="CRL522" s="1358"/>
      <c r="CRM522" s="1358"/>
      <c r="CRN522" s="1358"/>
      <c r="CRO522" s="1358"/>
      <c r="CRP522" s="1358"/>
      <c r="CRQ522" s="1358"/>
      <c r="CRR522" s="1358"/>
      <c r="CRS522" s="1358"/>
      <c r="CRT522" s="1358"/>
      <c r="CRU522" s="1358"/>
      <c r="CRV522" s="1358"/>
      <c r="CRW522" s="1358"/>
      <c r="CRX522" s="1358"/>
      <c r="CRY522" s="1358"/>
      <c r="CRZ522" s="1358"/>
      <c r="CSA522" s="1358"/>
      <c r="CSB522" s="1358"/>
      <c r="CSC522" s="1358"/>
      <c r="CSD522" s="1358"/>
      <c r="CSE522" s="1358"/>
      <c r="CSF522" s="1358"/>
      <c r="CSG522" s="1358"/>
      <c r="CSH522" s="1358"/>
      <c r="CSI522" s="1358"/>
      <c r="CSJ522" s="1358"/>
      <c r="CSK522" s="1358"/>
      <c r="CSL522" s="1358"/>
      <c r="CSM522" s="1358"/>
      <c r="CSN522" s="1358"/>
      <c r="CSO522" s="1358"/>
      <c r="CSP522" s="1358"/>
      <c r="CSQ522" s="1358"/>
      <c r="CSR522" s="1358"/>
      <c r="CSS522" s="1358"/>
      <c r="CST522" s="1358"/>
      <c r="CSU522" s="1358"/>
      <c r="CSV522" s="1358"/>
      <c r="CSW522" s="1358"/>
      <c r="CSX522" s="1358"/>
      <c r="CSY522" s="1358"/>
      <c r="CSZ522" s="1358"/>
      <c r="CTA522" s="1358"/>
      <c r="CTB522" s="1358"/>
      <c r="CTC522" s="1358"/>
      <c r="CTD522" s="1358"/>
      <c r="CTE522" s="1358"/>
      <c r="CTF522" s="1358"/>
      <c r="CTG522" s="1358"/>
      <c r="CTH522" s="1358"/>
      <c r="CTI522" s="1358"/>
      <c r="CTJ522" s="1358"/>
      <c r="CTK522" s="1358"/>
      <c r="CTL522" s="1358"/>
      <c r="CTM522" s="1358"/>
      <c r="CTN522" s="1358"/>
      <c r="CTO522" s="1358"/>
      <c r="CTP522" s="1358"/>
      <c r="CTQ522" s="1358"/>
      <c r="CTR522" s="1358"/>
      <c r="CTS522" s="1358"/>
      <c r="CTT522" s="1358"/>
      <c r="CTU522" s="1358"/>
      <c r="CTV522" s="1358"/>
      <c r="CTW522" s="1358"/>
      <c r="CTX522" s="1358"/>
      <c r="CTY522" s="1358"/>
      <c r="CTZ522" s="1358"/>
      <c r="CUA522" s="1358"/>
      <c r="CUB522" s="1358"/>
      <c r="CUC522" s="1358"/>
      <c r="CUD522" s="1358"/>
      <c r="CUE522" s="1358"/>
      <c r="CUF522" s="1358"/>
      <c r="CUG522" s="1358"/>
      <c r="CUH522" s="1358"/>
      <c r="CUI522" s="1358"/>
      <c r="CUJ522" s="1358"/>
      <c r="CUK522" s="1358"/>
      <c r="CUL522" s="1358"/>
      <c r="CUM522" s="1358"/>
      <c r="CUN522" s="1358"/>
      <c r="CUO522" s="1358"/>
      <c r="CUP522" s="1358"/>
      <c r="CUQ522" s="1358"/>
      <c r="CUR522" s="1358"/>
      <c r="CUS522" s="1358"/>
      <c r="CUT522" s="1358"/>
      <c r="CUU522" s="1358"/>
      <c r="CUV522" s="1358"/>
      <c r="CUW522" s="1358"/>
      <c r="CUX522" s="1358"/>
      <c r="CUY522" s="1358"/>
      <c r="CUZ522" s="1358"/>
      <c r="CVA522" s="1358"/>
      <c r="CVB522" s="1358"/>
      <c r="CVC522" s="1358"/>
      <c r="CVD522" s="1358"/>
      <c r="CVE522" s="1358"/>
      <c r="CVF522" s="1358"/>
      <c r="CVG522" s="1358"/>
      <c r="CVH522" s="1358"/>
      <c r="CVI522" s="1358"/>
      <c r="CVJ522" s="1358"/>
      <c r="CVK522" s="1358"/>
      <c r="CVL522" s="1358"/>
      <c r="CVM522" s="1358"/>
      <c r="CVN522" s="1358"/>
      <c r="CVO522" s="1358"/>
      <c r="CVP522" s="1358"/>
      <c r="CVQ522" s="1358"/>
      <c r="CVR522" s="1358"/>
      <c r="CVS522" s="1358"/>
      <c r="CVT522" s="1358"/>
      <c r="CVU522" s="1358"/>
      <c r="CVV522" s="1358"/>
      <c r="CVW522" s="1358"/>
      <c r="CVX522" s="1358"/>
      <c r="CVY522" s="1358"/>
      <c r="CVZ522" s="1358"/>
      <c r="CWA522" s="1358"/>
      <c r="CWB522" s="1358"/>
      <c r="CWC522" s="1358"/>
      <c r="CWD522" s="1358"/>
      <c r="CWE522" s="1358"/>
      <c r="CWF522" s="1358"/>
      <c r="CWG522" s="1358"/>
      <c r="CWH522" s="1358"/>
      <c r="CWI522" s="1358"/>
      <c r="CWJ522" s="1358"/>
      <c r="CWK522" s="1358"/>
      <c r="CWL522" s="1358"/>
      <c r="CWM522" s="1358"/>
      <c r="CWN522" s="1358"/>
      <c r="CWO522" s="1358"/>
      <c r="CWP522" s="1358"/>
      <c r="CWQ522" s="1358"/>
      <c r="CWR522" s="1358"/>
      <c r="CWS522" s="1358"/>
      <c r="CWT522" s="1358"/>
      <c r="CWU522" s="1358"/>
      <c r="CWV522" s="1358"/>
      <c r="CWW522" s="1358"/>
      <c r="CWX522" s="1358"/>
      <c r="CWY522" s="1358"/>
      <c r="CWZ522" s="1358"/>
      <c r="CXA522" s="1358"/>
      <c r="CXB522" s="1358"/>
      <c r="CXC522" s="1358"/>
      <c r="CXD522" s="1358"/>
      <c r="CXE522" s="1358"/>
      <c r="CXF522" s="1358"/>
      <c r="CXG522" s="1358"/>
      <c r="CXH522" s="1358"/>
      <c r="CXI522" s="1358"/>
      <c r="CXJ522" s="1358"/>
      <c r="CXK522" s="1358"/>
      <c r="CXL522" s="1358"/>
      <c r="CXM522" s="1358"/>
      <c r="CXN522" s="1358"/>
      <c r="CXO522" s="1358"/>
      <c r="CXP522" s="1358"/>
      <c r="CXQ522" s="1358"/>
      <c r="CXR522" s="1358"/>
      <c r="CXS522" s="1358"/>
      <c r="CXT522" s="1358"/>
      <c r="CXU522" s="1358"/>
      <c r="CXV522" s="1358"/>
      <c r="CXW522" s="1358"/>
      <c r="CXX522" s="1358"/>
      <c r="CXY522" s="1358"/>
      <c r="CXZ522" s="1358"/>
      <c r="CYA522" s="1358"/>
      <c r="CYB522" s="1358"/>
      <c r="CYC522" s="1358"/>
      <c r="CYD522" s="1358"/>
      <c r="CYE522" s="1358"/>
      <c r="CYF522" s="1358"/>
      <c r="CYG522" s="1358"/>
      <c r="CYH522" s="1358"/>
      <c r="CYI522" s="1358"/>
      <c r="CYJ522" s="1358"/>
      <c r="CYK522" s="1358"/>
      <c r="CYL522" s="1358"/>
      <c r="CYM522" s="1358"/>
      <c r="CYN522" s="1358"/>
      <c r="CYO522" s="1358"/>
      <c r="CYP522" s="1358"/>
      <c r="CYQ522" s="1358"/>
      <c r="CYR522" s="1358"/>
      <c r="CYS522" s="1358"/>
      <c r="CYT522" s="1358"/>
      <c r="CYU522" s="1358"/>
      <c r="CYV522" s="1358"/>
      <c r="CYW522" s="1358"/>
      <c r="CYX522" s="1358"/>
      <c r="CYY522" s="1358"/>
      <c r="CYZ522" s="1358"/>
      <c r="CZA522" s="1358"/>
      <c r="CZB522" s="1358"/>
      <c r="CZC522" s="1358"/>
      <c r="CZD522" s="1358"/>
      <c r="CZE522" s="1358"/>
      <c r="CZF522" s="1358"/>
      <c r="CZG522" s="1358"/>
      <c r="CZH522" s="1358"/>
      <c r="CZI522" s="1358"/>
      <c r="CZJ522" s="1358"/>
      <c r="CZK522" s="1358"/>
      <c r="CZL522" s="1358"/>
      <c r="CZM522" s="1358"/>
      <c r="CZN522" s="1358"/>
      <c r="CZO522" s="1358"/>
      <c r="CZP522" s="1358"/>
      <c r="CZQ522" s="1358"/>
      <c r="CZR522" s="1358"/>
      <c r="CZS522" s="1358"/>
      <c r="CZT522" s="1358"/>
      <c r="CZU522" s="1358"/>
      <c r="CZV522" s="1358"/>
      <c r="CZW522" s="1358"/>
      <c r="CZX522" s="1358"/>
      <c r="CZY522" s="1358"/>
      <c r="CZZ522" s="1358"/>
      <c r="DAA522" s="1358"/>
      <c r="DAB522" s="1358"/>
      <c r="DAC522" s="1358"/>
      <c r="DAD522" s="1358"/>
      <c r="DAE522" s="1358"/>
      <c r="DAF522" s="1358"/>
      <c r="DAG522" s="1358"/>
      <c r="DAH522" s="1358"/>
      <c r="DAI522" s="1358"/>
      <c r="DAJ522" s="1358"/>
      <c r="DAK522" s="1358"/>
      <c r="DAL522" s="1358"/>
      <c r="DAM522" s="1358"/>
      <c r="DAN522" s="1358"/>
      <c r="DAO522" s="1358"/>
      <c r="DAP522" s="1358"/>
      <c r="DAQ522" s="1358"/>
      <c r="DAR522" s="1358"/>
      <c r="DAS522" s="1358"/>
      <c r="DAT522" s="1358"/>
      <c r="DAU522" s="1358"/>
      <c r="DAV522" s="1358"/>
      <c r="DAW522" s="1358"/>
      <c r="DAX522" s="1358"/>
      <c r="DAY522" s="1358"/>
      <c r="DAZ522" s="1358"/>
      <c r="DBA522" s="1358"/>
      <c r="DBB522" s="1358"/>
      <c r="DBC522" s="1358"/>
      <c r="DBD522" s="1358"/>
      <c r="DBE522" s="1358"/>
      <c r="DBF522" s="1358"/>
      <c r="DBG522" s="1358"/>
      <c r="DBH522" s="1358"/>
      <c r="DBI522" s="1358"/>
      <c r="DBJ522" s="1358"/>
      <c r="DBK522" s="1358"/>
      <c r="DBL522" s="1358"/>
      <c r="DBM522" s="1358"/>
      <c r="DBN522" s="1358"/>
      <c r="DBO522" s="1358"/>
      <c r="DBP522" s="1358"/>
      <c r="DBQ522" s="1358"/>
      <c r="DBR522" s="1358"/>
      <c r="DBS522" s="1358"/>
      <c r="DBT522" s="1358"/>
      <c r="DBU522" s="1358"/>
      <c r="DBV522" s="1358"/>
      <c r="DBW522" s="1358"/>
      <c r="DBX522" s="1358"/>
      <c r="DBY522" s="1358"/>
      <c r="DBZ522" s="1358"/>
      <c r="DCA522" s="1358"/>
      <c r="DCB522" s="1358"/>
      <c r="DCC522" s="1358"/>
      <c r="DCD522" s="1358"/>
      <c r="DCE522" s="1358"/>
      <c r="DCF522" s="1358"/>
      <c r="DCG522" s="1358"/>
      <c r="DCH522" s="1358"/>
      <c r="DCI522" s="1358"/>
      <c r="DCJ522" s="1358"/>
      <c r="DCK522" s="1358"/>
      <c r="DCL522" s="1358"/>
      <c r="DCM522" s="1358"/>
      <c r="DCN522" s="1358"/>
      <c r="DCO522" s="1358"/>
      <c r="DCP522" s="1358"/>
      <c r="DCQ522" s="1358"/>
      <c r="DCR522" s="1358"/>
      <c r="DCS522" s="1358"/>
      <c r="DCT522" s="1358"/>
      <c r="DCU522" s="1358"/>
      <c r="DCV522" s="1358"/>
      <c r="DCW522" s="1358"/>
      <c r="DCX522" s="1358"/>
      <c r="DCY522" s="1358"/>
      <c r="DCZ522" s="1358"/>
      <c r="DDA522" s="1358"/>
      <c r="DDB522" s="1358"/>
      <c r="DDC522" s="1358"/>
      <c r="DDD522" s="1358"/>
      <c r="DDE522" s="1358"/>
      <c r="DDF522" s="1358"/>
      <c r="DDG522" s="1358"/>
      <c r="DDH522" s="1358"/>
      <c r="DDI522" s="1358"/>
      <c r="DDJ522" s="1358"/>
      <c r="DDK522" s="1358"/>
      <c r="DDL522" s="1358"/>
      <c r="DDM522" s="1358"/>
      <c r="DDN522" s="1358"/>
      <c r="DDO522" s="1358"/>
      <c r="DDP522" s="1358"/>
      <c r="DDQ522" s="1358"/>
      <c r="DDR522" s="1358"/>
      <c r="DDS522" s="1358"/>
      <c r="DDT522" s="1358"/>
      <c r="DDU522" s="1358"/>
      <c r="DDV522" s="1358"/>
      <c r="DDW522" s="1358"/>
      <c r="DDX522" s="1358"/>
      <c r="DDY522" s="1358"/>
      <c r="DDZ522" s="1358"/>
      <c r="DEA522" s="1358"/>
      <c r="DEB522" s="1358"/>
      <c r="DEC522" s="1358"/>
      <c r="DED522" s="1358"/>
      <c r="DEE522" s="1358"/>
      <c r="DEF522" s="1358"/>
      <c r="DEG522" s="1358"/>
      <c r="DEH522" s="1358"/>
      <c r="DEI522" s="1358"/>
      <c r="DEJ522" s="1358"/>
      <c r="DEK522" s="1358"/>
      <c r="DEL522" s="1358"/>
      <c r="DEM522" s="1358"/>
      <c r="DEN522" s="1358"/>
      <c r="DEO522" s="1358"/>
      <c r="DEP522" s="1358"/>
      <c r="DEQ522" s="1358"/>
      <c r="DER522" s="1358"/>
      <c r="DES522" s="1358"/>
      <c r="DET522" s="1358"/>
      <c r="DEU522" s="1358"/>
      <c r="DEV522" s="1358"/>
      <c r="DEW522" s="1358"/>
      <c r="DEX522" s="1358"/>
      <c r="DEY522" s="1358"/>
      <c r="DEZ522" s="1358"/>
      <c r="DFA522" s="1358"/>
      <c r="DFB522" s="1358"/>
      <c r="DFC522" s="1358"/>
      <c r="DFD522" s="1358"/>
      <c r="DFE522" s="1358"/>
      <c r="DFF522" s="1358"/>
      <c r="DFG522" s="1358"/>
      <c r="DFH522" s="1358"/>
      <c r="DFI522" s="1358"/>
      <c r="DFJ522" s="1358"/>
      <c r="DFK522" s="1358"/>
      <c r="DFL522" s="1358"/>
      <c r="DFM522" s="1358"/>
      <c r="DFN522" s="1358"/>
      <c r="DFO522" s="1358"/>
      <c r="DFP522" s="1358"/>
      <c r="DFQ522" s="1358"/>
      <c r="DFR522" s="1358"/>
      <c r="DFS522" s="1358"/>
      <c r="DFT522" s="1358"/>
      <c r="DFU522" s="1358"/>
      <c r="DFV522" s="1358"/>
      <c r="DFW522" s="1358"/>
      <c r="DFX522" s="1358"/>
      <c r="DFY522" s="1358"/>
      <c r="DFZ522" s="1358"/>
      <c r="DGA522" s="1358"/>
      <c r="DGB522" s="1358"/>
      <c r="DGC522" s="1358"/>
      <c r="DGD522" s="1358"/>
      <c r="DGE522" s="1358"/>
      <c r="DGF522" s="1358"/>
      <c r="DGG522" s="1358"/>
      <c r="DGH522" s="1358"/>
      <c r="DGI522" s="1358"/>
      <c r="DGJ522" s="1358"/>
      <c r="DGK522" s="1358"/>
      <c r="DGL522" s="1358"/>
      <c r="DGM522" s="1358"/>
      <c r="DGN522" s="1358"/>
      <c r="DGO522" s="1358"/>
      <c r="DGP522" s="1358"/>
      <c r="DGQ522" s="1358"/>
      <c r="DGR522" s="1358"/>
      <c r="DGS522" s="1358"/>
      <c r="DGT522" s="1358"/>
      <c r="DGU522" s="1358"/>
      <c r="DGV522" s="1358"/>
      <c r="DGW522" s="1358"/>
      <c r="DGX522" s="1358"/>
      <c r="DGY522" s="1358"/>
      <c r="DGZ522" s="1358"/>
      <c r="DHA522" s="1358"/>
      <c r="DHB522" s="1358"/>
      <c r="DHC522" s="1358"/>
      <c r="DHD522" s="1358"/>
      <c r="DHE522" s="1358"/>
      <c r="DHF522" s="1358"/>
      <c r="DHG522" s="1358"/>
      <c r="DHH522" s="1358"/>
      <c r="DHI522" s="1358"/>
      <c r="DHJ522" s="1358"/>
      <c r="DHK522" s="1358"/>
      <c r="DHL522" s="1358"/>
      <c r="DHM522" s="1358"/>
      <c r="DHN522" s="1358"/>
      <c r="DHO522" s="1358"/>
      <c r="DHP522" s="1358"/>
      <c r="DHQ522" s="1358"/>
      <c r="DHR522" s="1358"/>
      <c r="DHS522" s="1358"/>
      <c r="DHT522" s="1358"/>
      <c r="DHU522" s="1358"/>
      <c r="DHV522" s="1358"/>
      <c r="DHW522" s="1358"/>
      <c r="DHX522" s="1358"/>
      <c r="DHY522" s="1358"/>
      <c r="DHZ522" s="1358"/>
      <c r="DIA522" s="1358"/>
      <c r="DIB522" s="1358"/>
      <c r="DIC522" s="1358"/>
      <c r="DID522" s="1358"/>
      <c r="DIE522" s="1358"/>
      <c r="DIF522" s="1358"/>
      <c r="DIG522" s="1358"/>
      <c r="DIH522" s="1358"/>
      <c r="DII522" s="1358"/>
      <c r="DIJ522" s="1358"/>
      <c r="DIK522" s="1358"/>
      <c r="DIL522" s="1358"/>
      <c r="DIM522" s="1358"/>
      <c r="DIN522" s="1358"/>
      <c r="DIO522" s="1358"/>
      <c r="DIP522" s="1358"/>
      <c r="DIQ522" s="1358"/>
      <c r="DIR522" s="1358"/>
      <c r="DIS522" s="1358"/>
      <c r="DIT522" s="1358"/>
      <c r="DIU522" s="1358"/>
      <c r="DIV522" s="1358"/>
      <c r="DIW522" s="1358"/>
      <c r="DIX522" s="1358"/>
      <c r="DIY522" s="1358"/>
      <c r="DIZ522" s="1358"/>
      <c r="DJA522" s="1358"/>
      <c r="DJB522" s="1358"/>
      <c r="DJC522" s="1358"/>
      <c r="DJD522" s="1358"/>
      <c r="DJE522" s="1358"/>
      <c r="DJF522" s="1358"/>
      <c r="DJG522" s="1358"/>
      <c r="DJH522" s="1358"/>
      <c r="DJI522" s="1358"/>
      <c r="DJJ522" s="1358"/>
      <c r="DJK522" s="1358"/>
      <c r="DJL522" s="1358"/>
      <c r="DJM522" s="1358"/>
      <c r="DJN522" s="1358"/>
      <c r="DJO522" s="1358"/>
      <c r="DJP522" s="1358"/>
      <c r="DJQ522" s="1358"/>
      <c r="DJR522" s="1358"/>
      <c r="DJS522" s="1358"/>
      <c r="DJT522" s="1358"/>
      <c r="DJU522" s="1358"/>
      <c r="DJV522" s="1358"/>
      <c r="DJW522" s="1358"/>
      <c r="DJX522" s="1358"/>
      <c r="DJY522" s="1358"/>
      <c r="DJZ522" s="1358"/>
      <c r="DKA522" s="1358"/>
      <c r="DKB522" s="1358"/>
      <c r="DKC522" s="1358"/>
      <c r="DKD522" s="1358"/>
      <c r="DKE522" s="1358"/>
      <c r="DKF522" s="1358"/>
      <c r="DKG522" s="1358"/>
      <c r="DKH522" s="1358"/>
      <c r="DKI522" s="1358"/>
      <c r="DKJ522" s="1358"/>
      <c r="DKK522" s="1358"/>
      <c r="DKL522" s="1358"/>
      <c r="DKM522" s="1358"/>
      <c r="DKN522" s="1358"/>
      <c r="DKO522" s="1358"/>
      <c r="DKP522" s="1358"/>
      <c r="DKQ522" s="1358"/>
      <c r="DKR522" s="1358"/>
      <c r="DKS522" s="1358"/>
      <c r="DKT522" s="1358"/>
      <c r="DKU522" s="1358"/>
      <c r="DKV522" s="1358"/>
      <c r="DKW522" s="1358"/>
      <c r="DKX522" s="1358"/>
      <c r="DKY522" s="1358"/>
      <c r="DKZ522" s="1358"/>
      <c r="DLA522" s="1358"/>
      <c r="DLB522" s="1358"/>
      <c r="DLC522" s="1358"/>
      <c r="DLD522" s="1358"/>
      <c r="DLE522" s="1358"/>
      <c r="DLF522" s="1358"/>
      <c r="DLG522" s="1358"/>
      <c r="DLH522" s="1358"/>
      <c r="DLI522" s="1358"/>
      <c r="DLJ522" s="1358"/>
      <c r="DLK522" s="1358"/>
      <c r="DLL522" s="1358"/>
      <c r="DLM522" s="1358"/>
      <c r="DLN522" s="1358"/>
      <c r="DLO522" s="1358"/>
      <c r="DLP522" s="1358"/>
      <c r="DLQ522" s="1358"/>
      <c r="DLR522" s="1358"/>
      <c r="DLS522" s="1358"/>
      <c r="DLT522" s="1358"/>
      <c r="DLU522" s="1358"/>
      <c r="DLV522" s="1358"/>
      <c r="DLW522" s="1358"/>
      <c r="DLX522" s="1358"/>
      <c r="DLY522" s="1358"/>
      <c r="DLZ522" s="1358"/>
      <c r="DMA522" s="1358"/>
      <c r="DMB522" s="1358"/>
      <c r="DMC522" s="1358"/>
      <c r="DMD522" s="1358"/>
      <c r="DME522" s="1358"/>
      <c r="DMF522" s="1358"/>
      <c r="DMG522" s="1358"/>
      <c r="DMH522" s="1358"/>
      <c r="DMI522" s="1358"/>
      <c r="DMJ522" s="1358"/>
      <c r="DMK522" s="1358"/>
      <c r="DML522" s="1358"/>
      <c r="DMM522" s="1358"/>
      <c r="DMN522" s="1358"/>
      <c r="DMO522" s="1358"/>
      <c r="DMP522" s="1358"/>
      <c r="DMQ522" s="1358"/>
      <c r="DMR522" s="1358"/>
      <c r="DMS522" s="1358"/>
      <c r="DMT522" s="1358"/>
      <c r="DMU522" s="1358"/>
      <c r="DMV522" s="1358"/>
      <c r="DMW522" s="1358"/>
      <c r="DMX522" s="1358"/>
      <c r="DMY522" s="1358"/>
      <c r="DMZ522" s="1358"/>
      <c r="DNA522" s="1358"/>
      <c r="DNB522" s="1358"/>
      <c r="DNC522" s="1358"/>
      <c r="DND522" s="1358"/>
      <c r="DNE522" s="1358"/>
      <c r="DNF522" s="1358"/>
      <c r="DNG522" s="1358"/>
      <c r="DNH522" s="1358"/>
      <c r="DNI522" s="1358"/>
      <c r="DNJ522" s="1358"/>
      <c r="DNK522" s="1358"/>
      <c r="DNL522" s="1358"/>
      <c r="DNM522" s="1358"/>
      <c r="DNN522" s="1358"/>
      <c r="DNO522" s="1358"/>
      <c r="DNP522" s="1358"/>
      <c r="DNQ522" s="1358"/>
      <c r="DNR522" s="1358"/>
      <c r="DNS522" s="1358"/>
      <c r="DNT522" s="1358"/>
      <c r="DNU522" s="1358"/>
      <c r="DNV522" s="1358"/>
      <c r="DNW522" s="1358"/>
      <c r="DNX522" s="1358"/>
      <c r="DNY522" s="1358"/>
      <c r="DNZ522" s="1358"/>
      <c r="DOA522" s="1358"/>
      <c r="DOB522" s="1358"/>
      <c r="DOC522" s="1358"/>
      <c r="DOD522" s="1358"/>
      <c r="DOE522" s="1358"/>
      <c r="DOF522" s="1358"/>
      <c r="DOG522" s="1358"/>
      <c r="DOH522" s="1358"/>
      <c r="DOI522" s="1358"/>
      <c r="DOJ522" s="1358"/>
      <c r="DOK522" s="1358"/>
      <c r="DOL522" s="1358"/>
      <c r="DOM522" s="1358"/>
      <c r="DON522" s="1358"/>
      <c r="DOO522" s="1358"/>
      <c r="DOP522" s="1358"/>
      <c r="DOQ522" s="1358"/>
      <c r="DOR522" s="1358"/>
      <c r="DOS522" s="1358"/>
      <c r="DOT522" s="1358"/>
      <c r="DOU522" s="1358"/>
      <c r="DOV522" s="1358"/>
      <c r="DOW522" s="1358"/>
      <c r="DOX522" s="1358"/>
      <c r="DOY522" s="1358"/>
      <c r="DOZ522" s="1358"/>
      <c r="DPA522" s="1358"/>
      <c r="DPB522" s="1358"/>
      <c r="DPC522" s="1358"/>
      <c r="DPD522" s="1358"/>
      <c r="DPE522" s="1358"/>
      <c r="DPF522" s="1358"/>
      <c r="DPG522" s="1358"/>
      <c r="DPH522" s="1358"/>
      <c r="DPI522" s="1358"/>
      <c r="DPJ522" s="1358"/>
      <c r="DPK522" s="1358"/>
      <c r="DPL522" s="1358"/>
      <c r="DPM522" s="1358"/>
      <c r="DPN522" s="1358"/>
      <c r="DPO522" s="1358"/>
      <c r="DPP522" s="1358"/>
      <c r="DPQ522" s="1358"/>
      <c r="DPR522" s="1358"/>
      <c r="DPS522" s="1358"/>
      <c r="DPT522" s="1358"/>
      <c r="DPU522" s="1358"/>
      <c r="DPV522" s="1358"/>
      <c r="DPW522" s="1358"/>
      <c r="DPX522" s="1358"/>
      <c r="DPY522" s="1358"/>
      <c r="DPZ522" s="1358"/>
      <c r="DQA522" s="1358"/>
      <c r="DQB522" s="1358"/>
      <c r="DQC522" s="1358"/>
      <c r="DQD522" s="1358"/>
      <c r="DQE522" s="1358"/>
      <c r="DQF522" s="1358"/>
      <c r="DQG522" s="1358"/>
      <c r="DQH522" s="1358"/>
      <c r="DQI522" s="1358"/>
      <c r="DQJ522" s="1358"/>
      <c r="DQK522" s="1358"/>
      <c r="DQL522" s="1358"/>
      <c r="DQM522" s="1358"/>
      <c r="DQN522" s="1358"/>
      <c r="DQO522" s="1358"/>
      <c r="DQP522" s="1358"/>
      <c r="DQQ522" s="1358"/>
      <c r="DQR522" s="1358"/>
      <c r="DQS522" s="1358"/>
      <c r="DQT522" s="1358"/>
      <c r="DQU522" s="1358"/>
      <c r="DQV522" s="1358"/>
      <c r="DQW522" s="1358"/>
      <c r="DQX522" s="1358"/>
      <c r="DQY522" s="1358"/>
      <c r="DQZ522" s="1358"/>
      <c r="DRA522" s="1358"/>
      <c r="DRB522" s="1358"/>
      <c r="DRC522" s="1358"/>
      <c r="DRD522" s="1358"/>
      <c r="DRE522" s="1358"/>
      <c r="DRF522" s="1358"/>
      <c r="DRG522" s="1358"/>
      <c r="DRH522" s="1358"/>
      <c r="DRI522" s="1358"/>
      <c r="DRJ522" s="1358"/>
      <c r="DRK522" s="1358"/>
      <c r="DRL522" s="1358"/>
      <c r="DRM522" s="1358"/>
      <c r="DRN522" s="1358"/>
      <c r="DRO522" s="1358"/>
      <c r="DRP522" s="1358"/>
      <c r="DRQ522" s="1358"/>
      <c r="DRR522" s="1358"/>
      <c r="DRS522" s="1358"/>
      <c r="DRT522" s="1358"/>
      <c r="DRU522" s="1358"/>
      <c r="DRV522" s="1358"/>
      <c r="DRW522" s="1358"/>
      <c r="DRX522" s="1358"/>
      <c r="DRY522" s="1358"/>
      <c r="DRZ522" s="1358"/>
      <c r="DSA522" s="1358"/>
      <c r="DSB522" s="1358"/>
      <c r="DSC522" s="1358"/>
      <c r="DSD522" s="1358"/>
      <c r="DSE522" s="1358"/>
      <c r="DSF522" s="1358"/>
      <c r="DSG522" s="1358"/>
      <c r="DSH522" s="1358"/>
      <c r="DSI522" s="1358"/>
      <c r="DSJ522" s="1358"/>
      <c r="DSK522" s="1358"/>
      <c r="DSL522" s="1358"/>
      <c r="DSM522" s="1358"/>
      <c r="DSN522" s="1358"/>
      <c r="DSO522" s="1358"/>
      <c r="DSP522" s="1358"/>
      <c r="DSQ522" s="1358"/>
      <c r="DSR522" s="1358"/>
      <c r="DSS522" s="1358"/>
      <c r="DST522" s="1358"/>
      <c r="DSU522" s="1358"/>
      <c r="DSV522" s="1358"/>
      <c r="DSW522" s="1358"/>
      <c r="DSX522" s="1358"/>
      <c r="DSY522" s="1358"/>
      <c r="DSZ522" s="1358"/>
      <c r="DTA522" s="1358"/>
      <c r="DTB522" s="1358"/>
      <c r="DTC522" s="1358"/>
      <c r="DTD522" s="1358"/>
      <c r="DTE522" s="1358"/>
      <c r="DTF522" s="1358"/>
      <c r="DTG522" s="1358"/>
      <c r="DTH522" s="1358"/>
      <c r="DTI522" s="1358"/>
      <c r="DTJ522" s="1358"/>
      <c r="DTK522" s="1358"/>
      <c r="DTL522" s="1358"/>
      <c r="DTM522" s="1358"/>
      <c r="DTN522" s="1358"/>
      <c r="DTO522" s="1358"/>
      <c r="DTP522" s="1358"/>
      <c r="DTQ522" s="1358"/>
      <c r="DTR522" s="1358"/>
      <c r="DTS522" s="1358"/>
      <c r="DTT522" s="1358"/>
      <c r="DTU522" s="1358"/>
      <c r="DTV522" s="1358"/>
      <c r="DTW522" s="1358"/>
      <c r="DTX522" s="1358"/>
      <c r="DTY522" s="1358"/>
      <c r="DTZ522" s="1358"/>
      <c r="DUA522" s="1358"/>
      <c r="DUB522" s="1358"/>
      <c r="DUC522" s="1358"/>
      <c r="DUD522" s="1358"/>
      <c r="DUE522" s="1358"/>
      <c r="DUF522" s="1358"/>
      <c r="DUG522" s="1358"/>
      <c r="DUH522" s="1358"/>
      <c r="DUI522" s="1358"/>
      <c r="DUJ522" s="1358"/>
      <c r="DUK522" s="1358"/>
      <c r="DUL522" s="1358"/>
      <c r="DUM522" s="1358"/>
      <c r="DUN522" s="1358"/>
      <c r="DUO522" s="1358"/>
      <c r="DUP522" s="1358"/>
      <c r="DUQ522" s="1358"/>
      <c r="DUR522" s="1358"/>
      <c r="DUS522" s="1358"/>
      <c r="DUT522" s="1358"/>
      <c r="DUU522" s="1358"/>
      <c r="DUV522" s="1358"/>
      <c r="DUW522" s="1358"/>
      <c r="DUX522" s="1358"/>
      <c r="DUY522" s="1358"/>
      <c r="DUZ522" s="1358"/>
      <c r="DVA522" s="1358"/>
      <c r="DVB522" s="1358"/>
      <c r="DVC522" s="1358"/>
      <c r="DVD522" s="1358"/>
      <c r="DVE522" s="1358"/>
      <c r="DVF522" s="1358"/>
      <c r="DVG522" s="1358"/>
      <c r="DVH522" s="1358"/>
      <c r="DVI522" s="1358"/>
      <c r="DVJ522" s="1358"/>
      <c r="DVK522" s="1358"/>
      <c r="DVL522" s="1358"/>
      <c r="DVM522" s="1358"/>
      <c r="DVN522" s="1358"/>
      <c r="DVO522" s="1358"/>
      <c r="DVP522" s="1358"/>
      <c r="DVQ522" s="1358"/>
      <c r="DVR522" s="1358"/>
      <c r="DVS522" s="1358"/>
      <c r="DVT522" s="1358"/>
      <c r="DVU522" s="1358"/>
      <c r="DVV522" s="1358"/>
      <c r="DVW522" s="1358"/>
      <c r="DVX522" s="1358"/>
      <c r="DVY522" s="1358"/>
      <c r="DVZ522" s="1358"/>
      <c r="DWA522" s="1358"/>
      <c r="DWB522" s="1358"/>
      <c r="DWC522" s="1358"/>
      <c r="DWD522" s="1358"/>
      <c r="DWE522" s="1358"/>
      <c r="DWF522" s="1358"/>
      <c r="DWG522" s="1358"/>
      <c r="DWH522" s="1358"/>
      <c r="DWI522" s="1358"/>
      <c r="DWJ522" s="1358"/>
      <c r="DWK522" s="1358"/>
      <c r="DWL522" s="1358"/>
      <c r="DWM522" s="1358"/>
      <c r="DWN522" s="1358"/>
      <c r="DWO522" s="1358"/>
      <c r="DWP522" s="1358"/>
      <c r="DWQ522" s="1358"/>
      <c r="DWR522" s="1358"/>
      <c r="DWS522" s="1358"/>
      <c r="DWT522" s="1358"/>
      <c r="DWU522" s="1358"/>
      <c r="DWV522" s="1358"/>
      <c r="DWW522" s="1358"/>
      <c r="DWX522" s="1358"/>
      <c r="DWY522" s="1358"/>
      <c r="DWZ522" s="1358"/>
      <c r="DXA522" s="1358"/>
      <c r="DXB522" s="1358"/>
      <c r="DXC522" s="1358"/>
      <c r="DXD522" s="1358"/>
      <c r="DXE522" s="1358"/>
      <c r="DXF522" s="1358"/>
      <c r="DXG522" s="1358"/>
      <c r="DXH522" s="1358"/>
      <c r="DXI522" s="1358"/>
      <c r="DXJ522" s="1358"/>
      <c r="DXK522" s="1358"/>
      <c r="DXL522" s="1358"/>
      <c r="DXM522" s="1358"/>
      <c r="DXN522" s="1358"/>
      <c r="DXO522" s="1358"/>
      <c r="DXP522" s="1358"/>
      <c r="DXQ522" s="1358"/>
      <c r="DXR522" s="1358"/>
      <c r="DXS522" s="1358"/>
      <c r="DXT522" s="1358"/>
      <c r="DXU522" s="1358"/>
      <c r="DXV522" s="1358"/>
      <c r="DXW522" s="1358"/>
      <c r="DXX522" s="1358"/>
      <c r="DXY522" s="1358"/>
      <c r="DXZ522" s="1358"/>
      <c r="DYA522" s="1358"/>
      <c r="DYB522" s="1358"/>
      <c r="DYC522" s="1358"/>
      <c r="DYD522" s="1358"/>
      <c r="DYE522" s="1358"/>
      <c r="DYF522" s="1358"/>
      <c r="DYG522" s="1358"/>
      <c r="DYH522" s="1358"/>
      <c r="DYI522" s="1358"/>
      <c r="DYJ522" s="1358"/>
      <c r="DYK522" s="1358"/>
      <c r="DYL522" s="1358"/>
      <c r="DYM522" s="1358"/>
      <c r="DYN522" s="1358"/>
      <c r="DYO522" s="1358"/>
      <c r="DYP522" s="1358"/>
      <c r="DYQ522" s="1358"/>
      <c r="DYR522" s="1358"/>
      <c r="DYS522" s="1358"/>
      <c r="DYT522" s="1358"/>
      <c r="DYU522" s="1358"/>
      <c r="DYV522" s="1358"/>
      <c r="DYW522" s="1358"/>
      <c r="DYX522" s="1358"/>
      <c r="DYY522" s="1358"/>
      <c r="DYZ522" s="1358"/>
      <c r="DZA522" s="1358"/>
      <c r="DZB522" s="1358"/>
      <c r="DZC522" s="1358"/>
      <c r="DZD522" s="1358"/>
      <c r="DZE522" s="1358"/>
      <c r="DZF522" s="1358"/>
      <c r="DZG522" s="1358"/>
      <c r="DZH522" s="1358"/>
      <c r="DZI522" s="1358"/>
      <c r="DZJ522" s="1358"/>
      <c r="DZK522" s="1358"/>
      <c r="DZL522" s="1358"/>
      <c r="DZM522" s="1358"/>
      <c r="DZN522" s="1358"/>
      <c r="DZO522" s="1358"/>
      <c r="DZP522" s="1358"/>
      <c r="DZQ522" s="1358"/>
      <c r="DZR522" s="1358"/>
      <c r="DZS522" s="1358"/>
      <c r="DZT522" s="1358"/>
      <c r="DZU522" s="1358"/>
      <c r="DZV522" s="1358"/>
      <c r="DZW522" s="1358"/>
      <c r="DZX522" s="1358"/>
      <c r="DZY522" s="1358"/>
      <c r="DZZ522" s="1358"/>
      <c r="EAA522" s="1358"/>
      <c r="EAB522" s="1358"/>
      <c r="EAC522" s="1358"/>
      <c r="EAD522" s="1358"/>
      <c r="EAE522" s="1358"/>
      <c r="EAF522" s="1358"/>
      <c r="EAG522" s="1358"/>
      <c r="EAH522" s="1358"/>
      <c r="EAI522" s="1358"/>
      <c r="EAJ522" s="1358"/>
      <c r="EAK522" s="1358"/>
      <c r="EAL522" s="1358"/>
      <c r="EAM522" s="1358"/>
      <c r="EAN522" s="1358"/>
      <c r="EAO522" s="1358"/>
      <c r="EAP522" s="1358"/>
      <c r="EAQ522" s="1358"/>
      <c r="EAR522" s="1358"/>
      <c r="EAS522" s="1358"/>
      <c r="EAT522" s="1358"/>
      <c r="EAU522" s="1358"/>
      <c r="EAV522" s="1358"/>
      <c r="EAW522" s="1358"/>
      <c r="EAX522" s="1358"/>
      <c r="EAY522" s="1358"/>
      <c r="EAZ522" s="1358"/>
      <c r="EBA522" s="1358"/>
      <c r="EBB522" s="1358"/>
      <c r="EBC522" s="1358"/>
      <c r="EBD522" s="1358"/>
      <c r="EBE522" s="1358"/>
      <c r="EBF522" s="1358"/>
      <c r="EBG522" s="1358"/>
      <c r="EBH522" s="1358"/>
      <c r="EBI522" s="1358"/>
      <c r="EBJ522" s="1358"/>
      <c r="EBK522" s="1358"/>
      <c r="EBL522" s="1358"/>
      <c r="EBM522" s="1358"/>
      <c r="EBN522" s="1358"/>
      <c r="EBO522" s="1358"/>
      <c r="EBP522" s="1358"/>
      <c r="EBQ522" s="1358"/>
      <c r="EBR522" s="1358"/>
      <c r="EBS522" s="1358"/>
      <c r="EBT522" s="1358"/>
      <c r="EBU522" s="1358"/>
      <c r="EBV522" s="1358"/>
      <c r="EBW522" s="1358"/>
      <c r="EBX522" s="1358"/>
      <c r="EBY522" s="1358"/>
      <c r="EBZ522" s="1358"/>
      <c r="ECA522" s="1358"/>
      <c r="ECB522" s="1358"/>
      <c r="ECC522" s="1358"/>
      <c r="ECD522" s="1358"/>
      <c r="ECE522" s="1358"/>
      <c r="ECF522" s="1358"/>
      <c r="ECG522" s="1358"/>
      <c r="ECH522" s="1358"/>
      <c r="ECI522" s="1358"/>
      <c r="ECJ522" s="1358"/>
      <c r="ECK522" s="1358"/>
      <c r="ECL522" s="1358"/>
      <c r="ECM522" s="1358"/>
      <c r="ECN522" s="1358"/>
      <c r="ECO522" s="1358"/>
      <c r="ECP522" s="1358"/>
      <c r="ECQ522" s="1358"/>
      <c r="ECR522" s="1358"/>
      <c r="ECS522" s="1358"/>
      <c r="ECT522" s="1358"/>
      <c r="ECU522" s="1358"/>
      <c r="ECV522" s="1358"/>
      <c r="ECW522" s="1358"/>
      <c r="ECX522" s="1358"/>
      <c r="ECY522" s="1358"/>
      <c r="ECZ522" s="1358"/>
      <c r="EDA522" s="1358"/>
      <c r="EDB522" s="1358"/>
      <c r="EDC522" s="1358"/>
      <c r="EDD522" s="1358"/>
      <c r="EDE522" s="1358"/>
      <c r="EDF522" s="1358"/>
      <c r="EDG522" s="1358"/>
      <c r="EDH522" s="1358"/>
      <c r="EDI522" s="1358"/>
      <c r="EDJ522" s="1358"/>
      <c r="EDK522" s="1358"/>
      <c r="EDL522" s="1358"/>
      <c r="EDM522" s="1358"/>
      <c r="EDN522" s="1358"/>
      <c r="EDO522" s="1358"/>
      <c r="EDP522" s="1358"/>
      <c r="EDQ522" s="1358"/>
      <c r="EDR522" s="1358"/>
      <c r="EDS522" s="1358"/>
      <c r="EDT522" s="1358"/>
      <c r="EDU522" s="1358"/>
      <c r="EDV522" s="1358"/>
      <c r="EDW522" s="1358"/>
      <c r="EDX522" s="1358"/>
      <c r="EDY522" s="1358"/>
      <c r="EDZ522" s="1358"/>
      <c r="EEA522" s="1358"/>
      <c r="EEB522" s="1358"/>
      <c r="EEC522" s="1358"/>
      <c r="EED522" s="1358"/>
      <c r="EEE522" s="1358"/>
      <c r="EEF522" s="1358"/>
      <c r="EEG522" s="1358"/>
      <c r="EEH522" s="1358"/>
      <c r="EEI522" s="1358"/>
      <c r="EEJ522" s="1358"/>
      <c r="EEK522" s="1358"/>
      <c r="EEL522" s="1358"/>
      <c r="EEM522" s="1358"/>
      <c r="EEN522" s="1358"/>
      <c r="EEO522" s="1358"/>
      <c r="EEP522" s="1358"/>
      <c r="EEQ522" s="1358"/>
      <c r="EER522" s="1358"/>
      <c r="EES522" s="1358"/>
      <c r="EET522" s="1358"/>
      <c r="EEU522" s="1358"/>
      <c r="EEV522" s="1358"/>
      <c r="EEW522" s="1358"/>
      <c r="EEX522" s="1358"/>
      <c r="EEY522" s="1358"/>
      <c r="EEZ522" s="1358"/>
      <c r="EFA522" s="1358"/>
      <c r="EFB522" s="1358"/>
      <c r="EFC522" s="1358"/>
      <c r="EFD522" s="1358"/>
      <c r="EFE522" s="1358"/>
      <c r="EFF522" s="1358"/>
      <c r="EFG522" s="1358"/>
      <c r="EFH522" s="1358"/>
      <c r="EFI522" s="1358"/>
      <c r="EFJ522" s="1358"/>
      <c r="EFK522" s="1358"/>
      <c r="EFL522" s="1358"/>
      <c r="EFM522" s="1358"/>
      <c r="EFN522" s="1358"/>
      <c r="EFO522" s="1358"/>
      <c r="EFP522" s="1358"/>
      <c r="EFQ522" s="1358"/>
      <c r="EFR522" s="1358"/>
      <c r="EFS522" s="1358"/>
      <c r="EFT522" s="1358"/>
      <c r="EFU522" s="1358"/>
      <c r="EFV522" s="1358"/>
      <c r="EFW522" s="1358"/>
      <c r="EFX522" s="1358"/>
      <c r="EFY522" s="1358"/>
      <c r="EFZ522" s="1358"/>
      <c r="EGA522" s="1358"/>
      <c r="EGB522" s="1358"/>
      <c r="EGC522" s="1358"/>
      <c r="EGD522" s="1358"/>
      <c r="EGE522" s="1358"/>
      <c r="EGF522" s="1358"/>
      <c r="EGG522" s="1358"/>
      <c r="EGH522" s="1358"/>
      <c r="EGI522" s="1358"/>
      <c r="EGJ522" s="1358"/>
      <c r="EGK522" s="1358"/>
      <c r="EGL522" s="1358"/>
      <c r="EGM522" s="1358"/>
      <c r="EGN522" s="1358"/>
      <c r="EGO522" s="1358"/>
      <c r="EGP522" s="1358"/>
      <c r="EGQ522" s="1358"/>
      <c r="EGR522" s="1358"/>
      <c r="EGS522" s="1358"/>
      <c r="EGT522" s="1358"/>
      <c r="EGU522" s="1358"/>
      <c r="EGV522" s="1358"/>
      <c r="EGW522" s="1358"/>
      <c r="EGX522" s="1358"/>
      <c r="EGY522" s="1358"/>
      <c r="EGZ522" s="1358"/>
      <c r="EHA522" s="1358"/>
      <c r="EHB522" s="1358"/>
      <c r="EHC522" s="1358"/>
      <c r="EHD522" s="1358"/>
      <c r="EHE522" s="1358"/>
      <c r="EHF522" s="1358"/>
      <c r="EHG522" s="1358"/>
      <c r="EHH522" s="1358"/>
      <c r="EHI522" s="1358"/>
      <c r="EHJ522" s="1358"/>
      <c r="EHK522" s="1358"/>
      <c r="EHL522" s="1358"/>
      <c r="EHM522" s="1358"/>
      <c r="EHN522" s="1358"/>
      <c r="EHO522" s="1358"/>
      <c r="EHP522" s="1358"/>
      <c r="EHQ522" s="1358"/>
      <c r="EHR522" s="1358"/>
      <c r="EHS522" s="1358"/>
      <c r="EHT522" s="1358"/>
      <c r="EHU522" s="1358"/>
      <c r="EHV522" s="1358"/>
      <c r="EHW522" s="1358"/>
      <c r="EHX522" s="1358"/>
      <c r="EHY522" s="1358"/>
      <c r="EHZ522" s="1358"/>
      <c r="EIA522" s="1358"/>
      <c r="EIB522" s="1358"/>
      <c r="EIC522" s="1358"/>
      <c r="EID522" s="1358"/>
      <c r="EIE522" s="1358"/>
      <c r="EIF522" s="1358"/>
      <c r="EIG522" s="1358"/>
      <c r="EIH522" s="1358"/>
      <c r="EII522" s="1358"/>
      <c r="EIJ522" s="1358"/>
      <c r="EIK522" s="1358"/>
      <c r="EIL522" s="1358"/>
      <c r="EIM522" s="1358"/>
      <c r="EIN522" s="1358"/>
      <c r="EIO522" s="1358"/>
      <c r="EIP522" s="1358"/>
      <c r="EIQ522" s="1358"/>
      <c r="EIR522" s="1358"/>
      <c r="EIS522" s="1358"/>
      <c r="EIT522" s="1358"/>
      <c r="EIU522" s="1358"/>
      <c r="EIV522" s="1358"/>
      <c r="EIW522" s="1358"/>
      <c r="EIX522" s="1358"/>
      <c r="EIY522" s="1358"/>
      <c r="EIZ522" s="1358"/>
      <c r="EJA522" s="1358"/>
      <c r="EJB522" s="1358"/>
      <c r="EJC522" s="1358"/>
      <c r="EJD522" s="1358"/>
      <c r="EJE522" s="1358"/>
      <c r="EJF522" s="1358"/>
      <c r="EJG522" s="1358"/>
      <c r="EJH522" s="1358"/>
      <c r="EJI522" s="1358"/>
      <c r="EJJ522" s="1358"/>
      <c r="EJK522" s="1358"/>
      <c r="EJL522" s="1358"/>
      <c r="EJM522" s="1358"/>
      <c r="EJN522" s="1358"/>
      <c r="EJO522" s="1358"/>
      <c r="EJP522" s="1358"/>
      <c r="EJQ522" s="1358"/>
      <c r="EJR522" s="1358"/>
      <c r="EJS522" s="1358"/>
      <c r="EJT522" s="1358"/>
      <c r="EJU522" s="1358"/>
      <c r="EJV522" s="1358"/>
      <c r="EJW522" s="1358"/>
      <c r="EJX522" s="1358"/>
      <c r="EJY522" s="1358"/>
      <c r="EJZ522" s="1358"/>
      <c r="EKA522" s="1358"/>
      <c r="EKB522" s="1358"/>
      <c r="EKC522" s="1358"/>
      <c r="EKD522" s="1358"/>
      <c r="EKE522" s="1358"/>
      <c r="EKF522" s="1358"/>
      <c r="EKG522" s="1358"/>
      <c r="EKH522" s="1358"/>
      <c r="EKI522" s="1358"/>
      <c r="EKJ522" s="1358"/>
      <c r="EKK522" s="1358"/>
      <c r="EKL522" s="1358"/>
      <c r="EKM522" s="1358"/>
      <c r="EKN522" s="1358"/>
      <c r="EKO522" s="1358"/>
      <c r="EKP522" s="1358"/>
      <c r="EKQ522" s="1358"/>
      <c r="EKR522" s="1358"/>
      <c r="EKS522" s="1358"/>
      <c r="EKT522" s="1358"/>
      <c r="EKU522" s="1358"/>
      <c r="EKV522" s="1358"/>
      <c r="EKW522" s="1358"/>
      <c r="EKX522" s="1358"/>
      <c r="EKY522" s="1358"/>
      <c r="EKZ522" s="1358"/>
      <c r="ELA522" s="1358"/>
      <c r="ELB522" s="1358"/>
      <c r="ELC522" s="1358"/>
      <c r="ELD522" s="1358"/>
      <c r="ELE522" s="1358"/>
      <c r="ELF522" s="1358"/>
      <c r="ELG522" s="1358"/>
      <c r="ELH522" s="1358"/>
      <c r="ELI522" s="1358"/>
      <c r="ELJ522" s="1358"/>
      <c r="ELK522" s="1358"/>
      <c r="ELL522" s="1358"/>
      <c r="ELM522" s="1358"/>
      <c r="ELN522" s="1358"/>
      <c r="ELO522" s="1358"/>
      <c r="ELP522" s="1358"/>
      <c r="ELQ522" s="1358"/>
      <c r="ELR522" s="1358"/>
      <c r="ELS522" s="1358"/>
      <c r="ELT522" s="1358"/>
      <c r="ELU522" s="1358"/>
      <c r="ELV522" s="1358"/>
      <c r="ELW522" s="1358"/>
      <c r="ELX522" s="1358"/>
      <c r="ELY522" s="1358"/>
      <c r="ELZ522" s="1358"/>
      <c r="EMA522" s="1358"/>
      <c r="EMB522" s="1358"/>
      <c r="EMC522" s="1358"/>
      <c r="EMD522" s="1358"/>
      <c r="EME522" s="1358"/>
      <c r="EMF522" s="1358"/>
      <c r="EMG522" s="1358"/>
      <c r="EMH522" s="1358"/>
      <c r="EMI522" s="1358"/>
      <c r="EMJ522" s="1358"/>
      <c r="EMK522" s="1358"/>
      <c r="EML522" s="1358"/>
      <c r="EMM522" s="1358"/>
      <c r="EMN522" s="1358"/>
      <c r="EMO522" s="1358"/>
      <c r="EMP522" s="1358"/>
      <c r="EMQ522" s="1358"/>
      <c r="EMR522" s="1358"/>
      <c r="EMS522" s="1358"/>
      <c r="EMT522" s="1358"/>
      <c r="EMU522" s="1358"/>
      <c r="EMV522" s="1358"/>
      <c r="EMW522" s="1358"/>
      <c r="EMX522" s="1358"/>
      <c r="EMY522" s="1358"/>
      <c r="EMZ522" s="1358"/>
      <c r="ENA522" s="1358"/>
      <c r="ENB522" s="1358"/>
      <c r="ENC522" s="1358"/>
      <c r="END522" s="1358"/>
      <c r="ENE522" s="1358"/>
      <c r="ENF522" s="1358"/>
      <c r="ENG522" s="1358"/>
      <c r="ENH522" s="1358"/>
      <c r="ENI522" s="1358"/>
      <c r="ENJ522" s="1358"/>
      <c r="ENK522" s="1358"/>
      <c r="ENL522" s="1358"/>
      <c r="ENM522" s="1358"/>
      <c r="ENN522" s="1358"/>
      <c r="ENO522" s="1358"/>
      <c r="ENP522" s="1358"/>
      <c r="ENQ522" s="1358"/>
      <c r="ENR522" s="1358"/>
      <c r="ENS522" s="1358"/>
      <c r="ENT522" s="1358"/>
      <c r="ENU522" s="1358"/>
      <c r="ENV522" s="1358"/>
      <c r="ENW522" s="1358"/>
      <c r="ENX522" s="1358"/>
      <c r="ENY522" s="1358"/>
      <c r="ENZ522" s="1358"/>
      <c r="EOA522" s="1358"/>
      <c r="EOB522" s="1358"/>
      <c r="EOC522" s="1358"/>
      <c r="EOD522" s="1358"/>
      <c r="EOE522" s="1358"/>
      <c r="EOF522" s="1358"/>
      <c r="EOG522" s="1358"/>
      <c r="EOH522" s="1358"/>
      <c r="EOI522" s="1358"/>
      <c r="EOJ522" s="1358"/>
      <c r="EOK522" s="1358"/>
      <c r="EOL522" s="1358"/>
      <c r="EOM522" s="1358"/>
      <c r="EON522" s="1358"/>
      <c r="EOO522" s="1358"/>
      <c r="EOP522" s="1358"/>
      <c r="EOQ522" s="1358"/>
      <c r="EOR522" s="1358"/>
      <c r="EOS522" s="1358"/>
      <c r="EOT522" s="1358"/>
      <c r="EOU522" s="1358"/>
      <c r="EOV522" s="1358"/>
      <c r="EOW522" s="1358"/>
      <c r="EOX522" s="1358"/>
      <c r="EOY522" s="1358"/>
      <c r="EOZ522" s="1358"/>
      <c r="EPA522" s="1358"/>
      <c r="EPB522" s="1358"/>
      <c r="EPC522" s="1358"/>
      <c r="EPD522" s="1358"/>
      <c r="EPE522" s="1358"/>
      <c r="EPF522" s="1358"/>
      <c r="EPG522" s="1358"/>
      <c r="EPH522" s="1358"/>
      <c r="EPI522" s="1358"/>
      <c r="EPJ522" s="1358"/>
      <c r="EPK522" s="1358"/>
      <c r="EPL522" s="1358"/>
      <c r="EPM522" s="1358"/>
      <c r="EPN522" s="1358"/>
      <c r="EPO522" s="1358"/>
      <c r="EPP522" s="1358"/>
      <c r="EPQ522" s="1358"/>
      <c r="EPR522" s="1358"/>
      <c r="EPS522" s="1358"/>
      <c r="EPT522" s="1358"/>
      <c r="EPU522" s="1358"/>
      <c r="EPV522" s="1358"/>
      <c r="EPW522" s="1358"/>
      <c r="EPX522" s="1358"/>
      <c r="EPY522" s="1358"/>
      <c r="EPZ522" s="1358"/>
      <c r="EQA522" s="1358"/>
      <c r="EQB522" s="1358"/>
      <c r="EQC522" s="1358"/>
      <c r="EQD522" s="1358"/>
      <c r="EQE522" s="1358"/>
      <c r="EQF522" s="1358"/>
      <c r="EQG522" s="1358"/>
      <c r="EQH522" s="1358"/>
      <c r="EQI522" s="1358"/>
      <c r="EQJ522" s="1358"/>
      <c r="EQK522" s="1358"/>
      <c r="EQL522" s="1358"/>
      <c r="EQM522" s="1358"/>
      <c r="EQN522" s="1358"/>
      <c r="EQO522" s="1358"/>
      <c r="EQP522" s="1358"/>
      <c r="EQQ522" s="1358"/>
      <c r="EQR522" s="1358"/>
      <c r="EQS522" s="1358"/>
      <c r="EQT522" s="1358"/>
      <c r="EQU522" s="1358"/>
      <c r="EQV522" s="1358"/>
      <c r="EQW522" s="1358"/>
      <c r="EQX522" s="1358"/>
      <c r="EQY522" s="1358"/>
      <c r="EQZ522" s="1358"/>
      <c r="ERA522" s="1358"/>
      <c r="ERB522" s="1358"/>
      <c r="ERC522" s="1358"/>
      <c r="ERD522" s="1358"/>
      <c r="ERE522" s="1358"/>
      <c r="ERF522" s="1358"/>
      <c r="ERG522" s="1358"/>
      <c r="ERH522" s="1358"/>
      <c r="ERI522" s="1358"/>
      <c r="ERJ522" s="1358"/>
      <c r="ERK522" s="1358"/>
      <c r="ERL522" s="1358"/>
      <c r="ERM522" s="1358"/>
      <c r="ERN522" s="1358"/>
      <c r="ERO522" s="1358"/>
      <c r="ERP522" s="1358"/>
      <c r="ERQ522" s="1358"/>
      <c r="ERR522" s="1358"/>
      <c r="ERS522" s="1358"/>
      <c r="ERT522" s="1358"/>
      <c r="ERU522" s="1358"/>
      <c r="ERV522" s="1358"/>
      <c r="ERW522" s="1358"/>
      <c r="ERX522" s="1358"/>
      <c r="ERY522" s="1358"/>
      <c r="ERZ522" s="1358"/>
      <c r="ESA522" s="1358"/>
      <c r="ESB522" s="1358"/>
      <c r="ESC522" s="1358"/>
      <c r="ESD522" s="1358"/>
      <c r="ESE522" s="1358"/>
      <c r="ESF522" s="1358"/>
      <c r="ESG522" s="1358"/>
      <c r="ESH522" s="1358"/>
      <c r="ESI522" s="1358"/>
      <c r="ESJ522" s="1358"/>
      <c r="ESK522" s="1358"/>
      <c r="ESL522" s="1358"/>
      <c r="ESM522" s="1358"/>
      <c r="ESN522" s="1358"/>
      <c r="ESO522" s="1358"/>
      <c r="ESP522" s="1358"/>
      <c r="ESQ522" s="1358"/>
      <c r="ESR522" s="1358"/>
      <c r="ESS522" s="1358"/>
      <c r="EST522" s="1358"/>
      <c r="ESU522" s="1358"/>
      <c r="ESV522" s="1358"/>
      <c r="ESW522" s="1358"/>
      <c r="ESX522" s="1358"/>
      <c r="ESY522" s="1358"/>
      <c r="ESZ522" s="1358"/>
      <c r="ETA522" s="1358"/>
      <c r="ETB522" s="1358"/>
      <c r="ETC522" s="1358"/>
      <c r="ETD522" s="1358"/>
      <c r="ETE522" s="1358"/>
      <c r="ETF522" s="1358"/>
      <c r="ETG522" s="1358"/>
      <c r="ETH522" s="1358"/>
      <c r="ETI522" s="1358"/>
      <c r="ETJ522" s="1358"/>
      <c r="ETK522" s="1358"/>
      <c r="ETL522" s="1358"/>
      <c r="ETM522" s="1358"/>
      <c r="ETN522" s="1358"/>
      <c r="ETO522" s="1358"/>
      <c r="ETP522" s="1358"/>
      <c r="ETQ522" s="1358"/>
      <c r="ETR522" s="1358"/>
      <c r="ETS522" s="1358"/>
      <c r="ETT522" s="1358"/>
      <c r="ETU522" s="1358"/>
      <c r="ETV522" s="1358"/>
      <c r="ETW522" s="1358"/>
      <c r="ETX522" s="1358"/>
      <c r="ETY522" s="1358"/>
      <c r="ETZ522" s="1358"/>
      <c r="EUA522" s="1358"/>
      <c r="EUB522" s="1358"/>
      <c r="EUC522" s="1358"/>
      <c r="EUD522" s="1358"/>
      <c r="EUE522" s="1358"/>
      <c r="EUF522" s="1358"/>
      <c r="EUG522" s="1358"/>
      <c r="EUH522" s="1358"/>
      <c r="EUI522" s="1358"/>
      <c r="EUJ522" s="1358"/>
      <c r="EUK522" s="1358"/>
      <c r="EUL522" s="1358"/>
      <c r="EUM522" s="1358"/>
      <c r="EUN522" s="1358"/>
      <c r="EUO522" s="1358"/>
      <c r="EUP522" s="1358"/>
      <c r="EUQ522" s="1358"/>
      <c r="EUR522" s="1358"/>
      <c r="EUS522" s="1358"/>
      <c r="EUT522" s="1358"/>
      <c r="EUU522" s="1358"/>
      <c r="EUV522" s="1358"/>
      <c r="EUW522" s="1358"/>
      <c r="EUX522" s="1358"/>
      <c r="EUY522" s="1358"/>
      <c r="EUZ522" s="1358"/>
      <c r="EVA522" s="1358"/>
      <c r="EVB522" s="1358"/>
      <c r="EVC522" s="1358"/>
      <c r="EVD522" s="1358"/>
      <c r="EVE522" s="1358"/>
      <c r="EVF522" s="1358"/>
      <c r="EVG522" s="1358"/>
      <c r="EVH522" s="1358"/>
      <c r="EVI522" s="1358"/>
      <c r="EVJ522" s="1358"/>
      <c r="EVK522" s="1358"/>
      <c r="EVL522" s="1358"/>
      <c r="EVM522" s="1358"/>
      <c r="EVN522" s="1358"/>
      <c r="EVO522" s="1358"/>
      <c r="EVP522" s="1358"/>
      <c r="EVQ522" s="1358"/>
      <c r="EVR522" s="1358"/>
      <c r="EVS522" s="1358"/>
      <c r="EVT522" s="1358"/>
      <c r="EVU522" s="1358"/>
      <c r="EVV522" s="1358"/>
      <c r="EVW522" s="1358"/>
      <c r="EVX522" s="1358"/>
      <c r="EVY522" s="1358"/>
      <c r="EVZ522" s="1358"/>
      <c r="EWA522" s="1358"/>
      <c r="EWB522" s="1358"/>
      <c r="EWC522" s="1358"/>
      <c r="EWD522" s="1358"/>
      <c r="EWE522" s="1358"/>
      <c r="EWF522" s="1358"/>
      <c r="EWG522" s="1358"/>
      <c r="EWH522" s="1358"/>
      <c r="EWI522" s="1358"/>
      <c r="EWJ522" s="1358"/>
      <c r="EWK522" s="1358"/>
      <c r="EWL522" s="1358"/>
      <c r="EWM522" s="1358"/>
      <c r="EWN522" s="1358"/>
      <c r="EWO522" s="1358"/>
      <c r="EWP522" s="1358"/>
      <c r="EWQ522" s="1358"/>
      <c r="EWR522" s="1358"/>
      <c r="EWS522" s="1358"/>
      <c r="EWT522" s="1358"/>
      <c r="EWU522" s="1358"/>
      <c r="EWV522" s="1358"/>
      <c r="EWW522" s="1358"/>
      <c r="EWX522" s="1358"/>
      <c r="EWY522" s="1358"/>
      <c r="EWZ522" s="1358"/>
      <c r="EXA522" s="1358"/>
      <c r="EXB522" s="1358"/>
      <c r="EXC522" s="1358"/>
      <c r="EXD522" s="1358"/>
      <c r="EXE522" s="1358"/>
      <c r="EXF522" s="1358"/>
      <c r="EXG522" s="1358"/>
      <c r="EXH522" s="1358"/>
      <c r="EXI522" s="1358"/>
      <c r="EXJ522" s="1358"/>
      <c r="EXK522" s="1358"/>
      <c r="EXL522" s="1358"/>
      <c r="EXM522" s="1358"/>
      <c r="EXN522" s="1358"/>
      <c r="EXO522" s="1358"/>
      <c r="EXP522" s="1358"/>
      <c r="EXQ522" s="1358"/>
      <c r="EXR522" s="1358"/>
      <c r="EXS522" s="1358"/>
      <c r="EXT522" s="1358"/>
      <c r="EXU522" s="1358"/>
      <c r="EXV522" s="1358"/>
      <c r="EXW522" s="1358"/>
      <c r="EXX522" s="1358"/>
      <c r="EXY522" s="1358"/>
      <c r="EXZ522" s="1358"/>
      <c r="EYA522" s="1358"/>
      <c r="EYB522" s="1358"/>
      <c r="EYC522" s="1358"/>
      <c r="EYD522" s="1358"/>
      <c r="EYE522" s="1358"/>
      <c r="EYF522" s="1358"/>
      <c r="EYG522" s="1358"/>
      <c r="EYH522" s="1358"/>
      <c r="EYI522" s="1358"/>
      <c r="EYJ522" s="1358"/>
      <c r="EYK522" s="1358"/>
      <c r="EYL522" s="1358"/>
      <c r="EYM522" s="1358"/>
      <c r="EYN522" s="1358"/>
      <c r="EYO522" s="1358"/>
      <c r="EYP522" s="1358"/>
      <c r="EYQ522" s="1358"/>
      <c r="EYR522" s="1358"/>
      <c r="EYS522" s="1358"/>
      <c r="EYT522" s="1358"/>
      <c r="EYU522" s="1358"/>
      <c r="EYV522" s="1358"/>
      <c r="EYW522" s="1358"/>
      <c r="EYX522" s="1358"/>
      <c r="EYY522" s="1358"/>
      <c r="EYZ522" s="1358"/>
      <c r="EZA522" s="1358"/>
      <c r="EZB522" s="1358"/>
      <c r="EZC522" s="1358"/>
      <c r="EZD522" s="1358"/>
      <c r="EZE522" s="1358"/>
      <c r="EZF522" s="1358"/>
      <c r="EZG522" s="1358"/>
      <c r="EZH522" s="1358"/>
      <c r="EZI522" s="1358"/>
      <c r="EZJ522" s="1358"/>
      <c r="EZK522" s="1358"/>
      <c r="EZL522" s="1358"/>
      <c r="EZM522" s="1358"/>
      <c r="EZN522" s="1358"/>
      <c r="EZO522" s="1358"/>
      <c r="EZP522" s="1358"/>
      <c r="EZQ522" s="1358"/>
      <c r="EZR522" s="1358"/>
      <c r="EZS522" s="1358"/>
      <c r="EZT522" s="1358"/>
      <c r="EZU522" s="1358"/>
      <c r="EZV522" s="1358"/>
      <c r="EZW522" s="1358"/>
      <c r="EZX522" s="1358"/>
      <c r="EZY522" s="1358"/>
      <c r="EZZ522" s="1358"/>
      <c r="FAA522" s="1358"/>
      <c r="FAB522" s="1358"/>
      <c r="FAC522" s="1358"/>
      <c r="FAD522" s="1358"/>
      <c r="FAE522" s="1358"/>
      <c r="FAF522" s="1358"/>
      <c r="FAG522" s="1358"/>
      <c r="FAH522" s="1358"/>
      <c r="FAI522" s="1358"/>
      <c r="FAJ522" s="1358"/>
      <c r="FAK522" s="1358"/>
      <c r="FAL522" s="1358"/>
      <c r="FAM522" s="1358"/>
      <c r="FAN522" s="1358"/>
      <c r="FAO522" s="1358"/>
      <c r="FAP522" s="1358"/>
      <c r="FAQ522" s="1358"/>
      <c r="FAR522" s="1358"/>
      <c r="FAS522" s="1358"/>
      <c r="FAT522" s="1358"/>
      <c r="FAU522" s="1358"/>
      <c r="FAV522" s="1358"/>
      <c r="FAW522" s="1358"/>
      <c r="FAX522" s="1358"/>
      <c r="FAY522" s="1358"/>
      <c r="FAZ522" s="1358"/>
      <c r="FBA522" s="1358"/>
      <c r="FBB522" s="1358"/>
      <c r="FBC522" s="1358"/>
      <c r="FBD522" s="1358"/>
      <c r="FBE522" s="1358"/>
      <c r="FBF522" s="1358"/>
      <c r="FBG522" s="1358"/>
      <c r="FBH522" s="1358"/>
      <c r="FBI522" s="1358"/>
      <c r="FBJ522" s="1358"/>
      <c r="FBK522" s="1358"/>
      <c r="FBL522" s="1358"/>
      <c r="FBM522" s="1358"/>
      <c r="FBN522" s="1358"/>
      <c r="FBO522" s="1358"/>
      <c r="FBP522" s="1358"/>
      <c r="FBQ522" s="1358"/>
      <c r="FBR522" s="1358"/>
      <c r="FBS522" s="1358"/>
      <c r="FBT522" s="1358"/>
      <c r="FBU522" s="1358"/>
      <c r="FBV522" s="1358"/>
      <c r="FBW522" s="1358"/>
      <c r="FBX522" s="1358"/>
      <c r="FBY522" s="1358"/>
      <c r="FBZ522" s="1358"/>
      <c r="FCA522" s="1358"/>
      <c r="FCB522" s="1358"/>
      <c r="FCC522" s="1358"/>
      <c r="FCD522" s="1358"/>
      <c r="FCE522" s="1358"/>
      <c r="FCF522" s="1358"/>
      <c r="FCG522" s="1358"/>
      <c r="FCH522" s="1358"/>
      <c r="FCI522" s="1358"/>
      <c r="FCJ522" s="1358"/>
      <c r="FCK522" s="1358"/>
      <c r="FCL522" s="1358"/>
      <c r="FCM522" s="1358"/>
      <c r="FCN522" s="1358"/>
      <c r="FCO522" s="1358"/>
      <c r="FCP522" s="1358"/>
      <c r="FCQ522" s="1358"/>
      <c r="FCR522" s="1358"/>
      <c r="FCS522" s="1358"/>
      <c r="FCT522" s="1358"/>
      <c r="FCU522" s="1358"/>
      <c r="FCV522" s="1358"/>
      <c r="FCW522" s="1358"/>
      <c r="FCX522" s="1358"/>
      <c r="FCY522" s="1358"/>
      <c r="FCZ522" s="1358"/>
      <c r="FDA522" s="1358"/>
      <c r="FDB522" s="1358"/>
      <c r="FDC522" s="1358"/>
      <c r="FDD522" s="1358"/>
      <c r="FDE522" s="1358"/>
      <c r="FDF522" s="1358"/>
      <c r="FDG522" s="1358"/>
      <c r="FDH522" s="1358"/>
      <c r="FDI522" s="1358"/>
      <c r="FDJ522" s="1358"/>
      <c r="FDK522" s="1358"/>
      <c r="FDL522" s="1358"/>
      <c r="FDM522" s="1358"/>
      <c r="FDN522" s="1358"/>
      <c r="FDO522" s="1358"/>
      <c r="FDP522" s="1358"/>
      <c r="FDQ522" s="1358"/>
      <c r="FDR522" s="1358"/>
      <c r="FDS522" s="1358"/>
      <c r="FDT522" s="1358"/>
      <c r="FDU522" s="1358"/>
      <c r="FDV522" s="1358"/>
      <c r="FDW522" s="1358"/>
      <c r="FDX522" s="1358"/>
      <c r="FDY522" s="1358"/>
      <c r="FDZ522" s="1358"/>
      <c r="FEA522" s="1358"/>
      <c r="FEB522" s="1358"/>
      <c r="FEC522" s="1358"/>
      <c r="FED522" s="1358"/>
      <c r="FEE522" s="1358"/>
      <c r="FEF522" s="1358"/>
      <c r="FEG522" s="1358"/>
      <c r="FEH522" s="1358"/>
      <c r="FEI522" s="1358"/>
      <c r="FEJ522" s="1358"/>
      <c r="FEK522" s="1358"/>
      <c r="FEL522" s="1358"/>
      <c r="FEM522" s="1358"/>
      <c r="FEN522" s="1358"/>
      <c r="FEO522" s="1358"/>
      <c r="FEP522" s="1358"/>
      <c r="FEQ522" s="1358"/>
      <c r="FER522" s="1358"/>
      <c r="FES522" s="1358"/>
      <c r="FET522" s="1358"/>
      <c r="FEU522" s="1358"/>
      <c r="FEV522" s="1358"/>
      <c r="FEW522" s="1358"/>
      <c r="FEX522" s="1358"/>
      <c r="FEY522" s="1358"/>
      <c r="FEZ522" s="1358"/>
      <c r="FFA522" s="1358"/>
      <c r="FFB522" s="1358"/>
      <c r="FFC522" s="1358"/>
      <c r="FFD522" s="1358"/>
      <c r="FFE522" s="1358"/>
      <c r="FFF522" s="1358"/>
      <c r="FFG522" s="1358"/>
      <c r="FFH522" s="1358"/>
      <c r="FFI522" s="1358"/>
      <c r="FFJ522" s="1358"/>
      <c r="FFK522" s="1358"/>
      <c r="FFL522" s="1358"/>
      <c r="FFM522" s="1358"/>
      <c r="FFN522" s="1358"/>
      <c r="FFO522" s="1358"/>
      <c r="FFP522" s="1358"/>
      <c r="FFQ522" s="1358"/>
      <c r="FFR522" s="1358"/>
      <c r="FFS522" s="1358"/>
      <c r="FFT522" s="1358"/>
      <c r="FFU522" s="1358"/>
      <c r="FFV522" s="1358"/>
      <c r="FFW522" s="1358"/>
      <c r="FFX522" s="1358"/>
      <c r="FFY522" s="1358"/>
      <c r="FFZ522" s="1358"/>
      <c r="FGA522" s="1358"/>
      <c r="FGB522" s="1358"/>
      <c r="FGC522" s="1358"/>
      <c r="FGD522" s="1358"/>
      <c r="FGE522" s="1358"/>
      <c r="FGF522" s="1358"/>
      <c r="FGG522" s="1358"/>
      <c r="FGH522" s="1358"/>
      <c r="FGI522" s="1358"/>
      <c r="FGJ522" s="1358"/>
      <c r="FGK522" s="1358"/>
      <c r="FGL522" s="1358"/>
      <c r="FGM522" s="1358"/>
      <c r="FGN522" s="1358"/>
      <c r="FGO522" s="1358"/>
      <c r="FGP522" s="1358"/>
      <c r="FGQ522" s="1358"/>
      <c r="FGR522" s="1358"/>
      <c r="FGS522" s="1358"/>
      <c r="FGT522" s="1358"/>
      <c r="FGU522" s="1358"/>
      <c r="FGV522" s="1358"/>
      <c r="FGW522" s="1358"/>
      <c r="FGX522" s="1358"/>
      <c r="FGY522" s="1358"/>
      <c r="FGZ522" s="1358"/>
      <c r="FHA522" s="1358"/>
      <c r="FHB522" s="1358"/>
      <c r="FHC522" s="1358"/>
      <c r="FHD522" s="1358"/>
      <c r="FHE522" s="1358"/>
      <c r="FHF522" s="1358"/>
      <c r="FHG522" s="1358"/>
      <c r="FHH522" s="1358"/>
      <c r="FHI522" s="1358"/>
      <c r="FHJ522" s="1358"/>
      <c r="FHK522" s="1358"/>
      <c r="FHL522" s="1358"/>
      <c r="FHM522" s="1358"/>
      <c r="FHN522" s="1358"/>
      <c r="FHO522" s="1358"/>
      <c r="FHP522" s="1358"/>
      <c r="FHQ522" s="1358"/>
      <c r="FHR522" s="1358"/>
      <c r="FHS522" s="1358"/>
      <c r="FHT522" s="1358"/>
      <c r="FHU522" s="1358"/>
      <c r="FHV522" s="1358"/>
      <c r="FHW522" s="1358"/>
      <c r="FHX522" s="1358"/>
      <c r="FHY522" s="1358"/>
      <c r="FHZ522" s="1358"/>
      <c r="FIA522" s="1358"/>
      <c r="FIB522" s="1358"/>
      <c r="FIC522" s="1358"/>
      <c r="FID522" s="1358"/>
      <c r="FIE522" s="1358"/>
      <c r="FIF522" s="1358"/>
      <c r="FIG522" s="1358"/>
      <c r="FIH522" s="1358"/>
      <c r="FII522" s="1358"/>
      <c r="FIJ522" s="1358"/>
      <c r="FIK522" s="1358"/>
      <c r="FIL522" s="1358"/>
      <c r="FIM522" s="1358"/>
      <c r="FIN522" s="1358"/>
      <c r="FIO522" s="1358"/>
      <c r="FIP522" s="1358"/>
      <c r="FIQ522" s="1358"/>
      <c r="FIR522" s="1358"/>
      <c r="FIS522" s="1358"/>
      <c r="FIT522" s="1358"/>
      <c r="FIU522" s="1358"/>
      <c r="FIV522" s="1358"/>
      <c r="FIW522" s="1358"/>
      <c r="FIX522" s="1358"/>
      <c r="FIY522" s="1358"/>
      <c r="FIZ522" s="1358"/>
      <c r="FJA522" s="1358"/>
      <c r="FJB522" s="1358"/>
      <c r="FJC522" s="1358"/>
      <c r="FJD522" s="1358"/>
      <c r="FJE522" s="1358"/>
      <c r="FJF522" s="1358"/>
      <c r="FJG522" s="1358"/>
      <c r="FJH522" s="1358"/>
      <c r="FJI522" s="1358"/>
      <c r="FJJ522" s="1358"/>
      <c r="FJK522" s="1358"/>
      <c r="FJL522" s="1358"/>
      <c r="FJM522" s="1358"/>
      <c r="FJN522" s="1358"/>
      <c r="FJO522" s="1358"/>
      <c r="FJP522" s="1358"/>
      <c r="FJQ522" s="1358"/>
      <c r="FJR522" s="1358"/>
      <c r="FJS522" s="1358"/>
      <c r="FJT522" s="1358"/>
      <c r="FJU522" s="1358"/>
      <c r="FJV522" s="1358"/>
      <c r="FJW522" s="1358"/>
      <c r="FJX522" s="1358"/>
      <c r="FJY522" s="1358"/>
      <c r="FJZ522" s="1358"/>
      <c r="FKA522" s="1358"/>
      <c r="FKB522" s="1358"/>
      <c r="FKC522" s="1358"/>
      <c r="FKD522" s="1358"/>
      <c r="FKE522" s="1358"/>
      <c r="FKF522" s="1358"/>
      <c r="FKG522" s="1358"/>
      <c r="FKH522" s="1358"/>
      <c r="FKI522" s="1358"/>
      <c r="FKJ522" s="1358"/>
      <c r="FKK522" s="1358"/>
      <c r="FKL522" s="1358"/>
      <c r="FKM522" s="1358"/>
      <c r="FKN522" s="1358"/>
      <c r="FKO522" s="1358"/>
      <c r="FKP522" s="1358"/>
      <c r="FKQ522" s="1358"/>
      <c r="FKR522" s="1358"/>
      <c r="FKS522" s="1358"/>
      <c r="FKT522" s="1358"/>
      <c r="FKU522" s="1358"/>
      <c r="FKV522" s="1358"/>
      <c r="FKW522" s="1358"/>
      <c r="FKX522" s="1358"/>
      <c r="FKY522" s="1358"/>
      <c r="FKZ522" s="1358"/>
      <c r="FLA522" s="1358"/>
      <c r="FLB522" s="1358"/>
      <c r="FLC522" s="1358"/>
      <c r="FLD522" s="1358"/>
      <c r="FLE522" s="1358"/>
      <c r="FLF522" s="1358"/>
      <c r="FLG522" s="1358"/>
      <c r="FLH522" s="1358"/>
      <c r="FLI522" s="1358"/>
      <c r="FLJ522" s="1358"/>
      <c r="FLK522" s="1358"/>
      <c r="FLL522" s="1358"/>
      <c r="FLM522" s="1358"/>
      <c r="FLN522" s="1358"/>
      <c r="FLO522" s="1358"/>
      <c r="FLP522" s="1358"/>
      <c r="FLQ522" s="1358"/>
      <c r="FLR522" s="1358"/>
      <c r="FLS522" s="1358"/>
      <c r="FLT522" s="1358"/>
      <c r="FLU522" s="1358"/>
      <c r="FLV522" s="1358"/>
      <c r="FLW522" s="1358"/>
      <c r="FLX522" s="1358"/>
      <c r="FLY522" s="1358"/>
      <c r="FLZ522" s="1358"/>
      <c r="FMA522" s="1358"/>
      <c r="FMB522" s="1358"/>
      <c r="FMC522" s="1358"/>
      <c r="FMD522" s="1358"/>
      <c r="FME522" s="1358"/>
      <c r="FMF522" s="1358"/>
      <c r="FMG522" s="1358"/>
      <c r="FMH522" s="1358"/>
      <c r="FMI522" s="1358"/>
      <c r="FMJ522" s="1358"/>
      <c r="FMK522" s="1358"/>
      <c r="FML522" s="1358"/>
      <c r="FMM522" s="1358"/>
      <c r="FMN522" s="1358"/>
      <c r="FMO522" s="1358"/>
      <c r="FMP522" s="1358"/>
      <c r="FMQ522" s="1358"/>
      <c r="FMR522" s="1358"/>
      <c r="FMS522" s="1358"/>
      <c r="FMT522" s="1358"/>
      <c r="FMU522" s="1358"/>
      <c r="FMV522" s="1358"/>
      <c r="FMW522" s="1358"/>
      <c r="FMX522" s="1358"/>
      <c r="FMY522" s="1358"/>
      <c r="FMZ522" s="1358"/>
      <c r="FNA522" s="1358"/>
      <c r="FNB522" s="1358"/>
      <c r="FNC522" s="1358"/>
      <c r="FND522" s="1358"/>
      <c r="FNE522" s="1358"/>
      <c r="FNF522" s="1358"/>
      <c r="FNG522" s="1358"/>
      <c r="FNH522" s="1358"/>
      <c r="FNI522" s="1358"/>
      <c r="FNJ522" s="1358"/>
      <c r="FNK522" s="1358"/>
      <c r="FNL522" s="1358"/>
      <c r="FNM522" s="1358"/>
      <c r="FNN522" s="1358"/>
      <c r="FNO522" s="1358"/>
      <c r="FNP522" s="1358"/>
      <c r="FNQ522" s="1358"/>
      <c r="FNR522" s="1358"/>
      <c r="FNS522" s="1358"/>
      <c r="FNT522" s="1358"/>
      <c r="FNU522" s="1358"/>
      <c r="FNV522" s="1358"/>
      <c r="FNW522" s="1358"/>
      <c r="FNX522" s="1358"/>
      <c r="FNY522" s="1358"/>
      <c r="FNZ522" s="1358"/>
      <c r="FOA522" s="1358"/>
      <c r="FOB522" s="1358"/>
      <c r="FOC522" s="1358"/>
      <c r="FOD522" s="1358"/>
      <c r="FOE522" s="1358"/>
      <c r="FOF522" s="1358"/>
      <c r="FOG522" s="1358"/>
      <c r="FOH522" s="1358"/>
      <c r="FOI522" s="1358"/>
      <c r="FOJ522" s="1358"/>
      <c r="FOK522" s="1358"/>
      <c r="FOL522" s="1358"/>
      <c r="FOM522" s="1358"/>
      <c r="FON522" s="1358"/>
      <c r="FOO522" s="1358"/>
      <c r="FOP522" s="1358"/>
      <c r="FOQ522" s="1358"/>
      <c r="FOR522" s="1358"/>
      <c r="FOS522" s="1358"/>
      <c r="FOT522" s="1358"/>
      <c r="FOU522" s="1358"/>
      <c r="FOV522" s="1358"/>
      <c r="FOW522" s="1358"/>
      <c r="FOX522" s="1358"/>
      <c r="FOY522" s="1358"/>
      <c r="FOZ522" s="1358"/>
      <c r="FPA522" s="1358"/>
      <c r="FPB522" s="1358"/>
      <c r="FPC522" s="1358"/>
      <c r="FPD522" s="1358"/>
      <c r="FPE522" s="1358"/>
      <c r="FPF522" s="1358"/>
      <c r="FPG522" s="1358"/>
      <c r="FPH522" s="1358"/>
      <c r="FPI522" s="1358"/>
      <c r="FPJ522" s="1358"/>
      <c r="FPK522" s="1358"/>
      <c r="FPL522" s="1358"/>
      <c r="FPM522" s="1358"/>
      <c r="FPN522" s="1358"/>
      <c r="FPO522" s="1358"/>
      <c r="FPP522" s="1358"/>
      <c r="FPQ522" s="1358"/>
      <c r="FPR522" s="1358"/>
      <c r="FPS522" s="1358"/>
      <c r="FPT522" s="1358"/>
      <c r="FPU522" s="1358"/>
      <c r="FPV522" s="1358"/>
      <c r="FPW522" s="1358"/>
      <c r="FPX522" s="1358"/>
      <c r="FPY522" s="1358"/>
      <c r="FPZ522" s="1358"/>
      <c r="FQA522" s="1358"/>
      <c r="FQB522" s="1358"/>
      <c r="FQC522" s="1358"/>
      <c r="FQD522" s="1358"/>
      <c r="FQE522" s="1358"/>
      <c r="FQF522" s="1358"/>
      <c r="FQG522" s="1358"/>
      <c r="FQH522" s="1358"/>
      <c r="FQI522" s="1358"/>
      <c r="FQJ522" s="1358"/>
      <c r="FQK522" s="1358"/>
      <c r="FQL522" s="1358"/>
      <c r="FQM522" s="1358"/>
      <c r="FQN522" s="1358"/>
      <c r="FQO522" s="1358"/>
      <c r="FQP522" s="1358"/>
      <c r="FQQ522" s="1358"/>
      <c r="FQR522" s="1358"/>
      <c r="FQS522" s="1358"/>
      <c r="FQT522" s="1358"/>
      <c r="FQU522" s="1358"/>
      <c r="FQV522" s="1358"/>
      <c r="FQW522" s="1358"/>
      <c r="FQX522" s="1358"/>
      <c r="FQY522" s="1358"/>
      <c r="FQZ522" s="1358"/>
      <c r="FRA522" s="1358"/>
      <c r="FRB522" s="1358"/>
      <c r="FRC522" s="1358"/>
      <c r="FRD522" s="1358"/>
      <c r="FRE522" s="1358"/>
      <c r="FRF522" s="1358"/>
      <c r="FRG522" s="1358"/>
      <c r="FRH522" s="1358"/>
      <c r="FRI522" s="1358"/>
      <c r="FRJ522" s="1358"/>
      <c r="FRK522" s="1358"/>
      <c r="FRL522" s="1358"/>
      <c r="FRM522" s="1358"/>
      <c r="FRN522" s="1358"/>
      <c r="FRO522" s="1358"/>
      <c r="FRP522" s="1358"/>
      <c r="FRQ522" s="1358"/>
      <c r="FRR522" s="1358"/>
      <c r="FRS522" s="1358"/>
      <c r="FRT522" s="1358"/>
      <c r="FRU522" s="1358"/>
      <c r="FRV522" s="1358"/>
      <c r="FRW522" s="1358"/>
      <c r="FRX522" s="1358"/>
      <c r="FRY522" s="1358"/>
      <c r="FRZ522" s="1358"/>
      <c r="FSA522" s="1358"/>
      <c r="FSB522" s="1358"/>
      <c r="FSC522" s="1358"/>
      <c r="FSD522" s="1358"/>
      <c r="FSE522" s="1358"/>
      <c r="FSF522" s="1358"/>
      <c r="FSG522" s="1358"/>
      <c r="FSH522" s="1358"/>
      <c r="FSI522" s="1358"/>
      <c r="FSJ522" s="1358"/>
      <c r="FSK522" s="1358"/>
      <c r="FSL522" s="1358"/>
      <c r="FSM522" s="1358"/>
      <c r="FSN522" s="1358"/>
      <c r="FSO522" s="1358"/>
      <c r="FSP522" s="1358"/>
      <c r="FSQ522" s="1358"/>
      <c r="FSR522" s="1358"/>
      <c r="FSS522" s="1358"/>
      <c r="FST522" s="1358"/>
      <c r="FSU522" s="1358"/>
      <c r="FSV522" s="1358"/>
      <c r="FSW522" s="1358"/>
      <c r="FSX522" s="1358"/>
      <c r="FSY522" s="1358"/>
      <c r="FSZ522" s="1358"/>
      <c r="FTA522" s="1358"/>
      <c r="FTB522" s="1358"/>
      <c r="FTC522" s="1358"/>
      <c r="FTD522" s="1358"/>
      <c r="FTE522" s="1358"/>
      <c r="FTF522" s="1358"/>
      <c r="FTG522" s="1358"/>
      <c r="FTH522" s="1358"/>
      <c r="FTI522" s="1358"/>
      <c r="FTJ522" s="1358"/>
      <c r="FTK522" s="1358"/>
      <c r="FTL522" s="1358"/>
      <c r="FTM522" s="1358"/>
      <c r="FTN522" s="1358"/>
      <c r="FTO522" s="1358"/>
      <c r="FTP522" s="1358"/>
      <c r="FTQ522" s="1358"/>
      <c r="FTR522" s="1358"/>
      <c r="FTS522" s="1358"/>
      <c r="FTT522" s="1358"/>
      <c r="FTU522" s="1358"/>
      <c r="FTV522" s="1358"/>
      <c r="FTW522" s="1358"/>
      <c r="FTX522" s="1358"/>
      <c r="FTY522" s="1358"/>
      <c r="FTZ522" s="1358"/>
      <c r="FUA522" s="1358"/>
      <c r="FUB522" s="1358"/>
      <c r="FUC522" s="1358"/>
      <c r="FUD522" s="1358"/>
      <c r="FUE522" s="1358"/>
      <c r="FUF522" s="1358"/>
      <c r="FUG522" s="1358"/>
      <c r="FUH522" s="1358"/>
      <c r="FUI522" s="1358"/>
      <c r="FUJ522" s="1358"/>
      <c r="FUK522" s="1358"/>
      <c r="FUL522" s="1358"/>
      <c r="FUM522" s="1358"/>
      <c r="FUN522" s="1358"/>
      <c r="FUO522" s="1358"/>
      <c r="FUP522" s="1358"/>
      <c r="FUQ522" s="1358"/>
      <c r="FUR522" s="1358"/>
      <c r="FUS522" s="1358"/>
      <c r="FUT522" s="1358"/>
      <c r="FUU522" s="1358"/>
      <c r="FUV522" s="1358"/>
      <c r="FUW522" s="1358"/>
      <c r="FUX522" s="1358"/>
      <c r="FUY522" s="1358"/>
      <c r="FUZ522" s="1358"/>
      <c r="FVA522" s="1358"/>
      <c r="FVB522" s="1358"/>
      <c r="FVC522" s="1358"/>
      <c r="FVD522" s="1358"/>
      <c r="FVE522" s="1358"/>
      <c r="FVF522" s="1358"/>
      <c r="FVG522" s="1358"/>
      <c r="FVH522" s="1358"/>
      <c r="FVI522" s="1358"/>
      <c r="FVJ522" s="1358"/>
      <c r="FVK522" s="1358"/>
      <c r="FVL522" s="1358"/>
      <c r="FVM522" s="1358"/>
      <c r="FVN522" s="1358"/>
      <c r="FVO522" s="1358"/>
      <c r="FVP522" s="1358"/>
      <c r="FVQ522" s="1358"/>
      <c r="FVR522" s="1358"/>
      <c r="FVS522" s="1358"/>
      <c r="FVT522" s="1358"/>
      <c r="FVU522" s="1358"/>
      <c r="FVV522" s="1358"/>
      <c r="FVW522" s="1358"/>
      <c r="FVX522" s="1358"/>
      <c r="FVY522" s="1358"/>
      <c r="FVZ522" s="1358"/>
      <c r="FWA522" s="1358"/>
      <c r="FWB522" s="1358"/>
      <c r="FWC522" s="1358"/>
      <c r="FWD522" s="1358"/>
      <c r="FWE522" s="1358"/>
      <c r="FWF522" s="1358"/>
      <c r="FWG522" s="1358"/>
      <c r="FWH522" s="1358"/>
      <c r="FWI522" s="1358"/>
      <c r="FWJ522" s="1358"/>
      <c r="FWK522" s="1358"/>
      <c r="FWL522" s="1358"/>
      <c r="FWM522" s="1358"/>
      <c r="FWN522" s="1358"/>
      <c r="FWO522" s="1358"/>
      <c r="FWP522" s="1358"/>
      <c r="FWQ522" s="1358"/>
      <c r="FWR522" s="1358"/>
      <c r="FWS522" s="1358"/>
      <c r="FWT522" s="1358"/>
      <c r="FWU522" s="1358"/>
      <c r="FWV522" s="1358"/>
      <c r="FWW522" s="1358"/>
      <c r="FWX522" s="1358"/>
      <c r="FWY522" s="1358"/>
      <c r="FWZ522" s="1358"/>
      <c r="FXA522" s="1358"/>
      <c r="FXB522" s="1358"/>
      <c r="FXC522" s="1358"/>
      <c r="FXD522" s="1358"/>
      <c r="FXE522" s="1358"/>
      <c r="FXF522" s="1358"/>
      <c r="FXG522" s="1358"/>
      <c r="FXH522" s="1358"/>
      <c r="FXI522" s="1358"/>
      <c r="FXJ522" s="1358"/>
      <c r="FXK522" s="1358"/>
      <c r="FXL522" s="1358"/>
      <c r="FXM522" s="1358"/>
      <c r="FXN522" s="1358"/>
      <c r="FXO522" s="1358"/>
      <c r="FXP522" s="1358"/>
      <c r="FXQ522" s="1358"/>
      <c r="FXR522" s="1358"/>
      <c r="FXS522" s="1358"/>
      <c r="FXT522" s="1358"/>
      <c r="FXU522" s="1358"/>
      <c r="FXV522" s="1358"/>
      <c r="FXW522" s="1358"/>
      <c r="FXX522" s="1358"/>
      <c r="FXY522" s="1358"/>
      <c r="FXZ522" s="1358"/>
      <c r="FYA522" s="1358"/>
      <c r="FYB522" s="1358"/>
      <c r="FYC522" s="1358"/>
      <c r="FYD522" s="1358"/>
      <c r="FYE522" s="1358"/>
      <c r="FYF522" s="1358"/>
      <c r="FYG522" s="1358"/>
      <c r="FYH522" s="1358"/>
      <c r="FYI522" s="1358"/>
      <c r="FYJ522" s="1358"/>
      <c r="FYK522" s="1358"/>
      <c r="FYL522" s="1358"/>
      <c r="FYM522" s="1358"/>
      <c r="FYN522" s="1358"/>
      <c r="FYO522" s="1358"/>
      <c r="FYP522" s="1358"/>
      <c r="FYQ522" s="1358"/>
      <c r="FYR522" s="1358"/>
      <c r="FYS522" s="1358"/>
      <c r="FYT522" s="1358"/>
      <c r="FYU522" s="1358"/>
      <c r="FYV522" s="1358"/>
      <c r="FYW522" s="1358"/>
      <c r="FYX522" s="1358"/>
      <c r="FYY522" s="1358"/>
      <c r="FYZ522" s="1358"/>
      <c r="FZA522" s="1358"/>
      <c r="FZB522" s="1358"/>
      <c r="FZC522" s="1358"/>
      <c r="FZD522" s="1358"/>
      <c r="FZE522" s="1358"/>
      <c r="FZF522" s="1358"/>
      <c r="FZG522" s="1358"/>
      <c r="FZH522" s="1358"/>
      <c r="FZI522" s="1358"/>
      <c r="FZJ522" s="1358"/>
      <c r="FZK522" s="1358"/>
      <c r="FZL522" s="1358"/>
      <c r="FZM522" s="1358"/>
      <c r="FZN522" s="1358"/>
      <c r="FZO522" s="1358"/>
      <c r="FZP522" s="1358"/>
      <c r="FZQ522" s="1358"/>
      <c r="FZR522" s="1358"/>
      <c r="FZS522" s="1358"/>
      <c r="FZT522" s="1358"/>
      <c r="FZU522" s="1358"/>
      <c r="FZV522" s="1358"/>
      <c r="FZW522" s="1358"/>
      <c r="FZX522" s="1358"/>
      <c r="FZY522" s="1358"/>
      <c r="FZZ522" s="1358"/>
      <c r="GAA522" s="1358"/>
      <c r="GAB522" s="1358"/>
      <c r="GAC522" s="1358"/>
      <c r="GAD522" s="1358"/>
      <c r="GAE522" s="1358"/>
      <c r="GAF522" s="1358"/>
      <c r="GAG522" s="1358"/>
      <c r="GAH522" s="1358"/>
      <c r="GAI522" s="1358"/>
      <c r="GAJ522" s="1358"/>
      <c r="GAK522" s="1358"/>
      <c r="GAL522" s="1358"/>
      <c r="GAM522" s="1358"/>
      <c r="GAN522" s="1358"/>
      <c r="GAO522" s="1358"/>
      <c r="GAP522" s="1358"/>
      <c r="GAQ522" s="1358"/>
      <c r="GAR522" s="1358"/>
      <c r="GAS522" s="1358"/>
      <c r="GAT522" s="1358"/>
      <c r="GAU522" s="1358"/>
      <c r="GAV522" s="1358"/>
      <c r="GAW522" s="1358"/>
      <c r="GAX522" s="1358"/>
      <c r="GAY522" s="1358"/>
      <c r="GAZ522" s="1358"/>
      <c r="GBA522" s="1358"/>
      <c r="GBB522" s="1358"/>
      <c r="GBC522" s="1358"/>
      <c r="GBD522" s="1358"/>
      <c r="GBE522" s="1358"/>
      <c r="GBF522" s="1358"/>
      <c r="GBG522" s="1358"/>
      <c r="GBH522" s="1358"/>
      <c r="GBI522" s="1358"/>
      <c r="GBJ522" s="1358"/>
      <c r="GBK522" s="1358"/>
      <c r="GBL522" s="1358"/>
      <c r="GBM522" s="1358"/>
      <c r="GBN522" s="1358"/>
      <c r="GBO522" s="1358"/>
      <c r="GBP522" s="1358"/>
      <c r="GBQ522" s="1358"/>
      <c r="GBR522" s="1358"/>
      <c r="GBS522" s="1358"/>
      <c r="GBT522" s="1358"/>
      <c r="GBU522" s="1358"/>
      <c r="GBV522" s="1358"/>
      <c r="GBW522" s="1358"/>
      <c r="GBX522" s="1358"/>
      <c r="GBY522" s="1358"/>
      <c r="GBZ522" s="1358"/>
      <c r="GCA522" s="1358"/>
      <c r="GCB522" s="1358"/>
      <c r="GCC522" s="1358"/>
      <c r="GCD522" s="1358"/>
      <c r="GCE522" s="1358"/>
      <c r="GCF522" s="1358"/>
      <c r="GCG522" s="1358"/>
      <c r="GCH522" s="1358"/>
      <c r="GCI522" s="1358"/>
      <c r="GCJ522" s="1358"/>
      <c r="GCK522" s="1358"/>
      <c r="GCL522" s="1358"/>
      <c r="GCM522" s="1358"/>
      <c r="GCN522" s="1358"/>
      <c r="GCO522" s="1358"/>
      <c r="GCP522" s="1358"/>
      <c r="GCQ522" s="1358"/>
      <c r="GCR522" s="1358"/>
      <c r="GCS522" s="1358"/>
      <c r="GCT522" s="1358"/>
      <c r="GCU522" s="1358"/>
      <c r="GCV522" s="1358"/>
      <c r="GCW522" s="1358"/>
      <c r="GCX522" s="1358"/>
      <c r="GCY522" s="1358"/>
      <c r="GCZ522" s="1358"/>
      <c r="GDA522" s="1358"/>
      <c r="GDB522" s="1358"/>
      <c r="GDC522" s="1358"/>
      <c r="GDD522" s="1358"/>
      <c r="GDE522" s="1358"/>
      <c r="GDF522" s="1358"/>
      <c r="GDG522" s="1358"/>
      <c r="GDH522" s="1358"/>
      <c r="GDI522" s="1358"/>
      <c r="GDJ522" s="1358"/>
      <c r="GDK522" s="1358"/>
      <c r="GDL522" s="1358"/>
      <c r="GDM522" s="1358"/>
      <c r="GDN522" s="1358"/>
      <c r="GDO522" s="1358"/>
      <c r="GDP522" s="1358"/>
      <c r="GDQ522" s="1358"/>
      <c r="GDR522" s="1358"/>
      <c r="GDS522" s="1358"/>
      <c r="GDT522" s="1358"/>
      <c r="GDU522" s="1358"/>
      <c r="GDV522" s="1358"/>
      <c r="GDW522" s="1358"/>
      <c r="GDX522" s="1358"/>
      <c r="GDY522" s="1358"/>
      <c r="GDZ522" s="1358"/>
      <c r="GEA522" s="1358"/>
      <c r="GEB522" s="1358"/>
      <c r="GEC522" s="1358"/>
      <c r="GED522" s="1358"/>
      <c r="GEE522" s="1358"/>
      <c r="GEF522" s="1358"/>
      <c r="GEG522" s="1358"/>
      <c r="GEH522" s="1358"/>
      <c r="GEI522" s="1358"/>
      <c r="GEJ522" s="1358"/>
      <c r="GEK522" s="1358"/>
      <c r="GEL522" s="1358"/>
      <c r="GEM522" s="1358"/>
      <c r="GEN522" s="1358"/>
      <c r="GEO522" s="1358"/>
      <c r="GEP522" s="1358"/>
      <c r="GEQ522" s="1358"/>
      <c r="GER522" s="1358"/>
      <c r="GES522" s="1358"/>
      <c r="GET522" s="1358"/>
      <c r="GEU522" s="1358"/>
      <c r="GEV522" s="1358"/>
      <c r="GEW522" s="1358"/>
      <c r="GEX522" s="1358"/>
      <c r="GEY522" s="1358"/>
      <c r="GEZ522" s="1358"/>
      <c r="GFA522" s="1358"/>
      <c r="GFB522" s="1358"/>
      <c r="GFC522" s="1358"/>
      <c r="GFD522" s="1358"/>
      <c r="GFE522" s="1358"/>
      <c r="GFF522" s="1358"/>
      <c r="GFG522" s="1358"/>
      <c r="GFH522" s="1358"/>
      <c r="GFI522" s="1358"/>
      <c r="GFJ522" s="1358"/>
      <c r="GFK522" s="1358"/>
      <c r="GFL522" s="1358"/>
      <c r="GFM522" s="1358"/>
      <c r="GFN522" s="1358"/>
      <c r="GFO522" s="1358"/>
      <c r="GFP522" s="1358"/>
      <c r="GFQ522" s="1358"/>
      <c r="GFR522" s="1358"/>
      <c r="GFS522" s="1358"/>
      <c r="GFT522" s="1358"/>
      <c r="GFU522" s="1358"/>
      <c r="GFV522" s="1358"/>
      <c r="GFW522" s="1358"/>
      <c r="GFX522" s="1358"/>
      <c r="GFY522" s="1358"/>
      <c r="GFZ522" s="1358"/>
      <c r="GGA522" s="1358"/>
      <c r="GGB522" s="1358"/>
      <c r="GGC522" s="1358"/>
      <c r="GGD522" s="1358"/>
      <c r="GGE522" s="1358"/>
      <c r="GGF522" s="1358"/>
      <c r="GGG522" s="1358"/>
      <c r="GGH522" s="1358"/>
      <c r="GGI522" s="1358"/>
      <c r="GGJ522" s="1358"/>
      <c r="GGK522" s="1358"/>
      <c r="GGL522" s="1358"/>
      <c r="GGM522" s="1358"/>
      <c r="GGN522" s="1358"/>
      <c r="GGO522" s="1358"/>
      <c r="GGP522" s="1358"/>
      <c r="GGQ522" s="1358"/>
      <c r="GGR522" s="1358"/>
      <c r="GGS522" s="1358"/>
      <c r="GGT522" s="1358"/>
      <c r="GGU522" s="1358"/>
      <c r="GGV522" s="1358"/>
      <c r="GGW522" s="1358"/>
      <c r="GGX522" s="1358"/>
      <c r="GGY522" s="1358"/>
      <c r="GGZ522" s="1358"/>
      <c r="GHA522" s="1358"/>
      <c r="GHB522" s="1358"/>
      <c r="GHC522" s="1358"/>
      <c r="GHD522" s="1358"/>
      <c r="GHE522" s="1358"/>
      <c r="GHF522" s="1358"/>
      <c r="GHG522" s="1358"/>
      <c r="GHH522" s="1358"/>
      <c r="GHI522" s="1358"/>
      <c r="GHJ522" s="1358"/>
      <c r="GHK522" s="1358"/>
      <c r="GHL522" s="1358"/>
      <c r="GHM522" s="1358"/>
      <c r="GHN522" s="1358"/>
      <c r="GHO522" s="1358"/>
      <c r="GHP522" s="1358"/>
      <c r="GHQ522" s="1358"/>
      <c r="GHR522" s="1358"/>
      <c r="GHS522" s="1358"/>
      <c r="GHT522" s="1358"/>
      <c r="GHU522" s="1358"/>
      <c r="GHV522" s="1358"/>
      <c r="GHW522" s="1358"/>
      <c r="GHX522" s="1358"/>
      <c r="GHY522" s="1358"/>
      <c r="GHZ522" s="1358"/>
      <c r="GIA522" s="1358"/>
      <c r="GIB522" s="1358"/>
      <c r="GIC522" s="1358"/>
      <c r="GID522" s="1358"/>
      <c r="GIE522" s="1358"/>
      <c r="GIF522" s="1358"/>
      <c r="GIG522" s="1358"/>
      <c r="GIH522" s="1358"/>
      <c r="GII522" s="1358"/>
      <c r="GIJ522" s="1358"/>
      <c r="GIK522" s="1358"/>
      <c r="GIL522" s="1358"/>
      <c r="GIM522" s="1358"/>
      <c r="GIN522" s="1358"/>
      <c r="GIO522" s="1358"/>
      <c r="GIP522" s="1358"/>
      <c r="GIQ522" s="1358"/>
      <c r="GIR522" s="1358"/>
      <c r="GIS522" s="1358"/>
      <c r="GIT522" s="1358"/>
      <c r="GIU522" s="1358"/>
      <c r="GIV522" s="1358"/>
      <c r="GIW522" s="1358"/>
      <c r="GIX522" s="1358"/>
      <c r="GIY522" s="1358"/>
      <c r="GIZ522" s="1358"/>
      <c r="GJA522" s="1358"/>
      <c r="GJB522" s="1358"/>
      <c r="GJC522" s="1358"/>
      <c r="GJD522" s="1358"/>
      <c r="GJE522" s="1358"/>
      <c r="GJF522" s="1358"/>
      <c r="GJG522" s="1358"/>
      <c r="GJH522" s="1358"/>
      <c r="GJI522" s="1358"/>
      <c r="GJJ522" s="1358"/>
      <c r="GJK522" s="1358"/>
      <c r="GJL522" s="1358"/>
      <c r="GJM522" s="1358"/>
      <c r="GJN522" s="1358"/>
      <c r="GJO522" s="1358"/>
      <c r="GJP522" s="1358"/>
      <c r="GJQ522" s="1358"/>
      <c r="GJR522" s="1358"/>
      <c r="GJS522" s="1358"/>
      <c r="GJT522" s="1358"/>
      <c r="GJU522" s="1358"/>
      <c r="GJV522" s="1358"/>
      <c r="GJW522" s="1358"/>
      <c r="GJX522" s="1358"/>
      <c r="GJY522" s="1358"/>
      <c r="GJZ522" s="1358"/>
      <c r="GKA522" s="1358"/>
      <c r="GKB522" s="1358"/>
      <c r="GKC522" s="1358"/>
      <c r="GKD522" s="1358"/>
      <c r="GKE522" s="1358"/>
      <c r="GKF522" s="1358"/>
      <c r="GKG522" s="1358"/>
      <c r="GKH522" s="1358"/>
      <c r="GKI522" s="1358"/>
      <c r="GKJ522" s="1358"/>
      <c r="GKK522" s="1358"/>
      <c r="GKL522" s="1358"/>
      <c r="GKM522" s="1358"/>
      <c r="GKN522" s="1358"/>
      <c r="GKO522" s="1358"/>
      <c r="GKP522" s="1358"/>
      <c r="GKQ522" s="1358"/>
      <c r="GKR522" s="1358"/>
      <c r="GKS522" s="1358"/>
      <c r="GKT522" s="1358"/>
      <c r="GKU522" s="1358"/>
      <c r="GKV522" s="1358"/>
      <c r="GKW522" s="1358"/>
      <c r="GKX522" s="1358"/>
      <c r="GKY522" s="1358"/>
      <c r="GKZ522" s="1358"/>
      <c r="GLA522" s="1358"/>
      <c r="GLB522" s="1358"/>
      <c r="GLC522" s="1358"/>
      <c r="GLD522" s="1358"/>
      <c r="GLE522" s="1358"/>
      <c r="GLF522" s="1358"/>
      <c r="GLG522" s="1358"/>
      <c r="GLH522" s="1358"/>
      <c r="GLI522" s="1358"/>
      <c r="GLJ522" s="1358"/>
      <c r="GLK522" s="1358"/>
      <c r="GLL522" s="1358"/>
      <c r="GLM522" s="1358"/>
      <c r="GLN522" s="1358"/>
      <c r="GLO522" s="1358"/>
      <c r="GLP522" s="1358"/>
      <c r="GLQ522" s="1358"/>
      <c r="GLR522" s="1358"/>
      <c r="GLS522" s="1358"/>
      <c r="GLT522" s="1358"/>
      <c r="GLU522" s="1358"/>
      <c r="GLV522" s="1358"/>
      <c r="GLW522" s="1358"/>
      <c r="GLX522" s="1358"/>
      <c r="GLY522" s="1358"/>
      <c r="GLZ522" s="1358"/>
      <c r="GMA522" s="1358"/>
      <c r="GMB522" s="1358"/>
      <c r="GMC522" s="1358"/>
      <c r="GMD522" s="1358"/>
      <c r="GME522" s="1358"/>
      <c r="GMF522" s="1358"/>
      <c r="GMG522" s="1358"/>
      <c r="GMH522" s="1358"/>
      <c r="GMI522" s="1358"/>
      <c r="GMJ522" s="1358"/>
      <c r="GMK522" s="1358"/>
      <c r="GML522" s="1358"/>
      <c r="GMM522" s="1358"/>
      <c r="GMN522" s="1358"/>
      <c r="GMO522" s="1358"/>
      <c r="GMP522" s="1358"/>
      <c r="GMQ522" s="1358"/>
      <c r="GMR522" s="1358"/>
      <c r="GMS522" s="1358"/>
      <c r="GMT522" s="1358"/>
      <c r="GMU522" s="1358"/>
      <c r="GMV522" s="1358"/>
      <c r="GMW522" s="1358"/>
      <c r="GMX522" s="1358"/>
      <c r="GMY522" s="1358"/>
      <c r="GMZ522" s="1358"/>
      <c r="GNA522" s="1358"/>
      <c r="GNB522" s="1358"/>
      <c r="GNC522" s="1358"/>
      <c r="GND522" s="1358"/>
      <c r="GNE522" s="1358"/>
      <c r="GNF522" s="1358"/>
      <c r="GNG522" s="1358"/>
      <c r="GNH522" s="1358"/>
      <c r="GNI522" s="1358"/>
      <c r="GNJ522" s="1358"/>
      <c r="GNK522" s="1358"/>
      <c r="GNL522" s="1358"/>
      <c r="GNM522" s="1358"/>
      <c r="GNN522" s="1358"/>
      <c r="GNO522" s="1358"/>
      <c r="GNP522" s="1358"/>
      <c r="GNQ522" s="1358"/>
      <c r="GNR522" s="1358"/>
      <c r="GNS522" s="1358"/>
      <c r="GNT522" s="1358"/>
      <c r="GNU522" s="1358"/>
      <c r="GNV522" s="1358"/>
      <c r="GNW522" s="1358"/>
      <c r="GNX522" s="1358"/>
      <c r="GNY522" s="1358"/>
      <c r="GNZ522" s="1358"/>
      <c r="GOA522" s="1358"/>
      <c r="GOB522" s="1358"/>
      <c r="GOC522" s="1358"/>
      <c r="GOD522" s="1358"/>
      <c r="GOE522" s="1358"/>
      <c r="GOF522" s="1358"/>
      <c r="GOG522" s="1358"/>
      <c r="GOH522" s="1358"/>
      <c r="GOI522" s="1358"/>
      <c r="GOJ522" s="1358"/>
      <c r="GOK522" s="1358"/>
      <c r="GOL522" s="1358"/>
      <c r="GOM522" s="1358"/>
      <c r="GON522" s="1358"/>
      <c r="GOO522" s="1358"/>
      <c r="GOP522" s="1358"/>
      <c r="GOQ522" s="1358"/>
      <c r="GOR522" s="1358"/>
      <c r="GOS522" s="1358"/>
      <c r="GOT522" s="1358"/>
      <c r="GOU522" s="1358"/>
      <c r="GOV522" s="1358"/>
      <c r="GOW522" s="1358"/>
      <c r="GOX522" s="1358"/>
      <c r="GOY522" s="1358"/>
      <c r="GOZ522" s="1358"/>
      <c r="GPA522" s="1358"/>
      <c r="GPB522" s="1358"/>
      <c r="GPC522" s="1358"/>
      <c r="GPD522" s="1358"/>
      <c r="GPE522" s="1358"/>
      <c r="GPF522" s="1358"/>
      <c r="GPG522" s="1358"/>
      <c r="GPH522" s="1358"/>
      <c r="GPI522" s="1358"/>
      <c r="GPJ522" s="1358"/>
      <c r="GPK522" s="1358"/>
      <c r="GPL522" s="1358"/>
      <c r="GPM522" s="1358"/>
      <c r="GPN522" s="1358"/>
      <c r="GPO522" s="1358"/>
      <c r="GPP522" s="1358"/>
      <c r="GPQ522" s="1358"/>
      <c r="GPR522" s="1358"/>
      <c r="GPS522" s="1358"/>
      <c r="GPT522" s="1358"/>
      <c r="GPU522" s="1358"/>
      <c r="GPV522" s="1358"/>
      <c r="GPW522" s="1358"/>
      <c r="GPX522" s="1358"/>
      <c r="GPY522" s="1358"/>
      <c r="GPZ522" s="1358"/>
      <c r="GQA522" s="1358"/>
      <c r="GQB522" s="1358"/>
      <c r="GQC522" s="1358"/>
      <c r="GQD522" s="1358"/>
      <c r="GQE522" s="1358"/>
      <c r="GQF522" s="1358"/>
      <c r="GQG522" s="1358"/>
      <c r="GQH522" s="1358"/>
      <c r="GQI522" s="1358"/>
      <c r="GQJ522" s="1358"/>
      <c r="GQK522" s="1358"/>
      <c r="GQL522" s="1358"/>
      <c r="GQM522" s="1358"/>
      <c r="GQN522" s="1358"/>
      <c r="GQO522" s="1358"/>
      <c r="GQP522" s="1358"/>
      <c r="GQQ522" s="1358"/>
      <c r="GQR522" s="1358"/>
      <c r="GQS522" s="1358"/>
      <c r="GQT522" s="1358"/>
      <c r="GQU522" s="1358"/>
      <c r="GQV522" s="1358"/>
      <c r="GQW522" s="1358"/>
      <c r="GQX522" s="1358"/>
      <c r="GQY522" s="1358"/>
      <c r="GQZ522" s="1358"/>
      <c r="GRA522" s="1358"/>
      <c r="GRB522" s="1358"/>
      <c r="GRC522" s="1358"/>
      <c r="GRD522" s="1358"/>
      <c r="GRE522" s="1358"/>
      <c r="GRF522" s="1358"/>
      <c r="GRG522" s="1358"/>
      <c r="GRH522" s="1358"/>
      <c r="GRI522" s="1358"/>
      <c r="GRJ522" s="1358"/>
      <c r="GRK522" s="1358"/>
      <c r="GRL522" s="1358"/>
      <c r="GRM522" s="1358"/>
      <c r="GRN522" s="1358"/>
      <c r="GRO522" s="1358"/>
      <c r="GRP522" s="1358"/>
      <c r="GRQ522" s="1358"/>
      <c r="GRR522" s="1358"/>
      <c r="GRS522" s="1358"/>
      <c r="GRT522" s="1358"/>
      <c r="GRU522" s="1358"/>
      <c r="GRV522" s="1358"/>
      <c r="GRW522" s="1358"/>
      <c r="GRX522" s="1358"/>
      <c r="GRY522" s="1358"/>
      <c r="GRZ522" s="1358"/>
      <c r="GSA522" s="1358"/>
      <c r="GSB522" s="1358"/>
      <c r="GSC522" s="1358"/>
      <c r="GSD522" s="1358"/>
      <c r="GSE522" s="1358"/>
      <c r="GSF522" s="1358"/>
      <c r="GSG522" s="1358"/>
      <c r="GSH522" s="1358"/>
      <c r="GSI522" s="1358"/>
      <c r="GSJ522" s="1358"/>
      <c r="GSK522" s="1358"/>
      <c r="GSL522" s="1358"/>
      <c r="GSM522" s="1358"/>
      <c r="GSN522" s="1358"/>
      <c r="GSO522" s="1358"/>
      <c r="GSP522" s="1358"/>
      <c r="GSQ522" s="1358"/>
      <c r="GSR522" s="1358"/>
      <c r="GSS522" s="1358"/>
      <c r="GST522" s="1358"/>
      <c r="GSU522" s="1358"/>
      <c r="GSV522" s="1358"/>
      <c r="GSW522" s="1358"/>
      <c r="GSX522" s="1358"/>
      <c r="GSY522" s="1358"/>
      <c r="GSZ522" s="1358"/>
      <c r="GTA522" s="1358"/>
      <c r="GTB522" s="1358"/>
      <c r="GTC522" s="1358"/>
      <c r="GTD522" s="1358"/>
      <c r="GTE522" s="1358"/>
      <c r="GTF522" s="1358"/>
      <c r="GTG522" s="1358"/>
      <c r="GTH522" s="1358"/>
      <c r="GTI522" s="1358"/>
      <c r="GTJ522" s="1358"/>
      <c r="GTK522" s="1358"/>
      <c r="GTL522" s="1358"/>
      <c r="GTM522" s="1358"/>
      <c r="GTN522" s="1358"/>
      <c r="GTO522" s="1358"/>
      <c r="GTP522" s="1358"/>
      <c r="GTQ522" s="1358"/>
      <c r="GTR522" s="1358"/>
      <c r="GTS522" s="1358"/>
      <c r="GTT522" s="1358"/>
      <c r="GTU522" s="1358"/>
      <c r="GTV522" s="1358"/>
      <c r="GTW522" s="1358"/>
      <c r="GTX522" s="1358"/>
      <c r="GTY522" s="1358"/>
      <c r="GTZ522" s="1358"/>
      <c r="GUA522" s="1358"/>
      <c r="GUB522" s="1358"/>
      <c r="GUC522" s="1358"/>
      <c r="GUD522" s="1358"/>
      <c r="GUE522" s="1358"/>
      <c r="GUF522" s="1358"/>
      <c r="GUG522" s="1358"/>
      <c r="GUH522" s="1358"/>
      <c r="GUI522" s="1358"/>
      <c r="GUJ522" s="1358"/>
      <c r="GUK522" s="1358"/>
      <c r="GUL522" s="1358"/>
      <c r="GUM522" s="1358"/>
      <c r="GUN522" s="1358"/>
      <c r="GUO522" s="1358"/>
      <c r="GUP522" s="1358"/>
      <c r="GUQ522" s="1358"/>
      <c r="GUR522" s="1358"/>
      <c r="GUS522" s="1358"/>
      <c r="GUT522" s="1358"/>
      <c r="GUU522" s="1358"/>
      <c r="GUV522" s="1358"/>
      <c r="GUW522" s="1358"/>
      <c r="GUX522" s="1358"/>
      <c r="GUY522" s="1358"/>
      <c r="GUZ522" s="1358"/>
      <c r="GVA522" s="1358"/>
      <c r="GVB522" s="1358"/>
      <c r="GVC522" s="1358"/>
      <c r="GVD522" s="1358"/>
      <c r="GVE522" s="1358"/>
      <c r="GVF522" s="1358"/>
      <c r="GVG522" s="1358"/>
      <c r="GVH522" s="1358"/>
      <c r="GVI522" s="1358"/>
      <c r="GVJ522" s="1358"/>
      <c r="GVK522" s="1358"/>
      <c r="GVL522" s="1358"/>
      <c r="GVM522" s="1358"/>
      <c r="GVN522" s="1358"/>
      <c r="GVO522" s="1358"/>
      <c r="GVP522" s="1358"/>
      <c r="GVQ522" s="1358"/>
      <c r="GVR522" s="1358"/>
      <c r="GVS522" s="1358"/>
      <c r="GVT522" s="1358"/>
      <c r="GVU522" s="1358"/>
      <c r="GVV522" s="1358"/>
      <c r="GVW522" s="1358"/>
      <c r="GVX522" s="1358"/>
      <c r="GVY522" s="1358"/>
      <c r="GVZ522" s="1358"/>
      <c r="GWA522" s="1358"/>
      <c r="GWB522" s="1358"/>
      <c r="GWC522" s="1358"/>
      <c r="GWD522" s="1358"/>
      <c r="GWE522" s="1358"/>
      <c r="GWF522" s="1358"/>
      <c r="GWG522" s="1358"/>
      <c r="GWH522" s="1358"/>
      <c r="GWI522" s="1358"/>
      <c r="GWJ522" s="1358"/>
      <c r="GWK522" s="1358"/>
      <c r="GWL522" s="1358"/>
      <c r="GWM522" s="1358"/>
      <c r="GWN522" s="1358"/>
      <c r="GWO522" s="1358"/>
      <c r="GWP522" s="1358"/>
      <c r="GWQ522" s="1358"/>
      <c r="GWR522" s="1358"/>
      <c r="GWS522" s="1358"/>
      <c r="GWT522" s="1358"/>
      <c r="GWU522" s="1358"/>
      <c r="GWV522" s="1358"/>
      <c r="GWW522" s="1358"/>
      <c r="GWX522" s="1358"/>
      <c r="GWY522" s="1358"/>
      <c r="GWZ522" s="1358"/>
      <c r="GXA522" s="1358"/>
      <c r="GXB522" s="1358"/>
      <c r="GXC522" s="1358"/>
      <c r="GXD522" s="1358"/>
      <c r="GXE522" s="1358"/>
      <c r="GXF522" s="1358"/>
      <c r="GXG522" s="1358"/>
      <c r="GXH522" s="1358"/>
      <c r="GXI522" s="1358"/>
      <c r="GXJ522" s="1358"/>
      <c r="GXK522" s="1358"/>
      <c r="GXL522" s="1358"/>
      <c r="GXM522" s="1358"/>
      <c r="GXN522" s="1358"/>
      <c r="GXO522" s="1358"/>
      <c r="GXP522" s="1358"/>
      <c r="GXQ522" s="1358"/>
      <c r="GXR522" s="1358"/>
      <c r="GXS522" s="1358"/>
      <c r="GXT522" s="1358"/>
      <c r="GXU522" s="1358"/>
      <c r="GXV522" s="1358"/>
      <c r="GXW522" s="1358"/>
      <c r="GXX522" s="1358"/>
      <c r="GXY522" s="1358"/>
      <c r="GXZ522" s="1358"/>
      <c r="GYA522" s="1358"/>
      <c r="GYB522" s="1358"/>
      <c r="GYC522" s="1358"/>
      <c r="GYD522" s="1358"/>
      <c r="GYE522" s="1358"/>
      <c r="GYF522" s="1358"/>
      <c r="GYG522" s="1358"/>
      <c r="GYH522" s="1358"/>
      <c r="GYI522" s="1358"/>
      <c r="GYJ522" s="1358"/>
      <c r="GYK522" s="1358"/>
      <c r="GYL522" s="1358"/>
      <c r="GYM522" s="1358"/>
      <c r="GYN522" s="1358"/>
      <c r="GYO522" s="1358"/>
      <c r="GYP522" s="1358"/>
      <c r="GYQ522" s="1358"/>
      <c r="GYR522" s="1358"/>
      <c r="GYS522" s="1358"/>
      <c r="GYT522" s="1358"/>
      <c r="GYU522" s="1358"/>
      <c r="GYV522" s="1358"/>
      <c r="GYW522" s="1358"/>
      <c r="GYX522" s="1358"/>
      <c r="GYY522" s="1358"/>
      <c r="GYZ522" s="1358"/>
      <c r="GZA522" s="1358"/>
      <c r="GZB522" s="1358"/>
      <c r="GZC522" s="1358"/>
      <c r="GZD522" s="1358"/>
      <c r="GZE522" s="1358"/>
      <c r="GZF522" s="1358"/>
      <c r="GZG522" s="1358"/>
      <c r="GZH522" s="1358"/>
      <c r="GZI522" s="1358"/>
      <c r="GZJ522" s="1358"/>
      <c r="GZK522" s="1358"/>
      <c r="GZL522" s="1358"/>
      <c r="GZM522" s="1358"/>
      <c r="GZN522" s="1358"/>
      <c r="GZO522" s="1358"/>
      <c r="GZP522" s="1358"/>
      <c r="GZQ522" s="1358"/>
      <c r="GZR522" s="1358"/>
      <c r="GZS522" s="1358"/>
      <c r="GZT522" s="1358"/>
      <c r="GZU522" s="1358"/>
      <c r="GZV522" s="1358"/>
      <c r="GZW522" s="1358"/>
      <c r="GZX522" s="1358"/>
      <c r="GZY522" s="1358"/>
      <c r="GZZ522" s="1358"/>
      <c r="HAA522" s="1358"/>
      <c r="HAB522" s="1358"/>
      <c r="HAC522" s="1358"/>
      <c r="HAD522" s="1358"/>
      <c r="HAE522" s="1358"/>
      <c r="HAF522" s="1358"/>
      <c r="HAG522" s="1358"/>
      <c r="HAH522" s="1358"/>
      <c r="HAI522" s="1358"/>
      <c r="HAJ522" s="1358"/>
      <c r="HAK522" s="1358"/>
      <c r="HAL522" s="1358"/>
      <c r="HAM522" s="1358"/>
      <c r="HAN522" s="1358"/>
      <c r="HAO522" s="1358"/>
      <c r="HAP522" s="1358"/>
      <c r="HAQ522" s="1358"/>
      <c r="HAR522" s="1358"/>
      <c r="HAS522" s="1358"/>
      <c r="HAT522" s="1358"/>
      <c r="HAU522" s="1358"/>
      <c r="HAV522" s="1358"/>
      <c r="HAW522" s="1358"/>
      <c r="HAX522" s="1358"/>
      <c r="HAY522" s="1358"/>
      <c r="HAZ522" s="1358"/>
      <c r="HBA522" s="1358"/>
      <c r="HBB522" s="1358"/>
      <c r="HBC522" s="1358"/>
      <c r="HBD522" s="1358"/>
      <c r="HBE522" s="1358"/>
      <c r="HBF522" s="1358"/>
      <c r="HBG522" s="1358"/>
      <c r="HBH522" s="1358"/>
      <c r="HBI522" s="1358"/>
      <c r="HBJ522" s="1358"/>
      <c r="HBK522" s="1358"/>
      <c r="HBL522" s="1358"/>
      <c r="HBM522" s="1358"/>
      <c r="HBN522" s="1358"/>
      <c r="HBO522" s="1358"/>
      <c r="HBP522" s="1358"/>
      <c r="HBQ522" s="1358"/>
      <c r="HBR522" s="1358"/>
      <c r="HBS522" s="1358"/>
      <c r="HBT522" s="1358"/>
      <c r="HBU522" s="1358"/>
      <c r="HBV522" s="1358"/>
      <c r="HBW522" s="1358"/>
      <c r="HBX522" s="1358"/>
      <c r="HBY522" s="1358"/>
      <c r="HBZ522" s="1358"/>
      <c r="HCA522" s="1358"/>
      <c r="HCB522" s="1358"/>
      <c r="HCC522" s="1358"/>
      <c r="HCD522" s="1358"/>
      <c r="HCE522" s="1358"/>
      <c r="HCF522" s="1358"/>
      <c r="HCG522" s="1358"/>
      <c r="HCH522" s="1358"/>
      <c r="HCI522" s="1358"/>
      <c r="HCJ522" s="1358"/>
      <c r="HCK522" s="1358"/>
      <c r="HCL522" s="1358"/>
      <c r="HCM522" s="1358"/>
      <c r="HCN522" s="1358"/>
      <c r="HCO522" s="1358"/>
      <c r="HCP522" s="1358"/>
      <c r="HCQ522" s="1358"/>
      <c r="HCR522" s="1358"/>
      <c r="HCS522" s="1358"/>
      <c r="HCT522" s="1358"/>
      <c r="HCU522" s="1358"/>
      <c r="HCV522" s="1358"/>
      <c r="HCW522" s="1358"/>
      <c r="HCX522" s="1358"/>
      <c r="HCY522" s="1358"/>
      <c r="HCZ522" s="1358"/>
      <c r="HDA522" s="1358"/>
      <c r="HDB522" s="1358"/>
      <c r="HDC522" s="1358"/>
      <c r="HDD522" s="1358"/>
      <c r="HDE522" s="1358"/>
      <c r="HDF522" s="1358"/>
      <c r="HDG522" s="1358"/>
      <c r="HDH522" s="1358"/>
      <c r="HDI522" s="1358"/>
      <c r="HDJ522" s="1358"/>
      <c r="HDK522" s="1358"/>
      <c r="HDL522" s="1358"/>
      <c r="HDM522" s="1358"/>
      <c r="HDN522" s="1358"/>
      <c r="HDO522" s="1358"/>
      <c r="HDP522" s="1358"/>
      <c r="HDQ522" s="1358"/>
      <c r="HDR522" s="1358"/>
      <c r="HDS522" s="1358"/>
      <c r="HDT522" s="1358"/>
      <c r="HDU522" s="1358"/>
      <c r="HDV522" s="1358"/>
      <c r="HDW522" s="1358"/>
      <c r="HDX522" s="1358"/>
      <c r="HDY522" s="1358"/>
      <c r="HDZ522" s="1358"/>
      <c r="HEA522" s="1358"/>
      <c r="HEB522" s="1358"/>
      <c r="HEC522" s="1358"/>
      <c r="HED522" s="1358"/>
      <c r="HEE522" s="1358"/>
      <c r="HEF522" s="1358"/>
      <c r="HEG522" s="1358"/>
      <c r="HEH522" s="1358"/>
      <c r="HEI522" s="1358"/>
      <c r="HEJ522" s="1358"/>
      <c r="HEK522" s="1358"/>
      <c r="HEL522" s="1358"/>
      <c r="HEM522" s="1358"/>
      <c r="HEN522" s="1358"/>
      <c r="HEO522" s="1358"/>
      <c r="HEP522" s="1358"/>
      <c r="HEQ522" s="1358"/>
      <c r="HER522" s="1358"/>
      <c r="HES522" s="1358"/>
      <c r="HET522" s="1358"/>
      <c r="HEU522" s="1358"/>
      <c r="HEV522" s="1358"/>
      <c r="HEW522" s="1358"/>
      <c r="HEX522" s="1358"/>
      <c r="HEY522" s="1358"/>
      <c r="HEZ522" s="1358"/>
      <c r="HFA522" s="1358"/>
      <c r="HFB522" s="1358"/>
      <c r="HFC522" s="1358"/>
      <c r="HFD522" s="1358"/>
      <c r="HFE522" s="1358"/>
      <c r="HFF522" s="1358"/>
      <c r="HFG522" s="1358"/>
      <c r="HFH522" s="1358"/>
      <c r="HFI522" s="1358"/>
      <c r="HFJ522" s="1358"/>
      <c r="HFK522" s="1358"/>
      <c r="HFL522" s="1358"/>
      <c r="HFM522" s="1358"/>
      <c r="HFN522" s="1358"/>
      <c r="HFO522" s="1358"/>
      <c r="HFP522" s="1358"/>
      <c r="HFQ522" s="1358"/>
      <c r="HFR522" s="1358"/>
      <c r="HFS522" s="1358"/>
      <c r="HFT522" s="1358"/>
      <c r="HFU522" s="1358"/>
      <c r="HFV522" s="1358"/>
      <c r="HFW522" s="1358"/>
      <c r="HFX522" s="1358"/>
      <c r="HFY522" s="1358"/>
      <c r="HFZ522" s="1358"/>
      <c r="HGA522" s="1358"/>
      <c r="HGB522" s="1358"/>
      <c r="HGC522" s="1358"/>
      <c r="HGD522" s="1358"/>
      <c r="HGE522" s="1358"/>
      <c r="HGF522" s="1358"/>
      <c r="HGG522" s="1358"/>
      <c r="HGH522" s="1358"/>
      <c r="HGI522" s="1358"/>
      <c r="HGJ522" s="1358"/>
      <c r="HGK522" s="1358"/>
      <c r="HGL522" s="1358"/>
      <c r="HGM522" s="1358"/>
      <c r="HGN522" s="1358"/>
      <c r="HGO522" s="1358"/>
      <c r="HGP522" s="1358"/>
      <c r="HGQ522" s="1358"/>
      <c r="HGR522" s="1358"/>
      <c r="HGS522" s="1358"/>
      <c r="HGT522" s="1358"/>
      <c r="HGU522" s="1358"/>
      <c r="HGV522" s="1358"/>
      <c r="HGW522" s="1358"/>
      <c r="HGX522" s="1358"/>
      <c r="HGY522" s="1358"/>
      <c r="HGZ522" s="1358"/>
      <c r="HHA522" s="1358"/>
      <c r="HHB522" s="1358"/>
      <c r="HHC522" s="1358"/>
      <c r="HHD522" s="1358"/>
      <c r="HHE522" s="1358"/>
      <c r="HHF522" s="1358"/>
      <c r="HHG522" s="1358"/>
      <c r="HHH522" s="1358"/>
      <c r="HHI522" s="1358"/>
      <c r="HHJ522" s="1358"/>
      <c r="HHK522" s="1358"/>
      <c r="HHL522" s="1358"/>
      <c r="HHM522" s="1358"/>
      <c r="HHN522" s="1358"/>
      <c r="HHO522" s="1358"/>
      <c r="HHP522" s="1358"/>
      <c r="HHQ522" s="1358"/>
      <c r="HHR522" s="1358"/>
      <c r="HHS522" s="1358"/>
      <c r="HHT522" s="1358"/>
      <c r="HHU522" s="1358"/>
      <c r="HHV522" s="1358"/>
      <c r="HHW522" s="1358"/>
      <c r="HHX522" s="1358"/>
      <c r="HHY522" s="1358"/>
      <c r="HHZ522" s="1358"/>
      <c r="HIA522" s="1358"/>
      <c r="HIB522" s="1358"/>
      <c r="HIC522" s="1358"/>
      <c r="HID522" s="1358"/>
      <c r="HIE522" s="1358"/>
      <c r="HIF522" s="1358"/>
      <c r="HIG522" s="1358"/>
      <c r="HIH522" s="1358"/>
      <c r="HII522" s="1358"/>
      <c r="HIJ522" s="1358"/>
      <c r="HIK522" s="1358"/>
      <c r="HIL522" s="1358"/>
      <c r="HIM522" s="1358"/>
      <c r="HIN522" s="1358"/>
      <c r="HIO522" s="1358"/>
      <c r="HIP522" s="1358"/>
      <c r="HIQ522" s="1358"/>
      <c r="HIR522" s="1358"/>
      <c r="HIS522" s="1358"/>
      <c r="HIT522" s="1358"/>
      <c r="HIU522" s="1358"/>
      <c r="HIV522" s="1358"/>
      <c r="HIW522" s="1358"/>
      <c r="HIX522" s="1358"/>
      <c r="HIY522" s="1358"/>
      <c r="HIZ522" s="1358"/>
      <c r="HJA522" s="1358"/>
      <c r="HJB522" s="1358"/>
      <c r="HJC522" s="1358"/>
      <c r="HJD522" s="1358"/>
      <c r="HJE522" s="1358"/>
      <c r="HJF522" s="1358"/>
      <c r="HJG522" s="1358"/>
      <c r="HJH522" s="1358"/>
      <c r="HJI522" s="1358"/>
      <c r="HJJ522" s="1358"/>
      <c r="HJK522" s="1358"/>
      <c r="HJL522" s="1358"/>
      <c r="HJM522" s="1358"/>
      <c r="HJN522" s="1358"/>
      <c r="HJO522" s="1358"/>
      <c r="HJP522" s="1358"/>
      <c r="HJQ522" s="1358"/>
      <c r="HJR522" s="1358"/>
      <c r="HJS522" s="1358"/>
      <c r="HJT522" s="1358"/>
      <c r="HJU522" s="1358"/>
      <c r="HJV522" s="1358"/>
      <c r="HJW522" s="1358"/>
      <c r="HJX522" s="1358"/>
      <c r="HJY522" s="1358"/>
      <c r="HJZ522" s="1358"/>
      <c r="HKA522" s="1358"/>
      <c r="HKB522" s="1358"/>
      <c r="HKC522" s="1358"/>
      <c r="HKD522" s="1358"/>
      <c r="HKE522" s="1358"/>
      <c r="HKF522" s="1358"/>
      <c r="HKG522" s="1358"/>
      <c r="HKH522" s="1358"/>
      <c r="HKI522" s="1358"/>
      <c r="HKJ522" s="1358"/>
      <c r="HKK522" s="1358"/>
      <c r="HKL522" s="1358"/>
      <c r="HKM522" s="1358"/>
      <c r="HKN522" s="1358"/>
      <c r="HKO522" s="1358"/>
      <c r="HKP522" s="1358"/>
      <c r="HKQ522" s="1358"/>
      <c r="HKR522" s="1358"/>
      <c r="HKS522" s="1358"/>
      <c r="HKT522" s="1358"/>
      <c r="HKU522" s="1358"/>
      <c r="HKV522" s="1358"/>
      <c r="HKW522" s="1358"/>
      <c r="HKX522" s="1358"/>
      <c r="HKY522" s="1358"/>
      <c r="HKZ522" s="1358"/>
      <c r="HLA522" s="1358"/>
      <c r="HLB522" s="1358"/>
      <c r="HLC522" s="1358"/>
      <c r="HLD522" s="1358"/>
      <c r="HLE522" s="1358"/>
      <c r="HLF522" s="1358"/>
      <c r="HLG522" s="1358"/>
      <c r="HLH522" s="1358"/>
      <c r="HLI522" s="1358"/>
      <c r="HLJ522" s="1358"/>
      <c r="HLK522" s="1358"/>
      <c r="HLL522" s="1358"/>
      <c r="HLM522" s="1358"/>
      <c r="HLN522" s="1358"/>
      <c r="HLO522" s="1358"/>
      <c r="HLP522" s="1358"/>
      <c r="HLQ522" s="1358"/>
      <c r="HLR522" s="1358"/>
      <c r="HLS522" s="1358"/>
      <c r="HLT522" s="1358"/>
      <c r="HLU522" s="1358"/>
      <c r="HLV522" s="1358"/>
      <c r="HLW522" s="1358"/>
      <c r="HLX522" s="1358"/>
      <c r="HLY522" s="1358"/>
      <c r="HLZ522" s="1358"/>
      <c r="HMA522" s="1358"/>
      <c r="HMB522" s="1358"/>
      <c r="HMC522" s="1358"/>
      <c r="HMD522" s="1358"/>
      <c r="HME522" s="1358"/>
      <c r="HMF522" s="1358"/>
      <c r="HMG522" s="1358"/>
      <c r="HMH522" s="1358"/>
      <c r="HMI522" s="1358"/>
      <c r="HMJ522" s="1358"/>
      <c r="HMK522" s="1358"/>
      <c r="HML522" s="1358"/>
      <c r="HMM522" s="1358"/>
      <c r="HMN522" s="1358"/>
      <c r="HMO522" s="1358"/>
      <c r="HMP522" s="1358"/>
      <c r="HMQ522" s="1358"/>
      <c r="HMR522" s="1358"/>
      <c r="HMS522" s="1358"/>
      <c r="HMT522" s="1358"/>
      <c r="HMU522" s="1358"/>
      <c r="HMV522" s="1358"/>
      <c r="HMW522" s="1358"/>
      <c r="HMX522" s="1358"/>
      <c r="HMY522" s="1358"/>
      <c r="HMZ522" s="1358"/>
      <c r="HNA522" s="1358"/>
      <c r="HNB522" s="1358"/>
      <c r="HNC522" s="1358"/>
      <c r="HND522" s="1358"/>
      <c r="HNE522" s="1358"/>
      <c r="HNF522" s="1358"/>
      <c r="HNG522" s="1358"/>
      <c r="HNH522" s="1358"/>
      <c r="HNI522" s="1358"/>
      <c r="HNJ522" s="1358"/>
      <c r="HNK522" s="1358"/>
      <c r="HNL522" s="1358"/>
      <c r="HNM522" s="1358"/>
      <c r="HNN522" s="1358"/>
      <c r="HNO522" s="1358"/>
      <c r="HNP522" s="1358"/>
      <c r="HNQ522" s="1358"/>
      <c r="HNR522" s="1358"/>
      <c r="HNS522" s="1358"/>
      <c r="HNT522" s="1358"/>
      <c r="HNU522" s="1358"/>
      <c r="HNV522" s="1358"/>
      <c r="HNW522" s="1358"/>
      <c r="HNX522" s="1358"/>
      <c r="HNY522" s="1358"/>
      <c r="HNZ522" s="1358"/>
      <c r="HOA522" s="1358"/>
      <c r="HOB522" s="1358"/>
      <c r="HOC522" s="1358"/>
      <c r="HOD522" s="1358"/>
      <c r="HOE522" s="1358"/>
      <c r="HOF522" s="1358"/>
      <c r="HOG522" s="1358"/>
      <c r="HOH522" s="1358"/>
      <c r="HOI522" s="1358"/>
      <c r="HOJ522" s="1358"/>
      <c r="HOK522" s="1358"/>
      <c r="HOL522" s="1358"/>
      <c r="HOM522" s="1358"/>
      <c r="HON522" s="1358"/>
      <c r="HOO522" s="1358"/>
      <c r="HOP522" s="1358"/>
      <c r="HOQ522" s="1358"/>
      <c r="HOR522" s="1358"/>
      <c r="HOS522" s="1358"/>
      <c r="HOT522" s="1358"/>
      <c r="HOU522" s="1358"/>
      <c r="HOV522" s="1358"/>
      <c r="HOW522" s="1358"/>
      <c r="HOX522" s="1358"/>
      <c r="HOY522" s="1358"/>
      <c r="HOZ522" s="1358"/>
      <c r="HPA522" s="1358"/>
      <c r="HPB522" s="1358"/>
      <c r="HPC522" s="1358"/>
      <c r="HPD522" s="1358"/>
      <c r="HPE522" s="1358"/>
      <c r="HPF522" s="1358"/>
      <c r="HPG522" s="1358"/>
      <c r="HPH522" s="1358"/>
      <c r="HPI522" s="1358"/>
      <c r="HPJ522" s="1358"/>
      <c r="HPK522" s="1358"/>
      <c r="HPL522" s="1358"/>
      <c r="HPM522" s="1358"/>
      <c r="HPN522" s="1358"/>
      <c r="HPO522" s="1358"/>
      <c r="HPP522" s="1358"/>
      <c r="HPQ522" s="1358"/>
      <c r="HPR522" s="1358"/>
      <c r="HPS522" s="1358"/>
      <c r="HPT522" s="1358"/>
      <c r="HPU522" s="1358"/>
      <c r="HPV522" s="1358"/>
      <c r="HPW522" s="1358"/>
      <c r="HPX522" s="1358"/>
      <c r="HPY522" s="1358"/>
      <c r="HPZ522" s="1358"/>
      <c r="HQA522" s="1358"/>
      <c r="HQB522" s="1358"/>
      <c r="HQC522" s="1358"/>
      <c r="HQD522" s="1358"/>
      <c r="HQE522" s="1358"/>
      <c r="HQF522" s="1358"/>
      <c r="HQG522" s="1358"/>
      <c r="HQH522" s="1358"/>
      <c r="HQI522" s="1358"/>
      <c r="HQJ522" s="1358"/>
      <c r="HQK522" s="1358"/>
      <c r="HQL522" s="1358"/>
      <c r="HQM522" s="1358"/>
      <c r="HQN522" s="1358"/>
      <c r="HQO522" s="1358"/>
      <c r="HQP522" s="1358"/>
      <c r="HQQ522" s="1358"/>
      <c r="HQR522" s="1358"/>
      <c r="HQS522" s="1358"/>
      <c r="HQT522" s="1358"/>
      <c r="HQU522" s="1358"/>
      <c r="HQV522" s="1358"/>
      <c r="HQW522" s="1358"/>
      <c r="HQX522" s="1358"/>
      <c r="HQY522" s="1358"/>
      <c r="HQZ522" s="1358"/>
      <c r="HRA522" s="1358"/>
      <c r="HRB522" s="1358"/>
      <c r="HRC522" s="1358"/>
      <c r="HRD522" s="1358"/>
      <c r="HRE522" s="1358"/>
      <c r="HRF522" s="1358"/>
      <c r="HRG522" s="1358"/>
      <c r="HRH522" s="1358"/>
      <c r="HRI522" s="1358"/>
      <c r="HRJ522" s="1358"/>
      <c r="HRK522" s="1358"/>
      <c r="HRL522" s="1358"/>
      <c r="HRM522" s="1358"/>
      <c r="HRN522" s="1358"/>
      <c r="HRO522" s="1358"/>
      <c r="HRP522" s="1358"/>
      <c r="HRQ522" s="1358"/>
      <c r="HRR522" s="1358"/>
      <c r="HRS522" s="1358"/>
      <c r="HRT522" s="1358"/>
      <c r="HRU522" s="1358"/>
      <c r="HRV522" s="1358"/>
      <c r="HRW522" s="1358"/>
      <c r="HRX522" s="1358"/>
      <c r="HRY522" s="1358"/>
      <c r="HRZ522" s="1358"/>
      <c r="HSA522" s="1358"/>
      <c r="HSB522" s="1358"/>
      <c r="HSC522" s="1358"/>
      <c r="HSD522" s="1358"/>
      <c r="HSE522" s="1358"/>
      <c r="HSF522" s="1358"/>
      <c r="HSG522" s="1358"/>
      <c r="HSH522" s="1358"/>
      <c r="HSI522" s="1358"/>
      <c r="HSJ522" s="1358"/>
      <c r="HSK522" s="1358"/>
      <c r="HSL522" s="1358"/>
      <c r="HSM522" s="1358"/>
      <c r="HSN522" s="1358"/>
      <c r="HSO522" s="1358"/>
      <c r="HSP522" s="1358"/>
      <c r="HSQ522" s="1358"/>
      <c r="HSR522" s="1358"/>
      <c r="HSS522" s="1358"/>
      <c r="HST522" s="1358"/>
      <c r="HSU522" s="1358"/>
      <c r="HSV522" s="1358"/>
      <c r="HSW522" s="1358"/>
      <c r="HSX522" s="1358"/>
      <c r="HSY522" s="1358"/>
      <c r="HSZ522" s="1358"/>
      <c r="HTA522" s="1358"/>
      <c r="HTB522" s="1358"/>
      <c r="HTC522" s="1358"/>
      <c r="HTD522" s="1358"/>
      <c r="HTE522" s="1358"/>
      <c r="HTF522" s="1358"/>
      <c r="HTG522" s="1358"/>
      <c r="HTH522" s="1358"/>
      <c r="HTI522" s="1358"/>
      <c r="HTJ522" s="1358"/>
      <c r="HTK522" s="1358"/>
      <c r="HTL522" s="1358"/>
      <c r="HTM522" s="1358"/>
      <c r="HTN522" s="1358"/>
      <c r="HTO522" s="1358"/>
      <c r="HTP522" s="1358"/>
      <c r="HTQ522" s="1358"/>
      <c r="HTR522" s="1358"/>
      <c r="HTS522" s="1358"/>
      <c r="HTT522" s="1358"/>
      <c r="HTU522" s="1358"/>
      <c r="HTV522" s="1358"/>
      <c r="HTW522" s="1358"/>
      <c r="HTX522" s="1358"/>
      <c r="HTY522" s="1358"/>
      <c r="HTZ522" s="1358"/>
      <c r="HUA522" s="1358"/>
      <c r="HUB522" s="1358"/>
      <c r="HUC522" s="1358"/>
      <c r="HUD522" s="1358"/>
      <c r="HUE522" s="1358"/>
      <c r="HUF522" s="1358"/>
      <c r="HUG522" s="1358"/>
      <c r="HUH522" s="1358"/>
      <c r="HUI522" s="1358"/>
      <c r="HUJ522" s="1358"/>
      <c r="HUK522" s="1358"/>
      <c r="HUL522" s="1358"/>
      <c r="HUM522" s="1358"/>
      <c r="HUN522" s="1358"/>
      <c r="HUO522" s="1358"/>
      <c r="HUP522" s="1358"/>
      <c r="HUQ522" s="1358"/>
      <c r="HUR522" s="1358"/>
      <c r="HUS522" s="1358"/>
      <c r="HUT522" s="1358"/>
      <c r="HUU522" s="1358"/>
      <c r="HUV522" s="1358"/>
      <c r="HUW522" s="1358"/>
      <c r="HUX522" s="1358"/>
      <c r="HUY522" s="1358"/>
      <c r="HUZ522" s="1358"/>
      <c r="HVA522" s="1358"/>
      <c r="HVB522" s="1358"/>
      <c r="HVC522" s="1358"/>
      <c r="HVD522" s="1358"/>
      <c r="HVE522" s="1358"/>
      <c r="HVF522" s="1358"/>
      <c r="HVG522" s="1358"/>
      <c r="HVH522" s="1358"/>
      <c r="HVI522" s="1358"/>
      <c r="HVJ522" s="1358"/>
      <c r="HVK522" s="1358"/>
      <c r="HVL522" s="1358"/>
      <c r="HVM522" s="1358"/>
      <c r="HVN522" s="1358"/>
      <c r="HVO522" s="1358"/>
      <c r="HVP522" s="1358"/>
      <c r="HVQ522" s="1358"/>
      <c r="HVR522" s="1358"/>
      <c r="HVS522" s="1358"/>
      <c r="HVT522" s="1358"/>
      <c r="HVU522" s="1358"/>
      <c r="HVV522" s="1358"/>
      <c r="HVW522" s="1358"/>
      <c r="HVX522" s="1358"/>
      <c r="HVY522" s="1358"/>
      <c r="HVZ522" s="1358"/>
      <c r="HWA522" s="1358"/>
      <c r="HWB522" s="1358"/>
      <c r="HWC522" s="1358"/>
      <c r="HWD522" s="1358"/>
      <c r="HWE522" s="1358"/>
      <c r="HWF522" s="1358"/>
      <c r="HWG522" s="1358"/>
      <c r="HWH522" s="1358"/>
      <c r="HWI522" s="1358"/>
      <c r="HWJ522" s="1358"/>
      <c r="HWK522" s="1358"/>
      <c r="HWL522" s="1358"/>
      <c r="HWM522" s="1358"/>
      <c r="HWN522" s="1358"/>
      <c r="HWO522" s="1358"/>
      <c r="HWP522" s="1358"/>
      <c r="HWQ522" s="1358"/>
      <c r="HWR522" s="1358"/>
      <c r="HWS522" s="1358"/>
      <c r="HWT522" s="1358"/>
      <c r="HWU522" s="1358"/>
      <c r="HWV522" s="1358"/>
      <c r="HWW522" s="1358"/>
      <c r="HWX522" s="1358"/>
      <c r="HWY522" s="1358"/>
      <c r="HWZ522" s="1358"/>
      <c r="HXA522" s="1358"/>
      <c r="HXB522" s="1358"/>
      <c r="HXC522" s="1358"/>
      <c r="HXD522" s="1358"/>
      <c r="HXE522" s="1358"/>
      <c r="HXF522" s="1358"/>
      <c r="HXG522" s="1358"/>
      <c r="HXH522" s="1358"/>
      <c r="HXI522" s="1358"/>
      <c r="HXJ522" s="1358"/>
      <c r="HXK522" s="1358"/>
      <c r="HXL522" s="1358"/>
      <c r="HXM522" s="1358"/>
      <c r="HXN522" s="1358"/>
      <c r="HXO522" s="1358"/>
      <c r="HXP522" s="1358"/>
      <c r="HXQ522" s="1358"/>
      <c r="HXR522" s="1358"/>
      <c r="HXS522" s="1358"/>
      <c r="HXT522" s="1358"/>
      <c r="HXU522" s="1358"/>
      <c r="HXV522" s="1358"/>
      <c r="HXW522" s="1358"/>
      <c r="HXX522" s="1358"/>
      <c r="HXY522" s="1358"/>
      <c r="HXZ522" s="1358"/>
      <c r="HYA522" s="1358"/>
      <c r="HYB522" s="1358"/>
      <c r="HYC522" s="1358"/>
      <c r="HYD522" s="1358"/>
      <c r="HYE522" s="1358"/>
      <c r="HYF522" s="1358"/>
      <c r="HYG522" s="1358"/>
      <c r="HYH522" s="1358"/>
      <c r="HYI522" s="1358"/>
      <c r="HYJ522" s="1358"/>
      <c r="HYK522" s="1358"/>
      <c r="HYL522" s="1358"/>
      <c r="HYM522" s="1358"/>
      <c r="HYN522" s="1358"/>
      <c r="HYO522" s="1358"/>
      <c r="HYP522" s="1358"/>
      <c r="HYQ522" s="1358"/>
      <c r="HYR522" s="1358"/>
      <c r="HYS522" s="1358"/>
      <c r="HYT522" s="1358"/>
      <c r="HYU522" s="1358"/>
      <c r="HYV522" s="1358"/>
      <c r="HYW522" s="1358"/>
      <c r="HYX522" s="1358"/>
      <c r="HYY522" s="1358"/>
      <c r="HYZ522" s="1358"/>
      <c r="HZA522" s="1358"/>
      <c r="HZB522" s="1358"/>
      <c r="HZC522" s="1358"/>
      <c r="HZD522" s="1358"/>
      <c r="HZE522" s="1358"/>
      <c r="HZF522" s="1358"/>
      <c r="HZG522" s="1358"/>
      <c r="HZH522" s="1358"/>
      <c r="HZI522" s="1358"/>
      <c r="HZJ522" s="1358"/>
      <c r="HZK522" s="1358"/>
      <c r="HZL522" s="1358"/>
      <c r="HZM522" s="1358"/>
      <c r="HZN522" s="1358"/>
      <c r="HZO522" s="1358"/>
      <c r="HZP522" s="1358"/>
      <c r="HZQ522" s="1358"/>
      <c r="HZR522" s="1358"/>
      <c r="HZS522" s="1358"/>
      <c r="HZT522" s="1358"/>
      <c r="HZU522" s="1358"/>
      <c r="HZV522" s="1358"/>
      <c r="HZW522" s="1358"/>
      <c r="HZX522" s="1358"/>
      <c r="HZY522" s="1358"/>
      <c r="HZZ522" s="1358"/>
      <c r="IAA522" s="1358"/>
      <c r="IAB522" s="1358"/>
      <c r="IAC522" s="1358"/>
      <c r="IAD522" s="1358"/>
      <c r="IAE522" s="1358"/>
      <c r="IAF522" s="1358"/>
      <c r="IAG522" s="1358"/>
      <c r="IAH522" s="1358"/>
      <c r="IAI522" s="1358"/>
      <c r="IAJ522" s="1358"/>
      <c r="IAK522" s="1358"/>
      <c r="IAL522" s="1358"/>
      <c r="IAM522" s="1358"/>
      <c r="IAN522" s="1358"/>
      <c r="IAO522" s="1358"/>
      <c r="IAP522" s="1358"/>
      <c r="IAQ522" s="1358"/>
      <c r="IAR522" s="1358"/>
      <c r="IAS522" s="1358"/>
      <c r="IAT522" s="1358"/>
      <c r="IAU522" s="1358"/>
      <c r="IAV522" s="1358"/>
      <c r="IAW522" s="1358"/>
      <c r="IAX522" s="1358"/>
      <c r="IAY522" s="1358"/>
      <c r="IAZ522" s="1358"/>
      <c r="IBA522" s="1358"/>
      <c r="IBB522" s="1358"/>
      <c r="IBC522" s="1358"/>
      <c r="IBD522" s="1358"/>
      <c r="IBE522" s="1358"/>
      <c r="IBF522" s="1358"/>
      <c r="IBG522" s="1358"/>
      <c r="IBH522" s="1358"/>
      <c r="IBI522" s="1358"/>
      <c r="IBJ522" s="1358"/>
      <c r="IBK522" s="1358"/>
      <c r="IBL522" s="1358"/>
      <c r="IBM522" s="1358"/>
      <c r="IBN522" s="1358"/>
      <c r="IBO522" s="1358"/>
      <c r="IBP522" s="1358"/>
      <c r="IBQ522" s="1358"/>
      <c r="IBR522" s="1358"/>
      <c r="IBS522" s="1358"/>
      <c r="IBT522" s="1358"/>
      <c r="IBU522" s="1358"/>
      <c r="IBV522" s="1358"/>
      <c r="IBW522" s="1358"/>
      <c r="IBX522" s="1358"/>
      <c r="IBY522" s="1358"/>
      <c r="IBZ522" s="1358"/>
      <c r="ICA522" s="1358"/>
      <c r="ICB522" s="1358"/>
      <c r="ICC522" s="1358"/>
      <c r="ICD522" s="1358"/>
      <c r="ICE522" s="1358"/>
      <c r="ICF522" s="1358"/>
      <c r="ICG522" s="1358"/>
      <c r="ICH522" s="1358"/>
      <c r="ICI522" s="1358"/>
      <c r="ICJ522" s="1358"/>
      <c r="ICK522" s="1358"/>
      <c r="ICL522" s="1358"/>
      <c r="ICM522" s="1358"/>
      <c r="ICN522" s="1358"/>
      <c r="ICO522" s="1358"/>
      <c r="ICP522" s="1358"/>
      <c r="ICQ522" s="1358"/>
      <c r="ICR522" s="1358"/>
      <c r="ICS522" s="1358"/>
      <c r="ICT522" s="1358"/>
      <c r="ICU522" s="1358"/>
      <c r="ICV522" s="1358"/>
      <c r="ICW522" s="1358"/>
      <c r="ICX522" s="1358"/>
      <c r="ICY522" s="1358"/>
      <c r="ICZ522" s="1358"/>
      <c r="IDA522" s="1358"/>
      <c r="IDB522" s="1358"/>
      <c r="IDC522" s="1358"/>
      <c r="IDD522" s="1358"/>
      <c r="IDE522" s="1358"/>
      <c r="IDF522" s="1358"/>
      <c r="IDG522" s="1358"/>
      <c r="IDH522" s="1358"/>
      <c r="IDI522" s="1358"/>
      <c r="IDJ522" s="1358"/>
      <c r="IDK522" s="1358"/>
      <c r="IDL522" s="1358"/>
      <c r="IDM522" s="1358"/>
      <c r="IDN522" s="1358"/>
      <c r="IDO522" s="1358"/>
      <c r="IDP522" s="1358"/>
      <c r="IDQ522" s="1358"/>
      <c r="IDR522" s="1358"/>
      <c r="IDS522" s="1358"/>
      <c r="IDT522" s="1358"/>
      <c r="IDU522" s="1358"/>
      <c r="IDV522" s="1358"/>
      <c r="IDW522" s="1358"/>
      <c r="IDX522" s="1358"/>
      <c r="IDY522" s="1358"/>
      <c r="IDZ522" s="1358"/>
      <c r="IEA522" s="1358"/>
      <c r="IEB522" s="1358"/>
      <c r="IEC522" s="1358"/>
      <c r="IED522" s="1358"/>
      <c r="IEE522" s="1358"/>
      <c r="IEF522" s="1358"/>
      <c r="IEG522" s="1358"/>
      <c r="IEH522" s="1358"/>
      <c r="IEI522" s="1358"/>
      <c r="IEJ522" s="1358"/>
      <c r="IEK522" s="1358"/>
      <c r="IEL522" s="1358"/>
      <c r="IEM522" s="1358"/>
      <c r="IEN522" s="1358"/>
      <c r="IEO522" s="1358"/>
      <c r="IEP522" s="1358"/>
      <c r="IEQ522" s="1358"/>
      <c r="IER522" s="1358"/>
      <c r="IES522" s="1358"/>
      <c r="IET522" s="1358"/>
      <c r="IEU522" s="1358"/>
      <c r="IEV522" s="1358"/>
      <c r="IEW522" s="1358"/>
      <c r="IEX522" s="1358"/>
      <c r="IEY522" s="1358"/>
      <c r="IEZ522" s="1358"/>
      <c r="IFA522" s="1358"/>
      <c r="IFB522" s="1358"/>
      <c r="IFC522" s="1358"/>
      <c r="IFD522" s="1358"/>
      <c r="IFE522" s="1358"/>
      <c r="IFF522" s="1358"/>
      <c r="IFG522" s="1358"/>
      <c r="IFH522" s="1358"/>
      <c r="IFI522" s="1358"/>
      <c r="IFJ522" s="1358"/>
      <c r="IFK522" s="1358"/>
      <c r="IFL522" s="1358"/>
      <c r="IFM522" s="1358"/>
      <c r="IFN522" s="1358"/>
      <c r="IFO522" s="1358"/>
      <c r="IFP522" s="1358"/>
      <c r="IFQ522" s="1358"/>
      <c r="IFR522" s="1358"/>
      <c r="IFS522" s="1358"/>
      <c r="IFT522" s="1358"/>
      <c r="IFU522" s="1358"/>
      <c r="IFV522" s="1358"/>
      <c r="IFW522" s="1358"/>
      <c r="IFX522" s="1358"/>
      <c r="IFY522" s="1358"/>
      <c r="IFZ522" s="1358"/>
      <c r="IGA522" s="1358"/>
      <c r="IGB522" s="1358"/>
      <c r="IGC522" s="1358"/>
      <c r="IGD522" s="1358"/>
      <c r="IGE522" s="1358"/>
      <c r="IGF522" s="1358"/>
      <c r="IGG522" s="1358"/>
      <c r="IGH522" s="1358"/>
      <c r="IGI522" s="1358"/>
      <c r="IGJ522" s="1358"/>
      <c r="IGK522" s="1358"/>
      <c r="IGL522" s="1358"/>
      <c r="IGM522" s="1358"/>
      <c r="IGN522" s="1358"/>
      <c r="IGO522" s="1358"/>
      <c r="IGP522" s="1358"/>
      <c r="IGQ522" s="1358"/>
      <c r="IGR522" s="1358"/>
      <c r="IGS522" s="1358"/>
      <c r="IGT522" s="1358"/>
      <c r="IGU522" s="1358"/>
      <c r="IGV522" s="1358"/>
      <c r="IGW522" s="1358"/>
      <c r="IGX522" s="1358"/>
      <c r="IGY522" s="1358"/>
      <c r="IGZ522" s="1358"/>
      <c r="IHA522" s="1358"/>
      <c r="IHB522" s="1358"/>
      <c r="IHC522" s="1358"/>
      <c r="IHD522" s="1358"/>
      <c r="IHE522" s="1358"/>
      <c r="IHF522" s="1358"/>
      <c r="IHG522" s="1358"/>
      <c r="IHH522" s="1358"/>
      <c r="IHI522" s="1358"/>
      <c r="IHJ522" s="1358"/>
      <c r="IHK522" s="1358"/>
      <c r="IHL522" s="1358"/>
      <c r="IHM522" s="1358"/>
      <c r="IHN522" s="1358"/>
      <c r="IHO522" s="1358"/>
      <c r="IHP522" s="1358"/>
      <c r="IHQ522" s="1358"/>
      <c r="IHR522" s="1358"/>
      <c r="IHS522" s="1358"/>
      <c r="IHT522" s="1358"/>
      <c r="IHU522" s="1358"/>
      <c r="IHV522" s="1358"/>
      <c r="IHW522" s="1358"/>
      <c r="IHX522" s="1358"/>
      <c r="IHY522" s="1358"/>
      <c r="IHZ522" s="1358"/>
      <c r="IIA522" s="1358"/>
      <c r="IIB522" s="1358"/>
      <c r="IIC522" s="1358"/>
      <c r="IID522" s="1358"/>
      <c r="IIE522" s="1358"/>
      <c r="IIF522" s="1358"/>
      <c r="IIG522" s="1358"/>
      <c r="IIH522" s="1358"/>
      <c r="III522" s="1358"/>
      <c r="IIJ522" s="1358"/>
      <c r="IIK522" s="1358"/>
      <c r="IIL522" s="1358"/>
      <c r="IIM522" s="1358"/>
      <c r="IIN522" s="1358"/>
      <c r="IIO522" s="1358"/>
      <c r="IIP522" s="1358"/>
      <c r="IIQ522" s="1358"/>
      <c r="IIR522" s="1358"/>
      <c r="IIS522" s="1358"/>
      <c r="IIT522" s="1358"/>
      <c r="IIU522" s="1358"/>
      <c r="IIV522" s="1358"/>
      <c r="IIW522" s="1358"/>
      <c r="IIX522" s="1358"/>
      <c r="IIY522" s="1358"/>
      <c r="IIZ522" s="1358"/>
      <c r="IJA522" s="1358"/>
      <c r="IJB522" s="1358"/>
      <c r="IJC522" s="1358"/>
      <c r="IJD522" s="1358"/>
      <c r="IJE522" s="1358"/>
      <c r="IJF522" s="1358"/>
      <c r="IJG522" s="1358"/>
      <c r="IJH522" s="1358"/>
      <c r="IJI522" s="1358"/>
      <c r="IJJ522" s="1358"/>
      <c r="IJK522" s="1358"/>
      <c r="IJL522" s="1358"/>
      <c r="IJM522" s="1358"/>
      <c r="IJN522" s="1358"/>
      <c r="IJO522" s="1358"/>
      <c r="IJP522" s="1358"/>
      <c r="IJQ522" s="1358"/>
      <c r="IJR522" s="1358"/>
      <c r="IJS522" s="1358"/>
      <c r="IJT522" s="1358"/>
      <c r="IJU522" s="1358"/>
      <c r="IJV522" s="1358"/>
      <c r="IJW522" s="1358"/>
      <c r="IJX522" s="1358"/>
      <c r="IJY522" s="1358"/>
      <c r="IJZ522" s="1358"/>
      <c r="IKA522" s="1358"/>
      <c r="IKB522" s="1358"/>
      <c r="IKC522" s="1358"/>
      <c r="IKD522" s="1358"/>
      <c r="IKE522" s="1358"/>
      <c r="IKF522" s="1358"/>
      <c r="IKG522" s="1358"/>
      <c r="IKH522" s="1358"/>
      <c r="IKI522" s="1358"/>
      <c r="IKJ522" s="1358"/>
      <c r="IKK522" s="1358"/>
      <c r="IKL522" s="1358"/>
      <c r="IKM522" s="1358"/>
      <c r="IKN522" s="1358"/>
      <c r="IKO522" s="1358"/>
      <c r="IKP522" s="1358"/>
      <c r="IKQ522" s="1358"/>
      <c r="IKR522" s="1358"/>
      <c r="IKS522" s="1358"/>
      <c r="IKT522" s="1358"/>
      <c r="IKU522" s="1358"/>
      <c r="IKV522" s="1358"/>
      <c r="IKW522" s="1358"/>
      <c r="IKX522" s="1358"/>
      <c r="IKY522" s="1358"/>
      <c r="IKZ522" s="1358"/>
      <c r="ILA522" s="1358"/>
      <c r="ILB522" s="1358"/>
      <c r="ILC522" s="1358"/>
      <c r="ILD522" s="1358"/>
      <c r="ILE522" s="1358"/>
      <c r="ILF522" s="1358"/>
      <c r="ILG522" s="1358"/>
      <c r="ILH522" s="1358"/>
      <c r="ILI522" s="1358"/>
      <c r="ILJ522" s="1358"/>
      <c r="ILK522" s="1358"/>
      <c r="ILL522" s="1358"/>
      <c r="ILM522" s="1358"/>
      <c r="ILN522" s="1358"/>
      <c r="ILO522" s="1358"/>
      <c r="ILP522" s="1358"/>
      <c r="ILQ522" s="1358"/>
      <c r="ILR522" s="1358"/>
      <c r="ILS522" s="1358"/>
      <c r="ILT522" s="1358"/>
      <c r="ILU522" s="1358"/>
      <c r="ILV522" s="1358"/>
      <c r="ILW522" s="1358"/>
      <c r="ILX522" s="1358"/>
      <c r="ILY522" s="1358"/>
      <c r="ILZ522" s="1358"/>
      <c r="IMA522" s="1358"/>
      <c r="IMB522" s="1358"/>
      <c r="IMC522" s="1358"/>
      <c r="IMD522" s="1358"/>
      <c r="IME522" s="1358"/>
      <c r="IMF522" s="1358"/>
      <c r="IMG522" s="1358"/>
      <c r="IMH522" s="1358"/>
      <c r="IMI522" s="1358"/>
      <c r="IMJ522" s="1358"/>
      <c r="IMK522" s="1358"/>
      <c r="IML522" s="1358"/>
      <c r="IMM522" s="1358"/>
      <c r="IMN522" s="1358"/>
      <c r="IMO522" s="1358"/>
      <c r="IMP522" s="1358"/>
      <c r="IMQ522" s="1358"/>
      <c r="IMR522" s="1358"/>
      <c r="IMS522" s="1358"/>
      <c r="IMT522" s="1358"/>
      <c r="IMU522" s="1358"/>
      <c r="IMV522" s="1358"/>
      <c r="IMW522" s="1358"/>
      <c r="IMX522" s="1358"/>
      <c r="IMY522" s="1358"/>
      <c r="IMZ522" s="1358"/>
      <c r="INA522" s="1358"/>
      <c r="INB522" s="1358"/>
      <c r="INC522" s="1358"/>
      <c r="IND522" s="1358"/>
      <c r="INE522" s="1358"/>
      <c r="INF522" s="1358"/>
      <c r="ING522" s="1358"/>
      <c r="INH522" s="1358"/>
      <c r="INI522" s="1358"/>
      <c r="INJ522" s="1358"/>
      <c r="INK522" s="1358"/>
      <c r="INL522" s="1358"/>
      <c r="INM522" s="1358"/>
      <c r="INN522" s="1358"/>
      <c r="INO522" s="1358"/>
      <c r="INP522" s="1358"/>
      <c r="INQ522" s="1358"/>
      <c r="INR522" s="1358"/>
      <c r="INS522" s="1358"/>
      <c r="INT522" s="1358"/>
      <c r="INU522" s="1358"/>
      <c r="INV522" s="1358"/>
      <c r="INW522" s="1358"/>
      <c r="INX522" s="1358"/>
      <c r="INY522" s="1358"/>
      <c r="INZ522" s="1358"/>
      <c r="IOA522" s="1358"/>
      <c r="IOB522" s="1358"/>
      <c r="IOC522" s="1358"/>
      <c r="IOD522" s="1358"/>
      <c r="IOE522" s="1358"/>
      <c r="IOF522" s="1358"/>
      <c r="IOG522" s="1358"/>
      <c r="IOH522" s="1358"/>
      <c r="IOI522" s="1358"/>
      <c r="IOJ522" s="1358"/>
      <c r="IOK522" s="1358"/>
      <c r="IOL522" s="1358"/>
      <c r="IOM522" s="1358"/>
      <c r="ION522" s="1358"/>
      <c r="IOO522" s="1358"/>
      <c r="IOP522" s="1358"/>
      <c r="IOQ522" s="1358"/>
      <c r="IOR522" s="1358"/>
      <c r="IOS522" s="1358"/>
      <c r="IOT522" s="1358"/>
      <c r="IOU522" s="1358"/>
      <c r="IOV522" s="1358"/>
      <c r="IOW522" s="1358"/>
      <c r="IOX522" s="1358"/>
      <c r="IOY522" s="1358"/>
      <c r="IOZ522" s="1358"/>
      <c r="IPA522" s="1358"/>
      <c r="IPB522" s="1358"/>
      <c r="IPC522" s="1358"/>
      <c r="IPD522" s="1358"/>
      <c r="IPE522" s="1358"/>
      <c r="IPF522" s="1358"/>
      <c r="IPG522" s="1358"/>
      <c r="IPH522" s="1358"/>
      <c r="IPI522" s="1358"/>
      <c r="IPJ522" s="1358"/>
      <c r="IPK522" s="1358"/>
      <c r="IPL522" s="1358"/>
      <c r="IPM522" s="1358"/>
      <c r="IPN522" s="1358"/>
      <c r="IPO522" s="1358"/>
      <c r="IPP522" s="1358"/>
      <c r="IPQ522" s="1358"/>
      <c r="IPR522" s="1358"/>
      <c r="IPS522" s="1358"/>
      <c r="IPT522" s="1358"/>
      <c r="IPU522" s="1358"/>
      <c r="IPV522" s="1358"/>
      <c r="IPW522" s="1358"/>
      <c r="IPX522" s="1358"/>
      <c r="IPY522" s="1358"/>
      <c r="IPZ522" s="1358"/>
      <c r="IQA522" s="1358"/>
      <c r="IQB522" s="1358"/>
      <c r="IQC522" s="1358"/>
      <c r="IQD522" s="1358"/>
      <c r="IQE522" s="1358"/>
      <c r="IQF522" s="1358"/>
      <c r="IQG522" s="1358"/>
      <c r="IQH522" s="1358"/>
      <c r="IQI522" s="1358"/>
      <c r="IQJ522" s="1358"/>
      <c r="IQK522" s="1358"/>
      <c r="IQL522" s="1358"/>
      <c r="IQM522" s="1358"/>
      <c r="IQN522" s="1358"/>
      <c r="IQO522" s="1358"/>
      <c r="IQP522" s="1358"/>
      <c r="IQQ522" s="1358"/>
      <c r="IQR522" s="1358"/>
      <c r="IQS522" s="1358"/>
      <c r="IQT522" s="1358"/>
      <c r="IQU522" s="1358"/>
      <c r="IQV522" s="1358"/>
      <c r="IQW522" s="1358"/>
      <c r="IQX522" s="1358"/>
      <c r="IQY522" s="1358"/>
      <c r="IQZ522" s="1358"/>
      <c r="IRA522" s="1358"/>
      <c r="IRB522" s="1358"/>
      <c r="IRC522" s="1358"/>
      <c r="IRD522" s="1358"/>
      <c r="IRE522" s="1358"/>
      <c r="IRF522" s="1358"/>
      <c r="IRG522" s="1358"/>
      <c r="IRH522" s="1358"/>
      <c r="IRI522" s="1358"/>
      <c r="IRJ522" s="1358"/>
      <c r="IRK522" s="1358"/>
      <c r="IRL522" s="1358"/>
      <c r="IRM522" s="1358"/>
      <c r="IRN522" s="1358"/>
      <c r="IRO522" s="1358"/>
      <c r="IRP522" s="1358"/>
      <c r="IRQ522" s="1358"/>
      <c r="IRR522" s="1358"/>
      <c r="IRS522" s="1358"/>
      <c r="IRT522" s="1358"/>
      <c r="IRU522" s="1358"/>
      <c r="IRV522" s="1358"/>
      <c r="IRW522" s="1358"/>
      <c r="IRX522" s="1358"/>
      <c r="IRY522" s="1358"/>
      <c r="IRZ522" s="1358"/>
      <c r="ISA522" s="1358"/>
      <c r="ISB522" s="1358"/>
      <c r="ISC522" s="1358"/>
      <c r="ISD522" s="1358"/>
      <c r="ISE522" s="1358"/>
      <c r="ISF522" s="1358"/>
      <c r="ISG522" s="1358"/>
      <c r="ISH522" s="1358"/>
      <c r="ISI522" s="1358"/>
      <c r="ISJ522" s="1358"/>
      <c r="ISK522" s="1358"/>
      <c r="ISL522" s="1358"/>
      <c r="ISM522" s="1358"/>
      <c r="ISN522" s="1358"/>
      <c r="ISO522" s="1358"/>
      <c r="ISP522" s="1358"/>
      <c r="ISQ522" s="1358"/>
      <c r="ISR522" s="1358"/>
      <c r="ISS522" s="1358"/>
      <c r="IST522" s="1358"/>
      <c r="ISU522" s="1358"/>
      <c r="ISV522" s="1358"/>
      <c r="ISW522" s="1358"/>
      <c r="ISX522" s="1358"/>
      <c r="ISY522" s="1358"/>
      <c r="ISZ522" s="1358"/>
      <c r="ITA522" s="1358"/>
      <c r="ITB522" s="1358"/>
      <c r="ITC522" s="1358"/>
      <c r="ITD522" s="1358"/>
      <c r="ITE522" s="1358"/>
      <c r="ITF522" s="1358"/>
      <c r="ITG522" s="1358"/>
      <c r="ITH522" s="1358"/>
      <c r="ITI522" s="1358"/>
      <c r="ITJ522" s="1358"/>
      <c r="ITK522" s="1358"/>
      <c r="ITL522" s="1358"/>
      <c r="ITM522" s="1358"/>
      <c r="ITN522" s="1358"/>
      <c r="ITO522" s="1358"/>
      <c r="ITP522" s="1358"/>
      <c r="ITQ522" s="1358"/>
      <c r="ITR522" s="1358"/>
      <c r="ITS522" s="1358"/>
      <c r="ITT522" s="1358"/>
      <c r="ITU522" s="1358"/>
      <c r="ITV522" s="1358"/>
      <c r="ITW522" s="1358"/>
      <c r="ITX522" s="1358"/>
      <c r="ITY522" s="1358"/>
      <c r="ITZ522" s="1358"/>
      <c r="IUA522" s="1358"/>
      <c r="IUB522" s="1358"/>
      <c r="IUC522" s="1358"/>
      <c r="IUD522" s="1358"/>
      <c r="IUE522" s="1358"/>
      <c r="IUF522" s="1358"/>
      <c r="IUG522" s="1358"/>
      <c r="IUH522" s="1358"/>
      <c r="IUI522" s="1358"/>
      <c r="IUJ522" s="1358"/>
      <c r="IUK522" s="1358"/>
      <c r="IUL522" s="1358"/>
      <c r="IUM522" s="1358"/>
      <c r="IUN522" s="1358"/>
      <c r="IUO522" s="1358"/>
      <c r="IUP522" s="1358"/>
      <c r="IUQ522" s="1358"/>
      <c r="IUR522" s="1358"/>
      <c r="IUS522" s="1358"/>
      <c r="IUT522" s="1358"/>
      <c r="IUU522" s="1358"/>
      <c r="IUV522" s="1358"/>
      <c r="IUW522" s="1358"/>
      <c r="IUX522" s="1358"/>
      <c r="IUY522" s="1358"/>
      <c r="IUZ522" s="1358"/>
      <c r="IVA522" s="1358"/>
      <c r="IVB522" s="1358"/>
      <c r="IVC522" s="1358"/>
      <c r="IVD522" s="1358"/>
      <c r="IVE522" s="1358"/>
      <c r="IVF522" s="1358"/>
      <c r="IVG522" s="1358"/>
      <c r="IVH522" s="1358"/>
      <c r="IVI522" s="1358"/>
      <c r="IVJ522" s="1358"/>
      <c r="IVK522" s="1358"/>
      <c r="IVL522" s="1358"/>
      <c r="IVM522" s="1358"/>
      <c r="IVN522" s="1358"/>
      <c r="IVO522" s="1358"/>
      <c r="IVP522" s="1358"/>
      <c r="IVQ522" s="1358"/>
      <c r="IVR522" s="1358"/>
      <c r="IVS522" s="1358"/>
      <c r="IVT522" s="1358"/>
      <c r="IVU522" s="1358"/>
      <c r="IVV522" s="1358"/>
      <c r="IVW522" s="1358"/>
      <c r="IVX522" s="1358"/>
      <c r="IVY522" s="1358"/>
      <c r="IVZ522" s="1358"/>
      <c r="IWA522" s="1358"/>
      <c r="IWB522" s="1358"/>
      <c r="IWC522" s="1358"/>
      <c r="IWD522" s="1358"/>
      <c r="IWE522" s="1358"/>
      <c r="IWF522" s="1358"/>
      <c r="IWG522" s="1358"/>
      <c r="IWH522" s="1358"/>
      <c r="IWI522" s="1358"/>
      <c r="IWJ522" s="1358"/>
      <c r="IWK522" s="1358"/>
      <c r="IWL522" s="1358"/>
      <c r="IWM522" s="1358"/>
      <c r="IWN522" s="1358"/>
      <c r="IWO522" s="1358"/>
      <c r="IWP522" s="1358"/>
      <c r="IWQ522" s="1358"/>
      <c r="IWR522" s="1358"/>
      <c r="IWS522" s="1358"/>
      <c r="IWT522" s="1358"/>
      <c r="IWU522" s="1358"/>
      <c r="IWV522" s="1358"/>
      <c r="IWW522" s="1358"/>
      <c r="IWX522" s="1358"/>
      <c r="IWY522" s="1358"/>
      <c r="IWZ522" s="1358"/>
      <c r="IXA522" s="1358"/>
      <c r="IXB522" s="1358"/>
      <c r="IXC522" s="1358"/>
      <c r="IXD522" s="1358"/>
      <c r="IXE522" s="1358"/>
      <c r="IXF522" s="1358"/>
      <c r="IXG522" s="1358"/>
      <c r="IXH522" s="1358"/>
      <c r="IXI522" s="1358"/>
      <c r="IXJ522" s="1358"/>
      <c r="IXK522" s="1358"/>
      <c r="IXL522" s="1358"/>
      <c r="IXM522" s="1358"/>
      <c r="IXN522" s="1358"/>
      <c r="IXO522" s="1358"/>
      <c r="IXP522" s="1358"/>
      <c r="IXQ522" s="1358"/>
      <c r="IXR522" s="1358"/>
      <c r="IXS522" s="1358"/>
      <c r="IXT522" s="1358"/>
      <c r="IXU522" s="1358"/>
      <c r="IXV522" s="1358"/>
      <c r="IXW522" s="1358"/>
      <c r="IXX522" s="1358"/>
      <c r="IXY522" s="1358"/>
      <c r="IXZ522" s="1358"/>
      <c r="IYA522" s="1358"/>
      <c r="IYB522" s="1358"/>
      <c r="IYC522" s="1358"/>
      <c r="IYD522" s="1358"/>
      <c r="IYE522" s="1358"/>
      <c r="IYF522" s="1358"/>
      <c r="IYG522" s="1358"/>
      <c r="IYH522" s="1358"/>
      <c r="IYI522" s="1358"/>
      <c r="IYJ522" s="1358"/>
      <c r="IYK522" s="1358"/>
      <c r="IYL522" s="1358"/>
      <c r="IYM522" s="1358"/>
      <c r="IYN522" s="1358"/>
      <c r="IYO522" s="1358"/>
      <c r="IYP522" s="1358"/>
      <c r="IYQ522" s="1358"/>
      <c r="IYR522" s="1358"/>
      <c r="IYS522" s="1358"/>
      <c r="IYT522" s="1358"/>
      <c r="IYU522" s="1358"/>
      <c r="IYV522" s="1358"/>
      <c r="IYW522" s="1358"/>
      <c r="IYX522" s="1358"/>
      <c r="IYY522" s="1358"/>
      <c r="IYZ522" s="1358"/>
      <c r="IZA522" s="1358"/>
      <c r="IZB522" s="1358"/>
      <c r="IZC522" s="1358"/>
      <c r="IZD522" s="1358"/>
      <c r="IZE522" s="1358"/>
      <c r="IZF522" s="1358"/>
      <c r="IZG522" s="1358"/>
      <c r="IZH522" s="1358"/>
      <c r="IZI522" s="1358"/>
      <c r="IZJ522" s="1358"/>
      <c r="IZK522" s="1358"/>
      <c r="IZL522" s="1358"/>
      <c r="IZM522" s="1358"/>
      <c r="IZN522" s="1358"/>
      <c r="IZO522" s="1358"/>
      <c r="IZP522" s="1358"/>
      <c r="IZQ522" s="1358"/>
      <c r="IZR522" s="1358"/>
      <c r="IZS522" s="1358"/>
      <c r="IZT522" s="1358"/>
      <c r="IZU522" s="1358"/>
      <c r="IZV522" s="1358"/>
      <c r="IZW522" s="1358"/>
      <c r="IZX522" s="1358"/>
      <c r="IZY522" s="1358"/>
      <c r="IZZ522" s="1358"/>
      <c r="JAA522" s="1358"/>
      <c r="JAB522" s="1358"/>
      <c r="JAC522" s="1358"/>
      <c r="JAD522" s="1358"/>
      <c r="JAE522" s="1358"/>
      <c r="JAF522" s="1358"/>
      <c r="JAG522" s="1358"/>
      <c r="JAH522" s="1358"/>
      <c r="JAI522" s="1358"/>
      <c r="JAJ522" s="1358"/>
      <c r="JAK522" s="1358"/>
      <c r="JAL522" s="1358"/>
      <c r="JAM522" s="1358"/>
      <c r="JAN522" s="1358"/>
      <c r="JAO522" s="1358"/>
      <c r="JAP522" s="1358"/>
      <c r="JAQ522" s="1358"/>
      <c r="JAR522" s="1358"/>
      <c r="JAS522" s="1358"/>
      <c r="JAT522" s="1358"/>
      <c r="JAU522" s="1358"/>
      <c r="JAV522" s="1358"/>
      <c r="JAW522" s="1358"/>
      <c r="JAX522" s="1358"/>
      <c r="JAY522" s="1358"/>
      <c r="JAZ522" s="1358"/>
      <c r="JBA522" s="1358"/>
      <c r="JBB522" s="1358"/>
      <c r="JBC522" s="1358"/>
      <c r="JBD522" s="1358"/>
      <c r="JBE522" s="1358"/>
      <c r="JBF522" s="1358"/>
      <c r="JBG522" s="1358"/>
      <c r="JBH522" s="1358"/>
      <c r="JBI522" s="1358"/>
      <c r="JBJ522" s="1358"/>
      <c r="JBK522" s="1358"/>
      <c r="JBL522" s="1358"/>
      <c r="JBM522" s="1358"/>
      <c r="JBN522" s="1358"/>
      <c r="JBO522" s="1358"/>
      <c r="JBP522" s="1358"/>
      <c r="JBQ522" s="1358"/>
      <c r="JBR522" s="1358"/>
      <c r="JBS522" s="1358"/>
      <c r="JBT522" s="1358"/>
      <c r="JBU522" s="1358"/>
      <c r="JBV522" s="1358"/>
      <c r="JBW522" s="1358"/>
      <c r="JBX522" s="1358"/>
      <c r="JBY522" s="1358"/>
      <c r="JBZ522" s="1358"/>
      <c r="JCA522" s="1358"/>
      <c r="JCB522" s="1358"/>
      <c r="JCC522" s="1358"/>
      <c r="JCD522" s="1358"/>
      <c r="JCE522" s="1358"/>
      <c r="JCF522" s="1358"/>
      <c r="JCG522" s="1358"/>
      <c r="JCH522" s="1358"/>
      <c r="JCI522" s="1358"/>
      <c r="JCJ522" s="1358"/>
      <c r="JCK522" s="1358"/>
      <c r="JCL522" s="1358"/>
      <c r="JCM522" s="1358"/>
      <c r="JCN522" s="1358"/>
      <c r="JCO522" s="1358"/>
      <c r="JCP522" s="1358"/>
      <c r="JCQ522" s="1358"/>
      <c r="JCR522" s="1358"/>
      <c r="JCS522" s="1358"/>
      <c r="JCT522" s="1358"/>
      <c r="JCU522" s="1358"/>
      <c r="JCV522" s="1358"/>
      <c r="JCW522" s="1358"/>
      <c r="JCX522" s="1358"/>
      <c r="JCY522" s="1358"/>
      <c r="JCZ522" s="1358"/>
      <c r="JDA522" s="1358"/>
      <c r="JDB522" s="1358"/>
      <c r="JDC522" s="1358"/>
      <c r="JDD522" s="1358"/>
      <c r="JDE522" s="1358"/>
      <c r="JDF522" s="1358"/>
      <c r="JDG522" s="1358"/>
      <c r="JDH522" s="1358"/>
      <c r="JDI522" s="1358"/>
      <c r="JDJ522" s="1358"/>
      <c r="JDK522" s="1358"/>
      <c r="JDL522" s="1358"/>
      <c r="JDM522" s="1358"/>
      <c r="JDN522" s="1358"/>
      <c r="JDO522" s="1358"/>
      <c r="JDP522" s="1358"/>
      <c r="JDQ522" s="1358"/>
      <c r="JDR522" s="1358"/>
      <c r="JDS522" s="1358"/>
      <c r="JDT522" s="1358"/>
      <c r="JDU522" s="1358"/>
      <c r="JDV522" s="1358"/>
      <c r="JDW522" s="1358"/>
      <c r="JDX522" s="1358"/>
      <c r="JDY522" s="1358"/>
      <c r="JDZ522" s="1358"/>
      <c r="JEA522" s="1358"/>
      <c r="JEB522" s="1358"/>
      <c r="JEC522" s="1358"/>
      <c r="JED522" s="1358"/>
      <c r="JEE522" s="1358"/>
      <c r="JEF522" s="1358"/>
      <c r="JEG522" s="1358"/>
      <c r="JEH522" s="1358"/>
      <c r="JEI522" s="1358"/>
      <c r="JEJ522" s="1358"/>
      <c r="JEK522" s="1358"/>
      <c r="JEL522" s="1358"/>
      <c r="JEM522" s="1358"/>
      <c r="JEN522" s="1358"/>
      <c r="JEO522" s="1358"/>
      <c r="JEP522" s="1358"/>
      <c r="JEQ522" s="1358"/>
      <c r="JER522" s="1358"/>
      <c r="JES522" s="1358"/>
      <c r="JET522" s="1358"/>
      <c r="JEU522" s="1358"/>
      <c r="JEV522" s="1358"/>
      <c r="JEW522" s="1358"/>
      <c r="JEX522" s="1358"/>
      <c r="JEY522" s="1358"/>
      <c r="JEZ522" s="1358"/>
      <c r="JFA522" s="1358"/>
      <c r="JFB522" s="1358"/>
      <c r="JFC522" s="1358"/>
      <c r="JFD522" s="1358"/>
      <c r="JFE522" s="1358"/>
      <c r="JFF522" s="1358"/>
      <c r="JFG522" s="1358"/>
      <c r="JFH522" s="1358"/>
      <c r="JFI522" s="1358"/>
      <c r="JFJ522" s="1358"/>
      <c r="JFK522" s="1358"/>
      <c r="JFL522" s="1358"/>
      <c r="JFM522" s="1358"/>
      <c r="JFN522" s="1358"/>
      <c r="JFO522" s="1358"/>
      <c r="JFP522" s="1358"/>
      <c r="JFQ522" s="1358"/>
      <c r="JFR522" s="1358"/>
      <c r="JFS522" s="1358"/>
      <c r="JFT522" s="1358"/>
      <c r="JFU522" s="1358"/>
      <c r="JFV522" s="1358"/>
      <c r="JFW522" s="1358"/>
      <c r="JFX522" s="1358"/>
      <c r="JFY522" s="1358"/>
      <c r="JFZ522" s="1358"/>
      <c r="JGA522" s="1358"/>
      <c r="JGB522" s="1358"/>
      <c r="JGC522" s="1358"/>
      <c r="JGD522" s="1358"/>
      <c r="JGE522" s="1358"/>
      <c r="JGF522" s="1358"/>
      <c r="JGG522" s="1358"/>
      <c r="JGH522" s="1358"/>
      <c r="JGI522" s="1358"/>
      <c r="JGJ522" s="1358"/>
      <c r="JGK522" s="1358"/>
      <c r="JGL522" s="1358"/>
      <c r="JGM522" s="1358"/>
      <c r="JGN522" s="1358"/>
      <c r="JGO522" s="1358"/>
      <c r="JGP522" s="1358"/>
      <c r="JGQ522" s="1358"/>
      <c r="JGR522" s="1358"/>
      <c r="JGS522" s="1358"/>
      <c r="JGT522" s="1358"/>
      <c r="JGU522" s="1358"/>
      <c r="JGV522" s="1358"/>
      <c r="JGW522" s="1358"/>
      <c r="JGX522" s="1358"/>
      <c r="JGY522" s="1358"/>
      <c r="JGZ522" s="1358"/>
      <c r="JHA522" s="1358"/>
      <c r="JHB522" s="1358"/>
      <c r="JHC522" s="1358"/>
      <c r="JHD522" s="1358"/>
      <c r="JHE522" s="1358"/>
      <c r="JHF522" s="1358"/>
      <c r="JHG522" s="1358"/>
      <c r="JHH522" s="1358"/>
      <c r="JHI522" s="1358"/>
      <c r="JHJ522" s="1358"/>
      <c r="JHK522" s="1358"/>
      <c r="JHL522" s="1358"/>
      <c r="JHM522" s="1358"/>
      <c r="JHN522" s="1358"/>
      <c r="JHO522" s="1358"/>
      <c r="JHP522" s="1358"/>
      <c r="JHQ522" s="1358"/>
      <c r="JHR522" s="1358"/>
      <c r="JHS522" s="1358"/>
      <c r="JHT522" s="1358"/>
      <c r="JHU522" s="1358"/>
      <c r="JHV522" s="1358"/>
      <c r="JHW522" s="1358"/>
      <c r="JHX522" s="1358"/>
      <c r="JHY522" s="1358"/>
      <c r="JHZ522" s="1358"/>
      <c r="JIA522" s="1358"/>
      <c r="JIB522" s="1358"/>
      <c r="JIC522" s="1358"/>
      <c r="JID522" s="1358"/>
      <c r="JIE522" s="1358"/>
      <c r="JIF522" s="1358"/>
      <c r="JIG522" s="1358"/>
      <c r="JIH522" s="1358"/>
      <c r="JII522" s="1358"/>
      <c r="JIJ522" s="1358"/>
      <c r="JIK522" s="1358"/>
      <c r="JIL522" s="1358"/>
      <c r="JIM522" s="1358"/>
      <c r="JIN522" s="1358"/>
      <c r="JIO522" s="1358"/>
      <c r="JIP522" s="1358"/>
      <c r="JIQ522" s="1358"/>
      <c r="JIR522" s="1358"/>
      <c r="JIS522" s="1358"/>
      <c r="JIT522" s="1358"/>
      <c r="JIU522" s="1358"/>
      <c r="JIV522" s="1358"/>
      <c r="JIW522" s="1358"/>
      <c r="JIX522" s="1358"/>
      <c r="JIY522" s="1358"/>
      <c r="JIZ522" s="1358"/>
      <c r="JJA522" s="1358"/>
      <c r="JJB522" s="1358"/>
      <c r="JJC522" s="1358"/>
      <c r="JJD522" s="1358"/>
      <c r="JJE522" s="1358"/>
      <c r="JJF522" s="1358"/>
      <c r="JJG522" s="1358"/>
      <c r="JJH522" s="1358"/>
      <c r="JJI522" s="1358"/>
      <c r="JJJ522" s="1358"/>
      <c r="JJK522" s="1358"/>
      <c r="JJL522" s="1358"/>
      <c r="JJM522" s="1358"/>
      <c r="JJN522" s="1358"/>
      <c r="JJO522" s="1358"/>
      <c r="JJP522" s="1358"/>
      <c r="JJQ522" s="1358"/>
      <c r="JJR522" s="1358"/>
      <c r="JJS522" s="1358"/>
      <c r="JJT522" s="1358"/>
      <c r="JJU522" s="1358"/>
      <c r="JJV522" s="1358"/>
      <c r="JJW522" s="1358"/>
      <c r="JJX522" s="1358"/>
      <c r="JJY522" s="1358"/>
      <c r="JJZ522" s="1358"/>
      <c r="JKA522" s="1358"/>
      <c r="JKB522" s="1358"/>
      <c r="JKC522" s="1358"/>
      <c r="JKD522" s="1358"/>
      <c r="JKE522" s="1358"/>
      <c r="JKF522" s="1358"/>
      <c r="JKG522" s="1358"/>
      <c r="JKH522" s="1358"/>
      <c r="JKI522" s="1358"/>
      <c r="JKJ522" s="1358"/>
      <c r="JKK522" s="1358"/>
      <c r="JKL522" s="1358"/>
      <c r="JKM522" s="1358"/>
      <c r="JKN522" s="1358"/>
      <c r="JKO522" s="1358"/>
      <c r="JKP522" s="1358"/>
      <c r="JKQ522" s="1358"/>
      <c r="JKR522" s="1358"/>
      <c r="JKS522" s="1358"/>
      <c r="JKT522" s="1358"/>
      <c r="JKU522" s="1358"/>
      <c r="JKV522" s="1358"/>
      <c r="JKW522" s="1358"/>
      <c r="JKX522" s="1358"/>
      <c r="JKY522" s="1358"/>
      <c r="JKZ522" s="1358"/>
      <c r="JLA522" s="1358"/>
      <c r="JLB522" s="1358"/>
      <c r="JLC522" s="1358"/>
      <c r="JLD522" s="1358"/>
      <c r="JLE522" s="1358"/>
      <c r="JLF522" s="1358"/>
      <c r="JLG522" s="1358"/>
      <c r="JLH522" s="1358"/>
      <c r="JLI522" s="1358"/>
      <c r="JLJ522" s="1358"/>
      <c r="JLK522" s="1358"/>
      <c r="JLL522" s="1358"/>
      <c r="JLM522" s="1358"/>
      <c r="JLN522" s="1358"/>
      <c r="JLO522" s="1358"/>
      <c r="JLP522" s="1358"/>
      <c r="JLQ522" s="1358"/>
      <c r="JLR522" s="1358"/>
      <c r="JLS522" s="1358"/>
      <c r="JLT522" s="1358"/>
      <c r="JLU522" s="1358"/>
      <c r="JLV522" s="1358"/>
      <c r="JLW522" s="1358"/>
      <c r="JLX522" s="1358"/>
      <c r="JLY522" s="1358"/>
      <c r="JLZ522" s="1358"/>
      <c r="JMA522" s="1358"/>
      <c r="JMB522" s="1358"/>
      <c r="JMC522" s="1358"/>
      <c r="JMD522" s="1358"/>
      <c r="JME522" s="1358"/>
      <c r="JMF522" s="1358"/>
      <c r="JMG522" s="1358"/>
      <c r="JMH522" s="1358"/>
      <c r="JMI522" s="1358"/>
      <c r="JMJ522" s="1358"/>
      <c r="JMK522" s="1358"/>
      <c r="JML522" s="1358"/>
      <c r="JMM522" s="1358"/>
      <c r="JMN522" s="1358"/>
      <c r="JMO522" s="1358"/>
      <c r="JMP522" s="1358"/>
      <c r="JMQ522" s="1358"/>
      <c r="JMR522" s="1358"/>
      <c r="JMS522" s="1358"/>
      <c r="JMT522" s="1358"/>
      <c r="JMU522" s="1358"/>
      <c r="JMV522" s="1358"/>
      <c r="JMW522" s="1358"/>
      <c r="JMX522" s="1358"/>
      <c r="JMY522" s="1358"/>
      <c r="JMZ522" s="1358"/>
      <c r="JNA522" s="1358"/>
      <c r="JNB522" s="1358"/>
      <c r="JNC522" s="1358"/>
      <c r="JND522" s="1358"/>
      <c r="JNE522" s="1358"/>
      <c r="JNF522" s="1358"/>
      <c r="JNG522" s="1358"/>
      <c r="JNH522" s="1358"/>
      <c r="JNI522" s="1358"/>
      <c r="JNJ522" s="1358"/>
      <c r="JNK522" s="1358"/>
      <c r="JNL522" s="1358"/>
      <c r="JNM522" s="1358"/>
      <c r="JNN522" s="1358"/>
      <c r="JNO522" s="1358"/>
      <c r="JNP522" s="1358"/>
      <c r="JNQ522" s="1358"/>
      <c r="JNR522" s="1358"/>
      <c r="JNS522" s="1358"/>
      <c r="JNT522" s="1358"/>
      <c r="JNU522" s="1358"/>
      <c r="JNV522" s="1358"/>
      <c r="JNW522" s="1358"/>
      <c r="JNX522" s="1358"/>
      <c r="JNY522" s="1358"/>
      <c r="JNZ522" s="1358"/>
      <c r="JOA522" s="1358"/>
      <c r="JOB522" s="1358"/>
      <c r="JOC522" s="1358"/>
      <c r="JOD522" s="1358"/>
      <c r="JOE522" s="1358"/>
      <c r="JOF522" s="1358"/>
      <c r="JOG522" s="1358"/>
      <c r="JOH522" s="1358"/>
      <c r="JOI522" s="1358"/>
      <c r="JOJ522" s="1358"/>
      <c r="JOK522" s="1358"/>
      <c r="JOL522" s="1358"/>
      <c r="JOM522" s="1358"/>
      <c r="JON522" s="1358"/>
      <c r="JOO522" s="1358"/>
      <c r="JOP522" s="1358"/>
      <c r="JOQ522" s="1358"/>
      <c r="JOR522" s="1358"/>
      <c r="JOS522" s="1358"/>
      <c r="JOT522" s="1358"/>
      <c r="JOU522" s="1358"/>
      <c r="JOV522" s="1358"/>
      <c r="JOW522" s="1358"/>
      <c r="JOX522" s="1358"/>
      <c r="JOY522" s="1358"/>
      <c r="JOZ522" s="1358"/>
      <c r="JPA522" s="1358"/>
      <c r="JPB522" s="1358"/>
      <c r="JPC522" s="1358"/>
      <c r="JPD522" s="1358"/>
      <c r="JPE522" s="1358"/>
      <c r="JPF522" s="1358"/>
      <c r="JPG522" s="1358"/>
      <c r="JPH522" s="1358"/>
      <c r="JPI522" s="1358"/>
      <c r="JPJ522" s="1358"/>
      <c r="JPK522" s="1358"/>
      <c r="JPL522" s="1358"/>
      <c r="JPM522" s="1358"/>
      <c r="JPN522" s="1358"/>
      <c r="JPO522" s="1358"/>
      <c r="JPP522" s="1358"/>
      <c r="JPQ522" s="1358"/>
      <c r="JPR522" s="1358"/>
      <c r="JPS522" s="1358"/>
      <c r="JPT522" s="1358"/>
      <c r="JPU522" s="1358"/>
      <c r="JPV522" s="1358"/>
      <c r="JPW522" s="1358"/>
      <c r="JPX522" s="1358"/>
      <c r="JPY522" s="1358"/>
      <c r="JPZ522" s="1358"/>
      <c r="JQA522" s="1358"/>
      <c r="JQB522" s="1358"/>
      <c r="JQC522" s="1358"/>
      <c r="JQD522" s="1358"/>
      <c r="JQE522" s="1358"/>
      <c r="JQF522" s="1358"/>
      <c r="JQG522" s="1358"/>
      <c r="JQH522" s="1358"/>
      <c r="JQI522" s="1358"/>
      <c r="JQJ522" s="1358"/>
      <c r="JQK522" s="1358"/>
      <c r="JQL522" s="1358"/>
      <c r="JQM522" s="1358"/>
      <c r="JQN522" s="1358"/>
      <c r="JQO522" s="1358"/>
      <c r="JQP522" s="1358"/>
      <c r="JQQ522" s="1358"/>
      <c r="JQR522" s="1358"/>
      <c r="JQS522" s="1358"/>
      <c r="JQT522" s="1358"/>
      <c r="JQU522" s="1358"/>
      <c r="JQV522" s="1358"/>
      <c r="JQW522" s="1358"/>
      <c r="JQX522" s="1358"/>
      <c r="JQY522" s="1358"/>
      <c r="JQZ522" s="1358"/>
      <c r="JRA522" s="1358"/>
      <c r="JRB522" s="1358"/>
      <c r="JRC522" s="1358"/>
      <c r="JRD522" s="1358"/>
      <c r="JRE522" s="1358"/>
      <c r="JRF522" s="1358"/>
      <c r="JRG522" s="1358"/>
      <c r="JRH522" s="1358"/>
      <c r="JRI522" s="1358"/>
      <c r="JRJ522" s="1358"/>
      <c r="JRK522" s="1358"/>
      <c r="JRL522" s="1358"/>
      <c r="JRM522" s="1358"/>
      <c r="JRN522" s="1358"/>
      <c r="JRO522" s="1358"/>
      <c r="JRP522" s="1358"/>
      <c r="JRQ522" s="1358"/>
      <c r="JRR522" s="1358"/>
      <c r="JRS522" s="1358"/>
      <c r="JRT522" s="1358"/>
      <c r="JRU522" s="1358"/>
      <c r="JRV522" s="1358"/>
      <c r="JRW522" s="1358"/>
      <c r="JRX522" s="1358"/>
      <c r="JRY522" s="1358"/>
      <c r="JRZ522" s="1358"/>
      <c r="JSA522" s="1358"/>
      <c r="JSB522" s="1358"/>
      <c r="JSC522" s="1358"/>
      <c r="JSD522" s="1358"/>
      <c r="JSE522" s="1358"/>
      <c r="JSF522" s="1358"/>
      <c r="JSG522" s="1358"/>
      <c r="JSH522" s="1358"/>
      <c r="JSI522" s="1358"/>
      <c r="JSJ522" s="1358"/>
      <c r="JSK522" s="1358"/>
      <c r="JSL522" s="1358"/>
      <c r="JSM522" s="1358"/>
      <c r="JSN522" s="1358"/>
      <c r="JSO522" s="1358"/>
      <c r="JSP522" s="1358"/>
      <c r="JSQ522" s="1358"/>
      <c r="JSR522" s="1358"/>
      <c r="JSS522" s="1358"/>
      <c r="JST522" s="1358"/>
      <c r="JSU522" s="1358"/>
      <c r="JSV522" s="1358"/>
      <c r="JSW522" s="1358"/>
      <c r="JSX522" s="1358"/>
      <c r="JSY522" s="1358"/>
      <c r="JSZ522" s="1358"/>
      <c r="JTA522" s="1358"/>
      <c r="JTB522" s="1358"/>
      <c r="JTC522" s="1358"/>
      <c r="JTD522" s="1358"/>
      <c r="JTE522" s="1358"/>
      <c r="JTF522" s="1358"/>
      <c r="JTG522" s="1358"/>
      <c r="JTH522" s="1358"/>
      <c r="JTI522" s="1358"/>
      <c r="JTJ522" s="1358"/>
      <c r="JTK522" s="1358"/>
      <c r="JTL522" s="1358"/>
      <c r="JTM522" s="1358"/>
      <c r="JTN522" s="1358"/>
      <c r="JTO522" s="1358"/>
      <c r="JTP522" s="1358"/>
      <c r="JTQ522" s="1358"/>
      <c r="JTR522" s="1358"/>
      <c r="JTS522" s="1358"/>
      <c r="JTT522" s="1358"/>
      <c r="JTU522" s="1358"/>
      <c r="JTV522" s="1358"/>
      <c r="JTW522" s="1358"/>
      <c r="JTX522" s="1358"/>
      <c r="JTY522" s="1358"/>
      <c r="JTZ522" s="1358"/>
      <c r="JUA522" s="1358"/>
      <c r="JUB522" s="1358"/>
      <c r="JUC522" s="1358"/>
      <c r="JUD522" s="1358"/>
      <c r="JUE522" s="1358"/>
      <c r="JUF522" s="1358"/>
      <c r="JUG522" s="1358"/>
      <c r="JUH522" s="1358"/>
      <c r="JUI522" s="1358"/>
      <c r="JUJ522" s="1358"/>
      <c r="JUK522" s="1358"/>
      <c r="JUL522" s="1358"/>
      <c r="JUM522" s="1358"/>
      <c r="JUN522" s="1358"/>
      <c r="JUO522" s="1358"/>
      <c r="JUP522" s="1358"/>
      <c r="JUQ522" s="1358"/>
      <c r="JUR522" s="1358"/>
      <c r="JUS522" s="1358"/>
      <c r="JUT522" s="1358"/>
      <c r="JUU522" s="1358"/>
      <c r="JUV522" s="1358"/>
      <c r="JUW522" s="1358"/>
      <c r="JUX522" s="1358"/>
      <c r="JUY522" s="1358"/>
      <c r="JUZ522" s="1358"/>
      <c r="JVA522" s="1358"/>
      <c r="JVB522" s="1358"/>
      <c r="JVC522" s="1358"/>
      <c r="JVD522" s="1358"/>
      <c r="JVE522" s="1358"/>
      <c r="JVF522" s="1358"/>
      <c r="JVG522" s="1358"/>
      <c r="JVH522" s="1358"/>
      <c r="JVI522" s="1358"/>
      <c r="JVJ522" s="1358"/>
      <c r="JVK522" s="1358"/>
      <c r="JVL522" s="1358"/>
      <c r="JVM522" s="1358"/>
      <c r="JVN522" s="1358"/>
      <c r="JVO522" s="1358"/>
      <c r="JVP522" s="1358"/>
      <c r="JVQ522" s="1358"/>
      <c r="JVR522" s="1358"/>
      <c r="JVS522" s="1358"/>
      <c r="JVT522" s="1358"/>
      <c r="JVU522" s="1358"/>
      <c r="JVV522" s="1358"/>
      <c r="JVW522" s="1358"/>
      <c r="JVX522" s="1358"/>
      <c r="JVY522" s="1358"/>
      <c r="JVZ522" s="1358"/>
      <c r="JWA522" s="1358"/>
      <c r="JWB522" s="1358"/>
      <c r="JWC522" s="1358"/>
      <c r="JWD522" s="1358"/>
      <c r="JWE522" s="1358"/>
      <c r="JWF522" s="1358"/>
      <c r="JWG522" s="1358"/>
      <c r="JWH522" s="1358"/>
      <c r="JWI522" s="1358"/>
      <c r="JWJ522" s="1358"/>
      <c r="JWK522" s="1358"/>
      <c r="JWL522" s="1358"/>
      <c r="JWM522" s="1358"/>
      <c r="JWN522" s="1358"/>
      <c r="JWO522" s="1358"/>
      <c r="JWP522" s="1358"/>
      <c r="JWQ522" s="1358"/>
      <c r="JWR522" s="1358"/>
      <c r="JWS522" s="1358"/>
      <c r="JWT522" s="1358"/>
      <c r="JWU522" s="1358"/>
      <c r="JWV522" s="1358"/>
      <c r="JWW522" s="1358"/>
      <c r="JWX522" s="1358"/>
      <c r="JWY522" s="1358"/>
      <c r="JWZ522" s="1358"/>
      <c r="JXA522" s="1358"/>
      <c r="JXB522" s="1358"/>
      <c r="JXC522" s="1358"/>
      <c r="JXD522" s="1358"/>
      <c r="JXE522" s="1358"/>
      <c r="JXF522" s="1358"/>
      <c r="JXG522" s="1358"/>
      <c r="JXH522" s="1358"/>
      <c r="JXI522" s="1358"/>
      <c r="JXJ522" s="1358"/>
      <c r="JXK522" s="1358"/>
      <c r="JXL522" s="1358"/>
      <c r="JXM522" s="1358"/>
      <c r="JXN522" s="1358"/>
      <c r="JXO522" s="1358"/>
      <c r="JXP522" s="1358"/>
      <c r="JXQ522" s="1358"/>
      <c r="JXR522" s="1358"/>
      <c r="JXS522" s="1358"/>
      <c r="JXT522" s="1358"/>
      <c r="JXU522" s="1358"/>
      <c r="JXV522" s="1358"/>
      <c r="JXW522" s="1358"/>
      <c r="JXX522" s="1358"/>
      <c r="JXY522" s="1358"/>
      <c r="JXZ522" s="1358"/>
      <c r="JYA522" s="1358"/>
      <c r="JYB522" s="1358"/>
      <c r="JYC522" s="1358"/>
      <c r="JYD522" s="1358"/>
      <c r="JYE522" s="1358"/>
      <c r="JYF522" s="1358"/>
      <c r="JYG522" s="1358"/>
      <c r="JYH522" s="1358"/>
      <c r="JYI522" s="1358"/>
      <c r="JYJ522" s="1358"/>
      <c r="JYK522" s="1358"/>
      <c r="JYL522" s="1358"/>
      <c r="JYM522" s="1358"/>
      <c r="JYN522" s="1358"/>
      <c r="JYO522" s="1358"/>
      <c r="JYP522" s="1358"/>
      <c r="JYQ522" s="1358"/>
      <c r="JYR522" s="1358"/>
      <c r="JYS522" s="1358"/>
      <c r="JYT522" s="1358"/>
      <c r="JYU522" s="1358"/>
      <c r="JYV522" s="1358"/>
      <c r="JYW522" s="1358"/>
      <c r="JYX522" s="1358"/>
      <c r="JYY522" s="1358"/>
      <c r="JYZ522" s="1358"/>
      <c r="JZA522" s="1358"/>
      <c r="JZB522" s="1358"/>
      <c r="JZC522" s="1358"/>
      <c r="JZD522" s="1358"/>
      <c r="JZE522" s="1358"/>
      <c r="JZF522" s="1358"/>
      <c r="JZG522" s="1358"/>
      <c r="JZH522" s="1358"/>
      <c r="JZI522" s="1358"/>
      <c r="JZJ522" s="1358"/>
      <c r="JZK522" s="1358"/>
      <c r="JZL522" s="1358"/>
      <c r="JZM522" s="1358"/>
      <c r="JZN522" s="1358"/>
      <c r="JZO522" s="1358"/>
      <c r="JZP522" s="1358"/>
      <c r="JZQ522" s="1358"/>
      <c r="JZR522" s="1358"/>
      <c r="JZS522" s="1358"/>
      <c r="JZT522" s="1358"/>
      <c r="JZU522" s="1358"/>
      <c r="JZV522" s="1358"/>
      <c r="JZW522" s="1358"/>
      <c r="JZX522" s="1358"/>
      <c r="JZY522" s="1358"/>
      <c r="JZZ522" s="1358"/>
      <c r="KAA522" s="1358"/>
      <c r="KAB522" s="1358"/>
      <c r="KAC522" s="1358"/>
      <c r="KAD522" s="1358"/>
      <c r="KAE522" s="1358"/>
      <c r="KAF522" s="1358"/>
      <c r="KAG522" s="1358"/>
      <c r="KAH522" s="1358"/>
      <c r="KAI522" s="1358"/>
      <c r="KAJ522" s="1358"/>
      <c r="KAK522" s="1358"/>
      <c r="KAL522" s="1358"/>
      <c r="KAM522" s="1358"/>
      <c r="KAN522" s="1358"/>
      <c r="KAO522" s="1358"/>
      <c r="KAP522" s="1358"/>
      <c r="KAQ522" s="1358"/>
      <c r="KAR522" s="1358"/>
      <c r="KAS522" s="1358"/>
      <c r="KAT522" s="1358"/>
      <c r="KAU522" s="1358"/>
      <c r="KAV522" s="1358"/>
      <c r="KAW522" s="1358"/>
      <c r="KAX522" s="1358"/>
      <c r="KAY522" s="1358"/>
      <c r="KAZ522" s="1358"/>
      <c r="KBA522" s="1358"/>
      <c r="KBB522" s="1358"/>
      <c r="KBC522" s="1358"/>
      <c r="KBD522" s="1358"/>
      <c r="KBE522" s="1358"/>
      <c r="KBF522" s="1358"/>
      <c r="KBG522" s="1358"/>
      <c r="KBH522" s="1358"/>
      <c r="KBI522" s="1358"/>
      <c r="KBJ522" s="1358"/>
      <c r="KBK522" s="1358"/>
      <c r="KBL522" s="1358"/>
      <c r="KBM522" s="1358"/>
      <c r="KBN522" s="1358"/>
      <c r="KBO522" s="1358"/>
      <c r="KBP522" s="1358"/>
      <c r="KBQ522" s="1358"/>
      <c r="KBR522" s="1358"/>
      <c r="KBS522" s="1358"/>
      <c r="KBT522" s="1358"/>
      <c r="KBU522" s="1358"/>
      <c r="KBV522" s="1358"/>
      <c r="KBW522" s="1358"/>
      <c r="KBX522" s="1358"/>
      <c r="KBY522" s="1358"/>
      <c r="KBZ522" s="1358"/>
      <c r="KCA522" s="1358"/>
      <c r="KCB522" s="1358"/>
      <c r="KCC522" s="1358"/>
      <c r="KCD522" s="1358"/>
      <c r="KCE522" s="1358"/>
      <c r="KCF522" s="1358"/>
      <c r="KCG522" s="1358"/>
      <c r="KCH522" s="1358"/>
      <c r="KCI522" s="1358"/>
      <c r="KCJ522" s="1358"/>
      <c r="KCK522" s="1358"/>
      <c r="KCL522" s="1358"/>
      <c r="KCM522" s="1358"/>
      <c r="KCN522" s="1358"/>
      <c r="KCO522" s="1358"/>
      <c r="KCP522" s="1358"/>
      <c r="KCQ522" s="1358"/>
      <c r="KCR522" s="1358"/>
      <c r="KCS522" s="1358"/>
      <c r="KCT522" s="1358"/>
      <c r="KCU522" s="1358"/>
      <c r="KCV522" s="1358"/>
      <c r="KCW522" s="1358"/>
      <c r="KCX522" s="1358"/>
      <c r="KCY522" s="1358"/>
      <c r="KCZ522" s="1358"/>
      <c r="KDA522" s="1358"/>
      <c r="KDB522" s="1358"/>
      <c r="KDC522" s="1358"/>
      <c r="KDD522" s="1358"/>
      <c r="KDE522" s="1358"/>
      <c r="KDF522" s="1358"/>
      <c r="KDG522" s="1358"/>
      <c r="KDH522" s="1358"/>
      <c r="KDI522" s="1358"/>
      <c r="KDJ522" s="1358"/>
      <c r="KDK522" s="1358"/>
      <c r="KDL522" s="1358"/>
      <c r="KDM522" s="1358"/>
      <c r="KDN522" s="1358"/>
      <c r="KDO522" s="1358"/>
      <c r="KDP522" s="1358"/>
      <c r="KDQ522" s="1358"/>
      <c r="KDR522" s="1358"/>
      <c r="KDS522" s="1358"/>
      <c r="KDT522" s="1358"/>
      <c r="KDU522" s="1358"/>
      <c r="KDV522" s="1358"/>
      <c r="KDW522" s="1358"/>
      <c r="KDX522" s="1358"/>
      <c r="KDY522" s="1358"/>
      <c r="KDZ522" s="1358"/>
      <c r="KEA522" s="1358"/>
      <c r="KEB522" s="1358"/>
      <c r="KEC522" s="1358"/>
      <c r="KED522" s="1358"/>
      <c r="KEE522" s="1358"/>
      <c r="KEF522" s="1358"/>
      <c r="KEG522" s="1358"/>
      <c r="KEH522" s="1358"/>
      <c r="KEI522" s="1358"/>
      <c r="KEJ522" s="1358"/>
      <c r="KEK522" s="1358"/>
      <c r="KEL522" s="1358"/>
      <c r="KEM522" s="1358"/>
      <c r="KEN522" s="1358"/>
      <c r="KEO522" s="1358"/>
      <c r="KEP522" s="1358"/>
      <c r="KEQ522" s="1358"/>
      <c r="KER522" s="1358"/>
      <c r="KES522" s="1358"/>
      <c r="KET522" s="1358"/>
      <c r="KEU522" s="1358"/>
      <c r="KEV522" s="1358"/>
      <c r="KEW522" s="1358"/>
      <c r="KEX522" s="1358"/>
      <c r="KEY522" s="1358"/>
      <c r="KEZ522" s="1358"/>
      <c r="KFA522" s="1358"/>
      <c r="KFB522" s="1358"/>
      <c r="KFC522" s="1358"/>
      <c r="KFD522" s="1358"/>
      <c r="KFE522" s="1358"/>
      <c r="KFF522" s="1358"/>
      <c r="KFG522" s="1358"/>
      <c r="KFH522" s="1358"/>
      <c r="KFI522" s="1358"/>
      <c r="KFJ522" s="1358"/>
      <c r="KFK522" s="1358"/>
      <c r="KFL522" s="1358"/>
      <c r="KFM522" s="1358"/>
      <c r="KFN522" s="1358"/>
      <c r="KFO522" s="1358"/>
      <c r="KFP522" s="1358"/>
      <c r="KFQ522" s="1358"/>
      <c r="KFR522" s="1358"/>
      <c r="KFS522" s="1358"/>
      <c r="KFT522" s="1358"/>
      <c r="KFU522" s="1358"/>
      <c r="KFV522" s="1358"/>
      <c r="KFW522" s="1358"/>
      <c r="KFX522" s="1358"/>
      <c r="KFY522" s="1358"/>
      <c r="KFZ522" s="1358"/>
      <c r="KGA522" s="1358"/>
      <c r="KGB522" s="1358"/>
      <c r="KGC522" s="1358"/>
      <c r="KGD522" s="1358"/>
      <c r="KGE522" s="1358"/>
      <c r="KGF522" s="1358"/>
      <c r="KGG522" s="1358"/>
      <c r="KGH522" s="1358"/>
      <c r="KGI522" s="1358"/>
      <c r="KGJ522" s="1358"/>
      <c r="KGK522" s="1358"/>
      <c r="KGL522" s="1358"/>
      <c r="KGM522" s="1358"/>
      <c r="KGN522" s="1358"/>
      <c r="KGO522" s="1358"/>
      <c r="KGP522" s="1358"/>
      <c r="KGQ522" s="1358"/>
      <c r="KGR522" s="1358"/>
      <c r="KGS522" s="1358"/>
      <c r="KGT522" s="1358"/>
      <c r="KGU522" s="1358"/>
      <c r="KGV522" s="1358"/>
      <c r="KGW522" s="1358"/>
      <c r="KGX522" s="1358"/>
      <c r="KGY522" s="1358"/>
      <c r="KGZ522" s="1358"/>
      <c r="KHA522" s="1358"/>
      <c r="KHB522" s="1358"/>
      <c r="KHC522" s="1358"/>
      <c r="KHD522" s="1358"/>
      <c r="KHE522" s="1358"/>
      <c r="KHF522" s="1358"/>
      <c r="KHG522" s="1358"/>
      <c r="KHH522" s="1358"/>
      <c r="KHI522" s="1358"/>
      <c r="KHJ522" s="1358"/>
      <c r="KHK522" s="1358"/>
      <c r="KHL522" s="1358"/>
      <c r="KHM522" s="1358"/>
      <c r="KHN522" s="1358"/>
      <c r="KHO522" s="1358"/>
      <c r="KHP522" s="1358"/>
      <c r="KHQ522" s="1358"/>
      <c r="KHR522" s="1358"/>
      <c r="KHS522" s="1358"/>
      <c r="KHT522" s="1358"/>
      <c r="KHU522" s="1358"/>
      <c r="KHV522" s="1358"/>
      <c r="KHW522" s="1358"/>
      <c r="KHX522" s="1358"/>
      <c r="KHY522" s="1358"/>
      <c r="KHZ522" s="1358"/>
      <c r="KIA522" s="1358"/>
      <c r="KIB522" s="1358"/>
      <c r="KIC522" s="1358"/>
      <c r="KID522" s="1358"/>
      <c r="KIE522" s="1358"/>
      <c r="KIF522" s="1358"/>
      <c r="KIG522" s="1358"/>
      <c r="KIH522" s="1358"/>
      <c r="KII522" s="1358"/>
      <c r="KIJ522" s="1358"/>
      <c r="KIK522" s="1358"/>
      <c r="KIL522" s="1358"/>
      <c r="KIM522" s="1358"/>
      <c r="KIN522" s="1358"/>
      <c r="KIO522" s="1358"/>
      <c r="KIP522" s="1358"/>
      <c r="KIQ522" s="1358"/>
      <c r="KIR522" s="1358"/>
      <c r="KIS522" s="1358"/>
      <c r="KIT522" s="1358"/>
      <c r="KIU522" s="1358"/>
      <c r="KIV522" s="1358"/>
      <c r="KIW522" s="1358"/>
      <c r="KIX522" s="1358"/>
      <c r="KIY522" s="1358"/>
      <c r="KIZ522" s="1358"/>
      <c r="KJA522" s="1358"/>
      <c r="KJB522" s="1358"/>
      <c r="KJC522" s="1358"/>
      <c r="KJD522" s="1358"/>
      <c r="KJE522" s="1358"/>
      <c r="KJF522" s="1358"/>
      <c r="KJG522" s="1358"/>
      <c r="KJH522" s="1358"/>
      <c r="KJI522" s="1358"/>
      <c r="KJJ522" s="1358"/>
      <c r="KJK522" s="1358"/>
      <c r="KJL522" s="1358"/>
      <c r="KJM522" s="1358"/>
      <c r="KJN522" s="1358"/>
      <c r="KJO522" s="1358"/>
      <c r="KJP522" s="1358"/>
      <c r="KJQ522" s="1358"/>
      <c r="KJR522" s="1358"/>
      <c r="KJS522" s="1358"/>
      <c r="KJT522" s="1358"/>
      <c r="KJU522" s="1358"/>
      <c r="KJV522" s="1358"/>
      <c r="KJW522" s="1358"/>
      <c r="KJX522" s="1358"/>
      <c r="KJY522" s="1358"/>
      <c r="KJZ522" s="1358"/>
      <c r="KKA522" s="1358"/>
      <c r="KKB522" s="1358"/>
      <c r="KKC522" s="1358"/>
      <c r="KKD522" s="1358"/>
      <c r="KKE522" s="1358"/>
      <c r="KKF522" s="1358"/>
      <c r="KKG522" s="1358"/>
      <c r="KKH522" s="1358"/>
      <c r="KKI522" s="1358"/>
      <c r="KKJ522" s="1358"/>
      <c r="KKK522" s="1358"/>
      <c r="KKL522" s="1358"/>
      <c r="KKM522" s="1358"/>
      <c r="KKN522" s="1358"/>
      <c r="KKO522" s="1358"/>
      <c r="KKP522" s="1358"/>
      <c r="KKQ522" s="1358"/>
      <c r="KKR522" s="1358"/>
      <c r="KKS522" s="1358"/>
      <c r="KKT522" s="1358"/>
      <c r="KKU522" s="1358"/>
      <c r="KKV522" s="1358"/>
      <c r="KKW522" s="1358"/>
      <c r="KKX522" s="1358"/>
      <c r="KKY522" s="1358"/>
      <c r="KKZ522" s="1358"/>
      <c r="KLA522" s="1358"/>
      <c r="KLB522" s="1358"/>
      <c r="KLC522" s="1358"/>
      <c r="KLD522" s="1358"/>
      <c r="KLE522" s="1358"/>
      <c r="KLF522" s="1358"/>
      <c r="KLG522" s="1358"/>
      <c r="KLH522" s="1358"/>
      <c r="KLI522" s="1358"/>
      <c r="KLJ522" s="1358"/>
      <c r="KLK522" s="1358"/>
      <c r="KLL522" s="1358"/>
      <c r="KLM522" s="1358"/>
      <c r="KLN522" s="1358"/>
      <c r="KLO522" s="1358"/>
      <c r="KLP522" s="1358"/>
      <c r="KLQ522" s="1358"/>
      <c r="KLR522" s="1358"/>
      <c r="KLS522" s="1358"/>
      <c r="KLT522" s="1358"/>
      <c r="KLU522" s="1358"/>
      <c r="KLV522" s="1358"/>
      <c r="KLW522" s="1358"/>
      <c r="KLX522" s="1358"/>
      <c r="KLY522" s="1358"/>
      <c r="KLZ522" s="1358"/>
      <c r="KMA522" s="1358"/>
      <c r="KMB522" s="1358"/>
      <c r="KMC522" s="1358"/>
      <c r="KMD522" s="1358"/>
      <c r="KME522" s="1358"/>
      <c r="KMF522" s="1358"/>
      <c r="KMG522" s="1358"/>
      <c r="KMH522" s="1358"/>
      <c r="KMI522" s="1358"/>
      <c r="KMJ522" s="1358"/>
      <c r="KMK522" s="1358"/>
      <c r="KML522" s="1358"/>
      <c r="KMM522" s="1358"/>
      <c r="KMN522" s="1358"/>
      <c r="KMO522" s="1358"/>
      <c r="KMP522" s="1358"/>
      <c r="KMQ522" s="1358"/>
      <c r="KMR522" s="1358"/>
      <c r="KMS522" s="1358"/>
      <c r="KMT522" s="1358"/>
      <c r="KMU522" s="1358"/>
      <c r="KMV522" s="1358"/>
      <c r="KMW522" s="1358"/>
      <c r="KMX522" s="1358"/>
      <c r="KMY522" s="1358"/>
      <c r="KMZ522" s="1358"/>
      <c r="KNA522" s="1358"/>
      <c r="KNB522" s="1358"/>
      <c r="KNC522" s="1358"/>
      <c r="KND522" s="1358"/>
      <c r="KNE522" s="1358"/>
      <c r="KNF522" s="1358"/>
      <c r="KNG522" s="1358"/>
      <c r="KNH522" s="1358"/>
      <c r="KNI522" s="1358"/>
      <c r="KNJ522" s="1358"/>
      <c r="KNK522" s="1358"/>
      <c r="KNL522" s="1358"/>
      <c r="KNM522" s="1358"/>
      <c r="KNN522" s="1358"/>
      <c r="KNO522" s="1358"/>
      <c r="KNP522" s="1358"/>
      <c r="KNQ522" s="1358"/>
      <c r="KNR522" s="1358"/>
      <c r="KNS522" s="1358"/>
      <c r="KNT522" s="1358"/>
      <c r="KNU522" s="1358"/>
      <c r="KNV522" s="1358"/>
      <c r="KNW522" s="1358"/>
      <c r="KNX522" s="1358"/>
      <c r="KNY522" s="1358"/>
      <c r="KNZ522" s="1358"/>
      <c r="KOA522" s="1358"/>
      <c r="KOB522" s="1358"/>
      <c r="KOC522" s="1358"/>
      <c r="KOD522" s="1358"/>
      <c r="KOE522" s="1358"/>
      <c r="KOF522" s="1358"/>
      <c r="KOG522" s="1358"/>
      <c r="KOH522" s="1358"/>
      <c r="KOI522" s="1358"/>
      <c r="KOJ522" s="1358"/>
      <c r="KOK522" s="1358"/>
      <c r="KOL522" s="1358"/>
      <c r="KOM522" s="1358"/>
      <c r="KON522" s="1358"/>
      <c r="KOO522" s="1358"/>
      <c r="KOP522" s="1358"/>
      <c r="KOQ522" s="1358"/>
      <c r="KOR522" s="1358"/>
      <c r="KOS522" s="1358"/>
      <c r="KOT522" s="1358"/>
      <c r="KOU522" s="1358"/>
      <c r="KOV522" s="1358"/>
      <c r="KOW522" s="1358"/>
      <c r="KOX522" s="1358"/>
      <c r="KOY522" s="1358"/>
      <c r="KOZ522" s="1358"/>
      <c r="KPA522" s="1358"/>
      <c r="KPB522" s="1358"/>
      <c r="KPC522" s="1358"/>
      <c r="KPD522" s="1358"/>
      <c r="KPE522" s="1358"/>
      <c r="KPF522" s="1358"/>
      <c r="KPG522" s="1358"/>
      <c r="KPH522" s="1358"/>
      <c r="KPI522" s="1358"/>
      <c r="KPJ522" s="1358"/>
      <c r="KPK522" s="1358"/>
      <c r="KPL522" s="1358"/>
      <c r="KPM522" s="1358"/>
      <c r="KPN522" s="1358"/>
      <c r="KPO522" s="1358"/>
      <c r="KPP522" s="1358"/>
      <c r="KPQ522" s="1358"/>
      <c r="KPR522" s="1358"/>
      <c r="KPS522" s="1358"/>
      <c r="KPT522" s="1358"/>
      <c r="KPU522" s="1358"/>
      <c r="KPV522" s="1358"/>
      <c r="KPW522" s="1358"/>
      <c r="KPX522" s="1358"/>
      <c r="KPY522" s="1358"/>
      <c r="KPZ522" s="1358"/>
      <c r="KQA522" s="1358"/>
      <c r="KQB522" s="1358"/>
      <c r="KQC522" s="1358"/>
      <c r="KQD522" s="1358"/>
      <c r="KQE522" s="1358"/>
      <c r="KQF522" s="1358"/>
      <c r="KQG522" s="1358"/>
      <c r="KQH522" s="1358"/>
      <c r="KQI522" s="1358"/>
      <c r="KQJ522" s="1358"/>
      <c r="KQK522" s="1358"/>
      <c r="KQL522" s="1358"/>
      <c r="KQM522" s="1358"/>
      <c r="KQN522" s="1358"/>
      <c r="KQO522" s="1358"/>
      <c r="KQP522" s="1358"/>
      <c r="KQQ522" s="1358"/>
      <c r="KQR522" s="1358"/>
      <c r="KQS522" s="1358"/>
      <c r="KQT522" s="1358"/>
      <c r="KQU522" s="1358"/>
      <c r="KQV522" s="1358"/>
      <c r="KQW522" s="1358"/>
      <c r="KQX522" s="1358"/>
      <c r="KQY522" s="1358"/>
      <c r="KQZ522" s="1358"/>
      <c r="KRA522" s="1358"/>
      <c r="KRB522" s="1358"/>
      <c r="KRC522" s="1358"/>
      <c r="KRD522" s="1358"/>
      <c r="KRE522" s="1358"/>
      <c r="KRF522" s="1358"/>
      <c r="KRG522" s="1358"/>
      <c r="KRH522" s="1358"/>
      <c r="KRI522" s="1358"/>
      <c r="KRJ522" s="1358"/>
      <c r="KRK522" s="1358"/>
      <c r="KRL522" s="1358"/>
      <c r="KRM522" s="1358"/>
      <c r="KRN522" s="1358"/>
      <c r="KRO522" s="1358"/>
      <c r="KRP522" s="1358"/>
      <c r="KRQ522" s="1358"/>
      <c r="KRR522" s="1358"/>
      <c r="KRS522" s="1358"/>
      <c r="KRT522" s="1358"/>
      <c r="KRU522" s="1358"/>
      <c r="KRV522" s="1358"/>
      <c r="KRW522" s="1358"/>
      <c r="KRX522" s="1358"/>
      <c r="KRY522" s="1358"/>
      <c r="KRZ522" s="1358"/>
      <c r="KSA522" s="1358"/>
      <c r="KSB522" s="1358"/>
      <c r="KSC522" s="1358"/>
      <c r="KSD522" s="1358"/>
      <c r="KSE522" s="1358"/>
      <c r="KSF522" s="1358"/>
      <c r="KSG522" s="1358"/>
      <c r="KSH522" s="1358"/>
      <c r="KSI522" s="1358"/>
      <c r="KSJ522" s="1358"/>
      <c r="KSK522" s="1358"/>
      <c r="KSL522" s="1358"/>
      <c r="KSM522" s="1358"/>
      <c r="KSN522" s="1358"/>
      <c r="KSO522" s="1358"/>
      <c r="KSP522" s="1358"/>
      <c r="KSQ522" s="1358"/>
      <c r="KSR522" s="1358"/>
      <c r="KSS522" s="1358"/>
      <c r="KST522" s="1358"/>
      <c r="KSU522" s="1358"/>
      <c r="KSV522" s="1358"/>
      <c r="KSW522" s="1358"/>
      <c r="KSX522" s="1358"/>
      <c r="KSY522" s="1358"/>
      <c r="KSZ522" s="1358"/>
      <c r="KTA522" s="1358"/>
      <c r="KTB522" s="1358"/>
      <c r="KTC522" s="1358"/>
      <c r="KTD522" s="1358"/>
      <c r="KTE522" s="1358"/>
      <c r="KTF522" s="1358"/>
      <c r="KTG522" s="1358"/>
      <c r="KTH522" s="1358"/>
      <c r="KTI522" s="1358"/>
      <c r="KTJ522" s="1358"/>
      <c r="KTK522" s="1358"/>
      <c r="KTL522" s="1358"/>
      <c r="KTM522" s="1358"/>
      <c r="KTN522" s="1358"/>
      <c r="KTO522" s="1358"/>
      <c r="KTP522" s="1358"/>
      <c r="KTQ522" s="1358"/>
      <c r="KTR522" s="1358"/>
      <c r="KTS522" s="1358"/>
      <c r="KTT522" s="1358"/>
      <c r="KTU522" s="1358"/>
      <c r="KTV522" s="1358"/>
      <c r="KTW522" s="1358"/>
      <c r="KTX522" s="1358"/>
      <c r="KTY522" s="1358"/>
      <c r="KTZ522" s="1358"/>
      <c r="KUA522" s="1358"/>
      <c r="KUB522" s="1358"/>
      <c r="KUC522" s="1358"/>
      <c r="KUD522" s="1358"/>
      <c r="KUE522" s="1358"/>
      <c r="KUF522" s="1358"/>
      <c r="KUG522" s="1358"/>
      <c r="KUH522" s="1358"/>
      <c r="KUI522" s="1358"/>
      <c r="KUJ522" s="1358"/>
      <c r="KUK522" s="1358"/>
      <c r="KUL522" s="1358"/>
      <c r="KUM522" s="1358"/>
      <c r="KUN522" s="1358"/>
      <c r="KUO522" s="1358"/>
      <c r="KUP522" s="1358"/>
      <c r="KUQ522" s="1358"/>
      <c r="KUR522" s="1358"/>
      <c r="KUS522" s="1358"/>
      <c r="KUT522" s="1358"/>
      <c r="KUU522" s="1358"/>
      <c r="KUV522" s="1358"/>
      <c r="KUW522" s="1358"/>
      <c r="KUX522" s="1358"/>
      <c r="KUY522" s="1358"/>
      <c r="KUZ522" s="1358"/>
      <c r="KVA522" s="1358"/>
      <c r="KVB522" s="1358"/>
      <c r="KVC522" s="1358"/>
      <c r="KVD522" s="1358"/>
      <c r="KVE522" s="1358"/>
      <c r="KVF522" s="1358"/>
      <c r="KVG522" s="1358"/>
      <c r="KVH522" s="1358"/>
      <c r="KVI522" s="1358"/>
      <c r="KVJ522" s="1358"/>
      <c r="KVK522" s="1358"/>
      <c r="KVL522" s="1358"/>
      <c r="KVM522" s="1358"/>
      <c r="KVN522" s="1358"/>
      <c r="KVO522" s="1358"/>
      <c r="KVP522" s="1358"/>
      <c r="KVQ522" s="1358"/>
      <c r="KVR522" s="1358"/>
      <c r="KVS522" s="1358"/>
      <c r="KVT522" s="1358"/>
      <c r="KVU522" s="1358"/>
      <c r="KVV522" s="1358"/>
      <c r="KVW522" s="1358"/>
      <c r="KVX522" s="1358"/>
      <c r="KVY522" s="1358"/>
      <c r="KVZ522" s="1358"/>
      <c r="KWA522" s="1358"/>
      <c r="KWB522" s="1358"/>
      <c r="KWC522" s="1358"/>
      <c r="KWD522" s="1358"/>
      <c r="KWE522" s="1358"/>
      <c r="KWF522" s="1358"/>
      <c r="KWG522" s="1358"/>
      <c r="KWH522" s="1358"/>
      <c r="KWI522" s="1358"/>
      <c r="KWJ522" s="1358"/>
      <c r="KWK522" s="1358"/>
      <c r="KWL522" s="1358"/>
      <c r="KWM522" s="1358"/>
      <c r="KWN522" s="1358"/>
      <c r="KWO522" s="1358"/>
      <c r="KWP522" s="1358"/>
      <c r="KWQ522" s="1358"/>
      <c r="KWR522" s="1358"/>
      <c r="KWS522" s="1358"/>
      <c r="KWT522" s="1358"/>
      <c r="KWU522" s="1358"/>
      <c r="KWV522" s="1358"/>
      <c r="KWW522" s="1358"/>
      <c r="KWX522" s="1358"/>
      <c r="KWY522" s="1358"/>
      <c r="KWZ522" s="1358"/>
      <c r="KXA522" s="1358"/>
      <c r="KXB522" s="1358"/>
      <c r="KXC522" s="1358"/>
      <c r="KXD522" s="1358"/>
      <c r="KXE522" s="1358"/>
      <c r="KXF522" s="1358"/>
      <c r="KXG522" s="1358"/>
      <c r="KXH522" s="1358"/>
      <c r="KXI522" s="1358"/>
      <c r="KXJ522" s="1358"/>
      <c r="KXK522" s="1358"/>
      <c r="KXL522" s="1358"/>
      <c r="KXM522" s="1358"/>
      <c r="KXN522" s="1358"/>
      <c r="KXO522" s="1358"/>
      <c r="KXP522" s="1358"/>
      <c r="KXQ522" s="1358"/>
      <c r="KXR522" s="1358"/>
      <c r="KXS522" s="1358"/>
      <c r="KXT522" s="1358"/>
      <c r="KXU522" s="1358"/>
      <c r="KXV522" s="1358"/>
      <c r="KXW522" s="1358"/>
      <c r="KXX522" s="1358"/>
      <c r="KXY522" s="1358"/>
      <c r="KXZ522" s="1358"/>
      <c r="KYA522" s="1358"/>
      <c r="KYB522" s="1358"/>
      <c r="KYC522" s="1358"/>
      <c r="KYD522" s="1358"/>
      <c r="KYE522" s="1358"/>
      <c r="KYF522" s="1358"/>
      <c r="KYG522" s="1358"/>
      <c r="KYH522" s="1358"/>
      <c r="KYI522" s="1358"/>
      <c r="KYJ522" s="1358"/>
      <c r="KYK522" s="1358"/>
      <c r="KYL522" s="1358"/>
      <c r="KYM522" s="1358"/>
      <c r="KYN522" s="1358"/>
      <c r="KYO522" s="1358"/>
      <c r="KYP522" s="1358"/>
      <c r="KYQ522" s="1358"/>
      <c r="KYR522" s="1358"/>
      <c r="KYS522" s="1358"/>
      <c r="KYT522" s="1358"/>
      <c r="KYU522" s="1358"/>
      <c r="KYV522" s="1358"/>
      <c r="KYW522" s="1358"/>
      <c r="KYX522" s="1358"/>
      <c r="KYY522" s="1358"/>
      <c r="KYZ522" s="1358"/>
      <c r="KZA522" s="1358"/>
      <c r="KZB522" s="1358"/>
      <c r="KZC522" s="1358"/>
      <c r="KZD522" s="1358"/>
      <c r="KZE522" s="1358"/>
      <c r="KZF522" s="1358"/>
      <c r="KZG522" s="1358"/>
      <c r="KZH522" s="1358"/>
      <c r="KZI522" s="1358"/>
      <c r="KZJ522" s="1358"/>
      <c r="KZK522" s="1358"/>
      <c r="KZL522" s="1358"/>
      <c r="KZM522" s="1358"/>
      <c r="KZN522" s="1358"/>
      <c r="KZO522" s="1358"/>
      <c r="KZP522" s="1358"/>
      <c r="KZQ522" s="1358"/>
      <c r="KZR522" s="1358"/>
      <c r="KZS522" s="1358"/>
      <c r="KZT522" s="1358"/>
      <c r="KZU522" s="1358"/>
      <c r="KZV522" s="1358"/>
      <c r="KZW522" s="1358"/>
      <c r="KZX522" s="1358"/>
      <c r="KZY522" s="1358"/>
      <c r="KZZ522" s="1358"/>
      <c r="LAA522" s="1358"/>
      <c r="LAB522" s="1358"/>
      <c r="LAC522" s="1358"/>
      <c r="LAD522" s="1358"/>
      <c r="LAE522" s="1358"/>
      <c r="LAF522" s="1358"/>
      <c r="LAG522" s="1358"/>
      <c r="LAH522" s="1358"/>
      <c r="LAI522" s="1358"/>
      <c r="LAJ522" s="1358"/>
      <c r="LAK522" s="1358"/>
      <c r="LAL522" s="1358"/>
      <c r="LAM522" s="1358"/>
      <c r="LAN522" s="1358"/>
      <c r="LAO522" s="1358"/>
      <c r="LAP522" s="1358"/>
      <c r="LAQ522" s="1358"/>
      <c r="LAR522" s="1358"/>
      <c r="LAS522" s="1358"/>
      <c r="LAT522" s="1358"/>
      <c r="LAU522" s="1358"/>
      <c r="LAV522" s="1358"/>
      <c r="LAW522" s="1358"/>
      <c r="LAX522" s="1358"/>
      <c r="LAY522" s="1358"/>
      <c r="LAZ522" s="1358"/>
      <c r="LBA522" s="1358"/>
      <c r="LBB522" s="1358"/>
      <c r="LBC522" s="1358"/>
      <c r="LBD522" s="1358"/>
      <c r="LBE522" s="1358"/>
      <c r="LBF522" s="1358"/>
      <c r="LBG522" s="1358"/>
      <c r="LBH522" s="1358"/>
      <c r="LBI522" s="1358"/>
      <c r="LBJ522" s="1358"/>
      <c r="LBK522" s="1358"/>
      <c r="LBL522" s="1358"/>
      <c r="LBM522" s="1358"/>
      <c r="LBN522" s="1358"/>
      <c r="LBO522" s="1358"/>
      <c r="LBP522" s="1358"/>
      <c r="LBQ522" s="1358"/>
      <c r="LBR522" s="1358"/>
      <c r="LBS522" s="1358"/>
      <c r="LBT522" s="1358"/>
      <c r="LBU522" s="1358"/>
      <c r="LBV522" s="1358"/>
      <c r="LBW522" s="1358"/>
      <c r="LBX522" s="1358"/>
      <c r="LBY522" s="1358"/>
      <c r="LBZ522" s="1358"/>
      <c r="LCA522" s="1358"/>
      <c r="LCB522" s="1358"/>
      <c r="LCC522" s="1358"/>
      <c r="LCD522" s="1358"/>
      <c r="LCE522" s="1358"/>
      <c r="LCF522" s="1358"/>
      <c r="LCG522" s="1358"/>
      <c r="LCH522" s="1358"/>
      <c r="LCI522" s="1358"/>
      <c r="LCJ522" s="1358"/>
      <c r="LCK522" s="1358"/>
      <c r="LCL522" s="1358"/>
      <c r="LCM522" s="1358"/>
      <c r="LCN522" s="1358"/>
      <c r="LCO522" s="1358"/>
      <c r="LCP522" s="1358"/>
      <c r="LCQ522" s="1358"/>
      <c r="LCR522" s="1358"/>
      <c r="LCS522" s="1358"/>
      <c r="LCT522" s="1358"/>
      <c r="LCU522" s="1358"/>
      <c r="LCV522" s="1358"/>
      <c r="LCW522" s="1358"/>
      <c r="LCX522" s="1358"/>
      <c r="LCY522" s="1358"/>
      <c r="LCZ522" s="1358"/>
      <c r="LDA522" s="1358"/>
      <c r="LDB522" s="1358"/>
      <c r="LDC522" s="1358"/>
      <c r="LDD522" s="1358"/>
      <c r="LDE522" s="1358"/>
      <c r="LDF522" s="1358"/>
      <c r="LDG522" s="1358"/>
      <c r="LDH522" s="1358"/>
      <c r="LDI522" s="1358"/>
      <c r="LDJ522" s="1358"/>
      <c r="LDK522" s="1358"/>
      <c r="LDL522" s="1358"/>
      <c r="LDM522" s="1358"/>
      <c r="LDN522" s="1358"/>
      <c r="LDO522" s="1358"/>
      <c r="LDP522" s="1358"/>
      <c r="LDQ522" s="1358"/>
      <c r="LDR522" s="1358"/>
      <c r="LDS522" s="1358"/>
      <c r="LDT522" s="1358"/>
      <c r="LDU522" s="1358"/>
      <c r="LDV522" s="1358"/>
      <c r="LDW522" s="1358"/>
      <c r="LDX522" s="1358"/>
      <c r="LDY522" s="1358"/>
      <c r="LDZ522" s="1358"/>
      <c r="LEA522" s="1358"/>
      <c r="LEB522" s="1358"/>
      <c r="LEC522" s="1358"/>
      <c r="LED522" s="1358"/>
      <c r="LEE522" s="1358"/>
      <c r="LEF522" s="1358"/>
      <c r="LEG522" s="1358"/>
      <c r="LEH522" s="1358"/>
      <c r="LEI522" s="1358"/>
      <c r="LEJ522" s="1358"/>
      <c r="LEK522" s="1358"/>
      <c r="LEL522" s="1358"/>
      <c r="LEM522" s="1358"/>
      <c r="LEN522" s="1358"/>
      <c r="LEO522" s="1358"/>
      <c r="LEP522" s="1358"/>
      <c r="LEQ522" s="1358"/>
      <c r="LER522" s="1358"/>
      <c r="LES522" s="1358"/>
      <c r="LET522" s="1358"/>
      <c r="LEU522" s="1358"/>
      <c r="LEV522" s="1358"/>
      <c r="LEW522" s="1358"/>
      <c r="LEX522" s="1358"/>
      <c r="LEY522" s="1358"/>
      <c r="LEZ522" s="1358"/>
      <c r="LFA522" s="1358"/>
      <c r="LFB522" s="1358"/>
      <c r="LFC522" s="1358"/>
      <c r="LFD522" s="1358"/>
      <c r="LFE522" s="1358"/>
      <c r="LFF522" s="1358"/>
      <c r="LFG522" s="1358"/>
      <c r="LFH522" s="1358"/>
      <c r="LFI522" s="1358"/>
      <c r="LFJ522" s="1358"/>
      <c r="LFK522" s="1358"/>
      <c r="LFL522" s="1358"/>
      <c r="LFM522" s="1358"/>
      <c r="LFN522" s="1358"/>
      <c r="LFO522" s="1358"/>
      <c r="LFP522" s="1358"/>
      <c r="LFQ522" s="1358"/>
      <c r="LFR522" s="1358"/>
      <c r="LFS522" s="1358"/>
      <c r="LFT522" s="1358"/>
      <c r="LFU522" s="1358"/>
      <c r="LFV522" s="1358"/>
      <c r="LFW522" s="1358"/>
      <c r="LFX522" s="1358"/>
      <c r="LFY522" s="1358"/>
      <c r="LFZ522" s="1358"/>
      <c r="LGA522" s="1358"/>
      <c r="LGB522" s="1358"/>
      <c r="LGC522" s="1358"/>
      <c r="LGD522" s="1358"/>
      <c r="LGE522" s="1358"/>
      <c r="LGF522" s="1358"/>
      <c r="LGG522" s="1358"/>
      <c r="LGH522" s="1358"/>
      <c r="LGI522" s="1358"/>
      <c r="LGJ522" s="1358"/>
      <c r="LGK522" s="1358"/>
      <c r="LGL522" s="1358"/>
      <c r="LGM522" s="1358"/>
      <c r="LGN522" s="1358"/>
      <c r="LGO522" s="1358"/>
      <c r="LGP522" s="1358"/>
      <c r="LGQ522" s="1358"/>
      <c r="LGR522" s="1358"/>
      <c r="LGS522" s="1358"/>
      <c r="LGT522" s="1358"/>
      <c r="LGU522" s="1358"/>
      <c r="LGV522" s="1358"/>
      <c r="LGW522" s="1358"/>
      <c r="LGX522" s="1358"/>
      <c r="LGY522" s="1358"/>
      <c r="LGZ522" s="1358"/>
      <c r="LHA522" s="1358"/>
      <c r="LHB522" s="1358"/>
      <c r="LHC522" s="1358"/>
      <c r="LHD522" s="1358"/>
      <c r="LHE522" s="1358"/>
      <c r="LHF522" s="1358"/>
      <c r="LHG522" s="1358"/>
      <c r="LHH522" s="1358"/>
      <c r="LHI522" s="1358"/>
      <c r="LHJ522" s="1358"/>
      <c r="LHK522" s="1358"/>
      <c r="LHL522" s="1358"/>
      <c r="LHM522" s="1358"/>
      <c r="LHN522" s="1358"/>
      <c r="LHO522" s="1358"/>
      <c r="LHP522" s="1358"/>
      <c r="LHQ522" s="1358"/>
      <c r="LHR522" s="1358"/>
      <c r="LHS522" s="1358"/>
      <c r="LHT522" s="1358"/>
      <c r="LHU522" s="1358"/>
      <c r="LHV522" s="1358"/>
      <c r="LHW522" s="1358"/>
      <c r="LHX522" s="1358"/>
      <c r="LHY522" s="1358"/>
      <c r="LHZ522" s="1358"/>
      <c r="LIA522" s="1358"/>
      <c r="LIB522" s="1358"/>
      <c r="LIC522" s="1358"/>
      <c r="LID522" s="1358"/>
      <c r="LIE522" s="1358"/>
      <c r="LIF522" s="1358"/>
      <c r="LIG522" s="1358"/>
      <c r="LIH522" s="1358"/>
      <c r="LII522" s="1358"/>
      <c r="LIJ522" s="1358"/>
      <c r="LIK522" s="1358"/>
      <c r="LIL522" s="1358"/>
      <c r="LIM522" s="1358"/>
      <c r="LIN522" s="1358"/>
      <c r="LIO522" s="1358"/>
      <c r="LIP522" s="1358"/>
      <c r="LIQ522" s="1358"/>
      <c r="LIR522" s="1358"/>
      <c r="LIS522" s="1358"/>
      <c r="LIT522" s="1358"/>
      <c r="LIU522" s="1358"/>
      <c r="LIV522" s="1358"/>
      <c r="LIW522" s="1358"/>
      <c r="LIX522" s="1358"/>
      <c r="LIY522" s="1358"/>
      <c r="LIZ522" s="1358"/>
      <c r="LJA522" s="1358"/>
      <c r="LJB522" s="1358"/>
      <c r="LJC522" s="1358"/>
      <c r="LJD522" s="1358"/>
      <c r="LJE522" s="1358"/>
      <c r="LJF522" s="1358"/>
      <c r="LJG522" s="1358"/>
      <c r="LJH522" s="1358"/>
      <c r="LJI522" s="1358"/>
      <c r="LJJ522" s="1358"/>
      <c r="LJK522" s="1358"/>
      <c r="LJL522" s="1358"/>
      <c r="LJM522" s="1358"/>
      <c r="LJN522" s="1358"/>
      <c r="LJO522" s="1358"/>
      <c r="LJP522" s="1358"/>
      <c r="LJQ522" s="1358"/>
      <c r="LJR522" s="1358"/>
      <c r="LJS522" s="1358"/>
      <c r="LJT522" s="1358"/>
      <c r="LJU522" s="1358"/>
      <c r="LJV522" s="1358"/>
      <c r="LJW522" s="1358"/>
      <c r="LJX522" s="1358"/>
      <c r="LJY522" s="1358"/>
      <c r="LJZ522" s="1358"/>
      <c r="LKA522" s="1358"/>
      <c r="LKB522" s="1358"/>
      <c r="LKC522" s="1358"/>
      <c r="LKD522" s="1358"/>
      <c r="LKE522" s="1358"/>
      <c r="LKF522" s="1358"/>
      <c r="LKG522" s="1358"/>
      <c r="LKH522" s="1358"/>
      <c r="LKI522" s="1358"/>
      <c r="LKJ522" s="1358"/>
      <c r="LKK522" s="1358"/>
      <c r="LKL522" s="1358"/>
      <c r="LKM522" s="1358"/>
      <c r="LKN522" s="1358"/>
      <c r="LKO522" s="1358"/>
      <c r="LKP522" s="1358"/>
      <c r="LKQ522" s="1358"/>
      <c r="LKR522" s="1358"/>
      <c r="LKS522" s="1358"/>
      <c r="LKT522" s="1358"/>
      <c r="LKU522" s="1358"/>
      <c r="LKV522" s="1358"/>
      <c r="LKW522" s="1358"/>
      <c r="LKX522" s="1358"/>
      <c r="LKY522" s="1358"/>
      <c r="LKZ522" s="1358"/>
      <c r="LLA522" s="1358"/>
      <c r="LLB522" s="1358"/>
      <c r="LLC522" s="1358"/>
      <c r="LLD522" s="1358"/>
      <c r="LLE522" s="1358"/>
      <c r="LLF522" s="1358"/>
      <c r="LLG522" s="1358"/>
      <c r="LLH522" s="1358"/>
      <c r="LLI522" s="1358"/>
      <c r="LLJ522" s="1358"/>
      <c r="LLK522" s="1358"/>
      <c r="LLL522" s="1358"/>
      <c r="LLM522" s="1358"/>
      <c r="LLN522" s="1358"/>
      <c r="LLO522" s="1358"/>
      <c r="LLP522" s="1358"/>
      <c r="LLQ522" s="1358"/>
      <c r="LLR522" s="1358"/>
      <c r="LLS522" s="1358"/>
      <c r="LLT522" s="1358"/>
      <c r="LLU522" s="1358"/>
      <c r="LLV522" s="1358"/>
      <c r="LLW522" s="1358"/>
      <c r="LLX522" s="1358"/>
      <c r="LLY522" s="1358"/>
      <c r="LLZ522" s="1358"/>
      <c r="LMA522" s="1358"/>
      <c r="LMB522" s="1358"/>
      <c r="LMC522" s="1358"/>
      <c r="LMD522" s="1358"/>
      <c r="LME522" s="1358"/>
      <c r="LMF522" s="1358"/>
      <c r="LMG522" s="1358"/>
      <c r="LMH522" s="1358"/>
      <c r="LMI522" s="1358"/>
      <c r="LMJ522" s="1358"/>
      <c r="LMK522" s="1358"/>
      <c r="LML522" s="1358"/>
      <c r="LMM522" s="1358"/>
      <c r="LMN522" s="1358"/>
      <c r="LMO522" s="1358"/>
      <c r="LMP522" s="1358"/>
      <c r="LMQ522" s="1358"/>
      <c r="LMR522" s="1358"/>
      <c r="LMS522" s="1358"/>
      <c r="LMT522" s="1358"/>
      <c r="LMU522" s="1358"/>
      <c r="LMV522" s="1358"/>
      <c r="LMW522" s="1358"/>
      <c r="LMX522" s="1358"/>
      <c r="LMY522" s="1358"/>
      <c r="LMZ522" s="1358"/>
      <c r="LNA522" s="1358"/>
      <c r="LNB522" s="1358"/>
      <c r="LNC522" s="1358"/>
      <c r="LND522" s="1358"/>
      <c r="LNE522" s="1358"/>
      <c r="LNF522" s="1358"/>
      <c r="LNG522" s="1358"/>
      <c r="LNH522" s="1358"/>
      <c r="LNI522" s="1358"/>
      <c r="LNJ522" s="1358"/>
      <c r="LNK522" s="1358"/>
      <c r="LNL522" s="1358"/>
      <c r="LNM522" s="1358"/>
      <c r="LNN522" s="1358"/>
      <c r="LNO522" s="1358"/>
      <c r="LNP522" s="1358"/>
      <c r="LNQ522" s="1358"/>
      <c r="LNR522" s="1358"/>
      <c r="LNS522" s="1358"/>
      <c r="LNT522" s="1358"/>
      <c r="LNU522" s="1358"/>
      <c r="LNV522" s="1358"/>
      <c r="LNW522" s="1358"/>
      <c r="LNX522" s="1358"/>
      <c r="LNY522" s="1358"/>
      <c r="LNZ522" s="1358"/>
      <c r="LOA522" s="1358"/>
      <c r="LOB522" s="1358"/>
      <c r="LOC522" s="1358"/>
      <c r="LOD522" s="1358"/>
      <c r="LOE522" s="1358"/>
      <c r="LOF522" s="1358"/>
      <c r="LOG522" s="1358"/>
      <c r="LOH522" s="1358"/>
      <c r="LOI522" s="1358"/>
      <c r="LOJ522" s="1358"/>
      <c r="LOK522" s="1358"/>
      <c r="LOL522" s="1358"/>
      <c r="LOM522" s="1358"/>
      <c r="LON522" s="1358"/>
      <c r="LOO522" s="1358"/>
      <c r="LOP522" s="1358"/>
      <c r="LOQ522" s="1358"/>
      <c r="LOR522" s="1358"/>
      <c r="LOS522" s="1358"/>
      <c r="LOT522" s="1358"/>
      <c r="LOU522" s="1358"/>
      <c r="LOV522" s="1358"/>
      <c r="LOW522" s="1358"/>
      <c r="LOX522" s="1358"/>
      <c r="LOY522" s="1358"/>
      <c r="LOZ522" s="1358"/>
      <c r="LPA522" s="1358"/>
      <c r="LPB522" s="1358"/>
      <c r="LPC522" s="1358"/>
      <c r="LPD522" s="1358"/>
      <c r="LPE522" s="1358"/>
      <c r="LPF522" s="1358"/>
      <c r="LPG522" s="1358"/>
      <c r="LPH522" s="1358"/>
      <c r="LPI522" s="1358"/>
      <c r="LPJ522" s="1358"/>
      <c r="LPK522" s="1358"/>
      <c r="LPL522" s="1358"/>
      <c r="LPM522" s="1358"/>
      <c r="LPN522" s="1358"/>
      <c r="LPO522" s="1358"/>
      <c r="LPP522" s="1358"/>
      <c r="LPQ522" s="1358"/>
      <c r="LPR522" s="1358"/>
      <c r="LPS522" s="1358"/>
      <c r="LPT522" s="1358"/>
      <c r="LPU522" s="1358"/>
      <c r="LPV522" s="1358"/>
      <c r="LPW522" s="1358"/>
      <c r="LPX522" s="1358"/>
      <c r="LPY522" s="1358"/>
      <c r="LPZ522" s="1358"/>
      <c r="LQA522" s="1358"/>
      <c r="LQB522" s="1358"/>
      <c r="LQC522" s="1358"/>
      <c r="LQD522" s="1358"/>
      <c r="LQE522" s="1358"/>
      <c r="LQF522" s="1358"/>
      <c r="LQG522" s="1358"/>
      <c r="LQH522" s="1358"/>
      <c r="LQI522" s="1358"/>
      <c r="LQJ522" s="1358"/>
      <c r="LQK522" s="1358"/>
      <c r="LQL522" s="1358"/>
      <c r="LQM522" s="1358"/>
      <c r="LQN522" s="1358"/>
      <c r="LQO522" s="1358"/>
      <c r="LQP522" s="1358"/>
      <c r="LQQ522" s="1358"/>
      <c r="LQR522" s="1358"/>
      <c r="LQS522" s="1358"/>
      <c r="LQT522" s="1358"/>
      <c r="LQU522" s="1358"/>
      <c r="LQV522" s="1358"/>
      <c r="LQW522" s="1358"/>
      <c r="LQX522" s="1358"/>
      <c r="LQY522" s="1358"/>
      <c r="LQZ522" s="1358"/>
      <c r="LRA522" s="1358"/>
      <c r="LRB522" s="1358"/>
      <c r="LRC522" s="1358"/>
      <c r="LRD522" s="1358"/>
      <c r="LRE522" s="1358"/>
      <c r="LRF522" s="1358"/>
      <c r="LRG522" s="1358"/>
      <c r="LRH522" s="1358"/>
      <c r="LRI522" s="1358"/>
      <c r="LRJ522" s="1358"/>
      <c r="LRK522" s="1358"/>
      <c r="LRL522" s="1358"/>
      <c r="LRM522" s="1358"/>
      <c r="LRN522" s="1358"/>
      <c r="LRO522" s="1358"/>
      <c r="LRP522" s="1358"/>
      <c r="LRQ522" s="1358"/>
      <c r="LRR522" s="1358"/>
      <c r="LRS522" s="1358"/>
      <c r="LRT522" s="1358"/>
      <c r="LRU522" s="1358"/>
      <c r="LRV522" s="1358"/>
      <c r="LRW522" s="1358"/>
      <c r="LRX522" s="1358"/>
      <c r="LRY522" s="1358"/>
      <c r="LRZ522" s="1358"/>
      <c r="LSA522" s="1358"/>
      <c r="LSB522" s="1358"/>
      <c r="LSC522" s="1358"/>
      <c r="LSD522" s="1358"/>
      <c r="LSE522" s="1358"/>
      <c r="LSF522" s="1358"/>
      <c r="LSG522" s="1358"/>
      <c r="LSH522" s="1358"/>
      <c r="LSI522" s="1358"/>
      <c r="LSJ522" s="1358"/>
      <c r="LSK522" s="1358"/>
      <c r="LSL522" s="1358"/>
      <c r="LSM522" s="1358"/>
      <c r="LSN522" s="1358"/>
      <c r="LSO522" s="1358"/>
      <c r="LSP522" s="1358"/>
      <c r="LSQ522" s="1358"/>
      <c r="LSR522" s="1358"/>
      <c r="LSS522" s="1358"/>
      <c r="LST522" s="1358"/>
      <c r="LSU522" s="1358"/>
      <c r="LSV522" s="1358"/>
      <c r="LSW522" s="1358"/>
      <c r="LSX522" s="1358"/>
      <c r="LSY522" s="1358"/>
      <c r="LSZ522" s="1358"/>
      <c r="LTA522" s="1358"/>
      <c r="LTB522" s="1358"/>
      <c r="LTC522" s="1358"/>
      <c r="LTD522" s="1358"/>
      <c r="LTE522" s="1358"/>
      <c r="LTF522" s="1358"/>
      <c r="LTG522" s="1358"/>
      <c r="LTH522" s="1358"/>
      <c r="LTI522" s="1358"/>
      <c r="LTJ522" s="1358"/>
      <c r="LTK522" s="1358"/>
      <c r="LTL522" s="1358"/>
      <c r="LTM522" s="1358"/>
      <c r="LTN522" s="1358"/>
      <c r="LTO522" s="1358"/>
      <c r="LTP522" s="1358"/>
      <c r="LTQ522" s="1358"/>
      <c r="LTR522" s="1358"/>
      <c r="LTS522" s="1358"/>
      <c r="LTT522" s="1358"/>
      <c r="LTU522" s="1358"/>
      <c r="LTV522" s="1358"/>
      <c r="LTW522" s="1358"/>
      <c r="LTX522" s="1358"/>
      <c r="LTY522" s="1358"/>
      <c r="LTZ522" s="1358"/>
      <c r="LUA522" s="1358"/>
      <c r="LUB522" s="1358"/>
      <c r="LUC522" s="1358"/>
      <c r="LUD522" s="1358"/>
      <c r="LUE522" s="1358"/>
      <c r="LUF522" s="1358"/>
      <c r="LUG522" s="1358"/>
      <c r="LUH522" s="1358"/>
      <c r="LUI522" s="1358"/>
      <c r="LUJ522" s="1358"/>
      <c r="LUK522" s="1358"/>
      <c r="LUL522" s="1358"/>
      <c r="LUM522" s="1358"/>
      <c r="LUN522" s="1358"/>
      <c r="LUO522" s="1358"/>
      <c r="LUP522" s="1358"/>
      <c r="LUQ522" s="1358"/>
      <c r="LUR522" s="1358"/>
      <c r="LUS522" s="1358"/>
      <c r="LUT522" s="1358"/>
      <c r="LUU522" s="1358"/>
      <c r="LUV522" s="1358"/>
      <c r="LUW522" s="1358"/>
      <c r="LUX522" s="1358"/>
      <c r="LUY522" s="1358"/>
      <c r="LUZ522" s="1358"/>
      <c r="LVA522" s="1358"/>
      <c r="LVB522" s="1358"/>
      <c r="LVC522" s="1358"/>
      <c r="LVD522" s="1358"/>
      <c r="LVE522" s="1358"/>
      <c r="LVF522" s="1358"/>
      <c r="LVG522" s="1358"/>
      <c r="LVH522" s="1358"/>
      <c r="LVI522" s="1358"/>
      <c r="LVJ522" s="1358"/>
      <c r="LVK522" s="1358"/>
      <c r="LVL522" s="1358"/>
      <c r="LVM522" s="1358"/>
      <c r="LVN522" s="1358"/>
      <c r="LVO522" s="1358"/>
      <c r="LVP522" s="1358"/>
      <c r="LVQ522" s="1358"/>
      <c r="LVR522" s="1358"/>
      <c r="LVS522" s="1358"/>
      <c r="LVT522" s="1358"/>
      <c r="LVU522" s="1358"/>
      <c r="LVV522" s="1358"/>
      <c r="LVW522" s="1358"/>
      <c r="LVX522" s="1358"/>
      <c r="LVY522" s="1358"/>
      <c r="LVZ522" s="1358"/>
      <c r="LWA522" s="1358"/>
      <c r="LWB522" s="1358"/>
      <c r="LWC522" s="1358"/>
      <c r="LWD522" s="1358"/>
      <c r="LWE522" s="1358"/>
      <c r="LWF522" s="1358"/>
      <c r="LWG522" s="1358"/>
      <c r="LWH522" s="1358"/>
      <c r="LWI522" s="1358"/>
      <c r="LWJ522" s="1358"/>
      <c r="LWK522" s="1358"/>
      <c r="LWL522" s="1358"/>
      <c r="LWM522" s="1358"/>
      <c r="LWN522" s="1358"/>
      <c r="LWO522" s="1358"/>
      <c r="LWP522" s="1358"/>
      <c r="LWQ522" s="1358"/>
      <c r="LWR522" s="1358"/>
      <c r="LWS522" s="1358"/>
      <c r="LWT522" s="1358"/>
      <c r="LWU522" s="1358"/>
      <c r="LWV522" s="1358"/>
      <c r="LWW522" s="1358"/>
      <c r="LWX522" s="1358"/>
      <c r="LWY522" s="1358"/>
      <c r="LWZ522" s="1358"/>
      <c r="LXA522" s="1358"/>
      <c r="LXB522" s="1358"/>
      <c r="LXC522" s="1358"/>
      <c r="LXD522" s="1358"/>
      <c r="LXE522" s="1358"/>
      <c r="LXF522" s="1358"/>
      <c r="LXG522" s="1358"/>
      <c r="LXH522" s="1358"/>
      <c r="LXI522" s="1358"/>
      <c r="LXJ522" s="1358"/>
      <c r="LXK522" s="1358"/>
      <c r="LXL522" s="1358"/>
      <c r="LXM522" s="1358"/>
      <c r="LXN522" s="1358"/>
      <c r="LXO522" s="1358"/>
      <c r="LXP522" s="1358"/>
      <c r="LXQ522" s="1358"/>
      <c r="LXR522" s="1358"/>
      <c r="LXS522" s="1358"/>
      <c r="LXT522" s="1358"/>
      <c r="LXU522" s="1358"/>
      <c r="LXV522" s="1358"/>
      <c r="LXW522" s="1358"/>
      <c r="LXX522" s="1358"/>
      <c r="LXY522" s="1358"/>
      <c r="LXZ522" s="1358"/>
      <c r="LYA522" s="1358"/>
      <c r="LYB522" s="1358"/>
      <c r="LYC522" s="1358"/>
      <c r="LYD522" s="1358"/>
      <c r="LYE522" s="1358"/>
      <c r="LYF522" s="1358"/>
      <c r="LYG522" s="1358"/>
      <c r="LYH522" s="1358"/>
      <c r="LYI522" s="1358"/>
      <c r="LYJ522" s="1358"/>
      <c r="LYK522" s="1358"/>
      <c r="LYL522" s="1358"/>
      <c r="LYM522" s="1358"/>
      <c r="LYN522" s="1358"/>
      <c r="LYO522" s="1358"/>
      <c r="LYP522" s="1358"/>
      <c r="LYQ522" s="1358"/>
      <c r="LYR522" s="1358"/>
      <c r="LYS522" s="1358"/>
      <c r="LYT522" s="1358"/>
      <c r="LYU522" s="1358"/>
      <c r="LYV522" s="1358"/>
      <c r="LYW522" s="1358"/>
      <c r="LYX522" s="1358"/>
      <c r="LYY522" s="1358"/>
      <c r="LYZ522" s="1358"/>
      <c r="LZA522" s="1358"/>
      <c r="LZB522" s="1358"/>
      <c r="LZC522" s="1358"/>
      <c r="LZD522" s="1358"/>
      <c r="LZE522" s="1358"/>
      <c r="LZF522" s="1358"/>
      <c r="LZG522" s="1358"/>
      <c r="LZH522" s="1358"/>
      <c r="LZI522" s="1358"/>
      <c r="LZJ522" s="1358"/>
      <c r="LZK522" s="1358"/>
      <c r="LZL522" s="1358"/>
      <c r="LZM522" s="1358"/>
      <c r="LZN522" s="1358"/>
      <c r="LZO522" s="1358"/>
      <c r="LZP522" s="1358"/>
      <c r="LZQ522" s="1358"/>
      <c r="LZR522" s="1358"/>
      <c r="LZS522" s="1358"/>
      <c r="LZT522" s="1358"/>
      <c r="LZU522" s="1358"/>
      <c r="LZV522" s="1358"/>
      <c r="LZW522" s="1358"/>
      <c r="LZX522" s="1358"/>
      <c r="LZY522" s="1358"/>
      <c r="LZZ522" s="1358"/>
      <c r="MAA522" s="1358"/>
      <c r="MAB522" s="1358"/>
      <c r="MAC522" s="1358"/>
      <c r="MAD522" s="1358"/>
      <c r="MAE522" s="1358"/>
      <c r="MAF522" s="1358"/>
      <c r="MAG522" s="1358"/>
      <c r="MAH522" s="1358"/>
      <c r="MAI522" s="1358"/>
      <c r="MAJ522" s="1358"/>
      <c r="MAK522" s="1358"/>
      <c r="MAL522" s="1358"/>
      <c r="MAM522" s="1358"/>
      <c r="MAN522" s="1358"/>
      <c r="MAO522" s="1358"/>
      <c r="MAP522" s="1358"/>
      <c r="MAQ522" s="1358"/>
      <c r="MAR522" s="1358"/>
      <c r="MAS522" s="1358"/>
      <c r="MAT522" s="1358"/>
      <c r="MAU522" s="1358"/>
      <c r="MAV522" s="1358"/>
      <c r="MAW522" s="1358"/>
      <c r="MAX522" s="1358"/>
      <c r="MAY522" s="1358"/>
      <c r="MAZ522" s="1358"/>
      <c r="MBA522" s="1358"/>
      <c r="MBB522" s="1358"/>
      <c r="MBC522" s="1358"/>
      <c r="MBD522" s="1358"/>
      <c r="MBE522" s="1358"/>
      <c r="MBF522" s="1358"/>
      <c r="MBG522" s="1358"/>
      <c r="MBH522" s="1358"/>
      <c r="MBI522" s="1358"/>
      <c r="MBJ522" s="1358"/>
      <c r="MBK522" s="1358"/>
      <c r="MBL522" s="1358"/>
      <c r="MBM522" s="1358"/>
      <c r="MBN522" s="1358"/>
      <c r="MBO522" s="1358"/>
      <c r="MBP522" s="1358"/>
      <c r="MBQ522" s="1358"/>
      <c r="MBR522" s="1358"/>
      <c r="MBS522" s="1358"/>
      <c r="MBT522" s="1358"/>
      <c r="MBU522" s="1358"/>
      <c r="MBV522" s="1358"/>
      <c r="MBW522" s="1358"/>
      <c r="MBX522" s="1358"/>
      <c r="MBY522" s="1358"/>
      <c r="MBZ522" s="1358"/>
      <c r="MCA522" s="1358"/>
      <c r="MCB522" s="1358"/>
      <c r="MCC522" s="1358"/>
      <c r="MCD522" s="1358"/>
      <c r="MCE522" s="1358"/>
      <c r="MCF522" s="1358"/>
      <c r="MCG522" s="1358"/>
      <c r="MCH522" s="1358"/>
      <c r="MCI522" s="1358"/>
      <c r="MCJ522" s="1358"/>
      <c r="MCK522" s="1358"/>
      <c r="MCL522" s="1358"/>
      <c r="MCM522" s="1358"/>
      <c r="MCN522" s="1358"/>
      <c r="MCO522" s="1358"/>
      <c r="MCP522" s="1358"/>
      <c r="MCQ522" s="1358"/>
      <c r="MCR522" s="1358"/>
      <c r="MCS522" s="1358"/>
      <c r="MCT522" s="1358"/>
      <c r="MCU522" s="1358"/>
      <c r="MCV522" s="1358"/>
      <c r="MCW522" s="1358"/>
      <c r="MCX522" s="1358"/>
      <c r="MCY522" s="1358"/>
      <c r="MCZ522" s="1358"/>
      <c r="MDA522" s="1358"/>
      <c r="MDB522" s="1358"/>
      <c r="MDC522" s="1358"/>
      <c r="MDD522" s="1358"/>
      <c r="MDE522" s="1358"/>
      <c r="MDF522" s="1358"/>
      <c r="MDG522" s="1358"/>
      <c r="MDH522" s="1358"/>
      <c r="MDI522" s="1358"/>
      <c r="MDJ522" s="1358"/>
      <c r="MDK522" s="1358"/>
      <c r="MDL522" s="1358"/>
      <c r="MDM522" s="1358"/>
      <c r="MDN522" s="1358"/>
      <c r="MDO522" s="1358"/>
      <c r="MDP522" s="1358"/>
      <c r="MDQ522" s="1358"/>
      <c r="MDR522" s="1358"/>
      <c r="MDS522" s="1358"/>
      <c r="MDT522" s="1358"/>
      <c r="MDU522" s="1358"/>
      <c r="MDV522" s="1358"/>
      <c r="MDW522" s="1358"/>
      <c r="MDX522" s="1358"/>
      <c r="MDY522" s="1358"/>
      <c r="MDZ522" s="1358"/>
      <c r="MEA522" s="1358"/>
      <c r="MEB522" s="1358"/>
      <c r="MEC522" s="1358"/>
      <c r="MED522" s="1358"/>
      <c r="MEE522" s="1358"/>
      <c r="MEF522" s="1358"/>
      <c r="MEG522" s="1358"/>
      <c r="MEH522" s="1358"/>
      <c r="MEI522" s="1358"/>
      <c r="MEJ522" s="1358"/>
      <c r="MEK522" s="1358"/>
      <c r="MEL522" s="1358"/>
      <c r="MEM522" s="1358"/>
      <c r="MEN522" s="1358"/>
      <c r="MEO522" s="1358"/>
      <c r="MEP522" s="1358"/>
      <c r="MEQ522" s="1358"/>
      <c r="MER522" s="1358"/>
      <c r="MES522" s="1358"/>
      <c r="MET522" s="1358"/>
      <c r="MEU522" s="1358"/>
      <c r="MEV522" s="1358"/>
      <c r="MEW522" s="1358"/>
      <c r="MEX522" s="1358"/>
      <c r="MEY522" s="1358"/>
      <c r="MEZ522" s="1358"/>
      <c r="MFA522" s="1358"/>
      <c r="MFB522" s="1358"/>
      <c r="MFC522" s="1358"/>
      <c r="MFD522" s="1358"/>
      <c r="MFE522" s="1358"/>
      <c r="MFF522" s="1358"/>
      <c r="MFG522" s="1358"/>
      <c r="MFH522" s="1358"/>
      <c r="MFI522" s="1358"/>
      <c r="MFJ522" s="1358"/>
      <c r="MFK522" s="1358"/>
      <c r="MFL522" s="1358"/>
      <c r="MFM522" s="1358"/>
      <c r="MFN522" s="1358"/>
      <c r="MFO522" s="1358"/>
      <c r="MFP522" s="1358"/>
      <c r="MFQ522" s="1358"/>
      <c r="MFR522" s="1358"/>
      <c r="MFS522" s="1358"/>
      <c r="MFT522" s="1358"/>
      <c r="MFU522" s="1358"/>
      <c r="MFV522" s="1358"/>
      <c r="MFW522" s="1358"/>
      <c r="MFX522" s="1358"/>
      <c r="MFY522" s="1358"/>
      <c r="MFZ522" s="1358"/>
      <c r="MGA522" s="1358"/>
      <c r="MGB522" s="1358"/>
      <c r="MGC522" s="1358"/>
      <c r="MGD522" s="1358"/>
      <c r="MGE522" s="1358"/>
      <c r="MGF522" s="1358"/>
      <c r="MGG522" s="1358"/>
      <c r="MGH522" s="1358"/>
      <c r="MGI522" s="1358"/>
      <c r="MGJ522" s="1358"/>
      <c r="MGK522" s="1358"/>
      <c r="MGL522" s="1358"/>
      <c r="MGM522" s="1358"/>
      <c r="MGN522" s="1358"/>
      <c r="MGO522" s="1358"/>
      <c r="MGP522" s="1358"/>
      <c r="MGQ522" s="1358"/>
      <c r="MGR522" s="1358"/>
      <c r="MGS522" s="1358"/>
      <c r="MGT522" s="1358"/>
      <c r="MGU522" s="1358"/>
      <c r="MGV522" s="1358"/>
      <c r="MGW522" s="1358"/>
      <c r="MGX522" s="1358"/>
      <c r="MGY522" s="1358"/>
      <c r="MGZ522" s="1358"/>
      <c r="MHA522" s="1358"/>
      <c r="MHB522" s="1358"/>
      <c r="MHC522" s="1358"/>
      <c r="MHD522" s="1358"/>
      <c r="MHE522" s="1358"/>
      <c r="MHF522" s="1358"/>
      <c r="MHG522" s="1358"/>
      <c r="MHH522" s="1358"/>
      <c r="MHI522" s="1358"/>
      <c r="MHJ522" s="1358"/>
      <c r="MHK522" s="1358"/>
      <c r="MHL522" s="1358"/>
      <c r="MHM522" s="1358"/>
      <c r="MHN522" s="1358"/>
      <c r="MHO522" s="1358"/>
      <c r="MHP522" s="1358"/>
      <c r="MHQ522" s="1358"/>
      <c r="MHR522" s="1358"/>
      <c r="MHS522" s="1358"/>
      <c r="MHT522" s="1358"/>
      <c r="MHU522" s="1358"/>
      <c r="MHV522" s="1358"/>
      <c r="MHW522" s="1358"/>
      <c r="MHX522" s="1358"/>
      <c r="MHY522" s="1358"/>
      <c r="MHZ522" s="1358"/>
      <c r="MIA522" s="1358"/>
      <c r="MIB522" s="1358"/>
      <c r="MIC522" s="1358"/>
      <c r="MID522" s="1358"/>
      <c r="MIE522" s="1358"/>
      <c r="MIF522" s="1358"/>
      <c r="MIG522" s="1358"/>
      <c r="MIH522" s="1358"/>
      <c r="MII522" s="1358"/>
      <c r="MIJ522" s="1358"/>
      <c r="MIK522" s="1358"/>
      <c r="MIL522" s="1358"/>
      <c r="MIM522" s="1358"/>
      <c r="MIN522" s="1358"/>
      <c r="MIO522" s="1358"/>
      <c r="MIP522" s="1358"/>
      <c r="MIQ522" s="1358"/>
      <c r="MIR522" s="1358"/>
      <c r="MIS522" s="1358"/>
      <c r="MIT522" s="1358"/>
      <c r="MIU522" s="1358"/>
      <c r="MIV522" s="1358"/>
      <c r="MIW522" s="1358"/>
      <c r="MIX522" s="1358"/>
      <c r="MIY522" s="1358"/>
      <c r="MIZ522" s="1358"/>
      <c r="MJA522" s="1358"/>
      <c r="MJB522" s="1358"/>
      <c r="MJC522" s="1358"/>
      <c r="MJD522" s="1358"/>
      <c r="MJE522" s="1358"/>
      <c r="MJF522" s="1358"/>
      <c r="MJG522" s="1358"/>
      <c r="MJH522" s="1358"/>
      <c r="MJI522" s="1358"/>
      <c r="MJJ522" s="1358"/>
      <c r="MJK522" s="1358"/>
      <c r="MJL522" s="1358"/>
      <c r="MJM522" s="1358"/>
      <c r="MJN522" s="1358"/>
      <c r="MJO522" s="1358"/>
      <c r="MJP522" s="1358"/>
      <c r="MJQ522" s="1358"/>
      <c r="MJR522" s="1358"/>
      <c r="MJS522" s="1358"/>
      <c r="MJT522" s="1358"/>
      <c r="MJU522" s="1358"/>
      <c r="MJV522" s="1358"/>
      <c r="MJW522" s="1358"/>
      <c r="MJX522" s="1358"/>
      <c r="MJY522" s="1358"/>
      <c r="MJZ522" s="1358"/>
      <c r="MKA522" s="1358"/>
      <c r="MKB522" s="1358"/>
      <c r="MKC522" s="1358"/>
      <c r="MKD522" s="1358"/>
      <c r="MKE522" s="1358"/>
      <c r="MKF522" s="1358"/>
      <c r="MKG522" s="1358"/>
      <c r="MKH522" s="1358"/>
      <c r="MKI522" s="1358"/>
      <c r="MKJ522" s="1358"/>
      <c r="MKK522" s="1358"/>
      <c r="MKL522" s="1358"/>
      <c r="MKM522" s="1358"/>
      <c r="MKN522" s="1358"/>
      <c r="MKO522" s="1358"/>
      <c r="MKP522" s="1358"/>
      <c r="MKQ522" s="1358"/>
      <c r="MKR522" s="1358"/>
      <c r="MKS522" s="1358"/>
      <c r="MKT522" s="1358"/>
      <c r="MKU522" s="1358"/>
      <c r="MKV522" s="1358"/>
      <c r="MKW522" s="1358"/>
      <c r="MKX522" s="1358"/>
      <c r="MKY522" s="1358"/>
      <c r="MKZ522" s="1358"/>
      <c r="MLA522" s="1358"/>
      <c r="MLB522" s="1358"/>
      <c r="MLC522" s="1358"/>
      <c r="MLD522" s="1358"/>
      <c r="MLE522" s="1358"/>
      <c r="MLF522" s="1358"/>
      <c r="MLG522" s="1358"/>
      <c r="MLH522" s="1358"/>
      <c r="MLI522" s="1358"/>
      <c r="MLJ522" s="1358"/>
      <c r="MLK522" s="1358"/>
      <c r="MLL522" s="1358"/>
      <c r="MLM522" s="1358"/>
      <c r="MLN522" s="1358"/>
      <c r="MLO522" s="1358"/>
      <c r="MLP522" s="1358"/>
      <c r="MLQ522" s="1358"/>
      <c r="MLR522" s="1358"/>
      <c r="MLS522" s="1358"/>
      <c r="MLT522" s="1358"/>
      <c r="MLU522" s="1358"/>
      <c r="MLV522" s="1358"/>
      <c r="MLW522" s="1358"/>
      <c r="MLX522" s="1358"/>
      <c r="MLY522" s="1358"/>
      <c r="MLZ522" s="1358"/>
      <c r="MMA522" s="1358"/>
      <c r="MMB522" s="1358"/>
      <c r="MMC522" s="1358"/>
      <c r="MMD522" s="1358"/>
      <c r="MME522" s="1358"/>
      <c r="MMF522" s="1358"/>
      <c r="MMG522" s="1358"/>
      <c r="MMH522" s="1358"/>
      <c r="MMI522" s="1358"/>
      <c r="MMJ522" s="1358"/>
      <c r="MMK522" s="1358"/>
      <c r="MML522" s="1358"/>
      <c r="MMM522" s="1358"/>
      <c r="MMN522" s="1358"/>
      <c r="MMO522" s="1358"/>
      <c r="MMP522" s="1358"/>
      <c r="MMQ522" s="1358"/>
      <c r="MMR522" s="1358"/>
      <c r="MMS522" s="1358"/>
      <c r="MMT522" s="1358"/>
      <c r="MMU522" s="1358"/>
      <c r="MMV522" s="1358"/>
      <c r="MMW522" s="1358"/>
      <c r="MMX522" s="1358"/>
      <c r="MMY522" s="1358"/>
      <c r="MMZ522" s="1358"/>
      <c r="MNA522" s="1358"/>
      <c r="MNB522" s="1358"/>
      <c r="MNC522" s="1358"/>
      <c r="MND522" s="1358"/>
      <c r="MNE522" s="1358"/>
      <c r="MNF522" s="1358"/>
      <c r="MNG522" s="1358"/>
      <c r="MNH522" s="1358"/>
      <c r="MNI522" s="1358"/>
      <c r="MNJ522" s="1358"/>
      <c r="MNK522" s="1358"/>
      <c r="MNL522" s="1358"/>
      <c r="MNM522" s="1358"/>
      <c r="MNN522" s="1358"/>
      <c r="MNO522" s="1358"/>
      <c r="MNP522" s="1358"/>
      <c r="MNQ522" s="1358"/>
      <c r="MNR522" s="1358"/>
      <c r="MNS522" s="1358"/>
      <c r="MNT522" s="1358"/>
      <c r="MNU522" s="1358"/>
      <c r="MNV522" s="1358"/>
      <c r="MNW522" s="1358"/>
      <c r="MNX522" s="1358"/>
      <c r="MNY522" s="1358"/>
      <c r="MNZ522" s="1358"/>
      <c r="MOA522" s="1358"/>
      <c r="MOB522" s="1358"/>
      <c r="MOC522" s="1358"/>
      <c r="MOD522" s="1358"/>
      <c r="MOE522" s="1358"/>
      <c r="MOF522" s="1358"/>
      <c r="MOG522" s="1358"/>
      <c r="MOH522" s="1358"/>
      <c r="MOI522" s="1358"/>
      <c r="MOJ522" s="1358"/>
      <c r="MOK522" s="1358"/>
      <c r="MOL522" s="1358"/>
      <c r="MOM522" s="1358"/>
      <c r="MON522" s="1358"/>
      <c r="MOO522" s="1358"/>
      <c r="MOP522" s="1358"/>
      <c r="MOQ522" s="1358"/>
      <c r="MOR522" s="1358"/>
      <c r="MOS522" s="1358"/>
      <c r="MOT522" s="1358"/>
      <c r="MOU522" s="1358"/>
      <c r="MOV522" s="1358"/>
      <c r="MOW522" s="1358"/>
      <c r="MOX522" s="1358"/>
      <c r="MOY522" s="1358"/>
      <c r="MOZ522" s="1358"/>
      <c r="MPA522" s="1358"/>
      <c r="MPB522" s="1358"/>
      <c r="MPC522" s="1358"/>
      <c r="MPD522" s="1358"/>
      <c r="MPE522" s="1358"/>
      <c r="MPF522" s="1358"/>
      <c r="MPG522" s="1358"/>
      <c r="MPH522" s="1358"/>
      <c r="MPI522" s="1358"/>
      <c r="MPJ522" s="1358"/>
      <c r="MPK522" s="1358"/>
      <c r="MPL522" s="1358"/>
      <c r="MPM522" s="1358"/>
      <c r="MPN522" s="1358"/>
      <c r="MPO522" s="1358"/>
      <c r="MPP522" s="1358"/>
      <c r="MPQ522" s="1358"/>
      <c r="MPR522" s="1358"/>
      <c r="MPS522" s="1358"/>
      <c r="MPT522" s="1358"/>
      <c r="MPU522" s="1358"/>
      <c r="MPV522" s="1358"/>
      <c r="MPW522" s="1358"/>
      <c r="MPX522" s="1358"/>
      <c r="MPY522" s="1358"/>
      <c r="MPZ522" s="1358"/>
      <c r="MQA522" s="1358"/>
      <c r="MQB522" s="1358"/>
      <c r="MQC522" s="1358"/>
      <c r="MQD522" s="1358"/>
      <c r="MQE522" s="1358"/>
      <c r="MQF522" s="1358"/>
      <c r="MQG522" s="1358"/>
      <c r="MQH522" s="1358"/>
      <c r="MQI522" s="1358"/>
      <c r="MQJ522" s="1358"/>
      <c r="MQK522" s="1358"/>
      <c r="MQL522" s="1358"/>
      <c r="MQM522" s="1358"/>
      <c r="MQN522" s="1358"/>
      <c r="MQO522" s="1358"/>
      <c r="MQP522" s="1358"/>
      <c r="MQQ522" s="1358"/>
      <c r="MQR522" s="1358"/>
      <c r="MQS522" s="1358"/>
      <c r="MQT522" s="1358"/>
      <c r="MQU522" s="1358"/>
      <c r="MQV522" s="1358"/>
      <c r="MQW522" s="1358"/>
      <c r="MQX522" s="1358"/>
      <c r="MQY522" s="1358"/>
      <c r="MQZ522" s="1358"/>
      <c r="MRA522" s="1358"/>
      <c r="MRB522" s="1358"/>
      <c r="MRC522" s="1358"/>
      <c r="MRD522" s="1358"/>
      <c r="MRE522" s="1358"/>
      <c r="MRF522" s="1358"/>
      <c r="MRG522" s="1358"/>
      <c r="MRH522" s="1358"/>
      <c r="MRI522" s="1358"/>
      <c r="MRJ522" s="1358"/>
      <c r="MRK522" s="1358"/>
      <c r="MRL522" s="1358"/>
      <c r="MRM522" s="1358"/>
      <c r="MRN522" s="1358"/>
      <c r="MRO522" s="1358"/>
      <c r="MRP522" s="1358"/>
      <c r="MRQ522" s="1358"/>
      <c r="MRR522" s="1358"/>
      <c r="MRS522" s="1358"/>
      <c r="MRT522" s="1358"/>
      <c r="MRU522" s="1358"/>
      <c r="MRV522" s="1358"/>
      <c r="MRW522" s="1358"/>
      <c r="MRX522" s="1358"/>
      <c r="MRY522" s="1358"/>
      <c r="MRZ522" s="1358"/>
      <c r="MSA522" s="1358"/>
      <c r="MSB522" s="1358"/>
      <c r="MSC522" s="1358"/>
      <c r="MSD522" s="1358"/>
      <c r="MSE522" s="1358"/>
      <c r="MSF522" s="1358"/>
      <c r="MSG522" s="1358"/>
      <c r="MSH522" s="1358"/>
      <c r="MSI522" s="1358"/>
      <c r="MSJ522" s="1358"/>
      <c r="MSK522" s="1358"/>
      <c r="MSL522" s="1358"/>
      <c r="MSM522" s="1358"/>
      <c r="MSN522" s="1358"/>
      <c r="MSO522" s="1358"/>
      <c r="MSP522" s="1358"/>
      <c r="MSQ522" s="1358"/>
      <c r="MSR522" s="1358"/>
      <c r="MSS522" s="1358"/>
      <c r="MST522" s="1358"/>
      <c r="MSU522" s="1358"/>
      <c r="MSV522" s="1358"/>
      <c r="MSW522" s="1358"/>
      <c r="MSX522" s="1358"/>
      <c r="MSY522" s="1358"/>
      <c r="MSZ522" s="1358"/>
      <c r="MTA522" s="1358"/>
      <c r="MTB522" s="1358"/>
      <c r="MTC522" s="1358"/>
      <c r="MTD522" s="1358"/>
      <c r="MTE522" s="1358"/>
      <c r="MTF522" s="1358"/>
      <c r="MTG522" s="1358"/>
      <c r="MTH522" s="1358"/>
      <c r="MTI522" s="1358"/>
      <c r="MTJ522" s="1358"/>
      <c r="MTK522" s="1358"/>
      <c r="MTL522" s="1358"/>
      <c r="MTM522" s="1358"/>
      <c r="MTN522" s="1358"/>
      <c r="MTO522" s="1358"/>
      <c r="MTP522" s="1358"/>
      <c r="MTQ522" s="1358"/>
      <c r="MTR522" s="1358"/>
      <c r="MTS522" s="1358"/>
      <c r="MTT522" s="1358"/>
      <c r="MTU522" s="1358"/>
      <c r="MTV522" s="1358"/>
      <c r="MTW522" s="1358"/>
      <c r="MTX522" s="1358"/>
      <c r="MTY522" s="1358"/>
      <c r="MTZ522" s="1358"/>
      <c r="MUA522" s="1358"/>
      <c r="MUB522" s="1358"/>
      <c r="MUC522" s="1358"/>
      <c r="MUD522" s="1358"/>
      <c r="MUE522" s="1358"/>
      <c r="MUF522" s="1358"/>
      <c r="MUG522" s="1358"/>
      <c r="MUH522" s="1358"/>
      <c r="MUI522" s="1358"/>
      <c r="MUJ522" s="1358"/>
      <c r="MUK522" s="1358"/>
      <c r="MUL522" s="1358"/>
      <c r="MUM522" s="1358"/>
      <c r="MUN522" s="1358"/>
      <c r="MUO522" s="1358"/>
      <c r="MUP522" s="1358"/>
      <c r="MUQ522" s="1358"/>
      <c r="MUR522" s="1358"/>
      <c r="MUS522" s="1358"/>
      <c r="MUT522" s="1358"/>
      <c r="MUU522" s="1358"/>
      <c r="MUV522" s="1358"/>
      <c r="MUW522" s="1358"/>
      <c r="MUX522" s="1358"/>
      <c r="MUY522" s="1358"/>
      <c r="MUZ522" s="1358"/>
      <c r="MVA522" s="1358"/>
      <c r="MVB522" s="1358"/>
      <c r="MVC522" s="1358"/>
      <c r="MVD522" s="1358"/>
      <c r="MVE522" s="1358"/>
      <c r="MVF522" s="1358"/>
      <c r="MVG522" s="1358"/>
      <c r="MVH522" s="1358"/>
      <c r="MVI522" s="1358"/>
      <c r="MVJ522" s="1358"/>
      <c r="MVK522" s="1358"/>
      <c r="MVL522" s="1358"/>
      <c r="MVM522" s="1358"/>
      <c r="MVN522" s="1358"/>
      <c r="MVO522" s="1358"/>
      <c r="MVP522" s="1358"/>
      <c r="MVQ522" s="1358"/>
      <c r="MVR522" s="1358"/>
      <c r="MVS522" s="1358"/>
      <c r="MVT522" s="1358"/>
      <c r="MVU522" s="1358"/>
      <c r="MVV522" s="1358"/>
      <c r="MVW522" s="1358"/>
      <c r="MVX522" s="1358"/>
      <c r="MVY522" s="1358"/>
      <c r="MVZ522" s="1358"/>
      <c r="MWA522" s="1358"/>
      <c r="MWB522" s="1358"/>
      <c r="MWC522" s="1358"/>
      <c r="MWD522" s="1358"/>
      <c r="MWE522" s="1358"/>
      <c r="MWF522" s="1358"/>
      <c r="MWG522" s="1358"/>
      <c r="MWH522" s="1358"/>
      <c r="MWI522" s="1358"/>
      <c r="MWJ522" s="1358"/>
      <c r="MWK522" s="1358"/>
      <c r="MWL522" s="1358"/>
      <c r="MWM522" s="1358"/>
      <c r="MWN522" s="1358"/>
      <c r="MWO522" s="1358"/>
      <c r="MWP522" s="1358"/>
      <c r="MWQ522" s="1358"/>
      <c r="MWR522" s="1358"/>
      <c r="MWS522" s="1358"/>
      <c r="MWT522" s="1358"/>
      <c r="MWU522" s="1358"/>
      <c r="MWV522" s="1358"/>
      <c r="MWW522" s="1358"/>
      <c r="MWX522" s="1358"/>
      <c r="MWY522" s="1358"/>
      <c r="MWZ522" s="1358"/>
      <c r="MXA522" s="1358"/>
      <c r="MXB522" s="1358"/>
      <c r="MXC522" s="1358"/>
      <c r="MXD522" s="1358"/>
      <c r="MXE522" s="1358"/>
      <c r="MXF522" s="1358"/>
      <c r="MXG522" s="1358"/>
      <c r="MXH522" s="1358"/>
      <c r="MXI522" s="1358"/>
      <c r="MXJ522" s="1358"/>
      <c r="MXK522" s="1358"/>
      <c r="MXL522" s="1358"/>
      <c r="MXM522" s="1358"/>
      <c r="MXN522" s="1358"/>
      <c r="MXO522" s="1358"/>
      <c r="MXP522" s="1358"/>
      <c r="MXQ522" s="1358"/>
      <c r="MXR522" s="1358"/>
      <c r="MXS522" s="1358"/>
      <c r="MXT522" s="1358"/>
      <c r="MXU522" s="1358"/>
      <c r="MXV522" s="1358"/>
      <c r="MXW522" s="1358"/>
      <c r="MXX522" s="1358"/>
      <c r="MXY522" s="1358"/>
      <c r="MXZ522" s="1358"/>
      <c r="MYA522" s="1358"/>
      <c r="MYB522" s="1358"/>
      <c r="MYC522" s="1358"/>
      <c r="MYD522" s="1358"/>
      <c r="MYE522" s="1358"/>
      <c r="MYF522" s="1358"/>
      <c r="MYG522" s="1358"/>
      <c r="MYH522" s="1358"/>
      <c r="MYI522" s="1358"/>
      <c r="MYJ522" s="1358"/>
      <c r="MYK522" s="1358"/>
      <c r="MYL522" s="1358"/>
      <c r="MYM522" s="1358"/>
      <c r="MYN522" s="1358"/>
      <c r="MYO522" s="1358"/>
      <c r="MYP522" s="1358"/>
      <c r="MYQ522" s="1358"/>
      <c r="MYR522" s="1358"/>
      <c r="MYS522" s="1358"/>
      <c r="MYT522" s="1358"/>
      <c r="MYU522" s="1358"/>
      <c r="MYV522" s="1358"/>
      <c r="MYW522" s="1358"/>
      <c r="MYX522" s="1358"/>
      <c r="MYY522" s="1358"/>
      <c r="MYZ522" s="1358"/>
      <c r="MZA522" s="1358"/>
      <c r="MZB522" s="1358"/>
      <c r="MZC522" s="1358"/>
      <c r="MZD522" s="1358"/>
      <c r="MZE522" s="1358"/>
      <c r="MZF522" s="1358"/>
      <c r="MZG522" s="1358"/>
      <c r="MZH522" s="1358"/>
      <c r="MZI522" s="1358"/>
      <c r="MZJ522" s="1358"/>
      <c r="MZK522" s="1358"/>
      <c r="MZL522" s="1358"/>
      <c r="MZM522" s="1358"/>
      <c r="MZN522" s="1358"/>
      <c r="MZO522" s="1358"/>
      <c r="MZP522" s="1358"/>
      <c r="MZQ522" s="1358"/>
      <c r="MZR522" s="1358"/>
      <c r="MZS522" s="1358"/>
      <c r="MZT522" s="1358"/>
      <c r="MZU522" s="1358"/>
      <c r="MZV522" s="1358"/>
      <c r="MZW522" s="1358"/>
      <c r="MZX522" s="1358"/>
      <c r="MZY522" s="1358"/>
      <c r="MZZ522" s="1358"/>
      <c r="NAA522" s="1358"/>
      <c r="NAB522" s="1358"/>
      <c r="NAC522" s="1358"/>
      <c r="NAD522" s="1358"/>
      <c r="NAE522" s="1358"/>
      <c r="NAF522" s="1358"/>
      <c r="NAG522" s="1358"/>
      <c r="NAH522" s="1358"/>
      <c r="NAI522" s="1358"/>
      <c r="NAJ522" s="1358"/>
      <c r="NAK522" s="1358"/>
      <c r="NAL522" s="1358"/>
      <c r="NAM522" s="1358"/>
      <c r="NAN522" s="1358"/>
      <c r="NAO522" s="1358"/>
      <c r="NAP522" s="1358"/>
      <c r="NAQ522" s="1358"/>
      <c r="NAR522" s="1358"/>
      <c r="NAS522" s="1358"/>
      <c r="NAT522" s="1358"/>
      <c r="NAU522" s="1358"/>
      <c r="NAV522" s="1358"/>
      <c r="NAW522" s="1358"/>
      <c r="NAX522" s="1358"/>
      <c r="NAY522" s="1358"/>
      <c r="NAZ522" s="1358"/>
      <c r="NBA522" s="1358"/>
      <c r="NBB522" s="1358"/>
      <c r="NBC522" s="1358"/>
      <c r="NBD522" s="1358"/>
      <c r="NBE522" s="1358"/>
      <c r="NBF522" s="1358"/>
      <c r="NBG522" s="1358"/>
      <c r="NBH522" s="1358"/>
      <c r="NBI522" s="1358"/>
      <c r="NBJ522" s="1358"/>
      <c r="NBK522" s="1358"/>
      <c r="NBL522" s="1358"/>
      <c r="NBM522" s="1358"/>
      <c r="NBN522" s="1358"/>
      <c r="NBO522" s="1358"/>
      <c r="NBP522" s="1358"/>
      <c r="NBQ522" s="1358"/>
      <c r="NBR522" s="1358"/>
      <c r="NBS522" s="1358"/>
      <c r="NBT522" s="1358"/>
      <c r="NBU522" s="1358"/>
      <c r="NBV522" s="1358"/>
      <c r="NBW522" s="1358"/>
      <c r="NBX522" s="1358"/>
      <c r="NBY522" s="1358"/>
      <c r="NBZ522" s="1358"/>
      <c r="NCA522" s="1358"/>
      <c r="NCB522" s="1358"/>
      <c r="NCC522" s="1358"/>
      <c r="NCD522" s="1358"/>
      <c r="NCE522" s="1358"/>
      <c r="NCF522" s="1358"/>
      <c r="NCG522" s="1358"/>
      <c r="NCH522" s="1358"/>
      <c r="NCI522" s="1358"/>
      <c r="NCJ522" s="1358"/>
      <c r="NCK522" s="1358"/>
      <c r="NCL522" s="1358"/>
      <c r="NCM522" s="1358"/>
      <c r="NCN522" s="1358"/>
      <c r="NCO522" s="1358"/>
      <c r="NCP522" s="1358"/>
      <c r="NCQ522" s="1358"/>
      <c r="NCR522" s="1358"/>
      <c r="NCS522" s="1358"/>
      <c r="NCT522" s="1358"/>
      <c r="NCU522" s="1358"/>
      <c r="NCV522" s="1358"/>
      <c r="NCW522" s="1358"/>
      <c r="NCX522" s="1358"/>
      <c r="NCY522" s="1358"/>
      <c r="NCZ522" s="1358"/>
      <c r="NDA522" s="1358"/>
      <c r="NDB522" s="1358"/>
      <c r="NDC522" s="1358"/>
      <c r="NDD522" s="1358"/>
      <c r="NDE522" s="1358"/>
      <c r="NDF522" s="1358"/>
      <c r="NDG522" s="1358"/>
      <c r="NDH522" s="1358"/>
      <c r="NDI522" s="1358"/>
      <c r="NDJ522" s="1358"/>
      <c r="NDK522" s="1358"/>
      <c r="NDL522" s="1358"/>
      <c r="NDM522" s="1358"/>
      <c r="NDN522" s="1358"/>
      <c r="NDO522" s="1358"/>
      <c r="NDP522" s="1358"/>
      <c r="NDQ522" s="1358"/>
      <c r="NDR522" s="1358"/>
      <c r="NDS522" s="1358"/>
      <c r="NDT522" s="1358"/>
      <c r="NDU522" s="1358"/>
      <c r="NDV522" s="1358"/>
      <c r="NDW522" s="1358"/>
      <c r="NDX522" s="1358"/>
      <c r="NDY522" s="1358"/>
      <c r="NDZ522" s="1358"/>
      <c r="NEA522" s="1358"/>
      <c r="NEB522" s="1358"/>
      <c r="NEC522" s="1358"/>
      <c r="NED522" s="1358"/>
      <c r="NEE522" s="1358"/>
      <c r="NEF522" s="1358"/>
      <c r="NEG522" s="1358"/>
      <c r="NEH522" s="1358"/>
      <c r="NEI522" s="1358"/>
      <c r="NEJ522" s="1358"/>
      <c r="NEK522" s="1358"/>
      <c r="NEL522" s="1358"/>
      <c r="NEM522" s="1358"/>
      <c r="NEN522" s="1358"/>
      <c r="NEO522" s="1358"/>
      <c r="NEP522" s="1358"/>
      <c r="NEQ522" s="1358"/>
      <c r="NER522" s="1358"/>
      <c r="NES522" s="1358"/>
      <c r="NET522" s="1358"/>
      <c r="NEU522" s="1358"/>
      <c r="NEV522" s="1358"/>
      <c r="NEW522" s="1358"/>
      <c r="NEX522" s="1358"/>
      <c r="NEY522" s="1358"/>
      <c r="NEZ522" s="1358"/>
      <c r="NFA522" s="1358"/>
      <c r="NFB522" s="1358"/>
      <c r="NFC522" s="1358"/>
      <c r="NFD522" s="1358"/>
      <c r="NFE522" s="1358"/>
      <c r="NFF522" s="1358"/>
      <c r="NFG522" s="1358"/>
      <c r="NFH522" s="1358"/>
      <c r="NFI522" s="1358"/>
      <c r="NFJ522" s="1358"/>
      <c r="NFK522" s="1358"/>
      <c r="NFL522" s="1358"/>
      <c r="NFM522" s="1358"/>
      <c r="NFN522" s="1358"/>
      <c r="NFO522" s="1358"/>
      <c r="NFP522" s="1358"/>
      <c r="NFQ522" s="1358"/>
      <c r="NFR522" s="1358"/>
      <c r="NFS522" s="1358"/>
      <c r="NFT522" s="1358"/>
      <c r="NFU522" s="1358"/>
      <c r="NFV522" s="1358"/>
      <c r="NFW522" s="1358"/>
      <c r="NFX522" s="1358"/>
      <c r="NFY522" s="1358"/>
      <c r="NFZ522" s="1358"/>
      <c r="NGA522" s="1358"/>
      <c r="NGB522" s="1358"/>
      <c r="NGC522" s="1358"/>
      <c r="NGD522" s="1358"/>
      <c r="NGE522" s="1358"/>
      <c r="NGF522" s="1358"/>
      <c r="NGG522" s="1358"/>
      <c r="NGH522" s="1358"/>
      <c r="NGI522" s="1358"/>
      <c r="NGJ522" s="1358"/>
      <c r="NGK522" s="1358"/>
      <c r="NGL522" s="1358"/>
      <c r="NGM522" s="1358"/>
      <c r="NGN522" s="1358"/>
      <c r="NGO522" s="1358"/>
      <c r="NGP522" s="1358"/>
      <c r="NGQ522" s="1358"/>
      <c r="NGR522" s="1358"/>
      <c r="NGS522" s="1358"/>
      <c r="NGT522" s="1358"/>
      <c r="NGU522" s="1358"/>
      <c r="NGV522" s="1358"/>
      <c r="NGW522" s="1358"/>
      <c r="NGX522" s="1358"/>
      <c r="NGY522" s="1358"/>
      <c r="NGZ522" s="1358"/>
      <c r="NHA522" s="1358"/>
      <c r="NHB522" s="1358"/>
      <c r="NHC522" s="1358"/>
      <c r="NHD522" s="1358"/>
      <c r="NHE522" s="1358"/>
      <c r="NHF522" s="1358"/>
      <c r="NHG522" s="1358"/>
      <c r="NHH522" s="1358"/>
      <c r="NHI522" s="1358"/>
      <c r="NHJ522" s="1358"/>
      <c r="NHK522" s="1358"/>
      <c r="NHL522" s="1358"/>
      <c r="NHM522" s="1358"/>
      <c r="NHN522" s="1358"/>
      <c r="NHO522" s="1358"/>
      <c r="NHP522" s="1358"/>
      <c r="NHQ522" s="1358"/>
      <c r="NHR522" s="1358"/>
      <c r="NHS522" s="1358"/>
      <c r="NHT522" s="1358"/>
      <c r="NHU522" s="1358"/>
      <c r="NHV522" s="1358"/>
      <c r="NHW522" s="1358"/>
      <c r="NHX522" s="1358"/>
      <c r="NHY522" s="1358"/>
      <c r="NHZ522" s="1358"/>
      <c r="NIA522" s="1358"/>
      <c r="NIB522" s="1358"/>
      <c r="NIC522" s="1358"/>
      <c r="NID522" s="1358"/>
      <c r="NIE522" s="1358"/>
      <c r="NIF522" s="1358"/>
      <c r="NIG522" s="1358"/>
      <c r="NIH522" s="1358"/>
      <c r="NII522" s="1358"/>
      <c r="NIJ522" s="1358"/>
      <c r="NIK522" s="1358"/>
      <c r="NIL522" s="1358"/>
      <c r="NIM522" s="1358"/>
      <c r="NIN522" s="1358"/>
      <c r="NIO522" s="1358"/>
      <c r="NIP522" s="1358"/>
      <c r="NIQ522" s="1358"/>
      <c r="NIR522" s="1358"/>
      <c r="NIS522" s="1358"/>
      <c r="NIT522" s="1358"/>
      <c r="NIU522" s="1358"/>
      <c r="NIV522" s="1358"/>
      <c r="NIW522" s="1358"/>
      <c r="NIX522" s="1358"/>
      <c r="NIY522" s="1358"/>
      <c r="NIZ522" s="1358"/>
      <c r="NJA522" s="1358"/>
      <c r="NJB522" s="1358"/>
      <c r="NJC522" s="1358"/>
      <c r="NJD522" s="1358"/>
      <c r="NJE522" s="1358"/>
      <c r="NJF522" s="1358"/>
      <c r="NJG522" s="1358"/>
      <c r="NJH522" s="1358"/>
      <c r="NJI522" s="1358"/>
      <c r="NJJ522" s="1358"/>
      <c r="NJK522" s="1358"/>
      <c r="NJL522" s="1358"/>
      <c r="NJM522" s="1358"/>
      <c r="NJN522" s="1358"/>
      <c r="NJO522" s="1358"/>
      <c r="NJP522" s="1358"/>
      <c r="NJQ522" s="1358"/>
      <c r="NJR522" s="1358"/>
      <c r="NJS522" s="1358"/>
      <c r="NJT522" s="1358"/>
      <c r="NJU522" s="1358"/>
      <c r="NJV522" s="1358"/>
      <c r="NJW522" s="1358"/>
      <c r="NJX522" s="1358"/>
      <c r="NJY522" s="1358"/>
      <c r="NJZ522" s="1358"/>
      <c r="NKA522" s="1358"/>
      <c r="NKB522" s="1358"/>
      <c r="NKC522" s="1358"/>
      <c r="NKD522" s="1358"/>
      <c r="NKE522" s="1358"/>
      <c r="NKF522" s="1358"/>
      <c r="NKG522" s="1358"/>
      <c r="NKH522" s="1358"/>
      <c r="NKI522" s="1358"/>
      <c r="NKJ522" s="1358"/>
      <c r="NKK522" s="1358"/>
      <c r="NKL522" s="1358"/>
      <c r="NKM522" s="1358"/>
      <c r="NKN522" s="1358"/>
      <c r="NKO522" s="1358"/>
      <c r="NKP522" s="1358"/>
      <c r="NKQ522" s="1358"/>
      <c r="NKR522" s="1358"/>
      <c r="NKS522" s="1358"/>
      <c r="NKT522" s="1358"/>
      <c r="NKU522" s="1358"/>
      <c r="NKV522" s="1358"/>
      <c r="NKW522" s="1358"/>
      <c r="NKX522" s="1358"/>
      <c r="NKY522" s="1358"/>
      <c r="NKZ522" s="1358"/>
      <c r="NLA522" s="1358"/>
      <c r="NLB522" s="1358"/>
      <c r="NLC522" s="1358"/>
      <c r="NLD522" s="1358"/>
      <c r="NLE522" s="1358"/>
      <c r="NLF522" s="1358"/>
      <c r="NLG522" s="1358"/>
      <c r="NLH522" s="1358"/>
      <c r="NLI522" s="1358"/>
      <c r="NLJ522" s="1358"/>
      <c r="NLK522" s="1358"/>
      <c r="NLL522" s="1358"/>
      <c r="NLM522" s="1358"/>
      <c r="NLN522" s="1358"/>
      <c r="NLO522" s="1358"/>
      <c r="NLP522" s="1358"/>
      <c r="NLQ522" s="1358"/>
      <c r="NLR522" s="1358"/>
      <c r="NLS522" s="1358"/>
      <c r="NLT522" s="1358"/>
      <c r="NLU522" s="1358"/>
      <c r="NLV522" s="1358"/>
      <c r="NLW522" s="1358"/>
      <c r="NLX522" s="1358"/>
      <c r="NLY522" s="1358"/>
      <c r="NLZ522" s="1358"/>
      <c r="NMA522" s="1358"/>
      <c r="NMB522" s="1358"/>
      <c r="NMC522" s="1358"/>
      <c r="NMD522" s="1358"/>
      <c r="NME522" s="1358"/>
      <c r="NMF522" s="1358"/>
      <c r="NMG522" s="1358"/>
      <c r="NMH522" s="1358"/>
      <c r="NMI522" s="1358"/>
      <c r="NMJ522" s="1358"/>
      <c r="NMK522" s="1358"/>
      <c r="NML522" s="1358"/>
      <c r="NMM522" s="1358"/>
      <c r="NMN522" s="1358"/>
      <c r="NMO522" s="1358"/>
      <c r="NMP522" s="1358"/>
      <c r="NMQ522" s="1358"/>
      <c r="NMR522" s="1358"/>
      <c r="NMS522" s="1358"/>
      <c r="NMT522" s="1358"/>
      <c r="NMU522" s="1358"/>
      <c r="NMV522" s="1358"/>
      <c r="NMW522" s="1358"/>
      <c r="NMX522" s="1358"/>
      <c r="NMY522" s="1358"/>
      <c r="NMZ522" s="1358"/>
      <c r="NNA522" s="1358"/>
      <c r="NNB522" s="1358"/>
      <c r="NNC522" s="1358"/>
      <c r="NND522" s="1358"/>
      <c r="NNE522" s="1358"/>
      <c r="NNF522" s="1358"/>
      <c r="NNG522" s="1358"/>
      <c r="NNH522" s="1358"/>
      <c r="NNI522" s="1358"/>
      <c r="NNJ522" s="1358"/>
      <c r="NNK522" s="1358"/>
      <c r="NNL522" s="1358"/>
      <c r="NNM522" s="1358"/>
      <c r="NNN522" s="1358"/>
      <c r="NNO522" s="1358"/>
      <c r="NNP522" s="1358"/>
      <c r="NNQ522" s="1358"/>
      <c r="NNR522" s="1358"/>
      <c r="NNS522" s="1358"/>
      <c r="NNT522" s="1358"/>
      <c r="NNU522" s="1358"/>
      <c r="NNV522" s="1358"/>
      <c r="NNW522" s="1358"/>
      <c r="NNX522" s="1358"/>
      <c r="NNY522" s="1358"/>
      <c r="NNZ522" s="1358"/>
      <c r="NOA522" s="1358"/>
      <c r="NOB522" s="1358"/>
      <c r="NOC522" s="1358"/>
      <c r="NOD522" s="1358"/>
      <c r="NOE522" s="1358"/>
      <c r="NOF522" s="1358"/>
      <c r="NOG522" s="1358"/>
      <c r="NOH522" s="1358"/>
      <c r="NOI522" s="1358"/>
      <c r="NOJ522" s="1358"/>
      <c r="NOK522" s="1358"/>
      <c r="NOL522" s="1358"/>
      <c r="NOM522" s="1358"/>
      <c r="NON522" s="1358"/>
      <c r="NOO522" s="1358"/>
      <c r="NOP522" s="1358"/>
      <c r="NOQ522" s="1358"/>
      <c r="NOR522" s="1358"/>
      <c r="NOS522" s="1358"/>
      <c r="NOT522" s="1358"/>
      <c r="NOU522" s="1358"/>
      <c r="NOV522" s="1358"/>
      <c r="NOW522" s="1358"/>
      <c r="NOX522" s="1358"/>
      <c r="NOY522" s="1358"/>
      <c r="NOZ522" s="1358"/>
      <c r="NPA522" s="1358"/>
      <c r="NPB522" s="1358"/>
      <c r="NPC522" s="1358"/>
      <c r="NPD522" s="1358"/>
      <c r="NPE522" s="1358"/>
      <c r="NPF522" s="1358"/>
      <c r="NPG522" s="1358"/>
      <c r="NPH522" s="1358"/>
      <c r="NPI522" s="1358"/>
      <c r="NPJ522" s="1358"/>
      <c r="NPK522" s="1358"/>
      <c r="NPL522" s="1358"/>
      <c r="NPM522" s="1358"/>
      <c r="NPN522" s="1358"/>
      <c r="NPO522" s="1358"/>
      <c r="NPP522" s="1358"/>
      <c r="NPQ522" s="1358"/>
      <c r="NPR522" s="1358"/>
      <c r="NPS522" s="1358"/>
      <c r="NPT522" s="1358"/>
      <c r="NPU522" s="1358"/>
      <c r="NPV522" s="1358"/>
      <c r="NPW522" s="1358"/>
      <c r="NPX522" s="1358"/>
      <c r="NPY522" s="1358"/>
      <c r="NPZ522" s="1358"/>
      <c r="NQA522" s="1358"/>
      <c r="NQB522" s="1358"/>
      <c r="NQC522" s="1358"/>
      <c r="NQD522" s="1358"/>
      <c r="NQE522" s="1358"/>
      <c r="NQF522" s="1358"/>
      <c r="NQG522" s="1358"/>
      <c r="NQH522" s="1358"/>
      <c r="NQI522" s="1358"/>
      <c r="NQJ522" s="1358"/>
      <c r="NQK522" s="1358"/>
      <c r="NQL522" s="1358"/>
      <c r="NQM522" s="1358"/>
      <c r="NQN522" s="1358"/>
      <c r="NQO522" s="1358"/>
      <c r="NQP522" s="1358"/>
      <c r="NQQ522" s="1358"/>
      <c r="NQR522" s="1358"/>
      <c r="NQS522" s="1358"/>
      <c r="NQT522" s="1358"/>
      <c r="NQU522" s="1358"/>
      <c r="NQV522" s="1358"/>
      <c r="NQW522" s="1358"/>
      <c r="NQX522" s="1358"/>
      <c r="NQY522" s="1358"/>
      <c r="NQZ522" s="1358"/>
      <c r="NRA522" s="1358"/>
      <c r="NRB522" s="1358"/>
      <c r="NRC522" s="1358"/>
      <c r="NRD522" s="1358"/>
      <c r="NRE522" s="1358"/>
      <c r="NRF522" s="1358"/>
      <c r="NRG522" s="1358"/>
      <c r="NRH522" s="1358"/>
      <c r="NRI522" s="1358"/>
      <c r="NRJ522" s="1358"/>
      <c r="NRK522" s="1358"/>
      <c r="NRL522" s="1358"/>
      <c r="NRM522" s="1358"/>
      <c r="NRN522" s="1358"/>
      <c r="NRO522" s="1358"/>
      <c r="NRP522" s="1358"/>
      <c r="NRQ522" s="1358"/>
      <c r="NRR522" s="1358"/>
      <c r="NRS522" s="1358"/>
      <c r="NRT522" s="1358"/>
      <c r="NRU522" s="1358"/>
      <c r="NRV522" s="1358"/>
      <c r="NRW522" s="1358"/>
      <c r="NRX522" s="1358"/>
      <c r="NRY522" s="1358"/>
      <c r="NRZ522" s="1358"/>
      <c r="NSA522" s="1358"/>
      <c r="NSB522" s="1358"/>
      <c r="NSC522" s="1358"/>
      <c r="NSD522" s="1358"/>
      <c r="NSE522" s="1358"/>
      <c r="NSF522" s="1358"/>
      <c r="NSG522" s="1358"/>
      <c r="NSH522" s="1358"/>
      <c r="NSI522" s="1358"/>
      <c r="NSJ522" s="1358"/>
      <c r="NSK522" s="1358"/>
      <c r="NSL522" s="1358"/>
      <c r="NSM522" s="1358"/>
      <c r="NSN522" s="1358"/>
      <c r="NSO522" s="1358"/>
      <c r="NSP522" s="1358"/>
      <c r="NSQ522" s="1358"/>
      <c r="NSR522" s="1358"/>
      <c r="NSS522" s="1358"/>
      <c r="NST522" s="1358"/>
      <c r="NSU522" s="1358"/>
      <c r="NSV522" s="1358"/>
      <c r="NSW522" s="1358"/>
      <c r="NSX522" s="1358"/>
      <c r="NSY522" s="1358"/>
      <c r="NSZ522" s="1358"/>
      <c r="NTA522" s="1358"/>
      <c r="NTB522" s="1358"/>
      <c r="NTC522" s="1358"/>
      <c r="NTD522" s="1358"/>
      <c r="NTE522" s="1358"/>
      <c r="NTF522" s="1358"/>
      <c r="NTG522" s="1358"/>
      <c r="NTH522" s="1358"/>
      <c r="NTI522" s="1358"/>
      <c r="NTJ522" s="1358"/>
      <c r="NTK522" s="1358"/>
      <c r="NTL522" s="1358"/>
      <c r="NTM522" s="1358"/>
      <c r="NTN522" s="1358"/>
      <c r="NTO522" s="1358"/>
      <c r="NTP522" s="1358"/>
      <c r="NTQ522" s="1358"/>
      <c r="NTR522" s="1358"/>
      <c r="NTS522" s="1358"/>
      <c r="NTT522" s="1358"/>
      <c r="NTU522" s="1358"/>
      <c r="NTV522" s="1358"/>
      <c r="NTW522" s="1358"/>
      <c r="NTX522" s="1358"/>
      <c r="NTY522" s="1358"/>
      <c r="NTZ522" s="1358"/>
      <c r="NUA522" s="1358"/>
      <c r="NUB522" s="1358"/>
      <c r="NUC522" s="1358"/>
      <c r="NUD522" s="1358"/>
      <c r="NUE522" s="1358"/>
      <c r="NUF522" s="1358"/>
      <c r="NUG522" s="1358"/>
      <c r="NUH522" s="1358"/>
      <c r="NUI522" s="1358"/>
      <c r="NUJ522" s="1358"/>
      <c r="NUK522" s="1358"/>
      <c r="NUL522" s="1358"/>
      <c r="NUM522" s="1358"/>
      <c r="NUN522" s="1358"/>
      <c r="NUO522" s="1358"/>
      <c r="NUP522" s="1358"/>
      <c r="NUQ522" s="1358"/>
      <c r="NUR522" s="1358"/>
      <c r="NUS522" s="1358"/>
      <c r="NUT522" s="1358"/>
      <c r="NUU522" s="1358"/>
      <c r="NUV522" s="1358"/>
      <c r="NUW522" s="1358"/>
      <c r="NUX522" s="1358"/>
      <c r="NUY522" s="1358"/>
      <c r="NUZ522" s="1358"/>
      <c r="NVA522" s="1358"/>
      <c r="NVB522" s="1358"/>
      <c r="NVC522" s="1358"/>
      <c r="NVD522" s="1358"/>
      <c r="NVE522" s="1358"/>
      <c r="NVF522" s="1358"/>
      <c r="NVG522" s="1358"/>
      <c r="NVH522" s="1358"/>
      <c r="NVI522" s="1358"/>
      <c r="NVJ522" s="1358"/>
      <c r="NVK522" s="1358"/>
      <c r="NVL522" s="1358"/>
      <c r="NVM522" s="1358"/>
      <c r="NVN522" s="1358"/>
      <c r="NVO522" s="1358"/>
      <c r="NVP522" s="1358"/>
      <c r="NVQ522" s="1358"/>
      <c r="NVR522" s="1358"/>
      <c r="NVS522" s="1358"/>
      <c r="NVT522" s="1358"/>
      <c r="NVU522" s="1358"/>
      <c r="NVV522" s="1358"/>
      <c r="NVW522" s="1358"/>
      <c r="NVX522" s="1358"/>
      <c r="NVY522" s="1358"/>
      <c r="NVZ522" s="1358"/>
      <c r="NWA522" s="1358"/>
      <c r="NWB522" s="1358"/>
      <c r="NWC522" s="1358"/>
      <c r="NWD522" s="1358"/>
      <c r="NWE522" s="1358"/>
      <c r="NWF522" s="1358"/>
      <c r="NWG522" s="1358"/>
      <c r="NWH522" s="1358"/>
      <c r="NWI522" s="1358"/>
      <c r="NWJ522" s="1358"/>
      <c r="NWK522" s="1358"/>
      <c r="NWL522" s="1358"/>
      <c r="NWM522" s="1358"/>
      <c r="NWN522" s="1358"/>
      <c r="NWO522" s="1358"/>
      <c r="NWP522" s="1358"/>
      <c r="NWQ522" s="1358"/>
      <c r="NWR522" s="1358"/>
      <c r="NWS522" s="1358"/>
      <c r="NWT522" s="1358"/>
      <c r="NWU522" s="1358"/>
      <c r="NWV522" s="1358"/>
      <c r="NWW522" s="1358"/>
      <c r="NWX522" s="1358"/>
      <c r="NWY522" s="1358"/>
      <c r="NWZ522" s="1358"/>
      <c r="NXA522" s="1358"/>
      <c r="NXB522" s="1358"/>
      <c r="NXC522" s="1358"/>
      <c r="NXD522" s="1358"/>
      <c r="NXE522" s="1358"/>
      <c r="NXF522" s="1358"/>
      <c r="NXG522" s="1358"/>
      <c r="NXH522" s="1358"/>
      <c r="NXI522" s="1358"/>
      <c r="NXJ522" s="1358"/>
      <c r="NXK522" s="1358"/>
      <c r="NXL522" s="1358"/>
      <c r="NXM522" s="1358"/>
      <c r="NXN522" s="1358"/>
      <c r="NXO522" s="1358"/>
      <c r="NXP522" s="1358"/>
      <c r="NXQ522" s="1358"/>
      <c r="NXR522" s="1358"/>
      <c r="NXS522" s="1358"/>
      <c r="NXT522" s="1358"/>
      <c r="NXU522" s="1358"/>
      <c r="NXV522" s="1358"/>
      <c r="NXW522" s="1358"/>
      <c r="NXX522" s="1358"/>
      <c r="NXY522" s="1358"/>
      <c r="NXZ522" s="1358"/>
      <c r="NYA522" s="1358"/>
      <c r="NYB522" s="1358"/>
      <c r="NYC522" s="1358"/>
      <c r="NYD522" s="1358"/>
      <c r="NYE522" s="1358"/>
      <c r="NYF522" s="1358"/>
      <c r="NYG522" s="1358"/>
      <c r="NYH522" s="1358"/>
      <c r="NYI522" s="1358"/>
      <c r="NYJ522" s="1358"/>
      <c r="NYK522" s="1358"/>
      <c r="NYL522" s="1358"/>
      <c r="NYM522" s="1358"/>
      <c r="NYN522" s="1358"/>
      <c r="NYO522" s="1358"/>
      <c r="NYP522" s="1358"/>
      <c r="NYQ522" s="1358"/>
      <c r="NYR522" s="1358"/>
      <c r="NYS522" s="1358"/>
      <c r="NYT522" s="1358"/>
      <c r="NYU522" s="1358"/>
      <c r="NYV522" s="1358"/>
      <c r="NYW522" s="1358"/>
      <c r="NYX522" s="1358"/>
      <c r="NYY522" s="1358"/>
      <c r="NYZ522" s="1358"/>
      <c r="NZA522" s="1358"/>
      <c r="NZB522" s="1358"/>
      <c r="NZC522" s="1358"/>
      <c r="NZD522" s="1358"/>
      <c r="NZE522" s="1358"/>
      <c r="NZF522" s="1358"/>
      <c r="NZG522" s="1358"/>
      <c r="NZH522" s="1358"/>
      <c r="NZI522" s="1358"/>
      <c r="NZJ522" s="1358"/>
      <c r="NZK522" s="1358"/>
      <c r="NZL522" s="1358"/>
      <c r="NZM522" s="1358"/>
      <c r="NZN522" s="1358"/>
      <c r="NZO522" s="1358"/>
      <c r="NZP522" s="1358"/>
      <c r="NZQ522" s="1358"/>
      <c r="NZR522" s="1358"/>
      <c r="NZS522" s="1358"/>
      <c r="NZT522" s="1358"/>
      <c r="NZU522" s="1358"/>
      <c r="NZV522" s="1358"/>
      <c r="NZW522" s="1358"/>
      <c r="NZX522" s="1358"/>
      <c r="NZY522" s="1358"/>
      <c r="NZZ522" s="1358"/>
      <c r="OAA522" s="1358"/>
      <c r="OAB522" s="1358"/>
      <c r="OAC522" s="1358"/>
      <c r="OAD522" s="1358"/>
      <c r="OAE522" s="1358"/>
      <c r="OAF522" s="1358"/>
      <c r="OAG522" s="1358"/>
      <c r="OAH522" s="1358"/>
      <c r="OAI522" s="1358"/>
      <c r="OAJ522" s="1358"/>
      <c r="OAK522" s="1358"/>
      <c r="OAL522" s="1358"/>
      <c r="OAM522" s="1358"/>
      <c r="OAN522" s="1358"/>
      <c r="OAO522" s="1358"/>
      <c r="OAP522" s="1358"/>
      <c r="OAQ522" s="1358"/>
      <c r="OAR522" s="1358"/>
      <c r="OAS522" s="1358"/>
      <c r="OAT522" s="1358"/>
      <c r="OAU522" s="1358"/>
      <c r="OAV522" s="1358"/>
      <c r="OAW522" s="1358"/>
      <c r="OAX522" s="1358"/>
      <c r="OAY522" s="1358"/>
      <c r="OAZ522" s="1358"/>
      <c r="OBA522" s="1358"/>
      <c r="OBB522" s="1358"/>
      <c r="OBC522" s="1358"/>
      <c r="OBD522" s="1358"/>
      <c r="OBE522" s="1358"/>
      <c r="OBF522" s="1358"/>
      <c r="OBG522" s="1358"/>
      <c r="OBH522" s="1358"/>
      <c r="OBI522" s="1358"/>
      <c r="OBJ522" s="1358"/>
      <c r="OBK522" s="1358"/>
      <c r="OBL522" s="1358"/>
      <c r="OBM522" s="1358"/>
      <c r="OBN522" s="1358"/>
      <c r="OBO522" s="1358"/>
      <c r="OBP522" s="1358"/>
      <c r="OBQ522" s="1358"/>
      <c r="OBR522" s="1358"/>
      <c r="OBS522" s="1358"/>
      <c r="OBT522" s="1358"/>
      <c r="OBU522" s="1358"/>
      <c r="OBV522" s="1358"/>
      <c r="OBW522" s="1358"/>
      <c r="OBX522" s="1358"/>
      <c r="OBY522" s="1358"/>
      <c r="OBZ522" s="1358"/>
      <c r="OCA522" s="1358"/>
      <c r="OCB522" s="1358"/>
      <c r="OCC522" s="1358"/>
      <c r="OCD522" s="1358"/>
      <c r="OCE522" s="1358"/>
      <c r="OCF522" s="1358"/>
      <c r="OCG522" s="1358"/>
      <c r="OCH522" s="1358"/>
      <c r="OCI522" s="1358"/>
      <c r="OCJ522" s="1358"/>
      <c r="OCK522" s="1358"/>
      <c r="OCL522" s="1358"/>
      <c r="OCM522" s="1358"/>
      <c r="OCN522" s="1358"/>
      <c r="OCO522" s="1358"/>
      <c r="OCP522" s="1358"/>
      <c r="OCQ522" s="1358"/>
      <c r="OCR522" s="1358"/>
      <c r="OCS522" s="1358"/>
      <c r="OCT522" s="1358"/>
      <c r="OCU522" s="1358"/>
      <c r="OCV522" s="1358"/>
      <c r="OCW522" s="1358"/>
      <c r="OCX522" s="1358"/>
      <c r="OCY522" s="1358"/>
      <c r="OCZ522" s="1358"/>
      <c r="ODA522" s="1358"/>
      <c r="ODB522" s="1358"/>
      <c r="ODC522" s="1358"/>
      <c r="ODD522" s="1358"/>
      <c r="ODE522" s="1358"/>
      <c r="ODF522" s="1358"/>
      <c r="ODG522" s="1358"/>
      <c r="ODH522" s="1358"/>
      <c r="ODI522" s="1358"/>
      <c r="ODJ522" s="1358"/>
      <c r="ODK522" s="1358"/>
      <c r="ODL522" s="1358"/>
      <c r="ODM522" s="1358"/>
      <c r="ODN522" s="1358"/>
      <c r="ODO522" s="1358"/>
      <c r="ODP522" s="1358"/>
      <c r="ODQ522" s="1358"/>
      <c r="ODR522" s="1358"/>
      <c r="ODS522" s="1358"/>
      <c r="ODT522" s="1358"/>
      <c r="ODU522" s="1358"/>
      <c r="ODV522" s="1358"/>
      <c r="ODW522" s="1358"/>
      <c r="ODX522" s="1358"/>
      <c r="ODY522" s="1358"/>
      <c r="ODZ522" s="1358"/>
      <c r="OEA522" s="1358"/>
      <c r="OEB522" s="1358"/>
      <c r="OEC522" s="1358"/>
      <c r="OED522" s="1358"/>
      <c r="OEE522" s="1358"/>
      <c r="OEF522" s="1358"/>
      <c r="OEG522" s="1358"/>
      <c r="OEH522" s="1358"/>
      <c r="OEI522" s="1358"/>
      <c r="OEJ522" s="1358"/>
      <c r="OEK522" s="1358"/>
      <c r="OEL522" s="1358"/>
      <c r="OEM522" s="1358"/>
      <c r="OEN522" s="1358"/>
      <c r="OEO522" s="1358"/>
      <c r="OEP522" s="1358"/>
      <c r="OEQ522" s="1358"/>
      <c r="OER522" s="1358"/>
      <c r="OES522" s="1358"/>
      <c r="OET522" s="1358"/>
      <c r="OEU522" s="1358"/>
      <c r="OEV522" s="1358"/>
      <c r="OEW522" s="1358"/>
      <c r="OEX522" s="1358"/>
      <c r="OEY522" s="1358"/>
      <c r="OEZ522" s="1358"/>
      <c r="OFA522" s="1358"/>
      <c r="OFB522" s="1358"/>
      <c r="OFC522" s="1358"/>
      <c r="OFD522" s="1358"/>
      <c r="OFE522" s="1358"/>
      <c r="OFF522" s="1358"/>
      <c r="OFG522" s="1358"/>
      <c r="OFH522" s="1358"/>
      <c r="OFI522" s="1358"/>
      <c r="OFJ522" s="1358"/>
      <c r="OFK522" s="1358"/>
      <c r="OFL522" s="1358"/>
      <c r="OFM522" s="1358"/>
      <c r="OFN522" s="1358"/>
      <c r="OFO522" s="1358"/>
      <c r="OFP522" s="1358"/>
      <c r="OFQ522" s="1358"/>
      <c r="OFR522" s="1358"/>
      <c r="OFS522" s="1358"/>
      <c r="OFT522" s="1358"/>
      <c r="OFU522" s="1358"/>
      <c r="OFV522" s="1358"/>
      <c r="OFW522" s="1358"/>
      <c r="OFX522" s="1358"/>
      <c r="OFY522" s="1358"/>
      <c r="OFZ522" s="1358"/>
      <c r="OGA522" s="1358"/>
      <c r="OGB522" s="1358"/>
      <c r="OGC522" s="1358"/>
      <c r="OGD522" s="1358"/>
      <c r="OGE522" s="1358"/>
      <c r="OGF522" s="1358"/>
      <c r="OGG522" s="1358"/>
      <c r="OGH522" s="1358"/>
      <c r="OGI522" s="1358"/>
      <c r="OGJ522" s="1358"/>
      <c r="OGK522" s="1358"/>
      <c r="OGL522" s="1358"/>
      <c r="OGM522" s="1358"/>
      <c r="OGN522" s="1358"/>
      <c r="OGO522" s="1358"/>
      <c r="OGP522" s="1358"/>
      <c r="OGQ522" s="1358"/>
      <c r="OGR522" s="1358"/>
      <c r="OGS522" s="1358"/>
      <c r="OGT522" s="1358"/>
      <c r="OGU522" s="1358"/>
      <c r="OGV522" s="1358"/>
      <c r="OGW522" s="1358"/>
      <c r="OGX522" s="1358"/>
      <c r="OGY522" s="1358"/>
      <c r="OGZ522" s="1358"/>
      <c r="OHA522" s="1358"/>
      <c r="OHB522" s="1358"/>
      <c r="OHC522" s="1358"/>
      <c r="OHD522" s="1358"/>
      <c r="OHE522" s="1358"/>
      <c r="OHF522" s="1358"/>
      <c r="OHG522" s="1358"/>
      <c r="OHH522" s="1358"/>
      <c r="OHI522" s="1358"/>
      <c r="OHJ522" s="1358"/>
      <c r="OHK522" s="1358"/>
      <c r="OHL522" s="1358"/>
      <c r="OHM522" s="1358"/>
      <c r="OHN522" s="1358"/>
      <c r="OHO522" s="1358"/>
      <c r="OHP522" s="1358"/>
      <c r="OHQ522" s="1358"/>
      <c r="OHR522" s="1358"/>
      <c r="OHS522" s="1358"/>
      <c r="OHT522" s="1358"/>
      <c r="OHU522" s="1358"/>
      <c r="OHV522" s="1358"/>
      <c r="OHW522" s="1358"/>
      <c r="OHX522" s="1358"/>
      <c r="OHY522" s="1358"/>
      <c r="OHZ522" s="1358"/>
      <c r="OIA522" s="1358"/>
      <c r="OIB522" s="1358"/>
      <c r="OIC522" s="1358"/>
      <c r="OID522" s="1358"/>
      <c r="OIE522" s="1358"/>
      <c r="OIF522" s="1358"/>
      <c r="OIG522" s="1358"/>
      <c r="OIH522" s="1358"/>
      <c r="OII522" s="1358"/>
      <c r="OIJ522" s="1358"/>
      <c r="OIK522" s="1358"/>
      <c r="OIL522" s="1358"/>
      <c r="OIM522" s="1358"/>
      <c r="OIN522" s="1358"/>
      <c r="OIO522" s="1358"/>
      <c r="OIP522" s="1358"/>
      <c r="OIQ522" s="1358"/>
      <c r="OIR522" s="1358"/>
      <c r="OIS522" s="1358"/>
      <c r="OIT522" s="1358"/>
      <c r="OIU522" s="1358"/>
      <c r="OIV522" s="1358"/>
      <c r="OIW522" s="1358"/>
      <c r="OIX522" s="1358"/>
      <c r="OIY522" s="1358"/>
      <c r="OIZ522" s="1358"/>
      <c r="OJA522" s="1358"/>
      <c r="OJB522" s="1358"/>
      <c r="OJC522" s="1358"/>
      <c r="OJD522" s="1358"/>
      <c r="OJE522" s="1358"/>
      <c r="OJF522" s="1358"/>
      <c r="OJG522" s="1358"/>
      <c r="OJH522" s="1358"/>
      <c r="OJI522" s="1358"/>
      <c r="OJJ522" s="1358"/>
      <c r="OJK522" s="1358"/>
      <c r="OJL522" s="1358"/>
      <c r="OJM522" s="1358"/>
      <c r="OJN522" s="1358"/>
      <c r="OJO522" s="1358"/>
      <c r="OJP522" s="1358"/>
      <c r="OJQ522" s="1358"/>
      <c r="OJR522" s="1358"/>
      <c r="OJS522" s="1358"/>
      <c r="OJT522" s="1358"/>
      <c r="OJU522" s="1358"/>
      <c r="OJV522" s="1358"/>
      <c r="OJW522" s="1358"/>
      <c r="OJX522" s="1358"/>
      <c r="OJY522" s="1358"/>
      <c r="OJZ522" s="1358"/>
      <c r="OKA522" s="1358"/>
      <c r="OKB522" s="1358"/>
      <c r="OKC522" s="1358"/>
      <c r="OKD522" s="1358"/>
      <c r="OKE522" s="1358"/>
      <c r="OKF522" s="1358"/>
      <c r="OKG522" s="1358"/>
      <c r="OKH522" s="1358"/>
      <c r="OKI522" s="1358"/>
      <c r="OKJ522" s="1358"/>
      <c r="OKK522" s="1358"/>
      <c r="OKL522" s="1358"/>
      <c r="OKM522" s="1358"/>
      <c r="OKN522" s="1358"/>
      <c r="OKO522" s="1358"/>
      <c r="OKP522" s="1358"/>
      <c r="OKQ522" s="1358"/>
      <c r="OKR522" s="1358"/>
      <c r="OKS522" s="1358"/>
      <c r="OKT522" s="1358"/>
      <c r="OKU522" s="1358"/>
      <c r="OKV522" s="1358"/>
      <c r="OKW522" s="1358"/>
      <c r="OKX522" s="1358"/>
      <c r="OKY522" s="1358"/>
      <c r="OKZ522" s="1358"/>
      <c r="OLA522" s="1358"/>
      <c r="OLB522" s="1358"/>
      <c r="OLC522" s="1358"/>
      <c r="OLD522" s="1358"/>
      <c r="OLE522" s="1358"/>
      <c r="OLF522" s="1358"/>
      <c r="OLG522" s="1358"/>
      <c r="OLH522" s="1358"/>
      <c r="OLI522" s="1358"/>
      <c r="OLJ522" s="1358"/>
      <c r="OLK522" s="1358"/>
      <c r="OLL522" s="1358"/>
      <c r="OLM522" s="1358"/>
      <c r="OLN522" s="1358"/>
      <c r="OLO522" s="1358"/>
      <c r="OLP522" s="1358"/>
      <c r="OLQ522" s="1358"/>
      <c r="OLR522" s="1358"/>
      <c r="OLS522" s="1358"/>
      <c r="OLT522" s="1358"/>
      <c r="OLU522" s="1358"/>
      <c r="OLV522" s="1358"/>
      <c r="OLW522" s="1358"/>
      <c r="OLX522" s="1358"/>
      <c r="OLY522" s="1358"/>
      <c r="OLZ522" s="1358"/>
      <c r="OMA522" s="1358"/>
      <c r="OMB522" s="1358"/>
      <c r="OMC522" s="1358"/>
      <c r="OMD522" s="1358"/>
      <c r="OME522" s="1358"/>
      <c r="OMF522" s="1358"/>
      <c r="OMG522" s="1358"/>
      <c r="OMH522" s="1358"/>
      <c r="OMI522" s="1358"/>
      <c r="OMJ522" s="1358"/>
      <c r="OMK522" s="1358"/>
      <c r="OML522" s="1358"/>
      <c r="OMM522" s="1358"/>
      <c r="OMN522" s="1358"/>
      <c r="OMO522" s="1358"/>
      <c r="OMP522" s="1358"/>
      <c r="OMQ522" s="1358"/>
      <c r="OMR522" s="1358"/>
      <c r="OMS522" s="1358"/>
      <c r="OMT522" s="1358"/>
      <c r="OMU522" s="1358"/>
      <c r="OMV522" s="1358"/>
      <c r="OMW522" s="1358"/>
      <c r="OMX522" s="1358"/>
      <c r="OMY522" s="1358"/>
      <c r="OMZ522" s="1358"/>
      <c r="ONA522" s="1358"/>
      <c r="ONB522" s="1358"/>
      <c r="ONC522" s="1358"/>
      <c r="OND522" s="1358"/>
      <c r="ONE522" s="1358"/>
      <c r="ONF522" s="1358"/>
      <c r="ONG522" s="1358"/>
      <c r="ONH522" s="1358"/>
      <c r="ONI522" s="1358"/>
      <c r="ONJ522" s="1358"/>
      <c r="ONK522" s="1358"/>
      <c r="ONL522" s="1358"/>
      <c r="ONM522" s="1358"/>
      <c r="ONN522" s="1358"/>
      <c r="ONO522" s="1358"/>
      <c r="ONP522" s="1358"/>
      <c r="ONQ522" s="1358"/>
      <c r="ONR522" s="1358"/>
      <c r="ONS522" s="1358"/>
      <c r="ONT522" s="1358"/>
      <c r="ONU522" s="1358"/>
      <c r="ONV522" s="1358"/>
      <c r="ONW522" s="1358"/>
      <c r="ONX522" s="1358"/>
      <c r="ONY522" s="1358"/>
      <c r="ONZ522" s="1358"/>
      <c r="OOA522" s="1358"/>
      <c r="OOB522" s="1358"/>
      <c r="OOC522" s="1358"/>
      <c r="OOD522" s="1358"/>
      <c r="OOE522" s="1358"/>
      <c r="OOF522" s="1358"/>
      <c r="OOG522" s="1358"/>
      <c r="OOH522" s="1358"/>
      <c r="OOI522" s="1358"/>
      <c r="OOJ522" s="1358"/>
      <c r="OOK522" s="1358"/>
      <c r="OOL522" s="1358"/>
      <c r="OOM522" s="1358"/>
      <c r="OON522" s="1358"/>
      <c r="OOO522" s="1358"/>
      <c r="OOP522" s="1358"/>
      <c r="OOQ522" s="1358"/>
      <c r="OOR522" s="1358"/>
      <c r="OOS522" s="1358"/>
      <c r="OOT522" s="1358"/>
      <c r="OOU522" s="1358"/>
      <c r="OOV522" s="1358"/>
      <c r="OOW522" s="1358"/>
      <c r="OOX522" s="1358"/>
      <c r="OOY522" s="1358"/>
      <c r="OOZ522" s="1358"/>
      <c r="OPA522" s="1358"/>
      <c r="OPB522" s="1358"/>
      <c r="OPC522" s="1358"/>
      <c r="OPD522" s="1358"/>
      <c r="OPE522" s="1358"/>
      <c r="OPF522" s="1358"/>
      <c r="OPG522" s="1358"/>
      <c r="OPH522" s="1358"/>
      <c r="OPI522" s="1358"/>
      <c r="OPJ522" s="1358"/>
      <c r="OPK522" s="1358"/>
      <c r="OPL522" s="1358"/>
      <c r="OPM522" s="1358"/>
      <c r="OPN522" s="1358"/>
      <c r="OPO522" s="1358"/>
      <c r="OPP522" s="1358"/>
      <c r="OPQ522" s="1358"/>
      <c r="OPR522" s="1358"/>
      <c r="OPS522" s="1358"/>
      <c r="OPT522" s="1358"/>
      <c r="OPU522" s="1358"/>
      <c r="OPV522" s="1358"/>
      <c r="OPW522" s="1358"/>
      <c r="OPX522" s="1358"/>
      <c r="OPY522" s="1358"/>
      <c r="OPZ522" s="1358"/>
      <c r="OQA522" s="1358"/>
      <c r="OQB522" s="1358"/>
      <c r="OQC522" s="1358"/>
      <c r="OQD522" s="1358"/>
      <c r="OQE522" s="1358"/>
      <c r="OQF522" s="1358"/>
      <c r="OQG522" s="1358"/>
      <c r="OQH522" s="1358"/>
      <c r="OQI522" s="1358"/>
      <c r="OQJ522" s="1358"/>
      <c r="OQK522" s="1358"/>
      <c r="OQL522" s="1358"/>
      <c r="OQM522" s="1358"/>
      <c r="OQN522" s="1358"/>
      <c r="OQO522" s="1358"/>
      <c r="OQP522" s="1358"/>
      <c r="OQQ522" s="1358"/>
      <c r="OQR522" s="1358"/>
      <c r="OQS522" s="1358"/>
      <c r="OQT522" s="1358"/>
      <c r="OQU522" s="1358"/>
      <c r="OQV522" s="1358"/>
      <c r="OQW522" s="1358"/>
      <c r="OQX522" s="1358"/>
      <c r="OQY522" s="1358"/>
      <c r="OQZ522" s="1358"/>
      <c r="ORA522" s="1358"/>
      <c r="ORB522" s="1358"/>
      <c r="ORC522" s="1358"/>
      <c r="ORD522" s="1358"/>
      <c r="ORE522" s="1358"/>
      <c r="ORF522" s="1358"/>
      <c r="ORG522" s="1358"/>
      <c r="ORH522" s="1358"/>
      <c r="ORI522" s="1358"/>
      <c r="ORJ522" s="1358"/>
      <c r="ORK522" s="1358"/>
      <c r="ORL522" s="1358"/>
      <c r="ORM522" s="1358"/>
      <c r="ORN522" s="1358"/>
      <c r="ORO522" s="1358"/>
      <c r="ORP522" s="1358"/>
      <c r="ORQ522" s="1358"/>
      <c r="ORR522" s="1358"/>
      <c r="ORS522" s="1358"/>
      <c r="ORT522" s="1358"/>
      <c r="ORU522" s="1358"/>
      <c r="ORV522" s="1358"/>
      <c r="ORW522" s="1358"/>
      <c r="ORX522" s="1358"/>
      <c r="ORY522" s="1358"/>
      <c r="ORZ522" s="1358"/>
      <c r="OSA522" s="1358"/>
      <c r="OSB522" s="1358"/>
      <c r="OSC522" s="1358"/>
      <c r="OSD522" s="1358"/>
      <c r="OSE522" s="1358"/>
      <c r="OSF522" s="1358"/>
      <c r="OSG522" s="1358"/>
      <c r="OSH522" s="1358"/>
      <c r="OSI522" s="1358"/>
      <c r="OSJ522" s="1358"/>
      <c r="OSK522" s="1358"/>
      <c r="OSL522" s="1358"/>
      <c r="OSM522" s="1358"/>
      <c r="OSN522" s="1358"/>
      <c r="OSO522" s="1358"/>
      <c r="OSP522" s="1358"/>
      <c r="OSQ522" s="1358"/>
      <c r="OSR522" s="1358"/>
      <c r="OSS522" s="1358"/>
      <c r="OST522" s="1358"/>
      <c r="OSU522" s="1358"/>
      <c r="OSV522" s="1358"/>
      <c r="OSW522" s="1358"/>
      <c r="OSX522" s="1358"/>
      <c r="OSY522" s="1358"/>
      <c r="OSZ522" s="1358"/>
      <c r="OTA522" s="1358"/>
      <c r="OTB522" s="1358"/>
      <c r="OTC522" s="1358"/>
      <c r="OTD522" s="1358"/>
      <c r="OTE522" s="1358"/>
      <c r="OTF522" s="1358"/>
      <c r="OTG522" s="1358"/>
      <c r="OTH522" s="1358"/>
      <c r="OTI522" s="1358"/>
      <c r="OTJ522" s="1358"/>
      <c r="OTK522" s="1358"/>
      <c r="OTL522" s="1358"/>
      <c r="OTM522" s="1358"/>
      <c r="OTN522" s="1358"/>
      <c r="OTO522" s="1358"/>
      <c r="OTP522" s="1358"/>
      <c r="OTQ522" s="1358"/>
      <c r="OTR522" s="1358"/>
      <c r="OTS522" s="1358"/>
      <c r="OTT522" s="1358"/>
      <c r="OTU522" s="1358"/>
      <c r="OTV522" s="1358"/>
      <c r="OTW522" s="1358"/>
      <c r="OTX522" s="1358"/>
      <c r="OTY522" s="1358"/>
      <c r="OTZ522" s="1358"/>
      <c r="OUA522" s="1358"/>
      <c r="OUB522" s="1358"/>
      <c r="OUC522" s="1358"/>
      <c r="OUD522" s="1358"/>
      <c r="OUE522" s="1358"/>
      <c r="OUF522" s="1358"/>
      <c r="OUG522" s="1358"/>
      <c r="OUH522" s="1358"/>
      <c r="OUI522" s="1358"/>
      <c r="OUJ522" s="1358"/>
      <c r="OUK522" s="1358"/>
      <c r="OUL522" s="1358"/>
      <c r="OUM522" s="1358"/>
      <c r="OUN522" s="1358"/>
      <c r="OUO522" s="1358"/>
      <c r="OUP522" s="1358"/>
      <c r="OUQ522" s="1358"/>
      <c r="OUR522" s="1358"/>
      <c r="OUS522" s="1358"/>
      <c r="OUT522" s="1358"/>
      <c r="OUU522" s="1358"/>
      <c r="OUV522" s="1358"/>
      <c r="OUW522" s="1358"/>
      <c r="OUX522" s="1358"/>
      <c r="OUY522" s="1358"/>
      <c r="OUZ522" s="1358"/>
      <c r="OVA522" s="1358"/>
      <c r="OVB522" s="1358"/>
      <c r="OVC522" s="1358"/>
      <c r="OVD522" s="1358"/>
      <c r="OVE522" s="1358"/>
      <c r="OVF522" s="1358"/>
      <c r="OVG522" s="1358"/>
      <c r="OVH522" s="1358"/>
      <c r="OVI522" s="1358"/>
      <c r="OVJ522" s="1358"/>
      <c r="OVK522" s="1358"/>
      <c r="OVL522" s="1358"/>
      <c r="OVM522" s="1358"/>
      <c r="OVN522" s="1358"/>
      <c r="OVO522" s="1358"/>
      <c r="OVP522" s="1358"/>
      <c r="OVQ522" s="1358"/>
      <c r="OVR522" s="1358"/>
      <c r="OVS522" s="1358"/>
      <c r="OVT522" s="1358"/>
      <c r="OVU522" s="1358"/>
      <c r="OVV522" s="1358"/>
      <c r="OVW522" s="1358"/>
      <c r="OVX522" s="1358"/>
      <c r="OVY522" s="1358"/>
      <c r="OVZ522" s="1358"/>
      <c r="OWA522" s="1358"/>
      <c r="OWB522" s="1358"/>
      <c r="OWC522" s="1358"/>
      <c r="OWD522" s="1358"/>
      <c r="OWE522" s="1358"/>
      <c r="OWF522" s="1358"/>
      <c r="OWG522" s="1358"/>
      <c r="OWH522" s="1358"/>
      <c r="OWI522" s="1358"/>
      <c r="OWJ522" s="1358"/>
      <c r="OWK522" s="1358"/>
      <c r="OWL522" s="1358"/>
      <c r="OWM522" s="1358"/>
      <c r="OWN522" s="1358"/>
      <c r="OWO522" s="1358"/>
      <c r="OWP522" s="1358"/>
      <c r="OWQ522" s="1358"/>
      <c r="OWR522" s="1358"/>
      <c r="OWS522" s="1358"/>
      <c r="OWT522" s="1358"/>
      <c r="OWU522" s="1358"/>
      <c r="OWV522" s="1358"/>
      <c r="OWW522" s="1358"/>
      <c r="OWX522" s="1358"/>
      <c r="OWY522" s="1358"/>
      <c r="OWZ522" s="1358"/>
      <c r="OXA522" s="1358"/>
      <c r="OXB522" s="1358"/>
      <c r="OXC522" s="1358"/>
      <c r="OXD522" s="1358"/>
      <c r="OXE522" s="1358"/>
      <c r="OXF522" s="1358"/>
      <c r="OXG522" s="1358"/>
      <c r="OXH522" s="1358"/>
      <c r="OXI522" s="1358"/>
      <c r="OXJ522" s="1358"/>
      <c r="OXK522" s="1358"/>
      <c r="OXL522" s="1358"/>
      <c r="OXM522" s="1358"/>
      <c r="OXN522" s="1358"/>
      <c r="OXO522" s="1358"/>
      <c r="OXP522" s="1358"/>
      <c r="OXQ522" s="1358"/>
      <c r="OXR522" s="1358"/>
      <c r="OXS522" s="1358"/>
      <c r="OXT522" s="1358"/>
      <c r="OXU522" s="1358"/>
      <c r="OXV522" s="1358"/>
      <c r="OXW522" s="1358"/>
      <c r="OXX522" s="1358"/>
      <c r="OXY522" s="1358"/>
      <c r="OXZ522" s="1358"/>
      <c r="OYA522" s="1358"/>
      <c r="OYB522" s="1358"/>
      <c r="OYC522" s="1358"/>
      <c r="OYD522" s="1358"/>
      <c r="OYE522" s="1358"/>
      <c r="OYF522" s="1358"/>
      <c r="OYG522" s="1358"/>
      <c r="OYH522" s="1358"/>
      <c r="OYI522" s="1358"/>
      <c r="OYJ522" s="1358"/>
      <c r="OYK522" s="1358"/>
      <c r="OYL522" s="1358"/>
      <c r="OYM522" s="1358"/>
      <c r="OYN522" s="1358"/>
      <c r="OYO522" s="1358"/>
      <c r="OYP522" s="1358"/>
      <c r="OYQ522" s="1358"/>
      <c r="OYR522" s="1358"/>
      <c r="OYS522" s="1358"/>
      <c r="OYT522" s="1358"/>
      <c r="OYU522" s="1358"/>
      <c r="OYV522" s="1358"/>
      <c r="OYW522" s="1358"/>
      <c r="OYX522" s="1358"/>
      <c r="OYY522" s="1358"/>
      <c r="OYZ522" s="1358"/>
      <c r="OZA522" s="1358"/>
      <c r="OZB522" s="1358"/>
      <c r="OZC522" s="1358"/>
      <c r="OZD522" s="1358"/>
      <c r="OZE522" s="1358"/>
      <c r="OZF522" s="1358"/>
      <c r="OZG522" s="1358"/>
      <c r="OZH522" s="1358"/>
      <c r="OZI522" s="1358"/>
      <c r="OZJ522" s="1358"/>
      <c r="OZK522" s="1358"/>
      <c r="OZL522" s="1358"/>
      <c r="OZM522" s="1358"/>
      <c r="OZN522" s="1358"/>
      <c r="OZO522" s="1358"/>
      <c r="OZP522" s="1358"/>
      <c r="OZQ522" s="1358"/>
      <c r="OZR522" s="1358"/>
      <c r="OZS522" s="1358"/>
      <c r="OZT522" s="1358"/>
      <c r="OZU522" s="1358"/>
      <c r="OZV522" s="1358"/>
      <c r="OZW522" s="1358"/>
      <c r="OZX522" s="1358"/>
      <c r="OZY522" s="1358"/>
      <c r="OZZ522" s="1358"/>
      <c r="PAA522" s="1358"/>
      <c r="PAB522" s="1358"/>
      <c r="PAC522" s="1358"/>
      <c r="PAD522" s="1358"/>
      <c r="PAE522" s="1358"/>
      <c r="PAF522" s="1358"/>
      <c r="PAG522" s="1358"/>
      <c r="PAH522" s="1358"/>
      <c r="PAI522" s="1358"/>
      <c r="PAJ522" s="1358"/>
      <c r="PAK522" s="1358"/>
      <c r="PAL522" s="1358"/>
      <c r="PAM522" s="1358"/>
      <c r="PAN522" s="1358"/>
      <c r="PAO522" s="1358"/>
      <c r="PAP522" s="1358"/>
      <c r="PAQ522" s="1358"/>
      <c r="PAR522" s="1358"/>
      <c r="PAS522" s="1358"/>
      <c r="PAT522" s="1358"/>
      <c r="PAU522" s="1358"/>
      <c r="PAV522" s="1358"/>
      <c r="PAW522" s="1358"/>
      <c r="PAX522" s="1358"/>
      <c r="PAY522" s="1358"/>
      <c r="PAZ522" s="1358"/>
      <c r="PBA522" s="1358"/>
      <c r="PBB522" s="1358"/>
      <c r="PBC522" s="1358"/>
      <c r="PBD522" s="1358"/>
      <c r="PBE522" s="1358"/>
      <c r="PBF522" s="1358"/>
      <c r="PBG522" s="1358"/>
      <c r="PBH522" s="1358"/>
      <c r="PBI522" s="1358"/>
      <c r="PBJ522" s="1358"/>
      <c r="PBK522" s="1358"/>
      <c r="PBL522" s="1358"/>
      <c r="PBM522" s="1358"/>
      <c r="PBN522" s="1358"/>
      <c r="PBO522" s="1358"/>
      <c r="PBP522" s="1358"/>
      <c r="PBQ522" s="1358"/>
      <c r="PBR522" s="1358"/>
      <c r="PBS522" s="1358"/>
      <c r="PBT522" s="1358"/>
      <c r="PBU522" s="1358"/>
      <c r="PBV522" s="1358"/>
      <c r="PBW522" s="1358"/>
      <c r="PBX522" s="1358"/>
      <c r="PBY522" s="1358"/>
      <c r="PBZ522" s="1358"/>
      <c r="PCA522" s="1358"/>
      <c r="PCB522" s="1358"/>
      <c r="PCC522" s="1358"/>
      <c r="PCD522" s="1358"/>
      <c r="PCE522" s="1358"/>
      <c r="PCF522" s="1358"/>
      <c r="PCG522" s="1358"/>
      <c r="PCH522" s="1358"/>
      <c r="PCI522" s="1358"/>
      <c r="PCJ522" s="1358"/>
      <c r="PCK522" s="1358"/>
      <c r="PCL522" s="1358"/>
      <c r="PCM522" s="1358"/>
      <c r="PCN522" s="1358"/>
      <c r="PCO522" s="1358"/>
      <c r="PCP522" s="1358"/>
      <c r="PCQ522" s="1358"/>
      <c r="PCR522" s="1358"/>
      <c r="PCS522" s="1358"/>
      <c r="PCT522" s="1358"/>
      <c r="PCU522" s="1358"/>
      <c r="PCV522" s="1358"/>
      <c r="PCW522" s="1358"/>
      <c r="PCX522" s="1358"/>
      <c r="PCY522" s="1358"/>
      <c r="PCZ522" s="1358"/>
      <c r="PDA522" s="1358"/>
      <c r="PDB522" s="1358"/>
      <c r="PDC522" s="1358"/>
      <c r="PDD522" s="1358"/>
      <c r="PDE522" s="1358"/>
      <c r="PDF522" s="1358"/>
      <c r="PDG522" s="1358"/>
      <c r="PDH522" s="1358"/>
      <c r="PDI522" s="1358"/>
      <c r="PDJ522" s="1358"/>
      <c r="PDK522" s="1358"/>
      <c r="PDL522" s="1358"/>
      <c r="PDM522" s="1358"/>
      <c r="PDN522" s="1358"/>
      <c r="PDO522" s="1358"/>
      <c r="PDP522" s="1358"/>
      <c r="PDQ522" s="1358"/>
      <c r="PDR522" s="1358"/>
      <c r="PDS522" s="1358"/>
      <c r="PDT522" s="1358"/>
      <c r="PDU522" s="1358"/>
      <c r="PDV522" s="1358"/>
      <c r="PDW522" s="1358"/>
      <c r="PDX522" s="1358"/>
      <c r="PDY522" s="1358"/>
      <c r="PDZ522" s="1358"/>
      <c r="PEA522" s="1358"/>
      <c r="PEB522" s="1358"/>
      <c r="PEC522" s="1358"/>
      <c r="PED522" s="1358"/>
      <c r="PEE522" s="1358"/>
      <c r="PEF522" s="1358"/>
      <c r="PEG522" s="1358"/>
      <c r="PEH522" s="1358"/>
      <c r="PEI522" s="1358"/>
      <c r="PEJ522" s="1358"/>
      <c r="PEK522" s="1358"/>
      <c r="PEL522" s="1358"/>
      <c r="PEM522" s="1358"/>
      <c r="PEN522" s="1358"/>
      <c r="PEO522" s="1358"/>
      <c r="PEP522" s="1358"/>
      <c r="PEQ522" s="1358"/>
      <c r="PER522" s="1358"/>
      <c r="PES522" s="1358"/>
      <c r="PET522" s="1358"/>
      <c r="PEU522" s="1358"/>
      <c r="PEV522" s="1358"/>
      <c r="PEW522" s="1358"/>
      <c r="PEX522" s="1358"/>
      <c r="PEY522" s="1358"/>
      <c r="PEZ522" s="1358"/>
      <c r="PFA522" s="1358"/>
      <c r="PFB522" s="1358"/>
      <c r="PFC522" s="1358"/>
      <c r="PFD522" s="1358"/>
      <c r="PFE522" s="1358"/>
      <c r="PFF522" s="1358"/>
      <c r="PFG522" s="1358"/>
      <c r="PFH522" s="1358"/>
      <c r="PFI522" s="1358"/>
      <c r="PFJ522" s="1358"/>
      <c r="PFK522" s="1358"/>
      <c r="PFL522" s="1358"/>
      <c r="PFM522" s="1358"/>
      <c r="PFN522" s="1358"/>
      <c r="PFO522" s="1358"/>
      <c r="PFP522" s="1358"/>
      <c r="PFQ522" s="1358"/>
      <c r="PFR522" s="1358"/>
      <c r="PFS522" s="1358"/>
      <c r="PFT522" s="1358"/>
      <c r="PFU522" s="1358"/>
      <c r="PFV522" s="1358"/>
      <c r="PFW522" s="1358"/>
      <c r="PFX522" s="1358"/>
      <c r="PFY522" s="1358"/>
      <c r="PFZ522" s="1358"/>
      <c r="PGA522" s="1358"/>
      <c r="PGB522" s="1358"/>
      <c r="PGC522" s="1358"/>
      <c r="PGD522" s="1358"/>
      <c r="PGE522" s="1358"/>
      <c r="PGF522" s="1358"/>
      <c r="PGG522" s="1358"/>
      <c r="PGH522" s="1358"/>
      <c r="PGI522" s="1358"/>
      <c r="PGJ522" s="1358"/>
      <c r="PGK522" s="1358"/>
      <c r="PGL522" s="1358"/>
      <c r="PGM522" s="1358"/>
      <c r="PGN522" s="1358"/>
      <c r="PGO522" s="1358"/>
      <c r="PGP522" s="1358"/>
      <c r="PGQ522" s="1358"/>
      <c r="PGR522" s="1358"/>
      <c r="PGS522" s="1358"/>
      <c r="PGT522" s="1358"/>
      <c r="PGU522" s="1358"/>
      <c r="PGV522" s="1358"/>
      <c r="PGW522" s="1358"/>
      <c r="PGX522" s="1358"/>
      <c r="PGY522" s="1358"/>
      <c r="PGZ522" s="1358"/>
      <c r="PHA522" s="1358"/>
      <c r="PHB522" s="1358"/>
      <c r="PHC522" s="1358"/>
      <c r="PHD522" s="1358"/>
      <c r="PHE522" s="1358"/>
      <c r="PHF522" s="1358"/>
      <c r="PHG522" s="1358"/>
      <c r="PHH522" s="1358"/>
      <c r="PHI522" s="1358"/>
      <c r="PHJ522" s="1358"/>
      <c r="PHK522" s="1358"/>
      <c r="PHL522" s="1358"/>
      <c r="PHM522" s="1358"/>
      <c r="PHN522" s="1358"/>
      <c r="PHO522" s="1358"/>
      <c r="PHP522" s="1358"/>
      <c r="PHQ522" s="1358"/>
      <c r="PHR522" s="1358"/>
      <c r="PHS522" s="1358"/>
      <c r="PHT522" s="1358"/>
      <c r="PHU522" s="1358"/>
      <c r="PHV522" s="1358"/>
      <c r="PHW522" s="1358"/>
      <c r="PHX522" s="1358"/>
      <c r="PHY522" s="1358"/>
      <c r="PHZ522" s="1358"/>
      <c r="PIA522" s="1358"/>
      <c r="PIB522" s="1358"/>
      <c r="PIC522" s="1358"/>
      <c r="PID522" s="1358"/>
      <c r="PIE522" s="1358"/>
      <c r="PIF522" s="1358"/>
      <c r="PIG522" s="1358"/>
      <c r="PIH522" s="1358"/>
      <c r="PII522" s="1358"/>
      <c r="PIJ522" s="1358"/>
      <c r="PIK522" s="1358"/>
      <c r="PIL522" s="1358"/>
      <c r="PIM522" s="1358"/>
      <c r="PIN522" s="1358"/>
      <c r="PIO522" s="1358"/>
      <c r="PIP522" s="1358"/>
      <c r="PIQ522" s="1358"/>
      <c r="PIR522" s="1358"/>
      <c r="PIS522" s="1358"/>
      <c r="PIT522" s="1358"/>
      <c r="PIU522" s="1358"/>
      <c r="PIV522" s="1358"/>
      <c r="PIW522" s="1358"/>
      <c r="PIX522" s="1358"/>
      <c r="PIY522" s="1358"/>
      <c r="PIZ522" s="1358"/>
      <c r="PJA522" s="1358"/>
      <c r="PJB522" s="1358"/>
      <c r="PJC522" s="1358"/>
      <c r="PJD522" s="1358"/>
      <c r="PJE522" s="1358"/>
      <c r="PJF522" s="1358"/>
      <c r="PJG522" s="1358"/>
      <c r="PJH522" s="1358"/>
      <c r="PJI522" s="1358"/>
      <c r="PJJ522" s="1358"/>
      <c r="PJK522" s="1358"/>
      <c r="PJL522" s="1358"/>
      <c r="PJM522" s="1358"/>
      <c r="PJN522" s="1358"/>
      <c r="PJO522" s="1358"/>
      <c r="PJP522" s="1358"/>
      <c r="PJQ522" s="1358"/>
      <c r="PJR522" s="1358"/>
      <c r="PJS522" s="1358"/>
      <c r="PJT522" s="1358"/>
      <c r="PJU522" s="1358"/>
      <c r="PJV522" s="1358"/>
      <c r="PJW522" s="1358"/>
      <c r="PJX522" s="1358"/>
      <c r="PJY522" s="1358"/>
      <c r="PJZ522" s="1358"/>
      <c r="PKA522" s="1358"/>
      <c r="PKB522" s="1358"/>
      <c r="PKC522" s="1358"/>
      <c r="PKD522" s="1358"/>
      <c r="PKE522" s="1358"/>
      <c r="PKF522" s="1358"/>
      <c r="PKG522" s="1358"/>
      <c r="PKH522" s="1358"/>
      <c r="PKI522" s="1358"/>
      <c r="PKJ522" s="1358"/>
      <c r="PKK522" s="1358"/>
      <c r="PKL522" s="1358"/>
      <c r="PKM522" s="1358"/>
      <c r="PKN522" s="1358"/>
      <c r="PKO522" s="1358"/>
      <c r="PKP522" s="1358"/>
      <c r="PKQ522" s="1358"/>
      <c r="PKR522" s="1358"/>
      <c r="PKS522" s="1358"/>
      <c r="PKT522" s="1358"/>
      <c r="PKU522" s="1358"/>
      <c r="PKV522" s="1358"/>
      <c r="PKW522" s="1358"/>
      <c r="PKX522" s="1358"/>
      <c r="PKY522" s="1358"/>
      <c r="PKZ522" s="1358"/>
      <c r="PLA522" s="1358"/>
      <c r="PLB522" s="1358"/>
      <c r="PLC522" s="1358"/>
      <c r="PLD522" s="1358"/>
      <c r="PLE522" s="1358"/>
      <c r="PLF522" s="1358"/>
      <c r="PLG522" s="1358"/>
      <c r="PLH522" s="1358"/>
      <c r="PLI522" s="1358"/>
      <c r="PLJ522" s="1358"/>
      <c r="PLK522" s="1358"/>
      <c r="PLL522" s="1358"/>
      <c r="PLM522" s="1358"/>
      <c r="PLN522" s="1358"/>
      <c r="PLO522" s="1358"/>
      <c r="PLP522" s="1358"/>
      <c r="PLQ522" s="1358"/>
      <c r="PLR522" s="1358"/>
      <c r="PLS522" s="1358"/>
      <c r="PLT522" s="1358"/>
      <c r="PLU522" s="1358"/>
      <c r="PLV522" s="1358"/>
      <c r="PLW522" s="1358"/>
      <c r="PLX522" s="1358"/>
      <c r="PLY522" s="1358"/>
      <c r="PLZ522" s="1358"/>
      <c r="PMA522" s="1358"/>
      <c r="PMB522" s="1358"/>
      <c r="PMC522" s="1358"/>
      <c r="PMD522" s="1358"/>
      <c r="PME522" s="1358"/>
      <c r="PMF522" s="1358"/>
      <c r="PMG522" s="1358"/>
      <c r="PMH522" s="1358"/>
      <c r="PMI522" s="1358"/>
      <c r="PMJ522" s="1358"/>
      <c r="PMK522" s="1358"/>
      <c r="PML522" s="1358"/>
      <c r="PMM522" s="1358"/>
      <c r="PMN522" s="1358"/>
      <c r="PMO522" s="1358"/>
      <c r="PMP522" s="1358"/>
      <c r="PMQ522" s="1358"/>
      <c r="PMR522" s="1358"/>
      <c r="PMS522" s="1358"/>
      <c r="PMT522" s="1358"/>
      <c r="PMU522" s="1358"/>
      <c r="PMV522" s="1358"/>
      <c r="PMW522" s="1358"/>
      <c r="PMX522" s="1358"/>
      <c r="PMY522" s="1358"/>
      <c r="PMZ522" s="1358"/>
      <c r="PNA522" s="1358"/>
      <c r="PNB522" s="1358"/>
      <c r="PNC522" s="1358"/>
      <c r="PND522" s="1358"/>
      <c r="PNE522" s="1358"/>
      <c r="PNF522" s="1358"/>
      <c r="PNG522" s="1358"/>
      <c r="PNH522" s="1358"/>
      <c r="PNI522" s="1358"/>
      <c r="PNJ522" s="1358"/>
      <c r="PNK522" s="1358"/>
      <c r="PNL522" s="1358"/>
      <c r="PNM522" s="1358"/>
      <c r="PNN522" s="1358"/>
      <c r="PNO522" s="1358"/>
      <c r="PNP522" s="1358"/>
      <c r="PNQ522" s="1358"/>
      <c r="PNR522" s="1358"/>
      <c r="PNS522" s="1358"/>
      <c r="PNT522" s="1358"/>
      <c r="PNU522" s="1358"/>
      <c r="PNV522" s="1358"/>
      <c r="PNW522" s="1358"/>
      <c r="PNX522" s="1358"/>
      <c r="PNY522" s="1358"/>
      <c r="PNZ522" s="1358"/>
      <c r="POA522" s="1358"/>
      <c r="POB522" s="1358"/>
      <c r="POC522" s="1358"/>
      <c r="POD522" s="1358"/>
      <c r="POE522" s="1358"/>
      <c r="POF522" s="1358"/>
      <c r="POG522" s="1358"/>
      <c r="POH522" s="1358"/>
      <c r="POI522" s="1358"/>
      <c r="POJ522" s="1358"/>
      <c r="POK522" s="1358"/>
      <c r="POL522" s="1358"/>
      <c r="POM522" s="1358"/>
      <c r="PON522" s="1358"/>
      <c r="POO522" s="1358"/>
      <c r="POP522" s="1358"/>
      <c r="POQ522" s="1358"/>
      <c r="POR522" s="1358"/>
      <c r="POS522" s="1358"/>
      <c r="POT522" s="1358"/>
      <c r="POU522" s="1358"/>
      <c r="POV522" s="1358"/>
      <c r="POW522" s="1358"/>
      <c r="POX522" s="1358"/>
      <c r="POY522" s="1358"/>
      <c r="POZ522" s="1358"/>
      <c r="PPA522" s="1358"/>
      <c r="PPB522" s="1358"/>
      <c r="PPC522" s="1358"/>
      <c r="PPD522" s="1358"/>
      <c r="PPE522" s="1358"/>
      <c r="PPF522" s="1358"/>
      <c r="PPG522" s="1358"/>
      <c r="PPH522" s="1358"/>
      <c r="PPI522" s="1358"/>
      <c r="PPJ522" s="1358"/>
      <c r="PPK522" s="1358"/>
      <c r="PPL522" s="1358"/>
      <c r="PPM522" s="1358"/>
      <c r="PPN522" s="1358"/>
      <c r="PPO522" s="1358"/>
      <c r="PPP522" s="1358"/>
      <c r="PPQ522" s="1358"/>
      <c r="PPR522" s="1358"/>
      <c r="PPS522" s="1358"/>
      <c r="PPT522" s="1358"/>
      <c r="PPU522" s="1358"/>
      <c r="PPV522" s="1358"/>
      <c r="PPW522" s="1358"/>
      <c r="PPX522" s="1358"/>
      <c r="PPY522" s="1358"/>
      <c r="PPZ522" s="1358"/>
      <c r="PQA522" s="1358"/>
      <c r="PQB522" s="1358"/>
      <c r="PQC522" s="1358"/>
      <c r="PQD522" s="1358"/>
      <c r="PQE522" s="1358"/>
      <c r="PQF522" s="1358"/>
      <c r="PQG522" s="1358"/>
      <c r="PQH522" s="1358"/>
      <c r="PQI522" s="1358"/>
      <c r="PQJ522" s="1358"/>
      <c r="PQK522" s="1358"/>
      <c r="PQL522" s="1358"/>
      <c r="PQM522" s="1358"/>
      <c r="PQN522" s="1358"/>
      <c r="PQO522" s="1358"/>
      <c r="PQP522" s="1358"/>
      <c r="PQQ522" s="1358"/>
      <c r="PQR522" s="1358"/>
      <c r="PQS522" s="1358"/>
      <c r="PQT522" s="1358"/>
      <c r="PQU522" s="1358"/>
      <c r="PQV522" s="1358"/>
      <c r="PQW522" s="1358"/>
      <c r="PQX522" s="1358"/>
      <c r="PQY522" s="1358"/>
      <c r="PQZ522" s="1358"/>
      <c r="PRA522" s="1358"/>
      <c r="PRB522" s="1358"/>
      <c r="PRC522" s="1358"/>
      <c r="PRD522" s="1358"/>
      <c r="PRE522" s="1358"/>
      <c r="PRF522" s="1358"/>
      <c r="PRG522" s="1358"/>
      <c r="PRH522" s="1358"/>
      <c r="PRI522" s="1358"/>
      <c r="PRJ522" s="1358"/>
      <c r="PRK522" s="1358"/>
      <c r="PRL522" s="1358"/>
      <c r="PRM522" s="1358"/>
      <c r="PRN522" s="1358"/>
      <c r="PRO522" s="1358"/>
      <c r="PRP522" s="1358"/>
      <c r="PRQ522" s="1358"/>
      <c r="PRR522" s="1358"/>
      <c r="PRS522" s="1358"/>
      <c r="PRT522" s="1358"/>
      <c r="PRU522" s="1358"/>
      <c r="PRV522" s="1358"/>
      <c r="PRW522" s="1358"/>
      <c r="PRX522" s="1358"/>
      <c r="PRY522" s="1358"/>
      <c r="PRZ522" s="1358"/>
      <c r="PSA522" s="1358"/>
      <c r="PSB522" s="1358"/>
      <c r="PSC522" s="1358"/>
      <c r="PSD522" s="1358"/>
      <c r="PSE522" s="1358"/>
      <c r="PSF522" s="1358"/>
      <c r="PSG522" s="1358"/>
      <c r="PSH522" s="1358"/>
      <c r="PSI522" s="1358"/>
      <c r="PSJ522" s="1358"/>
      <c r="PSK522" s="1358"/>
      <c r="PSL522" s="1358"/>
      <c r="PSM522" s="1358"/>
      <c r="PSN522" s="1358"/>
      <c r="PSO522" s="1358"/>
      <c r="PSP522" s="1358"/>
      <c r="PSQ522" s="1358"/>
      <c r="PSR522" s="1358"/>
      <c r="PSS522" s="1358"/>
      <c r="PST522" s="1358"/>
      <c r="PSU522" s="1358"/>
      <c r="PSV522" s="1358"/>
      <c r="PSW522" s="1358"/>
      <c r="PSX522" s="1358"/>
      <c r="PSY522" s="1358"/>
      <c r="PSZ522" s="1358"/>
      <c r="PTA522" s="1358"/>
      <c r="PTB522" s="1358"/>
      <c r="PTC522" s="1358"/>
      <c r="PTD522" s="1358"/>
      <c r="PTE522" s="1358"/>
      <c r="PTF522" s="1358"/>
      <c r="PTG522" s="1358"/>
      <c r="PTH522" s="1358"/>
      <c r="PTI522" s="1358"/>
      <c r="PTJ522" s="1358"/>
      <c r="PTK522" s="1358"/>
      <c r="PTL522" s="1358"/>
      <c r="PTM522" s="1358"/>
      <c r="PTN522" s="1358"/>
      <c r="PTO522" s="1358"/>
      <c r="PTP522" s="1358"/>
      <c r="PTQ522" s="1358"/>
      <c r="PTR522" s="1358"/>
      <c r="PTS522" s="1358"/>
      <c r="PTT522" s="1358"/>
      <c r="PTU522" s="1358"/>
      <c r="PTV522" s="1358"/>
      <c r="PTW522" s="1358"/>
      <c r="PTX522" s="1358"/>
      <c r="PTY522" s="1358"/>
      <c r="PTZ522" s="1358"/>
      <c r="PUA522" s="1358"/>
      <c r="PUB522" s="1358"/>
      <c r="PUC522" s="1358"/>
      <c r="PUD522" s="1358"/>
      <c r="PUE522" s="1358"/>
      <c r="PUF522" s="1358"/>
      <c r="PUG522" s="1358"/>
      <c r="PUH522" s="1358"/>
      <c r="PUI522" s="1358"/>
      <c r="PUJ522" s="1358"/>
      <c r="PUK522" s="1358"/>
      <c r="PUL522" s="1358"/>
      <c r="PUM522" s="1358"/>
      <c r="PUN522" s="1358"/>
      <c r="PUO522" s="1358"/>
      <c r="PUP522" s="1358"/>
      <c r="PUQ522" s="1358"/>
      <c r="PUR522" s="1358"/>
      <c r="PUS522" s="1358"/>
      <c r="PUT522" s="1358"/>
      <c r="PUU522" s="1358"/>
      <c r="PUV522" s="1358"/>
      <c r="PUW522" s="1358"/>
      <c r="PUX522" s="1358"/>
      <c r="PUY522" s="1358"/>
      <c r="PUZ522" s="1358"/>
      <c r="PVA522" s="1358"/>
      <c r="PVB522" s="1358"/>
      <c r="PVC522" s="1358"/>
      <c r="PVD522" s="1358"/>
      <c r="PVE522" s="1358"/>
      <c r="PVF522" s="1358"/>
      <c r="PVG522" s="1358"/>
      <c r="PVH522" s="1358"/>
      <c r="PVI522" s="1358"/>
      <c r="PVJ522" s="1358"/>
      <c r="PVK522" s="1358"/>
      <c r="PVL522" s="1358"/>
      <c r="PVM522" s="1358"/>
      <c r="PVN522" s="1358"/>
      <c r="PVO522" s="1358"/>
      <c r="PVP522" s="1358"/>
      <c r="PVQ522" s="1358"/>
      <c r="PVR522" s="1358"/>
      <c r="PVS522" s="1358"/>
      <c r="PVT522" s="1358"/>
      <c r="PVU522" s="1358"/>
      <c r="PVV522" s="1358"/>
      <c r="PVW522" s="1358"/>
      <c r="PVX522" s="1358"/>
      <c r="PVY522" s="1358"/>
      <c r="PVZ522" s="1358"/>
      <c r="PWA522" s="1358"/>
      <c r="PWB522" s="1358"/>
      <c r="PWC522" s="1358"/>
      <c r="PWD522" s="1358"/>
      <c r="PWE522" s="1358"/>
      <c r="PWF522" s="1358"/>
      <c r="PWG522" s="1358"/>
      <c r="PWH522" s="1358"/>
      <c r="PWI522" s="1358"/>
      <c r="PWJ522" s="1358"/>
      <c r="PWK522" s="1358"/>
      <c r="PWL522" s="1358"/>
      <c r="PWM522" s="1358"/>
      <c r="PWN522" s="1358"/>
      <c r="PWO522" s="1358"/>
      <c r="PWP522" s="1358"/>
      <c r="PWQ522" s="1358"/>
      <c r="PWR522" s="1358"/>
      <c r="PWS522" s="1358"/>
      <c r="PWT522" s="1358"/>
      <c r="PWU522" s="1358"/>
      <c r="PWV522" s="1358"/>
      <c r="PWW522" s="1358"/>
      <c r="PWX522" s="1358"/>
      <c r="PWY522" s="1358"/>
      <c r="PWZ522" s="1358"/>
      <c r="PXA522" s="1358"/>
      <c r="PXB522" s="1358"/>
      <c r="PXC522" s="1358"/>
      <c r="PXD522" s="1358"/>
      <c r="PXE522" s="1358"/>
      <c r="PXF522" s="1358"/>
      <c r="PXG522" s="1358"/>
      <c r="PXH522" s="1358"/>
      <c r="PXI522" s="1358"/>
      <c r="PXJ522" s="1358"/>
      <c r="PXK522" s="1358"/>
      <c r="PXL522" s="1358"/>
      <c r="PXM522" s="1358"/>
      <c r="PXN522" s="1358"/>
      <c r="PXO522" s="1358"/>
      <c r="PXP522" s="1358"/>
      <c r="PXQ522" s="1358"/>
      <c r="PXR522" s="1358"/>
      <c r="PXS522" s="1358"/>
      <c r="PXT522" s="1358"/>
      <c r="PXU522" s="1358"/>
      <c r="PXV522" s="1358"/>
      <c r="PXW522" s="1358"/>
      <c r="PXX522" s="1358"/>
      <c r="PXY522" s="1358"/>
      <c r="PXZ522" s="1358"/>
      <c r="PYA522" s="1358"/>
      <c r="PYB522" s="1358"/>
      <c r="PYC522" s="1358"/>
      <c r="PYD522" s="1358"/>
      <c r="PYE522" s="1358"/>
      <c r="PYF522" s="1358"/>
      <c r="PYG522" s="1358"/>
      <c r="PYH522" s="1358"/>
      <c r="PYI522" s="1358"/>
      <c r="PYJ522" s="1358"/>
      <c r="PYK522" s="1358"/>
      <c r="PYL522" s="1358"/>
      <c r="PYM522" s="1358"/>
      <c r="PYN522" s="1358"/>
      <c r="PYO522" s="1358"/>
      <c r="PYP522" s="1358"/>
      <c r="PYQ522" s="1358"/>
      <c r="PYR522" s="1358"/>
      <c r="PYS522" s="1358"/>
      <c r="PYT522" s="1358"/>
      <c r="PYU522" s="1358"/>
      <c r="PYV522" s="1358"/>
      <c r="PYW522" s="1358"/>
      <c r="PYX522" s="1358"/>
      <c r="PYY522" s="1358"/>
      <c r="PYZ522" s="1358"/>
      <c r="PZA522" s="1358"/>
      <c r="PZB522" s="1358"/>
      <c r="PZC522" s="1358"/>
      <c r="PZD522" s="1358"/>
      <c r="PZE522" s="1358"/>
      <c r="PZF522" s="1358"/>
      <c r="PZG522" s="1358"/>
      <c r="PZH522" s="1358"/>
      <c r="PZI522" s="1358"/>
      <c r="PZJ522" s="1358"/>
      <c r="PZK522" s="1358"/>
      <c r="PZL522" s="1358"/>
      <c r="PZM522" s="1358"/>
      <c r="PZN522" s="1358"/>
      <c r="PZO522" s="1358"/>
      <c r="PZP522" s="1358"/>
      <c r="PZQ522" s="1358"/>
      <c r="PZR522" s="1358"/>
      <c r="PZS522" s="1358"/>
      <c r="PZT522" s="1358"/>
      <c r="PZU522" s="1358"/>
      <c r="PZV522" s="1358"/>
      <c r="PZW522" s="1358"/>
      <c r="PZX522" s="1358"/>
      <c r="PZY522" s="1358"/>
      <c r="PZZ522" s="1358"/>
      <c r="QAA522" s="1358"/>
      <c r="QAB522" s="1358"/>
      <c r="QAC522" s="1358"/>
      <c r="QAD522" s="1358"/>
      <c r="QAE522" s="1358"/>
      <c r="QAF522" s="1358"/>
      <c r="QAG522" s="1358"/>
      <c r="QAH522" s="1358"/>
      <c r="QAI522" s="1358"/>
      <c r="QAJ522" s="1358"/>
      <c r="QAK522" s="1358"/>
      <c r="QAL522" s="1358"/>
      <c r="QAM522" s="1358"/>
      <c r="QAN522" s="1358"/>
      <c r="QAO522" s="1358"/>
      <c r="QAP522" s="1358"/>
      <c r="QAQ522" s="1358"/>
      <c r="QAR522" s="1358"/>
      <c r="QAS522" s="1358"/>
      <c r="QAT522" s="1358"/>
      <c r="QAU522" s="1358"/>
      <c r="QAV522" s="1358"/>
      <c r="QAW522" s="1358"/>
      <c r="QAX522" s="1358"/>
      <c r="QAY522" s="1358"/>
      <c r="QAZ522" s="1358"/>
      <c r="QBA522" s="1358"/>
      <c r="QBB522" s="1358"/>
      <c r="QBC522" s="1358"/>
      <c r="QBD522" s="1358"/>
      <c r="QBE522" s="1358"/>
      <c r="QBF522" s="1358"/>
      <c r="QBG522" s="1358"/>
      <c r="QBH522" s="1358"/>
      <c r="QBI522" s="1358"/>
      <c r="QBJ522" s="1358"/>
      <c r="QBK522" s="1358"/>
      <c r="QBL522" s="1358"/>
      <c r="QBM522" s="1358"/>
      <c r="QBN522" s="1358"/>
      <c r="QBO522" s="1358"/>
      <c r="QBP522" s="1358"/>
      <c r="QBQ522" s="1358"/>
      <c r="QBR522" s="1358"/>
      <c r="QBS522" s="1358"/>
      <c r="QBT522" s="1358"/>
      <c r="QBU522" s="1358"/>
      <c r="QBV522" s="1358"/>
      <c r="QBW522" s="1358"/>
      <c r="QBX522" s="1358"/>
      <c r="QBY522" s="1358"/>
      <c r="QBZ522" s="1358"/>
      <c r="QCA522" s="1358"/>
      <c r="QCB522" s="1358"/>
      <c r="QCC522" s="1358"/>
      <c r="QCD522" s="1358"/>
      <c r="QCE522" s="1358"/>
      <c r="QCF522" s="1358"/>
      <c r="QCG522" s="1358"/>
      <c r="QCH522" s="1358"/>
      <c r="QCI522" s="1358"/>
      <c r="QCJ522" s="1358"/>
      <c r="QCK522" s="1358"/>
      <c r="QCL522" s="1358"/>
      <c r="QCM522" s="1358"/>
      <c r="QCN522" s="1358"/>
      <c r="QCO522" s="1358"/>
      <c r="QCP522" s="1358"/>
      <c r="QCQ522" s="1358"/>
      <c r="QCR522" s="1358"/>
      <c r="QCS522" s="1358"/>
      <c r="QCT522" s="1358"/>
      <c r="QCU522" s="1358"/>
      <c r="QCV522" s="1358"/>
      <c r="QCW522" s="1358"/>
      <c r="QCX522" s="1358"/>
      <c r="QCY522" s="1358"/>
      <c r="QCZ522" s="1358"/>
      <c r="QDA522" s="1358"/>
      <c r="QDB522" s="1358"/>
      <c r="QDC522" s="1358"/>
      <c r="QDD522" s="1358"/>
      <c r="QDE522" s="1358"/>
      <c r="QDF522" s="1358"/>
      <c r="QDG522" s="1358"/>
      <c r="QDH522" s="1358"/>
      <c r="QDI522" s="1358"/>
      <c r="QDJ522" s="1358"/>
      <c r="QDK522" s="1358"/>
      <c r="QDL522" s="1358"/>
      <c r="QDM522" s="1358"/>
      <c r="QDN522" s="1358"/>
      <c r="QDO522" s="1358"/>
      <c r="QDP522" s="1358"/>
      <c r="QDQ522" s="1358"/>
      <c r="QDR522" s="1358"/>
      <c r="QDS522" s="1358"/>
      <c r="QDT522" s="1358"/>
      <c r="QDU522" s="1358"/>
      <c r="QDV522" s="1358"/>
      <c r="QDW522" s="1358"/>
      <c r="QDX522" s="1358"/>
      <c r="QDY522" s="1358"/>
      <c r="QDZ522" s="1358"/>
      <c r="QEA522" s="1358"/>
      <c r="QEB522" s="1358"/>
      <c r="QEC522" s="1358"/>
      <c r="QED522" s="1358"/>
      <c r="QEE522" s="1358"/>
      <c r="QEF522" s="1358"/>
      <c r="QEG522" s="1358"/>
      <c r="QEH522" s="1358"/>
      <c r="QEI522" s="1358"/>
      <c r="QEJ522" s="1358"/>
      <c r="QEK522" s="1358"/>
      <c r="QEL522" s="1358"/>
      <c r="QEM522" s="1358"/>
      <c r="QEN522" s="1358"/>
      <c r="QEO522" s="1358"/>
      <c r="QEP522" s="1358"/>
      <c r="QEQ522" s="1358"/>
      <c r="QER522" s="1358"/>
      <c r="QES522" s="1358"/>
      <c r="QET522" s="1358"/>
      <c r="QEU522" s="1358"/>
      <c r="QEV522" s="1358"/>
      <c r="QEW522" s="1358"/>
      <c r="QEX522" s="1358"/>
      <c r="QEY522" s="1358"/>
      <c r="QEZ522" s="1358"/>
      <c r="QFA522" s="1358"/>
      <c r="QFB522" s="1358"/>
      <c r="QFC522" s="1358"/>
      <c r="QFD522" s="1358"/>
      <c r="QFE522" s="1358"/>
      <c r="QFF522" s="1358"/>
      <c r="QFG522" s="1358"/>
      <c r="QFH522" s="1358"/>
      <c r="QFI522" s="1358"/>
      <c r="QFJ522" s="1358"/>
      <c r="QFK522" s="1358"/>
      <c r="QFL522" s="1358"/>
      <c r="QFM522" s="1358"/>
      <c r="QFN522" s="1358"/>
      <c r="QFO522" s="1358"/>
      <c r="QFP522" s="1358"/>
      <c r="QFQ522" s="1358"/>
      <c r="QFR522" s="1358"/>
      <c r="QFS522" s="1358"/>
      <c r="QFT522" s="1358"/>
      <c r="QFU522" s="1358"/>
      <c r="QFV522" s="1358"/>
      <c r="QFW522" s="1358"/>
      <c r="QFX522" s="1358"/>
      <c r="QFY522" s="1358"/>
      <c r="QFZ522" s="1358"/>
      <c r="QGA522" s="1358"/>
      <c r="QGB522" s="1358"/>
      <c r="QGC522" s="1358"/>
      <c r="QGD522" s="1358"/>
      <c r="QGE522" s="1358"/>
      <c r="QGF522" s="1358"/>
      <c r="QGG522" s="1358"/>
      <c r="QGH522" s="1358"/>
      <c r="QGI522" s="1358"/>
      <c r="QGJ522" s="1358"/>
      <c r="QGK522" s="1358"/>
      <c r="QGL522" s="1358"/>
      <c r="QGM522" s="1358"/>
      <c r="QGN522" s="1358"/>
      <c r="QGO522" s="1358"/>
      <c r="QGP522" s="1358"/>
      <c r="QGQ522" s="1358"/>
      <c r="QGR522" s="1358"/>
      <c r="QGS522" s="1358"/>
      <c r="QGT522" s="1358"/>
      <c r="QGU522" s="1358"/>
      <c r="QGV522" s="1358"/>
      <c r="QGW522" s="1358"/>
      <c r="QGX522" s="1358"/>
      <c r="QGY522" s="1358"/>
      <c r="QGZ522" s="1358"/>
      <c r="QHA522" s="1358"/>
      <c r="QHB522" s="1358"/>
      <c r="QHC522" s="1358"/>
      <c r="QHD522" s="1358"/>
      <c r="QHE522" s="1358"/>
      <c r="QHF522" s="1358"/>
      <c r="QHG522" s="1358"/>
      <c r="QHH522" s="1358"/>
      <c r="QHI522" s="1358"/>
      <c r="QHJ522" s="1358"/>
      <c r="QHK522" s="1358"/>
      <c r="QHL522" s="1358"/>
      <c r="QHM522" s="1358"/>
      <c r="QHN522" s="1358"/>
      <c r="QHO522" s="1358"/>
      <c r="QHP522" s="1358"/>
      <c r="QHQ522" s="1358"/>
      <c r="QHR522" s="1358"/>
      <c r="QHS522" s="1358"/>
      <c r="QHT522" s="1358"/>
      <c r="QHU522" s="1358"/>
      <c r="QHV522" s="1358"/>
      <c r="QHW522" s="1358"/>
      <c r="QHX522" s="1358"/>
      <c r="QHY522" s="1358"/>
      <c r="QHZ522" s="1358"/>
      <c r="QIA522" s="1358"/>
      <c r="QIB522" s="1358"/>
      <c r="QIC522" s="1358"/>
      <c r="QID522" s="1358"/>
      <c r="QIE522" s="1358"/>
      <c r="QIF522" s="1358"/>
      <c r="QIG522" s="1358"/>
      <c r="QIH522" s="1358"/>
      <c r="QII522" s="1358"/>
      <c r="QIJ522" s="1358"/>
      <c r="QIK522" s="1358"/>
      <c r="QIL522" s="1358"/>
      <c r="QIM522" s="1358"/>
      <c r="QIN522" s="1358"/>
      <c r="QIO522" s="1358"/>
      <c r="QIP522" s="1358"/>
      <c r="QIQ522" s="1358"/>
      <c r="QIR522" s="1358"/>
      <c r="QIS522" s="1358"/>
      <c r="QIT522" s="1358"/>
      <c r="QIU522" s="1358"/>
      <c r="QIV522" s="1358"/>
      <c r="QIW522" s="1358"/>
      <c r="QIX522" s="1358"/>
      <c r="QIY522" s="1358"/>
      <c r="QIZ522" s="1358"/>
      <c r="QJA522" s="1358"/>
      <c r="QJB522" s="1358"/>
      <c r="QJC522" s="1358"/>
      <c r="QJD522" s="1358"/>
      <c r="QJE522" s="1358"/>
      <c r="QJF522" s="1358"/>
      <c r="QJG522" s="1358"/>
      <c r="QJH522" s="1358"/>
      <c r="QJI522" s="1358"/>
      <c r="QJJ522" s="1358"/>
      <c r="QJK522" s="1358"/>
      <c r="QJL522" s="1358"/>
      <c r="QJM522" s="1358"/>
      <c r="QJN522" s="1358"/>
      <c r="QJO522" s="1358"/>
      <c r="QJP522" s="1358"/>
      <c r="QJQ522" s="1358"/>
      <c r="QJR522" s="1358"/>
      <c r="QJS522" s="1358"/>
      <c r="QJT522" s="1358"/>
      <c r="QJU522" s="1358"/>
      <c r="QJV522" s="1358"/>
      <c r="QJW522" s="1358"/>
      <c r="QJX522" s="1358"/>
      <c r="QJY522" s="1358"/>
      <c r="QJZ522" s="1358"/>
      <c r="QKA522" s="1358"/>
      <c r="QKB522" s="1358"/>
      <c r="QKC522" s="1358"/>
      <c r="QKD522" s="1358"/>
      <c r="QKE522" s="1358"/>
      <c r="QKF522" s="1358"/>
      <c r="QKG522" s="1358"/>
      <c r="QKH522" s="1358"/>
      <c r="QKI522" s="1358"/>
      <c r="QKJ522" s="1358"/>
      <c r="QKK522" s="1358"/>
      <c r="QKL522" s="1358"/>
      <c r="QKM522" s="1358"/>
      <c r="QKN522" s="1358"/>
      <c r="QKO522" s="1358"/>
      <c r="QKP522" s="1358"/>
      <c r="QKQ522" s="1358"/>
      <c r="QKR522" s="1358"/>
      <c r="QKS522" s="1358"/>
      <c r="QKT522" s="1358"/>
      <c r="QKU522" s="1358"/>
      <c r="QKV522" s="1358"/>
      <c r="QKW522" s="1358"/>
      <c r="QKX522" s="1358"/>
      <c r="QKY522" s="1358"/>
      <c r="QKZ522" s="1358"/>
      <c r="QLA522" s="1358"/>
      <c r="QLB522" s="1358"/>
      <c r="QLC522" s="1358"/>
      <c r="QLD522" s="1358"/>
      <c r="QLE522" s="1358"/>
      <c r="QLF522" s="1358"/>
      <c r="QLG522" s="1358"/>
      <c r="QLH522" s="1358"/>
      <c r="QLI522" s="1358"/>
      <c r="QLJ522" s="1358"/>
      <c r="QLK522" s="1358"/>
      <c r="QLL522" s="1358"/>
      <c r="QLM522" s="1358"/>
      <c r="QLN522" s="1358"/>
      <c r="QLO522" s="1358"/>
      <c r="QLP522" s="1358"/>
      <c r="QLQ522" s="1358"/>
      <c r="QLR522" s="1358"/>
      <c r="QLS522" s="1358"/>
      <c r="QLT522" s="1358"/>
      <c r="QLU522" s="1358"/>
      <c r="QLV522" s="1358"/>
      <c r="QLW522" s="1358"/>
      <c r="QLX522" s="1358"/>
      <c r="QLY522" s="1358"/>
      <c r="QLZ522" s="1358"/>
      <c r="QMA522" s="1358"/>
      <c r="QMB522" s="1358"/>
      <c r="QMC522" s="1358"/>
      <c r="QMD522" s="1358"/>
      <c r="QME522" s="1358"/>
      <c r="QMF522" s="1358"/>
      <c r="QMG522" s="1358"/>
      <c r="QMH522" s="1358"/>
      <c r="QMI522" s="1358"/>
      <c r="QMJ522" s="1358"/>
      <c r="QMK522" s="1358"/>
      <c r="QML522" s="1358"/>
      <c r="QMM522" s="1358"/>
      <c r="QMN522" s="1358"/>
      <c r="QMO522" s="1358"/>
      <c r="QMP522" s="1358"/>
      <c r="QMQ522" s="1358"/>
      <c r="QMR522" s="1358"/>
      <c r="QMS522" s="1358"/>
      <c r="QMT522" s="1358"/>
      <c r="QMU522" s="1358"/>
      <c r="QMV522" s="1358"/>
      <c r="QMW522" s="1358"/>
      <c r="QMX522" s="1358"/>
      <c r="QMY522" s="1358"/>
      <c r="QMZ522" s="1358"/>
      <c r="QNA522" s="1358"/>
      <c r="QNB522" s="1358"/>
      <c r="QNC522" s="1358"/>
      <c r="QND522" s="1358"/>
      <c r="QNE522" s="1358"/>
      <c r="QNF522" s="1358"/>
      <c r="QNG522" s="1358"/>
      <c r="QNH522" s="1358"/>
      <c r="QNI522" s="1358"/>
      <c r="QNJ522" s="1358"/>
      <c r="QNK522" s="1358"/>
      <c r="QNL522" s="1358"/>
      <c r="QNM522" s="1358"/>
      <c r="QNN522" s="1358"/>
      <c r="QNO522" s="1358"/>
      <c r="QNP522" s="1358"/>
      <c r="QNQ522" s="1358"/>
      <c r="QNR522" s="1358"/>
      <c r="QNS522" s="1358"/>
      <c r="QNT522" s="1358"/>
      <c r="QNU522" s="1358"/>
      <c r="QNV522" s="1358"/>
      <c r="QNW522" s="1358"/>
      <c r="QNX522" s="1358"/>
      <c r="QNY522" s="1358"/>
      <c r="QNZ522" s="1358"/>
      <c r="QOA522" s="1358"/>
      <c r="QOB522" s="1358"/>
      <c r="QOC522" s="1358"/>
      <c r="QOD522" s="1358"/>
      <c r="QOE522" s="1358"/>
      <c r="QOF522" s="1358"/>
      <c r="QOG522" s="1358"/>
      <c r="QOH522" s="1358"/>
      <c r="QOI522" s="1358"/>
      <c r="QOJ522" s="1358"/>
      <c r="QOK522" s="1358"/>
      <c r="QOL522" s="1358"/>
      <c r="QOM522" s="1358"/>
      <c r="QON522" s="1358"/>
      <c r="QOO522" s="1358"/>
      <c r="QOP522" s="1358"/>
      <c r="QOQ522" s="1358"/>
      <c r="QOR522" s="1358"/>
      <c r="QOS522" s="1358"/>
      <c r="QOT522" s="1358"/>
      <c r="QOU522" s="1358"/>
      <c r="QOV522" s="1358"/>
      <c r="QOW522" s="1358"/>
      <c r="QOX522" s="1358"/>
      <c r="QOY522" s="1358"/>
      <c r="QOZ522" s="1358"/>
      <c r="QPA522" s="1358"/>
      <c r="QPB522" s="1358"/>
      <c r="QPC522" s="1358"/>
      <c r="QPD522" s="1358"/>
      <c r="QPE522" s="1358"/>
      <c r="QPF522" s="1358"/>
      <c r="QPG522" s="1358"/>
      <c r="QPH522" s="1358"/>
      <c r="QPI522" s="1358"/>
      <c r="QPJ522" s="1358"/>
      <c r="QPK522" s="1358"/>
      <c r="QPL522" s="1358"/>
      <c r="QPM522" s="1358"/>
      <c r="QPN522" s="1358"/>
      <c r="QPO522" s="1358"/>
      <c r="QPP522" s="1358"/>
      <c r="QPQ522" s="1358"/>
      <c r="QPR522" s="1358"/>
      <c r="QPS522" s="1358"/>
      <c r="QPT522" s="1358"/>
      <c r="QPU522" s="1358"/>
      <c r="QPV522" s="1358"/>
      <c r="QPW522" s="1358"/>
      <c r="QPX522" s="1358"/>
      <c r="QPY522" s="1358"/>
      <c r="QPZ522" s="1358"/>
      <c r="QQA522" s="1358"/>
      <c r="QQB522" s="1358"/>
      <c r="QQC522" s="1358"/>
      <c r="QQD522" s="1358"/>
      <c r="QQE522" s="1358"/>
      <c r="QQF522" s="1358"/>
      <c r="QQG522" s="1358"/>
      <c r="QQH522" s="1358"/>
      <c r="QQI522" s="1358"/>
      <c r="QQJ522" s="1358"/>
      <c r="QQK522" s="1358"/>
      <c r="QQL522" s="1358"/>
      <c r="QQM522" s="1358"/>
      <c r="QQN522" s="1358"/>
      <c r="QQO522" s="1358"/>
      <c r="QQP522" s="1358"/>
      <c r="QQQ522" s="1358"/>
      <c r="QQR522" s="1358"/>
      <c r="QQS522" s="1358"/>
      <c r="QQT522" s="1358"/>
      <c r="QQU522" s="1358"/>
      <c r="QQV522" s="1358"/>
      <c r="QQW522" s="1358"/>
      <c r="QQX522" s="1358"/>
      <c r="QQY522" s="1358"/>
      <c r="QQZ522" s="1358"/>
      <c r="QRA522" s="1358"/>
      <c r="QRB522" s="1358"/>
      <c r="QRC522" s="1358"/>
      <c r="QRD522" s="1358"/>
      <c r="QRE522" s="1358"/>
      <c r="QRF522" s="1358"/>
      <c r="QRG522" s="1358"/>
      <c r="QRH522" s="1358"/>
      <c r="QRI522" s="1358"/>
      <c r="QRJ522" s="1358"/>
      <c r="QRK522" s="1358"/>
      <c r="QRL522" s="1358"/>
      <c r="QRM522" s="1358"/>
      <c r="QRN522" s="1358"/>
      <c r="QRO522" s="1358"/>
      <c r="QRP522" s="1358"/>
      <c r="QRQ522" s="1358"/>
      <c r="QRR522" s="1358"/>
      <c r="QRS522" s="1358"/>
      <c r="QRT522" s="1358"/>
      <c r="QRU522" s="1358"/>
      <c r="QRV522" s="1358"/>
      <c r="QRW522" s="1358"/>
      <c r="QRX522" s="1358"/>
      <c r="QRY522" s="1358"/>
      <c r="QRZ522" s="1358"/>
      <c r="QSA522" s="1358"/>
      <c r="QSB522" s="1358"/>
      <c r="QSC522" s="1358"/>
      <c r="QSD522" s="1358"/>
      <c r="QSE522" s="1358"/>
      <c r="QSF522" s="1358"/>
      <c r="QSG522" s="1358"/>
      <c r="QSH522" s="1358"/>
      <c r="QSI522" s="1358"/>
      <c r="QSJ522" s="1358"/>
      <c r="QSK522" s="1358"/>
      <c r="QSL522" s="1358"/>
      <c r="QSM522" s="1358"/>
      <c r="QSN522" s="1358"/>
      <c r="QSO522" s="1358"/>
      <c r="QSP522" s="1358"/>
      <c r="QSQ522" s="1358"/>
      <c r="QSR522" s="1358"/>
      <c r="QSS522" s="1358"/>
      <c r="QST522" s="1358"/>
      <c r="QSU522" s="1358"/>
      <c r="QSV522" s="1358"/>
      <c r="QSW522" s="1358"/>
      <c r="QSX522" s="1358"/>
      <c r="QSY522" s="1358"/>
      <c r="QSZ522" s="1358"/>
      <c r="QTA522" s="1358"/>
      <c r="QTB522" s="1358"/>
      <c r="QTC522" s="1358"/>
      <c r="QTD522" s="1358"/>
      <c r="QTE522" s="1358"/>
      <c r="QTF522" s="1358"/>
      <c r="QTG522" s="1358"/>
      <c r="QTH522" s="1358"/>
      <c r="QTI522" s="1358"/>
      <c r="QTJ522" s="1358"/>
      <c r="QTK522" s="1358"/>
      <c r="QTL522" s="1358"/>
      <c r="QTM522" s="1358"/>
      <c r="QTN522" s="1358"/>
      <c r="QTO522" s="1358"/>
      <c r="QTP522" s="1358"/>
      <c r="QTQ522" s="1358"/>
      <c r="QTR522" s="1358"/>
      <c r="QTS522" s="1358"/>
      <c r="QTT522" s="1358"/>
      <c r="QTU522" s="1358"/>
      <c r="QTV522" s="1358"/>
      <c r="QTW522" s="1358"/>
      <c r="QTX522" s="1358"/>
      <c r="QTY522" s="1358"/>
      <c r="QTZ522" s="1358"/>
      <c r="QUA522" s="1358"/>
      <c r="QUB522" s="1358"/>
      <c r="QUC522" s="1358"/>
      <c r="QUD522" s="1358"/>
      <c r="QUE522" s="1358"/>
      <c r="QUF522" s="1358"/>
      <c r="QUG522" s="1358"/>
      <c r="QUH522" s="1358"/>
      <c r="QUI522" s="1358"/>
      <c r="QUJ522" s="1358"/>
      <c r="QUK522" s="1358"/>
      <c r="QUL522" s="1358"/>
      <c r="QUM522" s="1358"/>
      <c r="QUN522" s="1358"/>
      <c r="QUO522" s="1358"/>
      <c r="QUP522" s="1358"/>
      <c r="QUQ522" s="1358"/>
      <c r="QUR522" s="1358"/>
      <c r="QUS522" s="1358"/>
      <c r="QUT522" s="1358"/>
      <c r="QUU522" s="1358"/>
      <c r="QUV522" s="1358"/>
      <c r="QUW522" s="1358"/>
      <c r="QUX522" s="1358"/>
      <c r="QUY522" s="1358"/>
      <c r="QUZ522" s="1358"/>
      <c r="QVA522" s="1358"/>
      <c r="QVB522" s="1358"/>
      <c r="QVC522" s="1358"/>
      <c r="QVD522" s="1358"/>
      <c r="QVE522" s="1358"/>
      <c r="QVF522" s="1358"/>
      <c r="QVG522" s="1358"/>
      <c r="QVH522" s="1358"/>
      <c r="QVI522" s="1358"/>
      <c r="QVJ522" s="1358"/>
      <c r="QVK522" s="1358"/>
      <c r="QVL522" s="1358"/>
      <c r="QVM522" s="1358"/>
      <c r="QVN522" s="1358"/>
      <c r="QVO522" s="1358"/>
      <c r="QVP522" s="1358"/>
      <c r="QVQ522" s="1358"/>
      <c r="QVR522" s="1358"/>
      <c r="QVS522" s="1358"/>
      <c r="QVT522" s="1358"/>
      <c r="QVU522" s="1358"/>
      <c r="QVV522" s="1358"/>
      <c r="QVW522" s="1358"/>
      <c r="QVX522" s="1358"/>
      <c r="QVY522" s="1358"/>
      <c r="QVZ522" s="1358"/>
      <c r="QWA522" s="1358"/>
      <c r="QWB522" s="1358"/>
      <c r="QWC522" s="1358"/>
      <c r="QWD522" s="1358"/>
      <c r="QWE522" s="1358"/>
      <c r="QWF522" s="1358"/>
      <c r="QWG522" s="1358"/>
      <c r="QWH522" s="1358"/>
      <c r="QWI522" s="1358"/>
      <c r="QWJ522" s="1358"/>
      <c r="QWK522" s="1358"/>
      <c r="QWL522" s="1358"/>
      <c r="QWM522" s="1358"/>
      <c r="QWN522" s="1358"/>
      <c r="QWO522" s="1358"/>
      <c r="QWP522" s="1358"/>
      <c r="QWQ522" s="1358"/>
      <c r="QWR522" s="1358"/>
      <c r="QWS522" s="1358"/>
      <c r="QWT522" s="1358"/>
      <c r="QWU522" s="1358"/>
      <c r="QWV522" s="1358"/>
      <c r="QWW522" s="1358"/>
      <c r="QWX522" s="1358"/>
      <c r="QWY522" s="1358"/>
      <c r="QWZ522" s="1358"/>
      <c r="QXA522" s="1358"/>
      <c r="QXB522" s="1358"/>
      <c r="QXC522" s="1358"/>
      <c r="QXD522" s="1358"/>
      <c r="QXE522" s="1358"/>
      <c r="QXF522" s="1358"/>
      <c r="QXG522" s="1358"/>
      <c r="QXH522" s="1358"/>
      <c r="QXI522" s="1358"/>
      <c r="QXJ522" s="1358"/>
      <c r="QXK522" s="1358"/>
      <c r="QXL522" s="1358"/>
      <c r="QXM522" s="1358"/>
      <c r="QXN522" s="1358"/>
      <c r="QXO522" s="1358"/>
      <c r="QXP522" s="1358"/>
      <c r="QXQ522" s="1358"/>
      <c r="QXR522" s="1358"/>
      <c r="QXS522" s="1358"/>
      <c r="QXT522" s="1358"/>
      <c r="QXU522" s="1358"/>
      <c r="QXV522" s="1358"/>
      <c r="QXW522" s="1358"/>
      <c r="QXX522" s="1358"/>
      <c r="QXY522" s="1358"/>
      <c r="QXZ522" s="1358"/>
      <c r="QYA522" s="1358"/>
      <c r="QYB522" s="1358"/>
      <c r="QYC522" s="1358"/>
      <c r="QYD522" s="1358"/>
      <c r="QYE522" s="1358"/>
      <c r="QYF522" s="1358"/>
      <c r="QYG522" s="1358"/>
      <c r="QYH522" s="1358"/>
      <c r="QYI522" s="1358"/>
      <c r="QYJ522" s="1358"/>
      <c r="QYK522" s="1358"/>
      <c r="QYL522" s="1358"/>
      <c r="QYM522" s="1358"/>
      <c r="QYN522" s="1358"/>
      <c r="QYO522" s="1358"/>
      <c r="QYP522" s="1358"/>
      <c r="QYQ522" s="1358"/>
      <c r="QYR522" s="1358"/>
      <c r="QYS522" s="1358"/>
      <c r="QYT522" s="1358"/>
      <c r="QYU522" s="1358"/>
      <c r="QYV522" s="1358"/>
      <c r="QYW522" s="1358"/>
      <c r="QYX522" s="1358"/>
      <c r="QYY522" s="1358"/>
      <c r="QYZ522" s="1358"/>
      <c r="QZA522" s="1358"/>
      <c r="QZB522" s="1358"/>
      <c r="QZC522" s="1358"/>
      <c r="QZD522" s="1358"/>
      <c r="QZE522" s="1358"/>
      <c r="QZF522" s="1358"/>
      <c r="QZG522" s="1358"/>
      <c r="QZH522" s="1358"/>
      <c r="QZI522" s="1358"/>
      <c r="QZJ522" s="1358"/>
      <c r="QZK522" s="1358"/>
      <c r="QZL522" s="1358"/>
      <c r="QZM522" s="1358"/>
      <c r="QZN522" s="1358"/>
      <c r="QZO522" s="1358"/>
      <c r="QZP522" s="1358"/>
      <c r="QZQ522" s="1358"/>
      <c r="QZR522" s="1358"/>
      <c r="QZS522" s="1358"/>
      <c r="QZT522" s="1358"/>
      <c r="QZU522" s="1358"/>
      <c r="QZV522" s="1358"/>
      <c r="QZW522" s="1358"/>
      <c r="QZX522" s="1358"/>
      <c r="QZY522" s="1358"/>
      <c r="QZZ522" s="1358"/>
      <c r="RAA522" s="1358"/>
      <c r="RAB522" s="1358"/>
      <c r="RAC522" s="1358"/>
      <c r="RAD522" s="1358"/>
      <c r="RAE522" s="1358"/>
      <c r="RAF522" s="1358"/>
      <c r="RAG522" s="1358"/>
      <c r="RAH522" s="1358"/>
      <c r="RAI522" s="1358"/>
      <c r="RAJ522" s="1358"/>
      <c r="RAK522" s="1358"/>
      <c r="RAL522" s="1358"/>
      <c r="RAM522" s="1358"/>
      <c r="RAN522" s="1358"/>
      <c r="RAO522" s="1358"/>
      <c r="RAP522" s="1358"/>
      <c r="RAQ522" s="1358"/>
      <c r="RAR522" s="1358"/>
      <c r="RAS522" s="1358"/>
      <c r="RAT522" s="1358"/>
      <c r="RAU522" s="1358"/>
      <c r="RAV522" s="1358"/>
      <c r="RAW522" s="1358"/>
      <c r="RAX522" s="1358"/>
      <c r="RAY522" s="1358"/>
      <c r="RAZ522" s="1358"/>
      <c r="RBA522" s="1358"/>
      <c r="RBB522" s="1358"/>
      <c r="RBC522" s="1358"/>
      <c r="RBD522" s="1358"/>
      <c r="RBE522" s="1358"/>
      <c r="RBF522" s="1358"/>
      <c r="RBG522" s="1358"/>
      <c r="RBH522" s="1358"/>
      <c r="RBI522" s="1358"/>
      <c r="RBJ522" s="1358"/>
      <c r="RBK522" s="1358"/>
      <c r="RBL522" s="1358"/>
      <c r="RBM522" s="1358"/>
      <c r="RBN522" s="1358"/>
      <c r="RBO522" s="1358"/>
      <c r="RBP522" s="1358"/>
      <c r="RBQ522" s="1358"/>
      <c r="RBR522" s="1358"/>
      <c r="RBS522" s="1358"/>
      <c r="RBT522" s="1358"/>
      <c r="RBU522" s="1358"/>
      <c r="RBV522" s="1358"/>
      <c r="RBW522" s="1358"/>
      <c r="RBX522" s="1358"/>
      <c r="RBY522" s="1358"/>
      <c r="RBZ522" s="1358"/>
      <c r="RCA522" s="1358"/>
      <c r="RCB522" s="1358"/>
      <c r="RCC522" s="1358"/>
      <c r="RCD522" s="1358"/>
      <c r="RCE522" s="1358"/>
      <c r="RCF522" s="1358"/>
      <c r="RCG522" s="1358"/>
      <c r="RCH522" s="1358"/>
      <c r="RCI522" s="1358"/>
      <c r="RCJ522" s="1358"/>
      <c r="RCK522" s="1358"/>
      <c r="RCL522" s="1358"/>
      <c r="RCM522" s="1358"/>
      <c r="RCN522" s="1358"/>
      <c r="RCO522" s="1358"/>
      <c r="RCP522" s="1358"/>
      <c r="RCQ522" s="1358"/>
      <c r="RCR522" s="1358"/>
      <c r="RCS522" s="1358"/>
      <c r="RCT522" s="1358"/>
      <c r="RCU522" s="1358"/>
      <c r="RCV522" s="1358"/>
      <c r="RCW522" s="1358"/>
      <c r="RCX522" s="1358"/>
      <c r="RCY522" s="1358"/>
      <c r="RCZ522" s="1358"/>
      <c r="RDA522" s="1358"/>
      <c r="RDB522" s="1358"/>
      <c r="RDC522" s="1358"/>
      <c r="RDD522" s="1358"/>
      <c r="RDE522" s="1358"/>
      <c r="RDF522" s="1358"/>
      <c r="RDG522" s="1358"/>
      <c r="RDH522" s="1358"/>
      <c r="RDI522" s="1358"/>
      <c r="RDJ522" s="1358"/>
      <c r="RDK522" s="1358"/>
      <c r="RDL522" s="1358"/>
      <c r="RDM522" s="1358"/>
      <c r="RDN522" s="1358"/>
      <c r="RDO522" s="1358"/>
      <c r="RDP522" s="1358"/>
      <c r="RDQ522" s="1358"/>
      <c r="RDR522" s="1358"/>
      <c r="RDS522" s="1358"/>
      <c r="RDT522" s="1358"/>
      <c r="RDU522" s="1358"/>
      <c r="RDV522" s="1358"/>
      <c r="RDW522" s="1358"/>
      <c r="RDX522" s="1358"/>
      <c r="RDY522" s="1358"/>
      <c r="RDZ522" s="1358"/>
      <c r="REA522" s="1358"/>
      <c r="REB522" s="1358"/>
      <c r="REC522" s="1358"/>
      <c r="RED522" s="1358"/>
      <c r="REE522" s="1358"/>
      <c r="REF522" s="1358"/>
      <c r="REG522" s="1358"/>
      <c r="REH522" s="1358"/>
      <c r="REI522" s="1358"/>
      <c r="REJ522" s="1358"/>
      <c r="REK522" s="1358"/>
      <c r="REL522" s="1358"/>
      <c r="REM522" s="1358"/>
      <c r="REN522" s="1358"/>
      <c r="REO522" s="1358"/>
      <c r="REP522" s="1358"/>
      <c r="REQ522" s="1358"/>
      <c r="RER522" s="1358"/>
      <c r="RES522" s="1358"/>
      <c r="RET522" s="1358"/>
      <c r="REU522" s="1358"/>
      <c r="REV522" s="1358"/>
      <c r="REW522" s="1358"/>
      <c r="REX522" s="1358"/>
      <c r="REY522" s="1358"/>
      <c r="REZ522" s="1358"/>
      <c r="RFA522" s="1358"/>
      <c r="RFB522" s="1358"/>
      <c r="RFC522" s="1358"/>
      <c r="RFD522" s="1358"/>
      <c r="RFE522" s="1358"/>
      <c r="RFF522" s="1358"/>
      <c r="RFG522" s="1358"/>
      <c r="RFH522" s="1358"/>
      <c r="RFI522" s="1358"/>
      <c r="RFJ522" s="1358"/>
      <c r="RFK522" s="1358"/>
      <c r="RFL522" s="1358"/>
      <c r="RFM522" s="1358"/>
      <c r="RFN522" s="1358"/>
      <c r="RFO522" s="1358"/>
      <c r="RFP522" s="1358"/>
      <c r="RFQ522" s="1358"/>
      <c r="RFR522" s="1358"/>
      <c r="RFS522" s="1358"/>
      <c r="RFT522" s="1358"/>
      <c r="RFU522" s="1358"/>
      <c r="RFV522" s="1358"/>
      <c r="RFW522" s="1358"/>
      <c r="RFX522" s="1358"/>
      <c r="RFY522" s="1358"/>
      <c r="RFZ522" s="1358"/>
      <c r="RGA522" s="1358"/>
      <c r="RGB522" s="1358"/>
      <c r="RGC522" s="1358"/>
      <c r="RGD522" s="1358"/>
      <c r="RGE522" s="1358"/>
      <c r="RGF522" s="1358"/>
      <c r="RGG522" s="1358"/>
      <c r="RGH522" s="1358"/>
      <c r="RGI522" s="1358"/>
      <c r="RGJ522" s="1358"/>
      <c r="RGK522" s="1358"/>
      <c r="RGL522" s="1358"/>
      <c r="RGM522" s="1358"/>
      <c r="RGN522" s="1358"/>
      <c r="RGO522" s="1358"/>
      <c r="RGP522" s="1358"/>
      <c r="RGQ522" s="1358"/>
      <c r="RGR522" s="1358"/>
      <c r="RGS522" s="1358"/>
      <c r="RGT522" s="1358"/>
      <c r="RGU522" s="1358"/>
      <c r="RGV522" s="1358"/>
      <c r="RGW522" s="1358"/>
      <c r="RGX522" s="1358"/>
      <c r="RGY522" s="1358"/>
      <c r="RGZ522" s="1358"/>
      <c r="RHA522" s="1358"/>
      <c r="RHB522" s="1358"/>
      <c r="RHC522" s="1358"/>
      <c r="RHD522" s="1358"/>
      <c r="RHE522" s="1358"/>
      <c r="RHF522" s="1358"/>
      <c r="RHG522" s="1358"/>
      <c r="RHH522" s="1358"/>
      <c r="RHI522" s="1358"/>
      <c r="RHJ522" s="1358"/>
      <c r="RHK522" s="1358"/>
      <c r="RHL522" s="1358"/>
      <c r="RHM522" s="1358"/>
      <c r="RHN522" s="1358"/>
      <c r="RHO522" s="1358"/>
      <c r="RHP522" s="1358"/>
      <c r="RHQ522" s="1358"/>
      <c r="RHR522" s="1358"/>
      <c r="RHS522" s="1358"/>
      <c r="RHT522" s="1358"/>
      <c r="RHU522" s="1358"/>
      <c r="RHV522" s="1358"/>
      <c r="RHW522" s="1358"/>
      <c r="RHX522" s="1358"/>
      <c r="RHY522" s="1358"/>
      <c r="RHZ522" s="1358"/>
      <c r="RIA522" s="1358"/>
      <c r="RIB522" s="1358"/>
      <c r="RIC522" s="1358"/>
      <c r="RID522" s="1358"/>
      <c r="RIE522" s="1358"/>
      <c r="RIF522" s="1358"/>
      <c r="RIG522" s="1358"/>
      <c r="RIH522" s="1358"/>
      <c r="RII522" s="1358"/>
      <c r="RIJ522" s="1358"/>
      <c r="RIK522" s="1358"/>
      <c r="RIL522" s="1358"/>
      <c r="RIM522" s="1358"/>
      <c r="RIN522" s="1358"/>
      <c r="RIO522" s="1358"/>
      <c r="RIP522" s="1358"/>
      <c r="RIQ522" s="1358"/>
      <c r="RIR522" s="1358"/>
      <c r="RIS522" s="1358"/>
      <c r="RIT522" s="1358"/>
      <c r="RIU522" s="1358"/>
      <c r="RIV522" s="1358"/>
      <c r="RIW522" s="1358"/>
      <c r="RIX522" s="1358"/>
      <c r="RIY522" s="1358"/>
      <c r="RIZ522" s="1358"/>
      <c r="RJA522" s="1358"/>
      <c r="RJB522" s="1358"/>
      <c r="RJC522" s="1358"/>
      <c r="RJD522" s="1358"/>
      <c r="RJE522" s="1358"/>
      <c r="RJF522" s="1358"/>
      <c r="RJG522" s="1358"/>
      <c r="RJH522" s="1358"/>
      <c r="RJI522" s="1358"/>
      <c r="RJJ522" s="1358"/>
      <c r="RJK522" s="1358"/>
      <c r="RJL522" s="1358"/>
      <c r="RJM522" s="1358"/>
      <c r="RJN522" s="1358"/>
      <c r="RJO522" s="1358"/>
      <c r="RJP522" s="1358"/>
      <c r="RJQ522" s="1358"/>
      <c r="RJR522" s="1358"/>
      <c r="RJS522" s="1358"/>
      <c r="RJT522" s="1358"/>
      <c r="RJU522" s="1358"/>
      <c r="RJV522" s="1358"/>
      <c r="RJW522" s="1358"/>
      <c r="RJX522" s="1358"/>
      <c r="RJY522" s="1358"/>
      <c r="RJZ522" s="1358"/>
      <c r="RKA522" s="1358"/>
      <c r="RKB522" s="1358"/>
      <c r="RKC522" s="1358"/>
      <c r="RKD522" s="1358"/>
      <c r="RKE522" s="1358"/>
      <c r="RKF522" s="1358"/>
      <c r="RKG522" s="1358"/>
      <c r="RKH522" s="1358"/>
      <c r="RKI522" s="1358"/>
      <c r="RKJ522" s="1358"/>
      <c r="RKK522" s="1358"/>
      <c r="RKL522" s="1358"/>
      <c r="RKM522" s="1358"/>
      <c r="RKN522" s="1358"/>
      <c r="RKO522" s="1358"/>
      <c r="RKP522" s="1358"/>
      <c r="RKQ522" s="1358"/>
      <c r="RKR522" s="1358"/>
      <c r="RKS522" s="1358"/>
      <c r="RKT522" s="1358"/>
      <c r="RKU522" s="1358"/>
      <c r="RKV522" s="1358"/>
      <c r="RKW522" s="1358"/>
      <c r="RKX522" s="1358"/>
      <c r="RKY522" s="1358"/>
      <c r="RKZ522" s="1358"/>
      <c r="RLA522" s="1358"/>
      <c r="RLB522" s="1358"/>
      <c r="RLC522" s="1358"/>
      <c r="RLD522" s="1358"/>
      <c r="RLE522" s="1358"/>
      <c r="RLF522" s="1358"/>
      <c r="RLG522" s="1358"/>
      <c r="RLH522" s="1358"/>
      <c r="RLI522" s="1358"/>
      <c r="RLJ522" s="1358"/>
      <c r="RLK522" s="1358"/>
      <c r="RLL522" s="1358"/>
      <c r="RLM522" s="1358"/>
      <c r="RLN522" s="1358"/>
      <c r="RLO522" s="1358"/>
      <c r="RLP522" s="1358"/>
      <c r="RLQ522" s="1358"/>
      <c r="RLR522" s="1358"/>
      <c r="RLS522" s="1358"/>
      <c r="RLT522" s="1358"/>
      <c r="RLU522" s="1358"/>
      <c r="RLV522" s="1358"/>
      <c r="RLW522" s="1358"/>
      <c r="RLX522" s="1358"/>
      <c r="RLY522" s="1358"/>
      <c r="RLZ522" s="1358"/>
      <c r="RMA522" s="1358"/>
      <c r="RMB522" s="1358"/>
      <c r="RMC522" s="1358"/>
      <c r="RMD522" s="1358"/>
      <c r="RME522" s="1358"/>
      <c r="RMF522" s="1358"/>
      <c r="RMG522" s="1358"/>
      <c r="RMH522" s="1358"/>
      <c r="RMI522" s="1358"/>
      <c r="RMJ522" s="1358"/>
      <c r="RMK522" s="1358"/>
      <c r="RML522" s="1358"/>
      <c r="RMM522" s="1358"/>
      <c r="RMN522" s="1358"/>
      <c r="RMO522" s="1358"/>
      <c r="RMP522" s="1358"/>
      <c r="RMQ522" s="1358"/>
      <c r="RMR522" s="1358"/>
      <c r="RMS522" s="1358"/>
      <c r="RMT522" s="1358"/>
      <c r="RMU522" s="1358"/>
      <c r="RMV522" s="1358"/>
      <c r="RMW522" s="1358"/>
      <c r="RMX522" s="1358"/>
      <c r="RMY522" s="1358"/>
      <c r="RMZ522" s="1358"/>
      <c r="RNA522" s="1358"/>
      <c r="RNB522" s="1358"/>
      <c r="RNC522" s="1358"/>
      <c r="RND522" s="1358"/>
      <c r="RNE522" s="1358"/>
      <c r="RNF522" s="1358"/>
      <c r="RNG522" s="1358"/>
      <c r="RNH522" s="1358"/>
      <c r="RNI522" s="1358"/>
      <c r="RNJ522" s="1358"/>
      <c r="RNK522" s="1358"/>
      <c r="RNL522" s="1358"/>
      <c r="RNM522" s="1358"/>
      <c r="RNN522" s="1358"/>
      <c r="RNO522" s="1358"/>
      <c r="RNP522" s="1358"/>
      <c r="RNQ522" s="1358"/>
      <c r="RNR522" s="1358"/>
      <c r="RNS522" s="1358"/>
      <c r="RNT522" s="1358"/>
      <c r="RNU522" s="1358"/>
      <c r="RNV522" s="1358"/>
      <c r="RNW522" s="1358"/>
      <c r="RNX522" s="1358"/>
      <c r="RNY522" s="1358"/>
      <c r="RNZ522" s="1358"/>
      <c r="ROA522" s="1358"/>
      <c r="ROB522" s="1358"/>
      <c r="ROC522" s="1358"/>
      <c r="ROD522" s="1358"/>
      <c r="ROE522" s="1358"/>
      <c r="ROF522" s="1358"/>
      <c r="ROG522" s="1358"/>
      <c r="ROH522" s="1358"/>
      <c r="ROI522" s="1358"/>
      <c r="ROJ522" s="1358"/>
      <c r="ROK522" s="1358"/>
      <c r="ROL522" s="1358"/>
      <c r="ROM522" s="1358"/>
      <c r="RON522" s="1358"/>
      <c r="ROO522" s="1358"/>
      <c r="ROP522" s="1358"/>
      <c r="ROQ522" s="1358"/>
      <c r="ROR522" s="1358"/>
      <c r="ROS522" s="1358"/>
      <c r="ROT522" s="1358"/>
      <c r="ROU522" s="1358"/>
      <c r="ROV522" s="1358"/>
      <c r="ROW522" s="1358"/>
      <c r="ROX522" s="1358"/>
      <c r="ROY522" s="1358"/>
      <c r="ROZ522" s="1358"/>
      <c r="RPA522" s="1358"/>
      <c r="RPB522" s="1358"/>
      <c r="RPC522" s="1358"/>
      <c r="RPD522" s="1358"/>
      <c r="RPE522" s="1358"/>
      <c r="RPF522" s="1358"/>
      <c r="RPG522" s="1358"/>
      <c r="RPH522" s="1358"/>
      <c r="RPI522" s="1358"/>
      <c r="RPJ522" s="1358"/>
      <c r="RPK522" s="1358"/>
      <c r="RPL522" s="1358"/>
      <c r="RPM522" s="1358"/>
      <c r="RPN522" s="1358"/>
      <c r="RPO522" s="1358"/>
      <c r="RPP522" s="1358"/>
      <c r="RPQ522" s="1358"/>
      <c r="RPR522" s="1358"/>
      <c r="RPS522" s="1358"/>
      <c r="RPT522" s="1358"/>
      <c r="RPU522" s="1358"/>
      <c r="RPV522" s="1358"/>
      <c r="RPW522" s="1358"/>
      <c r="RPX522" s="1358"/>
      <c r="RPY522" s="1358"/>
      <c r="RPZ522" s="1358"/>
      <c r="RQA522" s="1358"/>
      <c r="RQB522" s="1358"/>
      <c r="RQC522" s="1358"/>
      <c r="RQD522" s="1358"/>
      <c r="RQE522" s="1358"/>
      <c r="RQF522" s="1358"/>
      <c r="RQG522" s="1358"/>
      <c r="RQH522" s="1358"/>
      <c r="RQI522" s="1358"/>
      <c r="RQJ522" s="1358"/>
      <c r="RQK522" s="1358"/>
      <c r="RQL522" s="1358"/>
      <c r="RQM522" s="1358"/>
      <c r="RQN522" s="1358"/>
      <c r="RQO522" s="1358"/>
      <c r="RQP522" s="1358"/>
      <c r="RQQ522" s="1358"/>
      <c r="RQR522" s="1358"/>
      <c r="RQS522" s="1358"/>
      <c r="RQT522" s="1358"/>
      <c r="RQU522" s="1358"/>
      <c r="RQV522" s="1358"/>
      <c r="RQW522" s="1358"/>
      <c r="RQX522" s="1358"/>
      <c r="RQY522" s="1358"/>
      <c r="RQZ522" s="1358"/>
      <c r="RRA522" s="1358"/>
      <c r="RRB522" s="1358"/>
      <c r="RRC522" s="1358"/>
      <c r="RRD522" s="1358"/>
      <c r="RRE522" s="1358"/>
      <c r="RRF522" s="1358"/>
      <c r="RRG522" s="1358"/>
      <c r="RRH522" s="1358"/>
      <c r="RRI522" s="1358"/>
      <c r="RRJ522" s="1358"/>
      <c r="RRK522" s="1358"/>
      <c r="RRL522" s="1358"/>
      <c r="RRM522" s="1358"/>
      <c r="RRN522" s="1358"/>
      <c r="RRO522" s="1358"/>
      <c r="RRP522" s="1358"/>
      <c r="RRQ522" s="1358"/>
      <c r="RRR522" s="1358"/>
      <c r="RRS522" s="1358"/>
      <c r="RRT522" s="1358"/>
      <c r="RRU522" s="1358"/>
      <c r="RRV522" s="1358"/>
      <c r="RRW522" s="1358"/>
      <c r="RRX522" s="1358"/>
      <c r="RRY522" s="1358"/>
      <c r="RRZ522" s="1358"/>
      <c r="RSA522" s="1358"/>
      <c r="RSB522" s="1358"/>
      <c r="RSC522" s="1358"/>
      <c r="RSD522" s="1358"/>
      <c r="RSE522" s="1358"/>
      <c r="RSF522" s="1358"/>
      <c r="RSG522" s="1358"/>
      <c r="RSH522" s="1358"/>
      <c r="RSI522" s="1358"/>
      <c r="RSJ522" s="1358"/>
      <c r="RSK522" s="1358"/>
      <c r="RSL522" s="1358"/>
      <c r="RSM522" s="1358"/>
      <c r="RSN522" s="1358"/>
      <c r="RSO522" s="1358"/>
      <c r="RSP522" s="1358"/>
      <c r="RSQ522" s="1358"/>
      <c r="RSR522" s="1358"/>
      <c r="RSS522" s="1358"/>
      <c r="RST522" s="1358"/>
      <c r="RSU522" s="1358"/>
      <c r="RSV522" s="1358"/>
      <c r="RSW522" s="1358"/>
      <c r="RSX522" s="1358"/>
      <c r="RSY522" s="1358"/>
      <c r="RSZ522" s="1358"/>
      <c r="RTA522" s="1358"/>
      <c r="RTB522" s="1358"/>
      <c r="RTC522" s="1358"/>
      <c r="RTD522" s="1358"/>
      <c r="RTE522" s="1358"/>
      <c r="RTF522" s="1358"/>
      <c r="RTG522" s="1358"/>
      <c r="RTH522" s="1358"/>
      <c r="RTI522" s="1358"/>
      <c r="RTJ522" s="1358"/>
      <c r="RTK522" s="1358"/>
      <c r="RTL522" s="1358"/>
      <c r="RTM522" s="1358"/>
      <c r="RTN522" s="1358"/>
      <c r="RTO522" s="1358"/>
      <c r="RTP522" s="1358"/>
      <c r="RTQ522" s="1358"/>
      <c r="RTR522" s="1358"/>
      <c r="RTS522" s="1358"/>
      <c r="RTT522" s="1358"/>
      <c r="RTU522" s="1358"/>
      <c r="RTV522" s="1358"/>
      <c r="RTW522" s="1358"/>
      <c r="RTX522" s="1358"/>
      <c r="RTY522" s="1358"/>
      <c r="RTZ522" s="1358"/>
      <c r="RUA522" s="1358"/>
      <c r="RUB522" s="1358"/>
      <c r="RUC522" s="1358"/>
      <c r="RUD522" s="1358"/>
      <c r="RUE522" s="1358"/>
      <c r="RUF522" s="1358"/>
      <c r="RUG522" s="1358"/>
      <c r="RUH522" s="1358"/>
      <c r="RUI522" s="1358"/>
      <c r="RUJ522" s="1358"/>
      <c r="RUK522" s="1358"/>
      <c r="RUL522" s="1358"/>
      <c r="RUM522" s="1358"/>
      <c r="RUN522" s="1358"/>
      <c r="RUO522" s="1358"/>
      <c r="RUP522" s="1358"/>
      <c r="RUQ522" s="1358"/>
      <c r="RUR522" s="1358"/>
      <c r="RUS522" s="1358"/>
      <c r="RUT522" s="1358"/>
      <c r="RUU522" s="1358"/>
      <c r="RUV522" s="1358"/>
      <c r="RUW522" s="1358"/>
      <c r="RUX522" s="1358"/>
      <c r="RUY522" s="1358"/>
      <c r="RUZ522" s="1358"/>
      <c r="RVA522" s="1358"/>
      <c r="RVB522" s="1358"/>
      <c r="RVC522" s="1358"/>
      <c r="RVD522" s="1358"/>
      <c r="RVE522" s="1358"/>
      <c r="RVF522" s="1358"/>
      <c r="RVG522" s="1358"/>
      <c r="RVH522" s="1358"/>
      <c r="RVI522" s="1358"/>
      <c r="RVJ522" s="1358"/>
      <c r="RVK522" s="1358"/>
      <c r="RVL522" s="1358"/>
      <c r="RVM522" s="1358"/>
      <c r="RVN522" s="1358"/>
      <c r="RVO522" s="1358"/>
      <c r="RVP522" s="1358"/>
      <c r="RVQ522" s="1358"/>
      <c r="RVR522" s="1358"/>
      <c r="RVS522" s="1358"/>
      <c r="RVT522" s="1358"/>
      <c r="RVU522" s="1358"/>
      <c r="RVV522" s="1358"/>
      <c r="RVW522" s="1358"/>
      <c r="RVX522" s="1358"/>
      <c r="RVY522" s="1358"/>
      <c r="RVZ522" s="1358"/>
      <c r="RWA522" s="1358"/>
      <c r="RWB522" s="1358"/>
      <c r="RWC522" s="1358"/>
      <c r="RWD522" s="1358"/>
      <c r="RWE522" s="1358"/>
      <c r="RWF522" s="1358"/>
      <c r="RWG522" s="1358"/>
      <c r="RWH522" s="1358"/>
      <c r="RWI522" s="1358"/>
      <c r="RWJ522" s="1358"/>
      <c r="RWK522" s="1358"/>
      <c r="RWL522" s="1358"/>
      <c r="RWM522" s="1358"/>
      <c r="RWN522" s="1358"/>
      <c r="RWO522" s="1358"/>
      <c r="RWP522" s="1358"/>
      <c r="RWQ522" s="1358"/>
      <c r="RWR522" s="1358"/>
      <c r="RWS522" s="1358"/>
      <c r="RWT522" s="1358"/>
      <c r="RWU522" s="1358"/>
      <c r="RWV522" s="1358"/>
      <c r="RWW522" s="1358"/>
      <c r="RWX522" s="1358"/>
      <c r="RWY522" s="1358"/>
      <c r="RWZ522" s="1358"/>
      <c r="RXA522" s="1358"/>
      <c r="RXB522" s="1358"/>
      <c r="RXC522" s="1358"/>
      <c r="RXD522" s="1358"/>
      <c r="RXE522" s="1358"/>
      <c r="RXF522" s="1358"/>
      <c r="RXG522" s="1358"/>
      <c r="RXH522" s="1358"/>
      <c r="RXI522" s="1358"/>
      <c r="RXJ522" s="1358"/>
      <c r="RXK522" s="1358"/>
      <c r="RXL522" s="1358"/>
      <c r="RXM522" s="1358"/>
      <c r="RXN522" s="1358"/>
      <c r="RXO522" s="1358"/>
      <c r="RXP522" s="1358"/>
      <c r="RXQ522" s="1358"/>
      <c r="RXR522" s="1358"/>
      <c r="RXS522" s="1358"/>
      <c r="RXT522" s="1358"/>
      <c r="RXU522" s="1358"/>
      <c r="RXV522" s="1358"/>
      <c r="RXW522" s="1358"/>
      <c r="RXX522" s="1358"/>
      <c r="RXY522" s="1358"/>
      <c r="RXZ522" s="1358"/>
      <c r="RYA522" s="1358"/>
      <c r="RYB522" s="1358"/>
      <c r="RYC522" s="1358"/>
      <c r="RYD522" s="1358"/>
      <c r="RYE522" s="1358"/>
      <c r="RYF522" s="1358"/>
      <c r="RYG522" s="1358"/>
      <c r="RYH522" s="1358"/>
      <c r="RYI522" s="1358"/>
      <c r="RYJ522" s="1358"/>
      <c r="RYK522" s="1358"/>
      <c r="RYL522" s="1358"/>
      <c r="RYM522" s="1358"/>
      <c r="RYN522" s="1358"/>
      <c r="RYO522" s="1358"/>
      <c r="RYP522" s="1358"/>
      <c r="RYQ522" s="1358"/>
      <c r="RYR522" s="1358"/>
      <c r="RYS522" s="1358"/>
      <c r="RYT522" s="1358"/>
      <c r="RYU522" s="1358"/>
      <c r="RYV522" s="1358"/>
      <c r="RYW522" s="1358"/>
      <c r="RYX522" s="1358"/>
      <c r="RYY522" s="1358"/>
      <c r="RYZ522" s="1358"/>
      <c r="RZA522" s="1358"/>
      <c r="RZB522" s="1358"/>
      <c r="RZC522" s="1358"/>
      <c r="RZD522" s="1358"/>
      <c r="RZE522" s="1358"/>
      <c r="RZF522" s="1358"/>
      <c r="RZG522" s="1358"/>
      <c r="RZH522" s="1358"/>
      <c r="RZI522" s="1358"/>
      <c r="RZJ522" s="1358"/>
      <c r="RZK522" s="1358"/>
      <c r="RZL522" s="1358"/>
      <c r="RZM522" s="1358"/>
      <c r="RZN522" s="1358"/>
      <c r="RZO522" s="1358"/>
      <c r="RZP522" s="1358"/>
      <c r="RZQ522" s="1358"/>
      <c r="RZR522" s="1358"/>
      <c r="RZS522" s="1358"/>
      <c r="RZT522" s="1358"/>
      <c r="RZU522" s="1358"/>
      <c r="RZV522" s="1358"/>
      <c r="RZW522" s="1358"/>
      <c r="RZX522" s="1358"/>
      <c r="RZY522" s="1358"/>
      <c r="RZZ522" s="1358"/>
      <c r="SAA522" s="1358"/>
      <c r="SAB522" s="1358"/>
      <c r="SAC522" s="1358"/>
      <c r="SAD522" s="1358"/>
      <c r="SAE522" s="1358"/>
      <c r="SAF522" s="1358"/>
      <c r="SAG522" s="1358"/>
      <c r="SAH522" s="1358"/>
      <c r="SAI522" s="1358"/>
      <c r="SAJ522" s="1358"/>
      <c r="SAK522" s="1358"/>
      <c r="SAL522" s="1358"/>
      <c r="SAM522" s="1358"/>
      <c r="SAN522" s="1358"/>
      <c r="SAO522" s="1358"/>
      <c r="SAP522" s="1358"/>
      <c r="SAQ522" s="1358"/>
      <c r="SAR522" s="1358"/>
      <c r="SAS522" s="1358"/>
      <c r="SAT522" s="1358"/>
      <c r="SAU522" s="1358"/>
      <c r="SAV522" s="1358"/>
      <c r="SAW522" s="1358"/>
      <c r="SAX522" s="1358"/>
      <c r="SAY522" s="1358"/>
      <c r="SAZ522" s="1358"/>
      <c r="SBA522" s="1358"/>
      <c r="SBB522" s="1358"/>
      <c r="SBC522" s="1358"/>
      <c r="SBD522" s="1358"/>
      <c r="SBE522" s="1358"/>
      <c r="SBF522" s="1358"/>
      <c r="SBG522" s="1358"/>
      <c r="SBH522" s="1358"/>
      <c r="SBI522" s="1358"/>
      <c r="SBJ522" s="1358"/>
      <c r="SBK522" s="1358"/>
      <c r="SBL522" s="1358"/>
      <c r="SBM522" s="1358"/>
      <c r="SBN522" s="1358"/>
      <c r="SBO522" s="1358"/>
      <c r="SBP522" s="1358"/>
      <c r="SBQ522" s="1358"/>
      <c r="SBR522" s="1358"/>
      <c r="SBS522" s="1358"/>
      <c r="SBT522" s="1358"/>
      <c r="SBU522" s="1358"/>
      <c r="SBV522" s="1358"/>
      <c r="SBW522" s="1358"/>
      <c r="SBX522" s="1358"/>
      <c r="SBY522" s="1358"/>
      <c r="SBZ522" s="1358"/>
      <c r="SCA522" s="1358"/>
      <c r="SCB522" s="1358"/>
      <c r="SCC522" s="1358"/>
      <c r="SCD522" s="1358"/>
      <c r="SCE522" s="1358"/>
      <c r="SCF522" s="1358"/>
      <c r="SCG522" s="1358"/>
      <c r="SCH522" s="1358"/>
      <c r="SCI522" s="1358"/>
      <c r="SCJ522" s="1358"/>
      <c r="SCK522" s="1358"/>
      <c r="SCL522" s="1358"/>
      <c r="SCM522" s="1358"/>
      <c r="SCN522" s="1358"/>
      <c r="SCO522" s="1358"/>
      <c r="SCP522" s="1358"/>
      <c r="SCQ522" s="1358"/>
      <c r="SCR522" s="1358"/>
      <c r="SCS522" s="1358"/>
      <c r="SCT522" s="1358"/>
      <c r="SCU522" s="1358"/>
      <c r="SCV522" s="1358"/>
      <c r="SCW522" s="1358"/>
      <c r="SCX522" s="1358"/>
      <c r="SCY522" s="1358"/>
      <c r="SCZ522" s="1358"/>
      <c r="SDA522" s="1358"/>
      <c r="SDB522" s="1358"/>
      <c r="SDC522" s="1358"/>
      <c r="SDD522" s="1358"/>
      <c r="SDE522" s="1358"/>
      <c r="SDF522" s="1358"/>
      <c r="SDG522" s="1358"/>
      <c r="SDH522" s="1358"/>
      <c r="SDI522" s="1358"/>
      <c r="SDJ522" s="1358"/>
      <c r="SDK522" s="1358"/>
      <c r="SDL522" s="1358"/>
      <c r="SDM522" s="1358"/>
      <c r="SDN522" s="1358"/>
      <c r="SDO522" s="1358"/>
      <c r="SDP522" s="1358"/>
      <c r="SDQ522" s="1358"/>
      <c r="SDR522" s="1358"/>
      <c r="SDS522" s="1358"/>
      <c r="SDT522" s="1358"/>
      <c r="SDU522" s="1358"/>
      <c r="SDV522" s="1358"/>
      <c r="SDW522" s="1358"/>
      <c r="SDX522" s="1358"/>
      <c r="SDY522" s="1358"/>
      <c r="SDZ522" s="1358"/>
      <c r="SEA522" s="1358"/>
      <c r="SEB522" s="1358"/>
      <c r="SEC522" s="1358"/>
      <c r="SED522" s="1358"/>
      <c r="SEE522" s="1358"/>
      <c r="SEF522" s="1358"/>
      <c r="SEG522" s="1358"/>
      <c r="SEH522" s="1358"/>
      <c r="SEI522" s="1358"/>
      <c r="SEJ522" s="1358"/>
      <c r="SEK522" s="1358"/>
      <c r="SEL522" s="1358"/>
      <c r="SEM522" s="1358"/>
      <c r="SEN522" s="1358"/>
      <c r="SEO522" s="1358"/>
      <c r="SEP522" s="1358"/>
      <c r="SEQ522" s="1358"/>
      <c r="SER522" s="1358"/>
      <c r="SES522" s="1358"/>
      <c r="SET522" s="1358"/>
      <c r="SEU522" s="1358"/>
      <c r="SEV522" s="1358"/>
      <c r="SEW522" s="1358"/>
      <c r="SEX522" s="1358"/>
      <c r="SEY522" s="1358"/>
      <c r="SEZ522" s="1358"/>
      <c r="SFA522" s="1358"/>
      <c r="SFB522" s="1358"/>
      <c r="SFC522" s="1358"/>
      <c r="SFD522" s="1358"/>
      <c r="SFE522" s="1358"/>
      <c r="SFF522" s="1358"/>
      <c r="SFG522" s="1358"/>
      <c r="SFH522" s="1358"/>
      <c r="SFI522" s="1358"/>
      <c r="SFJ522" s="1358"/>
      <c r="SFK522" s="1358"/>
      <c r="SFL522" s="1358"/>
      <c r="SFM522" s="1358"/>
      <c r="SFN522" s="1358"/>
      <c r="SFO522" s="1358"/>
      <c r="SFP522" s="1358"/>
      <c r="SFQ522" s="1358"/>
      <c r="SFR522" s="1358"/>
      <c r="SFS522" s="1358"/>
      <c r="SFT522" s="1358"/>
      <c r="SFU522" s="1358"/>
      <c r="SFV522" s="1358"/>
      <c r="SFW522" s="1358"/>
      <c r="SFX522" s="1358"/>
      <c r="SFY522" s="1358"/>
      <c r="SFZ522" s="1358"/>
      <c r="SGA522" s="1358"/>
      <c r="SGB522" s="1358"/>
      <c r="SGC522" s="1358"/>
      <c r="SGD522" s="1358"/>
      <c r="SGE522" s="1358"/>
      <c r="SGF522" s="1358"/>
      <c r="SGG522" s="1358"/>
      <c r="SGH522" s="1358"/>
      <c r="SGI522" s="1358"/>
      <c r="SGJ522" s="1358"/>
      <c r="SGK522" s="1358"/>
      <c r="SGL522" s="1358"/>
      <c r="SGM522" s="1358"/>
      <c r="SGN522" s="1358"/>
      <c r="SGO522" s="1358"/>
      <c r="SGP522" s="1358"/>
      <c r="SGQ522" s="1358"/>
      <c r="SGR522" s="1358"/>
      <c r="SGS522" s="1358"/>
      <c r="SGT522" s="1358"/>
      <c r="SGU522" s="1358"/>
      <c r="SGV522" s="1358"/>
      <c r="SGW522" s="1358"/>
      <c r="SGX522" s="1358"/>
      <c r="SGY522" s="1358"/>
      <c r="SGZ522" s="1358"/>
      <c r="SHA522" s="1358"/>
      <c r="SHB522" s="1358"/>
      <c r="SHC522" s="1358"/>
      <c r="SHD522" s="1358"/>
      <c r="SHE522" s="1358"/>
      <c r="SHF522" s="1358"/>
      <c r="SHG522" s="1358"/>
      <c r="SHH522" s="1358"/>
      <c r="SHI522" s="1358"/>
      <c r="SHJ522" s="1358"/>
      <c r="SHK522" s="1358"/>
      <c r="SHL522" s="1358"/>
      <c r="SHM522" s="1358"/>
      <c r="SHN522" s="1358"/>
      <c r="SHO522" s="1358"/>
      <c r="SHP522" s="1358"/>
      <c r="SHQ522" s="1358"/>
      <c r="SHR522" s="1358"/>
      <c r="SHS522" s="1358"/>
      <c r="SHT522" s="1358"/>
      <c r="SHU522" s="1358"/>
      <c r="SHV522" s="1358"/>
      <c r="SHW522" s="1358"/>
      <c r="SHX522" s="1358"/>
      <c r="SHY522" s="1358"/>
      <c r="SHZ522" s="1358"/>
      <c r="SIA522" s="1358"/>
      <c r="SIB522" s="1358"/>
      <c r="SIC522" s="1358"/>
      <c r="SID522" s="1358"/>
      <c r="SIE522" s="1358"/>
      <c r="SIF522" s="1358"/>
      <c r="SIG522" s="1358"/>
      <c r="SIH522" s="1358"/>
      <c r="SII522" s="1358"/>
      <c r="SIJ522" s="1358"/>
      <c r="SIK522" s="1358"/>
      <c r="SIL522" s="1358"/>
      <c r="SIM522" s="1358"/>
      <c r="SIN522" s="1358"/>
      <c r="SIO522" s="1358"/>
      <c r="SIP522" s="1358"/>
      <c r="SIQ522" s="1358"/>
      <c r="SIR522" s="1358"/>
      <c r="SIS522" s="1358"/>
      <c r="SIT522" s="1358"/>
      <c r="SIU522" s="1358"/>
      <c r="SIV522" s="1358"/>
      <c r="SIW522" s="1358"/>
      <c r="SIX522" s="1358"/>
      <c r="SIY522" s="1358"/>
      <c r="SIZ522" s="1358"/>
      <c r="SJA522" s="1358"/>
      <c r="SJB522" s="1358"/>
      <c r="SJC522" s="1358"/>
      <c r="SJD522" s="1358"/>
      <c r="SJE522" s="1358"/>
      <c r="SJF522" s="1358"/>
      <c r="SJG522" s="1358"/>
      <c r="SJH522" s="1358"/>
      <c r="SJI522" s="1358"/>
      <c r="SJJ522" s="1358"/>
      <c r="SJK522" s="1358"/>
      <c r="SJL522" s="1358"/>
      <c r="SJM522" s="1358"/>
      <c r="SJN522" s="1358"/>
      <c r="SJO522" s="1358"/>
      <c r="SJP522" s="1358"/>
      <c r="SJQ522" s="1358"/>
      <c r="SJR522" s="1358"/>
      <c r="SJS522" s="1358"/>
      <c r="SJT522" s="1358"/>
      <c r="SJU522" s="1358"/>
      <c r="SJV522" s="1358"/>
      <c r="SJW522" s="1358"/>
      <c r="SJX522" s="1358"/>
      <c r="SJY522" s="1358"/>
      <c r="SJZ522" s="1358"/>
      <c r="SKA522" s="1358"/>
      <c r="SKB522" s="1358"/>
      <c r="SKC522" s="1358"/>
      <c r="SKD522" s="1358"/>
      <c r="SKE522" s="1358"/>
      <c r="SKF522" s="1358"/>
      <c r="SKG522" s="1358"/>
      <c r="SKH522" s="1358"/>
      <c r="SKI522" s="1358"/>
      <c r="SKJ522" s="1358"/>
      <c r="SKK522" s="1358"/>
      <c r="SKL522" s="1358"/>
      <c r="SKM522" s="1358"/>
      <c r="SKN522" s="1358"/>
      <c r="SKO522" s="1358"/>
      <c r="SKP522" s="1358"/>
      <c r="SKQ522" s="1358"/>
      <c r="SKR522" s="1358"/>
      <c r="SKS522" s="1358"/>
      <c r="SKT522" s="1358"/>
      <c r="SKU522" s="1358"/>
      <c r="SKV522" s="1358"/>
      <c r="SKW522" s="1358"/>
      <c r="SKX522" s="1358"/>
      <c r="SKY522" s="1358"/>
      <c r="SKZ522" s="1358"/>
      <c r="SLA522" s="1358"/>
      <c r="SLB522" s="1358"/>
      <c r="SLC522" s="1358"/>
      <c r="SLD522" s="1358"/>
      <c r="SLE522" s="1358"/>
      <c r="SLF522" s="1358"/>
      <c r="SLG522" s="1358"/>
      <c r="SLH522" s="1358"/>
      <c r="SLI522" s="1358"/>
      <c r="SLJ522" s="1358"/>
      <c r="SLK522" s="1358"/>
      <c r="SLL522" s="1358"/>
      <c r="SLM522" s="1358"/>
      <c r="SLN522" s="1358"/>
      <c r="SLO522" s="1358"/>
      <c r="SLP522" s="1358"/>
      <c r="SLQ522" s="1358"/>
      <c r="SLR522" s="1358"/>
      <c r="SLS522" s="1358"/>
      <c r="SLT522" s="1358"/>
      <c r="SLU522" s="1358"/>
      <c r="SLV522" s="1358"/>
      <c r="SLW522" s="1358"/>
      <c r="SLX522" s="1358"/>
      <c r="SLY522" s="1358"/>
      <c r="SLZ522" s="1358"/>
      <c r="SMA522" s="1358"/>
      <c r="SMB522" s="1358"/>
      <c r="SMC522" s="1358"/>
      <c r="SMD522" s="1358"/>
      <c r="SME522" s="1358"/>
      <c r="SMF522" s="1358"/>
      <c r="SMG522" s="1358"/>
      <c r="SMH522" s="1358"/>
      <c r="SMI522" s="1358"/>
      <c r="SMJ522" s="1358"/>
      <c r="SMK522" s="1358"/>
      <c r="SML522" s="1358"/>
      <c r="SMM522" s="1358"/>
      <c r="SMN522" s="1358"/>
      <c r="SMO522" s="1358"/>
      <c r="SMP522" s="1358"/>
      <c r="SMQ522" s="1358"/>
      <c r="SMR522" s="1358"/>
      <c r="SMS522" s="1358"/>
      <c r="SMT522" s="1358"/>
      <c r="SMU522" s="1358"/>
      <c r="SMV522" s="1358"/>
      <c r="SMW522" s="1358"/>
      <c r="SMX522" s="1358"/>
      <c r="SMY522" s="1358"/>
      <c r="SMZ522" s="1358"/>
      <c r="SNA522" s="1358"/>
      <c r="SNB522" s="1358"/>
      <c r="SNC522" s="1358"/>
      <c r="SND522" s="1358"/>
      <c r="SNE522" s="1358"/>
      <c r="SNF522" s="1358"/>
      <c r="SNG522" s="1358"/>
      <c r="SNH522" s="1358"/>
      <c r="SNI522" s="1358"/>
      <c r="SNJ522" s="1358"/>
      <c r="SNK522" s="1358"/>
      <c r="SNL522" s="1358"/>
      <c r="SNM522" s="1358"/>
      <c r="SNN522" s="1358"/>
      <c r="SNO522" s="1358"/>
      <c r="SNP522" s="1358"/>
      <c r="SNQ522" s="1358"/>
      <c r="SNR522" s="1358"/>
      <c r="SNS522" s="1358"/>
      <c r="SNT522" s="1358"/>
      <c r="SNU522" s="1358"/>
      <c r="SNV522" s="1358"/>
      <c r="SNW522" s="1358"/>
      <c r="SNX522" s="1358"/>
      <c r="SNY522" s="1358"/>
      <c r="SNZ522" s="1358"/>
      <c r="SOA522" s="1358"/>
      <c r="SOB522" s="1358"/>
      <c r="SOC522" s="1358"/>
      <c r="SOD522" s="1358"/>
      <c r="SOE522" s="1358"/>
      <c r="SOF522" s="1358"/>
      <c r="SOG522" s="1358"/>
      <c r="SOH522" s="1358"/>
      <c r="SOI522" s="1358"/>
      <c r="SOJ522" s="1358"/>
      <c r="SOK522" s="1358"/>
      <c r="SOL522" s="1358"/>
      <c r="SOM522" s="1358"/>
      <c r="SON522" s="1358"/>
      <c r="SOO522" s="1358"/>
      <c r="SOP522" s="1358"/>
      <c r="SOQ522" s="1358"/>
      <c r="SOR522" s="1358"/>
      <c r="SOS522" s="1358"/>
      <c r="SOT522" s="1358"/>
      <c r="SOU522" s="1358"/>
      <c r="SOV522" s="1358"/>
      <c r="SOW522" s="1358"/>
      <c r="SOX522" s="1358"/>
      <c r="SOY522" s="1358"/>
      <c r="SOZ522" s="1358"/>
      <c r="SPA522" s="1358"/>
      <c r="SPB522" s="1358"/>
      <c r="SPC522" s="1358"/>
      <c r="SPD522" s="1358"/>
      <c r="SPE522" s="1358"/>
      <c r="SPF522" s="1358"/>
      <c r="SPG522" s="1358"/>
      <c r="SPH522" s="1358"/>
      <c r="SPI522" s="1358"/>
      <c r="SPJ522" s="1358"/>
      <c r="SPK522" s="1358"/>
      <c r="SPL522" s="1358"/>
      <c r="SPM522" s="1358"/>
      <c r="SPN522" s="1358"/>
      <c r="SPO522" s="1358"/>
      <c r="SPP522" s="1358"/>
      <c r="SPQ522" s="1358"/>
      <c r="SPR522" s="1358"/>
      <c r="SPS522" s="1358"/>
      <c r="SPT522" s="1358"/>
      <c r="SPU522" s="1358"/>
      <c r="SPV522" s="1358"/>
      <c r="SPW522" s="1358"/>
      <c r="SPX522" s="1358"/>
      <c r="SPY522" s="1358"/>
      <c r="SPZ522" s="1358"/>
      <c r="SQA522" s="1358"/>
      <c r="SQB522" s="1358"/>
      <c r="SQC522" s="1358"/>
      <c r="SQD522" s="1358"/>
      <c r="SQE522" s="1358"/>
      <c r="SQF522" s="1358"/>
      <c r="SQG522" s="1358"/>
      <c r="SQH522" s="1358"/>
      <c r="SQI522" s="1358"/>
      <c r="SQJ522" s="1358"/>
      <c r="SQK522" s="1358"/>
      <c r="SQL522" s="1358"/>
      <c r="SQM522" s="1358"/>
      <c r="SQN522" s="1358"/>
      <c r="SQO522" s="1358"/>
      <c r="SQP522" s="1358"/>
      <c r="SQQ522" s="1358"/>
      <c r="SQR522" s="1358"/>
      <c r="SQS522" s="1358"/>
      <c r="SQT522" s="1358"/>
      <c r="SQU522" s="1358"/>
      <c r="SQV522" s="1358"/>
      <c r="SQW522" s="1358"/>
      <c r="SQX522" s="1358"/>
      <c r="SQY522" s="1358"/>
      <c r="SQZ522" s="1358"/>
      <c r="SRA522" s="1358"/>
      <c r="SRB522" s="1358"/>
      <c r="SRC522" s="1358"/>
      <c r="SRD522" s="1358"/>
      <c r="SRE522" s="1358"/>
      <c r="SRF522" s="1358"/>
      <c r="SRG522" s="1358"/>
      <c r="SRH522" s="1358"/>
      <c r="SRI522" s="1358"/>
      <c r="SRJ522" s="1358"/>
      <c r="SRK522" s="1358"/>
      <c r="SRL522" s="1358"/>
      <c r="SRM522" s="1358"/>
      <c r="SRN522" s="1358"/>
      <c r="SRO522" s="1358"/>
      <c r="SRP522" s="1358"/>
      <c r="SRQ522" s="1358"/>
      <c r="SRR522" s="1358"/>
      <c r="SRS522" s="1358"/>
      <c r="SRT522" s="1358"/>
      <c r="SRU522" s="1358"/>
      <c r="SRV522" s="1358"/>
      <c r="SRW522" s="1358"/>
      <c r="SRX522" s="1358"/>
      <c r="SRY522" s="1358"/>
      <c r="SRZ522" s="1358"/>
      <c r="SSA522" s="1358"/>
      <c r="SSB522" s="1358"/>
      <c r="SSC522" s="1358"/>
      <c r="SSD522" s="1358"/>
      <c r="SSE522" s="1358"/>
      <c r="SSF522" s="1358"/>
      <c r="SSG522" s="1358"/>
      <c r="SSH522" s="1358"/>
      <c r="SSI522" s="1358"/>
      <c r="SSJ522" s="1358"/>
      <c r="SSK522" s="1358"/>
      <c r="SSL522" s="1358"/>
      <c r="SSM522" s="1358"/>
      <c r="SSN522" s="1358"/>
      <c r="SSO522" s="1358"/>
      <c r="SSP522" s="1358"/>
      <c r="SSQ522" s="1358"/>
      <c r="SSR522" s="1358"/>
      <c r="SSS522" s="1358"/>
      <c r="SST522" s="1358"/>
      <c r="SSU522" s="1358"/>
      <c r="SSV522" s="1358"/>
      <c r="SSW522" s="1358"/>
      <c r="SSX522" s="1358"/>
      <c r="SSY522" s="1358"/>
      <c r="SSZ522" s="1358"/>
      <c r="STA522" s="1358"/>
      <c r="STB522" s="1358"/>
      <c r="STC522" s="1358"/>
      <c r="STD522" s="1358"/>
      <c r="STE522" s="1358"/>
      <c r="STF522" s="1358"/>
      <c r="STG522" s="1358"/>
      <c r="STH522" s="1358"/>
      <c r="STI522" s="1358"/>
      <c r="STJ522" s="1358"/>
      <c r="STK522" s="1358"/>
      <c r="STL522" s="1358"/>
      <c r="STM522" s="1358"/>
      <c r="STN522" s="1358"/>
      <c r="STO522" s="1358"/>
      <c r="STP522" s="1358"/>
      <c r="STQ522" s="1358"/>
      <c r="STR522" s="1358"/>
      <c r="STS522" s="1358"/>
      <c r="STT522" s="1358"/>
      <c r="STU522" s="1358"/>
      <c r="STV522" s="1358"/>
      <c r="STW522" s="1358"/>
      <c r="STX522" s="1358"/>
      <c r="STY522" s="1358"/>
      <c r="STZ522" s="1358"/>
      <c r="SUA522" s="1358"/>
      <c r="SUB522" s="1358"/>
      <c r="SUC522" s="1358"/>
      <c r="SUD522" s="1358"/>
      <c r="SUE522" s="1358"/>
      <c r="SUF522" s="1358"/>
      <c r="SUG522" s="1358"/>
      <c r="SUH522" s="1358"/>
      <c r="SUI522" s="1358"/>
      <c r="SUJ522" s="1358"/>
      <c r="SUK522" s="1358"/>
      <c r="SUL522" s="1358"/>
      <c r="SUM522" s="1358"/>
      <c r="SUN522" s="1358"/>
      <c r="SUO522" s="1358"/>
      <c r="SUP522" s="1358"/>
      <c r="SUQ522" s="1358"/>
      <c r="SUR522" s="1358"/>
      <c r="SUS522" s="1358"/>
      <c r="SUT522" s="1358"/>
      <c r="SUU522" s="1358"/>
      <c r="SUV522" s="1358"/>
      <c r="SUW522" s="1358"/>
      <c r="SUX522" s="1358"/>
      <c r="SUY522" s="1358"/>
      <c r="SUZ522" s="1358"/>
      <c r="SVA522" s="1358"/>
      <c r="SVB522" s="1358"/>
      <c r="SVC522" s="1358"/>
      <c r="SVD522" s="1358"/>
      <c r="SVE522" s="1358"/>
      <c r="SVF522" s="1358"/>
      <c r="SVG522" s="1358"/>
      <c r="SVH522" s="1358"/>
      <c r="SVI522" s="1358"/>
      <c r="SVJ522" s="1358"/>
      <c r="SVK522" s="1358"/>
      <c r="SVL522" s="1358"/>
      <c r="SVM522" s="1358"/>
      <c r="SVN522" s="1358"/>
      <c r="SVO522" s="1358"/>
      <c r="SVP522" s="1358"/>
      <c r="SVQ522" s="1358"/>
      <c r="SVR522" s="1358"/>
      <c r="SVS522" s="1358"/>
      <c r="SVT522" s="1358"/>
      <c r="SVU522" s="1358"/>
      <c r="SVV522" s="1358"/>
      <c r="SVW522" s="1358"/>
      <c r="SVX522" s="1358"/>
      <c r="SVY522" s="1358"/>
      <c r="SVZ522" s="1358"/>
      <c r="SWA522" s="1358"/>
      <c r="SWB522" s="1358"/>
      <c r="SWC522" s="1358"/>
      <c r="SWD522" s="1358"/>
      <c r="SWE522" s="1358"/>
      <c r="SWF522" s="1358"/>
      <c r="SWG522" s="1358"/>
      <c r="SWH522" s="1358"/>
      <c r="SWI522" s="1358"/>
      <c r="SWJ522" s="1358"/>
      <c r="SWK522" s="1358"/>
      <c r="SWL522" s="1358"/>
      <c r="SWM522" s="1358"/>
      <c r="SWN522" s="1358"/>
      <c r="SWO522" s="1358"/>
      <c r="SWP522" s="1358"/>
      <c r="SWQ522" s="1358"/>
      <c r="SWR522" s="1358"/>
      <c r="SWS522" s="1358"/>
      <c r="SWT522" s="1358"/>
      <c r="SWU522" s="1358"/>
      <c r="SWV522" s="1358"/>
      <c r="SWW522" s="1358"/>
      <c r="SWX522" s="1358"/>
      <c r="SWY522" s="1358"/>
      <c r="SWZ522" s="1358"/>
      <c r="SXA522" s="1358"/>
      <c r="SXB522" s="1358"/>
      <c r="SXC522" s="1358"/>
      <c r="SXD522" s="1358"/>
      <c r="SXE522" s="1358"/>
      <c r="SXF522" s="1358"/>
      <c r="SXG522" s="1358"/>
      <c r="SXH522" s="1358"/>
      <c r="SXI522" s="1358"/>
      <c r="SXJ522" s="1358"/>
      <c r="SXK522" s="1358"/>
      <c r="SXL522" s="1358"/>
      <c r="SXM522" s="1358"/>
      <c r="SXN522" s="1358"/>
      <c r="SXO522" s="1358"/>
      <c r="SXP522" s="1358"/>
      <c r="SXQ522" s="1358"/>
      <c r="SXR522" s="1358"/>
      <c r="SXS522" s="1358"/>
      <c r="SXT522" s="1358"/>
      <c r="SXU522" s="1358"/>
      <c r="SXV522" s="1358"/>
      <c r="SXW522" s="1358"/>
      <c r="SXX522" s="1358"/>
      <c r="SXY522" s="1358"/>
      <c r="SXZ522" s="1358"/>
      <c r="SYA522" s="1358"/>
      <c r="SYB522" s="1358"/>
      <c r="SYC522" s="1358"/>
      <c r="SYD522" s="1358"/>
      <c r="SYE522" s="1358"/>
      <c r="SYF522" s="1358"/>
      <c r="SYG522" s="1358"/>
      <c r="SYH522" s="1358"/>
      <c r="SYI522" s="1358"/>
      <c r="SYJ522" s="1358"/>
      <c r="SYK522" s="1358"/>
      <c r="SYL522" s="1358"/>
      <c r="SYM522" s="1358"/>
      <c r="SYN522" s="1358"/>
      <c r="SYO522" s="1358"/>
      <c r="SYP522" s="1358"/>
      <c r="SYQ522" s="1358"/>
      <c r="SYR522" s="1358"/>
      <c r="SYS522" s="1358"/>
      <c r="SYT522" s="1358"/>
      <c r="SYU522" s="1358"/>
      <c r="SYV522" s="1358"/>
      <c r="SYW522" s="1358"/>
      <c r="SYX522" s="1358"/>
      <c r="SYY522" s="1358"/>
      <c r="SYZ522" s="1358"/>
      <c r="SZA522" s="1358"/>
      <c r="SZB522" s="1358"/>
      <c r="SZC522" s="1358"/>
      <c r="SZD522" s="1358"/>
      <c r="SZE522" s="1358"/>
      <c r="SZF522" s="1358"/>
      <c r="SZG522" s="1358"/>
      <c r="SZH522" s="1358"/>
      <c r="SZI522" s="1358"/>
      <c r="SZJ522" s="1358"/>
      <c r="SZK522" s="1358"/>
      <c r="SZL522" s="1358"/>
      <c r="SZM522" s="1358"/>
      <c r="SZN522" s="1358"/>
      <c r="SZO522" s="1358"/>
      <c r="SZP522" s="1358"/>
      <c r="SZQ522" s="1358"/>
      <c r="SZR522" s="1358"/>
      <c r="SZS522" s="1358"/>
      <c r="SZT522" s="1358"/>
      <c r="SZU522" s="1358"/>
      <c r="SZV522" s="1358"/>
      <c r="SZW522" s="1358"/>
      <c r="SZX522" s="1358"/>
      <c r="SZY522" s="1358"/>
      <c r="SZZ522" s="1358"/>
      <c r="TAA522" s="1358"/>
      <c r="TAB522" s="1358"/>
      <c r="TAC522" s="1358"/>
      <c r="TAD522" s="1358"/>
      <c r="TAE522" s="1358"/>
      <c r="TAF522" s="1358"/>
      <c r="TAG522" s="1358"/>
      <c r="TAH522" s="1358"/>
      <c r="TAI522" s="1358"/>
      <c r="TAJ522" s="1358"/>
      <c r="TAK522" s="1358"/>
      <c r="TAL522" s="1358"/>
      <c r="TAM522" s="1358"/>
      <c r="TAN522" s="1358"/>
      <c r="TAO522" s="1358"/>
      <c r="TAP522" s="1358"/>
      <c r="TAQ522" s="1358"/>
      <c r="TAR522" s="1358"/>
      <c r="TAS522" s="1358"/>
      <c r="TAT522" s="1358"/>
      <c r="TAU522" s="1358"/>
      <c r="TAV522" s="1358"/>
      <c r="TAW522" s="1358"/>
      <c r="TAX522" s="1358"/>
      <c r="TAY522" s="1358"/>
      <c r="TAZ522" s="1358"/>
      <c r="TBA522" s="1358"/>
      <c r="TBB522" s="1358"/>
      <c r="TBC522" s="1358"/>
      <c r="TBD522" s="1358"/>
      <c r="TBE522" s="1358"/>
      <c r="TBF522" s="1358"/>
      <c r="TBG522" s="1358"/>
      <c r="TBH522" s="1358"/>
      <c r="TBI522" s="1358"/>
      <c r="TBJ522" s="1358"/>
      <c r="TBK522" s="1358"/>
      <c r="TBL522" s="1358"/>
      <c r="TBM522" s="1358"/>
      <c r="TBN522" s="1358"/>
      <c r="TBO522" s="1358"/>
      <c r="TBP522" s="1358"/>
      <c r="TBQ522" s="1358"/>
      <c r="TBR522" s="1358"/>
      <c r="TBS522" s="1358"/>
      <c r="TBT522" s="1358"/>
      <c r="TBU522" s="1358"/>
      <c r="TBV522" s="1358"/>
      <c r="TBW522" s="1358"/>
      <c r="TBX522" s="1358"/>
      <c r="TBY522" s="1358"/>
      <c r="TBZ522" s="1358"/>
      <c r="TCA522" s="1358"/>
      <c r="TCB522" s="1358"/>
      <c r="TCC522" s="1358"/>
      <c r="TCD522" s="1358"/>
      <c r="TCE522" s="1358"/>
      <c r="TCF522" s="1358"/>
      <c r="TCG522" s="1358"/>
      <c r="TCH522" s="1358"/>
      <c r="TCI522" s="1358"/>
      <c r="TCJ522" s="1358"/>
      <c r="TCK522" s="1358"/>
      <c r="TCL522" s="1358"/>
      <c r="TCM522" s="1358"/>
      <c r="TCN522" s="1358"/>
      <c r="TCO522" s="1358"/>
      <c r="TCP522" s="1358"/>
      <c r="TCQ522" s="1358"/>
      <c r="TCR522" s="1358"/>
      <c r="TCS522" s="1358"/>
      <c r="TCT522" s="1358"/>
      <c r="TCU522" s="1358"/>
      <c r="TCV522" s="1358"/>
      <c r="TCW522" s="1358"/>
      <c r="TCX522" s="1358"/>
      <c r="TCY522" s="1358"/>
      <c r="TCZ522" s="1358"/>
      <c r="TDA522" s="1358"/>
      <c r="TDB522" s="1358"/>
      <c r="TDC522" s="1358"/>
      <c r="TDD522" s="1358"/>
      <c r="TDE522" s="1358"/>
      <c r="TDF522" s="1358"/>
      <c r="TDG522" s="1358"/>
      <c r="TDH522" s="1358"/>
      <c r="TDI522" s="1358"/>
      <c r="TDJ522" s="1358"/>
      <c r="TDK522" s="1358"/>
      <c r="TDL522" s="1358"/>
      <c r="TDM522" s="1358"/>
      <c r="TDN522" s="1358"/>
      <c r="TDO522" s="1358"/>
      <c r="TDP522" s="1358"/>
      <c r="TDQ522" s="1358"/>
      <c r="TDR522" s="1358"/>
      <c r="TDS522" s="1358"/>
      <c r="TDT522" s="1358"/>
      <c r="TDU522" s="1358"/>
      <c r="TDV522" s="1358"/>
      <c r="TDW522" s="1358"/>
      <c r="TDX522" s="1358"/>
      <c r="TDY522" s="1358"/>
      <c r="TDZ522" s="1358"/>
      <c r="TEA522" s="1358"/>
      <c r="TEB522" s="1358"/>
      <c r="TEC522" s="1358"/>
      <c r="TED522" s="1358"/>
      <c r="TEE522" s="1358"/>
      <c r="TEF522" s="1358"/>
      <c r="TEG522" s="1358"/>
      <c r="TEH522" s="1358"/>
      <c r="TEI522" s="1358"/>
      <c r="TEJ522" s="1358"/>
      <c r="TEK522" s="1358"/>
      <c r="TEL522" s="1358"/>
      <c r="TEM522" s="1358"/>
      <c r="TEN522" s="1358"/>
      <c r="TEO522" s="1358"/>
      <c r="TEP522" s="1358"/>
      <c r="TEQ522" s="1358"/>
      <c r="TER522" s="1358"/>
      <c r="TES522" s="1358"/>
      <c r="TET522" s="1358"/>
      <c r="TEU522" s="1358"/>
      <c r="TEV522" s="1358"/>
      <c r="TEW522" s="1358"/>
      <c r="TEX522" s="1358"/>
      <c r="TEY522" s="1358"/>
      <c r="TEZ522" s="1358"/>
      <c r="TFA522" s="1358"/>
      <c r="TFB522" s="1358"/>
      <c r="TFC522" s="1358"/>
      <c r="TFD522" s="1358"/>
      <c r="TFE522" s="1358"/>
      <c r="TFF522" s="1358"/>
      <c r="TFG522" s="1358"/>
      <c r="TFH522" s="1358"/>
      <c r="TFI522" s="1358"/>
      <c r="TFJ522" s="1358"/>
      <c r="TFK522" s="1358"/>
      <c r="TFL522" s="1358"/>
      <c r="TFM522" s="1358"/>
      <c r="TFN522" s="1358"/>
      <c r="TFO522" s="1358"/>
      <c r="TFP522" s="1358"/>
      <c r="TFQ522" s="1358"/>
      <c r="TFR522" s="1358"/>
      <c r="TFS522" s="1358"/>
      <c r="TFT522" s="1358"/>
      <c r="TFU522" s="1358"/>
      <c r="TFV522" s="1358"/>
      <c r="TFW522" s="1358"/>
      <c r="TFX522" s="1358"/>
      <c r="TFY522" s="1358"/>
      <c r="TFZ522" s="1358"/>
      <c r="TGA522" s="1358"/>
      <c r="TGB522" s="1358"/>
      <c r="TGC522" s="1358"/>
      <c r="TGD522" s="1358"/>
      <c r="TGE522" s="1358"/>
      <c r="TGF522" s="1358"/>
      <c r="TGG522" s="1358"/>
      <c r="TGH522" s="1358"/>
      <c r="TGI522" s="1358"/>
      <c r="TGJ522" s="1358"/>
      <c r="TGK522" s="1358"/>
      <c r="TGL522" s="1358"/>
      <c r="TGM522" s="1358"/>
      <c r="TGN522" s="1358"/>
      <c r="TGO522" s="1358"/>
      <c r="TGP522" s="1358"/>
      <c r="TGQ522" s="1358"/>
      <c r="TGR522" s="1358"/>
      <c r="TGS522" s="1358"/>
      <c r="TGT522" s="1358"/>
      <c r="TGU522" s="1358"/>
      <c r="TGV522" s="1358"/>
      <c r="TGW522" s="1358"/>
      <c r="TGX522" s="1358"/>
      <c r="TGY522" s="1358"/>
      <c r="TGZ522" s="1358"/>
      <c r="THA522" s="1358"/>
      <c r="THB522" s="1358"/>
      <c r="THC522" s="1358"/>
      <c r="THD522" s="1358"/>
      <c r="THE522" s="1358"/>
      <c r="THF522" s="1358"/>
      <c r="THG522" s="1358"/>
      <c r="THH522" s="1358"/>
      <c r="THI522" s="1358"/>
      <c r="THJ522" s="1358"/>
      <c r="THK522" s="1358"/>
      <c r="THL522" s="1358"/>
      <c r="THM522" s="1358"/>
      <c r="THN522" s="1358"/>
      <c r="THO522" s="1358"/>
      <c r="THP522" s="1358"/>
      <c r="THQ522" s="1358"/>
      <c r="THR522" s="1358"/>
      <c r="THS522" s="1358"/>
      <c r="THT522" s="1358"/>
      <c r="THU522" s="1358"/>
      <c r="THV522" s="1358"/>
      <c r="THW522" s="1358"/>
      <c r="THX522" s="1358"/>
      <c r="THY522" s="1358"/>
      <c r="THZ522" s="1358"/>
      <c r="TIA522" s="1358"/>
      <c r="TIB522" s="1358"/>
      <c r="TIC522" s="1358"/>
      <c r="TID522" s="1358"/>
      <c r="TIE522" s="1358"/>
      <c r="TIF522" s="1358"/>
      <c r="TIG522" s="1358"/>
      <c r="TIH522" s="1358"/>
      <c r="TII522" s="1358"/>
      <c r="TIJ522" s="1358"/>
      <c r="TIK522" s="1358"/>
      <c r="TIL522" s="1358"/>
      <c r="TIM522" s="1358"/>
      <c r="TIN522" s="1358"/>
      <c r="TIO522" s="1358"/>
      <c r="TIP522" s="1358"/>
      <c r="TIQ522" s="1358"/>
      <c r="TIR522" s="1358"/>
      <c r="TIS522" s="1358"/>
      <c r="TIT522" s="1358"/>
      <c r="TIU522" s="1358"/>
      <c r="TIV522" s="1358"/>
      <c r="TIW522" s="1358"/>
      <c r="TIX522" s="1358"/>
      <c r="TIY522" s="1358"/>
      <c r="TIZ522" s="1358"/>
      <c r="TJA522" s="1358"/>
      <c r="TJB522" s="1358"/>
      <c r="TJC522" s="1358"/>
      <c r="TJD522" s="1358"/>
      <c r="TJE522" s="1358"/>
      <c r="TJF522" s="1358"/>
      <c r="TJG522" s="1358"/>
      <c r="TJH522" s="1358"/>
      <c r="TJI522" s="1358"/>
      <c r="TJJ522" s="1358"/>
      <c r="TJK522" s="1358"/>
      <c r="TJL522" s="1358"/>
      <c r="TJM522" s="1358"/>
      <c r="TJN522" s="1358"/>
      <c r="TJO522" s="1358"/>
      <c r="TJP522" s="1358"/>
      <c r="TJQ522" s="1358"/>
      <c r="TJR522" s="1358"/>
      <c r="TJS522" s="1358"/>
      <c r="TJT522" s="1358"/>
      <c r="TJU522" s="1358"/>
      <c r="TJV522" s="1358"/>
      <c r="TJW522" s="1358"/>
      <c r="TJX522" s="1358"/>
      <c r="TJY522" s="1358"/>
      <c r="TJZ522" s="1358"/>
      <c r="TKA522" s="1358"/>
      <c r="TKB522" s="1358"/>
      <c r="TKC522" s="1358"/>
      <c r="TKD522" s="1358"/>
      <c r="TKE522" s="1358"/>
      <c r="TKF522" s="1358"/>
      <c r="TKG522" s="1358"/>
      <c r="TKH522" s="1358"/>
      <c r="TKI522" s="1358"/>
      <c r="TKJ522" s="1358"/>
      <c r="TKK522" s="1358"/>
      <c r="TKL522" s="1358"/>
      <c r="TKM522" s="1358"/>
      <c r="TKN522" s="1358"/>
      <c r="TKO522" s="1358"/>
      <c r="TKP522" s="1358"/>
      <c r="TKQ522" s="1358"/>
      <c r="TKR522" s="1358"/>
      <c r="TKS522" s="1358"/>
      <c r="TKT522" s="1358"/>
      <c r="TKU522" s="1358"/>
      <c r="TKV522" s="1358"/>
      <c r="TKW522" s="1358"/>
      <c r="TKX522" s="1358"/>
      <c r="TKY522" s="1358"/>
      <c r="TKZ522" s="1358"/>
      <c r="TLA522" s="1358"/>
      <c r="TLB522" s="1358"/>
      <c r="TLC522" s="1358"/>
      <c r="TLD522" s="1358"/>
      <c r="TLE522" s="1358"/>
      <c r="TLF522" s="1358"/>
      <c r="TLG522" s="1358"/>
      <c r="TLH522" s="1358"/>
      <c r="TLI522" s="1358"/>
      <c r="TLJ522" s="1358"/>
      <c r="TLK522" s="1358"/>
      <c r="TLL522" s="1358"/>
      <c r="TLM522" s="1358"/>
      <c r="TLN522" s="1358"/>
      <c r="TLO522" s="1358"/>
      <c r="TLP522" s="1358"/>
      <c r="TLQ522" s="1358"/>
      <c r="TLR522" s="1358"/>
      <c r="TLS522" s="1358"/>
      <c r="TLT522" s="1358"/>
      <c r="TLU522" s="1358"/>
      <c r="TLV522" s="1358"/>
      <c r="TLW522" s="1358"/>
      <c r="TLX522" s="1358"/>
      <c r="TLY522" s="1358"/>
      <c r="TLZ522" s="1358"/>
      <c r="TMA522" s="1358"/>
      <c r="TMB522" s="1358"/>
      <c r="TMC522" s="1358"/>
      <c r="TMD522" s="1358"/>
      <c r="TME522" s="1358"/>
      <c r="TMF522" s="1358"/>
      <c r="TMG522" s="1358"/>
      <c r="TMH522" s="1358"/>
      <c r="TMI522" s="1358"/>
      <c r="TMJ522" s="1358"/>
      <c r="TMK522" s="1358"/>
      <c r="TML522" s="1358"/>
      <c r="TMM522" s="1358"/>
      <c r="TMN522" s="1358"/>
      <c r="TMO522" s="1358"/>
      <c r="TMP522" s="1358"/>
      <c r="TMQ522" s="1358"/>
      <c r="TMR522" s="1358"/>
      <c r="TMS522" s="1358"/>
      <c r="TMT522" s="1358"/>
      <c r="TMU522" s="1358"/>
      <c r="TMV522" s="1358"/>
      <c r="TMW522" s="1358"/>
      <c r="TMX522" s="1358"/>
      <c r="TMY522" s="1358"/>
      <c r="TMZ522" s="1358"/>
      <c r="TNA522" s="1358"/>
      <c r="TNB522" s="1358"/>
      <c r="TNC522" s="1358"/>
      <c r="TND522" s="1358"/>
      <c r="TNE522" s="1358"/>
      <c r="TNF522" s="1358"/>
      <c r="TNG522" s="1358"/>
      <c r="TNH522" s="1358"/>
      <c r="TNI522" s="1358"/>
      <c r="TNJ522" s="1358"/>
      <c r="TNK522" s="1358"/>
      <c r="TNL522" s="1358"/>
      <c r="TNM522" s="1358"/>
      <c r="TNN522" s="1358"/>
      <c r="TNO522" s="1358"/>
      <c r="TNP522" s="1358"/>
      <c r="TNQ522" s="1358"/>
      <c r="TNR522" s="1358"/>
      <c r="TNS522" s="1358"/>
      <c r="TNT522" s="1358"/>
      <c r="TNU522" s="1358"/>
      <c r="TNV522" s="1358"/>
      <c r="TNW522" s="1358"/>
      <c r="TNX522" s="1358"/>
      <c r="TNY522" s="1358"/>
      <c r="TNZ522" s="1358"/>
      <c r="TOA522" s="1358"/>
      <c r="TOB522" s="1358"/>
      <c r="TOC522" s="1358"/>
      <c r="TOD522" s="1358"/>
      <c r="TOE522" s="1358"/>
      <c r="TOF522" s="1358"/>
      <c r="TOG522" s="1358"/>
      <c r="TOH522" s="1358"/>
      <c r="TOI522" s="1358"/>
      <c r="TOJ522" s="1358"/>
      <c r="TOK522" s="1358"/>
      <c r="TOL522" s="1358"/>
      <c r="TOM522" s="1358"/>
      <c r="TON522" s="1358"/>
      <c r="TOO522" s="1358"/>
      <c r="TOP522" s="1358"/>
      <c r="TOQ522" s="1358"/>
      <c r="TOR522" s="1358"/>
      <c r="TOS522" s="1358"/>
      <c r="TOT522" s="1358"/>
      <c r="TOU522" s="1358"/>
      <c r="TOV522" s="1358"/>
      <c r="TOW522" s="1358"/>
      <c r="TOX522" s="1358"/>
      <c r="TOY522" s="1358"/>
      <c r="TOZ522" s="1358"/>
      <c r="TPA522" s="1358"/>
      <c r="TPB522" s="1358"/>
      <c r="TPC522" s="1358"/>
      <c r="TPD522" s="1358"/>
      <c r="TPE522" s="1358"/>
      <c r="TPF522" s="1358"/>
      <c r="TPG522" s="1358"/>
      <c r="TPH522" s="1358"/>
      <c r="TPI522" s="1358"/>
      <c r="TPJ522" s="1358"/>
      <c r="TPK522" s="1358"/>
      <c r="TPL522" s="1358"/>
      <c r="TPM522" s="1358"/>
      <c r="TPN522" s="1358"/>
      <c r="TPO522" s="1358"/>
      <c r="TPP522" s="1358"/>
      <c r="TPQ522" s="1358"/>
      <c r="TPR522" s="1358"/>
      <c r="TPS522" s="1358"/>
      <c r="TPT522" s="1358"/>
      <c r="TPU522" s="1358"/>
      <c r="TPV522" s="1358"/>
      <c r="TPW522" s="1358"/>
      <c r="TPX522" s="1358"/>
      <c r="TPY522" s="1358"/>
      <c r="TPZ522" s="1358"/>
      <c r="TQA522" s="1358"/>
      <c r="TQB522" s="1358"/>
      <c r="TQC522" s="1358"/>
      <c r="TQD522" s="1358"/>
      <c r="TQE522" s="1358"/>
      <c r="TQF522" s="1358"/>
      <c r="TQG522" s="1358"/>
      <c r="TQH522" s="1358"/>
      <c r="TQI522" s="1358"/>
      <c r="TQJ522" s="1358"/>
      <c r="TQK522" s="1358"/>
      <c r="TQL522" s="1358"/>
      <c r="TQM522" s="1358"/>
      <c r="TQN522" s="1358"/>
      <c r="TQO522" s="1358"/>
      <c r="TQP522" s="1358"/>
      <c r="TQQ522" s="1358"/>
      <c r="TQR522" s="1358"/>
      <c r="TQS522" s="1358"/>
      <c r="TQT522" s="1358"/>
      <c r="TQU522" s="1358"/>
      <c r="TQV522" s="1358"/>
      <c r="TQW522" s="1358"/>
      <c r="TQX522" s="1358"/>
      <c r="TQY522" s="1358"/>
      <c r="TQZ522" s="1358"/>
      <c r="TRA522" s="1358"/>
      <c r="TRB522" s="1358"/>
      <c r="TRC522" s="1358"/>
      <c r="TRD522" s="1358"/>
      <c r="TRE522" s="1358"/>
      <c r="TRF522" s="1358"/>
      <c r="TRG522" s="1358"/>
      <c r="TRH522" s="1358"/>
      <c r="TRI522" s="1358"/>
      <c r="TRJ522" s="1358"/>
      <c r="TRK522" s="1358"/>
      <c r="TRL522" s="1358"/>
      <c r="TRM522" s="1358"/>
      <c r="TRN522" s="1358"/>
      <c r="TRO522" s="1358"/>
      <c r="TRP522" s="1358"/>
      <c r="TRQ522" s="1358"/>
      <c r="TRR522" s="1358"/>
      <c r="TRS522" s="1358"/>
      <c r="TRT522" s="1358"/>
      <c r="TRU522" s="1358"/>
      <c r="TRV522" s="1358"/>
      <c r="TRW522" s="1358"/>
      <c r="TRX522" s="1358"/>
      <c r="TRY522" s="1358"/>
      <c r="TRZ522" s="1358"/>
      <c r="TSA522" s="1358"/>
      <c r="TSB522" s="1358"/>
      <c r="TSC522" s="1358"/>
      <c r="TSD522" s="1358"/>
      <c r="TSE522" s="1358"/>
      <c r="TSF522" s="1358"/>
      <c r="TSG522" s="1358"/>
      <c r="TSH522" s="1358"/>
      <c r="TSI522" s="1358"/>
      <c r="TSJ522" s="1358"/>
      <c r="TSK522" s="1358"/>
      <c r="TSL522" s="1358"/>
      <c r="TSM522" s="1358"/>
      <c r="TSN522" s="1358"/>
      <c r="TSO522" s="1358"/>
      <c r="TSP522" s="1358"/>
      <c r="TSQ522" s="1358"/>
      <c r="TSR522" s="1358"/>
      <c r="TSS522" s="1358"/>
      <c r="TST522" s="1358"/>
      <c r="TSU522" s="1358"/>
      <c r="TSV522" s="1358"/>
      <c r="TSW522" s="1358"/>
      <c r="TSX522" s="1358"/>
      <c r="TSY522" s="1358"/>
      <c r="TSZ522" s="1358"/>
      <c r="TTA522" s="1358"/>
      <c r="TTB522" s="1358"/>
      <c r="TTC522" s="1358"/>
      <c r="TTD522" s="1358"/>
      <c r="TTE522" s="1358"/>
      <c r="TTF522" s="1358"/>
      <c r="TTG522" s="1358"/>
      <c r="TTH522" s="1358"/>
      <c r="TTI522" s="1358"/>
      <c r="TTJ522" s="1358"/>
      <c r="TTK522" s="1358"/>
      <c r="TTL522" s="1358"/>
      <c r="TTM522" s="1358"/>
      <c r="TTN522" s="1358"/>
      <c r="TTO522" s="1358"/>
      <c r="TTP522" s="1358"/>
      <c r="TTQ522" s="1358"/>
      <c r="TTR522" s="1358"/>
      <c r="TTS522" s="1358"/>
      <c r="TTT522" s="1358"/>
      <c r="TTU522" s="1358"/>
      <c r="TTV522" s="1358"/>
      <c r="TTW522" s="1358"/>
      <c r="TTX522" s="1358"/>
      <c r="TTY522" s="1358"/>
      <c r="TTZ522" s="1358"/>
      <c r="TUA522" s="1358"/>
      <c r="TUB522" s="1358"/>
      <c r="TUC522" s="1358"/>
      <c r="TUD522" s="1358"/>
      <c r="TUE522" s="1358"/>
      <c r="TUF522" s="1358"/>
      <c r="TUG522" s="1358"/>
      <c r="TUH522" s="1358"/>
      <c r="TUI522" s="1358"/>
      <c r="TUJ522" s="1358"/>
      <c r="TUK522" s="1358"/>
      <c r="TUL522" s="1358"/>
      <c r="TUM522" s="1358"/>
      <c r="TUN522" s="1358"/>
      <c r="TUO522" s="1358"/>
      <c r="TUP522" s="1358"/>
      <c r="TUQ522" s="1358"/>
      <c r="TUR522" s="1358"/>
      <c r="TUS522" s="1358"/>
      <c r="TUT522" s="1358"/>
      <c r="TUU522" s="1358"/>
      <c r="TUV522" s="1358"/>
      <c r="TUW522" s="1358"/>
      <c r="TUX522" s="1358"/>
      <c r="TUY522" s="1358"/>
      <c r="TUZ522" s="1358"/>
      <c r="TVA522" s="1358"/>
      <c r="TVB522" s="1358"/>
      <c r="TVC522" s="1358"/>
      <c r="TVD522" s="1358"/>
      <c r="TVE522" s="1358"/>
      <c r="TVF522" s="1358"/>
      <c r="TVG522" s="1358"/>
      <c r="TVH522" s="1358"/>
      <c r="TVI522" s="1358"/>
      <c r="TVJ522" s="1358"/>
      <c r="TVK522" s="1358"/>
      <c r="TVL522" s="1358"/>
      <c r="TVM522" s="1358"/>
      <c r="TVN522" s="1358"/>
      <c r="TVO522" s="1358"/>
      <c r="TVP522" s="1358"/>
      <c r="TVQ522" s="1358"/>
      <c r="TVR522" s="1358"/>
      <c r="TVS522" s="1358"/>
      <c r="TVT522" s="1358"/>
      <c r="TVU522" s="1358"/>
      <c r="TVV522" s="1358"/>
      <c r="TVW522" s="1358"/>
      <c r="TVX522" s="1358"/>
      <c r="TVY522" s="1358"/>
      <c r="TVZ522" s="1358"/>
      <c r="TWA522" s="1358"/>
      <c r="TWB522" s="1358"/>
      <c r="TWC522" s="1358"/>
      <c r="TWD522" s="1358"/>
      <c r="TWE522" s="1358"/>
      <c r="TWF522" s="1358"/>
      <c r="TWG522" s="1358"/>
      <c r="TWH522" s="1358"/>
      <c r="TWI522" s="1358"/>
      <c r="TWJ522" s="1358"/>
      <c r="TWK522" s="1358"/>
      <c r="TWL522" s="1358"/>
      <c r="TWM522" s="1358"/>
      <c r="TWN522" s="1358"/>
      <c r="TWO522" s="1358"/>
      <c r="TWP522" s="1358"/>
      <c r="TWQ522" s="1358"/>
      <c r="TWR522" s="1358"/>
      <c r="TWS522" s="1358"/>
      <c r="TWT522" s="1358"/>
      <c r="TWU522" s="1358"/>
      <c r="TWV522" s="1358"/>
      <c r="TWW522" s="1358"/>
      <c r="TWX522" s="1358"/>
      <c r="TWY522" s="1358"/>
      <c r="TWZ522" s="1358"/>
      <c r="TXA522" s="1358"/>
      <c r="TXB522" s="1358"/>
      <c r="TXC522" s="1358"/>
      <c r="TXD522" s="1358"/>
      <c r="TXE522" s="1358"/>
      <c r="TXF522" s="1358"/>
      <c r="TXG522" s="1358"/>
      <c r="TXH522" s="1358"/>
      <c r="TXI522" s="1358"/>
      <c r="TXJ522" s="1358"/>
      <c r="TXK522" s="1358"/>
      <c r="TXL522" s="1358"/>
      <c r="TXM522" s="1358"/>
      <c r="TXN522" s="1358"/>
      <c r="TXO522" s="1358"/>
      <c r="TXP522" s="1358"/>
      <c r="TXQ522" s="1358"/>
      <c r="TXR522" s="1358"/>
      <c r="TXS522" s="1358"/>
      <c r="TXT522" s="1358"/>
      <c r="TXU522" s="1358"/>
      <c r="TXV522" s="1358"/>
      <c r="TXW522" s="1358"/>
      <c r="TXX522" s="1358"/>
      <c r="TXY522" s="1358"/>
      <c r="TXZ522" s="1358"/>
      <c r="TYA522" s="1358"/>
      <c r="TYB522" s="1358"/>
      <c r="TYC522" s="1358"/>
      <c r="TYD522" s="1358"/>
      <c r="TYE522" s="1358"/>
      <c r="TYF522" s="1358"/>
      <c r="TYG522" s="1358"/>
      <c r="TYH522" s="1358"/>
      <c r="TYI522" s="1358"/>
      <c r="TYJ522" s="1358"/>
      <c r="TYK522" s="1358"/>
      <c r="TYL522" s="1358"/>
      <c r="TYM522" s="1358"/>
      <c r="TYN522" s="1358"/>
      <c r="TYO522" s="1358"/>
      <c r="TYP522" s="1358"/>
      <c r="TYQ522" s="1358"/>
      <c r="TYR522" s="1358"/>
      <c r="TYS522" s="1358"/>
      <c r="TYT522" s="1358"/>
      <c r="TYU522" s="1358"/>
      <c r="TYV522" s="1358"/>
      <c r="TYW522" s="1358"/>
      <c r="TYX522" s="1358"/>
      <c r="TYY522" s="1358"/>
      <c r="TYZ522" s="1358"/>
      <c r="TZA522" s="1358"/>
      <c r="TZB522" s="1358"/>
      <c r="TZC522" s="1358"/>
      <c r="TZD522" s="1358"/>
      <c r="TZE522" s="1358"/>
      <c r="TZF522" s="1358"/>
      <c r="TZG522" s="1358"/>
      <c r="TZH522" s="1358"/>
      <c r="TZI522" s="1358"/>
      <c r="TZJ522" s="1358"/>
      <c r="TZK522" s="1358"/>
      <c r="TZL522" s="1358"/>
      <c r="TZM522" s="1358"/>
      <c r="TZN522" s="1358"/>
      <c r="TZO522" s="1358"/>
      <c r="TZP522" s="1358"/>
      <c r="TZQ522" s="1358"/>
      <c r="TZR522" s="1358"/>
      <c r="TZS522" s="1358"/>
      <c r="TZT522" s="1358"/>
      <c r="TZU522" s="1358"/>
      <c r="TZV522" s="1358"/>
      <c r="TZW522" s="1358"/>
      <c r="TZX522" s="1358"/>
      <c r="TZY522" s="1358"/>
      <c r="TZZ522" s="1358"/>
      <c r="UAA522" s="1358"/>
      <c r="UAB522" s="1358"/>
      <c r="UAC522" s="1358"/>
      <c r="UAD522" s="1358"/>
      <c r="UAE522" s="1358"/>
      <c r="UAF522" s="1358"/>
      <c r="UAG522" s="1358"/>
      <c r="UAH522" s="1358"/>
      <c r="UAI522" s="1358"/>
      <c r="UAJ522" s="1358"/>
      <c r="UAK522" s="1358"/>
      <c r="UAL522" s="1358"/>
      <c r="UAM522" s="1358"/>
      <c r="UAN522" s="1358"/>
      <c r="UAO522" s="1358"/>
      <c r="UAP522" s="1358"/>
      <c r="UAQ522" s="1358"/>
      <c r="UAR522" s="1358"/>
      <c r="UAS522" s="1358"/>
      <c r="UAT522" s="1358"/>
      <c r="UAU522" s="1358"/>
      <c r="UAV522" s="1358"/>
      <c r="UAW522" s="1358"/>
      <c r="UAX522" s="1358"/>
      <c r="UAY522" s="1358"/>
      <c r="UAZ522" s="1358"/>
      <c r="UBA522" s="1358"/>
      <c r="UBB522" s="1358"/>
      <c r="UBC522" s="1358"/>
      <c r="UBD522" s="1358"/>
      <c r="UBE522" s="1358"/>
      <c r="UBF522" s="1358"/>
      <c r="UBG522" s="1358"/>
      <c r="UBH522" s="1358"/>
      <c r="UBI522" s="1358"/>
      <c r="UBJ522" s="1358"/>
      <c r="UBK522" s="1358"/>
      <c r="UBL522" s="1358"/>
      <c r="UBM522" s="1358"/>
      <c r="UBN522" s="1358"/>
      <c r="UBO522" s="1358"/>
      <c r="UBP522" s="1358"/>
      <c r="UBQ522" s="1358"/>
      <c r="UBR522" s="1358"/>
      <c r="UBS522" s="1358"/>
      <c r="UBT522" s="1358"/>
      <c r="UBU522" s="1358"/>
      <c r="UBV522" s="1358"/>
      <c r="UBW522" s="1358"/>
      <c r="UBX522" s="1358"/>
      <c r="UBY522" s="1358"/>
      <c r="UBZ522" s="1358"/>
      <c r="UCA522" s="1358"/>
      <c r="UCB522" s="1358"/>
      <c r="UCC522" s="1358"/>
      <c r="UCD522" s="1358"/>
      <c r="UCE522" s="1358"/>
      <c r="UCF522" s="1358"/>
      <c r="UCG522" s="1358"/>
      <c r="UCH522" s="1358"/>
      <c r="UCI522" s="1358"/>
      <c r="UCJ522" s="1358"/>
      <c r="UCK522" s="1358"/>
      <c r="UCL522" s="1358"/>
      <c r="UCM522" s="1358"/>
      <c r="UCN522" s="1358"/>
      <c r="UCO522" s="1358"/>
      <c r="UCP522" s="1358"/>
      <c r="UCQ522" s="1358"/>
      <c r="UCR522" s="1358"/>
      <c r="UCS522" s="1358"/>
      <c r="UCT522" s="1358"/>
      <c r="UCU522" s="1358"/>
      <c r="UCV522" s="1358"/>
      <c r="UCW522" s="1358"/>
      <c r="UCX522" s="1358"/>
      <c r="UCY522" s="1358"/>
      <c r="UCZ522" s="1358"/>
      <c r="UDA522" s="1358"/>
      <c r="UDB522" s="1358"/>
      <c r="UDC522" s="1358"/>
      <c r="UDD522" s="1358"/>
      <c r="UDE522" s="1358"/>
      <c r="UDF522" s="1358"/>
      <c r="UDG522" s="1358"/>
      <c r="UDH522" s="1358"/>
      <c r="UDI522" s="1358"/>
      <c r="UDJ522" s="1358"/>
      <c r="UDK522" s="1358"/>
      <c r="UDL522" s="1358"/>
      <c r="UDM522" s="1358"/>
      <c r="UDN522" s="1358"/>
      <c r="UDO522" s="1358"/>
      <c r="UDP522" s="1358"/>
      <c r="UDQ522" s="1358"/>
      <c r="UDR522" s="1358"/>
      <c r="UDS522" s="1358"/>
      <c r="UDT522" s="1358"/>
      <c r="UDU522" s="1358"/>
      <c r="UDV522" s="1358"/>
      <c r="UDW522" s="1358"/>
      <c r="UDX522" s="1358"/>
      <c r="UDY522" s="1358"/>
      <c r="UDZ522" s="1358"/>
      <c r="UEA522" s="1358"/>
      <c r="UEB522" s="1358"/>
      <c r="UEC522" s="1358"/>
      <c r="UED522" s="1358"/>
      <c r="UEE522" s="1358"/>
      <c r="UEF522" s="1358"/>
      <c r="UEG522" s="1358"/>
      <c r="UEH522" s="1358"/>
      <c r="UEI522" s="1358"/>
      <c r="UEJ522" s="1358"/>
      <c r="UEK522" s="1358"/>
      <c r="UEL522" s="1358"/>
      <c r="UEM522" s="1358"/>
      <c r="UEN522" s="1358"/>
      <c r="UEO522" s="1358"/>
      <c r="UEP522" s="1358"/>
      <c r="UEQ522" s="1358"/>
      <c r="UER522" s="1358"/>
      <c r="UES522" s="1358"/>
      <c r="UET522" s="1358"/>
      <c r="UEU522" s="1358"/>
      <c r="UEV522" s="1358"/>
      <c r="UEW522" s="1358"/>
      <c r="UEX522" s="1358"/>
      <c r="UEY522" s="1358"/>
      <c r="UEZ522" s="1358"/>
      <c r="UFA522" s="1358"/>
      <c r="UFB522" s="1358"/>
      <c r="UFC522" s="1358"/>
      <c r="UFD522" s="1358"/>
      <c r="UFE522" s="1358"/>
      <c r="UFF522" s="1358"/>
      <c r="UFG522" s="1358"/>
      <c r="UFH522" s="1358"/>
      <c r="UFI522" s="1358"/>
      <c r="UFJ522" s="1358"/>
      <c r="UFK522" s="1358"/>
      <c r="UFL522" s="1358"/>
      <c r="UFM522" s="1358"/>
      <c r="UFN522" s="1358"/>
      <c r="UFO522" s="1358"/>
      <c r="UFP522" s="1358"/>
      <c r="UFQ522" s="1358"/>
      <c r="UFR522" s="1358"/>
      <c r="UFS522" s="1358"/>
      <c r="UFT522" s="1358"/>
      <c r="UFU522" s="1358"/>
      <c r="UFV522" s="1358"/>
      <c r="UFW522" s="1358"/>
      <c r="UFX522" s="1358"/>
      <c r="UFY522" s="1358"/>
      <c r="UFZ522" s="1358"/>
      <c r="UGA522" s="1358"/>
      <c r="UGB522" s="1358"/>
      <c r="UGC522" s="1358"/>
      <c r="UGD522" s="1358"/>
      <c r="UGE522" s="1358"/>
      <c r="UGF522" s="1358"/>
      <c r="UGG522" s="1358"/>
      <c r="UGH522" s="1358"/>
      <c r="UGI522" s="1358"/>
      <c r="UGJ522" s="1358"/>
      <c r="UGK522" s="1358"/>
      <c r="UGL522" s="1358"/>
      <c r="UGM522" s="1358"/>
      <c r="UGN522" s="1358"/>
      <c r="UGO522" s="1358"/>
      <c r="UGP522" s="1358"/>
      <c r="UGQ522" s="1358"/>
      <c r="UGR522" s="1358"/>
      <c r="UGS522" s="1358"/>
      <c r="UGT522" s="1358"/>
      <c r="UGU522" s="1358"/>
      <c r="UGV522" s="1358"/>
      <c r="UGW522" s="1358"/>
      <c r="UGX522" s="1358"/>
      <c r="UGY522" s="1358"/>
      <c r="UGZ522" s="1358"/>
      <c r="UHA522" s="1358"/>
      <c r="UHB522" s="1358"/>
      <c r="UHC522" s="1358"/>
      <c r="UHD522" s="1358"/>
      <c r="UHE522" s="1358"/>
      <c r="UHF522" s="1358"/>
      <c r="UHG522" s="1358"/>
      <c r="UHH522" s="1358"/>
      <c r="UHI522" s="1358"/>
      <c r="UHJ522" s="1358"/>
      <c r="UHK522" s="1358"/>
      <c r="UHL522" s="1358"/>
      <c r="UHM522" s="1358"/>
      <c r="UHN522" s="1358"/>
      <c r="UHO522" s="1358"/>
      <c r="UHP522" s="1358"/>
      <c r="UHQ522" s="1358"/>
      <c r="UHR522" s="1358"/>
      <c r="UHS522" s="1358"/>
      <c r="UHT522" s="1358"/>
      <c r="UHU522" s="1358"/>
      <c r="UHV522" s="1358"/>
      <c r="UHW522" s="1358"/>
      <c r="UHX522" s="1358"/>
      <c r="UHY522" s="1358"/>
      <c r="UHZ522" s="1358"/>
      <c r="UIA522" s="1358"/>
      <c r="UIB522" s="1358"/>
      <c r="UIC522" s="1358"/>
      <c r="UID522" s="1358"/>
      <c r="UIE522" s="1358"/>
      <c r="UIF522" s="1358"/>
      <c r="UIG522" s="1358"/>
      <c r="UIH522" s="1358"/>
      <c r="UII522" s="1358"/>
      <c r="UIJ522" s="1358"/>
      <c r="UIK522" s="1358"/>
      <c r="UIL522" s="1358"/>
      <c r="UIM522" s="1358"/>
      <c r="UIN522" s="1358"/>
      <c r="UIO522" s="1358"/>
      <c r="UIP522" s="1358"/>
      <c r="UIQ522" s="1358"/>
      <c r="UIR522" s="1358"/>
      <c r="UIS522" s="1358"/>
      <c r="UIT522" s="1358"/>
      <c r="UIU522" s="1358"/>
      <c r="UIV522" s="1358"/>
      <c r="UIW522" s="1358"/>
      <c r="UIX522" s="1358"/>
      <c r="UIY522" s="1358"/>
      <c r="UIZ522" s="1358"/>
      <c r="UJA522" s="1358"/>
      <c r="UJB522" s="1358"/>
      <c r="UJC522" s="1358"/>
      <c r="UJD522" s="1358"/>
      <c r="UJE522" s="1358"/>
      <c r="UJF522" s="1358"/>
      <c r="UJG522" s="1358"/>
      <c r="UJH522" s="1358"/>
      <c r="UJI522" s="1358"/>
      <c r="UJJ522" s="1358"/>
      <c r="UJK522" s="1358"/>
      <c r="UJL522" s="1358"/>
      <c r="UJM522" s="1358"/>
      <c r="UJN522" s="1358"/>
      <c r="UJO522" s="1358"/>
      <c r="UJP522" s="1358"/>
      <c r="UJQ522" s="1358"/>
      <c r="UJR522" s="1358"/>
      <c r="UJS522" s="1358"/>
      <c r="UJT522" s="1358"/>
      <c r="UJU522" s="1358"/>
      <c r="UJV522" s="1358"/>
      <c r="UJW522" s="1358"/>
      <c r="UJX522" s="1358"/>
      <c r="UJY522" s="1358"/>
      <c r="UJZ522" s="1358"/>
      <c r="UKA522" s="1358"/>
      <c r="UKB522" s="1358"/>
      <c r="UKC522" s="1358"/>
      <c r="UKD522" s="1358"/>
      <c r="UKE522" s="1358"/>
      <c r="UKF522" s="1358"/>
      <c r="UKG522" s="1358"/>
      <c r="UKH522" s="1358"/>
      <c r="UKI522" s="1358"/>
      <c r="UKJ522" s="1358"/>
      <c r="UKK522" s="1358"/>
      <c r="UKL522" s="1358"/>
      <c r="UKM522" s="1358"/>
      <c r="UKN522" s="1358"/>
      <c r="UKO522" s="1358"/>
      <c r="UKP522" s="1358"/>
      <c r="UKQ522" s="1358"/>
      <c r="UKR522" s="1358"/>
      <c r="UKS522" s="1358"/>
      <c r="UKT522" s="1358"/>
      <c r="UKU522" s="1358"/>
      <c r="UKV522" s="1358"/>
      <c r="UKW522" s="1358"/>
      <c r="UKX522" s="1358"/>
      <c r="UKY522" s="1358"/>
      <c r="UKZ522" s="1358"/>
      <c r="ULA522" s="1358"/>
      <c r="ULB522" s="1358"/>
      <c r="ULC522" s="1358"/>
      <c r="ULD522" s="1358"/>
      <c r="ULE522" s="1358"/>
      <c r="ULF522" s="1358"/>
      <c r="ULG522" s="1358"/>
      <c r="ULH522" s="1358"/>
      <c r="ULI522" s="1358"/>
      <c r="ULJ522" s="1358"/>
      <c r="ULK522" s="1358"/>
      <c r="ULL522" s="1358"/>
      <c r="ULM522" s="1358"/>
      <c r="ULN522" s="1358"/>
      <c r="ULO522" s="1358"/>
      <c r="ULP522" s="1358"/>
      <c r="ULQ522" s="1358"/>
      <c r="ULR522" s="1358"/>
      <c r="ULS522" s="1358"/>
      <c r="ULT522" s="1358"/>
      <c r="ULU522" s="1358"/>
      <c r="ULV522" s="1358"/>
      <c r="ULW522" s="1358"/>
      <c r="ULX522" s="1358"/>
      <c r="ULY522" s="1358"/>
      <c r="ULZ522" s="1358"/>
      <c r="UMA522" s="1358"/>
      <c r="UMB522" s="1358"/>
      <c r="UMC522" s="1358"/>
      <c r="UMD522" s="1358"/>
      <c r="UME522" s="1358"/>
      <c r="UMF522" s="1358"/>
      <c r="UMG522" s="1358"/>
      <c r="UMH522" s="1358"/>
      <c r="UMI522" s="1358"/>
      <c r="UMJ522" s="1358"/>
      <c r="UMK522" s="1358"/>
      <c r="UML522" s="1358"/>
      <c r="UMM522" s="1358"/>
      <c r="UMN522" s="1358"/>
      <c r="UMO522" s="1358"/>
      <c r="UMP522" s="1358"/>
      <c r="UMQ522" s="1358"/>
      <c r="UMR522" s="1358"/>
      <c r="UMS522" s="1358"/>
      <c r="UMT522" s="1358"/>
      <c r="UMU522" s="1358"/>
      <c r="UMV522" s="1358"/>
      <c r="UMW522" s="1358"/>
      <c r="UMX522" s="1358"/>
      <c r="UMY522" s="1358"/>
      <c r="UMZ522" s="1358"/>
      <c r="UNA522" s="1358"/>
      <c r="UNB522" s="1358"/>
      <c r="UNC522" s="1358"/>
      <c r="UND522" s="1358"/>
      <c r="UNE522" s="1358"/>
      <c r="UNF522" s="1358"/>
      <c r="UNG522" s="1358"/>
      <c r="UNH522" s="1358"/>
      <c r="UNI522" s="1358"/>
      <c r="UNJ522" s="1358"/>
      <c r="UNK522" s="1358"/>
      <c r="UNL522" s="1358"/>
      <c r="UNM522" s="1358"/>
      <c r="UNN522" s="1358"/>
      <c r="UNO522" s="1358"/>
      <c r="UNP522" s="1358"/>
      <c r="UNQ522" s="1358"/>
      <c r="UNR522" s="1358"/>
      <c r="UNS522" s="1358"/>
      <c r="UNT522" s="1358"/>
      <c r="UNU522" s="1358"/>
      <c r="UNV522" s="1358"/>
      <c r="UNW522" s="1358"/>
      <c r="UNX522" s="1358"/>
      <c r="UNY522" s="1358"/>
      <c r="UNZ522" s="1358"/>
      <c r="UOA522" s="1358"/>
      <c r="UOB522" s="1358"/>
      <c r="UOC522" s="1358"/>
      <c r="UOD522" s="1358"/>
      <c r="UOE522" s="1358"/>
      <c r="UOF522" s="1358"/>
      <c r="UOG522" s="1358"/>
      <c r="UOH522" s="1358"/>
      <c r="UOI522" s="1358"/>
      <c r="UOJ522" s="1358"/>
      <c r="UOK522" s="1358"/>
      <c r="UOL522" s="1358"/>
      <c r="UOM522" s="1358"/>
      <c r="UON522" s="1358"/>
      <c r="UOO522" s="1358"/>
      <c r="UOP522" s="1358"/>
      <c r="UOQ522" s="1358"/>
      <c r="UOR522" s="1358"/>
      <c r="UOS522" s="1358"/>
      <c r="UOT522" s="1358"/>
      <c r="UOU522" s="1358"/>
      <c r="UOV522" s="1358"/>
      <c r="UOW522" s="1358"/>
      <c r="UOX522" s="1358"/>
      <c r="UOY522" s="1358"/>
      <c r="UOZ522" s="1358"/>
      <c r="UPA522" s="1358"/>
      <c r="UPB522" s="1358"/>
      <c r="UPC522" s="1358"/>
      <c r="UPD522" s="1358"/>
      <c r="UPE522" s="1358"/>
      <c r="UPF522" s="1358"/>
      <c r="UPG522" s="1358"/>
      <c r="UPH522" s="1358"/>
      <c r="UPI522" s="1358"/>
      <c r="UPJ522" s="1358"/>
      <c r="UPK522" s="1358"/>
      <c r="UPL522" s="1358"/>
      <c r="UPM522" s="1358"/>
      <c r="UPN522" s="1358"/>
      <c r="UPO522" s="1358"/>
      <c r="UPP522" s="1358"/>
      <c r="UPQ522" s="1358"/>
      <c r="UPR522" s="1358"/>
      <c r="UPS522" s="1358"/>
      <c r="UPT522" s="1358"/>
      <c r="UPU522" s="1358"/>
      <c r="UPV522" s="1358"/>
      <c r="UPW522" s="1358"/>
      <c r="UPX522" s="1358"/>
      <c r="UPY522" s="1358"/>
      <c r="UPZ522" s="1358"/>
      <c r="UQA522" s="1358"/>
      <c r="UQB522" s="1358"/>
      <c r="UQC522" s="1358"/>
      <c r="UQD522" s="1358"/>
      <c r="UQE522" s="1358"/>
      <c r="UQF522" s="1358"/>
      <c r="UQG522" s="1358"/>
      <c r="UQH522" s="1358"/>
      <c r="UQI522" s="1358"/>
      <c r="UQJ522" s="1358"/>
      <c r="UQK522" s="1358"/>
      <c r="UQL522" s="1358"/>
      <c r="UQM522" s="1358"/>
      <c r="UQN522" s="1358"/>
      <c r="UQO522" s="1358"/>
      <c r="UQP522" s="1358"/>
      <c r="UQQ522" s="1358"/>
      <c r="UQR522" s="1358"/>
      <c r="UQS522" s="1358"/>
      <c r="UQT522" s="1358"/>
      <c r="UQU522" s="1358"/>
      <c r="UQV522" s="1358"/>
      <c r="UQW522" s="1358"/>
      <c r="UQX522" s="1358"/>
      <c r="UQY522" s="1358"/>
      <c r="UQZ522" s="1358"/>
      <c r="URA522" s="1358"/>
      <c r="URB522" s="1358"/>
      <c r="URC522" s="1358"/>
      <c r="URD522" s="1358"/>
      <c r="URE522" s="1358"/>
      <c r="URF522" s="1358"/>
      <c r="URG522" s="1358"/>
      <c r="URH522" s="1358"/>
      <c r="URI522" s="1358"/>
      <c r="URJ522" s="1358"/>
      <c r="URK522" s="1358"/>
      <c r="URL522" s="1358"/>
      <c r="URM522" s="1358"/>
      <c r="URN522" s="1358"/>
      <c r="URO522" s="1358"/>
      <c r="URP522" s="1358"/>
      <c r="URQ522" s="1358"/>
      <c r="URR522" s="1358"/>
      <c r="URS522" s="1358"/>
      <c r="URT522" s="1358"/>
      <c r="URU522" s="1358"/>
      <c r="URV522" s="1358"/>
      <c r="URW522" s="1358"/>
      <c r="URX522" s="1358"/>
      <c r="URY522" s="1358"/>
      <c r="URZ522" s="1358"/>
      <c r="USA522" s="1358"/>
      <c r="USB522" s="1358"/>
      <c r="USC522" s="1358"/>
      <c r="USD522" s="1358"/>
      <c r="USE522" s="1358"/>
      <c r="USF522" s="1358"/>
      <c r="USG522" s="1358"/>
      <c r="USH522" s="1358"/>
      <c r="USI522" s="1358"/>
      <c r="USJ522" s="1358"/>
      <c r="USK522" s="1358"/>
      <c r="USL522" s="1358"/>
      <c r="USM522" s="1358"/>
      <c r="USN522" s="1358"/>
      <c r="USO522" s="1358"/>
      <c r="USP522" s="1358"/>
      <c r="USQ522" s="1358"/>
      <c r="USR522" s="1358"/>
      <c r="USS522" s="1358"/>
      <c r="UST522" s="1358"/>
      <c r="USU522" s="1358"/>
      <c r="USV522" s="1358"/>
      <c r="USW522" s="1358"/>
      <c r="USX522" s="1358"/>
      <c r="USY522" s="1358"/>
      <c r="USZ522" s="1358"/>
      <c r="UTA522" s="1358"/>
      <c r="UTB522" s="1358"/>
      <c r="UTC522" s="1358"/>
      <c r="UTD522" s="1358"/>
      <c r="UTE522" s="1358"/>
      <c r="UTF522" s="1358"/>
      <c r="UTG522" s="1358"/>
      <c r="UTH522" s="1358"/>
      <c r="UTI522" s="1358"/>
      <c r="UTJ522" s="1358"/>
      <c r="UTK522" s="1358"/>
      <c r="UTL522" s="1358"/>
      <c r="UTM522" s="1358"/>
      <c r="UTN522" s="1358"/>
      <c r="UTO522" s="1358"/>
      <c r="UTP522" s="1358"/>
      <c r="UTQ522" s="1358"/>
      <c r="UTR522" s="1358"/>
      <c r="UTS522" s="1358"/>
      <c r="UTT522" s="1358"/>
      <c r="UTU522" s="1358"/>
      <c r="UTV522" s="1358"/>
      <c r="UTW522" s="1358"/>
      <c r="UTX522" s="1358"/>
      <c r="UTY522" s="1358"/>
      <c r="UTZ522" s="1358"/>
      <c r="UUA522" s="1358"/>
      <c r="UUB522" s="1358"/>
      <c r="UUC522" s="1358"/>
      <c r="UUD522" s="1358"/>
      <c r="UUE522" s="1358"/>
      <c r="UUF522" s="1358"/>
      <c r="UUG522" s="1358"/>
      <c r="UUH522" s="1358"/>
      <c r="UUI522" s="1358"/>
      <c r="UUJ522" s="1358"/>
      <c r="UUK522" s="1358"/>
      <c r="UUL522" s="1358"/>
      <c r="UUM522" s="1358"/>
      <c r="UUN522" s="1358"/>
      <c r="UUO522" s="1358"/>
      <c r="UUP522" s="1358"/>
      <c r="UUQ522" s="1358"/>
      <c r="UUR522" s="1358"/>
      <c r="UUS522" s="1358"/>
      <c r="UUT522" s="1358"/>
      <c r="UUU522" s="1358"/>
      <c r="UUV522" s="1358"/>
      <c r="UUW522" s="1358"/>
      <c r="UUX522" s="1358"/>
      <c r="UUY522" s="1358"/>
      <c r="UUZ522" s="1358"/>
      <c r="UVA522" s="1358"/>
      <c r="UVB522" s="1358"/>
      <c r="UVC522" s="1358"/>
      <c r="UVD522" s="1358"/>
      <c r="UVE522" s="1358"/>
      <c r="UVF522" s="1358"/>
      <c r="UVG522" s="1358"/>
      <c r="UVH522" s="1358"/>
      <c r="UVI522" s="1358"/>
      <c r="UVJ522" s="1358"/>
      <c r="UVK522" s="1358"/>
      <c r="UVL522" s="1358"/>
      <c r="UVM522" s="1358"/>
      <c r="UVN522" s="1358"/>
      <c r="UVO522" s="1358"/>
      <c r="UVP522" s="1358"/>
      <c r="UVQ522" s="1358"/>
      <c r="UVR522" s="1358"/>
      <c r="UVS522" s="1358"/>
      <c r="UVT522" s="1358"/>
      <c r="UVU522" s="1358"/>
      <c r="UVV522" s="1358"/>
      <c r="UVW522" s="1358"/>
      <c r="UVX522" s="1358"/>
      <c r="UVY522" s="1358"/>
      <c r="UVZ522" s="1358"/>
      <c r="UWA522" s="1358"/>
      <c r="UWB522" s="1358"/>
      <c r="UWC522" s="1358"/>
      <c r="UWD522" s="1358"/>
      <c r="UWE522" s="1358"/>
      <c r="UWF522" s="1358"/>
      <c r="UWG522" s="1358"/>
      <c r="UWH522" s="1358"/>
      <c r="UWI522" s="1358"/>
      <c r="UWJ522" s="1358"/>
      <c r="UWK522" s="1358"/>
      <c r="UWL522" s="1358"/>
      <c r="UWM522" s="1358"/>
      <c r="UWN522" s="1358"/>
      <c r="UWO522" s="1358"/>
      <c r="UWP522" s="1358"/>
      <c r="UWQ522" s="1358"/>
      <c r="UWR522" s="1358"/>
      <c r="UWS522" s="1358"/>
      <c r="UWT522" s="1358"/>
      <c r="UWU522" s="1358"/>
      <c r="UWV522" s="1358"/>
      <c r="UWW522" s="1358"/>
      <c r="UWX522" s="1358"/>
      <c r="UWY522" s="1358"/>
      <c r="UWZ522" s="1358"/>
      <c r="UXA522" s="1358"/>
      <c r="UXB522" s="1358"/>
      <c r="UXC522" s="1358"/>
      <c r="UXD522" s="1358"/>
      <c r="UXE522" s="1358"/>
      <c r="UXF522" s="1358"/>
      <c r="UXG522" s="1358"/>
      <c r="UXH522" s="1358"/>
      <c r="UXI522" s="1358"/>
      <c r="UXJ522" s="1358"/>
      <c r="UXK522" s="1358"/>
      <c r="UXL522" s="1358"/>
      <c r="UXM522" s="1358"/>
      <c r="UXN522" s="1358"/>
      <c r="UXO522" s="1358"/>
      <c r="UXP522" s="1358"/>
      <c r="UXQ522" s="1358"/>
      <c r="UXR522" s="1358"/>
      <c r="UXS522" s="1358"/>
      <c r="UXT522" s="1358"/>
      <c r="UXU522" s="1358"/>
      <c r="UXV522" s="1358"/>
      <c r="UXW522" s="1358"/>
      <c r="UXX522" s="1358"/>
      <c r="UXY522" s="1358"/>
      <c r="UXZ522" s="1358"/>
      <c r="UYA522" s="1358"/>
      <c r="UYB522" s="1358"/>
      <c r="UYC522" s="1358"/>
      <c r="UYD522" s="1358"/>
      <c r="UYE522" s="1358"/>
      <c r="UYF522" s="1358"/>
      <c r="UYG522" s="1358"/>
      <c r="UYH522" s="1358"/>
      <c r="UYI522" s="1358"/>
      <c r="UYJ522" s="1358"/>
      <c r="UYK522" s="1358"/>
      <c r="UYL522" s="1358"/>
      <c r="UYM522" s="1358"/>
      <c r="UYN522" s="1358"/>
      <c r="UYO522" s="1358"/>
      <c r="UYP522" s="1358"/>
      <c r="UYQ522" s="1358"/>
      <c r="UYR522" s="1358"/>
      <c r="UYS522" s="1358"/>
      <c r="UYT522" s="1358"/>
      <c r="UYU522" s="1358"/>
      <c r="UYV522" s="1358"/>
      <c r="UYW522" s="1358"/>
      <c r="UYX522" s="1358"/>
      <c r="UYY522" s="1358"/>
      <c r="UYZ522" s="1358"/>
      <c r="UZA522" s="1358"/>
      <c r="UZB522" s="1358"/>
      <c r="UZC522" s="1358"/>
      <c r="UZD522" s="1358"/>
      <c r="UZE522" s="1358"/>
      <c r="UZF522" s="1358"/>
      <c r="UZG522" s="1358"/>
      <c r="UZH522" s="1358"/>
      <c r="UZI522" s="1358"/>
      <c r="UZJ522" s="1358"/>
      <c r="UZK522" s="1358"/>
      <c r="UZL522" s="1358"/>
      <c r="UZM522" s="1358"/>
      <c r="UZN522" s="1358"/>
      <c r="UZO522" s="1358"/>
      <c r="UZP522" s="1358"/>
      <c r="UZQ522" s="1358"/>
      <c r="UZR522" s="1358"/>
      <c r="UZS522" s="1358"/>
      <c r="UZT522" s="1358"/>
      <c r="UZU522" s="1358"/>
      <c r="UZV522" s="1358"/>
      <c r="UZW522" s="1358"/>
      <c r="UZX522" s="1358"/>
      <c r="UZY522" s="1358"/>
      <c r="UZZ522" s="1358"/>
      <c r="VAA522" s="1358"/>
      <c r="VAB522" s="1358"/>
      <c r="VAC522" s="1358"/>
      <c r="VAD522" s="1358"/>
      <c r="VAE522" s="1358"/>
      <c r="VAF522" s="1358"/>
      <c r="VAG522" s="1358"/>
      <c r="VAH522" s="1358"/>
      <c r="VAI522" s="1358"/>
      <c r="VAJ522" s="1358"/>
      <c r="VAK522" s="1358"/>
      <c r="VAL522" s="1358"/>
      <c r="VAM522" s="1358"/>
      <c r="VAN522" s="1358"/>
      <c r="VAO522" s="1358"/>
      <c r="VAP522" s="1358"/>
      <c r="VAQ522" s="1358"/>
      <c r="VAR522" s="1358"/>
      <c r="VAS522" s="1358"/>
      <c r="VAT522" s="1358"/>
      <c r="VAU522" s="1358"/>
      <c r="VAV522" s="1358"/>
      <c r="VAW522" s="1358"/>
      <c r="VAX522" s="1358"/>
      <c r="VAY522" s="1358"/>
      <c r="VAZ522" s="1358"/>
      <c r="VBA522" s="1358"/>
      <c r="VBB522" s="1358"/>
      <c r="VBC522" s="1358"/>
      <c r="VBD522" s="1358"/>
      <c r="VBE522" s="1358"/>
      <c r="VBF522" s="1358"/>
      <c r="VBG522" s="1358"/>
      <c r="VBH522" s="1358"/>
      <c r="VBI522" s="1358"/>
      <c r="VBJ522" s="1358"/>
      <c r="VBK522" s="1358"/>
      <c r="VBL522" s="1358"/>
      <c r="VBM522" s="1358"/>
      <c r="VBN522" s="1358"/>
      <c r="VBO522" s="1358"/>
      <c r="VBP522" s="1358"/>
      <c r="VBQ522" s="1358"/>
      <c r="VBR522" s="1358"/>
      <c r="VBS522" s="1358"/>
      <c r="VBT522" s="1358"/>
      <c r="VBU522" s="1358"/>
      <c r="VBV522" s="1358"/>
      <c r="VBW522" s="1358"/>
      <c r="VBX522" s="1358"/>
      <c r="VBY522" s="1358"/>
      <c r="VBZ522" s="1358"/>
      <c r="VCA522" s="1358"/>
      <c r="VCB522" s="1358"/>
      <c r="VCC522" s="1358"/>
      <c r="VCD522" s="1358"/>
      <c r="VCE522" s="1358"/>
      <c r="VCF522" s="1358"/>
      <c r="VCG522" s="1358"/>
      <c r="VCH522" s="1358"/>
      <c r="VCI522" s="1358"/>
      <c r="VCJ522" s="1358"/>
      <c r="VCK522" s="1358"/>
      <c r="VCL522" s="1358"/>
      <c r="VCM522" s="1358"/>
      <c r="VCN522" s="1358"/>
      <c r="VCO522" s="1358"/>
      <c r="VCP522" s="1358"/>
      <c r="VCQ522" s="1358"/>
      <c r="VCR522" s="1358"/>
      <c r="VCS522" s="1358"/>
      <c r="VCT522" s="1358"/>
      <c r="VCU522" s="1358"/>
      <c r="VCV522" s="1358"/>
      <c r="VCW522" s="1358"/>
      <c r="VCX522" s="1358"/>
      <c r="VCY522" s="1358"/>
      <c r="VCZ522" s="1358"/>
      <c r="VDA522" s="1358"/>
      <c r="VDB522" s="1358"/>
      <c r="VDC522" s="1358"/>
      <c r="VDD522" s="1358"/>
      <c r="VDE522" s="1358"/>
      <c r="VDF522" s="1358"/>
      <c r="VDG522" s="1358"/>
      <c r="VDH522" s="1358"/>
      <c r="VDI522" s="1358"/>
      <c r="VDJ522" s="1358"/>
      <c r="VDK522" s="1358"/>
      <c r="VDL522" s="1358"/>
      <c r="VDM522" s="1358"/>
      <c r="VDN522" s="1358"/>
      <c r="VDO522" s="1358"/>
      <c r="VDP522" s="1358"/>
      <c r="VDQ522" s="1358"/>
      <c r="VDR522" s="1358"/>
      <c r="VDS522" s="1358"/>
      <c r="VDT522" s="1358"/>
      <c r="VDU522" s="1358"/>
      <c r="VDV522" s="1358"/>
      <c r="VDW522" s="1358"/>
      <c r="VDX522" s="1358"/>
      <c r="VDY522" s="1358"/>
      <c r="VDZ522" s="1358"/>
      <c r="VEA522" s="1358"/>
      <c r="VEB522" s="1358"/>
      <c r="VEC522" s="1358"/>
      <c r="VED522" s="1358"/>
      <c r="VEE522" s="1358"/>
      <c r="VEF522" s="1358"/>
      <c r="VEG522" s="1358"/>
      <c r="VEH522" s="1358"/>
      <c r="VEI522" s="1358"/>
      <c r="VEJ522" s="1358"/>
      <c r="VEK522" s="1358"/>
      <c r="VEL522" s="1358"/>
      <c r="VEM522" s="1358"/>
      <c r="VEN522" s="1358"/>
      <c r="VEO522" s="1358"/>
      <c r="VEP522" s="1358"/>
      <c r="VEQ522" s="1358"/>
      <c r="VER522" s="1358"/>
      <c r="VES522" s="1358"/>
      <c r="VET522" s="1358"/>
      <c r="VEU522" s="1358"/>
      <c r="VEV522" s="1358"/>
      <c r="VEW522" s="1358"/>
      <c r="VEX522" s="1358"/>
      <c r="VEY522" s="1358"/>
      <c r="VEZ522" s="1358"/>
      <c r="VFA522" s="1358"/>
      <c r="VFB522" s="1358"/>
      <c r="VFC522" s="1358"/>
      <c r="VFD522" s="1358"/>
      <c r="VFE522" s="1358"/>
      <c r="VFF522" s="1358"/>
      <c r="VFG522" s="1358"/>
      <c r="VFH522" s="1358"/>
      <c r="VFI522" s="1358"/>
      <c r="VFJ522" s="1358"/>
      <c r="VFK522" s="1358"/>
      <c r="VFL522" s="1358"/>
      <c r="VFM522" s="1358"/>
      <c r="VFN522" s="1358"/>
      <c r="VFO522" s="1358"/>
      <c r="VFP522" s="1358"/>
      <c r="VFQ522" s="1358"/>
      <c r="VFR522" s="1358"/>
      <c r="VFS522" s="1358"/>
      <c r="VFT522" s="1358"/>
      <c r="VFU522" s="1358"/>
      <c r="VFV522" s="1358"/>
      <c r="VFW522" s="1358"/>
      <c r="VFX522" s="1358"/>
      <c r="VFY522" s="1358"/>
      <c r="VFZ522" s="1358"/>
      <c r="VGA522" s="1358"/>
      <c r="VGB522" s="1358"/>
      <c r="VGC522" s="1358"/>
      <c r="VGD522" s="1358"/>
      <c r="VGE522" s="1358"/>
      <c r="VGF522" s="1358"/>
      <c r="VGG522" s="1358"/>
      <c r="VGH522" s="1358"/>
      <c r="VGI522" s="1358"/>
      <c r="VGJ522" s="1358"/>
      <c r="VGK522" s="1358"/>
      <c r="VGL522" s="1358"/>
      <c r="VGM522" s="1358"/>
      <c r="VGN522" s="1358"/>
      <c r="VGO522" s="1358"/>
      <c r="VGP522" s="1358"/>
      <c r="VGQ522" s="1358"/>
      <c r="VGR522" s="1358"/>
      <c r="VGS522" s="1358"/>
      <c r="VGT522" s="1358"/>
      <c r="VGU522" s="1358"/>
      <c r="VGV522" s="1358"/>
      <c r="VGW522" s="1358"/>
      <c r="VGX522" s="1358"/>
      <c r="VGY522" s="1358"/>
      <c r="VGZ522" s="1358"/>
      <c r="VHA522" s="1358"/>
      <c r="VHB522" s="1358"/>
      <c r="VHC522" s="1358"/>
      <c r="VHD522" s="1358"/>
      <c r="VHE522" s="1358"/>
      <c r="VHF522" s="1358"/>
      <c r="VHG522" s="1358"/>
      <c r="VHH522" s="1358"/>
      <c r="VHI522" s="1358"/>
      <c r="VHJ522" s="1358"/>
      <c r="VHK522" s="1358"/>
      <c r="VHL522" s="1358"/>
      <c r="VHM522" s="1358"/>
      <c r="VHN522" s="1358"/>
      <c r="VHO522" s="1358"/>
      <c r="VHP522" s="1358"/>
      <c r="VHQ522" s="1358"/>
      <c r="VHR522" s="1358"/>
      <c r="VHS522" s="1358"/>
      <c r="VHT522" s="1358"/>
      <c r="VHU522" s="1358"/>
      <c r="VHV522" s="1358"/>
      <c r="VHW522" s="1358"/>
      <c r="VHX522" s="1358"/>
      <c r="VHY522" s="1358"/>
      <c r="VHZ522" s="1358"/>
      <c r="VIA522" s="1358"/>
      <c r="VIB522" s="1358"/>
      <c r="VIC522" s="1358"/>
      <c r="VID522" s="1358"/>
      <c r="VIE522" s="1358"/>
      <c r="VIF522" s="1358"/>
      <c r="VIG522" s="1358"/>
      <c r="VIH522" s="1358"/>
      <c r="VII522" s="1358"/>
      <c r="VIJ522" s="1358"/>
      <c r="VIK522" s="1358"/>
      <c r="VIL522" s="1358"/>
      <c r="VIM522" s="1358"/>
      <c r="VIN522" s="1358"/>
      <c r="VIO522" s="1358"/>
      <c r="VIP522" s="1358"/>
      <c r="VIQ522" s="1358"/>
      <c r="VIR522" s="1358"/>
      <c r="VIS522" s="1358"/>
      <c r="VIT522" s="1358"/>
      <c r="VIU522" s="1358"/>
      <c r="VIV522" s="1358"/>
      <c r="VIW522" s="1358"/>
      <c r="VIX522" s="1358"/>
      <c r="VIY522" s="1358"/>
      <c r="VIZ522" s="1358"/>
      <c r="VJA522" s="1358"/>
      <c r="VJB522" s="1358"/>
      <c r="VJC522" s="1358"/>
      <c r="VJD522" s="1358"/>
      <c r="VJE522" s="1358"/>
      <c r="VJF522" s="1358"/>
      <c r="VJG522" s="1358"/>
      <c r="VJH522" s="1358"/>
      <c r="VJI522" s="1358"/>
      <c r="VJJ522" s="1358"/>
      <c r="VJK522" s="1358"/>
      <c r="VJL522" s="1358"/>
      <c r="VJM522" s="1358"/>
      <c r="VJN522" s="1358"/>
      <c r="VJO522" s="1358"/>
      <c r="VJP522" s="1358"/>
      <c r="VJQ522" s="1358"/>
      <c r="VJR522" s="1358"/>
      <c r="VJS522" s="1358"/>
      <c r="VJT522" s="1358"/>
      <c r="VJU522" s="1358"/>
      <c r="VJV522" s="1358"/>
      <c r="VJW522" s="1358"/>
      <c r="VJX522" s="1358"/>
      <c r="VJY522" s="1358"/>
      <c r="VJZ522" s="1358"/>
      <c r="VKA522" s="1358"/>
      <c r="VKB522" s="1358"/>
      <c r="VKC522" s="1358"/>
      <c r="VKD522" s="1358"/>
      <c r="VKE522" s="1358"/>
      <c r="VKF522" s="1358"/>
      <c r="VKG522" s="1358"/>
      <c r="VKH522" s="1358"/>
      <c r="VKI522" s="1358"/>
      <c r="VKJ522" s="1358"/>
      <c r="VKK522" s="1358"/>
      <c r="VKL522" s="1358"/>
      <c r="VKM522" s="1358"/>
      <c r="VKN522" s="1358"/>
      <c r="VKO522" s="1358"/>
      <c r="VKP522" s="1358"/>
      <c r="VKQ522" s="1358"/>
      <c r="VKR522" s="1358"/>
      <c r="VKS522" s="1358"/>
      <c r="VKT522" s="1358"/>
      <c r="VKU522" s="1358"/>
      <c r="VKV522" s="1358"/>
      <c r="VKW522" s="1358"/>
      <c r="VKX522" s="1358"/>
      <c r="VKY522" s="1358"/>
      <c r="VKZ522" s="1358"/>
      <c r="VLA522" s="1358"/>
      <c r="VLB522" s="1358"/>
      <c r="VLC522" s="1358"/>
      <c r="VLD522" s="1358"/>
      <c r="VLE522" s="1358"/>
      <c r="VLF522" s="1358"/>
      <c r="VLG522" s="1358"/>
      <c r="VLH522" s="1358"/>
      <c r="VLI522" s="1358"/>
      <c r="VLJ522" s="1358"/>
      <c r="VLK522" s="1358"/>
      <c r="VLL522" s="1358"/>
      <c r="VLM522" s="1358"/>
      <c r="VLN522" s="1358"/>
      <c r="VLO522" s="1358"/>
      <c r="VLP522" s="1358"/>
      <c r="VLQ522" s="1358"/>
      <c r="VLR522" s="1358"/>
      <c r="VLS522" s="1358"/>
      <c r="VLT522" s="1358"/>
      <c r="VLU522" s="1358"/>
      <c r="VLV522" s="1358"/>
      <c r="VLW522" s="1358"/>
      <c r="VLX522" s="1358"/>
      <c r="VLY522" s="1358"/>
      <c r="VLZ522" s="1358"/>
      <c r="VMA522" s="1358"/>
      <c r="VMB522" s="1358"/>
      <c r="VMC522" s="1358"/>
      <c r="VMD522" s="1358"/>
      <c r="VME522" s="1358"/>
      <c r="VMF522" s="1358"/>
      <c r="VMG522" s="1358"/>
      <c r="VMH522" s="1358"/>
      <c r="VMI522" s="1358"/>
      <c r="VMJ522" s="1358"/>
      <c r="VMK522" s="1358"/>
      <c r="VML522" s="1358"/>
      <c r="VMM522" s="1358"/>
      <c r="VMN522" s="1358"/>
      <c r="VMO522" s="1358"/>
      <c r="VMP522" s="1358"/>
      <c r="VMQ522" s="1358"/>
      <c r="VMR522" s="1358"/>
      <c r="VMS522" s="1358"/>
      <c r="VMT522" s="1358"/>
      <c r="VMU522" s="1358"/>
      <c r="VMV522" s="1358"/>
      <c r="VMW522" s="1358"/>
      <c r="VMX522" s="1358"/>
      <c r="VMY522" s="1358"/>
      <c r="VMZ522" s="1358"/>
      <c r="VNA522" s="1358"/>
      <c r="VNB522" s="1358"/>
      <c r="VNC522" s="1358"/>
      <c r="VND522" s="1358"/>
      <c r="VNE522" s="1358"/>
      <c r="VNF522" s="1358"/>
      <c r="VNG522" s="1358"/>
      <c r="VNH522" s="1358"/>
      <c r="VNI522" s="1358"/>
      <c r="VNJ522" s="1358"/>
      <c r="VNK522" s="1358"/>
      <c r="VNL522" s="1358"/>
      <c r="VNM522" s="1358"/>
      <c r="VNN522" s="1358"/>
      <c r="VNO522" s="1358"/>
      <c r="VNP522" s="1358"/>
      <c r="VNQ522" s="1358"/>
      <c r="VNR522" s="1358"/>
      <c r="VNS522" s="1358"/>
      <c r="VNT522" s="1358"/>
      <c r="VNU522" s="1358"/>
      <c r="VNV522" s="1358"/>
      <c r="VNW522" s="1358"/>
      <c r="VNX522" s="1358"/>
      <c r="VNY522" s="1358"/>
      <c r="VNZ522" s="1358"/>
      <c r="VOA522" s="1358"/>
      <c r="VOB522" s="1358"/>
      <c r="VOC522" s="1358"/>
      <c r="VOD522" s="1358"/>
      <c r="VOE522" s="1358"/>
      <c r="VOF522" s="1358"/>
      <c r="VOG522" s="1358"/>
      <c r="VOH522" s="1358"/>
      <c r="VOI522" s="1358"/>
      <c r="VOJ522" s="1358"/>
      <c r="VOK522" s="1358"/>
      <c r="VOL522" s="1358"/>
      <c r="VOM522" s="1358"/>
      <c r="VON522" s="1358"/>
      <c r="VOO522" s="1358"/>
      <c r="VOP522" s="1358"/>
      <c r="VOQ522" s="1358"/>
      <c r="VOR522" s="1358"/>
      <c r="VOS522" s="1358"/>
      <c r="VOT522" s="1358"/>
      <c r="VOU522" s="1358"/>
      <c r="VOV522" s="1358"/>
      <c r="VOW522" s="1358"/>
      <c r="VOX522" s="1358"/>
      <c r="VOY522" s="1358"/>
      <c r="VOZ522" s="1358"/>
      <c r="VPA522" s="1358"/>
      <c r="VPB522" s="1358"/>
      <c r="VPC522" s="1358"/>
      <c r="VPD522" s="1358"/>
      <c r="VPE522" s="1358"/>
      <c r="VPF522" s="1358"/>
      <c r="VPG522" s="1358"/>
      <c r="VPH522" s="1358"/>
      <c r="VPI522" s="1358"/>
      <c r="VPJ522" s="1358"/>
      <c r="VPK522" s="1358"/>
      <c r="VPL522" s="1358"/>
      <c r="VPM522" s="1358"/>
      <c r="VPN522" s="1358"/>
      <c r="VPO522" s="1358"/>
      <c r="VPP522" s="1358"/>
      <c r="VPQ522" s="1358"/>
      <c r="VPR522" s="1358"/>
      <c r="VPS522" s="1358"/>
      <c r="VPT522" s="1358"/>
      <c r="VPU522" s="1358"/>
      <c r="VPV522" s="1358"/>
      <c r="VPW522" s="1358"/>
      <c r="VPX522" s="1358"/>
      <c r="VPY522" s="1358"/>
      <c r="VPZ522" s="1358"/>
      <c r="VQA522" s="1358"/>
      <c r="VQB522" s="1358"/>
      <c r="VQC522" s="1358"/>
      <c r="VQD522" s="1358"/>
      <c r="VQE522" s="1358"/>
      <c r="VQF522" s="1358"/>
      <c r="VQG522" s="1358"/>
      <c r="VQH522" s="1358"/>
      <c r="VQI522" s="1358"/>
      <c r="VQJ522" s="1358"/>
      <c r="VQK522" s="1358"/>
      <c r="VQL522" s="1358"/>
      <c r="VQM522" s="1358"/>
      <c r="VQN522" s="1358"/>
      <c r="VQO522" s="1358"/>
      <c r="VQP522" s="1358"/>
      <c r="VQQ522" s="1358"/>
      <c r="VQR522" s="1358"/>
      <c r="VQS522" s="1358"/>
      <c r="VQT522" s="1358"/>
      <c r="VQU522" s="1358"/>
      <c r="VQV522" s="1358"/>
      <c r="VQW522" s="1358"/>
      <c r="VQX522" s="1358"/>
      <c r="VQY522" s="1358"/>
      <c r="VQZ522" s="1358"/>
      <c r="VRA522" s="1358"/>
      <c r="VRB522" s="1358"/>
      <c r="VRC522" s="1358"/>
      <c r="VRD522" s="1358"/>
      <c r="VRE522" s="1358"/>
      <c r="VRF522" s="1358"/>
      <c r="VRG522" s="1358"/>
      <c r="VRH522" s="1358"/>
      <c r="VRI522" s="1358"/>
      <c r="VRJ522" s="1358"/>
      <c r="VRK522" s="1358"/>
      <c r="VRL522" s="1358"/>
      <c r="VRM522" s="1358"/>
      <c r="VRN522" s="1358"/>
      <c r="VRO522" s="1358"/>
      <c r="VRP522" s="1358"/>
      <c r="VRQ522" s="1358"/>
      <c r="VRR522" s="1358"/>
      <c r="VRS522" s="1358"/>
      <c r="VRT522" s="1358"/>
      <c r="VRU522" s="1358"/>
      <c r="VRV522" s="1358"/>
      <c r="VRW522" s="1358"/>
      <c r="VRX522" s="1358"/>
      <c r="VRY522" s="1358"/>
      <c r="VRZ522" s="1358"/>
      <c r="VSA522" s="1358"/>
      <c r="VSB522" s="1358"/>
      <c r="VSC522" s="1358"/>
      <c r="VSD522" s="1358"/>
      <c r="VSE522" s="1358"/>
      <c r="VSF522" s="1358"/>
      <c r="VSG522" s="1358"/>
      <c r="VSH522" s="1358"/>
      <c r="VSI522" s="1358"/>
      <c r="VSJ522" s="1358"/>
      <c r="VSK522" s="1358"/>
      <c r="VSL522" s="1358"/>
      <c r="VSM522" s="1358"/>
      <c r="VSN522" s="1358"/>
      <c r="VSO522" s="1358"/>
      <c r="VSP522" s="1358"/>
      <c r="VSQ522" s="1358"/>
      <c r="VSR522" s="1358"/>
      <c r="VSS522" s="1358"/>
      <c r="VST522" s="1358"/>
      <c r="VSU522" s="1358"/>
      <c r="VSV522" s="1358"/>
      <c r="VSW522" s="1358"/>
      <c r="VSX522" s="1358"/>
      <c r="VSY522" s="1358"/>
      <c r="VSZ522" s="1358"/>
      <c r="VTA522" s="1358"/>
      <c r="VTB522" s="1358"/>
      <c r="VTC522" s="1358"/>
      <c r="VTD522" s="1358"/>
      <c r="VTE522" s="1358"/>
      <c r="VTF522" s="1358"/>
      <c r="VTG522" s="1358"/>
      <c r="VTH522" s="1358"/>
      <c r="VTI522" s="1358"/>
      <c r="VTJ522" s="1358"/>
      <c r="VTK522" s="1358"/>
      <c r="VTL522" s="1358"/>
      <c r="VTM522" s="1358"/>
      <c r="VTN522" s="1358"/>
      <c r="VTO522" s="1358"/>
      <c r="VTP522" s="1358"/>
      <c r="VTQ522" s="1358"/>
      <c r="VTR522" s="1358"/>
      <c r="VTS522" s="1358"/>
      <c r="VTT522" s="1358"/>
      <c r="VTU522" s="1358"/>
      <c r="VTV522" s="1358"/>
      <c r="VTW522" s="1358"/>
      <c r="VTX522" s="1358"/>
      <c r="VTY522" s="1358"/>
      <c r="VTZ522" s="1358"/>
      <c r="VUA522" s="1358"/>
      <c r="VUB522" s="1358"/>
      <c r="VUC522" s="1358"/>
      <c r="VUD522" s="1358"/>
      <c r="VUE522" s="1358"/>
      <c r="VUF522" s="1358"/>
      <c r="VUG522" s="1358"/>
      <c r="VUH522" s="1358"/>
      <c r="VUI522" s="1358"/>
      <c r="VUJ522" s="1358"/>
      <c r="VUK522" s="1358"/>
      <c r="VUL522" s="1358"/>
      <c r="VUM522" s="1358"/>
      <c r="VUN522" s="1358"/>
      <c r="VUO522" s="1358"/>
      <c r="VUP522" s="1358"/>
      <c r="VUQ522" s="1358"/>
      <c r="VUR522" s="1358"/>
      <c r="VUS522" s="1358"/>
      <c r="VUT522" s="1358"/>
      <c r="VUU522" s="1358"/>
      <c r="VUV522" s="1358"/>
      <c r="VUW522" s="1358"/>
      <c r="VUX522" s="1358"/>
      <c r="VUY522" s="1358"/>
      <c r="VUZ522" s="1358"/>
      <c r="VVA522" s="1358"/>
      <c r="VVB522" s="1358"/>
      <c r="VVC522" s="1358"/>
      <c r="VVD522" s="1358"/>
      <c r="VVE522" s="1358"/>
      <c r="VVF522" s="1358"/>
      <c r="VVG522" s="1358"/>
      <c r="VVH522" s="1358"/>
      <c r="VVI522" s="1358"/>
      <c r="VVJ522" s="1358"/>
      <c r="VVK522" s="1358"/>
      <c r="VVL522" s="1358"/>
      <c r="VVM522" s="1358"/>
      <c r="VVN522" s="1358"/>
      <c r="VVO522" s="1358"/>
      <c r="VVP522" s="1358"/>
      <c r="VVQ522" s="1358"/>
      <c r="VVR522" s="1358"/>
      <c r="VVS522" s="1358"/>
      <c r="VVT522" s="1358"/>
      <c r="VVU522" s="1358"/>
      <c r="VVV522" s="1358"/>
      <c r="VVW522" s="1358"/>
      <c r="VVX522" s="1358"/>
      <c r="VVY522" s="1358"/>
      <c r="VVZ522" s="1358"/>
      <c r="VWA522" s="1358"/>
      <c r="VWB522" s="1358"/>
      <c r="VWC522" s="1358"/>
      <c r="VWD522" s="1358"/>
      <c r="VWE522" s="1358"/>
      <c r="VWF522" s="1358"/>
      <c r="VWG522" s="1358"/>
      <c r="VWH522" s="1358"/>
      <c r="VWI522" s="1358"/>
      <c r="VWJ522" s="1358"/>
      <c r="VWK522" s="1358"/>
      <c r="VWL522" s="1358"/>
      <c r="VWM522" s="1358"/>
      <c r="VWN522" s="1358"/>
      <c r="VWO522" s="1358"/>
      <c r="VWP522" s="1358"/>
      <c r="VWQ522" s="1358"/>
      <c r="VWR522" s="1358"/>
      <c r="VWS522" s="1358"/>
      <c r="VWT522" s="1358"/>
      <c r="VWU522" s="1358"/>
      <c r="VWV522" s="1358"/>
      <c r="VWW522" s="1358"/>
      <c r="VWX522" s="1358"/>
      <c r="VWY522" s="1358"/>
      <c r="VWZ522" s="1358"/>
      <c r="VXA522" s="1358"/>
      <c r="VXB522" s="1358"/>
      <c r="VXC522" s="1358"/>
      <c r="VXD522" s="1358"/>
      <c r="VXE522" s="1358"/>
      <c r="VXF522" s="1358"/>
      <c r="VXG522" s="1358"/>
      <c r="VXH522" s="1358"/>
      <c r="VXI522" s="1358"/>
      <c r="VXJ522" s="1358"/>
      <c r="VXK522" s="1358"/>
      <c r="VXL522" s="1358"/>
      <c r="VXM522" s="1358"/>
      <c r="VXN522" s="1358"/>
      <c r="VXO522" s="1358"/>
      <c r="VXP522" s="1358"/>
      <c r="VXQ522" s="1358"/>
      <c r="VXR522" s="1358"/>
      <c r="VXS522" s="1358"/>
      <c r="VXT522" s="1358"/>
      <c r="VXU522" s="1358"/>
      <c r="VXV522" s="1358"/>
      <c r="VXW522" s="1358"/>
      <c r="VXX522" s="1358"/>
      <c r="VXY522" s="1358"/>
      <c r="VXZ522" s="1358"/>
      <c r="VYA522" s="1358"/>
      <c r="VYB522" s="1358"/>
      <c r="VYC522" s="1358"/>
      <c r="VYD522" s="1358"/>
      <c r="VYE522" s="1358"/>
      <c r="VYF522" s="1358"/>
      <c r="VYG522" s="1358"/>
      <c r="VYH522" s="1358"/>
      <c r="VYI522" s="1358"/>
      <c r="VYJ522" s="1358"/>
      <c r="VYK522" s="1358"/>
      <c r="VYL522" s="1358"/>
      <c r="VYM522" s="1358"/>
      <c r="VYN522" s="1358"/>
      <c r="VYO522" s="1358"/>
      <c r="VYP522" s="1358"/>
      <c r="VYQ522" s="1358"/>
      <c r="VYR522" s="1358"/>
      <c r="VYS522" s="1358"/>
      <c r="VYT522" s="1358"/>
      <c r="VYU522" s="1358"/>
      <c r="VYV522" s="1358"/>
      <c r="VYW522" s="1358"/>
      <c r="VYX522" s="1358"/>
      <c r="VYY522" s="1358"/>
      <c r="VYZ522" s="1358"/>
      <c r="VZA522" s="1358"/>
      <c r="VZB522" s="1358"/>
      <c r="VZC522" s="1358"/>
      <c r="VZD522" s="1358"/>
      <c r="VZE522" s="1358"/>
      <c r="VZF522" s="1358"/>
      <c r="VZG522" s="1358"/>
      <c r="VZH522" s="1358"/>
      <c r="VZI522" s="1358"/>
      <c r="VZJ522" s="1358"/>
      <c r="VZK522" s="1358"/>
      <c r="VZL522" s="1358"/>
      <c r="VZM522" s="1358"/>
      <c r="VZN522" s="1358"/>
      <c r="VZO522" s="1358"/>
      <c r="VZP522" s="1358"/>
      <c r="VZQ522" s="1358"/>
      <c r="VZR522" s="1358"/>
      <c r="VZS522" s="1358"/>
      <c r="VZT522" s="1358"/>
      <c r="VZU522" s="1358"/>
      <c r="VZV522" s="1358"/>
      <c r="VZW522" s="1358"/>
      <c r="VZX522" s="1358"/>
      <c r="VZY522" s="1358"/>
      <c r="VZZ522" s="1358"/>
      <c r="WAA522" s="1358"/>
      <c r="WAB522" s="1358"/>
      <c r="WAC522" s="1358"/>
      <c r="WAD522" s="1358"/>
      <c r="WAE522" s="1358"/>
      <c r="WAF522" s="1358"/>
      <c r="WAG522" s="1358"/>
      <c r="WAH522" s="1358"/>
      <c r="WAI522" s="1358"/>
      <c r="WAJ522" s="1358"/>
      <c r="WAK522" s="1358"/>
      <c r="WAL522" s="1358"/>
      <c r="WAM522" s="1358"/>
      <c r="WAN522" s="1358"/>
      <c r="WAO522" s="1358"/>
      <c r="WAP522" s="1358"/>
      <c r="WAQ522" s="1358"/>
      <c r="WAR522" s="1358"/>
      <c r="WAS522" s="1358"/>
      <c r="WAT522" s="1358"/>
      <c r="WAU522" s="1358"/>
      <c r="WAV522" s="1358"/>
      <c r="WAW522" s="1358"/>
      <c r="WAX522" s="1358"/>
      <c r="WAY522" s="1358"/>
      <c r="WAZ522" s="1358"/>
      <c r="WBA522" s="1358"/>
      <c r="WBB522" s="1358"/>
      <c r="WBC522" s="1358"/>
      <c r="WBD522" s="1358"/>
      <c r="WBE522" s="1358"/>
      <c r="WBF522" s="1358"/>
      <c r="WBG522" s="1358"/>
      <c r="WBH522" s="1358"/>
      <c r="WBI522" s="1358"/>
      <c r="WBJ522" s="1358"/>
      <c r="WBK522" s="1358"/>
      <c r="WBL522" s="1358"/>
      <c r="WBM522" s="1358"/>
      <c r="WBN522" s="1358"/>
      <c r="WBO522" s="1358"/>
      <c r="WBP522" s="1358"/>
      <c r="WBQ522" s="1358"/>
      <c r="WBR522" s="1358"/>
      <c r="WBS522" s="1358"/>
      <c r="WBT522" s="1358"/>
      <c r="WBU522" s="1358"/>
      <c r="WBV522" s="1358"/>
      <c r="WBW522" s="1358"/>
      <c r="WBX522" s="1358"/>
      <c r="WBY522" s="1358"/>
      <c r="WBZ522" s="1358"/>
      <c r="WCA522" s="1358"/>
      <c r="WCB522" s="1358"/>
      <c r="WCC522" s="1358"/>
      <c r="WCD522" s="1358"/>
      <c r="WCE522" s="1358"/>
      <c r="WCF522" s="1358"/>
      <c r="WCG522" s="1358"/>
      <c r="WCH522" s="1358"/>
      <c r="WCI522" s="1358"/>
      <c r="WCJ522" s="1358"/>
      <c r="WCK522" s="1358"/>
      <c r="WCL522" s="1358"/>
      <c r="WCM522" s="1358"/>
      <c r="WCN522" s="1358"/>
      <c r="WCO522" s="1358"/>
      <c r="WCP522" s="1358"/>
      <c r="WCQ522" s="1358"/>
      <c r="WCR522" s="1358"/>
      <c r="WCS522" s="1358"/>
      <c r="WCT522" s="1358"/>
      <c r="WCU522" s="1358"/>
      <c r="WCV522" s="1358"/>
      <c r="WCW522" s="1358"/>
      <c r="WCX522" s="1358"/>
      <c r="WCY522" s="1358"/>
      <c r="WCZ522" s="1358"/>
      <c r="WDA522" s="1358"/>
      <c r="WDB522" s="1358"/>
      <c r="WDC522" s="1358"/>
      <c r="WDD522" s="1358"/>
      <c r="WDE522" s="1358"/>
      <c r="WDF522" s="1358"/>
      <c r="WDG522" s="1358"/>
      <c r="WDH522" s="1358"/>
      <c r="WDI522" s="1358"/>
      <c r="WDJ522" s="1358"/>
      <c r="WDK522" s="1358"/>
      <c r="WDL522" s="1358"/>
      <c r="WDM522" s="1358"/>
      <c r="WDN522" s="1358"/>
      <c r="WDO522" s="1358"/>
      <c r="WDP522" s="1358"/>
      <c r="WDQ522" s="1358"/>
      <c r="WDR522" s="1358"/>
      <c r="WDS522" s="1358"/>
      <c r="WDT522" s="1358"/>
      <c r="WDU522" s="1358"/>
      <c r="WDV522" s="1358"/>
      <c r="WDW522" s="1358"/>
      <c r="WDX522" s="1358"/>
      <c r="WDY522" s="1358"/>
      <c r="WDZ522" s="1358"/>
      <c r="WEA522" s="1358"/>
      <c r="WEB522" s="1358"/>
      <c r="WEC522" s="1358"/>
      <c r="WED522" s="1358"/>
      <c r="WEE522" s="1358"/>
      <c r="WEF522" s="1358"/>
      <c r="WEG522" s="1358"/>
      <c r="WEH522" s="1358"/>
      <c r="WEI522" s="1358"/>
      <c r="WEJ522" s="1358"/>
      <c r="WEK522" s="1358"/>
      <c r="WEL522" s="1358"/>
      <c r="WEM522" s="1358"/>
      <c r="WEN522" s="1358"/>
      <c r="WEO522" s="1358"/>
      <c r="WEP522" s="1358"/>
      <c r="WEQ522" s="1358"/>
      <c r="WER522" s="1358"/>
      <c r="WES522" s="1358"/>
      <c r="WET522" s="1358"/>
      <c r="WEU522" s="1358"/>
      <c r="WEV522" s="1358"/>
      <c r="WEW522" s="1358"/>
      <c r="WEX522" s="1358"/>
      <c r="WEY522" s="1358"/>
      <c r="WEZ522" s="1358"/>
      <c r="WFA522" s="1358"/>
      <c r="WFB522" s="1358"/>
      <c r="WFC522" s="1358"/>
      <c r="WFD522" s="1358"/>
      <c r="WFE522" s="1358"/>
      <c r="WFF522" s="1358"/>
      <c r="WFG522" s="1358"/>
      <c r="WFH522" s="1358"/>
      <c r="WFI522" s="1358"/>
      <c r="WFJ522" s="1358"/>
      <c r="WFK522" s="1358"/>
      <c r="WFL522" s="1358"/>
      <c r="WFM522" s="1358"/>
      <c r="WFN522" s="1358"/>
      <c r="WFO522" s="1358"/>
      <c r="WFP522" s="1358"/>
      <c r="WFQ522" s="1358"/>
      <c r="WFR522" s="1358"/>
      <c r="WFS522" s="1358"/>
      <c r="WFT522" s="1358"/>
      <c r="WFU522" s="1358"/>
      <c r="WFV522" s="1358"/>
      <c r="WFW522" s="1358"/>
      <c r="WFX522" s="1358"/>
      <c r="WFY522" s="1358"/>
      <c r="WFZ522" s="1358"/>
      <c r="WGA522" s="1358"/>
      <c r="WGB522" s="1358"/>
      <c r="WGC522" s="1358"/>
      <c r="WGD522" s="1358"/>
      <c r="WGE522" s="1358"/>
      <c r="WGF522" s="1358"/>
      <c r="WGG522" s="1358"/>
      <c r="WGH522" s="1358"/>
      <c r="WGI522" s="1358"/>
      <c r="WGJ522" s="1358"/>
      <c r="WGK522" s="1358"/>
      <c r="WGL522" s="1358"/>
      <c r="WGM522" s="1358"/>
      <c r="WGN522" s="1358"/>
      <c r="WGO522" s="1358"/>
      <c r="WGP522" s="1358"/>
      <c r="WGQ522" s="1358"/>
      <c r="WGR522" s="1358"/>
      <c r="WGS522" s="1358"/>
      <c r="WGT522" s="1358"/>
      <c r="WGU522" s="1358"/>
      <c r="WGV522" s="1358"/>
      <c r="WGW522" s="1358"/>
      <c r="WGX522" s="1358"/>
      <c r="WGY522" s="1358"/>
      <c r="WGZ522" s="1358"/>
      <c r="WHA522" s="1358"/>
      <c r="WHB522" s="1358"/>
      <c r="WHC522" s="1358"/>
      <c r="WHD522" s="1358"/>
      <c r="WHE522" s="1358"/>
      <c r="WHF522" s="1358"/>
      <c r="WHG522" s="1358"/>
      <c r="WHH522" s="1358"/>
      <c r="WHI522" s="1358"/>
      <c r="WHJ522" s="1358"/>
      <c r="WHK522" s="1358"/>
      <c r="WHL522" s="1358"/>
      <c r="WHM522" s="1358"/>
      <c r="WHN522" s="1358"/>
      <c r="WHO522" s="1358"/>
      <c r="WHP522" s="1358"/>
      <c r="WHQ522" s="1358"/>
      <c r="WHR522" s="1358"/>
      <c r="WHS522" s="1358"/>
      <c r="WHT522" s="1358"/>
      <c r="WHU522" s="1358"/>
      <c r="WHV522" s="1358"/>
      <c r="WHW522" s="1358"/>
      <c r="WHX522" s="1358"/>
      <c r="WHY522" s="1358"/>
      <c r="WHZ522" s="1358"/>
      <c r="WIA522" s="1358"/>
      <c r="WIB522" s="1358"/>
      <c r="WIC522" s="1358"/>
      <c r="WID522" s="1358"/>
      <c r="WIE522" s="1358"/>
      <c r="WIF522" s="1358"/>
      <c r="WIG522" s="1358"/>
      <c r="WIH522" s="1358"/>
      <c r="WII522" s="1358"/>
      <c r="WIJ522" s="1358"/>
      <c r="WIK522" s="1358"/>
      <c r="WIL522" s="1358"/>
      <c r="WIM522" s="1358"/>
      <c r="WIN522" s="1358"/>
      <c r="WIO522" s="1358"/>
      <c r="WIP522" s="1358"/>
      <c r="WIQ522" s="1358"/>
      <c r="WIR522" s="1358"/>
      <c r="WIS522" s="1358"/>
      <c r="WIT522" s="1358"/>
      <c r="WIU522" s="1358"/>
      <c r="WIV522" s="1358"/>
      <c r="WIW522" s="1358"/>
      <c r="WIX522" s="1358"/>
      <c r="WIY522" s="1358"/>
      <c r="WIZ522" s="1358"/>
      <c r="WJA522" s="1358"/>
      <c r="WJB522" s="1358"/>
      <c r="WJC522" s="1358"/>
      <c r="WJD522" s="1358"/>
      <c r="WJE522" s="1358"/>
      <c r="WJF522" s="1358"/>
      <c r="WJG522" s="1358"/>
      <c r="WJH522" s="1358"/>
      <c r="WJI522" s="1358"/>
      <c r="WJJ522" s="1358"/>
      <c r="WJK522" s="1358"/>
      <c r="WJL522" s="1358"/>
      <c r="WJM522" s="1358"/>
      <c r="WJN522" s="1358"/>
      <c r="WJO522" s="1358"/>
      <c r="WJP522" s="1358"/>
      <c r="WJQ522" s="1358"/>
      <c r="WJR522" s="1358"/>
      <c r="WJS522" s="1358"/>
      <c r="WJT522" s="1358"/>
      <c r="WJU522" s="1358"/>
      <c r="WJV522" s="1358"/>
      <c r="WJW522" s="1358"/>
      <c r="WJX522" s="1358"/>
      <c r="WJY522" s="1358"/>
      <c r="WJZ522" s="1358"/>
      <c r="WKA522" s="1358"/>
      <c r="WKB522" s="1358"/>
      <c r="WKC522" s="1358"/>
      <c r="WKD522" s="1358"/>
      <c r="WKE522" s="1358"/>
      <c r="WKF522" s="1358"/>
      <c r="WKG522" s="1358"/>
      <c r="WKH522" s="1358"/>
      <c r="WKI522" s="1358"/>
      <c r="WKJ522" s="1358"/>
      <c r="WKK522" s="1358"/>
      <c r="WKL522" s="1358"/>
      <c r="WKM522" s="1358"/>
      <c r="WKN522" s="1358"/>
      <c r="WKO522" s="1358"/>
      <c r="WKP522" s="1358"/>
      <c r="WKQ522" s="1358"/>
      <c r="WKR522" s="1358"/>
      <c r="WKS522" s="1358"/>
      <c r="WKT522" s="1358"/>
      <c r="WKU522" s="1358"/>
      <c r="WKV522" s="1358"/>
      <c r="WKW522" s="1358"/>
      <c r="WKX522" s="1358"/>
      <c r="WKY522" s="1358"/>
      <c r="WKZ522" s="1358"/>
      <c r="WLA522" s="1358"/>
      <c r="WLB522" s="1358"/>
      <c r="WLC522" s="1358"/>
      <c r="WLD522" s="1358"/>
      <c r="WLE522" s="1358"/>
      <c r="WLF522" s="1358"/>
      <c r="WLG522" s="1358"/>
      <c r="WLH522" s="1358"/>
      <c r="WLI522" s="1358"/>
      <c r="WLJ522" s="1358"/>
      <c r="WLK522" s="1358"/>
      <c r="WLL522" s="1358"/>
      <c r="WLM522" s="1358"/>
      <c r="WLN522" s="1358"/>
      <c r="WLO522" s="1358"/>
      <c r="WLP522" s="1358"/>
      <c r="WLQ522" s="1358"/>
      <c r="WLR522" s="1358"/>
      <c r="WLS522" s="1358"/>
      <c r="WLT522" s="1358"/>
      <c r="WLU522" s="1358"/>
      <c r="WLV522" s="1358"/>
      <c r="WLW522" s="1358"/>
      <c r="WLX522" s="1358"/>
      <c r="WLY522" s="1358"/>
      <c r="WLZ522" s="1358"/>
      <c r="WMA522" s="1358"/>
      <c r="WMB522" s="1358"/>
      <c r="WMC522" s="1358"/>
      <c r="WMD522" s="1358"/>
      <c r="WME522" s="1358"/>
      <c r="WMF522" s="1358"/>
      <c r="WMG522" s="1358"/>
      <c r="WMH522" s="1358"/>
      <c r="WMI522" s="1358"/>
      <c r="WMJ522" s="1358"/>
      <c r="WMK522" s="1358"/>
      <c r="WML522" s="1358"/>
      <c r="WMM522" s="1358"/>
      <c r="WMN522" s="1358"/>
      <c r="WMO522" s="1358"/>
      <c r="WMP522" s="1358"/>
      <c r="WMQ522" s="1358"/>
      <c r="WMR522" s="1358"/>
      <c r="WMS522" s="1358"/>
      <c r="WMT522" s="1358"/>
      <c r="WMU522" s="1358"/>
      <c r="WMV522" s="1358"/>
      <c r="WMW522" s="1358"/>
      <c r="WMX522" s="1358"/>
      <c r="WMY522" s="1358"/>
      <c r="WMZ522" s="1358"/>
      <c r="WNA522" s="1358"/>
      <c r="WNB522" s="1358"/>
      <c r="WNC522" s="1358"/>
      <c r="WND522" s="1358"/>
      <c r="WNE522" s="1358"/>
      <c r="WNF522" s="1358"/>
      <c r="WNG522" s="1358"/>
      <c r="WNH522" s="1358"/>
      <c r="WNI522" s="1358"/>
      <c r="WNJ522" s="1358"/>
      <c r="WNK522" s="1358"/>
      <c r="WNL522" s="1358"/>
      <c r="WNM522" s="1358"/>
      <c r="WNN522" s="1358"/>
      <c r="WNO522" s="1358"/>
      <c r="WNP522" s="1358"/>
      <c r="WNQ522" s="1358"/>
      <c r="WNR522" s="1358"/>
      <c r="WNS522" s="1358"/>
      <c r="WNT522" s="1358"/>
      <c r="WNU522" s="1358"/>
      <c r="WNV522" s="1358"/>
      <c r="WNW522" s="1358"/>
      <c r="WNX522" s="1358"/>
      <c r="WNY522" s="1358"/>
      <c r="WNZ522" s="1358"/>
      <c r="WOA522" s="1358"/>
      <c r="WOB522" s="1358"/>
      <c r="WOC522" s="1358"/>
      <c r="WOD522" s="1358"/>
      <c r="WOE522" s="1358"/>
      <c r="WOF522" s="1358"/>
      <c r="WOG522" s="1358"/>
      <c r="WOH522" s="1358"/>
      <c r="WOI522" s="1358"/>
      <c r="WOJ522" s="1358"/>
      <c r="WOK522" s="1358"/>
      <c r="WOL522" s="1358"/>
      <c r="WOM522" s="1358"/>
      <c r="WON522" s="1358"/>
      <c r="WOO522" s="1358"/>
      <c r="WOP522" s="1358"/>
      <c r="WOQ522" s="1358"/>
      <c r="WOR522" s="1358"/>
      <c r="WOS522" s="1358"/>
      <c r="WOT522" s="1358"/>
      <c r="WOU522" s="1358"/>
      <c r="WOV522" s="1358"/>
      <c r="WOW522" s="1358"/>
      <c r="WOX522" s="1358"/>
      <c r="WOY522" s="1358"/>
      <c r="WOZ522" s="1358"/>
      <c r="WPA522" s="1358"/>
      <c r="WPB522" s="1358"/>
      <c r="WPC522" s="1358"/>
      <c r="WPD522" s="1358"/>
      <c r="WPE522" s="1358"/>
      <c r="WPF522" s="1358"/>
      <c r="WPG522" s="1358"/>
      <c r="WPH522" s="1358"/>
      <c r="WPI522" s="1358"/>
      <c r="WPJ522" s="1358"/>
      <c r="WPK522" s="1358"/>
      <c r="WPL522" s="1358"/>
      <c r="WPM522" s="1358"/>
      <c r="WPN522" s="1358"/>
      <c r="WPO522" s="1358"/>
      <c r="WPP522" s="1358"/>
      <c r="WPQ522" s="1358"/>
      <c r="WPR522" s="1358"/>
      <c r="WPS522" s="1358"/>
      <c r="WPT522" s="1358"/>
      <c r="WPU522" s="1358"/>
      <c r="WPV522" s="1358"/>
      <c r="WPW522" s="1358"/>
      <c r="WPX522" s="1358"/>
      <c r="WPY522" s="1358"/>
      <c r="WPZ522" s="1358"/>
      <c r="WQA522" s="1358"/>
      <c r="WQB522" s="1358"/>
      <c r="WQC522" s="1358"/>
      <c r="WQD522" s="1358"/>
      <c r="WQE522" s="1358"/>
      <c r="WQF522" s="1358"/>
      <c r="WQG522" s="1358"/>
      <c r="WQH522" s="1358"/>
      <c r="WQI522" s="1358"/>
      <c r="WQJ522" s="1358"/>
      <c r="WQK522" s="1358"/>
      <c r="WQL522" s="1358"/>
      <c r="WQM522" s="1358"/>
      <c r="WQN522" s="1358"/>
      <c r="WQO522" s="1358"/>
      <c r="WQP522" s="1358"/>
      <c r="WQQ522" s="1358"/>
      <c r="WQR522" s="1358"/>
      <c r="WQS522" s="1358"/>
      <c r="WQT522" s="1358"/>
      <c r="WQU522" s="1358"/>
      <c r="WQV522" s="1358"/>
      <c r="WQW522" s="1358"/>
      <c r="WQX522" s="1358"/>
      <c r="WQY522" s="1358"/>
      <c r="WQZ522" s="1358"/>
      <c r="WRA522" s="1358"/>
      <c r="WRB522" s="1358"/>
      <c r="WRC522" s="1358"/>
      <c r="WRD522" s="1358"/>
      <c r="WRE522" s="1358"/>
      <c r="WRF522" s="1358"/>
      <c r="WRG522" s="1358"/>
      <c r="WRH522" s="1358"/>
      <c r="WRI522" s="1358"/>
      <c r="WRJ522" s="1359"/>
      <c r="WRK522" s="1360"/>
      <c r="WRL522" s="1361"/>
      <c r="WRM522" s="1362"/>
      <c r="WRN522" s="1368"/>
      <c r="WRO522" s="1363"/>
      <c r="WRP522" s="1364"/>
      <c r="WRQ522" s="1365"/>
      <c r="WRR522" s="1364"/>
      <c r="WRS522" s="1366"/>
      <c r="WRT522" s="1367"/>
      <c r="WRU522" s="1363"/>
      <c r="WRV522" s="1363"/>
      <c r="WRW522" s="1363"/>
      <c r="WRX522" s="1358"/>
      <c r="WRY522" s="1358"/>
      <c r="WRZ522" s="1358"/>
      <c r="WSA522" s="1358"/>
      <c r="WSB522" s="1359"/>
      <c r="WSC522" s="1360"/>
      <c r="WSD522" s="1361"/>
      <c r="WSE522" s="1362"/>
      <c r="WSF522" s="1368"/>
      <c r="WSG522" s="1363"/>
      <c r="WSH522" s="1364"/>
      <c r="WSI522" s="1365"/>
      <c r="WSJ522" s="1364"/>
      <c r="WSK522" s="1366"/>
      <c r="WSL522" s="1367"/>
      <c r="WSM522" s="1363"/>
      <c r="WSN522" s="1363"/>
      <c r="WSO522" s="1363"/>
      <c r="WSP522" s="1358"/>
      <c r="WSQ522" s="1358"/>
      <c r="WSR522" s="1358"/>
      <c r="WSS522" s="1358"/>
      <c r="WST522" s="1359"/>
      <c r="WSU522" s="1360"/>
      <c r="WSV522" s="1361"/>
      <c r="WSW522" s="1362"/>
      <c r="WSX522" s="1368"/>
      <c r="WSY522" s="1363"/>
      <c r="WSZ522" s="1364"/>
      <c r="WTA522" s="1365"/>
      <c r="WTB522" s="1364"/>
      <c r="WTC522" s="1366"/>
      <c r="WTD522" s="1367"/>
      <c r="WTE522" s="1363"/>
      <c r="WTF522" s="1363"/>
      <c r="WTG522" s="1363"/>
      <c r="WTH522" s="1358"/>
      <c r="WTI522" s="1358"/>
      <c r="WTJ522" s="1358"/>
      <c r="WTK522" s="1358"/>
      <c r="WTL522" s="1359"/>
      <c r="WTM522" s="1360"/>
      <c r="WTN522" s="1361"/>
      <c r="WTO522" s="1362"/>
      <c r="WTP522" s="1368"/>
      <c r="WTQ522" s="1363"/>
      <c r="WTR522" s="1364"/>
      <c r="WTS522" s="1365"/>
      <c r="WTT522" s="1364"/>
      <c r="WTU522" s="1366"/>
      <c r="WTV522" s="1367"/>
      <c r="WTW522" s="1363"/>
      <c r="WTX522" s="1363"/>
      <c r="WTY522" s="1363"/>
      <c r="WTZ522" s="1358"/>
      <c r="WUA522" s="1358"/>
      <c r="WUB522" s="1358"/>
      <c r="WUC522" s="1358"/>
      <c r="WUD522" s="1359"/>
      <c r="WUE522" s="1360"/>
      <c r="WUF522" s="1361"/>
      <c r="WUG522" s="1362"/>
      <c r="WUH522" s="1368"/>
      <c r="WUI522" s="1363"/>
      <c r="WUJ522" s="1364"/>
      <c r="WUK522" s="1365"/>
      <c r="WUL522" s="1364"/>
      <c r="WUM522" s="1366"/>
      <c r="WUN522" s="1367"/>
      <c r="WUO522" s="1363"/>
      <c r="WUP522" s="1363"/>
      <c r="WUQ522" s="1363"/>
      <c r="WUR522" s="1358"/>
      <c r="WUS522" s="1358"/>
      <c r="WUT522" s="1358"/>
      <c r="WUU522" s="1358"/>
      <c r="WUV522" s="1359"/>
      <c r="WUW522" s="1360"/>
      <c r="WUX522" s="1361"/>
      <c r="WUY522" s="1362"/>
      <c r="WUZ522" s="1368"/>
      <c r="WVA522" s="1363"/>
      <c r="WVB522" s="1364"/>
      <c r="WVC522" s="1365"/>
      <c r="WVD522" s="1364"/>
      <c r="WVE522" s="1366"/>
      <c r="WVF522" s="1367"/>
      <c r="WVG522" s="1363"/>
      <c r="WVH522" s="1363"/>
      <c r="WVI522" s="1363"/>
      <c r="WVJ522" s="1358"/>
      <c r="WVK522" s="1358"/>
      <c r="WVL522" s="1358"/>
      <c r="WVM522" s="1358"/>
      <c r="WVN522" s="1359"/>
      <c r="WVO522" s="1360"/>
      <c r="WVP522" s="1361"/>
      <c r="WVQ522" s="1362"/>
      <c r="WVR522" s="1368"/>
      <c r="WVS522" s="1363"/>
      <c r="WVT522" s="1364"/>
      <c r="WVU522" s="1365"/>
      <c r="WVV522" s="1364"/>
      <c r="WVW522" s="1366"/>
      <c r="WVX522" s="1367"/>
      <c r="WVY522" s="1363"/>
      <c r="WVZ522" s="1363"/>
      <c r="WWA522" s="1363"/>
      <c r="WWB522" s="1358"/>
      <c r="WWC522" s="1358"/>
      <c r="WWD522" s="1358"/>
      <c r="WWE522" s="1358"/>
      <c r="WWF522" s="1359"/>
      <c r="WWG522" s="1360"/>
      <c r="WWH522" s="1361"/>
      <c r="WWI522" s="1362"/>
      <c r="WWJ522" s="1368"/>
      <c r="WWK522" s="1363"/>
      <c r="WWL522" s="1364"/>
      <c r="WWM522" s="1365"/>
      <c r="WWN522" s="1364"/>
      <c r="WWO522" s="1366"/>
      <c r="WWP522" s="1367"/>
      <c r="WWQ522" s="1363"/>
      <c r="WWR522" s="1363"/>
      <c r="WWS522" s="1363"/>
      <c r="WWT522" s="1358"/>
      <c r="WWU522" s="1358"/>
      <c r="WWV522" s="1358"/>
      <c r="WWW522" s="1358"/>
      <c r="WWX522" s="1359"/>
      <c r="WWY522" s="1360"/>
      <c r="WWZ522" s="1361"/>
      <c r="WXA522" s="1362"/>
      <c r="WXB522" s="1368"/>
      <c r="WXC522" s="1363"/>
      <c r="WXD522" s="1364"/>
      <c r="WXE522" s="1365"/>
      <c r="WXF522" s="1364"/>
      <c r="WXG522" s="1366"/>
      <c r="WXH522" s="1367"/>
      <c r="WXI522" s="1363"/>
      <c r="WXJ522" s="1363"/>
      <c r="WXK522" s="1363"/>
      <c r="WXL522" s="1358"/>
      <c r="WXM522" s="1358"/>
      <c r="WXN522" s="1358"/>
      <c r="WXO522" s="1358"/>
      <c r="WXP522" s="1359"/>
      <c r="WXQ522" s="1360"/>
      <c r="WXR522" s="1361"/>
      <c r="WXS522" s="1362"/>
      <c r="WXT522" s="1368"/>
      <c r="WXU522" s="1363"/>
      <c r="WXV522" s="1364"/>
      <c r="WXW522" s="1365"/>
      <c r="WXX522" s="1364"/>
      <c r="WXY522" s="1366"/>
      <c r="WXZ522" s="1367"/>
      <c r="WYA522" s="1363"/>
      <c r="WYB522" s="1363"/>
      <c r="WYC522" s="1363"/>
      <c r="WYD522" s="1358"/>
      <c r="WYE522" s="1358"/>
      <c r="WYF522" s="1358"/>
      <c r="WYG522" s="1358"/>
      <c r="WYH522" s="1359"/>
      <c r="WYI522" s="1360"/>
      <c r="WYJ522" s="1361"/>
      <c r="WYK522" s="1362"/>
      <c r="WYL522" s="1368"/>
      <c r="WYM522" s="1363"/>
      <c r="WYN522" s="1364"/>
      <c r="WYO522" s="1365"/>
      <c r="WYP522" s="1364"/>
      <c r="WYQ522" s="1366"/>
      <c r="WYR522" s="1367"/>
      <c r="WYS522" s="1363"/>
      <c r="WYT522" s="1363"/>
      <c r="WYU522" s="1363"/>
      <c r="WYV522" s="1358"/>
      <c r="WYW522" s="1358"/>
      <c r="WYX522" s="1358"/>
      <c r="WYY522" s="1358"/>
      <c r="WYZ522" s="1359"/>
      <c r="WZA522" s="1360"/>
      <c r="WZB522" s="1361"/>
      <c r="WZC522" s="1362"/>
      <c r="WZD522" s="1368"/>
      <c r="WZE522" s="1363"/>
      <c r="WZF522" s="1364"/>
      <c r="WZG522" s="1365"/>
      <c r="WZH522" s="1364"/>
      <c r="WZI522" s="1366"/>
      <c r="WZJ522" s="1367"/>
      <c r="WZK522" s="1363"/>
      <c r="WZL522" s="1363"/>
      <c r="WZM522" s="1363"/>
      <c r="WZN522" s="1358"/>
      <c r="WZO522" s="1358"/>
      <c r="WZP522" s="1358"/>
      <c r="WZQ522" s="1358"/>
      <c r="WZR522" s="1359"/>
      <c r="WZS522" s="1360"/>
      <c r="WZT522" s="1361"/>
      <c r="WZU522" s="1362"/>
      <c r="WZV522" s="1368"/>
      <c r="WZW522" s="1363"/>
      <c r="WZX522" s="1364"/>
      <c r="WZY522" s="1365"/>
      <c r="WZZ522" s="1364"/>
      <c r="XAA522" s="1366"/>
      <c r="XAB522" s="1367"/>
      <c r="XAC522" s="1363"/>
      <c r="XAD522" s="1363"/>
      <c r="XAE522" s="1363"/>
      <c r="XAF522" s="1358"/>
      <c r="XAG522" s="1358"/>
      <c r="XAH522" s="1358"/>
      <c r="XAI522" s="1358"/>
      <c r="XAJ522" s="1359"/>
      <c r="XAK522" s="1360"/>
      <c r="XAL522" s="1361"/>
      <c r="XAM522" s="1362"/>
      <c r="XAN522" s="1368"/>
      <c r="XAO522" s="1363"/>
      <c r="XAP522" s="1364"/>
      <c r="XAQ522" s="1365"/>
      <c r="XAR522" s="1364"/>
      <c r="XAS522" s="1366"/>
      <c r="XAT522" s="1367"/>
      <c r="XAU522" s="1363"/>
      <c r="XAV522" s="1363"/>
      <c r="XAW522" s="1363"/>
      <c r="XAX522" s="1358"/>
      <c r="XAY522" s="1358"/>
      <c r="XAZ522" s="1358"/>
      <c r="XBA522" s="1358"/>
      <c r="XBB522" s="1359"/>
      <c r="XBC522" s="1360"/>
      <c r="XBD522" s="1361"/>
      <c r="XBE522" s="1362"/>
      <c r="XBF522" s="1368"/>
      <c r="XBG522" s="1363"/>
      <c r="XBH522" s="1364"/>
      <c r="XBI522" s="1365"/>
      <c r="XBJ522" s="1364"/>
      <c r="XBK522" s="1366"/>
      <c r="XBL522" s="1367"/>
      <c r="XBM522" s="1363"/>
      <c r="XBN522" s="1363"/>
      <c r="XBO522" s="1363"/>
      <c r="XBP522" s="1358"/>
      <c r="XBQ522" s="1358"/>
      <c r="XBR522" s="1358"/>
      <c r="XBS522" s="1358"/>
      <c r="XBT522" s="1359"/>
      <c r="XBU522" s="1360"/>
      <c r="XBV522" s="1361"/>
      <c r="XBW522" s="1362"/>
      <c r="XBX522" s="1368"/>
      <c r="XBY522" s="1363"/>
      <c r="XBZ522" s="1364"/>
      <c r="XCA522" s="1365"/>
      <c r="XCB522" s="1364"/>
      <c r="XCC522" s="1366"/>
      <c r="XCD522" s="1367"/>
      <c r="XCE522" s="1363"/>
      <c r="XCF522" s="1363"/>
      <c r="XCG522" s="1363"/>
      <c r="XCH522" s="1358"/>
      <c r="XCI522" s="1358"/>
      <c r="XCJ522" s="1358"/>
      <c r="XCK522" s="1358"/>
      <c r="XCL522" s="1359"/>
      <c r="XCM522" s="1360"/>
      <c r="XCN522" s="1361"/>
      <c r="XCO522" s="1362"/>
      <c r="XCP522" s="1368"/>
      <c r="XCQ522" s="1363"/>
      <c r="XCR522" s="1364"/>
      <c r="XCS522" s="1365"/>
      <c r="XCT522" s="1364"/>
      <c r="XCU522" s="1366"/>
      <c r="XCV522" s="1367"/>
      <c r="XCW522" s="1363"/>
      <c r="XCX522" s="1363"/>
      <c r="XCY522" s="1363"/>
      <c r="XCZ522" s="1358"/>
      <c r="XDA522" s="1358"/>
      <c r="XDB522" s="1358"/>
      <c r="XDC522" s="1358"/>
      <c r="XDD522" s="1359"/>
      <c r="XDE522" s="1360"/>
      <c r="XDF522" s="1361"/>
      <c r="XDG522" s="1362"/>
      <c r="XDH522" s="1368"/>
      <c r="XDI522" s="1363"/>
      <c r="XDJ522" s="1364"/>
      <c r="XDK522" s="1365"/>
      <c r="XDL522" s="1364"/>
      <c r="XDM522" s="1366"/>
      <c r="XDN522" s="1367"/>
      <c r="XDO522" s="1363"/>
      <c r="XDP522" s="1363"/>
      <c r="XDQ522" s="1363"/>
      <c r="XDR522" s="1358"/>
      <c r="XDS522" s="1358"/>
      <c r="XDT522" s="1358"/>
      <c r="XDU522" s="1358"/>
      <c r="XDV522" s="1359"/>
      <c r="XDW522" s="1360"/>
      <c r="XDX522" s="1361"/>
      <c r="XDY522" s="1362"/>
      <c r="XDZ522" s="1368"/>
      <c r="XEA522" s="1363"/>
      <c r="XEB522" s="1364"/>
      <c r="XEC522" s="1365"/>
      <c r="XED522" s="1364"/>
      <c r="XEE522" s="1366"/>
      <c r="XEF522" s="1367"/>
      <c r="XEG522" s="1363"/>
      <c r="XEH522" s="1363"/>
      <c r="XEI522" s="1363"/>
      <c r="XEJ522" s="1358"/>
      <c r="XEK522" s="1358"/>
      <c r="XEL522" s="1358"/>
      <c r="XEM522" s="1358"/>
      <c r="XEN522" s="1359"/>
      <c r="XEO522" s="1360"/>
      <c r="XEP522" s="1361"/>
      <c r="XEQ522" s="1362"/>
      <c r="XER522" s="1368"/>
      <c r="XES522" s="1363"/>
      <c r="XET522" s="1364"/>
      <c r="XEU522" s="1365"/>
      <c r="XEV522" s="1364"/>
      <c r="XEW522" s="1366"/>
      <c r="XEX522" s="1367"/>
      <c r="XEY522" s="1363"/>
      <c r="XEZ522" s="1363"/>
      <c r="XFA522" s="1363"/>
    </row>
    <row r="523" spans="1:16381" s="1414" customFormat="1" ht="43.2" x14ac:dyDescent="0.3">
      <c r="A523" s="1358" t="s">
        <v>264</v>
      </c>
      <c r="B523" s="1359" t="s">
        <v>280</v>
      </c>
      <c r="C523" s="1360" t="s">
        <v>3865</v>
      </c>
      <c r="D523" s="1361" t="s">
        <v>34</v>
      </c>
      <c r="E523" s="1362" t="s">
        <v>282</v>
      </c>
      <c r="F523" s="1368" t="s">
        <v>285</v>
      </c>
      <c r="G523" s="1363">
        <v>16.11</v>
      </c>
      <c r="H523" s="1364">
        <v>227908.08</v>
      </c>
      <c r="I523" s="1365" t="s">
        <v>267</v>
      </c>
      <c r="J523" s="1364">
        <v>227908.08</v>
      </c>
      <c r="K523" s="1366">
        <v>0</v>
      </c>
      <c r="L523" s="1367">
        <v>0</v>
      </c>
      <c r="M523" s="1363" t="s">
        <v>1806</v>
      </c>
      <c r="N523" s="1363" t="s">
        <v>3866</v>
      </c>
      <c r="O523" s="1363" t="s">
        <v>3867</v>
      </c>
      <c r="P523" s="1358" t="s">
        <v>40</v>
      </c>
      <c r="Q523" s="1358"/>
      <c r="R523" s="1358" t="s">
        <v>64</v>
      </c>
      <c r="S523" s="1358"/>
      <c r="T523" s="1358"/>
      <c r="U523" s="1358"/>
      <c r="V523" s="1358" t="s">
        <v>40</v>
      </c>
      <c r="W523" s="1358"/>
      <c r="X523" s="1358" t="s">
        <v>40</v>
      </c>
      <c r="Y523" s="1358"/>
      <c r="Z523" s="1358" t="s">
        <v>64</v>
      </c>
      <c r="AA523" s="1358"/>
      <c r="AB523" s="1358" t="s">
        <v>40</v>
      </c>
      <c r="AC523" s="1358"/>
      <c r="AD523" s="1358"/>
      <c r="AE523" s="1598">
        <v>46203</v>
      </c>
      <c r="AF523" s="1358" t="s">
        <v>247</v>
      </c>
      <c r="AG523" s="1358">
        <v>2023</v>
      </c>
      <c r="AH523" s="1364">
        <v>1127711.970648</v>
      </c>
      <c r="AI523" s="1564">
        <v>1770210312976</v>
      </c>
      <c r="AJ523" s="1358"/>
      <c r="AK523" s="1358" t="s">
        <v>43</v>
      </c>
      <c r="AL523" s="1358" t="s">
        <v>41</v>
      </c>
      <c r="AM523" s="1358">
        <v>0</v>
      </c>
      <c r="AN523" s="1358" t="s">
        <v>40</v>
      </c>
      <c r="AO523" s="1358"/>
      <c r="AP523" s="1358"/>
      <c r="AQ523" s="1358"/>
      <c r="AR523" s="1358"/>
      <c r="AS523" s="1358"/>
      <c r="AT523" s="1358"/>
      <c r="AU523" s="1358"/>
      <c r="AV523" s="1358"/>
      <c r="AW523" s="1358"/>
      <c r="AX523" s="1358"/>
      <c r="AY523" s="1358"/>
      <c r="AZ523" s="1358"/>
      <c r="BA523" s="1358"/>
      <c r="BB523" s="1358"/>
      <c r="BC523" s="1358"/>
      <c r="BD523" s="1358"/>
      <c r="BE523" s="1358"/>
      <c r="BF523" s="1358"/>
      <c r="BG523" s="1358"/>
      <c r="BH523" s="1358"/>
      <c r="BI523" s="1358"/>
      <c r="BJ523" s="1358"/>
      <c r="BK523" s="1358"/>
      <c r="BL523" s="1358"/>
      <c r="BM523" s="1358"/>
      <c r="BN523" s="1358"/>
      <c r="BO523" s="1358"/>
      <c r="BP523" s="1358"/>
      <c r="BQ523" s="1358"/>
      <c r="BR523" s="1358"/>
      <c r="BS523" s="1358"/>
      <c r="BT523" s="1358"/>
      <c r="BU523" s="1358"/>
      <c r="BV523" s="1358"/>
      <c r="BW523" s="1358"/>
      <c r="BX523" s="1358"/>
      <c r="BY523" s="1358"/>
      <c r="BZ523" s="1358"/>
      <c r="CA523" s="1358"/>
      <c r="CB523" s="1358"/>
      <c r="CC523" s="1358"/>
      <c r="CD523" s="1358"/>
      <c r="CE523" s="1358"/>
      <c r="CF523" s="1358"/>
      <c r="CG523" s="1358"/>
      <c r="CH523" s="1358"/>
      <c r="CI523" s="1358"/>
      <c r="CJ523" s="1358"/>
      <c r="CK523" s="1358"/>
      <c r="CL523" s="1358"/>
      <c r="CM523" s="1358"/>
      <c r="CN523" s="1358"/>
      <c r="CO523" s="1358"/>
      <c r="CP523" s="1358"/>
      <c r="CQ523" s="1358"/>
      <c r="CR523" s="1358"/>
      <c r="CS523" s="1358"/>
      <c r="CT523" s="1358"/>
      <c r="CU523" s="1358"/>
      <c r="CV523" s="1358"/>
      <c r="CW523" s="1358"/>
      <c r="CX523" s="1358"/>
      <c r="CY523" s="1358"/>
      <c r="CZ523" s="1358"/>
      <c r="DA523" s="1358"/>
      <c r="DB523" s="1358"/>
      <c r="DC523" s="1358"/>
      <c r="DD523" s="1358"/>
      <c r="DE523" s="1358"/>
      <c r="DF523" s="1358"/>
      <c r="DG523" s="1358"/>
      <c r="DH523" s="1358"/>
      <c r="DI523" s="1358"/>
      <c r="DJ523" s="1358"/>
      <c r="DK523" s="1358"/>
      <c r="DL523" s="1358"/>
      <c r="DM523" s="1358"/>
      <c r="DN523" s="1358"/>
      <c r="DO523" s="1358"/>
      <c r="DP523" s="1358"/>
      <c r="DQ523" s="1358"/>
      <c r="DR523" s="1358"/>
      <c r="DS523" s="1358"/>
      <c r="DT523" s="1358"/>
      <c r="DU523" s="1358"/>
      <c r="DV523" s="1358"/>
      <c r="DW523" s="1358"/>
      <c r="DX523" s="1358"/>
      <c r="DY523" s="1358"/>
      <c r="DZ523" s="1358"/>
      <c r="EA523" s="1358"/>
      <c r="EB523" s="1358"/>
      <c r="EC523" s="1358"/>
      <c r="ED523" s="1358"/>
      <c r="EE523" s="1358"/>
      <c r="EF523" s="1358"/>
      <c r="EG523" s="1358"/>
      <c r="EH523" s="1358"/>
      <c r="EI523" s="1358"/>
      <c r="EJ523" s="1358"/>
      <c r="EK523" s="1358"/>
      <c r="EL523" s="1358"/>
      <c r="EM523" s="1358"/>
      <c r="EN523" s="1358"/>
      <c r="EO523" s="1358"/>
      <c r="EP523" s="1358"/>
      <c r="EQ523" s="1358"/>
      <c r="ER523" s="1358"/>
      <c r="ES523" s="1358"/>
      <c r="ET523" s="1358"/>
      <c r="EU523" s="1358"/>
      <c r="EV523" s="1358"/>
      <c r="EW523" s="1358"/>
      <c r="EX523" s="1358"/>
      <c r="EY523" s="1358"/>
      <c r="EZ523" s="1358"/>
      <c r="FA523" s="1358"/>
      <c r="FB523" s="1358"/>
      <c r="FC523" s="1358"/>
      <c r="FD523" s="1358"/>
      <c r="FE523" s="1358"/>
      <c r="FF523" s="1358"/>
      <c r="FG523" s="1358"/>
      <c r="FH523" s="1358"/>
      <c r="FI523" s="1358"/>
      <c r="FJ523" s="1358"/>
      <c r="FK523" s="1358"/>
      <c r="FL523" s="1358"/>
      <c r="FM523" s="1358"/>
      <c r="FN523" s="1358"/>
      <c r="FO523" s="1358"/>
      <c r="FP523" s="1358"/>
      <c r="FQ523" s="1358"/>
      <c r="FR523" s="1358"/>
      <c r="FS523" s="1358"/>
      <c r="FT523" s="1358"/>
      <c r="FU523" s="1358"/>
      <c r="FV523" s="1358"/>
      <c r="FW523" s="1358"/>
      <c r="FX523" s="1358"/>
      <c r="FY523" s="1358"/>
      <c r="FZ523" s="1358"/>
      <c r="GA523" s="1358"/>
      <c r="GB523" s="1358"/>
      <c r="GC523" s="1358"/>
      <c r="GD523" s="1358"/>
      <c r="GE523" s="1358"/>
      <c r="GF523" s="1358"/>
      <c r="GG523" s="1358"/>
      <c r="GH523" s="1358"/>
      <c r="GI523" s="1358"/>
      <c r="GJ523" s="1358"/>
      <c r="GK523" s="1358"/>
      <c r="GL523" s="1358"/>
      <c r="GM523" s="1358"/>
      <c r="GN523" s="1358"/>
      <c r="GO523" s="1358"/>
      <c r="GP523" s="1358"/>
      <c r="GQ523" s="1358"/>
      <c r="GR523" s="1358"/>
      <c r="GS523" s="1358"/>
      <c r="GT523" s="1358"/>
      <c r="GU523" s="1358"/>
      <c r="GV523" s="1358"/>
      <c r="GW523" s="1358"/>
      <c r="GX523" s="1358"/>
      <c r="GY523" s="1358"/>
      <c r="GZ523" s="1358"/>
      <c r="HA523" s="1358"/>
      <c r="HB523" s="1358"/>
      <c r="HC523" s="1358"/>
      <c r="HD523" s="1358"/>
      <c r="HE523" s="1358"/>
      <c r="HF523" s="1358"/>
      <c r="HG523" s="1358"/>
      <c r="HH523" s="1358"/>
      <c r="HI523" s="1358"/>
      <c r="HJ523" s="1358"/>
      <c r="HK523" s="1358"/>
      <c r="HL523" s="1358"/>
      <c r="HM523" s="1358"/>
      <c r="HN523" s="1358"/>
      <c r="HO523" s="1358"/>
      <c r="HP523" s="1358"/>
      <c r="HQ523" s="1358"/>
      <c r="HR523" s="1358"/>
      <c r="HS523" s="1358"/>
      <c r="HT523" s="1358"/>
      <c r="HU523" s="1358"/>
      <c r="HV523" s="1358"/>
      <c r="HW523" s="1358"/>
      <c r="HX523" s="1358"/>
      <c r="HY523" s="1358"/>
      <c r="HZ523" s="1358"/>
      <c r="IA523" s="1358"/>
      <c r="IB523" s="1358"/>
      <c r="IC523" s="1358"/>
      <c r="ID523" s="1358"/>
      <c r="IE523" s="1358"/>
      <c r="IF523" s="1358"/>
      <c r="IG523" s="1358"/>
      <c r="IH523" s="1358"/>
      <c r="II523" s="1358"/>
      <c r="IJ523" s="1358"/>
      <c r="IK523" s="1358"/>
      <c r="IL523" s="1358"/>
      <c r="IM523" s="1358"/>
      <c r="IN523" s="1358"/>
      <c r="IO523" s="1358"/>
      <c r="IP523" s="1358"/>
      <c r="IQ523" s="1358"/>
      <c r="IR523" s="1358"/>
      <c r="IS523" s="1358"/>
      <c r="IT523" s="1358"/>
      <c r="IU523" s="1358"/>
      <c r="IV523" s="1358"/>
      <c r="IW523" s="1358"/>
      <c r="IX523" s="1358"/>
      <c r="IY523" s="1358"/>
      <c r="IZ523" s="1358"/>
      <c r="JA523" s="1358"/>
      <c r="JB523" s="1358"/>
      <c r="JC523" s="1358"/>
      <c r="JD523" s="1358"/>
      <c r="JE523" s="1358"/>
      <c r="JF523" s="1358"/>
      <c r="JG523" s="1358"/>
      <c r="JH523" s="1358"/>
      <c r="JI523" s="1358"/>
      <c r="JJ523" s="1358"/>
      <c r="JK523" s="1358"/>
      <c r="JL523" s="1358"/>
      <c r="JM523" s="1358"/>
      <c r="JN523" s="1358"/>
      <c r="JO523" s="1358"/>
      <c r="JP523" s="1358"/>
      <c r="JQ523" s="1358"/>
      <c r="JR523" s="1358"/>
      <c r="JS523" s="1358"/>
      <c r="JT523" s="1358"/>
      <c r="JU523" s="1358"/>
      <c r="JV523" s="1358"/>
      <c r="JW523" s="1358"/>
      <c r="JX523" s="1358"/>
      <c r="JY523" s="1358"/>
      <c r="JZ523" s="1358"/>
      <c r="KA523" s="1358"/>
      <c r="KB523" s="1358"/>
      <c r="KC523" s="1358"/>
      <c r="KD523" s="1358"/>
      <c r="KE523" s="1358"/>
      <c r="KF523" s="1358"/>
      <c r="KG523" s="1358"/>
      <c r="KH523" s="1358"/>
      <c r="KI523" s="1358"/>
      <c r="KJ523" s="1358"/>
      <c r="KK523" s="1358"/>
      <c r="KL523" s="1358"/>
      <c r="KM523" s="1358"/>
      <c r="KN523" s="1358"/>
      <c r="KO523" s="1358"/>
      <c r="KP523" s="1358"/>
      <c r="KQ523" s="1358"/>
      <c r="KR523" s="1358"/>
      <c r="KS523" s="1358"/>
      <c r="KT523" s="1358"/>
      <c r="KU523" s="1358"/>
      <c r="KV523" s="1358"/>
      <c r="KW523" s="1358"/>
      <c r="KX523" s="1358"/>
      <c r="KY523" s="1358"/>
      <c r="KZ523" s="1358"/>
      <c r="LA523" s="1358"/>
      <c r="LB523" s="1358"/>
      <c r="LC523" s="1358"/>
      <c r="LD523" s="1358"/>
      <c r="LE523" s="1358"/>
      <c r="LF523" s="1358"/>
      <c r="LG523" s="1358"/>
      <c r="LH523" s="1358"/>
      <c r="LI523" s="1358"/>
      <c r="LJ523" s="1358"/>
      <c r="LK523" s="1358"/>
      <c r="LL523" s="1358"/>
      <c r="LM523" s="1358"/>
      <c r="LN523" s="1358"/>
      <c r="LO523" s="1358"/>
      <c r="LP523" s="1358"/>
      <c r="LQ523" s="1358"/>
      <c r="LR523" s="1358"/>
      <c r="LS523" s="1358"/>
      <c r="LT523" s="1358"/>
      <c r="LU523" s="1358"/>
      <c r="LV523" s="1358"/>
      <c r="LW523" s="1358"/>
      <c r="LX523" s="1358"/>
      <c r="LY523" s="1358"/>
      <c r="LZ523" s="1358"/>
      <c r="MA523" s="1358"/>
      <c r="MB523" s="1358"/>
      <c r="MC523" s="1358"/>
      <c r="MD523" s="1358"/>
      <c r="ME523" s="1358"/>
      <c r="MF523" s="1358"/>
      <c r="MG523" s="1358"/>
      <c r="MH523" s="1358"/>
      <c r="MI523" s="1358"/>
      <c r="MJ523" s="1358"/>
      <c r="MK523" s="1358"/>
      <c r="ML523" s="1358"/>
      <c r="MM523" s="1358"/>
      <c r="MN523" s="1358"/>
      <c r="MO523" s="1358"/>
      <c r="MP523" s="1358"/>
      <c r="MQ523" s="1358"/>
      <c r="MR523" s="1358"/>
      <c r="MS523" s="1358"/>
      <c r="MT523" s="1358"/>
      <c r="MU523" s="1358"/>
      <c r="MV523" s="1358"/>
      <c r="MW523" s="1358"/>
      <c r="MX523" s="1358"/>
      <c r="MY523" s="1358"/>
      <c r="MZ523" s="1358"/>
      <c r="NA523" s="1358"/>
      <c r="NB523" s="1358"/>
      <c r="NC523" s="1358"/>
      <c r="ND523" s="1358"/>
      <c r="NE523" s="1358"/>
      <c r="NF523" s="1358"/>
      <c r="NG523" s="1358"/>
      <c r="NH523" s="1358"/>
      <c r="NI523" s="1358"/>
      <c r="NJ523" s="1358"/>
      <c r="NK523" s="1358"/>
      <c r="NL523" s="1358"/>
      <c r="NM523" s="1358"/>
      <c r="NN523" s="1358"/>
      <c r="NO523" s="1358"/>
      <c r="NP523" s="1358"/>
      <c r="NQ523" s="1358"/>
      <c r="NR523" s="1358"/>
      <c r="NS523" s="1358"/>
      <c r="NT523" s="1358"/>
      <c r="NU523" s="1358"/>
      <c r="NV523" s="1358"/>
      <c r="NW523" s="1358"/>
      <c r="NX523" s="1358"/>
      <c r="NY523" s="1358"/>
      <c r="NZ523" s="1358"/>
      <c r="OA523" s="1358"/>
      <c r="OB523" s="1358"/>
      <c r="OC523" s="1358"/>
      <c r="OD523" s="1358"/>
      <c r="OE523" s="1358"/>
      <c r="OF523" s="1358"/>
      <c r="OG523" s="1358"/>
      <c r="OH523" s="1358"/>
      <c r="OI523" s="1358"/>
      <c r="OJ523" s="1358"/>
      <c r="OK523" s="1358"/>
      <c r="OL523" s="1358"/>
      <c r="OM523" s="1358"/>
      <c r="ON523" s="1358"/>
      <c r="OO523" s="1358"/>
      <c r="OP523" s="1358"/>
      <c r="OQ523" s="1358"/>
      <c r="OR523" s="1358"/>
      <c r="OS523" s="1358"/>
      <c r="OT523" s="1358"/>
      <c r="OU523" s="1358"/>
      <c r="OV523" s="1358"/>
      <c r="OW523" s="1358"/>
      <c r="OX523" s="1358"/>
      <c r="OY523" s="1358"/>
      <c r="OZ523" s="1358"/>
      <c r="PA523" s="1358"/>
      <c r="PB523" s="1358"/>
      <c r="PC523" s="1358"/>
      <c r="PD523" s="1358"/>
      <c r="PE523" s="1358"/>
      <c r="PF523" s="1358"/>
      <c r="PG523" s="1358"/>
      <c r="PH523" s="1358"/>
      <c r="PI523" s="1358"/>
      <c r="PJ523" s="1358"/>
      <c r="PK523" s="1358"/>
      <c r="PL523" s="1358"/>
      <c r="PM523" s="1358"/>
      <c r="PN523" s="1358"/>
      <c r="PO523" s="1358"/>
      <c r="PP523" s="1358"/>
      <c r="PQ523" s="1358"/>
      <c r="PR523" s="1358"/>
      <c r="PS523" s="1358"/>
      <c r="PT523" s="1358"/>
      <c r="PU523" s="1358"/>
      <c r="PV523" s="1358"/>
      <c r="PW523" s="1358"/>
      <c r="PX523" s="1358"/>
      <c r="PY523" s="1358"/>
      <c r="PZ523" s="1358"/>
      <c r="QA523" s="1358"/>
      <c r="QB523" s="1358"/>
      <c r="QC523" s="1358"/>
      <c r="QD523" s="1358"/>
      <c r="QE523" s="1358"/>
      <c r="QF523" s="1358"/>
      <c r="QG523" s="1358"/>
      <c r="QH523" s="1358"/>
      <c r="QI523" s="1358"/>
      <c r="QJ523" s="1358"/>
      <c r="QK523" s="1358"/>
      <c r="QL523" s="1358"/>
      <c r="QM523" s="1358"/>
      <c r="QN523" s="1358"/>
      <c r="QO523" s="1358"/>
      <c r="QP523" s="1358"/>
      <c r="QQ523" s="1358"/>
      <c r="QR523" s="1358"/>
      <c r="QS523" s="1358"/>
      <c r="QT523" s="1358"/>
      <c r="QU523" s="1358"/>
      <c r="QV523" s="1358"/>
      <c r="QW523" s="1358"/>
      <c r="QX523" s="1358"/>
      <c r="QY523" s="1358"/>
      <c r="QZ523" s="1358"/>
      <c r="RA523" s="1358"/>
      <c r="RB523" s="1358"/>
      <c r="RC523" s="1358"/>
      <c r="RD523" s="1358"/>
      <c r="RE523" s="1358"/>
      <c r="RF523" s="1358"/>
      <c r="RG523" s="1358"/>
      <c r="RH523" s="1358"/>
      <c r="RI523" s="1358"/>
      <c r="RJ523" s="1358"/>
      <c r="RK523" s="1358"/>
      <c r="RL523" s="1358"/>
      <c r="RM523" s="1358"/>
      <c r="RN523" s="1358"/>
      <c r="RO523" s="1358"/>
      <c r="RP523" s="1358"/>
      <c r="RQ523" s="1358"/>
      <c r="RR523" s="1358"/>
      <c r="RS523" s="1358"/>
      <c r="RT523" s="1358"/>
      <c r="RU523" s="1358"/>
      <c r="RV523" s="1358"/>
      <c r="RW523" s="1358"/>
      <c r="RX523" s="1358"/>
      <c r="RY523" s="1358"/>
      <c r="RZ523" s="1358"/>
      <c r="SA523" s="1358"/>
      <c r="SB523" s="1358"/>
      <c r="SC523" s="1358"/>
      <c r="SD523" s="1358"/>
      <c r="SE523" s="1358"/>
      <c r="SF523" s="1358"/>
      <c r="SG523" s="1358"/>
      <c r="SH523" s="1358"/>
      <c r="SI523" s="1358"/>
      <c r="SJ523" s="1358"/>
      <c r="SK523" s="1358"/>
      <c r="SL523" s="1358"/>
      <c r="SM523" s="1358"/>
      <c r="SN523" s="1358"/>
      <c r="SO523" s="1358"/>
      <c r="SP523" s="1358"/>
      <c r="SQ523" s="1358"/>
      <c r="SR523" s="1358"/>
      <c r="SS523" s="1358"/>
      <c r="ST523" s="1358"/>
      <c r="SU523" s="1358"/>
      <c r="SV523" s="1358"/>
      <c r="SW523" s="1358"/>
      <c r="SX523" s="1358"/>
      <c r="SY523" s="1358"/>
      <c r="SZ523" s="1358"/>
      <c r="TA523" s="1358"/>
      <c r="TB523" s="1358"/>
      <c r="TC523" s="1358"/>
      <c r="TD523" s="1358"/>
      <c r="TE523" s="1358"/>
      <c r="TF523" s="1358"/>
      <c r="TG523" s="1358"/>
      <c r="TH523" s="1358"/>
      <c r="TI523" s="1358"/>
      <c r="TJ523" s="1358"/>
      <c r="TK523" s="1358"/>
      <c r="TL523" s="1358"/>
      <c r="TM523" s="1358"/>
      <c r="TN523" s="1358"/>
      <c r="TO523" s="1358"/>
      <c r="TP523" s="1358"/>
      <c r="TQ523" s="1358"/>
      <c r="TR523" s="1358"/>
      <c r="TS523" s="1358"/>
      <c r="TT523" s="1358"/>
      <c r="TU523" s="1358"/>
      <c r="TV523" s="1358"/>
      <c r="TW523" s="1358"/>
      <c r="TX523" s="1358"/>
      <c r="TY523" s="1358"/>
      <c r="TZ523" s="1358"/>
      <c r="UA523" s="1358"/>
      <c r="UB523" s="1358"/>
      <c r="UC523" s="1358"/>
      <c r="UD523" s="1358"/>
      <c r="UE523" s="1358"/>
      <c r="UF523" s="1358"/>
      <c r="UG523" s="1358"/>
      <c r="UH523" s="1358"/>
      <c r="UI523" s="1358"/>
      <c r="UJ523" s="1358"/>
      <c r="UK523" s="1358"/>
      <c r="UL523" s="1358"/>
      <c r="UM523" s="1358"/>
      <c r="UN523" s="1358"/>
      <c r="UO523" s="1358"/>
      <c r="UP523" s="1358"/>
      <c r="UQ523" s="1358"/>
      <c r="UR523" s="1358"/>
      <c r="US523" s="1358"/>
      <c r="UT523" s="1358"/>
      <c r="UU523" s="1358"/>
      <c r="UV523" s="1358"/>
      <c r="UW523" s="1358"/>
      <c r="UX523" s="1358"/>
      <c r="UY523" s="1358"/>
      <c r="UZ523" s="1358"/>
      <c r="VA523" s="1358"/>
      <c r="VB523" s="1358"/>
      <c r="VC523" s="1358"/>
      <c r="VD523" s="1358"/>
      <c r="VE523" s="1358"/>
      <c r="VF523" s="1358"/>
      <c r="VG523" s="1358"/>
      <c r="VH523" s="1358"/>
      <c r="VI523" s="1358"/>
      <c r="VJ523" s="1358"/>
      <c r="VK523" s="1358"/>
      <c r="VL523" s="1358"/>
      <c r="VM523" s="1358"/>
      <c r="VN523" s="1358"/>
      <c r="VO523" s="1358"/>
      <c r="VP523" s="1358"/>
      <c r="VQ523" s="1358"/>
      <c r="VR523" s="1358"/>
      <c r="VS523" s="1358"/>
      <c r="VT523" s="1358"/>
      <c r="VU523" s="1358"/>
      <c r="VV523" s="1358"/>
      <c r="VW523" s="1358"/>
      <c r="VX523" s="1358"/>
      <c r="VY523" s="1358"/>
      <c r="VZ523" s="1358"/>
      <c r="WA523" s="1358"/>
      <c r="WB523" s="1358"/>
      <c r="WC523" s="1358"/>
      <c r="WD523" s="1358"/>
      <c r="WE523" s="1358"/>
      <c r="WF523" s="1358"/>
      <c r="WG523" s="1358"/>
      <c r="WH523" s="1358"/>
      <c r="WI523" s="1358"/>
      <c r="WJ523" s="1358"/>
      <c r="WK523" s="1358"/>
      <c r="WL523" s="1358"/>
      <c r="WM523" s="1358"/>
      <c r="WN523" s="1358"/>
      <c r="WO523" s="1358"/>
      <c r="WP523" s="1358"/>
      <c r="WQ523" s="1358"/>
      <c r="WR523" s="1358"/>
      <c r="WS523" s="1358"/>
      <c r="WT523" s="1358"/>
      <c r="WU523" s="1358"/>
      <c r="WV523" s="1358"/>
      <c r="WW523" s="1358"/>
      <c r="WX523" s="1358"/>
      <c r="WY523" s="1358"/>
      <c r="WZ523" s="1358"/>
      <c r="XA523" s="1358"/>
      <c r="XB523" s="1358"/>
      <c r="XC523" s="1358"/>
      <c r="XD523" s="1358"/>
      <c r="XE523" s="1358"/>
      <c r="XF523" s="1358"/>
      <c r="XG523" s="1358"/>
      <c r="XH523" s="1358"/>
      <c r="XI523" s="1358"/>
      <c r="XJ523" s="1358"/>
      <c r="XK523" s="1358"/>
      <c r="XL523" s="1358"/>
      <c r="XM523" s="1358"/>
      <c r="XN523" s="1358"/>
      <c r="XO523" s="1358"/>
      <c r="XP523" s="1358"/>
      <c r="XQ523" s="1358"/>
      <c r="XR523" s="1358"/>
      <c r="XS523" s="1358"/>
      <c r="XT523" s="1358"/>
      <c r="XU523" s="1358"/>
      <c r="XV523" s="1358"/>
      <c r="XW523" s="1358"/>
      <c r="XX523" s="1358"/>
      <c r="XY523" s="1358"/>
      <c r="XZ523" s="1358"/>
      <c r="YA523" s="1358"/>
      <c r="YB523" s="1358"/>
      <c r="YC523" s="1358"/>
      <c r="YD523" s="1358"/>
      <c r="YE523" s="1358"/>
      <c r="YF523" s="1358"/>
      <c r="YG523" s="1358"/>
      <c r="YH523" s="1358"/>
      <c r="YI523" s="1358"/>
      <c r="YJ523" s="1358"/>
      <c r="YK523" s="1358"/>
      <c r="YL523" s="1358"/>
      <c r="YM523" s="1358"/>
      <c r="YN523" s="1358"/>
      <c r="YO523" s="1358"/>
      <c r="YP523" s="1358"/>
      <c r="YQ523" s="1358"/>
      <c r="YR523" s="1358"/>
      <c r="YS523" s="1358"/>
      <c r="YT523" s="1358"/>
      <c r="YU523" s="1358"/>
      <c r="YV523" s="1358"/>
      <c r="YW523" s="1358"/>
      <c r="YX523" s="1358"/>
      <c r="YY523" s="1358"/>
      <c r="YZ523" s="1358"/>
      <c r="ZA523" s="1358"/>
      <c r="ZB523" s="1358"/>
      <c r="ZC523" s="1358"/>
      <c r="ZD523" s="1358"/>
      <c r="ZE523" s="1358"/>
      <c r="ZF523" s="1358"/>
      <c r="ZG523" s="1358"/>
      <c r="ZH523" s="1358"/>
      <c r="ZI523" s="1358"/>
      <c r="ZJ523" s="1358"/>
      <c r="ZK523" s="1358"/>
      <c r="ZL523" s="1358"/>
      <c r="ZM523" s="1358"/>
      <c r="ZN523" s="1358"/>
      <c r="ZO523" s="1358"/>
      <c r="ZP523" s="1358"/>
      <c r="ZQ523" s="1358"/>
      <c r="ZR523" s="1358"/>
      <c r="ZS523" s="1358"/>
      <c r="ZT523" s="1358"/>
      <c r="ZU523" s="1358"/>
      <c r="ZV523" s="1358"/>
      <c r="ZW523" s="1358"/>
      <c r="ZX523" s="1358"/>
      <c r="ZY523" s="1358"/>
      <c r="ZZ523" s="1358"/>
      <c r="AAA523" s="1358"/>
      <c r="AAB523" s="1358"/>
      <c r="AAC523" s="1358"/>
      <c r="AAD523" s="1358"/>
      <c r="AAE523" s="1358"/>
      <c r="AAF523" s="1358"/>
      <c r="AAG523" s="1358"/>
      <c r="AAH523" s="1358"/>
      <c r="AAI523" s="1358"/>
      <c r="AAJ523" s="1358"/>
      <c r="AAK523" s="1358"/>
      <c r="AAL523" s="1358"/>
      <c r="AAM523" s="1358"/>
      <c r="AAN523" s="1358"/>
      <c r="AAO523" s="1358"/>
      <c r="AAP523" s="1358"/>
      <c r="AAQ523" s="1358"/>
      <c r="AAR523" s="1358"/>
      <c r="AAS523" s="1358"/>
      <c r="AAT523" s="1358"/>
      <c r="AAU523" s="1358"/>
      <c r="AAV523" s="1358"/>
      <c r="AAW523" s="1358"/>
      <c r="AAX523" s="1358"/>
      <c r="AAY523" s="1358"/>
      <c r="AAZ523" s="1358"/>
      <c r="ABA523" s="1358"/>
      <c r="ABB523" s="1358"/>
      <c r="ABC523" s="1358"/>
      <c r="ABD523" s="1358"/>
      <c r="ABE523" s="1358"/>
      <c r="ABF523" s="1358"/>
      <c r="ABG523" s="1358"/>
      <c r="ABH523" s="1358"/>
      <c r="ABI523" s="1358"/>
      <c r="ABJ523" s="1358"/>
      <c r="ABK523" s="1358"/>
      <c r="ABL523" s="1358"/>
      <c r="ABM523" s="1358"/>
      <c r="ABN523" s="1358"/>
      <c r="ABO523" s="1358"/>
      <c r="ABP523" s="1358"/>
      <c r="ABQ523" s="1358"/>
      <c r="ABR523" s="1358"/>
      <c r="ABS523" s="1358"/>
      <c r="ABT523" s="1358"/>
      <c r="ABU523" s="1358"/>
      <c r="ABV523" s="1358"/>
      <c r="ABW523" s="1358"/>
      <c r="ABX523" s="1358"/>
      <c r="ABY523" s="1358"/>
      <c r="ABZ523" s="1358"/>
      <c r="ACA523" s="1358"/>
      <c r="ACB523" s="1358"/>
      <c r="ACC523" s="1358"/>
      <c r="ACD523" s="1358"/>
      <c r="ACE523" s="1358"/>
      <c r="ACF523" s="1358"/>
      <c r="ACG523" s="1358"/>
      <c r="ACH523" s="1358"/>
      <c r="ACI523" s="1358"/>
      <c r="ACJ523" s="1358"/>
      <c r="ACK523" s="1358"/>
      <c r="ACL523" s="1358"/>
      <c r="ACM523" s="1358"/>
      <c r="ACN523" s="1358"/>
      <c r="ACO523" s="1358"/>
      <c r="ACP523" s="1358"/>
      <c r="ACQ523" s="1358"/>
      <c r="ACR523" s="1358"/>
      <c r="ACS523" s="1358"/>
      <c r="ACT523" s="1358"/>
      <c r="ACU523" s="1358"/>
      <c r="ACV523" s="1358"/>
      <c r="ACW523" s="1358"/>
      <c r="ACX523" s="1358"/>
      <c r="ACY523" s="1358"/>
      <c r="ACZ523" s="1358"/>
      <c r="ADA523" s="1358"/>
      <c r="ADB523" s="1358"/>
      <c r="ADC523" s="1358"/>
      <c r="ADD523" s="1358"/>
      <c r="ADE523" s="1358"/>
      <c r="ADF523" s="1358"/>
      <c r="ADG523" s="1358"/>
      <c r="ADH523" s="1358"/>
      <c r="ADI523" s="1358"/>
      <c r="ADJ523" s="1358"/>
      <c r="ADK523" s="1358"/>
      <c r="ADL523" s="1358"/>
      <c r="ADM523" s="1358"/>
      <c r="ADN523" s="1358"/>
      <c r="ADO523" s="1358"/>
      <c r="ADP523" s="1358"/>
      <c r="ADQ523" s="1358"/>
      <c r="ADR523" s="1358"/>
      <c r="ADS523" s="1358"/>
      <c r="ADT523" s="1358"/>
      <c r="ADU523" s="1358"/>
      <c r="ADV523" s="1358"/>
      <c r="ADW523" s="1358"/>
      <c r="ADX523" s="1358"/>
      <c r="ADY523" s="1358"/>
      <c r="ADZ523" s="1358"/>
      <c r="AEA523" s="1358"/>
      <c r="AEB523" s="1358"/>
      <c r="AEC523" s="1358"/>
      <c r="AED523" s="1358"/>
      <c r="AEE523" s="1358"/>
      <c r="AEF523" s="1358"/>
      <c r="AEG523" s="1358"/>
      <c r="AEH523" s="1358"/>
      <c r="AEI523" s="1358"/>
      <c r="AEJ523" s="1358"/>
      <c r="AEK523" s="1358"/>
      <c r="AEL523" s="1358"/>
      <c r="AEM523" s="1358"/>
      <c r="AEN523" s="1358"/>
      <c r="AEO523" s="1358"/>
      <c r="AEP523" s="1358"/>
      <c r="AEQ523" s="1358"/>
      <c r="AER523" s="1358"/>
      <c r="AES523" s="1358"/>
      <c r="AET523" s="1358"/>
      <c r="AEU523" s="1358"/>
      <c r="AEV523" s="1358"/>
      <c r="AEW523" s="1358"/>
      <c r="AEX523" s="1358"/>
      <c r="AEY523" s="1358"/>
      <c r="AEZ523" s="1358"/>
      <c r="AFA523" s="1358"/>
      <c r="AFB523" s="1358"/>
      <c r="AFC523" s="1358"/>
      <c r="AFD523" s="1358"/>
      <c r="AFE523" s="1358"/>
      <c r="AFF523" s="1358"/>
      <c r="AFG523" s="1358"/>
      <c r="AFH523" s="1358"/>
      <c r="AFI523" s="1358"/>
      <c r="AFJ523" s="1358"/>
      <c r="AFK523" s="1358"/>
      <c r="AFL523" s="1358"/>
      <c r="AFM523" s="1358"/>
      <c r="AFN523" s="1358"/>
      <c r="AFO523" s="1358"/>
      <c r="AFP523" s="1358"/>
      <c r="AFQ523" s="1358"/>
      <c r="AFR523" s="1358"/>
      <c r="AFS523" s="1358"/>
      <c r="AFT523" s="1358"/>
      <c r="AFU523" s="1358"/>
      <c r="AFV523" s="1358"/>
      <c r="AFW523" s="1358"/>
      <c r="AFX523" s="1358"/>
      <c r="AFY523" s="1358"/>
      <c r="AFZ523" s="1358"/>
      <c r="AGA523" s="1358"/>
      <c r="AGB523" s="1358"/>
      <c r="AGC523" s="1358"/>
      <c r="AGD523" s="1358"/>
      <c r="AGE523" s="1358"/>
      <c r="AGF523" s="1358"/>
      <c r="AGG523" s="1358"/>
      <c r="AGH523" s="1358"/>
      <c r="AGI523" s="1358"/>
      <c r="AGJ523" s="1358"/>
      <c r="AGK523" s="1358"/>
      <c r="AGL523" s="1358"/>
      <c r="AGM523" s="1358"/>
      <c r="AGN523" s="1358"/>
      <c r="AGO523" s="1358"/>
      <c r="AGP523" s="1358"/>
      <c r="AGQ523" s="1358"/>
      <c r="AGR523" s="1358"/>
      <c r="AGS523" s="1358"/>
      <c r="AGT523" s="1358"/>
      <c r="AGU523" s="1358"/>
      <c r="AGV523" s="1358"/>
      <c r="AGW523" s="1358"/>
      <c r="AGX523" s="1358"/>
      <c r="AGY523" s="1358"/>
      <c r="AGZ523" s="1358"/>
      <c r="AHA523" s="1358"/>
      <c r="AHB523" s="1358"/>
      <c r="AHC523" s="1358"/>
      <c r="AHD523" s="1358"/>
      <c r="AHE523" s="1358"/>
      <c r="AHF523" s="1358"/>
      <c r="AHG523" s="1358"/>
      <c r="AHH523" s="1358"/>
      <c r="AHI523" s="1358"/>
      <c r="AHJ523" s="1358"/>
      <c r="AHK523" s="1358"/>
      <c r="AHL523" s="1358"/>
      <c r="AHM523" s="1358"/>
      <c r="AHN523" s="1358"/>
      <c r="AHO523" s="1358"/>
      <c r="AHP523" s="1358"/>
      <c r="AHQ523" s="1358"/>
      <c r="AHR523" s="1358"/>
      <c r="AHS523" s="1358"/>
      <c r="AHT523" s="1358"/>
      <c r="AHU523" s="1358"/>
      <c r="AHV523" s="1358"/>
      <c r="AHW523" s="1358"/>
      <c r="AHX523" s="1358"/>
      <c r="AHY523" s="1358"/>
      <c r="AHZ523" s="1358"/>
      <c r="AIA523" s="1358"/>
      <c r="AIB523" s="1358"/>
      <c r="AIC523" s="1358"/>
      <c r="AID523" s="1358"/>
      <c r="AIE523" s="1358"/>
      <c r="AIF523" s="1358"/>
      <c r="AIG523" s="1358"/>
      <c r="AIH523" s="1358"/>
      <c r="AII523" s="1358"/>
      <c r="AIJ523" s="1358"/>
      <c r="AIK523" s="1358"/>
      <c r="AIL523" s="1358"/>
      <c r="AIM523" s="1358"/>
      <c r="AIN523" s="1358"/>
      <c r="AIO523" s="1358"/>
      <c r="AIP523" s="1358"/>
      <c r="AIQ523" s="1358"/>
      <c r="AIR523" s="1358"/>
      <c r="AIS523" s="1358"/>
      <c r="AIT523" s="1358"/>
      <c r="AIU523" s="1358"/>
      <c r="AIV523" s="1358"/>
      <c r="AIW523" s="1358"/>
      <c r="AIX523" s="1358"/>
      <c r="AIY523" s="1358"/>
      <c r="AIZ523" s="1358"/>
      <c r="AJA523" s="1358"/>
      <c r="AJB523" s="1358"/>
      <c r="AJC523" s="1358"/>
      <c r="AJD523" s="1358"/>
      <c r="AJE523" s="1358"/>
      <c r="AJF523" s="1358"/>
      <c r="AJG523" s="1358"/>
      <c r="AJH523" s="1358"/>
      <c r="AJI523" s="1358"/>
      <c r="AJJ523" s="1358"/>
      <c r="AJK523" s="1358"/>
      <c r="AJL523" s="1358"/>
      <c r="AJM523" s="1358"/>
      <c r="AJN523" s="1358"/>
      <c r="AJO523" s="1358"/>
      <c r="AJP523" s="1358"/>
      <c r="AJQ523" s="1358"/>
      <c r="AJR523" s="1358"/>
      <c r="AJS523" s="1358"/>
      <c r="AJT523" s="1358"/>
      <c r="AJU523" s="1358"/>
      <c r="AJV523" s="1358"/>
      <c r="AJW523" s="1358"/>
      <c r="AJX523" s="1358"/>
      <c r="AJY523" s="1358"/>
      <c r="AJZ523" s="1358"/>
      <c r="AKA523" s="1358"/>
      <c r="AKB523" s="1358"/>
      <c r="AKC523" s="1358"/>
      <c r="AKD523" s="1358"/>
      <c r="AKE523" s="1358"/>
      <c r="AKF523" s="1358"/>
      <c r="AKG523" s="1358"/>
      <c r="AKH523" s="1358"/>
      <c r="AKI523" s="1358"/>
      <c r="AKJ523" s="1358"/>
      <c r="AKK523" s="1358"/>
      <c r="AKL523" s="1358"/>
      <c r="AKM523" s="1358"/>
      <c r="AKN523" s="1358"/>
      <c r="AKO523" s="1358"/>
      <c r="AKP523" s="1358"/>
      <c r="AKQ523" s="1358"/>
      <c r="AKR523" s="1358"/>
      <c r="AKS523" s="1358"/>
      <c r="AKT523" s="1358"/>
      <c r="AKU523" s="1358"/>
      <c r="AKV523" s="1358"/>
      <c r="AKW523" s="1358"/>
      <c r="AKX523" s="1358"/>
      <c r="AKY523" s="1358"/>
      <c r="AKZ523" s="1358"/>
      <c r="ALA523" s="1358"/>
      <c r="ALB523" s="1358"/>
      <c r="ALC523" s="1358"/>
      <c r="ALD523" s="1358"/>
      <c r="ALE523" s="1358"/>
      <c r="ALF523" s="1358"/>
      <c r="ALG523" s="1358"/>
      <c r="ALH523" s="1358"/>
      <c r="ALI523" s="1358"/>
      <c r="ALJ523" s="1358"/>
      <c r="ALK523" s="1358"/>
      <c r="ALL523" s="1358"/>
      <c r="ALM523" s="1358"/>
      <c r="ALN523" s="1358"/>
      <c r="ALO523" s="1358"/>
      <c r="ALP523" s="1358"/>
      <c r="ALQ523" s="1358"/>
      <c r="ALR523" s="1358"/>
      <c r="ALS523" s="1358"/>
      <c r="ALT523" s="1358"/>
      <c r="ALU523" s="1358"/>
      <c r="ALV523" s="1358"/>
      <c r="ALW523" s="1358"/>
      <c r="ALX523" s="1358"/>
      <c r="ALY523" s="1358"/>
      <c r="ALZ523" s="1358"/>
      <c r="AMA523" s="1358"/>
      <c r="AMB523" s="1358"/>
      <c r="AMC523" s="1358"/>
      <c r="AMD523" s="1358"/>
      <c r="AME523" s="1358"/>
      <c r="AMF523" s="1358"/>
      <c r="AMG523" s="1358"/>
      <c r="AMH523" s="1358"/>
      <c r="AMI523" s="1358"/>
      <c r="AMJ523" s="1358"/>
      <c r="AMK523" s="1358"/>
      <c r="AML523" s="1358"/>
      <c r="AMM523" s="1358"/>
      <c r="AMN523" s="1358"/>
      <c r="AMO523" s="1358"/>
      <c r="AMP523" s="1358"/>
      <c r="AMQ523" s="1358"/>
      <c r="AMR523" s="1358"/>
      <c r="AMS523" s="1358"/>
      <c r="AMT523" s="1358"/>
      <c r="AMU523" s="1358"/>
      <c r="AMV523" s="1358"/>
      <c r="AMW523" s="1358"/>
      <c r="AMX523" s="1358"/>
      <c r="AMY523" s="1358"/>
      <c r="AMZ523" s="1358"/>
      <c r="ANA523" s="1358"/>
      <c r="ANB523" s="1358"/>
      <c r="ANC523" s="1358"/>
      <c r="AND523" s="1358"/>
      <c r="ANE523" s="1358"/>
      <c r="ANF523" s="1358"/>
      <c r="ANG523" s="1358"/>
      <c r="ANH523" s="1358"/>
      <c r="ANI523" s="1358"/>
      <c r="ANJ523" s="1358"/>
      <c r="ANK523" s="1358"/>
      <c r="ANL523" s="1358"/>
      <c r="ANM523" s="1358"/>
      <c r="ANN523" s="1358"/>
      <c r="ANO523" s="1358"/>
      <c r="ANP523" s="1358"/>
      <c r="ANQ523" s="1358"/>
      <c r="ANR523" s="1358"/>
      <c r="ANS523" s="1358"/>
      <c r="ANT523" s="1358"/>
      <c r="ANU523" s="1358"/>
      <c r="ANV523" s="1358"/>
      <c r="ANW523" s="1358"/>
      <c r="ANX523" s="1358"/>
      <c r="ANY523" s="1358"/>
      <c r="ANZ523" s="1358"/>
      <c r="AOA523" s="1358"/>
      <c r="AOB523" s="1358"/>
      <c r="AOC523" s="1358"/>
      <c r="AOD523" s="1358"/>
      <c r="AOE523" s="1358"/>
      <c r="AOF523" s="1358"/>
      <c r="AOG523" s="1358"/>
      <c r="AOH523" s="1358"/>
      <c r="AOI523" s="1358"/>
      <c r="AOJ523" s="1358"/>
      <c r="AOK523" s="1358"/>
      <c r="AOL523" s="1358"/>
      <c r="AOM523" s="1358"/>
      <c r="AON523" s="1358"/>
      <c r="AOO523" s="1358"/>
      <c r="AOP523" s="1358"/>
      <c r="AOQ523" s="1358"/>
      <c r="AOR523" s="1358"/>
      <c r="AOS523" s="1358"/>
      <c r="AOT523" s="1358"/>
      <c r="AOU523" s="1358"/>
      <c r="AOV523" s="1358"/>
      <c r="AOW523" s="1358"/>
      <c r="AOX523" s="1358"/>
      <c r="AOY523" s="1358"/>
      <c r="AOZ523" s="1358"/>
      <c r="APA523" s="1358"/>
      <c r="APB523" s="1358"/>
      <c r="APC523" s="1358"/>
      <c r="APD523" s="1358"/>
      <c r="APE523" s="1358"/>
      <c r="APF523" s="1358"/>
      <c r="APG523" s="1358"/>
      <c r="APH523" s="1358"/>
      <c r="API523" s="1358"/>
      <c r="APJ523" s="1358"/>
      <c r="APK523" s="1358"/>
      <c r="APL523" s="1358"/>
      <c r="APM523" s="1358"/>
      <c r="APN523" s="1358"/>
      <c r="APO523" s="1358"/>
      <c r="APP523" s="1358"/>
      <c r="APQ523" s="1358"/>
      <c r="APR523" s="1358"/>
      <c r="APS523" s="1358"/>
      <c r="APT523" s="1358"/>
      <c r="APU523" s="1358"/>
      <c r="APV523" s="1358"/>
      <c r="APW523" s="1358"/>
      <c r="APX523" s="1358"/>
      <c r="APY523" s="1358"/>
      <c r="APZ523" s="1358"/>
      <c r="AQA523" s="1358"/>
      <c r="AQB523" s="1358"/>
      <c r="AQC523" s="1358"/>
      <c r="AQD523" s="1358"/>
      <c r="AQE523" s="1358"/>
      <c r="AQF523" s="1358"/>
      <c r="AQG523" s="1358"/>
      <c r="AQH523" s="1358"/>
      <c r="AQI523" s="1358"/>
      <c r="AQJ523" s="1358"/>
      <c r="AQK523" s="1358"/>
      <c r="AQL523" s="1358"/>
      <c r="AQM523" s="1358"/>
      <c r="AQN523" s="1358"/>
      <c r="AQO523" s="1358"/>
      <c r="AQP523" s="1358"/>
      <c r="AQQ523" s="1358"/>
      <c r="AQR523" s="1358"/>
      <c r="AQS523" s="1358"/>
      <c r="AQT523" s="1358"/>
      <c r="AQU523" s="1358"/>
      <c r="AQV523" s="1358"/>
      <c r="AQW523" s="1358"/>
      <c r="AQX523" s="1358"/>
      <c r="AQY523" s="1358"/>
      <c r="AQZ523" s="1358"/>
      <c r="ARA523" s="1358"/>
      <c r="ARB523" s="1358"/>
      <c r="ARC523" s="1358"/>
      <c r="ARD523" s="1358"/>
      <c r="ARE523" s="1358"/>
      <c r="ARF523" s="1358"/>
      <c r="ARG523" s="1358"/>
      <c r="ARH523" s="1358"/>
      <c r="ARI523" s="1358"/>
      <c r="ARJ523" s="1358"/>
      <c r="ARK523" s="1358"/>
      <c r="ARL523" s="1358"/>
      <c r="ARM523" s="1358"/>
      <c r="ARN523" s="1358"/>
      <c r="ARO523" s="1358"/>
      <c r="ARP523" s="1358"/>
      <c r="ARQ523" s="1358"/>
      <c r="ARR523" s="1358"/>
      <c r="ARS523" s="1358"/>
      <c r="ART523" s="1358"/>
      <c r="ARU523" s="1358"/>
      <c r="ARV523" s="1358"/>
      <c r="ARW523" s="1358"/>
      <c r="ARX523" s="1358"/>
      <c r="ARY523" s="1358"/>
      <c r="ARZ523" s="1358"/>
      <c r="ASA523" s="1358"/>
      <c r="ASB523" s="1358"/>
      <c r="ASC523" s="1358"/>
      <c r="ASD523" s="1358"/>
      <c r="ASE523" s="1358"/>
      <c r="ASF523" s="1358"/>
      <c r="ASG523" s="1358"/>
      <c r="ASH523" s="1358"/>
      <c r="ASI523" s="1358"/>
      <c r="ASJ523" s="1358"/>
      <c r="ASK523" s="1358"/>
      <c r="ASL523" s="1358"/>
      <c r="ASM523" s="1358"/>
      <c r="ASN523" s="1358"/>
      <c r="ASO523" s="1358"/>
      <c r="ASP523" s="1358"/>
      <c r="ASQ523" s="1358"/>
      <c r="ASR523" s="1358"/>
      <c r="ASS523" s="1358"/>
      <c r="AST523" s="1358"/>
      <c r="ASU523" s="1358"/>
      <c r="ASV523" s="1358"/>
      <c r="ASW523" s="1358"/>
      <c r="ASX523" s="1358"/>
      <c r="ASY523" s="1358"/>
      <c r="ASZ523" s="1358"/>
      <c r="ATA523" s="1358"/>
      <c r="ATB523" s="1358"/>
      <c r="ATC523" s="1358"/>
      <c r="ATD523" s="1358"/>
      <c r="ATE523" s="1358"/>
      <c r="ATF523" s="1358"/>
      <c r="ATG523" s="1358"/>
      <c r="ATH523" s="1358"/>
      <c r="ATI523" s="1358"/>
      <c r="ATJ523" s="1358"/>
      <c r="ATK523" s="1358"/>
      <c r="ATL523" s="1358"/>
      <c r="ATM523" s="1358"/>
      <c r="ATN523" s="1358"/>
      <c r="ATO523" s="1358"/>
      <c r="ATP523" s="1358"/>
      <c r="ATQ523" s="1358"/>
      <c r="ATR523" s="1358"/>
      <c r="ATS523" s="1358"/>
      <c r="ATT523" s="1358"/>
      <c r="ATU523" s="1358"/>
      <c r="ATV523" s="1358"/>
      <c r="ATW523" s="1358"/>
      <c r="ATX523" s="1358"/>
      <c r="ATY523" s="1358"/>
      <c r="ATZ523" s="1358"/>
      <c r="AUA523" s="1358"/>
      <c r="AUB523" s="1358"/>
      <c r="AUC523" s="1358"/>
      <c r="AUD523" s="1358"/>
      <c r="AUE523" s="1358"/>
      <c r="AUF523" s="1358"/>
      <c r="AUG523" s="1358"/>
      <c r="AUH523" s="1358"/>
      <c r="AUI523" s="1358"/>
      <c r="AUJ523" s="1358"/>
      <c r="AUK523" s="1358"/>
      <c r="AUL523" s="1358"/>
      <c r="AUM523" s="1358"/>
      <c r="AUN523" s="1358"/>
      <c r="AUO523" s="1358"/>
      <c r="AUP523" s="1358"/>
      <c r="AUQ523" s="1358"/>
      <c r="AUR523" s="1358"/>
      <c r="AUS523" s="1358"/>
      <c r="AUT523" s="1358"/>
      <c r="AUU523" s="1358"/>
      <c r="AUV523" s="1358"/>
      <c r="AUW523" s="1358"/>
      <c r="AUX523" s="1358"/>
      <c r="AUY523" s="1358"/>
      <c r="AUZ523" s="1358"/>
      <c r="AVA523" s="1358"/>
      <c r="AVB523" s="1358"/>
      <c r="AVC523" s="1358"/>
      <c r="AVD523" s="1358"/>
      <c r="AVE523" s="1358"/>
      <c r="AVF523" s="1358"/>
      <c r="AVG523" s="1358"/>
      <c r="AVH523" s="1358"/>
      <c r="AVI523" s="1358"/>
      <c r="AVJ523" s="1358"/>
      <c r="AVK523" s="1358"/>
      <c r="AVL523" s="1358"/>
      <c r="AVM523" s="1358"/>
      <c r="AVN523" s="1358"/>
      <c r="AVO523" s="1358"/>
      <c r="AVP523" s="1358"/>
      <c r="AVQ523" s="1358"/>
      <c r="AVR523" s="1358"/>
      <c r="AVS523" s="1358"/>
      <c r="AVT523" s="1358"/>
      <c r="AVU523" s="1358"/>
      <c r="AVV523" s="1358"/>
      <c r="AVW523" s="1358"/>
      <c r="AVX523" s="1358"/>
      <c r="AVY523" s="1358"/>
      <c r="AVZ523" s="1358"/>
      <c r="AWA523" s="1358"/>
      <c r="AWB523" s="1358"/>
      <c r="AWC523" s="1358"/>
      <c r="AWD523" s="1358"/>
      <c r="AWE523" s="1358"/>
      <c r="AWF523" s="1358"/>
      <c r="AWG523" s="1358"/>
      <c r="AWH523" s="1358"/>
      <c r="AWI523" s="1358"/>
      <c r="AWJ523" s="1358"/>
      <c r="AWK523" s="1358"/>
      <c r="AWL523" s="1358"/>
      <c r="AWM523" s="1358"/>
      <c r="AWN523" s="1358"/>
      <c r="AWO523" s="1358"/>
      <c r="AWP523" s="1358"/>
      <c r="AWQ523" s="1358"/>
      <c r="AWR523" s="1358"/>
      <c r="AWS523" s="1358"/>
      <c r="AWT523" s="1358"/>
      <c r="AWU523" s="1358"/>
      <c r="AWV523" s="1358"/>
      <c r="AWW523" s="1358"/>
      <c r="AWX523" s="1358"/>
      <c r="AWY523" s="1358"/>
      <c r="AWZ523" s="1358"/>
      <c r="AXA523" s="1358"/>
      <c r="AXB523" s="1358"/>
      <c r="AXC523" s="1358"/>
      <c r="AXD523" s="1358"/>
      <c r="AXE523" s="1358"/>
      <c r="AXF523" s="1358"/>
      <c r="AXG523" s="1358"/>
      <c r="AXH523" s="1358"/>
      <c r="AXI523" s="1358"/>
      <c r="AXJ523" s="1358"/>
      <c r="AXK523" s="1358"/>
      <c r="AXL523" s="1358"/>
      <c r="AXM523" s="1358"/>
      <c r="AXN523" s="1358"/>
      <c r="AXO523" s="1358"/>
      <c r="AXP523" s="1358"/>
      <c r="AXQ523" s="1358"/>
      <c r="AXR523" s="1358"/>
      <c r="AXS523" s="1358"/>
      <c r="AXT523" s="1358"/>
      <c r="AXU523" s="1358"/>
      <c r="AXV523" s="1358"/>
      <c r="AXW523" s="1358"/>
      <c r="AXX523" s="1358"/>
      <c r="AXY523" s="1358"/>
      <c r="AXZ523" s="1358"/>
      <c r="AYA523" s="1358"/>
      <c r="AYB523" s="1358"/>
      <c r="AYC523" s="1358"/>
      <c r="AYD523" s="1358"/>
      <c r="AYE523" s="1358"/>
      <c r="AYF523" s="1358"/>
      <c r="AYG523" s="1358"/>
      <c r="AYH523" s="1358"/>
      <c r="AYI523" s="1358"/>
      <c r="AYJ523" s="1358"/>
      <c r="AYK523" s="1358"/>
      <c r="AYL523" s="1358"/>
      <c r="AYM523" s="1358"/>
      <c r="AYN523" s="1358"/>
      <c r="AYO523" s="1358"/>
      <c r="AYP523" s="1358"/>
      <c r="AYQ523" s="1358"/>
      <c r="AYR523" s="1358"/>
      <c r="AYS523" s="1358"/>
      <c r="AYT523" s="1358"/>
      <c r="AYU523" s="1358"/>
      <c r="AYV523" s="1358"/>
      <c r="AYW523" s="1358"/>
      <c r="AYX523" s="1358"/>
      <c r="AYY523" s="1358"/>
      <c r="AYZ523" s="1358"/>
      <c r="AZA523" s="1358"/>
      <c r="AZB523" s="1358"/>
      <c r="AZC523" s="1358"/>
      <c r="AZD523" s="1358"/>
      <c r="AZE523" s="1358"/>
      <c r="AZF523" s="1358"/>
      <c r="AZG523" s="1358"/>
      <c r="AZH523" s="1358"/>
      <c r="AZI523" s="1358"/>
      <c r="AZJ523" s="1358"/>
      <c r="AZK523" s="1358"/>
      <c r="AZL523" s="1358"/>
      <c r="AZM523" s="1358"/>
      <c r="AZN523" s="1358"/>
      <c r="AZO523" s="1358"/>
      <c r="AZP523" s="1358"/>
      <c r="AZQ523" s="1358"/>
      <c r="AZR523" s="1358"/>
      <c r="AZS523" s="1358"/>
      <c r="AZT523" s="1358"/>
      <c r="AZU523" s="1358"/>
      <c r="AZV523" s="1358"/>
      <c r="AZW523" s="1358"/>
      <c r="AZX523" s="1358"/>
      <c r="AZY523" s="1358"/>
      <c r="AZZ523" s="1358"/>
      <c r="BAA523" s="1358"/>
      <c r="BAB523" s="1358"/>
      <c r="BAC523" s="1358"/>
      <c r="BAD523" s="1358"/>
      <c r="BAE523" s="1358"/>
      <c r="BAF523" s="1358"/>
      <c r="BAG523" s="1358"/>
      <c r="BAH523" s="1358"/>
      <c r="BAI523" s="1358"/>
      <c r="BAJ523" s="1358"/>
      <c r="BAK523" s="1358"/>
      <c r="BAL523" s="1358"/>
      <c r="BAM523" s="1358"/>
      <c r="BAN523" s="1358"/>
      <c r="BAO523" s="1358"/>
      <c r="BAP523" s="1358"/>
      <c r="BAQ523" s="1358"/>
      <c r="BAR523" s="1358"/>
      <c r="BAS523" s="1358"/>
      <c r="BAT523" s="1358"/>
      <c r="BAU523" s="1358"/>
      <c r="BAV523" s="1358"/>
      <c r="BAW523" s="1358"/>
      <c r="BAX523" s="1358"/>
      <c r="BAY523" s="1358"/>
      <c r="BAZ523" s="1358"/>
      <c r="BBA523" s="1358"/>
      <c r="BBB523" s="1358"/>
      <c r="BBC523" s="1358"/>
      <c r="BBD523" s="1358"/>
      <c r="BBE523" s="1358"/>
      <c r="BBF523" s="1358"/>
      <c r="BBG523" s="1358"/>
      <c r="BBH523" s="1358"/>
      <c r="BBI523" s="1358"/>
      <c r="BBJ523" s="1358"/>
      <c r="BBK523" s="1358"/>
      <c r="BBL523" s="1358"/>
      <c r="BBM523" s="1358"/>
      <c r="BBN523" s="1358"/>
      <c r="BBO523" s="1358"/>
      <c r="BBP523" s="1358"/>
      <c r="BBQ523" s="1358"/>
      <c r="BBR523" s="1358"/>
      <c r="BBS523" s="1358"/>
      <c r="BBT523" s="1358"/>
      <c r="BBU523" s="1358"/>
      <c r="BBV523" s="1358"/>
      <c r="BBW523" s="1358"/>
      <c r="BBX523" s="1358"/>
      <c r="BBY523" s="1358"/>
      <c r="BBZ523" s="1358"/>
      <c r="BCA523" s="1358"/>
      <c r="BCB523" s="1358"/>
      <c r="BCC523" s="1358"/>
      <c r="BCD523" s="1358"/>
      <c r="BCE523" s="1358"/>
      <c r="BCF523" s="1358"/>
      <c r="BCG523" s="1358"/>
      <c r="BCH523" s="1358"/>
      <c r="BCI523" s="1358"/>
      <c r="BCJ523" s="1358"/>
      <c r="BCK523" s="1358"/>
      <c r="BCL523" s="1358"/>
      <c r="BCM523" s="1358"/>
      <c r="BCN523" s="1358"/>
      <c r="BCO523" s="1358"/>
      <c r="BCP523" s="1358"/>
      <c r="BCQ523" s="1358"/>
      <c r="BCR523" s="1358"/>
      <c r="BCS523" s="1358"/>
      <c r="BCT523" s="1358"/>
      <c r="BCU523" s="1358"/>
      <c r="BCV523" s="1358"/>
      <c r="BCW523" s="1358"/>
      <c r="BCX523" s="1358"/>
      <c r="BCY523" s="1358"/>
      <c r="BCZ523" s="1358"/>
      <c r="BDA523" s="1358"/>
      <c r="BDB523" s="1358"/>
      <c r="BDC523" s="1358"/>
      <c r="BDD523" s="1358"/>
      <c r="BDE523" s="1358"/>
      <c r="BDF523" s="1358"/>
      <c r="BDG523" s="1358"/>
      <c r="BDH523" s="1358"/>
      <c r="BDI523" s="1358"/>
      <c r="BDJ523" s="1358"/>
      <c r="BDK523" s="1358"/>
      <c r="BDL523" s="1358"/>
      <c r="BDM523" s="1358"/>
      <c r="BDN523" s="1358"/>
      <c r="BDO523" s="1358"/>
      <c r="BDP523" s="1358"/>
      <c r="BDQ523" s="1358"/>
      <c r="BDR523" s="1358"/>
      <c r="BDS523" s="1358"/>
      <c r="BDT523" s="1358"/>
      <c r="BDU523" s="1358"/>
      <c r="BDV523" s="1358"/>
      <c r="BDW523" s="1358"/>
      <c r="BDX523" s="1358"/>
      <c r="BDY523" s="1358"/>
      <c r="BDZ523" s="1358"/>
      <c r="BEA523" s="1358"/>
      <c r="BEB523" s="1358"/>
      <c r="BEC523" s="1358"/>
      <c r="BED523" s="1358"/>
      <c r="BEE523" s="1358"/>
      <c r="BEF523" s="1358"/>
      <c r="BEG523" s="1358"/>
      <c r="BEH523" s="1358"/>
      <c r="BEI523" s="1358"/>
      <c r="BEJ523" s="1358"/>
      <c r="BEK523" s="1358"/>
      <c r="BEL523" s="1358"/>
      <c r="BEM523" s="1358"/>
      <c r="BEN523" s="1358"/>
      <c r="BEO523" s="1358"/>
      <c r="BEP523" s="1358"/>
      <c r="BEQ523" s="1358"/>
      <c r="BER523" s="1358"/>
      <c r="BES523" s="1358"/>
      <c r="BET523" s="1358"/>
      <c r="BEU523" s="1358"/>
      <c r="BEV523" s="1358"/>
      <c r="BEW523" s="1358"/>
      <c r="BEX523" s="1358"/>
      <c r="BEY523" s="1358"/>
      <c r="BEZ523" s="1358"/>
      <c r="BFA523" s="1358"/>
      <c r="BFB523" s="1358"/>
      <c r="BFC523" s="1358"/>
      <c r="BFD523" s="1358"/>
      <c r="BFE523" s="1358"/>
      <c r="BFF523" s="1358"/>
      <c r="BFG523" s="1358"/>
      <c r="BFH523" s="1358"/>
      <c r="BFI523" s="1358"/>
      <c r="BFJ523" s="1358"/>
      <c r="BFK523" s="1358"/>
      <c r="BFL523" s="1358"/>
      <c r="BFM523" s="1358"/>
      <c r="BFN523" s="1358"/>
      <c r="BFO523" s="1358"/>
      <c r="BFP523" s="1358"/>
      <c r="BFQ523" s="1358"/>
      <c r="BFR523" s="1358"/>
      <c r="BFS523" s="1358"/>
      <c r="BFT523" s="1358"/>
      <c r="BFU523" s="1358"/>
      <c r="BFV523" s="1358"/>
      <c r="BFW523" s="1358"/>
      <c r="BFX523" s="1358"/>
      <c r="BFY523" s="1358"/>
      <c r="BFZ523" s="1358"/>
      <c r="BGA523" s="1358"/>
      <c r="BGB523" s="1358"/>
      <c r="BGC523" s="1358"/>
      <c r="BGD523" s="1358"/>
      <c r="BGE523" s="1358"/>
      <c r="BGF523" s="1358"/>
      <c r="BGG523" s="1358"/>
      <c r="BGH523" s="1358"/>
      <c r="BGI523" s="1358"/>
      <c r="BGJ523" s="1358"/>
      <c r="BGK523" s="1358"/>
      <c r="BGL523" s="1358"/>
      <c r="BGM523" s="1358"/>
      <c r="BGN523" s="1358"/>
      <c r="BGO523" s="1358"/>
      <c r="BGP523" s="1358"/>
      <c r="BGQ523" s="1358"/>
      <c r="BGR523" s="1358"/>
      <c r="BGS523" s="1358"/>
      <c r="BGT523" s="1358"/>
      <c r="BGU523" s="1358"/>
      <c r="BGV523" s="1358"/>
      <c r="BGW523" s="1358"/>
      <c r="BGX523" s="1358"/>
      <c r="BGY523" s="1358"/>
      <c r="BGZ523" s="1358"/>
      <c r="BHA523" s="1358"/>
      <c r="BHB523" s="1358"/>
      <c r="BHC523" s="1358"/>
      <c r="BHD523" s="1358"/>
      <c r="BHE523" s="1358"/>
      <c r="BHF523" s="1358"/>
      <c r="BHG523" s="1358"/>
      <c r="BHH523" s="1358"/>
      <c r="BHI523" s="1358"/>
      <c r="BHJ523" s="1358"/>
      <c r="BHK523" s="1358"/>
      <c r="BHL523" s="1358"/>
      <c r="BHM523" s="1358"/>
      <c r="BHN523" s="1358"/>
      <c r="BHO523" s="1358"/>
      <c r="BHP523" s="1358"/>
      <c r="BHQ523" s="1358"/>
      <c r="BHR523" s="1358"/>
      <c r="BHS523" s="1358"/>
      <c r="BHT523" s="1358"/>
      <c r="BHU523" s="1358"/>
      <c r="BHV523" s="1358"/>
      <c r="BHW523" s="1358"/>
      <c r="BHX523" s="1358"/>
      <c r="BHY523" s="1358"/>
      <c r="BHZ523" s="1358"/>
      <c r="BIA523" s="1358"/>
      <c r="BIB523" s="1358"/>
      <c r="BIC523" s="1358"/>
      <c r="BID523" s="1358"/>
      <c r="BIE523" s="1358"/>
      <c r="BIF523" s="1358"/>
      <c r="BIG523" s="1358"/>
      <c r="BIH523" s="1358"/>
      <c r="BII523" s="1358"/>
      <c r="BIJ523" s="1358"/>
      <c r="BIK523" s="1358"/>
      <c r="BIL523" s="1358"/>
      <c r="BIM523" s="1358"/>
      <c r="BIN523" s="1358"/>
      <c r="BIO523" s="1358"/>
      <c r="BIP523" s="1358"/>
      <c r="BIQ523" s="1358"/>
      <c r="BIR523" s="1358"/>
      <c r="BIS523" s="1358"/>
      <c r="BIT523" s="1358"/>
      <c r="BIU523" s="1358"/>
      <c r="BIV523" s="1358"/>
      <c r="BIW523" s="1358"/>
      <c r="BIX523" s="1358"/>
      <c r="BIY523" s="1358"/>
      <c r="BIZ523" s="1358"/>
      <c r="BJA523" s="1358"/>
      <c r="BJB523" s="1358"/>
      <c r="BJC523" s="1358"/>
      <c r="BJD523" s="1358"/>
      <c r="BJE523" s="1358"/>
      <c r="BJF523" s="1358"/>
      <c r="BJG523" s="1358"/>
      <c r="BJH523" s="1358"/>
      <c r="BJI523" s="1358"/>
      <c r="BJJ523" s="1358"/>
      <c r="BJK523" s="1358"/>
      <c r="BJL523" s="1358"/>
      <c r="BJM523" s="1358"/>
      <c r="BJN523" s="1358"/>
      <c r="BJO523" s="1358"/>
      <c r="BJP523" s="1358"/>
      <c r="BJQ523" s="1358"/>
      <c r="BJR523" s="1358"/>
      <c r="BJS523" s="1358"/>
      <c r="BJT523" s="1358"/>
      <c r="BJU523" s="1358"/>
      <c r="BJV523" s="1358"/>
      <c r="BJW523" s="1358"/>
      <c r="BJX523" s="1358"/>
      <c r="BJY523" s="1358"/>
      <c r="BJZ523" s="1358"/>
      <c r="BKA523" s="1358"/>
      <c r="BKB523" s="1358"/>
      <c r="BKC523" s="1358"/>
      <c r="BKD523" s="1358"/>
      <c r="BKE523" s="1358"/>
      <c r="BKF523" s="1358"/>
      <c r="BKG523" s="1358"/>
      <c r="BKH523" s="1358"/>
      <c r="BKI523" s="1358"/>
      <c r="BKJ523" s="1358"/>
      <c r="BKK523" s="1358"/>
      <c r="BKL523" s="1358"/>
      <c r="BKM523" s="1358"/>
      <c r="BKN523" s="1358"/>
      <c r="BKO523" s="1358"/>
      <c r="BKP523" s="1358"/>
      <c r="BKQ523" s="1358"/>
      <c r="BKR523" s="1358"/>
      <c r="BKS523" s="1358"/>
      <c r="BKT523" s="1358"/>
      <c r="BKU523" s="1358"/>
      <c r="BKV523" s="1358"/>
      <c r="BKW523" s="1358"/>
      <c r="BKX523" s="1358"/>
      <c r="BKY523" s="1358"/>
      <c r="BKZ523" s="1358"/>
      <c r="BLA523" s="1358"/>
      <c r="BLB523" s="1358"/>
      <c r="BLC523" s="1358"/>
      <c r="BLD523" s="1358"/>
      <c r="BLE523" s="1358"/>
      <c r="BLF523" s="1358"/>
      <c r="BLG523" s="1358"/>
      <c r="BLH523" s="1358"/>
      <c r="BLI523" s="1358"/>
      <c r="BLJ523" s="1358"/>
      <c r="BLK523" s="1358"/>
      <c r="BLL523" s="1358"/>
      <c r="BLM523" s="1358"/>
      <c r="BLN523" s="1358"/>
      <c r="BLO523" s="1358"/>
      <c r="BLP523" s="1358"/>
      <c r="BLQ523" s="1358"/>
      <c r="BLR523" s="1358"/>
      <c r="BLS523" s="1358"/>
      <c r="BLT523" s="1358"/>
      <c r="BLU523" s="1358"/>
      <c r="BLV523" s="1358"/>
      <c r="BLW523" s="1358"/>
      <c r="BLX523" s="1358"/>
      <c r="BLY523" s="1358"/>
      <c r="BLZ523" s="1358"/>
      <c r="BMA523" s="1358"/>
      <c r="BMB523" s="1358"/>
      <c r="BMC523" s="1358"/>
      <c r="BMD523" s="1358"/>
      <c r="BME523" s="1358"/>
      <c r="BMF523" s="1358"/>
      <c r="BMG523" s="1358"/>
      <c r="BMH523" s="1358"/>
      <c r="BMI523" s="1358"/>
      <c r="BMJ523" s="1358"/>
      <c r="BMK523" s="1358"/>
      <c r="BML523" s="1358"/>
      <c r="BMM523" s="1358"/>
      <c r="BMN523" s="1358"/>
      <c r="BMO523" s="1358"/>
      <c r="BMP523" s="1358"/>
      <c r="BMQ523" s="1358"/>
      <c r="BMR523" s="1358"/>
      <c r="BMS523" s="1358"/>
      <c r="BMT523" s="1358"/>
      <c r="BMU523" s="1358"/>
      <c r="BMV523" s="1358"/>
      <c r="BMW523" s="1358"/>
      <c r="BMX523" s="1358"/>
      <c r="BMY523" s="1358"/>
      <c r="BMZ523" s="1358"/>
      <c r="BNA523" s="1358"/>
      <c r="BNB523" s="1358"/>
      <c r="BNC523" s="1358"/>
      <c r="BND523" s="1358"/>
      <c r="BNE523" s="1358"/>
      <c r="BNF523" s="1358"/>
      <c r="BNG523" s="1358"/>
      <c r="BNH523" s="1358"/>
      <c r="BNI523" s="1358"/>
      <c r="BNJ523" s="1358"/>
      <c r="BNK523" s="1358"/>
      <c r="BNL523" s="1358"/>
      <c r="BNM523" s="1358"/>
      <c r="BNN523" s="1358"/>
      <c r="BNO523" s="1358"/>
      <c r="BNP523" s="1358"/>
      <c r="BNQ523" s="1358"/>
      <c r="BNR523" s="1358"/>
      <c r="BNS523" s="1358"/>
      <c r="BNT523" s="1358"/>
      <c r="BNU523" s="1358"/>
      <c r="BNV523" s="1358"/>
      <c r="BNW523" s="1358"/>
      <c r="BNX523" s="1358"/>
      <c r="BNY523" s="1358"/>
      <c r="BNZ523" s="1358"/>
      <c r="BOA523" s="1358"/>
      <c r="BOB523" s="1358"/>
      <c r="BOC523" s="1358"/>
      <c r="BOD523" s="1358"/>
      <c r="BOE523" s="1358"/>
      <c r="BOF523" s="1358"/>
      <c r="BOG523" s="1358"/>
      <c r="BOH523" s="1358"/>
      <c r="BOI523" s="1358"/>
      <c r="BOJ523" s="1358"/>
      <c r="BOK523" s="1358"/>
      <c r="BOL523" s="1358"/>
      <c r="BOM523" s="1358"/>
      <c r="BON523" s="1358"/>
      <c r="BOO523" s="1358"/>
      <c r="BOP523" s="1358"/>
      <c r="BOQ523" s="1358"/>
      <c r="BOR523" s="1358"/>
      <c r="BOS523" s="1358"/>
      <c r="BOT523" s="1358"/>
      <c r="BOU523" s="1358"/>
      <c r="BOV523" s="1358"/>
      <c r="BOW523" s="1358"/>
      <c r="BOX523" s="1358"/>
      <c r="BOY523" s="1358"/>
      <c r="BOZ523" s="1358"/>
      <c r="BPA523" s="1358"/>
      <c r="BPB523" s="1358"/>
      <c r="BPC523" s="1358"/>
      <c r="BPD523" s="1358"/>
      <c r="BPE523" s="1358"/>
      <c r="BPF523" s="1358"/>
      <c r="BPG523" s="1358"/>
      <c r="BPH523" s="1358"/>
      <c r="BPI523" s="1358"/>
      <c r="BPJ523" s="1358"/>
      <c r="BPK523" s="1358"/>
      <c r="BPL523" s="1358"/>
      <c r="BPM523" s="1358"/>
      <c r="BPN523" s="1358"/>
      <c r="BPO523" s="1358"/>
      <c r="BPP523" s="1358"/>
      <c r="BPQ523" s="1358"/>
      <c r="BPR523" s="1358"/>
      <c r="BPS523" s="1358"/>
      <c r="BPT523" s="1358"/>
      <c r="BPU523" s="1358"/>
      <c r="BPV523" s="1358"/>
      <c r="BPW523" s="1358"/>
      <c r="BPX523" s="1358"/>
      <c r="BPY523" s="1358"/>
      <c r="BPZ523" s="1358"/>
      <c r="BQA523" s="1358"/>
      <c r="BQB523" s="1358"/>
      <c r="BQC523" s="1358"/>
      <c r="BQD523" s="1358"/>
      <c r="BQE523" s="1358"/>
      <c r="BQF523" s="1358"/>
      <c r="BQG523" s="1358"/>
      <c r="BQH523" s="1358"/>
      <c r="BQI523" s="1358"/>
      <c r="BQJ523" s="1358"/>
      <c r="BQK523" s="1358"/>
      <c r="BQL523" s="1358"/>
      <c r="BQM523" s="1358"/>
      <c r="BQN523" s="1358"/>
      <c r="BQO523" s="1358"/>
      <c r="BQP523" s="1358"/>
      <c r="BQQ523" s="1358"/>
      <c r="BQR523" s="1358"/>
      <c r="BQS523" s="1358"/>
      <c r="BQT523" s="1358"/>
      <c r="BQU523" s="1358"/>
      <c r="BQV523" s="1358"/>
      <c r="BQW523" s="1358"/>
      <c r="BQX523" s="1358"/>
      <c r="BQY523" s="1358"/>
      <c r="BQZ523" s="1358"/>
      <c r="BRA523" s="1358"/>
      <c r="BRB523" s="1358"/>
      <c r="BRC523" s="1358"/>
      <c r="BRD523" s="1358"/>
      <c r="BRE523" s="1358"/>
      <c r="BRF523" s="1358"/>
      <c r="BRG523" s="1358"/>
      <c r="BRH523" s="1358"/>
      <c r="BRI523" s="1358"/>
      <c r="BRJ523" s="1358"/>
      <c r="BRK523" s="1358"/>
      <c r="BRL523" s="1358"/>
      <c r="BRM523" s="1358"/>
      <c r="BRN523" s="1358"/>
      <c r="BRO523" s="1358"/>
      <c r="BRP523" s="1358"/>
      <c r="BRQ523" s="1358"/>
      <c r="BRR523" s="1358"/>
      <c r="BRS523" s="1358"/>
      <c r="BRT523" s="1358"/>
      <c r="BRU523" s="1358"/>
      <c r="BRV523" s="1358"/>
      <c r="BRW523" s="1358"/>
      <c r="BRX523" s="1358"/>
      <c r="BRY523" s="1358"/>
      <c r="BRZ523" s="1358"/>
      <c r="BSA523" s="1358"/>
      <c r="BSB523" s="1358"/>
      <c r="BSC523" s="1358"/>
      <c r="BSD523" s="1358"/>
      <c r="BSE523" s="1358"/>
      <c r="BSF523" s="1358"/>
      <c r="BSG523" s="1358"/>
      <c r="BSH523" s="1358"/>
      <c r="BSI523" s="1358"/>
      <c r="BSJ523" s="1358"/>
      <c r="BSK523" s="1358"/>
      <c r="BSL523" s="1358"/>
      <c r="BSM523" s="1358"/>
      <c r="BSN523" s="1358"/>
      <c r="BSO523" s="1358"/>
      <c r="BSP523" s="1358"/>
      <c r="BSQ523" s="1358"/>
      <c r="BSR523" s="1358"/>
      <c r="BSS523" s="1358"/>
      <c r="BST523" s="1358"/>
      <c r="BSU523" s="1358"/>
      <c r="BSV523" s="1358"/>
      <c r="BSW523" s="1358"/>
      <c r="BSX523" s="1358"/>
      <c r="BSY523" s="1358"/>
      <c r="BSZ523" s="1358"/>
      <c r="BTA523" s="1358"/>
      <c r="BTB523" s="1358"/>
      <c r="BTC523" s="1358"/>
      <c r="BTD523" s="1358"/>
      <c r="BTE523" s="1358"/>
      <c r="BTF523" s="1358"/>
      <c r="BTG523" s="1358"/>
      <c r="BTH523" s="1358"/>
      <c r="BTI523" s="1358"/>
      <c r="BTJ523" s="1358"/>
      <c r="BTK523" s="1358"/>
      <c r="BTL523" s="1358"/>
      <c r="BTM523" s="1358"/>
      <c r="BTN523" s="1358"/>
      <c r="BTO523" s="1358"/>
      <c r="BTP523" s="1358"/>
      <c r="BTQ523" s="1358"/>
      <c r="BTR523" s="1358"/>
      <c r="BTS523" s="1358"/>
      <c r="BTT523" s="1358"/>
      <c r="BTU523" s="1358"/>
      <c r="BTV523" s="1358"/>
      <c r="BTW523" s="1358"/>
      <c r="BTX523" s="1358"/>
      <c r="BTY523" s="1358"/>
      <c r="BTZ523" s="1358"/>
      <c r="BUA523" s="1358"/>
      <c r="BUB523" s="1358"/>
      <c r="BUC523" s="1358"/>
      <c r="BUD523" s="1358"/>
      <c r="BUE523" s="1358"/>
      <c r="BUF523" s="1358"/>
      <c r="BUG523" s="1358"/>
      <c r="BUH523" s="1358"/>
      <c r="BUI523" s="1358"/>
      <c r="BUJ523" s="1358"/>
      <c r="BUK523" s="1358"/>
      <c r="BUL523" s="1358"/>
      <c r="BUM523" s="1358"/>
      <c r="BUN523" s="1358"/>
      <c r="BUO523" s="1358"/>
      <c r="BUP523" s="1358"/>
      <c r="BUQ523" s="1358"/>
      <c r="BUR523" s="1358"/>
      <c r="BUS523" s="1358"/>
      <c r="BUT523" s="1358"/>
      <c r="BUU523" s="1358"/>
      <c r="BUV523" s="1358"/>
      <c r="BUW523" s="1358"/>
      <c r="BUX523" s="1358"/>
      <c r="BUY523" s="1358"/>
      <c r="BUZ523" s="1358"/>
      <c r="BVA523" s="1358"/>
      <c r="BVB523" s="1358"/>
      <c r="BVC523" s="1358"/>
      <c r="BVD523" s="1358"/>
      <c r="BVE523" s="1358"/>
      <c r="BVF523" s="1358"/>
      <c r="BVG523" s="1358"/>
      <c r="BVH523" s="1358"/>
      <c r="BVI523" s="1358"/>
      <c r="BVJ523" s="1358"/>
      <c r="BVK523" s="1358"/>
      <c r="BVL523" s="1358"/>
      <c r="BVM523" s="1358"/>
      <c r="BVN523" s="1358"/>
      <c r="BVO523" s="1358"/>
      <c r="BVP523" s="1358"/>
      <c r="BVQ523" s="1358"/>
      <c r="BVR523" s="1358"/>
      <c r="BVS523" s="1358"/>
      <c r="BVT523" s="1358"/>
      <c r="BVU523" s="1358"/>
      <c r="BVV523" s="1358"/>
      <c r="BVW523" s="1358"/>
      <c r="BVX523" s="1358"/>
      <c r="BVY523" s="1358"/>
      <c r="BVZ523" s="1358"/>
      <c r="BWA523" s="1358"/>
      <c r="BWB523" s="1358"/>
      <c r="BWC523" s="1358"/>
      <c r="BWD523" s="1358"/>
      <c r="BWE523" s="1358"/>
      <c r="BWF523" s="1358"/>
      <c r="BWG523" s="1358"/>
      <c r="BWH523" s="1358"/>
      <c r="BWI523" s="1358"/>
      <c r="BWJ523" s="1358"/>
      <c r="BWK523" s="1358"/>
      <c r="BWL523" s="1358"/>
      <c r="BWM523" s="1358"/>
      <c r="BWN523" s="1358"/>
      <c r="BWO523" s="1358"/>
      <c r="BWP523" s="1358"/>
      <c r="BWQ523" s="1358"/>
      <c r="BWR523" s="1358"/>
      <c r="BWS523" s="1358"/>
      <c r="BWT523" s="1358"/>
      <c r="BWU523" s="1358"/>
      <c r="BWV523" s="1358"/>
      <c r="BWW523" s="1358"/>
      <c r="BWX523" s="1358"/>
      <c r="BWY523" s="1358"/>
      <c r="BWZ523" s="1358"/>
      <c r="BXA523" s="1358"/>
      <c r="BXB523" s="1358"/>
      <c r="BXC523" s="1358"/>
      <c r="BXD523" s="1358"/>
      <c r="BXE523" s="1358"/>
      <c r="BXF523" s="1358"/>
      <c r="BXG523" s="1358"/>
      <c r="BXH523" s="1358"/>
      <c r="BXI523" s="1358"/>
      <c r="BXJ523" s="1358"/>
      <c r="BXK523" s="1358"/>
      <c r="BXL523" s="1358"/>
      <c r="BXM523" s="1358"/>
      <c r="BXN523" s="1358"/>
      <c r="BXO523" s="1358"/>
      <c r="BXP523" s="1358"/>
      <c r="BXQ523" s="1358"/>
      <c r="BXR523" s="1358"/>
      <c r="BXS523" s="1358"/>
      <c r="BXT523" s="1358"/>
      <c r="BXU523" s="1358"/>
      <c r="BXV523" s="1358"/>
      <c r="BXW523" s="1358"/>
      <c r="BXX523" s="1358"/>
      <c r="BXY523" s="1358"/>
      <c r="BXZ523" s="1358"/>
      <c r="BYA523" s="1358"/>
      <c r="BYB523" s="1358"/>
      <c r="BYC523" s="1358"/>
      <c r="BYD523" s="1358"/>
      <c r="BYE523" s="1358"/>
      <c r="BYF523" s="1358"/>
      <c r="BYG523" s="1358"/>
      <c r="BYH523" s="1358"/>
      <c r="BYI523" s="1358"/>
      <c r="BYJ523" s="1358"/>
      <c r="BYK523" s="1358"/>
      <c r="BYL523" s="1358"/>
      <c r="BYM523" s="1358"/>
      <c r="BYN523" s="1358"/>
      <c r="BYO523" s="1358"/>
      <c r="BYP523" s="1358"/>
      <c r="BYQ523" s="1358"/>
      <c r="BYR523" s="1358"/>
      <c r="BYS523" s="1358"/>
      <c r="BYT523" s="1358"/>
      <c r="BYU523" s="1358"/>
      <c r="BYV523" s="1358"/>
      <c r="BYW523" s="1358"/>
      <c r="BYX523" s="1358"/>
      <c r="BYY523" s="1358"/>
      <c r="BYZ523" s="1358"/>
      <c r="BZA523" s="1358"/>
      <c r="BZB523" s="1358"/>
      <c r="BZC523" s="1358"/>
      <c r="BZD523" s="1358"/>
      <c r="BZE523" s="1358"/>
      <c r="BZF523" s="1358"/>
      <c r="BZG523" s="1358"/>
      <c r="BZH523" s="1358"/>
      <c r="BZI523" s="1358"/>
      <c r="BZJ523" s="1358"/>
      <c r="BZK523" s="1358"/>
      <c r="BZL523" s="1358"/>
      <c r="BZM523" s="1358"/>
      <c r="BZN523" s="1358"/>
      <c r="BZO523" s="1358"/>
      <c r="BZP523" s="1358"/>
      <c r="BZQ523" s="1358"/>
      <c r="BZR523" s="1358"/>
      <c r="BZS523" s="1358"/>
      <c r="BZT523" s="1358"/>
      <c r="BZU523" s="1358"/>
      <c r="BZV523" s="1358"/>
      <c r="BZW523" s="1358"/>
      <c r="BZX523" s="1358"/>
      <c r="BZY523" s="1358"/>
      <c r="BZZ523" s="1358"/>
      <c r="CAA523" s="1358"/>
      <c r="CAB523" s="1358"/>
      <c r="CAC523" s="1358"/>
      <c r="CAD523" s="1358"/>
      <c r="CAE523" s="1358"/>
      <c r="CAF523" s="1358"/>
      <c r="CAG523" s="1358"/>
      <c r="CAH523" s="1358"/>
      <c r="CAI523" s="1358"/>
      <c r="CAJ523" s="1358"/>
      <c r="CAK523" s="1358"/>
      <c r="CAL523" s="1358"/>
      <c r="CAM523" s="1358"/>
      <c r="CAN523" s="1358"/>
      <c r="CAO523" s="1358"/>
      <c r="CAP523" s="1358"/>
      <c r="CAQ523" s="1358"/>
      <c r="CAR523" s="1358"/>
      <c r="CAS523" s="1358"/>
      <c r="CAT523" s="1358"/>
      <c r="CAU523" s="1358"/>
      <c r="CAV523" s="1358"/>
      <c r="CAW523" s="1358"/>
      <c r="CAX523" s="1358"/>
      <c r="CAY523" s="1358"/>
      <c r="CAZ523" s="1358"/>
      <c r="CBA523" s="1358"/>
      <c r="CBB523" s="1358"/>
      <c r="CBC523" s="1358"/>
      <c r="CBD523" s="1358"/>
      <c r="CBE523" s="1358"/>
      <c r="CBF523" s="1358"/>
      <c r="CBG523" s="1358"/>
      <c r="CBH523" s="1358"/>
      <c r="CBI523" s="1358"/>
      <c r="CBJ523" s="1358"/>
      <c r="CBK523" s="1358"/>
      <c r="CBL523" s="1358"/>
      <c r="CBM523" s="1358"/>
      <c r="CBN523" s="1358"/>
      <c r="CBO523" s="1358"/>
      <c r="CBP523" s="1358"/>
      <c r="CBQ523" s="1358"/>
      <c r="CBR523" s="1358"/>
      <c r="CBS523" s="1358"/>
      <c r="CBT523" s="1358"/>
      <c r="CBU523" s="1358"/>
      <c r="CBV523" s="1358"/>
      <c r="CBW523" s="1358"/>
      <c r="CBX523" s="1358"/>
      <c r="CBY523" s="1358"/>
      <c r="CBZ523" s="1358"/>
      <c r="CCA523" s="1358"/>
      <c r="CCB523" s="1358"/>
      <c r="CCC523" s="1358"/>
      <c r="CCD523" s="1358"/>
      <c r="CCE523" s="1358"/>
      <c r="CCF523" s="1358"/>
      <c r="CCG523" s="1358"/>
      <c r="CCH523" s="1358"/>
      <c r="CCI523" s="1358"/>
      <c r="CCJ523" s="1358"/>
      <c r="CCK523" s="1358"/>
      <c r="CCL523" s="1358"/>
      <c r="CCM523" s="1358"/>
      <c r="CCN523" s="1358"/>
      <c r="CCO523" s="1358"/>
      <c r="CCP523" s="1358"/>
      <c r="CCQ523" s="1358"/>
      <c r="CCR523" s="1358"/>
      <c r="CCS523" s="1358"/>
      <c r="CCT523" s="1358"/>
      <c r="CCU523" s="1358"/>
      <c r="CCV523" s="1358"/>
      <c r="CCW523" s="1358"/>
      <c r="CCX523" s="1358"/>
      <c r="CCY523" s="1358"/>
      <c r="CCZ523" s="1358"/>
      <c r="CDA523" s="1358"/>
      <c r="CDB523" s="1358"/>
      <c r="CDC523" s="1358"/>
      <c r="CDD523" s="1358"/>
      <c r="CDE523" s="1358"/>
      <c r="CDF523" s="1358"/>
      <c r="CDG523" s="1358"/>
      <c r="CDH523" s="1358"/>
      <c r="CDI523" s="1358"/>
      <c r="CDJ523" s="1358"/>
      <c r="CDK523" s="1358"/>
      <c r="CDL523" s="1358"/>
      <c r="CDM523" s="1358"/>
      <c r="CDN523" s="1358"/>
      <c r="CDO523" s="1358"/>
      <c r="CDP523" s="1358"/>
      <c r="CDQ523" s="1358"/>
      <c r="CDR523" s="1358"/>
      <c r="CDS523" s="1358"/>
      <c r="CDT523" s="1358"/>
      <c r="CDU523" s="1358"/>
      <c r="CDV523" s="1358"/>
      <c r="CDW523" s="1358"/>
      <c r="CDX523" s="1358"/>
      <c r="CDY523" s="1358"/>
      <c r="CDZ523" s="1358"/>
      <c r="CEA523" s="1358"/>
      <c r="CEB523" s="1358"/>
      <c r="CEC523" s="1358"/>
      <c r="CED523" s="1358"/>
      <c r="CEE523" s="1358"/>
      <c r="CEF523" s="1358"/>
      <c r="CEG523" s="1358"/>
      <c r="CEH523" s="1358"/>
      <c r="CEI523" s="1358"/>
      <c r="CEJ523" s="1358"/>
      <c r="CEK523" s="1358"/>
      <c r="CEL523" s="1358"/>
      <c r="CEM523" s="1358"/>
      <c r="CEN523" s="1358"/>
      <c r="CEO523" s="1358"/>
      <c r="CEP523" s="1358"/>
      <c r="CEQ523" s="1358"/>
      <c r="CER523" s="1358"/>
      <c r="CES523" s="1358"/>
      <c r="CET523" s="1358"/>
      <c r="CEU523" s="1358"/>
      <c r="CEV523" s="1358"/>
      <c r="CEW523" s="1358"/>
      <c r="CEX523" s="1358"/>
      <c r="CEY523" s="1358"/>
      <c r="CEZ523" s="1358"/>
      <c r="CFA523" s="1358"/>
      <c r="CFB523" s="1358"/>
      <c r="CFC523" s="1358"/>
      <c r="CFD523" s="1358"/>
      <c r="CFE523" s="1358"/>
      <c r="CFF523" s="1358"/>
      <c r="CFG523" s="1358"/>
      <c r="CFH523" s="1358"/>
      <c r="CFI523" s="1358"/>
      <c r="CFJ523" s="1358"/>
      <c r="CFK523" s="1358"/>
      <c r="CFL523" s="1358"/>
      <c r="CFM523" s="1358"/>
      <c r="CFN523" s="1358"/>
      <c r="CFO523" s="1358"/>
      <c r="CFP523" s="1358"/>
      <c r="CFQ523" s="1358"/>
      <c r="CFR523" s="1358"/>
      <c r="CFS523" s="1358"/>
      <c r="CFT523" s="1358"/>
      <c r="CFU523" s="1358"/>
      <c r="CFV523" s="1358"/>
      <c r="CFW523" s="1358"/>
      <c r="CFX523" s="1358"/>
      <c r="CFY523" s="1358"/>
      <c r="CFZ523" s="1358"/>
      <c r="CGA523" s="1358"/>
      <c r="CGB523" s="1358"/>
      <c r="CGC523" s="1358"/>
      <c r="CGD523" s="1358"/>
      <c r="CGE523" s="1358"/>
      <c r="CGF523" s="1358"/>
      <c r="CGG523" s="1358"/>
      <c r="CGH523" s="1358"/>
      <c r="CGI523" s="1358"/>
      <c r="CGJ523" s="1358"/>
      <c r="CGK523" s="1358"/>
      <c r="CGL523" s="1358"/>
      <c r="CGM523" s="1358"/>
      <c r="CGN523" s="1358"/>
      <c r="CGO523" s="1358"/>
      <c r="CGP523" s="1358"/>
      <c r="CGQ523" s="1358"/>
      <c r="CGR523" s="1358"/>
      <c r="CGS523" s="1358"/>
      <c r="CGT523" s="1358"/>
      <c r="CGU523" s="1358"/>
      <c r="CGV523" s="1358"/>
      <c r="CGW523" s="1358"/>
      <c r="CGX523" s="1358"/>
      <c r="CGY523" s="1358"/>
      <c r="CGZ523" s="1358"/>
      <c r="CHA523" s="1358"/>
      <c r="CHB523" s="1358"/>
      <c r="CHC523" s="1358"/>
      <c r="CHD523" s="1358"/>
      <c r="CHE523" s="1358"/>
      <c r="CHF523" s="1358"/>
      <c r="CHG523" s="1358"/>
      <c r="CHH523" s="1358"/>
      <c r="CHI523" s="1358"/>
      <c r="CHJ523" s="1358"/>
      <c r="CHK523" s="1358"/>
      <c r="CHL523" s="1358"/>
      <c r="CHM523" s="1358"/>
      <c r="CHN523" s="1358"/>
      <c r="CHO523" s="1358"/>
      <c r="CHP523" s="1358"/>
      <c r="CHQ523" s="1358"/>
      <c r="CHR523" s="1358"/>
      <c r="CHS523" s="1358"/>
      <c r="CHT523" s="1358"/>
      <c r="CHU523" s="1358"/>
      <c r="CHV523" s="1358"/>
      <c r="CHW523" s="1358"/>
      <c r="CHX523" s="1358"/>
      <c r="CHY523" s="1358"/>
      <c r="CHZ523" s="1358"/>
      <c r="CIA523" s="1358"/>
      <c r="CIB523" s="1358"/>
      <c r="CIC523" s="1358"/>
      <c r="CID523" s="1358"/>
      <c r="CIE523" s="1358"/>
      <c r="CIF523" s="1358"/>
      <c r="CIG523" s="1358"/>
      <c r="CIH523" s="1358"/>
      <c r="CII523" s="1358"/>
      <c r="CIJ523" s="1358"/>
      <c r="CIK523" s="1358"/>
      <c r="CIL523" s="1358"/>
      <c r="CIM523" s="1358"/>
      <c r="CIN523" s="1358"/>
      <c r="CIO523" s="1358"/>
      <c r="CIP523" s="1358"/>
      <c r="CIQ523" s="1358"/>
      <c r="CIR523" s="1358"/>
      <c r="CIS523" s="1358"/>
      <c r="CIT523" s="1358"/>
      <c r="CIU523" s="1358"/>
      <c r="CIV523" s="1358"/>
      <c r="CIW523" s="1358"/>
      <c r="CIX523" s="1358"/>
      <c r="CIY523" s="1358"/>
      <c r="CIZ523" s="1358"/>
      <c r="CJA523" s="1358"/>
      <c r="CJB523" s="1358"/>
      <c r="CJC523" s="1358"/>
      <c r="CJD523" s="1358"/>
      <c r="CJE523" s="1358"/>
      <c r="CJF523" s="1358"/>
      <c r="CJG523" s="1358"/>
      <c r="CJH523" s="1358"/>
      <c r="CJI523" s="1358"/>
      <c r="CJJ523" s="1358"/>
      <c r="CJK523" s="1358"/>
      <c r="CJL523" s="1358"/>
      <c r="CJM523" s="1358"/>
      <c r="CJN523" s="1358"/>
      <c r="CJO523" s="1358"/>
      <c r="CJP523" s="1358"/>
      <c r="CJQ523" s="1358"/>
      <c r="CJR523" s="1358"/>
      <c r="CJS523" s="1358"/>
      <c r="CJT523" s="1358"/>
      <c r="CJU523" s="1358"/>
      <c r="CJV523" s="1358"/>
      <c r="CJW523" s="1358"/>
      <c r="CJX523" s="1358"/>
      <c r="CJY523" s="1358"/>
      <c r="CJZ523" s="1358"/>
      <c r="CKA523" s="1358"/>
      <c r="CKB523" s="1358"/>
      <c r="CKC523" s="1358"/>
      <c r="CKD523" s="1358"/>
      <c r="CKE523" s="1358"/>
      <c r="CKF523" s="1358"/>
      <c r="CKG523" s="1358"/>
      <c r="CKH523" s="1358"/>
      <c r="CKI523" s="1358"/>
      <c r="CKJ523" s="1358"/>
      <c r="CKK523" s="1358"/>
      <c r="CKL523" s="1358"/>
      <c r="CKM523" s="1358"/>
      <c r="CKN523" s="1358"/>
      <c r="CKO523" s="1358"/>
      <c r="CKP523" s="1358"/>
      <c r="CKQ523" s="1358"/>
      <c r="CKR523" s="1358"/>
      <c r="CKS523" s="1358"/>
      <c r="CKT523" s="1358"/>
      <c r="CKU523" s="1358"/>
      <c r="CKV523" s="1358"/>
      <c r="CKW523" s="1358"/>
      <c r="CKX523" s="1358"/>
      <c r="CKY523" s="1358"/>
      <c r="CKZ523" s="1358"/>
      <c r="CLA523" s="1358"/>
      <c r="CLB523" s="1358"/>
      <c r="CLC523" s="1358"/>
      <c r="CLD523" s="1358"/>
      <c r="CLE523" s="1358"/>
      <c r="CLF523" s="1358"/>
      <c r="CLG523" s="1358"/>
      <c r="CLH523" s="1358"/>
      <c r="CLI523" s="1358"/>
      <c r="CLJ523" s="1358"/>
      <c r="CLK523" s="1358"/>
      <c r="CLL523" s="1358"/>
      <c r="CLM523" s="1358"/>
      <c r="CLN523" s="1358"/>
      <c r="CLO523" s="1358"/>
      <c r="CLP523" s="1358"/>
      <c r="CLQ523" s="1358"/>
      <c r="CLR523" s="1358"/>
      <c r="CLS523" s="1358"/>
      <c r="CLT523" s="1358"/>
      <c r="CLU523" s="1358"/>
      <c r="CLV523" s="1358"/>
      <c r="CLW523" s="1358"/>
      <c r="CLX523" s="1358"/>
      <c r="CLY523" s="1358"/>
      <c r="CLZ523" s="1358"/>
      <c r="CMA523" s="1358"/>
      <c r="CMB523" s="1358"/>
      <c r="CMC523" s="1358"/>
      <c r="CMD523" s="1358"/>
      <c r="CME523" s="1358"/>
      <c r="CMF523" s="1358"/>
      <c r="CMG523" s="1358"/>
      <c r="CMH523" s="1358"/>
      <c r="CMI523" s="1358"/>
      <c r="CMJ523" s="1358"/>
      <c r="CMK523" s="1358"/>
      <c r="CML523" s="1358"/>
      <c r="CMM523" s="1358"/>
      <c r="CMN523" s="1358"/>
      <c r="CMO523" s="1358"/>
      <c r="CMP523" s="1358"/>
      <c r="CMQ523" s="1358"/>
      <c r="CMR523" s="1358"/>
      <c r="CMS523" s="1358"/>
      <c r="CMT523" s="1358"/>
      <c r="CMU523" s="1358"/>
      <c r="CMV523" s="1358"/>
      <c r="CMW523" s="1358"/>
      <c r="CMX523" s="1358"/>
      <c r="CMY523" s="1358"/>
      <c r="CMZ523" s="1358"/>
      <c r="CNA523" s="1358"/>
      <c r="CNB523" s="1358"/>
      <c r="CNC523" s="1358"/>
      <c r="CND523" s="1358"/>
      <c r="CNE523" s="1358"/>
      <c r="CNF523" s="1358"/>
      <c r="CNG523" s="1358"/>
      <c r="CNH523" s="1358"/>
      <c r="CNI523" s="1358"/>
      <c r="CNJ523" s="1358"/>
      <c r="CNK523" s="1358"/>
      <c r="CNL523" s="1358"/>
      <c r="CNM523" s="1358"/>
      <c r="CNN523" s="1358"/>
      <c r="CNO523" s="1358"/>
      <c r="CNP523" s="1358"/>
      <c r="CNQ523" s="1358"/>
      <c r="CNR523" s="1358"/>
      <c r="CNS523" s="1358"/>
      <c r="CNT523" s="1358"/>
      <c r="CNU523" s="1358"/>
      <c r="CNV523" s="1358"/>
      <c r="CNW523" s="1358"/>
      <c r="CNX523" s="1358"/>
      <c r="CNY523" s="1358"/>
      <c r="CNZ523" s="1358"/>
      <c r="COA523" s="1358"/>
      <c r="COB523" s="1358"/>
      <c r="COC523" s="1358"/>
      <c r="COD523" s="1358"/>
      <c r="COE523" s="1358"/>
      <c r="COF523" s="1358"/>
      <c r="COG523" s="1358"/>
      <c r="COH523" s="1358"/>
      <c r="COI523" s="1358"/>
      <c r="COJ523" s="1358"/>
      <c r="COK523" s="1358"/>
      <c r="COL523" s="1358"/>
      <c r="COM523" s="1358"/>
      <c r="CON523" s="1358"/>
      <c r="COO523" s="1358"/>
      <c r="COP523" s="1358"/>
      <c r="COQ523" s="1358"/>
      <c r="COR523" s="1358"/>
      <c r="COS523" s="1358"/>
      <c r="COT523" s="1358"/>
      <c r="COU523" s="1358"/>
      <c r="COV523" s="1358"/>
      <c r="COW523" s="1358"/>
      <c r="COX523" s="1358"/>
      <c r="COY523" s="1358"/>
      <c r="COZ523" s="1358"/>
      <c r="CPA523" s="1358"/>
      <c r="CPB523" s="1358"/>
      <c r="CPC523" s="1358"/>
      <c r="CPD523" s="1358"/>
      <c r="CPE523" s="1358"/>
      <c r="CPF523" s="1358"/>
      <c r="CPG523" s="1358"/>
      <c r="CPH523" s="1358"/>
      <c r="CPI523" s="1358"/>
      <c r="CPJ523" s="1358"/>
      <c r="CPK523" s="1358"/>
      <c r="CPL523" s="1358"/>
      <c r="CPM523" s="1358"/>
      <c r="CPN523" s="1358"/>
      <c r="CPO523" s="1358"/>
      <c r="CPP523" s="1358"/>
      <c r="CPQ523" s="1358"/>
      <c r="CPR523" s="1358"/>
      <c r="CPS523" s="1358"/>
      <c r="CPT523" s="1358"/>
      <c r="CPU523" s="1358"/>
      <c r="CPV523" s="1358"/>
      <c r="CPW523" s="1358"/>
      <c r="CPX523" s="1358"/>
      <c r="CPY523" s="1358"/>
      <c r="CPZ523" s="1358"/>
      <c r="CQA523" s="1358"/>
      <c r="CQB523" s="1358"/>
      <c r="CQC523" s="1358"/>
      <c r="CQD523" s="1358"/>
      <c r="CQE523" s="1358"/>
      <c r="CQF523" s="1358"/>
      <c r="CQG523" s="1358"/>
      <c r="CQH523" s="1358"/>
      <c r="CQI523" s="1358"/>
      <c r="CQJ523" s="1358"/>
      <c r="CQK523" s="1358"/>
      <c r="CQL523" s="1358"/>
      <c r="CQM523" s="1358"/>
      <c r="CQN523" s="1358"/>
      <c r="CQO523" s="1358"/>
      <c r="CQP523" s="1358"/>
      <c r="CQQ523" s="1358"/>
      <c r="CQR523" s="1358"/>
      <c r="CQS523" s="1358"/>
      <c r="CQT523" s="1358"/>
      <c r="CQU523" s="1358"/>
      <c r="CQV523" s="1358"/>
      <c r="CQW523" s="1358"/>
      <c r="CQX523" s="1358"/>
      <c r="CQY523" s="1358"/>
      <c r="CQZ523" s="1358"/>
      <c r="CRA523" s="1358"/>
      <c r="CRB523" s="1358"/>
      <c r="CRC523" s="1358"/>
      <c r="CRD523" s="1358"/>
      <c r="CRE523" s="1358"/>
      <c r="CRF523" s="1358"/>
      <c r="CRG523" s="1358"/>
      <c r="CRH523" s="1358"/>
      <c r="CRI523" s="1358"/>
      <c r="CRJ523" s="1358"/>
      <c r="CRK523" s="1358"/>
      <c r="CRL523" s="1358"/>
      <c r="CRM523" s="1358"/>
      <c r="CRN523" s="1358"/>
      <c r="CRO523" s="1358"/>
      <c r="CRP523" s="1358"/>
      <c r="CRQ523" s="1358"/>
      <c r="CRR523" s="1358"/>
      <c r="CRS523" s="1358"/>
      <c r="CRT523" s="1358"/>
      <c r="CRU523" s="1358"/>
      <c r="CRV523" s="1358"/>
      <c r="CRW523" s="1358"/>
      <c r="CRX523" s="1358"/>
      <c r="CRY523" s="1358"/>
      <c r="CRZ523" s="1358"/>
      <c r="CSA523" s="1358"/>
      <c r="CSB523" s="1358"/>
      <c r="CSC523" s="1358"/>
      <c r="CSD523" s="1358"/>
      <c r="CSE523" s="1358"/>
      <c r="CSF523" s="1358"/>
      <c r="CSG523" s="1358"/>
      <c r="CSH523" s="1358"/>
      <c r="CSI523" s="1358"/>
      <c r="CSJ523" s="1358"/>
      <c r="CSK523" s="1358"/>
      <c r="CSL523" s="1358"/>
      <c r="CSM523" s="1358"/>
      <c r="CSN523" s="1358"/>
      <c r="CSO523" s="1358"/>
      <c r="CSP523" s="1358"/>
      <c r="CSQ523" s="1358"/>
      <c r="CSR523" s="1358"/>
      <c r="CSS523" s="1358"/>
      <c r="CST523" s="1358"/>
      <c r="CSU523" s="1358"/>
      <c r="CSV523" s="1358"/>
      <c r="CSW523" s="1358"/>
      <c r="CSX523" s="1358"/>
      <c r="CSY523" s="1358"/>
      <c r="CSZ523" s="1358"/>
      <c r="CTA523" s="1358"/>
      <c r="CTB523" s="1358"/>
      <c r="CTC523" s="1358"/>
      <c r="CTD523" s="1358"/>
      <c r="CTE523" s="1358"/>
      <c r="CTF523" s="1358"/>
      <c r="CTG523" s="1358"/>
      <c r="CTH523" s="1358"/>
      <c r="CTI523" s="1358"/>
      <c r="CTJ523" s="1358"/>
      <c r="CTK523" s="1358"/>
      <c r="CTL523" s="1358"/>
      <c r="CTM523" s="1358"/>
      <c r="CTN523" s="1358"/>
      <c r="CTO523" s="1358"/>
      <c r="CTP523" s="1358"/>
      <c r="CTQ523" s="1358"/>
      <c r="CTR523" s="1358"/>
      <c r="CTS523" s="1358"/>
      <c r="CTT523" s="1358"/>
      <c r="CTU523" s="1358"/>
      <c r="CTV523" s="1358"/>
      <c r="CTW523" s="1358"/>
      <c r="CTX523" s="1358"/>
      <c r="CTY523" s="1358"/>
      <c r="CTZ523" s="1358"/>
      <c r="CUA523" s="1358"/>
      <c r="CUB523" s="1358"/>
      <c r="CUC523" s="1358"/>
      <c r="CUD523" s="1358"/>
      <c r="CUE523" s="1358"/>
      <c r="CUF523" s="1358"/>
      <c r="CUG523" s="1358"/>
      <c r="CUH523" s="1358"/>
      <c r="CUI523" s="1358"/>
      <c r="CUJ523" s="1358"/>
      <c r="CUK523" s="1358"/>
      <c r="CUL523" s="1358"/>
      <c r="CUM523" s="1358"/>
      <c r="CUN523" s="1358"/>
      <c r="CUO523" s="1358"/>
      <c r="CUP523" s="1358"/>
      <c r="CUQ523" s="1358"/>
      <c r="CUR523" s="1358"/>
      <c r="CUS523" s="1358"/>
      <c r="CUT523" s="1358"/>
      <c r="CUU523" s="1358"/>
      <c r="CUV523" s="1358"/>
      <c r="CUW523" s="1358"/>
      <c r="CUX523" s="1358"/>
      <c r="CUY523" s="1358"/>
      <c r="CUZ523" s="1358"/>
      <c r="CVA523" s="1358"/>
      <c r="CVB523" s="1358"/>
      <c r="CVC523" s="1358"/>
      <c r="CVD523" s="1358"/>
      <c r="CVE523" s="1358"/>
      <c r="CVF523" s="1358"/>
      <c r="CVG523" s="1358"/>
      <c r="CVH523" s="1358"/>
      <c r="CVI523" s="1358"/>
      <c r="CVJ523" s="1358"/>
      <c r="CVK523" s="1358"/>
      <c r="CVL523" s="1358"/>
      <c r="CVM523" s="1358"/>
      <c r="CVN523" s="1358"/>
      <c r="CVO523" s="1358"/>
      <c r="CVP523" s="1358"/>
      <c r="CVQ523" s="1358"/>
      <c r="CVR523" s="1358"/>
      <c r="CVS523" s="1358"/>
      <c r="CVT523" s="1358"/>
      <c r="CVU523" s="1358"/>
      <c r="CVV523" s="1358"/>
      <c r="CVW523" s="1358"/>
      <c r="CVX523" s="1358"/>
      <c r="CVY523" s="1358"/>
      <c r="CVZ523" s="1358"/>
      <c r="CWA523" s="1358"/>
      <c r="CWB523" s="1358"/>
      <c r="CWC523" s="1358"/>
      <c r="CWD523" s="1358"/>
      <c r="CWE523" s="1358"/>
      <c r="CWF523" s="1358"/>
      <c r="CWG523" s="1358"/>
      <c r="CWH523" s="1358"/>
      <c r="CWI523" s="1358"/>
      <c r="CWJ523" s="1358"/>
      <c r="CWK523" s="1358"/>
      <c r="CWL523" s="1358"/>
      <c r="CWM523" s="1358"/>
      <c r="CWN523" s="1358"/>
      <c r="CWO523" s="1358"/>
      <c r="CWP523" s="1358"/>
      <c r="CWQ523" s="1358"/>
      <c r="CWR523" s="1358"/>
      <c r="CWS523" s="1358"/>
      <c r="CWT523" s="1358"/>
      <c r="CWU523" s="1358"/>
      <c r="CWV523" s="1358"/>
      <c r="CWW523" s="1358"/>
      <c r="CWX523" s="1358"/>
      <c r="CWY523" s="1358"/>
      <c r="CWZ523" s="1358"/>
      <c r="CXA523" s="1358"/>
      <c r="CXB523" s="1358"/>
      <c r="CXC523" s="1358"/>
      <c r="CXD523" s="1358"/>
      <c r="CXE523" s="1358"/>
      <c r="CXF523" s="1358"/>
      <c r="CXG523" s="1358"/>
      <c r="CXH523" s="1358"/>
      <c r="CXI523" s="1358"/>
      <c r="CXJ523" s="1358"/>
      <c r="CXK523" s="1358"/>
      <c r="CXL523" s="1358"/>
      <c r="CXM523" s="1358"/>
      <c r="CXN523" s="1358"/>
      <c r="CXO523" s="1358"/>
      <c r="CXP523" s="1358"/>
      <c r="CXQ523" s="1358"/>
      <c r="CXR523" s="1358"/>
      <c r="CXS523" s="1358"/>
      <c r="CXT523" s="1358"/>
      <c r="CXU523" s="1358"/>
      <c r="CXV523" s="1358"/>
      <c r="CXW523" s="1358"/>
      <c r="CXX523" s="1358"/>
      <c r="CXY523" s="1358"/>
      <c r="CXZ523" s="1358"/>
      <c r="CYA523" s="1358"/>
      <c r="CYB523" s="1358"/>
      <c r="CYC523" s="1358"/>
      <c r="CYD523" s="1358"/>
      <c r="CYE523" s="1358"/>
      <c r="CYF523" s="1358"/>
      <c r="CYG523" s="1358"/>
      <c r="CYH523" s="1358"/>
      <c r="CYI523" s="1358"/>
      <c r="CYJ523" s="1358"/>
      <c r="CYK523" s="1358"/>
      <c r="CYL523" s="1358"/>
      <c r="CYM523" s="1358"/>
      <c r="CYN523" s="1358"/>
      <c r="CYO523" s="1358"/>
      <c r="CYP523" s="1358"/>
      <c r="CYQ523" s="1358"/>
      <c r="CYR523" s="1358"/>
      <c r="CYS523" s="1358"/>
      <c r="CYT523" s="1358"/>
      <c r="CYU523" s="1358"/>
      <c r="CYV523" s="1358"/>
      <c r="CYW523" s="1358"/>
      <c r="CYX523" s="1358"/>
      <c r="CYY523" s="1358"/>
      <c r="CYZ523" s="1358"/>
      <c r="CZA523" s="1358"/>
      <c r="CZB523" s="1358"/>
      <c r="CZC523" s="1358"/>
      <c r="CZD523" s="1358"/>
      <c r="CZE523" s="1358"/>
      <c r="CZF523" s="1358"/>
      <c r="CZG523" s="1358"/>
      <c r="CZH523" s="1358"/>
      <c r="CZI523" s="1358"/>
      <c r="CZJ523" s="1358"/>
      <c r="CZK523" s="1358"/>
      <c r="CZL523" s="1358"/>
      <c r="CZM523" s="1358"/>
      <c r="CZN523" s="1358"/>
      <c r="CZO523" s="1358"/>
      <c r="CZP523" s="1358"/>
      <c r="CZQ523" s="1358"/>
      <c r="CZR523" s="1358"/>
      <c r="CZS523" s="1358"/>
      <c r="CZT523" s="1358"/>
      <c r="CZU523" s="1358"/>
      <c r="CZV523" s="1358"/>
      <c r="CZW523" s="1358"/>
      <c r="CZX523" s="1358"/>
      <c r="CZY523" s="1358"/>
      <c r="CZZ523" s="1358"/>
      <c r="DAA523" s="1358"/>
      <c r="DAB523" s="1358"/>
      <c r="DAC523" s="1358"/>
      <c r="DAD523" s="1358"/>
      <c r="DAE523" s="1358"/>
      <c r="DAF523" s="1358"/>
      <c r="DAG523" s="1358"/>
      <c r="DAH523" s="1358"/>
      <c r="DAI523" s="1358"/>
      <c r="DAJ523" s="1358"/>
      <c r="DAK523" s="1358"/>
      <c r="DAL523" s="1358"/>
      <c r="DAM523" s="1358"/>
      <c r="DAN523" s="1358"/>
      <c r="DAO523" s="1358"/>
      <c r="DAP523" s="1358"/>
      <c r="DAQ523" s="1358"/>
      <c r="DAR523" s="1358"/>
      <c r="DAS523" s="1358"/>
      <c r="DAT523" s="1358"/>
      <c r="DAU523" s="1358"/>
      <c r="DAV523" s="1358"/>
      <c r="DAW523" s="1358"/>
      <c r="DAX523" s="1358"/>
      <c r="DAY523" s="1358"/>
      <c r="DAZ523" s="1358"/>
      <c r="DBA523" s="1358"/>
      <c r="DBB523" s="1358"/>
      <c r="DBC523" s="1358"/>
      <c r="DBD523" s="1358"/>
      <c r="DBE523" s="1358"/>
      <c r="DBF523" s="1358"/>
      <c r="DBG523" s="1358"/>
      <c r="DBH523" s="1358"/>
      <c r="DBI523" s="1358"/>
      <c r="DBJ523" s="1358"/>
      <c r="DBK523" s="1358"/>
      <c r="DBL523" s="1358"/>
      <c r="DBM523" s="1358"/>
      <c r="DBN523" s="1358"/>
      <c r="DBO523" s="1358"/>
      <c r="DBP523" s="1358"/>
      <c r="DBQ523" s="1358"/>
      <c r="DBR523" s="1358"/>
      <c r="DBS523" s="1358"/>
      <c r="DBT523" s="1358"/>
      <c r="DBU523" s="1358"/>
      <c r="DBV523" s="1358"/>
      <c r="DBW523" s="1358"/>
      <c r="DBX523" s="1358"/>
      <c r="DBY523" s="1358"/>
      <c r="DBZ523" s="1358"/>
      <c r="DCA523" s="1358"/>
      <c r="DCB523" s="1358"/>
      <c r="DCC523" s="1358"/>
      <c r="DCD523" s="1358"/>
      <c r="DCE523" s="1358"/>
      <c r="DCF523" s="1358"/>
      <c r="DCG523" s="1358"/>
      <c r="DCH523" s="1358"/>
      <c r="DCI523" s="1358"/>
      <c r="DCJ523" s="1358"/>
      <c r="DCK523" s="1358"/>
      <c r="DCL523" s="1358"/>
      <c r="DCM523" s="1358"/>
      <c r="DCN523" s="1358"/>
      <c r="DCO523" s="1358"/>
      <c r="DCP523" s="1358"/>
      <c r="DCQ523" s="1358"/>
      <c r="DCR523" s="1358"/>
      <c r="DCS523" s="1358"/>
      <c r="DCT523" s="1358"/>
      <c r="DCU523" s="1358"/>
      <c r="DCV523" s="1358"/>
      <c r="DCW523" s="1358"/>
      <c r="DCX523" s="1358"/>
      <c r="DCY523" s="1358"/>
      <c r="DCZ523" s="1358"/>
      <c r="DDA523" s="1358"/>
      <c r="DDB523" s="1358"/>
      <c r="DDC523" s="1358"/>
      <c r="DDD523" s="1358"/>
      <c r="DDE523" s="1358"/>
      <c r="DDF523" s="1358"/>
      <c r="DDG523" s="1358"/>
      <c r="DDH523" s="1358"/>
      <c r="DDI523" s="1358"/>
      <c r="DDJ523" s="1358"/>
      <c r="DDK523" s="1358"/>
      <c r="DDL523" s="1358"/>
      <c r="DDM523" s="1358"/>
      <c r="DDN523" s="1358"/>
      <c r="DDO523" s="1358"/>
      <c r="DDP523" s="1358"/>
      <c r="DDQ523" s="1358"/>
      <c r="DDR523" s="1358"/>
      <c r="DDS523" s="1358"/>
      <c r="DDT523" s="1358"/>
      <c r="DDU523" s="1358"/>
      <c r="DDV523" s="1358"/>
      <c r="DDW523" s="1358"/>
      <c r="DDX523" s="1358"/>
      <c r="DDY523" s="1358"/>
      <c r="DDZ523" s="1358"/>
      <c r="DEA523" s="1358"/>
      <c r="DEB523" s="1358"/>
      <c r="DEC523" s="1358"/>
      <c r="DED523" s="1358"/>
      <c r="DEE523" s="1358"/>
      <c r="DEF523" s="1358"/>
      <c r="DEG523" s="1358"/>
      <c r="DEH523" s="1358"/>
      <c r="DEI523" s="1358"/>
      <c r="DEJ523" s="1358"/>
      <c r="DEK523" s="1358"/>
      <c r="DEL523" s="1358"/>
      <c r="DEM523" s="1358"/>
      <c r="DEN523" s="1358"/>
      <c r="DEO523" s="1358"/>
      <c r="DEP523" s="1358"/>
      <c r="DEQ523" s="1358"/>
      <c r="DER523" s="1358"/>
      <c r="DES523" s="1358"/>
      <c r="DET523" s="1358"/>
      <c r="DEU523" s="1358"/>
      <c r="DEV523" s="1358"/>
      <c r="DEW523" s="1358"/>
      <c r="DEX523" s="1358"/>
      <c r="DEY523" s="1358"/>
      <c r="DEZ523" s="1358"/>
      <c r="DFA523" s="1358"/>
      <c r="DFB523" s="1358"/>
      <c r="DFC523" s="1358"/>
      <c r="DFD523" s="1358"/>
      <c r="DFE523" s="1358"/>
      <c r="DFF523" s="1358"/>
      <c r="DFG523" s="1358"/>
      <c r="DFH523" s="1358"/>
      <c r="DFI523" s="1358"/>
      <c r="DFJ523" s="1358"/>
      <c r="DFK523" s="1358"/>
      <c r="DFL523" s="1358"/>
      <c r="DFM523" s="1358"/>
      <c r="DFN523" s="1358"/>
      <c r="DFO523" s="1358"/>
      <c r="DFP523" s="1358"/>
      <c r="DFQ523" s="1358"/>
      <c r="DFR523" s="1358"/>
      <c r="DFS523" s="1358"/>
      <c r="DFT523" s="1358"/>
      <c r="DFU523" s="1358"/>
      <c r="DFV523" s="1358"/>
      <c r="DFW523" s="1358"/>
      <c r="DFX523" s="1358"/>
      <c r="DFY523" s="1358"/>
      <c r="DFZ523" s="1358"/>
      <c r="DGA523" s="1358"/>
      <c r="DGB523" s="1358"/>
      <c r="DGC523" s="1358"/>
      <c r="DGD523" s="1358"/>
      <c r="DGE523" s="1358"/>
      <c r="DGF523" s="1358"/>
      <c r="DGG523" s="1358"/>
      <c r="DGH523" s="1358"/>
      <c r="DGI523" s="1358"/>
      <c r="DGJ523" s="1358"/>
      <c r="DGK523" s="1358"/>
      <c r="DGL523" s="1358"/>
      <c r="DGM523" s="1358"/>
      <c r="DGN523" s="1358"/>
      <c r="DGO523" s="1358"/>
      <c r="DGP523" s="1358"/>
      <c r="DGQ523" s="1358"/>
      <c r="DGR523" s="1358"/>
      <c r="DGS523" s="1358"/>
      <c r="DGT523" s="1358"/>
      <c r="DGU523" s="1358"/>
      <c r="DGV523" s="1358"/>
      <c r="DGW523" s="1358"/>
      <c r="DGX523" s="1358"/>
      <c r="DGY523" s="1358"/>
      <c r="DGZ523" s="1358"/>
      <c r="DHA523" s="1358"/>
      <c r="DHB523" s="1358"/>
      <c r="DHC523" s="1358"/>
      <c r="DHD523" s="1358"/>
      <c r="DHE523" s="1358"/>
      <c r="DHF523" s="1358"/>
      <c r="DHG523" s="1358"/>
      <c r="DHH523" s="1358"/>
      <c r="DHI523" s="1358"/>
      <c r="DHJ523" s="1358"/>
      <c r="DHK523" s="1358"/>
      <c r="DHL523" s="1358"/>
      <c r="DHM523" s="1358"/>
      <c r="DHN523" s="1358"/>
      <c r="DHO523" s="1358"/>
      <c r="DHP523" s="1358"/>
      <c r="DHQ523" s="1358"/>
      <c r="DHR523" s="1358"/>
      <c r="DHS523" s="1358"/>
      <c r="DHT523" s="1358"/>
      <c r="DHU523" s="1358"/>
      <c r="DHV523" s="1358"/>
      <c r="DHW523" s="1358"/>
      <c r="DHX523" s="1358"/>
      <c r="DHY523" s="1358"/>
      <c r="DHZ523" s="1358"/>
      <c r="DIA523" s="1358"/>
      <c r="DIB523" s="1358"/>
      <c r="DIC523" s="1358"/>
      <c r="DID523" s="1358"/>
      <c r="DIE523" s="1358"/>
      <c r="DIF523" s="1358"/>
      <c r="DIG523" s="1358"/>
      <c r="DIH523" s="1358"/>
      <c r="DII523" s="1358"/>
      <c r="DIJ523" s="1358"/>
      <c r="DIK523" s="1358"/>
      <c r="DIL523" s="1358"/>
      <c r="DIM523" s="1358"/>
      <c r="DIN523" s="1358"/>
      <c r="DIO523" s="1358"/>
      <c r="DIP523" s="1358"/>
      <c r="DIQ523" s="1358"/>
      <c r="DIR523" s="1358"/>
      <c r="DIS523" s="1358"/>
      <c r="DIT523" s="1358"/>
      <c r="DIU523" s="1358"/>
      <c r="DIV523" s="1358"/>
      <c r="DIW523" s="1358"/>
      <c r="DIX523" s="1358"/>
      <c r="DIY523" s="1358"/>
      <c r="DIZ523" s="1358"/>
      <c r="DJA523" s="1358"/>
      <c r="DJB523" s="1358"/>
      <c r="DJC523" s="1358"/>
      <c r="DJD523" s="1358"/>
      <c r="DJE523" s="1358"/>
      <c r="DJF523" s="1358"/>
      <c r="DJG523" s="1358"/>
      <c r="DJH523" s="1358"/>
      <c r="DJI523" s="1358"/>
      <c r="DJJ523" s="1358"/>
      <c r="DJK523" s="1358"/>
      <c r="DJL523" s="1358"/>
      <c r="DJM523" s="1358"/>
      <c r="DJN523" s="1358"/>
      <c r="DJO523" s="1358"/>
      <c r="DJP523" s="1358"/>
      <c r="DJQ523" s="1358"/>
      <c r="DJR523" s="1358"/>
      <c r="DJS523" s="1358"/>
      <c r="DJT523" s="1358"/>
      <c r="DJU523" s="1358"/>
      <c r="DJV523" s="1358"/>
      <c r="DJW523" s="1358"/>
      <c r="DJX523" s="1358"/>
      <c r="DJY523" s="1358"/>
      <c r="DJZ523" s="1358"/>
      <c r="DKA523" s="1358"/>
      <c r="DKB523" s="1358"/>
      <c r="DKC523" s="1358"/>
      <c r="DKD523" s="1358"/>
      <c r="DKE523" s="1358"/>
      <c r="DKF523" s="1358"/>
      <c r="DKG523" s="1358"/>
      <c r="DKH523" s="1358"/>
      <c r="DKI523" s="1358"/>
      <c r="DKJ523" s="1358"/>
      <c r="DKK523" s="1358"/>
      <c r="DKL523" s="1358"/>
      <c r="DKM523" s="1358"/>
      <c r="DKN523" s="1358"/>
      <c r="DKO523" s="1358"/>
      <c r="DKP523" s="1358"/>
      <c r="DKQ523" s="1358"/>
      <c r="DKR523" s="1358"/>
      <c r="DKS523" s="1358"/>
      <c r="DKT523" s="1358"/>
      <c r="DKU523" s="1358"/>
      <c r="DKV523" s="1358"/>
      <c r="DKW523" s="1358"/>
      <c r="DKX523" s="1358"/>
      <c r="DKY523" s="1358"/>
      <c r="DKZ523" s="1358"/>
      <c r="DLA523" s="1358"/>
      <c r="DLB523" s="1358"/>
      <c r="DLC523" s="1358"/>
      <c r="DLD523" s="1358"/>
      <c r="DLE523" s="1358"/>
      <c r="DLF523" s="1358"/>
      <c r="DLG523" s="1358"/>
      <c r="DLH523" s="1358"/>
      <c r="DLI523" s="1358"/>
      <c r="DLJ523" s="1358"/>
      <c r="DLK523" s="1358"/>
      <c r="DLL523" s="1358"/>
      <c r="DLM523" s="1358"/>
      <c r="DLN523" s="1358"/>
      <c r="DLO523" s="1358"/>
      <c r="DLP523" s="1358"/>
      <c r="DLQ523" s="1358"/>
      <c r="DLR523" s="1358"/>
      <c r="DLS523" s="1358"/>
      <c r="DLT523" s="1358"/>
      <c r="DLU523" s="1358"/>
      <c r="DLV523" s="1358"/>
      <c r="DLW523" s="1358"/>
      <c r="DLX523" s="1358"/>
      <c r="DLY523" s="1358"/>
      <c r="DLZ523" s="1358"/>
      <c r="DMA523" s="1358"/>
      <c r="DMB523" s="1358"/>
      <c r="DMC523" s="1358"/>
      <c r="DMD523" s="1358"/>
      <c r="DME523" s="1358"/>
      <c r="DMF523" s="1358"/>
      <c r="DMG523" s="1358"/>
      <c r="DMH523" s="1358"/>
      <c r="DMI523" s="1358"/>
      <c r="DMJ523" s="1358"/>
      <c r="DMK523" s="1358"/>
      <c r="DML523" s="1358"/>
      <c r="DMM523" s="1358"/>
      <c r="DMN523" s="1358"/>
      <c r="DMO523" s="1358"/>
      <c r="DMP523" s="1358"/>
      <c r="DMQ523" s="1358"/>
      <c r="DMR523" s="1358"/>
      <c r="DMS523" s="1358"/>
      <c r="DMT523" s="1358"/>
      <c r="DMU523" s="1358"/>
      <c r="DMV523" s="1358"/>
      <c r="DMW523" s="1358"/>
      <c r="DMX523" s="1358"/>
      <c r="DMY523" s="1358"/>
      <c r="DMZ523" s="1358"/>
      <c r="DNA523" s="1358"/>
      <c r="DNB523" s="1358"/>
      <c r="DNC523" s="1358"/>
      <c r="DND523" s="1358"/>
      <c r="DNE523" s="1358"/>
      <c r="DNF523" s="1358"/>
      <c r="DNG523" s="1358"/>
      <c r="DNH523" s="1358"/>
      <c r="DNI523" s="1358"/>
      <c r="DNJ523" s="1358"/>
      <c r="DNK523" s="1358"/>
      <c r="DNL523" s="1358"/>
      <c r="DNM523" s="1358"/>
      <c r="DNN523" s="1358"/>
      <c r="DNO523" s="1358"/>
      <c r="DNP523" s="1358"/>
      <c r="DNQ523" s="1358"/>
      <c r="DNR523" s="1358"/>
      <c r="DNS523" s="1358"/>
      <c r="DNT523" s="1358"/>
      <c r="DNU523" s="1358"/>
      <c r="DNV523" s="1358"/>
      <c r="DNW523" s="1358"/>
      <c r="DNX523" s="1358"/>
      <c r="DNY523" s="1358"/>
      <c r="DNZ523" s="1358"/>
      <c r="DOA523" s="1358"/>
      <c r="DOB523" s="1358"/>
      <c r="DOC523" s="1358"/>
      <c r="DOD523" s="1358"/>
      <c r="DOE523" s="1358"/>
      <c r="DOF523" s="1358"/>
      <c r="DOG523" s="1358"/>
      <c r="DOH523" s="1358"/>
      <c r="DOI523" s="1358"/>
      <c r="DOJ523" s="1358"/>
      <c r="DOK523" s="1358"/>
      <c r="DOL523" s="1358"/>
      <c r="DOM523" s="1358"/>
      <c r="DON523" s="1358"/>
      <c r="DOO523" s="1358"/>
      <c r="DOP523" s="1358"/>
      <c r="DOQ523" s="1358"/>
      <c r="DOR523" s="1358"/>
      <c r="DOS523" s="1358"/>
      <c r="DOT523" s="1358"/>
      <c r="DOU523" s="1358"/>
      <c r="DOV523" s="1358"/>
      <c r="DOW523" s="1358"/>
      <c r="DOX523" s="1358"/>
      <c r="DOY523" s="1358"/>
      <c r="DOZ523" s="1358"/>
      <c r="DPA523" s="1358"/>
      <c r="DPB523" s="1358"/>
      <c r="DPC523" s="1358"/>
      <c r="DPD523" s="1358"/>
      <c r="DPE523" s="1358"/>
      <c r="DPF523" s="1358"/>
      <c r="DPG523" s="1358"/>
      <c r="DPH523" s="1358"/>
      <c r="DPI523" s="1358"/>
      <c r="DPJ523" s="1358"/>
      <c r="DPK523" s="1358"/>
      <c r="DPL523" s="1358"/>
      <c r="DPM523" s="1358"/>
      <c r="DPN523" s="1358"/>
      <c r="DPO523" s="1358"/>
      <c r="DPP523" s="1358"/>
      <c r="DPQ523" s="1358"/>
      <c r="DPR523" s="1358"/>
      <c r="DPS523" s="1358"/>
      <c r="DPT523" s="1358"/>
      <c r="DPU523" s="1358"/>
      <c r="DPV523" s="1358"/>
      <c r="DPW523" s="1358"/>
      <c r="DPX523" s="1358"/>
      <c r="DPY523" s="1358"/>
      <c r="DPZ523" s="1358"/>
      <c r="DQA523" s="1358"/>
      <c r="DQB523" s="1358"/>
      <c r="DQC523" s="1358"/>
      <c r="DQD523" s="1358"/>
      <c r="DQE523" s="1358"/>
      <c r="DQF523" s="1358"/>
      <c r="DQG523" s="1358"/>
      <c r="DQH523" s="1358"/>
      <c r="DQI523" s="1358"/>
      <c r="DQJ523" s="1358"/>
      <c r="DQK523" s="1358"/>
      <c r="DQL523" s="1358"/>
      <c r="DQM523" s="1358"/>
      <c r="DQN523" s="1358"/>
      <c r="DQO523" s="1358"/>
      <c r="DQP523" s="1358"/>
      <c r="DQQ523" s="1358"/>
      <c r="DQR523" s="1358"/>
      <c r="DQS523" s="1358"/>
      <c r="DQT523" s="1358"/>
      <c r="DQU523" s="1358"/>
      <c r="DQV523" s="1358"/>
      <c r="DQW523" s="1358"/>
      <c r="DQX523" s="1358"/>
      <c r="DQY523" s="1358"/>
      <c r="DQZ523" s="1358"/>
      <c r="DRA523" s="1358"/>
      <c r="DRB523" s="1358"/>
      <c r="DRC523" s="1358"/>
      <c r="DRD523" s="1358"/>
      <c r="DRE523" s="1358"/>
      <c r="DRF523" s="1358"/>
      <c r="DRG523" s="1358"/>
      <c r="DRH523" s="1358"/>
      <c r="DRI523" s="1358"/>
      <c r="DRJ523" s="1358"/>
      <c r="DRK523" s="1358"/>
      <c r="DRL523" s="1358"/>
      <c r="DRM523" s="1358"/>
      <c r="DRN523" s="1358"/>
      <c r="DRO523" s="1358"/>
      <c r="DRP523" s="1358"/>
      <c r="DRQ523" s="1358"/>
      <c r="DRR523" s="1358"/>
      <c r="DRS523" s="1358"/>
      <c r="DRT523" s="1358"/>
      <c r="DRU523" s="1358"/>
      <c r="DRV523" s="1358"/>
      <c r="DRW523" s="1358"/>
      <c r="DRX523" s="1358"/>
      <c r="DRY523" s="1358"/>
      <c r="DRZ523" s="1358"/>
      <c r="DSA523" s="1358"/>
      <c r="DSB523" s="1358"/>
      <c r="DSC523" s="1358"/>
      <c r="DSD523" s="1358"/>
      <c r="DSE523" s="1358"/>
      <c r="DSF523" s="1358"/>
      <c r="DSG523" s="1358"/>
      <c r="DSH523" s="1358"/>
      <c r="DSI523" s="1358"/>
      <c r="DSJ523" s="1358"/>
      <c r="DSK523" s="1358"/>
      <c r="DSL523" s="1358"/>
      <c r="DSM523" s="1358"/>
      <c r="DSN523" s="1358"/>
      <c r="DSO523" s="1358"/>
      <c r="DSP523" s="1358"/>
      <c r="DSQ523" s="1358"/>
      <c r="DSR523" s="1358"/>
      <c r="DSS523" s="1358"/>
      <c r="DST523" s="1358"/>
      <c r="DSU523" s="1358"/>
      <c r="DSV523" s="1358"/>
      <c r="DSW523" s="1358"/>
      <c r="DSX523" s="1358"/>
      <c r="DSY523" s="1358"/>
      <c r="DSZ523" s="1358"/>
      <c r="DTA523" s="1358"/>
      <c r="DTB523" s="1358"/>
      <c r="DTC523" s="1358"/>
      <c r="DTD523" s="1358"/>
      <c r="DTE523" s="1358"/>
      <c r="DTF523" s="1358"/>
      <c r="DTG523" s="1358"/>
      <c r="DTH523" s="1358"/>
      <c r="DTI523" s="1358"/>
      <c r="DTJ523" s="1358"/>
      <c r="DTK523" s="1358"/>
      <c r="DTL523" s="1358"/>
      <c r="DTM523" s="1358"/>
      <c r="DTN523" s="1358"/>
      <c r="DTO523" s="1358"/>
      <c r="DTP523" s="1358"/>
      <c r="DTQ523" s="1358"/>
      <c r="DTR523" s="1358"/>
      <c r="DTS523" s="1358"/>
      <c r="DTT523" s="1358"/>
      <c r="DTU523" s="1358"/>
      <c r="DTV523" s="1358"/>
      <c r="DTW523" s="1358"/>
      <c r="DTX523" s="1358"/>
      <c r="DTY523" s="1358"/>
      <c r="DTZ523" s="1358"/>
      <c r="DUA523" s="1358"/>
      <c r="DUB523" s="1358"/>
      <c r="DUC523" s="1358"/>
      <c r="DUD523" s="1358"/>
      <c r="DUE523" s="1358"/>
      <c r="DUF523" s="1358"/>
      <c r="DUG523" s="1358"/>
      <c r="DUH523" s="1358"/>
      <c r="DUI523" s="1358"/>
      <c r="DUJ523" s="1358"/>
      <c r="DUK523" s="1358"/>
      <c r="DUL523" s="1358"/>
      <c r="DUM523" s="1358"/>
      <c r="DUN523" s="1358"/>
      <c r="DUO523" s="1358"/>
      <c r="DUP523" s="1358"/>
      <c r="DUQ523" s="1358"/>
      <c r="DUR523" s="1358"/>
      <c r="DUS523" s="1358"/>
      <c r="DUT523" s="1358"/>
      <c r="DUU523" s="1358"/>
      <c r="DUV523" s="1358"/>
      <c r="DUW523" s="1358"/>
      <c r="DUX523" s="1358"/>
      <c r="DUY523" s="1358"/>
      <c r="DUZ523" s="1358"/>
      <c r="DVA523" s="1358"/>
      <c r="DVB523" s="1358"/>
      <c r="DVC523" s="1358"/>
      <c r="DVD523" s="1358"/>
      <c r="DVE523" s="1358"/>
      <c r="DVF523" s="1358"/>
      <c r="DVG523" s="1358"/>
      <c r="DVH523" s="1358"/>
      <c r="DVI523" s="1358"/>
      <c r="DVJ523" s="1358"/>
      <c r="DVK523" s="1358"/>
      <c r="DVL523" s="1358"/>
      <c r="DVM523" s="1358"/>
      <c r="DVN523" s="1358"/>
      <c r="DVO523" s="1358"/>
      <c r="DVP523" s="1358"/>
      <c r="DVQ523" s="1358"/>
      <c r="DVR523" s="1358"/>
      <c r="DVS523" s="1358"/>
      <c r="DVT523" s="1358"/>
      <c r="DVU523" s="1358"/>
      <c r="DVV523" s="1358"/>
      <c r="DVW523" s="1358"/>
      <c r="DVX523" s="1358"/>
      <c r="DVY523" s="1358"/>
      <c r="DVZ523" s="1358"/>
      <c r="DWA523" s="1358"/>
      <c r="DWB523" s="1358"/>
      <c r="DWC523" s="1358"/>
      <c r="DWD523" s="1358"/>
      <c r="DWE523" s="1358"/>
      <c r="DWF523" s="1358"/>
      <c r="DWG523" s="1358"/>
      <c r="DWH523" s="1358"/>
      <c r="DWI523" s="1358"/>
      <c r="DWJ523" s="1358"/>
      <c r="DWK523" s="1358"/>
      <c r="DWL523" s="1358"/>
      <c r="DWM523" s="1358"/>
      <c r="DWN523" s="1358"/>
      <c r="DWO523" s="1358"/>
      <c r="DWP523" s="1358"/>
      <c r="DWQ523" s="1358"/>
      <c r="DWR523" s="1358"/>
      <c r="DWS523" s="1358"/>
      <c r="DWT523" s="1358"/>
      <c r="DWU523" s="1358"/>
      <c r="DWV523" s="1358"/>
      <c r="DWW523" s="1358"/>
      <c r="DWX523" s="1358"/>
      <c r="DWY523" s="1358"/>
      <c r="DWZ523" s="1358"/>
      <c r="DXA523" s="1358"/>
      <c r="DXB523" s="1358"/>
      <c r="DXC523" s="1358"/>
      <c r="DXD523" s="1358"/>
      <c r="DXE523" s="1358"/>
      <c r="DXF523" s="1358"/>
      <c r="DXG523" s="1358"/>
      <c r="DXH523" s="1358"/>
      <c r="DXI523" s="1358"/>
      <c r="DXJ523" s="1358"/>
      <c r="DXK523" s="1358"/>
      <c r="DXL523" s="1358"/>
      <c r="DXM523" s="1358"/>
      <c r="DXN523" s="1358"/>
      <c r="DXO523" s="1358"/>
      <c r="DXP523" s="1358"/>
      <c r="DXQ523" s="1358"/>
      <c r="DXR523" s="1358"/>
      <c r="DXS523" s="1358"/>
      <c r="DXT523" s="1358"/>
      <c r="DXU523" s="1358"/>
      <c r="DXV523" s="1358"/>
      <c r="DXW523" s="1358"/>
      <c r="DXX523" s="1358"/>
      <c r="DXY523" s="1358"/>
      <c r="DXZ523" s="1358"/>
      <c r="DYA523" s="1358"/>
      <c r="DYB523" s="1358"/>
      <c r="DYC523" s="1358"/>
      <c r="DYD523" s="1358"/>
      <c r="DYE523" s="1358"/>
      <c r="DYF523" s="1358"/>
      <c r="DYG523" s="1358"/>
      <c r="DYH523" s="1358"/>
      <c r="DYI523" s="1358"/>
      <c r="DYJ523" s="1358"/>
      <c r="DYK523" s="1358"/>
      <c r="DYL523" s="1358"/>
      <c r="DYM523" s="1358"/>
      <c r="DYN523" s="1358"/>
      <c r="DYO523" s="1358"/>
      <c r="DYP523" s="1358"/>
      <c r="DYQ523" s="1358"/>
      <c r="DYR523" s="1358"/>
      <c r="DYS523" s="1358"/>
      <c r="DYT523" s="1358"/>
      <c r="DYU523" s="1358"/>
      <c r="DYV523" s="1358"/>
      <c r="DYW523" s="1358"/>
      <c r="DYX523" s="1358"/>
      <c r="DYY523" s="1358"/>
      <c r="DYZ523" s="1358"/>
      <c r="DZA523" s="1358"/>
      <c r="DZB523" s="1358"/>
      <c r="DZC523" s="1358"/>
      <c r="DZD523" s="1358"/>
      <c r="DZE523" s="1358"/>
      <c r="DZF523" s="1358"/>
      <c r="DZG523" s="1358"/>
      <c r="DZH523" s="1358"/>
      <c r="DZI523" s="1358"/>
      <c r="DZJ523" s="1358"/>
      <c r="DZK523" s="1358"/>
      <c r="DZL523" s="1358"/>
      <c r="DZM523" s="1358"/>
      <c r="DZN523" s="1358"/>
      <c r="DZO523" s="1358"/>
      <c r="DZP523" s="1358"/>
      <c r="DZQ523" s="1358"/>
      <c r="DZR523" s="1358"/>
      <c r="DZS523" s="1358"/>
      <c r="DZT523" s="1358"/>
      <c r="DZU523" s="1358"/>
      <c r="DZV523" s="1358"/>
      <c r="DZW523" s="1358"/>
      <c r="DZX523" s="1358"/>
      <c r="DZY523" s="1358"/>
      <c r="DZZ523" s="1358"/>
      <c r="EAA523" s="1358"/>
      <c r="EAB523" s="1358"/>
      <c r="EAC523" s="1358"/>
      <c r="EAD523" s="1358"/>
      <c r="EAE523" s="1358"/>
      <c r="EAF523" s="1358"/>
      <c r="EAG523" s="1358"/>
      <c r="EAH523" s="1358"/>
      <c r="EAI523" s="1358"/>
      <c r="EAJ523" s="1358"/>
      <c r="EAK523" s="1358"/>
      <c r="EAL523" s="1358"/>
      <c r="EAM523" s="1358"/>
      <c r="EAN523" s="1358"/>
      <c r="EAO523" s="1358"/>
      <c r="EAP523" s="1358"/>
      <c r="EAQ523" s="1358"/>
      <c r="EAR523" s="1358"/>
      <c r="EAS523" s="1358"/>
      <c r="EAT523" s="1358"/>
      <c r="EAU523" s="1358"/>
      <c r="EAV523" s="1358"/>
      <c r="EAW523" s="1358"/>
      <c r="EAX523" s="1358"/>
      <c r="EAY523" s="1358"/>
      <c r="EAZ523" s="1358"/>
      <c r="EBA523" s="1358"/>
      <c r="EBB523" s="1358"/>
      <c r="EBC523" s="1358"/>
      <c r="EBD523" s="1358"/>
      <c r="EBE523" s="1358"/>
      <c r="EBF523" s="1358"/>
      <c r="EBG523" s="1358"/>
      <c r="EBH523" s="1358"/>
      <c r="EBI523" s="1358"/>
      <c r="EBJ523" s="1358"/>
      <c r="EBK523" s="1358"/>
      <c r="EBL523" s="1358"/>
      <c r="EBM523" s="1358"/>
      <c r="EBN523" s="1358"/>
      <c r="EBO523" s="1358"/>
      <c r="EBP523" s="1358"/>
      <c r="EBQ523" s="1358"/>
      <c r="EBR523" s="1358"/>
      <c r="EBS523" s="1358"/>
      <c r="EBT523" s="1358"/>
      <c r="EBU523" s="1358"/>
      <c r="EBV523" s="1358"/>
      <c r="EBW523" s="1358"/>
      <c r="EBX523" s="1358"/>
      <c r="EBY523" s="1358"/>
      <c r="EBZ523" s="1358"/>
      <c r="ECA523" s="1358"/>
      <c r="ECB523" s="1358"/>
      <c r="ECC523" s="1358"/>
      <c r="ECD523" s="1358"/>
      <c r="ECE523" s="1358"/>
      <c r="ECF523" s="1358"/>
      <c r="ECG523" s="1358"/>
      <c r="ECH523" s="1358"/>
      <c r="ECI523" s="1358"/>
      <c r="ECJ523" s="1358"/>
      <c r="ECK523" s="1358"/>
      <c r="ECL523" s="1358"/>
      <c r="ECM523" s="1358"/>
      <c r="ECN523" s="1358"/>
      <c r="ECO523" s="1358"/>
      <c r="ECP523" s="1358"/>
      <c r="ECQ523" s="1358"/>
      <c r="ECR523" s="1358"/>
      <c r="ECS523" s="1358"/>
      <c r="ECT523" s="1358"/>
      <c r="ECU523" s="1358"/>
      <c r="ECV523" s="1358"/>
      <c r="ECW523" s="1358"/>
      <c r="ECX523" s="1358"/>
      <c r="ECY523" s="1358"/>
      <c r="ECZ523" s="1358"/>
      <c r="EDA523" s="1358"/>
      <c r="EDB523" s="1358"/>
      <c r="EDC523" s="1358"/>
      <c r="EDD523" s="1358"/>
      <c r="EDE523" s="1358"/>
      <c r="EDF523" s="1358"/>
      <c r="EDG523" s="1358"/>
      <c r="EDH523" s="1358"/>
      <c r="EDI523" s="1358"/>
      <c r="EDJ523" s="1358"/>
      <c r="EDK523" s="1358"/>
      <c r="EDL523" s="1358"/>
      <c r="EDM523" s="1358"/>
      <c r="EDN523" s="1358"/>
      <c r="EDO523" s="1358"/>
      <c r="EDP523" s="1358"/>
      <c r="EDQ523" s="1358"/>
      <c r="EDR523" s="1358"/>
      <c r="EDS523" s="1358"/>
      <c r="EDT523" s="1358"/>
      <c r="EDU523" s="1358"/>
      <c r="EDV523" s="1358"/>
      <c r="EDW523" s="1358"/>
      <c r="EDX523" s="1358"/>
      <c r="EDY523" s="1358"/>
      <c r="EDZ523" s="1358"/>
      <c r="EEA523" s="1358"/>
      <c r="EEB523" s="1358"/>
      <c r="EEC523" s="1358"/>
      <c r="EED523" s="1358"/>
      <c r="EEE523" s="1358"/>
      <c r="EEF523" s="1358"/>
      <c r="EEG523" s="1358"/>
      <c r="EEH523" s="1358"/>
      <c r="EEI523" s="1358"/>
      <c r="EEJ523" s="1358"/>
      <c r="EEK523" s="1358"/>
      <c r="EEL523" s="1358"/>
      <c r="EEM523" s="1358"/>
      <c r="EEN523" s="1358"/>
      <c r="EEO523" s="1358"/>
      <c r="EEP523" s="1358"/>
      <c r="EEQ523" s="1358"/>
      <c r="EER523" s="1358"/>
      <c r="EES523" s="1358"/>
      <c r="EET523" s="1358"/>
      <c r="EEU523" s="1358"/>
      <c r="EEV523" s="1358"/>
      <c r="EEW523" s="1358"/>
      <c r="EEX523" s="1358"/>
      <c r="EEY523" s="1358"/>
      <c r="EEZ523" s="1358"/>
      <c r="EFA523" s="1358"/>
      <c r="EFB523" s="1358"/>
      <c r="EFC523" s="1358"/>
      <c r="EFD523" s="1358"/>
      <c r="EFE523" s="1358"/>
      <c r="EFF523" s="1358"/>
      <c r="EFG523" s="1358"/>
      <c r="EFH523" s="1358"/>
      <c r="EFI523" s="1358"/>
      <c r="EFJ523" s="1358"/>
      <c r="EFK523" s="1358"/>
      <c r="EFL523" s="1358"/>
      <c r="EFM523" s="1358"/>
      <c r="EFN523" s="1358"/>
      <c r="EFO523" s="1358"/>
      <c r="EFP523" s="1358"/>
      <c r="EFQ523" s="1358"/>
      <c r="EFR523" s="1358"/>
      <c r="EFS523" s="1358"/>
      <c r="EFT523" s="1358"/>
      <c r="EFU523" s="1358"/>
      <c r="EFV523" s="1358"/>
      <c r="EFW523" s="1358"/>
      <c r="EFX523" s="1358"/>
      <c r="EFY523" s="1358"/>
      <c r="EFZ523" s="1358"/>
      <c r="EGA523" s="1358"/>
      <c r="EGB523" s="1358"/>
      <c r="EGC523" s="1358"/>
      <c r="EGD523" s="1358"/>
      <c r="EGE523" s="1358"/>
      <c r="EGF523" s="1358"/>
      <c r="EGG523" s="1358"/>
      <c r="EGH523" s="1358"/>
      <c r="EGI523" s="1358"/>
      <c r="EGJ523" s="1358"/>
      <c r="EGK523" s="1358"/>
      <c r="EGL523" s="1358"/>
      <c r="EGM523" s="1358"/>
      <c r="EGN523" s="1358"/>
      <c r="EGO523" s="1358"/>
      <c r="EGP523" s="1358"/>
      <c r="EGQ523" s="1358"/>
      <c r="EGR523" s="1358"/>
      <c r="EGS523" s="1358"/>
      <c r="EGT523" s="1358"/>
      <c r="EGU523" s="1358"/>
      <c r="EGV523" s="1358"/>
      <c r="EGW523" s="1358"/>
      <c r="EGX523" s="1358"/>
      <c r="EGY523" s="1358"/>
      <c r="EGZ523" s="1358"/>
      <c r="EHA523" s="1358"/>
      <c r="EHB523" s="1358"/>
      <c r="EHC523" s="1358"/>
      <c r="EHD523" s="1358"/>
      <c r="EHE523" s="1358"/>
      <c r="EHF523" s="1358"/>
      <c r="EHG523" s="1358"/>
      <c r="EHH523" s="1358"/>
      <c r="EHI523" s="1358"/>
      <c r="EHJ523" s="1358"/>
      <c r="EHK523" s="1358"/>
      <c r="EHL523" s="1358"/>
      <c r="EHM523" s="1358"/>
      <c r="EHN523" s="1358"/>
      <c r="EHO523" s="1358"/>
      <c r="EHP523" s="1358"/>
      <c r="EHQ523" s="1358"/>
      <c r="EHR523" s="1358"/>
      <c r="EHS523" s="1358"/>
      <c r="EHT523" s="1358"/>
      <c r="EHU523" s="1358"/>
      <c r="EHV523" s="1358"/>
      <c r="EHW523" s="1358"/>
      <c r="EHX523" s="1358"/>
      <c r="EHY523" s="1358"/>
      <c r="EHZ523" s="1358"/>
      <c r="EIA523" s="1358"/>
      <c r="EIB523" s="1358"/>
      <c r="EIC523" s="1358"/>
      <c r="EID523" s="1358"/>
      <c r="EIE523" s="1358"/>
      <c r="EIF523" s="1358"/>
      <c r="EIG523" s="1358"/>
      <c r="EIH523" s="1358"/>
      <c r="EII523" s="1358"/>
      <c r="EIJ523" s="1358"/>
      <c r="EIK523" s="1358"/>
      <c r="EIL523" s="1358"/>
      <c r="EIM523" s="1358"/>
      <c r="EIN523" s="1358"/>
      <c r="EIO523" s="1358"/>
      <c r="EIP523" s="1358"/>
      <c r="EIQ523" s="1358"/>
      <c r="EIR523" s="1358"/>
      <c r="EIS523" s="1358"/>
      <c r="EIT523" s="1358"/>
      <c r="EIU523" s="1358"/>
      <c r="EIV523" s="1358"/>
      <c r="EIW523" s="1358"/>
      <c r="EIX523" s="1358"/>
      <c r="EIY523" s="1358"/>
      <c r="EIZ523" s="1358"/>
      <c r="EJA523" s="1358"/>
      <c r="EJB523" s="1358"/>
      <c r="EJC523" s="1358"/>
      <c r="EJD523" s="1358"/>
      <c r="EJE523" s="1358"/>
      <c r="EJF523" s="1358"/>
      <c r="EJG523" s="1358"/>
      <c r="EJH523" s="1358"/>
      <c r="EJI523" s="1358"/>
      <c r="EJJ523" s="1358"/>
      <c r="EJK523" s="1358"/>
      <c r="EJL523" s="1358"/>
      <c r="EJM523" s="1358"/>
      <c r="EJN523" s="1358"/>
      <c r="EJO523" s="1358"/>
      <c r="EJP523" s="1358"/>
      <c r="EJQ523" s="1358"/>
      <c r="EJR523" s="1358"/>
      <c r="EJS523" s="1358"/>
      <c r="EJT523" s="1358"/>
      <c r="EJU523" s="1358"/>
      <c r="EJV523" s="1358"/>
      <c r="EJW523" s="1358"/>
      <c r="EJX523" s="1358"/>
      <c r="EJY523" s="1358"/>
      <c r="EJZ523" s="1358"/>
      <c r="EKA523" s="1358"/>
      <c r="EKB523" s="1358"/>
      <c r="EKC523" s="1358"/>
      <c r="EKD523" s="1358"/>
      <c r="EKE523" s="1358"/>
      <c r="EKF523" s="1358"/>
      <c r="EKG523" s="1358"/>
      <c r="EKH523" s="1358"/>
      <c r="EKI523" s="1358"/>
      <c r="EKJ523" s="1358"/>
      <c r="EKK523" s="1358"/>
      <c r="EKL523" s="1358"/>
      <c r="EKM523" s="1358"/>
      <c r="EKN523" s="1358"/>
      <c r="EKO523" s="1358"/>
      <c r="EKP523" s="1358"/>
      <c r="EKQ523" s="1358"/>
      <c r="EKR523" s="1358"/>
      <c r="EKS523" s="1358"/>
      <c r="EKT523" s="1358"/>
      <c r="EKU523" s="1358"/>
      <c r="EKV523" s="1358"/>
      <c r="EKW523" s="1358"/>
      <c r="EKX523" s="1358"/>
      <c r="EKY523" s="1358"/>
      <c r="EKZ523" s="1358"/>
      <c r="ELA523" s="1358"/>
      <c r="ELB523" s="1358"/>
      <c r="ELC523" s="1358"/>
      <c r="ELD523" s="1358"/>
      <c r="ELE523" s="1358"/>
      <c r="ELF523" s="1358"/>
      <c r="ELG523" s="1358"/>
      <c r="ELH523" s="1358"/>
      <c r="ELI523" s="1358"/>
      <c r="ELJ523" s="1358"/>
      <c r="ELK523" s="1358"/>
      <c r="ELL523" s="1358"/>
      <c r="ELM523" s="1358"/>
      <c r="ELN523" s="1358"/>
      <c r="ELO523" s="1358"/>
      <c r="ELP523" s="1358"/>
      <c r="ELQ523" s="1358"/>
      <c r="ELR523" s="1358"/>
      <c r="ELS523" s="1358"/>
      <c r="ELT523" s="1358"/>
      <c r="ELU523" s="1358"/>
      <c r="ELV523" s="1358"/>
      <c r="ELW523" s="1358"/>
      <c r="ELX523" s="1358"/>
      <c r="ELY523" s="1358"/>
      <c r="ELZ523" s="1358"/>
      <c r="EMA523" s="1358"/>
      <c r="EMB523" s="1358"/>
      <c r="EMC523" s="1358"/>
      <c r="EMD523" s="1358"/>
      <c r="EME523" s="1358"/>
      <c r="EMF523" s="1358"/>
      <c r="EMG523" s="1358"/>
      <c r="EMH523" s="1358"/>
      <c r="EMI523" s="1358"/>
      <c r="EMJ523" s="1358"/>
      <c r="EMK523" s="1358"/>
      <c r="EML523" s="1358"/>
      <c r="EMM523" s="1358"/>
      <c r="EMN523" s="1358"/>
      <c r="EMO523" s="1358"/>
      <c r="EMP523" s="1358"/>
      <c r="EMQ523" s="1358"/>
      <c r="EMR523" s="1358"/>
      <c r="EMS523" s="1358"/>
      <c r="EMT523" s="1358"/>
      <c r="EMU523" s="1358"/>
      <c r="EMV523" s="1358"/>
      <c r="EMW523" s="1358"/>
      <c r="EMX523" s="1358"/>
      <c r="EMY523" s="1358"/>
      <c r="EMZ523" s="1358"/>
      <c r="ENA523" s="1358"/>
      <c r="ENB523" s="1358"/>
      <c r="ENC523" s="1358"/>
      <c r="END523" s="1358"/>
      <c r="ENE523" s="1358"/>
      <c r="ENF523" s="1358"/>
      <c r="ENG523" s="1358"/>
      <c r="ENH523" s="1358"/>
      <c r="ENI523" s="1358"/>
      <c r="ENJ523" s="1358"/>
      <c r="ENK523" s="1358"/>
      <c r="ENL523" s="1358"/>
      <c r="ENM523" s="1358"/>
      <c r="ENN523" s="1358"/>
      <c r="ENO523" s="1358"/>
      <c r="ENP523" s="1358"/>
      <c r="ENQ523" s="1358"/>
      <c r="ENR523" s="1358"/>
      <c r="ENS523" s="1358"/>
      <c r="ENT523" s="1358"/>
      <c r="ENU523" s="1358"/>
      <c r="ENV523" s="1358"/>
      <c r="ENW523" s="1358"/>
      <c r="ENX523" s="1358"/>
      <c r="ENY523" s="1358"/>
      <c r="ENZ523" s="1358"/>
      <c r="EOA523" s="1358"/>
      <c r="EOB523" s="1358"/>
      <c r="EOC523" s="1358"/>
      <c r="EOD523" s="1358"/>
      <c r="EOE523" s="1358"/>
      <c r="EOF523" s="1358"/>
      <c r="EOG523" s="1358"/>
      <c r="EOH523" s="1358"/>
      <c r="EOI523" s="1358"/>
      <c r="EOJ523" s="1358"/>
      <c r="EOK523" s="1358"/>
      <c r="EOL523" s="1358"/>
      <c r="EOM523" s="1358"/>
      <c r="EON523" s="1358"/>
      <c r="EOO523" s="1358"/>
      <c r="EOP523" s="1358"/>
      <c r="EOQ523" s="1358"/>
      <c r="EOR523" s="1358"/>
      <c r="EOS523" s="1358"/>
      <c r="EOT523" s="1358"/>
      <c r="EOU523" s="1358"/>
      <c r="EOV523" s="1358"/>
      <c r="EOW523" s="1358"/>
      <c r="EOX523" s="1358"/>
      <c r="EOY523" s="1358"/>
      <c r="EOZ523" s="1358"/>
      <c r="EPA523" s="1358"/>
      <c r="EPB523" s="1358"/>
      <c r="EPC523" s="1358"/>
      <c r="EPD523" s="1358"/>
      <c r="EPE523" s="1358"/>
      <c r="EPF523" s="1358"/>
      <c r="EPG523" s="1358"/>
      <c r="EPH523" s="1358"/>
      <c r="EPI523" s="1358"/>
      <c r="EPJ523" s="1358"/>
      <c r="EPK523" s="1358"/>
      <c r="EPL523" s="1358"/>
      <c r="EPM523" s="1358"/>
      <c r="EPN523" s="1358"/>
      <c r="EPO523" s="1358"/>
      <c r="EPP523" s="1358"/>
      <c r="EPQ523" s="1358"/>
      <c r="EPR523" s="1358"/>
      <c r="EPS523" s="1358"/>
      <c r="EPT523" s="1358"/>
      <c r="EPU523" s="1358"/>
      <c r="EPV523" s="1358"/>
      <c r="EPW523" s="1358"/>
      <c r="EPX523" s="1358"/>
      <c r="EPY523" s="1358"/>
      <c r="EPZ523" s="1358"/>
      <c r="EQA523" s="1358"/>
      <c r="EQB523" s="1358"/>
      <c r="EQC523" s="1358"/>
      <c r="EQD523" s="1358"/>
      <c r="EQE523" s="1358"/>
      <c r="EQF523" s="1358"/>
      <c r="EQG523" s="1358"/>
      <c r="EQH523" s="1358"/>
      <c r="EQI523" s="1358"/>
      <c r="EQJ523" s="1358"/>
      <c r="EQK523" s="1358"/>
      <c r="EQL523" s="1358"/>
      <c r="EQM523" s="1358"/>
      <c r="EQN523" s="1358"/>
      <c r="EQO523" s="1358"/>
      <c r="EQP523" s="1358"/>
      <c r="EQQ523" s="1358"/>
      <c r="EQR523" s="1358"/>
      <c r="EQS523" s="1358"/>
      <c r="EQT523" s="1358"/>
      <c r="EQU523" s="1358"/>
      <c r="EQV523" s="1358"/>
      <c r="EQW523" s="1358"/>
      <c r="EQX523" s="1358"/>
      <c r="EQY523" s="1358"/>
      <c r="EQZ523" s="1358"/>
      <c r="ERA523" s="1358"/>
      <c r="ERB523" s="1358"/>
      <c r="ERC523" s="1358"/>
      <c r="ERD523" s="1358"/>
      <c r="ERE523" s="1358"/>
      <c r="ERF523" s="1358"/>
      <c r="ERG523" s="1358"/>
      <c r="ERH523" s="1358"/>
      <c r="ERI523" s="1358"/>
      <c r="ERJ523" s="1358"/>
      <c r="ERK523" s="1358"/>
      <c r="ERL523" s="1358"/>
      <c r="ERM523" s="1358"/>
      <c r="ERN523" s="1358"/>
      <c r="ERO523" s="1358"/>
      <c r="ERP523" s="1358"/>
      <c r="ERQ523" s="1358"/>
      <c r="ERR523" s="1358"/>
      <c r="ERS523" s="1358"/>
      <c r="ERT523" s="1358"/>
      <c r="ERU523" s="1358"/>
      <c r="ERV523" s="1358"/>
      <c r="ERW523" s="1358"/>
      <c r="ERX523" s="1358"/>
      <c r="ERY523" s="1358"/>
      <c r="ERZ523" s="1358"/>
      <c r="ESA523" s="1358"/>
      <c r="ESB523" s="1358"/>
      <c r="ESC523" s="1358"/>
      <c r="ESD523" s="1358"/>
      <c r="ESE523" s="1358"/>
      <c r="ESF523" s="1358"/>
      <c r="ESG523" s="1358"/>
      <c r="ESH523" s="1358"/>
      <c r="ESI523" s="1358"/>
      <c r="ESJ523" s="1358"/>
      <c r="ESK523" s="1358"/>
      <c r="ESL523" s="1358"/>
      <c r="ESM523" s="1358"/>
      <c r="ESN523" s="1358"/>
      <c r="ESO523" s="1358"/>
      <c r="ESP523" s="1358"/>
      <c r="ESQ523" s="1358"/>
      <c r="ESR523" s="1358"/>
      <c r="ESS523" s="1358"/>
      <c r="EST523" s="1358"/>
      <c r="ESU523" s="1358"/>
      <c r="ESV523" s="1358"/>
      <c r="ESW523" s="1358"/>
      <c r="ESX523" s="1358"/>
      <c r="ESY523" s="1358"/>
      <c r="ESZ523" s="1358"/>
      <c r="ETA523" s="1358"/>
      <c r="ETB523" s="1358"/>
      <c r="ETC523" s="1358"/>
      <c r="ETD523" s="1358"/>
      <c r="ETE523" s="1358"/>
      <c r="ETF523" s="1358"/>
      <c r="ETG523" s="1358"/>
      <c r="ETH523" s="1358"/>
      <c r="ETI523" s="1358"/>
      <c r="ETJ523" s="1358"/>
      <c r="ETK523" s="1358"/>
      <c r="ETL523" s="1358"/>
      <c r="ETM523" s="1358"/>
      <c r="ETN523" s="1358"/>
      <c r="ETO523" s="1358"/>
      <c r="ETP523" s="1358"/>
      <c r="ETQ523" s="1358"/>
      <c r="ETR523" s="1358"/>
      <c r="ETS523" s="1358"/>
      <c r="ETT523" s="1358"/>
      <c r="ETU523" s="1358"/>
      <c r="ETV523" s="1358"/>
      <c r="ETW523" s="1358"/>
      <c r="ETX523" s="1358"/>
      <c r="ETY523" s="1358"/>
      <c r="ETZ523" s="1358"/>
      <c r="EUA523" s="1358"/>
      <c r="EUB523" s="1358"/>
      <c r="EUC523" s="1358"/>
      <c r="EUD523" s="1358"/>
      <c r="EUE523" s="1358"/>
      <c r="EUF523" s="1358"/>
      <c r="EUG523" s="1358"/>
      <c r="EUH523" s="1358"/>
      <c r="EUI523" s="1358"/>
      <c r="EUJ523" s="1358"/>
      <c r="EUK523" s="1358"/>
      <c r="EUL523" s="1358"/>
      <c r="EUM523" s="1358"/>
      <c r="EUN523" s="1358"/>
      <c r="EUO523" s="1358"/>
      <c r="EUP523" s="1358"/>
      <c r="EUQ523" s="1358"/>
      <c r="EUR523" s="1358"/>
      <c r="EUS523" s="1358"/>
      <c r="EUT523" s="1358"/>
      <c r="EUU523" s="1358"/>
      <c r="EUV523" s="1358"/>
      <c r="EUW523" s="1358"/>
      <c r="EUX523" s="1358"/>
      <c r="EUY523" s="1358"/>
      <c r="EUZ523" s="1358"/>
      <c r="EVA523" s="1358"/>
      <c r="EVB523" s="1358"/>
      <c r="EVC523" s="1358"/>
      <c r="EVD523" s="1358"/>
      <c r="EVE523" s="1358"/>
      <c r="EVF523" s="1358"/>
      <c r="EVG523" s="1358"/>
      <c r="EVH523" s="1358"/>
      <c r="EVI523" s="1358"/>
      <c r="EVJ523" s="1358"/>
      <c r="EVK523" s="1358"/>
      <c r="EVL523" s="1358"/>
      <c r="EVM523" s="1358"/>
      <c r="EVN523" s="1358"/>
      <c r="EVO523" s="1358"/>
      <c r="EVP523" s="1358"/>
      <c r="EVQ523" s="1358"/>
      <c r="EVR523" s="1358"/>
      <c r="EVS523" s="1358"/>
      <c r="EVT523" s="1358"/>
      <c r="EVU523" s="1358"/>
      <c r="EVV523" s="1358"/>
      <c r="EVW523" s="1358"/>
      <c r="EVX523" s="1358"/>
      <c r="EVY523" s="1358"/>
      <c r="EVZ523" s="1358"/>
      <c r="EWA523" s="1358"/>
      <c r="EWB523" s="1358"/>
      <c r="EWC523" s="1358"/>
      <c r="EWD523" s="1358"/>
      <c r="EWE523" s="1358"/>
      <c r="EWF523" s="1358"/>
      <c r="EWG523" s="1358"/>
      <c r="EWH523" s="1358"/>
      <c r="EWI523" s="1358"/>
      <c r="EWJ523" s="1358"/>
      <c r="EWK523" s="1358"/>
      <c r="EWL523" s="1358"/>
      <c r="EWM523" s="1358"/>
      <c r="EWN523" s="1358"/>
      <c r="EWO523" s="1358"/>
      <c r="EWP523" s="1358"/>
      <c r="EWQ523" s="1358"/>
      <c r="EWR523" s="1358"/>
      <c r="EWS523" s="1358"/>
      <c r="EWT523" s="1358"/>
      <c r="EWU523" s="1358"/>
      <c r="EWV523" s="1358"/>
      <c r="EWW523" s="1358"/>
      <c r="EWX523" s="1358"/>
      <c r="EWY523" s="1358"/>
      <c r="EWZ523" s="1358"/>
      <c r="EXA523" s="1358"/>
      <c r="EXB523" s="1358"/>
      <c r="EXC523" s="1358"/>
      <c r="EXD523" s="1358"/>
      <c r="EXE523" s="1358"/>
      <c r="EXF523" s="1358"/>
      <c r="EXG523" s="1358"/>
      <c r="EXH523" s="1358"/>
      <c r="EXI523" s="1358"/>
      <c r="EXJ523" s="1358"/>
      <c r="EXK523" s="1358"/>
      <c r="EXL523" s="1358"/>
      <c r="EXM523" s="1358"/>
      <c r="EXN523" s="1358"/>
      <c r="EXO523" s="1358"/>
      <c r="EXP523" s="1358"/>
      <c r="EXQ523" s="1358"/>
      <c r="EXR523" s="1358"/>
      <c r="EXS523" s="1358"/>
      <c r="EXT523" s="1358"/>
      <c r="EXU523" s="1358"/>
      <c r="EXV523" s="1358"/>
      <c r="EXW523" s="1358"/>
      <c r="EXX523" s="1358"/>
      <c r="EXY523" s="1358"/>
      <c r="EXZ523" s="1358"/>
      <c r="EYA523" s="1358"/>
      <c r="EYB523" s="1358"/>
      <c r="EYC523" s="1358"/>
      <c r="EYD523" s="1358"/>
      <c r="EYE523" s="1358"/>
      <c r="EYF523" s="1358"/>
      <c r="EYG523" s="1358"/>
      <c r="EYH523" s="1358"/>
      <c r="EYI523" s="1358"/>
      <c r="EYJ523" s="1358"/>
      <c r="EYK523" s="1358"/>
      <c r="EYL523" s="1358"/>
      <c r="EYM523" s="1358"/>
      <c r="EYN523" s="1358"/>
      <c r="EYO523" s="1358"/>
      <c r="EYP523" s="1358"/>
      <c r="EYQ523" s="1358"/>
      <c r="EYR523" s="1358"/>
      <c r="EYS523" s="1358"/>
      <c r="EYT523" s="1358"/>
      <c r="EYU523" s="1358"/>
      <c r="EYV523" s="1358"/>
      <c r="EYW523" s="1358"/>
      <c r="EYX523" s="1358"/>
      <c r="EYY523" s="1358"/>
      <c r="EYZ523" s="1358"/>
      <c r="EZA523" s="1358"/>
      <c r="EZB523" s="1358"/>
      <c r="EZC523" s="1358"/>
      <c r="EZD523" s="1358"/>
      <c r="EZE523" s="1358"/>
      <c r="EZF523" s="1358"/>
      <c r="EZG523" s="1358"/>
      <c r="EZH523" s="1358"/>
      <c r="EZI523" s="1358"/>
      <c r="EZJ523" s="1358"/>
      <c r="EZK523" s="1358"/>
      <c r="EZL523" s="1358"/>
      <c r="EZM523" s="1358"/>
      <c r="EZN523" s="1358"/>
      <c r="EZO523" s="1358"/>
      <c r="EZP523" s="1358"/>
      <c r="EZQ523" s="1358"/>
      <c r="EZR523" s="1358"/>
      <c r="EZS523" s="1358"/>
      <c r="EZT523" s="1358"/>
      <c r="EZU523" s="1358"/>
      <c r="EZV523" s="1358"/>
      <c r="EZW523" s="1358"/>
      <c r="EZX523" s="1358"/>
      <c r="EZY523" s="1358"/>
      <c r="EZZ523" s="1358"/>
      <c r="FAA523" s="1358"/>
      <c r="FAB523" s="1358"/>
      <c r="FAC523" s="1358"/>
      <c r="FAD523" s="1358"/>
      <c r="FAE523" s="1358"/>
      <c r="FAF523" s="1358"/>
      <c r="FAG523" s="1358"/>
      <c r="FAH523" s="1358"/>
      <c r="FAI523" s="1358"/>
      <c r="FAJ523" s="1358"/>
      <c r="FAK523" s="1358"/>
      <c r="FAL523" s="1358"/>
      <c r="FAM523" s="1358"/>
      <c r="FAN523" s="1358"/>
      <c r="FAO523" s="1358"/>
      <c r="FAP523" s="1358"/>
      <c r="FAQ523" s="1358"/>
      <c r="FAR523" s="1358"/>
      <c r="FAS523" s="1358"/>
      <c r="FAT523" s="1358"/>
      <c r="FAU523" s="1358"/>
      <c r="FAV523" s="1358"/>
      <c r="FAW523" s="1358"/>
      <c r="FAX523" s="1358"/>
      <c r="FAY523" s="1358"/>
      <c r="FAZ523" s="1358"/>
      <c r="FBA523" s="1358"/>
      <c r="FBB523" s="1358"/>
      <c r="FBC523" s="1358"/>
      <c r="FBD523" s="1358"/>
      <c r="FBE523" s="1358"/>
      <c r="FBF523" s="1358"/>
      <c r="FBG523" s="1358"/>
      <c r="FBH523" s="1358"/>
      <c r="FBI523" s="1358"/>
      <c r="FBJ523" s="1358"/>
      <c r="FBK523" s="1358"/>
      <c r="FBL523" s="1358"/>
      <c r="FBM523" s="1358"/>
      <c r="FBN523" s="1358"/>
      <c r="FBO523" s="1358"/>
      <c r="FBP523" s="1358"/>
      <c r="FBQ523" s="1358"/>
      <c r="FBR523" s="1358"/>
      <c r="FBS523" s="1358"/>
      <c r="FBT523" s="1358"/>
      <c r="FBU523" s="1358"/>
      <c r="FBV523" s="1358"/>
      <c r="FBW523" s="1358"/>
      <c r="FBX523" s="1358"/>
      <c r="FBY523" s="1358"/>
      <c r="FBZ523" s="1358"/>
      <c r="FCA523" s="1358"/>
      <c r="FCB523" s="1358"/>
      <c r="FCC523" s="1358"/>
      <c r="FCD523" s="1358"/>
      <c r="FCE523" s="1358"/>
      <c r="FCF523" s="1358"/>
      <c r="FCG523" s="1358"/>
      <c r="FCH523" s="1358"/>
      <c r="FCI523" s="1358"/>
      <c r="FCJ523" s="1358"/>
      <c r="FCK523" s="1358"/>
      <c r="FCL523" s="1358"/>
      <c r="FCM523" s="1358"/>
      <c r="FCN523" s="1358"/>
      <c r="FCO523" s="1358"/>
      <c r="FCP523" s="1358"/>
      <c r="FCQ523" s="1358"/>
      <c r="FCR523" s="1358"/>
      <c r="FCS523" s="1358"/>
      <c r="FCT523" s="1358"/>
      <c r="FCU523" s="1358"/>
      <c r="FCV523" s="1358"/>
      <c r="FCW523" s="1358"/>
      <c r="FCX523" s="1358"/>
      <c r="FCY523" s="1358"/>
      <c r="FCZ523" s="1358"/>
      <c r="FDA523" s="1358"/>
      <c r="FDB523" s="1358"/>
      <c r="FDC523" s="1358"/>
      <c r="FDD523" s="1358"/>
      <c r="FDE523" s="1358"/>
      <c r="FDF523" s="1358"/>
      <c r="FDG523" s="1358"/>
      <c r="FDH523" s="1358"/>
      <c r="FDI523" s="1358"/>
      <c r="FDJ523" s="1358"/>
      <c r="FDK523" s="1358"/>
      <c r="FDL523" s="1358"/>
      <c r="FDM523" s="1358"/>
      <c r="FDN523" s="1358"/>
      <c r="FDO523" s="1358"/>
      <c r="FDP523" s="1358"/>
      <c r="FDQ523" s="1358"/>
      <c r="FDR523" s="1358"/>
      <c r="FDS523" s="1358"/>
      <c r="FDT523" s="1358"/>
      <c r="FDU523" s="1358"/>
      <c r="FDV523" s="1358"/>
      <c r="FDW523" s="1358"/>
      <c r="FDX523" s="1358"/>
      <c r="FDY523" s="1358"/>
      <c r="FDZ523" s="1358"/>
      <c r="FEA523" s="1358"/>
      <c r="FEB523" s="1358"/>
      <c r="FEC523" s="1358"/>
      <c r="FED523" s="1358"/>
      <c r="FEE523" s="1358"/>
      <c r="FEF523" s="1358"/>
      <c r="FEG523" s="1358"/>
      <c r="FEH523" s="1358"/>
      <c r="FEI523" s="1358"/>
      <c r="FEJ523" s="1358"/>
      <c r="FEK523" s="1358"/>
      <c r="FEL523" s="1358"/>
      <c r="FEM523" s="1358"/>
      <c r="FEN523" s="1358"/>
      <c r="FEO523" s="1358"/>
      <c r="FEP523" s="1358"/>
      <c r="FEQ523" s="1358"/>
      <c r="FER523" s="1358"/>
      <c r="FES523" s="1358"/>
      <c r="FET523" s="1358"/>
      <c r="FEU523" s="1358"/>
      <c r="FEV523" s="1358"/>
      <c r="FEW523" s="1358"/>
      <c r="FEX523" s="1358"/>
      <c r="FEY523" s="1358"/>
      <c r="FEZ523" s="1358"/>
      <c r="FFA523" s="1358"/>
      <c r="FFB523" s="1358"/>
      <c r="FFC523" s="1358"/>
      <c r="FFD523" s="1358"/>
      <c r="FFE523" s="1358"/>
      <c r="FFF523" s="1358"/>
      <c r="FFG523" s="1358"/>
      <c r="FFH523" s="1358"/>
      <c r="FFI523" s="1358"/>
      <c r="FFJ523" s="1358"/>
      <c r="FFK523" s="1358"/>
      <c r="FFL523" s="1358"/>
      <c r="FFM523" s="1358"/>
      <c r="FFN523" s="1358"/>
      <c r="FFO523" s="1358"/>
      <c r="FFP523" s="1358"/>
      <c r="FFQ523" s="1358"/>
      <c r="FFR523" s="1358"/>
      <c r="FFS523" s="1358"/>
      <c r="FFT523" s="1358"/>
      <c r="FFU523" s="1358"/>
      <c r="FFV523" s="1358"/>
      <c r="FFW523" s="1358"/>
      <c r="FFX523" s="1358"/>
      <c r="FFY523" s="1358"/>
      <c r="FFZ523" s="1358"/>
      <c r="FGA523" s="1358"/>
      <c r="FGB523" s="1358"/>
      <c r="FGC523" s="1358"/>
      <c r="FGD523" s="1358"/>
      <c r="FGE523" s="1358"/>
      <c r="FGF523" s="1358"/>
      <c r="FGG523" s="1358"/>
      <c r="FGH523" s="1358"/>
      <c r="FGI523" s="1358"/>
      <c r="FGJ523" s="1358"/>
      <c r="FGK523" s="1358"/>
      <c r="FGL523" s="1358"/>
      <c r="FGM523" s="1358"/>
      <c r="FGN523" s="1358"/>
      <c r="FGO523" s="1358"/>
      <c r="FGP523" s="1358"/>
      <c r="FGQ523" s="1358"/>
      <c r="FGR523" s="1358"/>
      <c r="FGS523" s="1358"/>
      <c r="FGT523" s="1358"/>
      <c r="FGU523" s="1358"/>
      <c r="FGV523" s="1358"/>
      <c r="FGW523" s="1358"/>
      <c r="FGX523" s="1358"/>
      <c r="FGY523" s="1358"/>
      <c r="FGZ523" s="1358"/>
      <c r="FHA523" s="1358"/>
      <c r="FHB523" s="1358"/>
      <c r="FHC523" s="1358"/>
      <c r="FHD523" s="1358"/>
      <c r="FHE523" s="1358"/>
      <c r="FHF523" s="1358"/>
      <c r="FHG523" s="1358"/>
      <c r="FHH523" s="1358"/>
      <c r="FHI523" s="1358"/>
      <c r="FHJ523" s="1358"/>
      <c r="FHK523" s="1358"/>
      <c r="FHL523" s="1358"/>
      <c r="FHM523" s="1358"/>
      <c r="FHN523" s="1358"/>
      <c r="FHO523" s="1358"/>
      <c r="FHP523" s="1358"/>
      <c r="FHQ523" s="1358"/>
      <c r="FHR523" s="1358"/>
      <c r="FHS523" s="1358"/>
      <c r="FHT523" s="1358"/>
      <c r="FHU523" s="1358"/>
      <c r="FHV523" s="1358"/>
      <c r="FHW523" s="1358"/>
      <c r="FHX523" s="1358"/>
      <c r="FHY523" s="1358"/>
      <c r="FHZ523" s="1358"/>
      <c r="FIA523" s="1358"/>
      <c r="FIB523" s="1358"/>
      <c r="FIC523" s="1358"/>
      <c r="FID523" s="1358"/>
      <c r="FIE523" s="1358"/>
      <c r="FIF523" s="1358"/>
      <c r="FIG523" s="1358"/>
      <c r="FIH523" s="1358"/>
      <c r="FII523" s="1358"/>
      <c r="FIJ523" s="1358"/>
      <c r="FIK523" s="1358"/>
      <c r="FIL523" s="1358"/>
      <c r="FIM523" s="1358"/>
      <c r="FIN523" s="1358"/>
      <c r="FIO523" s="1358"/>
      <c r="FIP523" s="1358"/>
      <c r="FIQ523" s="1358"/>
      <c r="FIR523" s="1358"/>
      <c r="FIS523" s="1358"/>
      <c r="FIT523" s="1358"/>
      <c r="FIU523" s="1358"/>
      <c r="FIV523" s="1358"/>
      <c r="FIW523" s="1358"/>
      <c r="FIX523" s="1358"/>
      <c r="FIY523" s="1358"/>
      <c r="FIZ523" s="1358"/>
      <c r="FJA523" s="1358"/>
      <c r="FJB523" s="1358"/>
      <c r="FJC523" s="1358"/>
      <c r="FJD523" s="1358"/>
      <c r="FJE523" s="1358"/>
      <c r="FJF523" s="1358"/>
      <c r="FJG523" s="1358"/>
      <c r="FJH523" s="1358"/>
      <c r="FJI523" s="1358"/>
      <c r="FJJ523" s="1358"/>
      <c r="FJK523" s="1358"/>
      <c r="FJL523" s="1358"/>
      <c r="FJM523" s="1358"/>
      <c r="FJN523" s="1358"/>
      <c r="FJO523" s="1358"/>
      <c r="FJP523" s="1358"/>
      <c r="FJQ523" s="1358"/>
      <c r="FJR523" s="1358"/>
      <c r="FJS523" s="1358"/>
      <c r="FJT523" s="1358"/>
      <c r="FJU523" s="1358"/>
      <c r="FJV523" s="1358"/>
      <c r="FJW523" s="1358"/>
      <c r="FJX523" s="1358"/>
      <c r="FJY523" s="1358"/>
      <c r="FJZ523" s="1358"/>
      <c r="FKA523" s="1358"/>
      <c r="FKB523" s="1358"/>
      <c r="FKC523" s="1358"/>
      <c r="FKD523" s="1358"/>
      <c r="FKE523" s="1358"/>
      <c r="FKF523" s="1358"/>
      <c r="FKG523" s="1358"/>
      <c r="FKH523" s="1358"/>
      <c r="FKI523" s="1358"/>
      <c r="FKJ523" s="1358"/>
      <c r="FKK523" s="1358"/>
      <c r="FKL523" s="1358"/>
      <c r="FKM523" s="1358"/>
      <c r="FKN523" s="1358"/>
      <c r="FKO523" s="1358"/>
      <c r="FKP523" s="1358"/>
      <c r="FKQ523" s="1358"/>
      <c r="FKR523" s="1358"/>
      <c r="FKS523" s="1358"/>
      <c r="FKT523" s="1358"/>
      <c r="FKU523" s="1358"/>
      <c r="FKV523" s="1358"/>
      <c r="FKW523" s="1358"/>
      <c r="FKX523" s="1358"/>
      <c r="FKY523" s="1358"/>
      <c r="FKZ523" s="1358"/>
      <c r="FLA523" s="1358"/>
      <c r="FLB523" s="1358"/>
      <c r="FLC523" s="1358"/>
      <c r="FLD523" s="1358"/>
      <c r="FLE523" s="1358"/>
      <c r="FLF523" s="1358"/>
      <c r="FLG523" s="1358"/>
      <c r="FLH523" s="1358"/>
      <c r="FLI523" s="1358"/>
      <c r="FLJ523" s="1358"/>
      <c r="FLK523" s="1358"/>
      <c r="FLL523" s="1358"/>
      <c r="FLM523" s="1358"/>
      <c r="FLN523" s="1358"/>
      <c r="FLO523" s="1358"/>
      <c r="FLP523" s="1358"/>
      <c r="FLQ523" s="1358"/>
      <c r="FLR523" s="1358"/>
      <c r="FLS523" s="1358"/>
      <c r="FLT523" s="1358"/>
      <c r="FLU523" s="1358"/>
      <c r="FLV523" s="1358"/>
      <c r="FLW523" s="1358"/>
      <c r="FLX523" s="1358"/>
      <c r="FLY523" s="1358"/>
      <c r="FLZ523" s="1358"/>
      <c r="FMA523" s="1358"/>
      <c r="FMB523" s="1358"/>
      <c r="FMC523" s="1358"/>
      <c r="FMD523" s="1358"/>
      <c r="FME523" s="1358"/>
      <c r="FMF523" s="1358"/>
      <c r="FMG523" s="1358"/>
      <c r="FMH523" s="1358"/>
      <c r="FMI523" s="1358"/>
      <c r="FMJ523" s="1358"/>
      <c r="FMK523" s="1358"/>
      <c r="FML523" s="1358"/>
      <c r="FMM523" s="1358"/>
      <c r="FMN523" s="1358"/>
      <c r="FMO523" s="1358"/>
      <c r="FMP523" s="1358"/>
      <c r="FMQ523" s="1358"/>
      <c r="FMR523" s="1358"/>
      <c r="FMS523" s="1358"/>
      <c r="FMT523" s="1358"/>
      <c r="FMU523" s="1358"/>
      <c r="FMV523" s="1358"/>
      <c r="FMW523" s="1358"/>
      <c r="FMX523" s="1358"/>
      <c r="FMY523" s="1358"/>
      <c r="FMZ523" s="1358"/>
      <c r="FNA523" s="1358"/>
      <c r="FNB523" s="1358"/>
      <c r="FNC523" s="1358"/>
      <c r="FND523" s="1358"/>
      <c r="FNE523" s="1358"/>
      <c r="FNF523" s="1358"/>
      <c r="FNG523" s="1358"/>
      <c r="FNH523" s="1358"/>
      <c r="FNI523" s="1358"/>
      <c r="FNJ523" s="1358"/>
      <c r="FNK523" s="1358"/>
      <c r="FNL523" s="1358"/>
      <c r="FNM523" s="1358"/>
      <c r="FNN523" s="1358"/>
      <c r="FNO523" s="1358"/>
      <c r="FNP523" s="1358"/>
      <c r="FNQ523" s="1358"/>
      <c r="FNR523" s="1358"/>
      <c r="FNS523" s="1358"/>
      <c r="FNT523" s="1358"/>
      <c r="FNU523" s="1358"/>
      <c r="FNV523" s="1358"/>
      <c r="FNW523" s="1358"/>
      <c r="FNX523" s="1358"/>
      <c r="FNY523" s="1358"/>
      <c r="FNZ523" s="1358"/>
      <c r="FOA523" s="1358"/>
      <c r="FOB523" s="1358"/>
      <c r="FOC523" s="1358"/>
      <c r="FOD523" s="1358"/>
      <c r="FOE523" s="1358"/>
      <c r="FOF523" s="1358"/>
      <c r="FOG523" s="1358"/>
      <c r="FOH523" s="1358"/>
      <c r="FOI523" s="1358"/>
      <c r="FOJ523" s="1358"/>
      <c r="FOK523" s="1358"/>
      <c r="FOL523" s="1358"/>
      <c r="FOM523" s="1358"/>
      <c r="FON523" s="1358"/>
      <c r="FOO523" s="1358"/>
      <c r="FOP523" s="1358"/>
      <c r="FOQ523" s="1358"/>
      <c r="FOR523" s="1358"/>
      <c r="FOS523" s="1358"/>
      <c r="FOT523" s="1358"/>
      <c r="FOU523" s="1358"/>
      <c r="FOV523" s="1358"/>
      <c r="FOW523" s="1358"/>
      <c r="FOX523" s="1358"/>
      <c r="FOY523" s="1358"/>
      <c r="FOZ523" s="1358"/>
      <c r="FPA523" s="1358"/>
      <c r="FPB523" s="1358"/>
      <c r="FPC523" s="1358"/>
      <c r="FPD523" s="1358"/>
      <c r="FPE523" s="1358"/>
      <c r="FPF523" s="1358"/>
      <c r="FPG523" s="1358"/>
      <c r="FPH523" s="1358"/>
      <c r="FPI523" s="1358"/>
      <c r="FPJ523" s="1358"/>
      <c r="FPK523" s="1358"/>
      <c r="FPL523" s="1358"/>
      <c r="FPM523" s="1358"/>
      <c r="FPN523" s="1358"/>
      <c r="FPO523" s="1358"/>
      <c r="FPP523" s="1358"/>
      <c r="FPQ523" s="1358"/>
      <c r="FPR523" s="1358"/>
      <c r="FPS523" s="1358"/>
      <c r="FPT523" s="1358"/>
      <c r="FPU523" s="1358"/>
      <c r="FPV523" s="1358"/>
      <c r="FPW523" s="1358"/>
      <c r="FPX523" s="1358"/>
      <c r="FPY523" s="1358"/>
      <c r="FPZ523" s="1358"/>
      <c r="FQA523" s="1358"/>
      <c r="FQB523" s="1358"/>
      <c r="FQC523" s="1358"/>
      <c r="FQD523" s="1358"/>
      <c r="FQE523" s="1358"/>
      <c r="FQF523" s="1358"/>
      <c r="FQG523" s="1358"/>
      <c r="FQH523" s="1358"/>
      <c r="FQI523" s="1358"/>
      <c r="FQJ523" s="1358"/>
      <c r="FQK523" s="1358"/>
      <c r="FQL523" s="1358"/>
      <c r="FQM523" s="1358"/>
      <c r="FQN523" s="1358"/>
      <c r="FQO523" s="1358"/>
      <c r="FQP523" s="1358"/>
      <c r="FQQ523" s="1358"/>
      <c r="FQR523" s="1358"/>
      <c r="FQS523" s="1358"/>
      <c r="FQT523" s="1358"/>
      <c r="FQU523" s="1358"/>
      <c r="FQV523" s="1358"/>
      <c r="FQW523" s="1358"/>
      <c r="FQX523" s="1358"/>
      <c r="FQY523" s="1358"/>
      <c r="FQZ523" s="1358"/>
      <c r="FRA523" s="1358"/>
      <c r="FRB523" s="1358"/>
      <c r="FRC523" s="1358"/>
      <c r="FRD523" s="1358"/>
      <c r="FRE523" s="1358"/>
      <c r="FRF523" s="1358"/>
      <c r="FRG523" s="1358"/>
      <c r="FRH523" s="1358"/>
      <c r="FRI523" s="1358"/>
      <c r="FRJ523" s="1358"/>
      <c r="FRK523" s="1358"/>
      <c r="FRL523" s="1358"/>
      <c r="FRM523" s="1358"/>
      <c r="FRN523" s="1358"/>
      <c r="FRO523" s="1358"/>
      <c r="FRP523" s="1358"/>
      <c r="FRQ523" s="1358"/>
      <c r="FRR523" s="1358"/>
      <c r="FRS523" s="1358"/>
      <c r="FRT523" s="1358"/>
      <c r="FRU523" s="1358"/>
      <c r="FRV523" s="1358"/>
      <c r="FRW523" s="1358"/>
      <c r="FRX523" s="1358"/>
      <c r="FRY523" s="1358"/>
      <c r="FRZ523" s="1358"/>
      <c r="FSA523" s="1358"/>
      <c r="FSB523" s="1358"/>
      <c r="FSC523" s="1358"/>
      <c r="FSD523" s="1358"/>
      <c r="FSE523" s="1358"/>
      <c r="FSF523" s="1358"/>
      <c r="FSG523" s="1358"/>
      <c r="FSH523" s="1358"/>
      <c r="FSI523" s="1358"/>
      <c r="FSJ523" s="1358"/>
      <c r="FSK523" s="1358"/>
      <c r="FSL523" s="1358"/>
      <c r="FSM523" s="1358"/>
      <c r="FSN523" s="1358"/>
      <c r="FSO523" s="1358"/>
      <c r="FSP523" s="1358"/>
      <c r="FSQ523" s="1358"/>
      <c r="FSR523" s="1358"/>
      <c r="FSS523" s="1358"/>
      <c r="FST523" s="1358"/>
      <c r="FSU523" s="1358"/>
      <c r="FSV523" s="1358"/>
      <c r="FSW523" s="1358"/>
      <c r="FSX523" s="1358"/>
      <c r="FSY523" s="1358"/>
      <c r="FSZ523" s="1358"/>
      <c r="FTA523" s="1358"/>
      <c r="FTB523" s="1358"/>
      <c r="FTC523" s="1358"/>
      <c r="FTD523" s="1358"/>
      <c r="FTE523" s="1358"/>
      <c r="FTF523" s="1358"/>
      <c r="FTG523" s="1358"/>
      <c r="FTH523" s="1358"/>
      <c r="FTI523" s="1358"/>
      <c r="FTJ523" s="1358"/>
      <c r="FTK523" s="1358"/>
      <c r="FTL523" s="1358"/>
      <c r="FTM523" s="1358"/>
      <c r="FTN523" s="1358"/>
      <c r="FTO523" s="1358"/>
      <c r="FTP523" s="1358"/>
      <c r="FTQ523" s="1358"/>
      <c r="FTR523" s="1358"/>
      <c r="FTS523" s="1358"/>
      <c r="FTT523" s="1358"/>
      <c r="FTU523" s="1358"/>
      <c r="FTV523" s="1358"/>
      <c r="FTW523" s="1358"/>
      <c r="FTX523" s="1358"/>
      <c r="FTY523" s="1358"/>
      <c r="FTZ523" s="1358"/>
      <c r="FUA523" s="1358"/>
      <c r="FUB523" s="1358"/>
      <c r="FUC523" s="1358"/>
      <c r="FUD523" s="1358"/>
      <c r="FUE523" s="1358"/>
      <c r="FUF523" s="1358"/>
      <c r="FUG523" s="1358"/>
      <c r="FUH523" s="1358"/>
      <c r="FUI523" s="1358"/>
      <c r="FUJ523" s="1358"/>
      <c r="FUK523" s="1358"/>
      <c r="FUL523" s="1358"/>
      <c r="FUM523" s="1358"/>
      <c r="FUN523" s="1358"/>
      <c r="FUO523" s="1358"/>
      <c r="FUP523" s="1358"/>
      <c r="FUQ523" s="1358"/>
      <c r="FUR523" s="1358"/>
      <c r="FUS523" s="1358"/>
      <c r="FUT523" s="1358"/>
      <c r="FUU523" s="1358"/>
      <c r="FUV523" s="1358"/>
      <c r="FUW523" s="1358"/>
      <c r="FUX523" s="1358"/>
      <c r="FUY523" s="1358"/>
      <c r="FUZ523" s="1358"/>
      <c r="FVA523" s="1358"/>
      <c r="FVB523" s="1358"/>
      <c r="FVC523" s="1358"/>
      <c r="FVD523" s="1358"/>
      <c r="FVE523" s="1358"/>
      <c r="FVF523" s="1358"/>
      <c r="FVG523" s="1358"/>
      <c r="FVH523" s="1358"/>
      <c r="FVI523" s="1358"/>
      <c r="FVJ523" s="1358"/>
      <c r="FVK523" s="1358"/>
      <c r="FVL523" s="1358"/>
      <c r="FVM523" s="1358"/>
      <c r="FVN523" s="1358"/>
      <c r="FVO523" s="1358"/>
      <c r="FVP523" s="1358"/>
      <c r="FVQ523" s="1358"/>
      <c r="FVR523" s="1358"/>
      <c r="FVS523" s="1358"/>
      <c r="FVT523" s="1358"/>
      <c r="FVU523" s="1358"/>
      <c r="FVV523" s="1358"/>
      <c r="FVW523" s="1358"/>
      <c r="FVX523" s="1358"/>
      <c r="FVY523" s="1358"/>
      <c r="FVZ523" s="1358"/>
      <c r="FWA523" s="1358"/>
      <c r="FWB523" s="1358"/>
      <c r="FWC523" s="1358"/>
      <c r="FWD523" s="1358"/>
      <c r="FWE523" s="1358"/>
      <c r="FWF523" s="1358"/>
      <c r="FWG523" s="1358"/>
      <c r="FWH523" s="1358"/>
      <c r="FWI523" s="1358"/>
      <c r="FWJ523" s="1358"/>
      <c r="FWK523" s="1358"/>
      <c r="FWL523" s="1358"/>
      <c r="FWM523" s="1358"/>
      <c r="FWN523" s="1358"/>
      <c r="FWO523" s="1358"/>
      <c r="FWP523" s="1358"/>
      <c r="FWQ523" s="1358"/>
      <c r="FWR523" s="1358"/>
      <c r="FWS523" s="1358"/>
      <c r="FWT523" s="1358"/>
      <c r="FWU523" s="1358"/>
      <c r="FWV523" s="1358"/>
      <c r="FWW523" s="1358"/>
      <c r="FWX523" s="1358"/>
      <c r="FWY523" s="1358"/>
      <c r="FWZ523" s="1358"/>
      <c r="FXA523" s="1358"/>
      <c r="FXB523" s="1358"/>
      <c r="FXC523" s="1358"/>
      <c r="FXD523" s="1358"/>
      <c r="FXE523" s="1358"/>
      <c r="FXF523" s="1358"/>
      <c r="FXG523" s="1358"/>
      <c r="FXH523" s="1358"/>
      <c r="FXI523" s="1358"/>
      <c r="FXJ523" s="1358"/>
      <c r="FXK523" s="1358"/>
      <c r="FXL523" s="1358"/>
      <c r="FXM523" s="1358"/>
      <c r="FXN523" s="1358"/>
      <c r="FXO523" s="1358"/>
      <c r="FXP523" s="1358"/>
      <c r="FXQ523" s="1358"/>
      <c r="FXR523" s="1358"/>
      <c r="FXS523" s="1358"/>
      <c r="FXT523" s="1358"/>
      <c r="FXU523" s="1358"/>
      <c r="FXV523" s="1358"/>
      <c r="FXW523" s="1358"/>
      <c r="FXX523" s="1358"/>
      <c r="FXY523" s="1358"/>
      <c r="FXZ523" s="1358"/>
      <c r="FYA523" s="1358"/>
      <c r="FYB523" s="1358"/>
      <c r="FYC523" s="1358"/>
      <c r="FYD523" s="1358"/>
      <c r="FYE523" s="1358"/>
      <c r="FYF523" s="1358"/>
      <c r="FYG523" s="1358"/>
      <c r="FYH523" s="1358"/>
      <c r="FYI523" s="1358"/>
      <c r="FYJ523" s="1358"/>
      <c r="FYK523" s="1358"/>
      <c r="FYL523" s="1358"/>
      <c r="FYM523" s="1358"/>
      <c r="FYN523" s="1358"/>
      <c r="FYO523" s="1358"/>
      <c r="FYP523" s="1358"/>
      <c r="FYQ523" s="1358"/>
      <c r="FYR523" s="1358"/>
      <c r="FYS523" s="1358"/>
      <c r="FYT523" s="1358"/>
      <c r="FYU523" s="1358"/>
      <c r="FYV523" s="1358"/>
      <c r="FYW523" s="1358"/>
      <c r="FYX523" s="1358"/>
      <c r="FYY523" s="1358"/>
      <c r="FYZ523" s="1358"/>
      <c r="FZA523" s="1358"/>
      <c r="FZB523" s="1358"/>
      <c r="FZC523" s="1358"/>
      <c r="FZD523" s="1358"/>
      <c r="FZE523" s="1358"/>
      <c r="FZF523" s="1358"/>
      <c r="FZG523" s="1358"/>
      <c r="FZH523" s="1358"/>
      <c r="FZI523" s="1358"/>
      <c r="FZJ523" s="1358"/>
      <c r="FZK523" s="1358"/>
      <c r="FZL523" s="1358"/>
      <c r="FZM523" s="1358"/>
      <c r="FZN523" s="1358"/>
      <c r="FZO523" s="1358"/>
      <c r="FZP523" s="1358"/>
      <c r="FZQ523" s="1358"/>
      <c r="FZR523" s="1358"/>
      <c r="FZS523" s="1358"/>
      <c r="FZT523" s="1358"/>
      <c r="FZU523" s="1358"/>
      <c r="FZV523" s="1358"/>
      <c r="FZW523" s="1358"/>
      <c r="FZX523" s="1358"/>
      <c r="FZY523" s="1358"/>
      <c r="FZZ523" s="1358"/>
      <c r="GAA523" s="1358"/>
      <c r="GAB523" s="1358"/>
      <c r="GAC523" s="1358"/>
      <c r="GAD523" s="1358"/>
      <c r="GAE523" s="1358"/>
      <c r="GAF523" s="1358"/>
      <c r="GAG523" s="1358"/>
      <c r="GAH523" s="1358"/>
      <c r="GAI523" s="1358"/>
      <c r="GAJ523" s="1358"/>
      <c r="GAK523" s="1358"/>
      <c r="GAL523" s="1358"/>
      <c r="GAM523" s="1358"/>
      <c r="GAN523" s="1358"/>
      <c r="GAO523" s="1358"/>
      <c r="GAP523" s="1358"/>
      <c r="GAQ523" s="1358"/>
      <c r="GAR523" s="1358"/>
      <c r="GAS523" s="1358"/>
      <c r="GAT523" s="1358"/>
      <c r="GAU523" s="1358"/>
      <c r="GAV523" s="1358"/>
      <c r="GAW523" s="1358"/>
      <c r="GAX523" s="1358"/>
      <c r="GAY523" s="1358"/>
      <c r="GAZ523" s="1358"/>
      <c r="GBA523" s="1358"/>
      <c r="GBB523" s="1358"/>
      <c r="GBC523" s="1358"/>
      <c r="GBD523" s="1358"/>
      <c r="GBE523" s="1358"/>
      <c r="GBF523" s="1358"/>
      <c r="GBG523" s="1358"/>
      <c r="GBH523" s="1358"/>
      <c r="GBI523" s="1358"/>
      <c r="GBJ523" s="1358"/>
      <c r="GBK523" s="1358"/>
      <c r="GBL523" s="1358"/>
      <c r="GBM523" s="1358"/>
      <c r="GBN523" s="1358"/>
      <c r="GBO523" s="1358"/>
      <c r="GBP523" s="1358"/>
      <c r="GBQ523" s="1358"/>
      <c r="GBR523" s="1358"/>
      <c r="GBS523" s="1358"/>
      <c r="GBT523" s="1358"/>
      <c r="GBU523" s="1358"/>
      <c r="GBV523" s="1358"/>
      <c r="GBW523" s="1358"/>
      <c r="GBX523" s="1358"/>
      <c r="GBY523" s="1358"/>
      <c r="GBZ523" s="1358"/>
      <c r="GCA523" s="1358"/>
      <c r="GCB523" s="1358"/>
      <c r="GCC523" s="1358"/>
      <c r="GCD523" s="1358"/>
      <c r="GCE523" s="1358"/>
      <c r="GCF523" s="1358"/>
      <c r="GCG523" s="1358"/>
      <c r="GCH523" s="1358"/>
      <c r="GCI523" s="1358"/>
      <c r="GCJ523" s="1358"/>
      <c r="GCK523" s="1358"/>
      <c r="GCL523" s="1358"/>
      <c r="GCM523" s="1358"/>
      <c r="GCN523" s="1358"/>
      <c r="GCO523" s="1358"/>
      <c r="GCP523" s="1358"/>
      <c r="GCQ523" s="1358"/>
      <c r="GCR523" s="1358"/>
      <c r="GCS523" s="1358"/>
      <c r="GCT523" s="1358"/>
      <c r="GCU523" s="1358"/>
      <c r="GCV523" s="1358"/>
      <c r="GCW523" s="1358"/>
      <c r="GCX523" s="1358"/>
      <c r="GCY523" s="1358"/>
      <c r="GCZ523" s="1358"/>
      <c r="GDA523" s="1358"/>
      <c r="GDB523" s="1358"/>
      <c r="GDC523" s="1358"/>
      <c r="GDD523" s="1358"/>
      <c r="GDE523" s="1358"/>
      <c r="GDF523" s="1358"/>
      <c r="GDG523" s="1358"/>
      <c r="GDH523" s="1358"/>
      <c r="GDI523" s="1358"/>
      <c r="GDJ523" s="1358"/>
      <c r="GDK523" s="1358"/>
      <c r="GDL523" s="1358"/>
      <c r="GDM523" s="1358"/>
      <c r="GDN523" s="1358"/>
      <c r="GDO523" s="1358"/>
      <c r="GDP523" s="1358"/>
      <c r="GDQ523" s="1358"/>
      <c r="GDR523" s="1358"/>
      <c r="GDS523" s="1358"/>
      <c r="GDT523" s="1358"/>
      <c r="GDU523" s="1358"/>
      <c r="GDV523" s="1358"/>
      <c r="GDW523" s="1358"/>
      <c r="GDX523" s="1358"/>
      <c r="GDY523" s="1358"/>
      <c r="GDZ523" s="1358"/>
      <c r="GEA523" s="1358"/>
      <c r="GEB523" s="1358"/>
      <c r="GEC523" s="1358"/>
      <c r="GED523" s="1358"/>
      <c r="GEE523" s="1358"/>
      <c r="GEF523" s="1358"/>
      <c r="GEG523" s="1358"/>
      <c r="GEH523" s="1358"/>
      <c r="GEI523" s="1358"/>
      <c r="GEJ523" s="1358"/>
      <c r="GEK523" s="1358"/>
      <c r="GEL523" s="1358"/>
      <c r="GEM523" s="1358"/>
      <c r="GEN523" s="1358"/>
      <c r="GEO523" s="1358"/>
      <c r="GEP523" s="1358"/>
      <c r="GEQ523" s="1358"/>
      <c r="GER523" s="1358"/>
      <c r="GES523" s="1358"/>
      <c r="GET523" s="1358"/>
      <c r="GEU523" s="1358"/>
      <c r="GEV523" s="1358"/>
      <c r="GEW523" s="1358"/>
      <c r="GEX523" s="1358"/>
      <c r="GEY523" s="1358"/>
      <c r="GEZ523" s="1358"/>
      <c r="GFA523" s="1358"/>
      <c r="GFB523" s="1358"/>
      <c r="GFC523" s="1358"/>
      <c r="GFD523" s="1358"/>
      <c r="GFE523" s="1358"/>
      <c r="GFF523" s="1358"/>
      <c r="GFG523" s="1358"/>
      <c r="GFH523" s="1358"/>
      <c r="GFI523" s="1358"/>
      <c r="GFJ523" s="1358"/>
      <c r="GFK523" s="1358"/>
      <c r="GFL523" s="1358"/>
      <c r="GFM523" s="1358"/>
      <c r="GFN523" s="1358"/>
      <c r="GFO523" s="1358"/>
      <c r="GFP523" s="1358"/>
      <c r="GFQ523" s="1358"/>
      <c r="GFR523" s="1358"/>
      <c r="GFS523" s="1358"/>
      <c r="GFT523" s="1358"/>
      <c r="GFU523" s="1358"/>
      <c r="GFV523" s="1358"/>
      <c r="GFW523" s="1358"/>
      <c r="GFX523" s="1358"/>
      <c r="GFY523" s="1358"/>
      <c r="GFZ523" s="1358"/>
      <c r="GGA523" s="1358"/>
      <c r="GGB523" s="1358"/>
      <c r="GGC523" s="1358"/>
      <c r="GGD523" s="1358"/>
      <c r="GGE523" s="1358"/>
      <c r="GGF523" s="1358"/>
      <c r="GGG523" s="1358"/>
      <c r="GGH523" s="1358"/>
      <c r="GGI523" s="1358"/>
      <c r="GGJ523" s="1358"/>
      <c r="GGK523" s="1358"/>
      <c r="GGL523" s="1358"/>
      <c r="GGM523" s="1358"/>
      <c r="GGN523" s="1358"/>
      <c r="GGO523" s="1358"/>
      <c r="GGP523" s="1358"/>
      <c r="GGQ523" s="1358"/>
      <c r="GGR523" s="1358"/>
      <c r="GGS523" s="1358"/>
      <c r="GGT523" s="1358"/>
      <c r="GGU523" s="1358"/>
      <c r="GGV523" s="1358"/>
      <c r="GGW523" s="1358"/>
      <c r="GGX523" s="1358"/>
      <c r="GGY523" s="1358"/>
      <c r="GGZ523" s="1358"/>
      <c r="GHA523" s="1358"/>
      <c r="GHB523" s="1358"/>
      <c r="GHC523" s="1358"/>
      <c r="GHD523" s="1358"/>
      <c r="GHE523" s="1358"/>
      <c r="GHF523" s="1358"/>
      <c r="GHG523" s="1358"/>
      <c r="GHH523" s="1358"/>
      <c r="GHI523" s="1358"/>
      <c r="GHJ523" s="1358"/>
      <c r="GHK523" s="1358"/>
      <c r="GHL523" s="1358"/>
      <c r="GHM523" s="1358"/>
      <c r="GHN523" s="1358"/>
      <c r="GHO523" s="1358"/>
      <c r="GHP523" s="1358"/>
      <c r="GHQ523" s="1358"/>
      <c r="GHR523" s="1358"/>
      <c r="GHS523" s="1358"/>
      <c r="GHT523" s="1358"/>
      <c r="GHU523" s="1358"/>
      <c r="GHV523" s="1358"/>
      <c r="GHW523" s="1358"/>
      <c r="GHX523" s="1358"/>
      <c r="GHY523" s="1358"/>
      <c r="GHZ523" s="1358"/>
      <c r="GIA523" s="1358"/>
      <c r="GIB523" s="1358"/>
      <c r="GIC523" s="1358"/>
      <c r="GID523" s="1358"/>
      <c r="GIE523" s="1358"/>
      <c r="GIF523" s="1358"/>
      <c r="GIG523" s="1358"/>
      <c r="GIH523" s="1358"/>
      <c r="GII523" s="1358"/>
      <c r="GIJ523" s="1358"/>
      <c r="GIK523" s="1358"/>
      <c r="GIL523" s="1358"/>
      <c r="GIM523" s="1358"/>
      <c r="GIN523" s="1358"/>
      <c r="GIO523" s="1358"/>
      <c r="GIP523" s="1358"/>
      <c r="GIQ523" s="1358"/>
      <c r="GIR523" s="1358"/>
      <c r="GIS523" s="1358"/>
      <c r="GIT523" s="1358"/>
      <c r="GIU523" s="1358"/>
      <c r="GIV523" s="1358"/>
      <c r="GIW523" s="1358"/>
      <c r="GIX523" s="1358"/>
      <c r="GIY523" s="1358"/>
      <c r="GIZ523" s="1358"/>
      <c r="GJA523" s="1358"/>
      <c r="GJB523" s="1358"/>
      <c r="GJC523" s="1358"/>
      <c r="GJD523" s="1358"/>
      <c r="GJE523" s="1358"/>
      <c r="GJF523" s="1358"/>
      <c r="GJG523" s="1358"/>
      <c r="GJH523" s="1358"/>
      <c r="GJI523" s="1358"/>
      <c r="GJJ523" s="1358"/>
      <c r="GJK523" s="1358"/>
      <c r="GJL523" s="1358"/>
      <c r="GJM523" s="1358"/>
      <c r="GJN523" s="1358"/>
      <c r="GJO523" s="1358"/>
      <c r="GJP523" s="1358"/>
      <c r="GJQ523" s="1358"/>
      <c r="GJR523" s="1358"/>
      <c r="GJS523" s="1358"/>
      <c r="GJT523" s="1358"/>
      <c r="GJU523" s="1358"/>
      <c r="GJV523" s="1358"/>
      <c r="GJW523" s="1358"/>
      <c r="GJX523" s="1358"/>
      <c r="GJY523" s="1358"/>
      <c r="GJZ523" s="1358"/>
      <c r="GKA523" s="1358"/>
      <c r="GKB523" s="1358"/>
      <c r="GKC523" s="1358"/>
      <c r="GKD523" s="1358"/>
      <c r="GKE523" s="1358"/>
      <c r="GKF523" s="1358"/>
      <c r="GKG523" s="1358"/>
      <c r="GKH523" s="1358"/>
      <c r="GKI523" s="1358"/>
      <c r="GKJ523" s="1358"/>
      <c r="GKK523" s="1358"/>
      <c r="GKL523" s="1358"/>
      <c r="GKM523" s="1358"/>
      <c r="GKN523" s="1358"/>
      <c r="GKO523" s="1358"/>
      <c r="GKP523" s="1358"/>
      <c r="GKQ523" s="1358"/>
      <c r="GKR523" s="1358"/>
      <c r="GKS523" s="1358"/>
      <c r="GKT523" s="1358"/>
      <c r="GKU523" s="1358"/>
      <c r="GKV523" s="1358"/>
      <c r="GKW523" s="1358"/>
      <c r="GKX523" s="1358"/>
      <c r="GKY523" s="1358"/>
      <c r="GKZ523" s="1358"/>
      <c r="GLA523" s="1358"/>
      <c r="GLB523" s="1358"/>
      <c r="GLC523" s="1358"/>
      <c r="GLD523" s="1358"/>
      <c r="GLE523" s="1358"/>
      <c r="GLF523" s="1358"/>
      <c r="GLG523" s="1358"/>
      <c r="GLH523" s="1358"/>
      <c r="GLI523" s="1358"/>
      <c r="GLJ523" s="1358"/>
      <c r="GLK523" s="1358"/>
      <c r="GLL523" s="1358"/>
      <c r="GLM523" s="1358"/>
      <c r="GLN523" s="1358"/>
      <c r="GLO523" s="1358"/>
      <c r="GLP523" s="1358"/>
      <c r="GLQ523" s="1358"/>
      <c r="GLR523" s="1358"/>
      <c r="GLS523" s="1358"/>
      <c r="GLT523" s="1358"/>
      <c r="GLU523" s="1358"/>
      <c r="GLV523" s="1358"/>
      <c r="GLW523" s="1358"/>
      <c r="GLX523" s="1358"/>
      <c r="GLY523" s="1358"/>
      <c r="GLZ523" s="1358"/>
      <c r="GMA523" s="1358"/>
      <c r="GMB523" s="1358"/>
      <c r="GMC523" s="1358"/>
      <c r="GMD523" s="1358"/>
      <c r="GME523" s="1358"/>
      <c r="GMF523" s="1358"/>
      <c r="GMG523" s="1358"/>
      <c r="GMH523" s="1358"/>
      <c r="GMI523" s="1358"/>
      <c r="GMJ523" s="1358"/>
      <c r="GMK523" s="1358"/>
      <c r="GML523" s="1358"/>
      <c r="GMM523" s="1358"/>
      <c r="GMN523" s="1358"/>
      <c r="GMO523" s="1358"/>
      <c r="GMP523" s="1358"/>
      <c r="GMQ523" s="1358"/>
      <c r="GMR523" s="1358"/>
      <c r="GMS523" s="1358"/>
      <c r="GMT523" s="1358"/>
      <c r="GMU523" s="1358"/>
      <c r="GMV523" s="1358"/>
      <c r="GMW523" s="1358"/>
      <c r="GMX523" s="1358"/>
      <c r="GMY523" s="1358"/>
      <c r="GMZ523" s="1358"/>
      <c r="GNA523" s="1358"/>
      <c r="GNB523" s="1358"/>
      <c r="GNC523" s="1358"/>
      <c r="GND523" s="1358"/>
      <c r="GNE523" s="1358"/>
      <c r="GNF523" s="1358"/>
      <c r="GNG523" s="1358"/>
      <c r="GNH523" s="1358"/>
      <c r="GNI523" s="1358"/>
      <c r="GNJ523" s="1358"/>
      <c r="GNK523" s="1358"/>
      <c r="GNL523" s="1358"/>
      <c r="GNM523" s="1358"/>
      <c r="GNN523" s="1358"/>
      <c r="GNO523" s="1358"/>
      <c r="GNP523" s="1358"/>
      <c r="GNQ523" s="1358"/>
      <c r="GNR523" s="1358"/>
      <c r="GNS523" s="1358"/>
      <c r="GNT523" s="1358"/>
      <c r="GNU523" s="1358"/>
      <c r="GNV523" s="1358"/>
      <c r="GNW523" s="1358"/>
      <c r="GNX523" s="1358"/>
      <c r="GNY523" s="1358"/>
      <c r="GNZ523" s="1358"/>
      <c r="GOA523" s="1358"/>
      <c r="GOB523" s="1358"/>
      <c r="GOC523" s="1358"/>
      <c r="GOD523" s="1358"/>
      <c r="GOE523" s="1358"/>
      <c r="GOF523" s="1358"/>
      <c r="GOG523" s="1358"/>
      <c r="GOH523" s="1358"/>
      <c r="GOI523" s="1358"/>
      <c r="GOJ523" s="1358"/>
      <c r="GOK523" s="1358"/>
      <c r="GOL523" s="1358"/>
      <c r="GOM523" s="1358"/>
      <c r="GON523" s="1358"/>
      <c r="GOO523" s="1358"/>
      <c r="GOP523" s="1358"/>
      <c r="GOQ523" s="1358"/>
      <c r="GOR523" s="1358"/>
      <c r="GOS523" s="1358"/>
      <c r="GOT523" s="1358"/>
      <c r="GOU523" s="1358"/>
      <c r="GOV523" s="1358"/>
      <c r="GOW523" s="1358"/>
      <c r="GOX523" s="1358"/>
      <c r="GOY523" s="1358"/>
      <c r="GOZ523" s="1358"/>
      <c r="GPA523" s="1358"/>
      <c r="GPB523" s="1358"/>
      <c r="GPC523" s="1358"/>
      <c r="GPD523" s="1358"/>
      <c r="GPE523" s="1358"/>
      <c r="GPF523" s="1358"/>
      <c r="GPG523" s="1358"/>
      <c r="GPH523" s="1358"/>
      <c r="GPI523" s="1358"/>
      <c r="GPJ523" s="1358"/>
      <c r="GPK523" s="1358"/>
      <c r="GPL523" s="1358"/>
      <c r="GPM523" s="1358"/>
      <c r="GPN523" s="1358"/>
      <c r="GPO523" s="1358"/>
      <c r="GPP523" s="1358"/>
      <c r="GPQ523" s="1358"/>
      <c r="GPR523" s="1358"/>
      <c r="GPS523" s="1358"/>
      <c r="GPT523" s="1358"/>
      <c r="GPU523" s="1358"/>
      <c r="GPV523" s="1358"/>
      <c r="GPW523" s="1358"/>
      <c r="GPX523" s="1358"/>
      <c r="GPY523" s="1358"/>
      <c r="GPZ523" s="1358"/>
      <c r="GQA523" s="1358"/>
      <c r="GQB523" s="1358"/>
      <c r="GQC523" s="1358"/>
      <c r="GQD523" s="1358"/>
      <c r="GQE523" s="1358"/>
      <c r="GQF523" s="1358"/>
      <c r="GQG523" s="1358"/>
      <c r="GQH523" s="1358"/>
      <c r="GQI523" s="1358"/>
      <c r="GQJ523" s="1358"/>
      <c r="GQK523" s="1358"/>
      <c r="GQL523" s="1358"/>
      <c r="GQM523" s="1358"/>
      <c r="GQN523" s="1358"/>
      <c r="GQO523" s="1358"/>
      <c r="GQP523" s="1358"/>
      <c r="GQQ523" s="1358"/>
      <c r="GQR523" s="1358"/>
      <c r="GQS523" s="1358"/>
      <c r="GQT523" s="1358"/>
      <c r="GQU523" s="1358"/>
      <c r="GQV523" s="1358"/>
      <c r="GQW523" s="1358"/>
      <c r="GQX523" s="1358"/>
      <c r="GQY523" s="1358"/>
      <c r="GQZ523" s="1358"/>
      <c r="GRA523" s="1358"/>
      <c r="GRB523" s="1358"/>
      <c r="GRC523" s="1358"/>
      <c r="GRD523" s="1358"/>
      <c r="GRE523" s="1358"/>
      <c r="GRF523" s="1358"/>
      <c r="GRG523" s="1358"/>
      <c r="GRH523" s="1358"/>
      <c r="GRI523" s="1358"/>
      <c r="GRJ523" s="1358"/>
      <c r="GRK523" s="1358"/>
      <c r="GRL523" s="1358"/>
      <c r="GRM523" s="1358"/>
      <c r="GRN523" s="1358"/>
      <c r="GRO523" s="1358"/>
      <c r="GRP523" s="1358"/>
      <c r="GRQ523" s="1358"/>
      <c r="GRR523" s="1358"/>
      <c r="GRS523" s="1358"/>
      <c r="GRT523" s="1358"/>
      <c r="GRU523" s="1358"/>
      <c r="GRV523" s="1358"/>
      <c r="GRW523" s="1358"/>
      <c r="GRX523" s="1358"/>
      <c r="GRY523" s="1358"/>
      <c r="GRZ523" s="1358"/>
      <c r="GSA523" s="1358"/>
      <c r="GSB523" s="1358"/>
      <c r="GSC523" s="1358"/>
      <c r="GSD523" s="1358"/>
      <c r="GSE523" s="1358"/>
      <c r="GSF523" s="1358"/>
      <c r="GSG523" s="1358"/>
      <c r="GSH523" s="1358"/>
      <c r="GSI523" s="1358"/>
      <c r="GSJ523" s="1358"/>
      <c r="GSK523" s="1358"/>
      <c r="GSL523" s="1358"/>
      <c r="GSM523" s="1358"/>
      <c r="GSN523" s="1358"/>
      <c r="GSO523" s="1358"/>
      <c r="GSP523" s="1358"/>
      <c r="GSQ523" s="1358"/>
      <c r="GSR523" s="1358"/>
      <c r="GSS523" s="1358"/>
      <c r="GST523" s="1358"/>
      <c r="GSU523" s="1358"/>
      <c r="GSV523" s="1358"/>
      <c r="GSW523" s="1358"/>
      <c r="GSX523" s="1358"/>
      <c r="GSY523" s="1358"/>
      <c r="GSZ523" s="1358"/>
      <c r="GTA523" s="1358"/>
      <c r="GTB523" s="1358"/>
      <c r="GTC523" s="1358"/>
      <c r="GTD523" s="1358"/>
      <c r="GTE523" s="1358"/>
      <c r="GTF523" s="1358"/>
      <c r="GTG523" s="1358"/>
      <c r="GTH523" s="1358"/>
      <c r="GTI523" s="1358"/>
      <c r="GTJ523" s="1358"/>
      <c r="GTK523" s="1358"/>
      <c r="GTL523" s="1358"/>
      <c r="GTM523" s="1358"/>
      <c r="GTN523" s="1358"/>
      <c r="GTO523" s="1358"/>
      <c r="GTP523" s="1358"/>
      <c r="GTQ523" s="1358"/>
      <c r="GTR523" s="1358"/>
      <c r="GTS523" s="1358"/>
      <c r="GTT523" s="1358"/>
      <c r="GTU523" s="1358"/>
      <c r="GTV523" s="1358"/>
      <c r="GTW523" s="1358"/>
      <c r="GTX523" s="1358"/>
      <c r="GTY523" s="1358"/>
      <c r="GTZ523" s="1358"/>
      <c r="GUA523" s="1358"/>
      <c r="GUB523" s="1358"/>
      <c r="GUC523" s="1358"/>
      <c r="GUD523" s="1358"/>
      <c r="GUE523" s="1358"/>
      <c r="GUF523" s="1358"/>
      <c r="GUG523" s="1358"/>
      <c r="GUH523" s="1358"/>
      <c r="GUI523" s="1358"/>
      <c r="GUJ523" s="1358"/>
      <c r="GUK523" s="1358"/>
      <c r="GUL523" s="1358"/>
      <c r="GUM523" s="1358"/>
      <c r="GUN523" s="1358"/>
      <c r="GUO523" s="1358"/>
      <c r="GUP523" s="1358"/>
      <c r="GUQ523" s="1358"/>
      <c r="GUR523" s="1358"/>
      <c r="GUS523" s="1358"/>
      <c r="GUT523" s="1358"/>
      <c r="GUU523" s="1358"/>
      <c r="GUV523" s="1358"/>
      <c r="GUW523" s="1358"/>
      <c r="GUX523" s="1358"/>
      <c r="GUY523" s="1358"/>
      <c r="GUZ523" s="1358"/>
      <c r="GVA523" s="1358"/>
      <c r="GVB523" s="1358"/>
      <c r="GVC523" s="1358"/>
      <c r="GVD523" s="1358"/>
      <c r="GVE523" s="1358"/>
      <c r="GVF523" s="1358"/>
      <c r="GVG523" s="1358"/>
      <c r="GVH523" s="1358"/>
      <c r="GVI523" s="1358"/>
      <c r="GVJ523" s="1358"/>
      <c r="GVK523" s="1358"/>
      <c r="GVL523" s="1358"/>
      <c r="GVM523" s="1358"/>
      <c r="GVN523" s="1358"/>
      <c r="GVO523" s="1358"/>
      <c r="GVP523" s="1358"/>
      <c r="GVQ523" s="1358"/>
      <c r="GVR523" s="1358"/>
      <c r="GVS523" s="1358"/>
      <c r="GVT523" s="1358"/>
      <c r="GVU523" s="1358"/>
      <c r="GVV523" s="1358"/>
      <c r="GVW523" s="1358"/>
      <c r="GVX523" s="1358"/>
      <c r="GVY523" s="1358"/>
      <c r="GVZ523" s="1358"/>
      <c r="GWA523" s="1358"/>
      <c r="GWB523" s="1358"/>
      <c r="GWC523" s="1358"/>
      <c r="GWD523" s="1358"/>
      <c r="GWE523" s="1358"/>
      <c r="GWF523" s="1358"/>
      <c r="GWG523" s="1358"/>
      <c r="GWH523" s="1358"/>
      <c r="GWI523" s="1358"/>
      <c r="GWJ523" s="1358"/>
      <c r="GWK523" s="1358"/>
      <c r="GWL523" s="1358"/>
      <c r="GWM523" s="1358"/>
      <c r="GWN523" s="1358"/>
      <c r="GWO523" s="1358"/>
      <c r="GWP523" s="1358"/>
      <c r="GWQ523" s="1358"/>
      <c r="GWR523" s="1358"/>
      <c r="GWS523" s="1358"/>
      <c r="GWT523" s="1358"/>
      <c r="GWU523" s="1358"/>
      <c r="GWV523" s="1358"/>
      <c r="GWW523" s="1358"/>
      <c r="GWX523" s="1358"/>
      <c r="GWY523" s="1358"/>
      <c r="GWZ523" s="1358"/>
      <c r="GXA523" s="1358"/>
      <c r="GXB523" s="1358"/>
      <c r="GXC523" s="1358"/>
      <c r="GXD523" s="1358"/>
      <c r="GXE523" s="1358"/>
      <c r="GXF523" s="1358"/>
      <c r="GXG523" s="1358"/>
      <c r="GXH523" s="1358"/>
      <c r="GXI523" s="1358"/>
      <c r="GXJ523" s="1358"/>
      <c r="GXK523" s="1358"/>
      <c r="GXL523" s="1358"/>
      <c r="GXM523" s="1358"/>
      <c r="GXN523" s="1358"/>
      <c r="GXO523" s="1358"/>
      <c r="GXP523" s="1358"/>
      <c r="GXQ523" s="1358"/>
      <c r="GXR523" s="1358"/>
      <c r="GXS523" s="1358"/>
      <c r="GXT523" s="1358"/>
      <c r="GXU523" s="1358"/>
      <c r="GXV523" s="1358"/>
      <c r="GXW523" s="1358"/>
      <c r="GXX523" s="1358"/>
      <c r="GXY523" s="1358"/>
      <c r="GXZ523" s="1358"/>
      <c r="GYA523" s="1358"/>
      <c r="GYB523" s="1358"/>
      <c r="GYC523" s="1358"/>
      <c r="GYD523" s="1358"/>
      <c r="GYE523" s="1358"/>
      <c r="GYF523" s="1358"/>
      <c r="GYG523" s="1358"/>
      <c r="GYH523" s="1358"/>
      <c r="GYI523" s="1358"/>
      <c r="GYJ523" s="1358"/>
      <c r="GYK523" s="1358"/>
      <c r="GYL523" s="1358"/>
      <c r="GYM523" s="1358"/>
      <c r="GYN523" s="1358"/>
      <c r="GYO523" s="1358"/>
      <c r="GYP523" s="1358"/>
      <c r="GYQ523" s="1358"/>
      <c r="GYR523" s="1358"/>
      <c r="GYS523" s="1358"/>
      <c r="GYT523" s="1358"/>
      <c r="GYU523" s="1358"/>
      <c r="GYV523" s="1358"/>
      <c r="GYW523" s="1358"/>
      <c r="GYX523" s="1358"/>
      <c r="GYY523" s="1358"/>
      <c r="GYZ523" s="1358"/>
      <c r="GZA523" s="1358"/>
      <c r="GZB523" s="1358"/>
      <c r="GZC523" s="1358"/>
      <c r="GZD523" s="1358"/>
      <c r="GZE523" s="1358"/>
      <c r="GZF523" s="1358"/>
      <c r="GZG523" s="1358"/>
      <c r="GZH523" s="1358"/>
      <c r="GZI523" s="1358"/>
      <c r="GZJ523" s="1358"/>
      <c r="GZK523" s="1358"/>
      <c r="GZL523" s="1358"/>
      <c r="GZM523" s="1358"/>
      <c r="GZN523" s="1358"/>
      <c r="GZO523" s="1358"/>
      <c r="GZP523" s="1358"/>
      <c r="GZQ523" s="1358"/>
      <c r="GZR523" s="1358"/>
      <c r="GZS523" s="1358"/>
      <c r="GZT523" s="1358"/>
      <c r="GZU523" s="1358"/>
      <c r="GZV523" s="1358"/>
      <c r="GZW523" s="1358"/>
      <c r="GZX523" s="1358"/>
      <c r="GZY523" s="1358"/>
      <c r="GZZ523" s="1358"/>
      <c r="HAA523" s="1358"/>
      <c r="HAB523" s="1358"/>
      <c r="HAC523" s="1358"/>
      <c r="HAD523" s="1358"/>
      <c r="HAE523" s="1358"/>
      <c r="HAF523" s="1358"/>
      <c r="HAG523" s="1358"/>
      <c r="HAH523" s="1358"/>
      <c r="HAI523" s="1358"/>
      <c r="HAJ523" s="1358"/>
      <c r="HAK523" s="1358"/>
      <c r="HAL523" s="1358"/>
      <c r="HAM523" s="1358"/>
      <c r="HAN523" s="1358"/>
      <c r="HAO523" s="1358"/>
      <c r="HAP523" s="1358"/>
      <c r="HAQ523" s="1358"/>
      <c r="HAR523" s="1358"/>
      <c r="HAS523" s="1358"/>
      <c r="HAT523" s="1358"/>
      <c r="HAU523" s="1358"/>
      <c r="HAV523" s="1358"/>
      <c r="HAW523" s="1358"/>
      <c r="HAX523" s="1358"/>
      <c r="HAY523" s="1358"/>
      <c r="HAZ523" s="1358"/>
      <c r="HBA523" s="1358"/>
      <c r="HBB523" s="1358"/>
      <c r="HBC523" s="1358"/>
      <c r="HBD523" s="1358"/>
      <c r="HBE523" s="1358"/>
      <c r="HBF523" s="1358"/>
      <c r="HBG523" s="1358"/>
      <c r="HBH523" s="1358"/>
      <c r="HBI523" s="1358"/>
      <c r="HBJ523" s="1358"/>
      <c r="HBK523" s="1358"/>
      <c r="HBL523" s="1358"/>
      <c r="HBM523" s="1358"/>
      <c r="HBN523" s="1358"/>
      <c r="HBO523" s="1358"/>
      <c r="HBP523" s="1358"/>
      <c r="HBQ523" s="1358"/>
      <c r="HBR523" s="1358"/>
      <c r="HBS523" s="1358"/>
      <c r="HBT523" s="1358"/>
      <c r="HBU523" s="1358"/>
      <c r="HBV523" s="1358"/>
      <c r="HBW523" s="1358"/>
      <c r="HBX523" s="1358"/>
      <c r="HBY523" s="1358"/>
      <c r="HBZ523" s="1358"/>
      <c r="HCA523" s="1358"/>
      <c r="HCB523" s="1358"/>
      <c r="HCC523" s="1358"/>
      <c r="HCD523" s="1358"/>
      <c r="HCE523" s="1358"/>
      <c r="HCF523" s="1358"/>
      <c r="HCG523" s="1358"/>
      <c r="HCH523" s="1358"/>
      <c r="HCI523" s="1358"/>
      <c r="HCJ523" s="1358"/>
      <c r="HCK523" s="1358"/>
      <c r="HCL523" s="1358"/>
      <c r="HCM523" s="1358"/>
      <c r="HCN523" s="1358"/>
      <c r="HCO523" s="1358"/>
      <c r="HCP523" s="1358"/>
      <c r="HCQ523" s="1358"/>
      <c r="HCR523" s="1358"/>
      <c r="HCS523" s="1358"/>
      <c r="HCT523" s="1358"/>
      <c r="HCU523" s="1358"/>
      <c r="HCV523" s="1358"/>
      <c r="HCW523" s="1358"/>
      <c r="HCX523" s="1358"/>
      <c r="HCY523" s="1358"/>
      <c r="HCZ523" s="1358"/>
      <c r="HDA523" s="1358"/>
      <c r="HDB523" s="1358"/>
      <c r="HDC523" s="1358"/>
      <c r="HDD523" s="1358"/>
      <c r="HDE523" s="1358"/>
      <c r="HDF523" s="1358"/>
      <c r="HDG523" s="1358"/>
      <c r="HDH523" s="1358"/>
      <c r="HDI523" s="1358"/>
      <c r="HDJ523" s="1358"/>
      <c r="HDK523" s="1358"/>
      <c r="HDL523" s="1358"/>
      <c r="HDM523" s="1358"/>
      <c r="HDN523" s="1358"/>
      <c r="HDO523" s="1358"/>
      <c r="HDP523" s="1358"/>
      <c r="HDQ523" s="1358"/>
      <c r="HDR523" s="1358"/>
      <c r="HDS523" s="1358"/>
      <c r="HDT523" s="1358"/>
      <c r="HDU523" s="1358"/>
      <c r="HDV523" s="1358"/>
      <c r="HDW523" s="1358"/>
      <c r="HDX523" s="1358"/>
      <c r="HDY523" s="1358"/>
      <c r="HDZ523" s="1358"/>
      <c r="HEA523" s="1358"/>
      <c r="HEB523" s="1358"/>
      <c r="HEC523" s="1358"/>
      <c r="HED523" s="1358"/>
      <c r="HEE523" s="1358"/>
      <c r="HEF523" s="1358"/>
      <c r="HEG523" s="1358"/>
      <c r="HEH523" s="1358"/>
      <c r="HEI523" s="1358"/>
      <c r="HEJ523" s="1358"/>
      <c r="HEK523" s="1358"/>
      <c r="HEL523" s="1358"/>
      <c r="HEM523" s="1358"/>
      <c r="HEN523" s="1358"/>
      <c r="HEO523" s="1358"/>
      <c r="HEP523" s="1358"/>
      <c r="HEQ523" s="1358"/>
      <c r="HER523" s="1358"/>
      <c r="HES523" s="1358"/>
      <c r="HET523" s="1358"/>
      <c r="HEU523" s="1358"/>
      <c r="HEV523" s="1358"/>
      <c r="HEW523" s="1358"/>
      <c r="HEX523" s="1358"/>
      <c r="HEY523" s="1358"/>
      <c r="HEZ523" s="1358"/>
      <c r="HFA523" s="1358"/>
      <c r="HFB523" s="1358"/>
      <c r="HFC523" s="1358"/>
      <c r="HFD523" s="1358"/>
      <c r="HFE523" s="1358"/>
      <c r="HFF523" s="1358"/>
      <c r="HFG523" s="1358"/>
      <c r="HFH523" s="1358"/>
      <c r="HFI523" s="1358"/>
      <c r="HFJ523" s="1358"/>
      <c r="HFK523" s="1358"/>
      <c r="HFL523" s="1358"/>
      <c r="HFM523" s="1358"/>
      <c r="HFN523" s="1358"/>
      <c r="HFO523" s="1358"/>
      <c r="HFP523" s="1358"/>
      <c r="HFQ523" s="1358"/>
      <c r="HFR523" s="1358"/>
      <c r="HFS523" s="1358"/>
      <c r="HFT523" s="1358"/>
      <c r="HFU523" s="1358"/>
      <c r="HFV523" s="1358"/>
      <c r="HFW523" s="1358"/>
      <c r="HFX523" s="1358"/>
      <c r="HFY523" s="1358"/>
      <c r="HFZ523" s="1358"/>
      <c r="HGA523" s="1358"/>
      <c r="HGB523" s="1358"/>
      <c r="HGC523" s="1358"/>
      <c r="HGD523" s="1358"/>
      <c r="HGE523" s="1358"/>
      <c r="HGF523" s="1358"/>
      <c r="HGG523" s="1358"/>
      <c r="HGH523" s="1358"/>
      <c r="HGI523" s="1358"/>
      <c r="HGJ523" s="1358"/>
      <c r="HGK523" s="1358"/>
      <c r="HGL523" s="1358"/>
      <c r="HGM523" s="1358"/>
      <c r="HGN523" s="1358"/>
      <c r="HGO523" s="1358"/>
      <c r="HGP523" s="1358"/>
      <c r="HGQ523" s="1358"/>
      <c r="HGR523" s="1358"/>
      <c r="HGS523" s="1358"/>
      <c r="HGT523" s="1358"/>
      <c r="HGU523" s="1358"/>
      <c r="HGV523" s="1358"/>
      <c r="HGW523" s="1358"/>
      <c r="HGX523" s="1358"/>
      <c r="HGY523" s="1358"/>
      <c r="HGZ523" s="1358"/>
      <c r="HHA523" s="1358"/>
      <c r="HHB523" s="1358"/>
      <c r="HHC523" s="1358"/>
      <c r="HHD523" s="1358"/>
      <c r="HHE523" s="1358"/>
      <c r="HHF523" s="1358"/>
      <c r="HHG523" s="1358"/>
      <c r="HHH523" s="1358"/>
      <c r="HHI523" s="1358"/>
      <c r="HHJ523" s="1358"/>
      <c r="HHK523" s="1358"/>
      <c r="HHL523" s="1358"/>
      <c r="HHM523" s="1358"/>
      <c r="HHN523" s="1358"/>
      <c r="HHO523" s="1358"/>
      <c r="HHP523" s="1358"/>
      <c r="HHQ523" s="1358"/>
      <c r="HHR523" s="1358"/>
      <c r="HHS523" s="1358"/>
      <c r="HHT523" s="1358"/>
      <c r="HHU523" s="1358"/>
      <c r="HHV523" s="1358"/>
      <c r="HHW523" s="1358"/>
      <c r="HHX523" s="1358"/>
      <c r="HHY523" s="1358"/>
      <c r="HHZ523" s="1358"/>
      <c r="HIA523" s="1358"/>
      <c r="HIB523" s="1358"/>
      <c r="HIC523" s="1358"/>
      <c r="HID523" s="1358"/>
      <c r="HIE523" s="1358"/>
      <c r="HIF523" s="1358"/>
      <c r="HIG523" s="1358"/>
      <c r="HIH523" s="1358"/>
      <c r="HII523" s="1358"/>
      <c r="HIJ523" s="1358"/>
      <c r="HIK523" s="1358"/>
      <c r="HIL523" s="1358"/>
      <c r="HIM523" s="1358"/>
      <c r="HIN523" s="1358"/>
      <c r="HIO523" s="1358"/>
      <c r="HIP523" s="1358"/>
      <c r="HIQ523" s="1358"/>
      <c r="HIR523" s="1358"/>
      <c r="HIS523" s="1358"/>
      <c r="HIT523" s="1358"/>
      <c r="HIU523" s="1358"/>
      <c r="HIV523" s="1358"/>
      <c r="HIW523" s="1358"/>
      <c r="HIX523" s="1358"/>
      <c r="HIY523" s="1358"/>
      <c r="HIZ523" s="1358"/>
      <c r="HJA523" s="1358"/>
      <c r="HJB523" s="1358"/>
      <c r="HJC523" s="1358"/>
      <c r="HJD523" s="1358"/>
      <c r="HJE523" s="1358"/>
      <c r="HJF523" s="1358"/>
      <c r="HJG523" s="1358"/>
      <c r="HJH523" s="1358"/>
      <c r="HJI523" s="1358"/>
      <c r="HJJ523" s="1358"/>
      <c r="HJK523" s="1358"/>
      <c r="HJL523" s="1358"/>
      <c r="HJM523" s="1358"/>
      <c r="HJN523" s="1358"/>
      <c r="HJO523" s="1358"/>
      <c r="HJP523" s="1358"/>
      <c r="HJQ523" s="1358"/>
      <c r="HJR523" s="1358"/>
      <c r="HJS523" s="1358"/>
      <c r="HJT523" s="1358"/>
      <c r="HJU523" s="1358"/>
      <c r="HJV523" s="1358"/>
      <c r="HJW523" s="1358"/>
      <c r="HJX523" s="1358"/>
      <c r="HJY523" s="1358"/>
      <c r="HJZ523" s="1358"/>
      <c r="HKA523" s="1358"/>
      <c r="HKB523" s="1358"/>
      <c r="HKC523" s="1358"/>
      <c r="HKD523" s="1358"/>
      <c r="HKE523" s="1358"/>
      <c r="HKF523" s="1358"/>
      <c r="HKG523" s="1358"/>
      <c r="HKH523" s="1358"/>
      <c r="HKI523" s="1358"/>
      <c r="HKJ523" s="1358"/>
      <c r="HKK523" s="1358"/>
      <c r="HKL523" s="1358"/>
      <c r="HKM523" s="1358"/>
      <c r="HKN523" s="1358"/>
      <c r="HKO523" s="1358"/>
      <c r="HKP523" s="1358"/>
      <c r="HKQ523" s="1358"/>
      <c r="HKR523" s="1358"/>
      <c r="HKS523" s="1358"/>
      <c r="HKT523" s="1358"/>
      <c r="HKU523" s="1358"/>
      <c r="HKV523" s="1358"/>
      <c r="HKW523" s="1358"/>
      <c r="HKX523" s="1358"/>
      <c r="HKY523" s="1358"/>
      <c r="HKZ523" s="1358"/>
      <c r="HLA523" s="1358"/>
      <c r="HLB523" s="1358"/>
      <c r="HLC523" s="1358"/>
      <c r="HLD523" s="1358"/>
      <c r="HLE523" s="1358"/>
      <c r="HLF523" s="1358"/>
      <c r="HLG523" s="1358"/>
      <c r="HLH523" s="1358"/>
      <c r="HLI523" s="1358"/>
      <c r="HLJ523" s="1358"/>
      <c r="HLK523" s="1358"/>
      <c r="HLL523" s="1358"/>
      <c r="HLM523" s="1358"/>
      <c r="HLN523" s="1358"/>
      <c r="HLO523" s="1358"/>
      <c r="HLP523" s="1358"/>
      <c r="HLQ523" s="1358"/>
      <c r="HLR523" s="1358"/>
      <c r="HLS523" s="1358"/>
      <c r="HLT523" s="1358"/>
      <c r="HLU523" s="1358"/>
      <c r="HLV523" s="1358"/>
      <c r="HLW523" s="1358"/>
      <c r="HLX523" s="1358"/>
      <c r="HLY523" s="1358"/>
      <c r="HLZ523" s="1358"/>
      <c r="HMA523" s="1358"/>
      <c r="HMB523" s="1358"/>
      <c r="HMC523" s="1358"/>
      <c r="HMD523" s="1358"/>
      <c r="HME523" s="1358"/>
      <c r="HMF523" s="1358"/>
      <c r="HMG523" s="1358"/>
      <c r="HMH523" s="1358"/>
      <c r="HMI523" s="1358"/>
      <c r="HMJ523" s="1358"/>
      <c r="HMK523" s="1358"/>
      <c r="HML523" s="1358"/>
      <c r="HMM523" s="1358"/>
      <c r="HMN523" s="1358"/>
      <c r="HMO523" s="1358"/>
      <c r="HMP523" s="1358"/>
      <c r="HMQ523" s="1358"/>
      <c r="HMR523" s="1358"/>
      <c r="HMS523" s="1358"/>
      <c r="HMT523" s="1358"/>
      <c r="HMU523" s="1358"/>
      <c r="HMV523" s="1358"/>
      <c r="HMW523" s="1358"/>
      <c r="HMX523" s="1358"/>
      <c r="HMY523" s="1358"/>
      <c r="HMZ523" s="1358"/>
      <c r="HNA523" s="1358"/>
      <c r="HNB523" s="1358"/>
      <c r="HNC523" s="1358"/>
      <c r="HND523" s="1358"/>
      <c r="HNE523" s="1358"/>
      <c r="HNF523" s="1358"/>
      <c r="HNG523" s="1358"/>
      <c r="HNH523" s="1358"/>
      <c r="HNI523" s="1358"/>
      <c r="HNJ523" s="1358"/>
      <c r="HNK523" s="1358"/>
      <c r="HNL523" s="1358"/>
      <c r="HNM523" s="1358"/>
      <c r="HNN523" s="1358"/>
      <c r="HNO523" s="1358"/>
      <c r="HNP523" s="1358"/>
      <c r="HNQ523" s="1358"/>
      <c r="HNR523" s="1358"/>
      <c r="HNS523" s="1358"/>
      <c r="HNT523" s="1358"/>
      <c r="HNU523" s="1358"/>
      <c r="HNV523" s="1358"/>
      <c r="HNW523" s="1358"/>
      <c r="HNX523" s="1358"/>
      <c r="HNY523" s="1358"/>
      <c r="HNZ523" s="1358"/>
      <c r="HOA523" s="1358"/>
      <c r="HOB523" s="1358"/>
      <c r="HOC523" s="1358"/>
      <c r="HOD523" s="1358"/>
      <c r="HOE523" s="1358"/>
      <c r="HOF523" s="1358"/>
      <c r="HOG523" s="1358"/>
      <c r="HOH523" s="1358"/>
      <c r="HOI523" s="1358"/>
      <c r="HOJ523" s="1358"/>
      <c r="HOK523" s="1358"/>
      <c r="HOL523" s="1358"/>
      <c r="HOM523" s="1358"/>
      <c r="HON523" s="1358"/>
      <c r="HOO523" s="1358"/>
      <c r="HOP523" s="1358"/>
      <c r="HOQ523" s="1358"/>
      <c r="HOR523" s="1358"/>
      <c r="HOS523" s="1358"/>
      <c r="HOT523" s="1358"/>
      <c r="HOU523" s="1358"/>
      <c r="HOV523" s="1358"/>
      <c r="HOW523" s="1358"/>
      <c r="HOX523" s="1358"/>
      <c r="HOY523" s="1358"/>
      <c r="HOZ523" s="1358"/>
      <c r="HPA523" s="1358"/>
      <c r="HPB523" s="1358"/>
      <c r="HPC523" s="1358"/>
      <c r="HPD523" s="1358"/>
      <c r="HPE523" s="1358"/>
      <c r="HPF523" s="1358"/>
      <c r="HPG523" s="1358"/>
      <c r="HPH523" s="1358"/>
      <c r="HPI523" s="1358"/>
      <c r="HPJ523" s="1358"/>
      <c r="HPK523" s="1358"/>
      <c r="HPL523" s="1358"/>
      <c r="HPM523" s="1358"/>
      <c r="HPN523" s="1358"/>
      <c r="HPO523" s="1358"/>
      <c r="HPP523" s="1358"/>
      <c r="HPQ523" s="1358"/>
      <c r="HPR523" s="1358"/>
      <c r="HPS523" s="1358"/>
      <c r="HPT523" s="1358"/>
      <c r="HPU523" s="1358"/>
      <c r="HPV523" s="1358"/>
      <c r="HPW523" s="1358"/>
      <c r="HPX523" s="1358"/>
      <c r="HPY523" s="1358"/>
      <c r="HPZ523" s="1358"/>
      <c r="HQA523" s="1358"/>
      <c r="HQB523" s="1358"/>
      <c r="HQC523" s="1358"/>
      <c r="HQD523" s="1358"/>
      <c r="HQE523" s="1358"/>
      <c r="HQF523" s="1358"/>
      <c r="HQG523" s="1358"/>
      <c r="HQH523" s="1358"/>
      <c r="HQI523" s="1358"/>
      <c r="HQJ523" s="1358"/>
      <c r="HQK523" s="1358"/>
      <c r="HQL523" s="1358"/>
      <c r="HQM523" s="1358"/>
      <c r="HQN523" s="1358"/>
      <c r="HQO523" s="1358"/>
      <c r="HQP523" s="1358"/>
      <c r="HQQ523" s="1358"/>
      <c r="HQR523" s="1358"/>
      <c r="HQS523" s="1358"/>
      <c r="HQT523" s="1358"/>
      <c r="HQU523" s="1358"/>
      <c r="HQV523" s="1358"/>
      <c r="HQW523" s="1358"/>
      <c r="HQX523" s="1358"/>
      <c r="HQY523" s="1358"/>
      <c r="HQZ523" s="1358"/>
      <c r="HRA523" s="1358"/>
      <c r="HRB523" s="1358"/>
      <c r="HRC523" s="1358"/>
      <c r="HRD523" s="1358"/>
      <c r="HRE523" s="1358"/>
      <c r="HRF523" s="1358"/>
      <c r="HRG523" s="1358"/>
      <c r="HRH523" s="1358"/>
      <c r="HRI523" s="1358"/>
      <c r="HRJ523" s="1358"/>
      <c r="HRK523" s="1358"/>
      <c r="HRL523" s="1358"/>
      <c r="HRM523" s="1358"/>
      <c r="HRN523" s="1358"/>
      <c r="HRO523" s="1358"/>
      <c r="HRP523" s="1358"/>
      <c r="HRQ523" s="1358"/>
      <c r="HRR523" s="1358"/>
      <c r="HRS523" s="1358"/>
      <c r="HRT523" s="1358"/>
      <c r="HRU523" s="1358"/>
      <c r="HRV523" s="1358"/>
      <c r="HRW523" s="1358"/>
      <c r="HRX523" s="1358"/>
      <c r="HRY523" s="1358"/>
      <c r="HRZ523" s="1358"/>
      <c r="HSA523" s="1358"/>
      <c r="HSB523" s="1358"/>
      <c r="HSC523" s="1358"/>
      <c r="HSD523" s="1358"/>
      <c r="HSE523" s="1358"/>
      <c r="HSF523" s="1358"/>
      <c r="HSG523" s="1358"/>
      <c r="HSH523" s="1358"/>
      <c r="HSI523" s="1358"/>
      <c r="HSJ523" s="1358"/>
      <c r="HSK523" s="1358"/>
      <c r="HSL523" s="1358"/>
      <c r="HSM523" s="1358"/>
      <c r="HSN523" s="1358"/>
      <c r="HSO523" s="1358"/>
      <c r="HSP523" s="1358"/>
      <c r="HSQ523" s="1358"/>
      <c r="HSR523" s="1358"/>
      <c r="HSS523" s="1358"/>
      <c r="HST523" s="1358"/>
      <c r="HSU523" s="1358"/>
      <c r="HSV523" s="1358"/>
      <c r="HSW523" s="1358"/>
      <c r="HSX523" s="1358"/>
      <c r="HSY523" s="1358"/>
      <c r="HSZ523" s="1358"/>
      <c r="HTA523" s="1358"/>
      <c r="HTB523" s="1358"/>
      <c r="HTC523" s="1358"/>
      <c r="HTD523" s="1358"/>
      <c r="HTE523" s="1358"/>
      <c r="HTF523" s="1358"/>
      <c r="HTG523" s="1358"/>
      <c r="HTH523" s="1358"/>
      <c r="HTI523" s="1358"/>
      <c r="HTJ523" s="1358"/>
      <c r="HTK523" s="1358"/>
      <c r="HTL523" s="1358"/>
      <c r="HTM523" s="1358"/>
      <c r="HTN523" s="1358"/>
      <c r="HTO523" s="1358"/>
      <c r="HTP523" s="1358"/>
      <c r="HTQ523" s="1358"/>
      <c r="HTR523" s="1358"/>
      <c r="HTS523" s="1358"/>
      <c r="HTT523" s="1358"/>
      <c r="HTU523" s="1358"/>
      <c r="HTV523" s="1358"/>
      <c r="HTW523" s="1358"/>
      <c r="HTX523" s="1358"/>
      <c r="HTY523" s="1358"/>
      <c r="HTZ523" s="1358"/>
      <c r="HUA523" s="1358"/>
      <c r="HUB523" s="1358"/>
      <c r="HUC523" s="1358"/>
      <c r="HUD523" s="1358"/>
      <c r="HUE523" s="1358"/>
      <c r="HUF523" s="1358"/>
      <c r="HUG523" s="1358"/>
      <c r="HUH523" s="1358"/>
      <c r="HUI523" s="1358"/>
      <c r="HUJ523" s="1358"/>
      <c r="HUK523" s="1358"/>
      <c r="HUL523" s="1358"/>
      <c r="HUM523" s="1358"/>
      <c r="HUN523" s="1358"/>
      <c r="HUO523" s="1358"/>
      <c r="HUP523" s="1358"/>
      <c r="HUQ523" s="1358"/>
      <c r="HUR523" s="1358"/>
      <c r="HUS523" s="1358"/>
      <c r="HUT523" s="1358"/>
      <c r="HUU523" s="1358"/>
      <c r="HUV523" s="1358"/>
      <c r="HUW523" s="1358"/>
      <c r="HUX523" s="1358"/>
      <c r="HUY523" s="1358"/>
      <c r="HUZ523" s="1358"/>
      <c r="HVA523" s="1358"/>
      <c r="HVB523" s="1358"/>
      <c r="HVC523" s="1358"/>
      <c r="HVD523" s="1358"/>
      <c r="HVE523" s="1358"/>
      <c r="HVF523" s="1358"/>
      <c r="HVG523" s="1358"/>
      <c r="HVH523" s="1358"/>
      <c r="HVI523" s="1358"/>
      <c r="HVJ523" s="1358"/>
      <c r="HVK523" s="1358"/>
      <c r="HVL523" s="1358"/>
      <c r="HVM523" s="1358"/>
      <c r="HVN523" s="1358"/>
      <c r="HVO523" s="1358"/>
      <c r="HVP523" s="1358"/>
      <c r="HVQ523" s="1358"/>
      <c r="HVR523" s="1358"/>
      <c r="HVS523" s="1358"/>
      <c r="HVT523" s="1358"/>
      <c r="HVU523" s="1358"/>
      <c r="HVV523" s="1358"/>
      <c r="HVW523" s="1358"/>
      <c r="HVX523" s="1358"/>
      <c r="HVY523" s="1358"/>
      <c r="HVZ523" s="1358"/>
      <c r="HWA523" s="1358"/>
      <c r="HWB523" s="1358"/>
      <c r="HWC523" s="1358"/>
      <c r="HWD523" s="1358"/>
      <c r="HWE523" s="1358"/>
      <c r="HWF523" s="1358"/>
      <c r="HWG523" s="1358"/>
      <c r="HWH523" s="1358"/>
      <c r="HWI523" s="1358"/>
      <c r="HWJ523" s="1358"/>
      <c r="HWK523" s="1358"/>
      <c r="HWL523" s="1358"/>
      <c r="HWM523" s="1358"/>
      <c r="HWN523" s="1358"/>
      <c r="HWO523" s="1358"/>
      <c r="HWP523" s="1358"/>
      <c r="HWQ523" s="1358"/>
      <c r="HWR523" s="1358"/>
      <c r="HWS523" s="1358"/>
      <c r="HWT523" s="1358"/>
      <c r="HWU523" s="1358"/>
      <c r="HWV523" s="1358"/>
      <c r="HWW523" s="1358"/>
      <c r="HWX523" s="1358"/>
      <c r="HWY523" s="1358"/>
      <c r="HWZ523" s="1358"/>
      <c r="HXA523" s="1358"/>
      <c r="HXB523" s="1358"/>
      <c r="HXC523" s="1358"/>
      <c r="HXD523" s="1358"/>
      <c r="HXE523" s="1358"/>
      <c r="HXF523" s="1358"/>
      <c r="HXG523" s="1358"/>
      <c r="HXH523" s="1358"/>
      <c r="HXI523" s="1358"/>
      <c r="HXJ523" s="1358"/>
      <c r="HXK523" s="1358"/>
      <c r="HXL523" s="1358"/>
      <c r="HXM523" s="1358"/>
      <c r="HXN523" s="1358"/>
      <c r="HXO523" s="1358"/>
      <c r="HXP523" s="1358"/>
      <c r="HXQ523" s="1358"/>
      <c r="HXR523" s="1358"/>
      <c r="HXS523" s="1358"/>
      <c r="HXT523" s="1358"/>
      <c r="HXU523" s="1358"/>
      <c r="HXV523" s="1358"/>
      <c r="HXW523" s="1358"/>
      <c r="HXX523" s="1358"/>
      <c r="HXY523" s="1358"/>
      <c r="HXZ523" s="1358"/>
      <c r="HYA523" s="1358"/>
      <c r="HYB523" s="1358"/>
      <c r="HYC523" s="1358"/>
      <c r="HYD523" s="1358"/>
      <c r="HYE523" s="1358"/>
      <c r="HYF523" s="1358"/>
      <c r="HYG523" s="1358"/>
      <c r="HYH523" s="1358"/>
      <c r="HYI523" s="1358"/>
      <c r="HYJ523" s="1358"/>
      <c r="HYK523" s="1358"/>
      <c r="HYL523" s="1358"/>
      <c r="HYM523" s="1358"/>
      <c r="HYN523" s="1358"/>
      <c r="HYO523" s="1358"/>
      <c r="HYP523" s="1358"/>
      <c r="HYQ523" s="1358"/>
      <c r="HYR523" s="1358"/>
      <c r="HYS523" s="1358"/>
      <c r="HYT523" s="1358"/>
      <c r="HYU523" s="1358"/>
      <c r="HYV523" s="1358"/>
      <c r="HYW523" s="1358"/>
      <c r="HYX523" s="1358"/>
      <c r="HYY523" s="1358"/>
      <c r="HYZ523" s="1358"/>
      <c r="HZA523" s="1358"/>
      <c r="HZB523" s="1358"/>
      <c r="HZC523" s="1358"/>
      <c r="HZD523" s="1358"/>
      <c r="HZE523" s="1358"/>
      <c r="HZF523" s="1358"/>
      <c r="HZG523" s="1358"/>
      <c r="HZH523" s="1358"/>
      <c r="HZI523" s="1358"/>
      <c r="HZJ523" s="1358"/>
      <c r="HZK523" s="1358"/>
      <c r="HZL523" s="1358"/>
      <c r="HZM523" s="1358"/>
      <c r="HZN523" s="1358"/>
      <c r="HZO523" s="1358"/>
      <c r="HZP523" s="1358"/>
      <c r="HZQ523" s="1358"/>
      <c r="HZR523" s="1358"/>
      <c r="HZS523" s="1358"/>
      <c r="HZT523" s="1358"/>
      <c r="HZU523" s="1358"/>
      <c r="HZV523" s="1358"/>
      <c r="HZW523" s="1358"/>
      <c r="HZX523" s="1358"/>
      <c r="HZY523" s="1358"/>
      <c r="HZZ523" s="1358"/>
      <c r="IAA523" s="1358"/>
      <c r="IAB523" s="1358"/>
      <c r="IAC523" s="1358"/>
      <c r="IAD523" s="1358"/>
      <c r="IAE523" s="1358"/>
      <c r="IAF523" s="1358"/>
      <c r="IAG523" s="1358"/>
      <c r="IAH523" s="1358"/>
      <c r="IAI523" s="1358"/>
      <c r="IAJ523" s="1358"/>
      <c r="IAK523" s="1358"/>
      <c r="IAL523" s="1358"/>
      <c r="IAM523" s="1358"/>
      <c r="IAN523" s="1358"/>
      <c r="IAO523" s="1358"/>
      <c r="IAP523" s="1358"/>
      <c r="IAQ523" s="1358"/>
      <c r="IAR523" s="1358"/>
      <c r="IAS523" s="1358"/>
      <c r="IAT523" s="1358"/>
      <c r="IAU523" s="1358"/>
      <c r="IAV523" s="1358"/>
      <c r="IAW523" s="1358"/>
      <c r="IAX523" s="1358"/>
      <c r="IAY523" s="1358"/>
      <c r="IAZ523" s="1358"/>
      <c r="IBA523" s="1358"/>
      <c r="IBB523" s="1358"/>
      <c r="IBC523" s="1358"/>
      <c r="IBD523" s="1358"/>
      <c r="IBE523" s="1358"/>
      <c r="IBF523" s="1358"/>
      <c r="IBG523" s="1358"/>
      <c r="IBH523" s="1358"/>
      <c r="IBI523" s="1358"/>
      <c r="IBJ523" s="1358"/>
      <c r="IBK523" s="1358"/>
      <c r="IBL523" s="1358"/>
      <c r="IBM523" s="1358"/>
      <c r="IBN523" s="1358"/>
      <c r="IBO523" s="1358"/>
      <c r="IBP523" s="1358"/>
      <c r="IBQ523" s="1358"/>
      <c r="IBR523" s="1358"/>
      <c r="IBS523" s="1358"/>
      <c r="IBT523" s="1358"/>
      <c r="IBU523" s="1358"/>
      <c r="IBV523" s="1358"/>
      <c r="IBW523" s="1358"/>
      <c r="IBX523" s="1358"/>
      <c r="IBY523" s="1358"/>
      <c r="IBZ523" s="1358"/>
      <c r="ICA523" s="1358"/>
      <c r="ICB523" s="1358"/>
      <c r="ICC523" s="1358"/>
      <c r="ICD523" s="1358"/>
      <c r="ICE523" s="1358"/>
      <c r="ICF523" s="1358"/>
      <c r="ICG523" s="1358"/>
      <c r="ICH523" s="1358"/>
      <c r="ICI523" s="1358"/>
      <c r="ICJ523" s="1358"/>
      <c r="ICK523" s="1358"/>
      <c r="ICL523" s="1358"/>
      <c r="ICM523" s="1358"/>
      <c r="ICN523" s="1358"/>
      <c r="ICO523" s="1358"/>
      <c r="ICP523" s="1358"/>
      <c r="ICQ523" s="1358"/>
      <c r="ICR523" s="1358"/>
      <c r="ICS523" s="1358"/>
      <c r="ICT523" s="1358"/>
      <c r="ICU523" s="1358"/>
      <c r="ICV523" s="1358"/>
      <c r="ICW523" s="1358"/>
      <c r="ICX523" s="1358"/>
      <c r="ICY523" s="1358"/>
      <c r="ICZ523" s="1358"/>
      <c r="IDA523" s="1358"/>
      <c r="IDB523" s="1358"/>
      <c r="IDC523" s="1358"/>
      <c r="IDD523" s="1358"/>
      <c r="IDE523" s="1358"/>
      <c r="IDF523" s="1358"/>
      <c r="IDG523" s="1358"/>
      <c r="IDH523" s="1358"/>
      <c r="IDI523" s="1358"/>
      <c r="IDJ523" s="1358"/>
      <c r="IDK523" s="1358"/>
      <c r="IDL523" s="1358"/>
      <c r="IDM523" s="1358"/>
      <c r="IDN523" s="1358"/>
      <c r="IDO523" s="1358"/>
      <c r="IDP523" s="1358"/>
      <c r="IDQ523" s="1358"/>
      <c r="IDR523" s="1358"/>
      <c r="IDS523" s="1358"/>
      <c r="IDT523" s="1358"/>
      <c r="IDU523" s="1358"/>
      <c r="IDV523" s="1358"/>
      <c r="IDW523" s="1358"/>
      <c r="IDX523" s="1358"/>
      <c r="IDY523" s="1358"/>
      <c r="IDZ523" s="1358"/>
      <c r="IEA523" s="1358"/>
      <c r="IEB523" s="1358"/>
      <c r="IEC523" s="1358"/>
      <c r="IED523" s="1358"/>
      <c r="IEE523" s="1358"/>
      <c r="IEF523" s="1358"/>
      <c r="IEG523" s="1358"/>
      <c r="IEH523" s="1358"/>
      <c r="IEI523" s="1358"/>
      <c r="IEJ523" s="1358"/>
      <c r="IEK523" s="1358"/>
      <c r="IEL523" s="1358"/>
      <c r="IEM523" s="1358"/>
      <c r="IEN523" s="1358"/>
      <c r="IEO523" s="1358"/>
      <c r="IEP523" s="1358"/>
      <c r="IEQ523" s="1358"/>
      <c r="IER523" s="1358"/>
      <c r="IES523" s="1358"/>
      <c r="IET523" s="1358"/>
      <c r="IEU523" s="1358"/>
      <c r="IEV523" s="1358"/>
      <c r="IEW523" s="1358"/>
      <c r="IEX523" s="1358"/>
      <c r="IEY523" s="1358"/>
      <c r="IEZ523" s="1358"/>
      <c r="IFA523" s="1358"/>
      <c r="IFB523" s="1358"/>
      <c r="IFC523" s="1358"/>
      <c r="IFD523" s="1358"/>
      <c r="IFE523" s="1358"/>
      <c r="IFF523" s="1358"/>
      <c r="IFG523" s="1358"/>
      <c r="IFH523" s="1358"/>
      <c r="IFI523" s="1358"/>
      <c r="IFJ523" s="1358"/>
      <c r="IFK523" s="1358"/>
      <c r="IFL523" s="1358"/>
      <c r="IFM523" s="1358"/>
      <c r="IFN523" s="1358"/>
      <c r="IFO523" s="1358"/>
      <c r="IFP523" s="1358"/>
      <c r="IFQ523" s="1358"/>
      <c r="IFR523" s="1358"/>
      <c r="IFS523" s="1358"/>
      <c r="IFT523" s="1358"/>
      <c r="IFU523" s="1358"/>
      <c r="IFV523" s="1358"/>
      <c r="IFW523" s="1358"/>
      <c r="IFX523" s="1358"/>
      <c r="IFY523" s="1358"/>
      <c r="IFZ523" s="1358"/>
      <c r="IGA523" s="1358"/>
      <c r="IGB523" s="1358"/>
      <c r="IGC523" s="1358"/>
      <c r="IGD523" s="1358"/>
      <c r="IGE523" s="1358"/>
      <c r="IGF523" s="1358"/>
      <c r="IGG523" s="1358"/>
      <c r="IGH523" s="1358"/>
      <c r="IGI523" s="1358"/>
      <c r="IGJ523" s="1358"/>
      <c r="IGK523" s="1358"/>
      <c r="IGL523" s="1358"/>
      <c r="IGM523" s="1358"/>
      <c r="IGN523" s="1358"/>
      <c r="IGO523" s="1358"/>
      <c r="IGP523" s="1358"/>
      <c r="IGQ523" s="1358"/>
      <c r="IGR523" s="1358"/>
      <c r="IGS523" s="1358"/>
      <c r="IGT523" s="1358"/>
      <c r="IGU523" s="1358"/>
      <c r="IGV523" s="1358"/>
      <c r="IGW523" s="1358"/>
      <c r="IGX523" s="1358"/>
      <c r="IGY523" s="1358"/>
      <c r="IGZ523" s="1358"/>
      <c r="IHA523" s="1358"/>
      <c r="IHB523" s="1358"/>
      <c r="IHC523" s="1358"/>
      <c r="IHD523" s="1358"/>
      <c r="IHE523" s="1358"/>
      <c r="IHF523" s="1358"/>
      <c r="IHG523" s="1358"/>
      <c r="IHH523" s="1358"/>
      <c r="IHI523" s="1358"/>
      <c r="IHJ523" s="1358"/>
      <c r="IHK523" s="1358"/>
      <c r="IHL523" s="1358"/>
      <c r="IHM523" s="1358"/>
      <c r="IHN523" s="1358"/>
      <c r="IHO523" s="1358"/>
      <c r="IHP523" s="1358"/>
      <c r="IHQ523" s="1358"/>
      <c r="IHR523" s="1358"/>
      <c r="IHS523" s="1358"/>
      <c r="IHT523" s="1358"/>
      <c r="IHU523" s="1358"/>
      <c r="IHV523" s="1358"/>
      <c r="IHW523" s="1358"/>
      <c r="IHX523" s="1358"/>
      <c r="IHY523" s="1358"/>
      <c r="IHZ523" s="1358"/>
      <c r="IIA523" s="1358"/>
      <c r="IIB523" s="1358"/>
      <c r="IIC523" s="1358"/>
      <c r="IID523" s="1358"/>
      <c r="IIE523" s="1358"/>
      <c r="IIF523" s="1358"/>
      <c r="IIG523" s="1358"/>
      <c r="IIH523" s="1358"/>
      <c r="III523" s="1358"/>
      <c r="IIJ523" s="1358"/>
      <c r="IIK523" s="1358"/>
      <c r="IIL523" s="1358"/>
      <c r="IIM523" s="1358"/>
      <c r="IIN523" s="1358"/>
      <c r="IIO523" s="1358"/>
      <c r="IIP523" s="1358"/>
      <c r="IIQ523" s="1358"/>
      <c r="IIR523" s="1358"/>
      <c r="IIS523" s="1358"/>
      <c r="IIT523" s="1358"/>
      <c r="IIU523" s="1358"/>
      <c r="IIV523" s="1358"/>
      <c r="IIW523" s="1358"/>
      <c r="IIX523" s="1358"/>
      <c r="IIY523" s="1358"/>
      <c r="IIZ523" s="1358"/>
      <c r="IJA523" s="1358"/>
      <c r="IJB523" s="1358"/>
      <c r="IJC523" s="1358"/>
      <c r="IJD523" s="1358"/>
      <c r="IJE523" s="1358"/>
      <c r="IJF523" s="1358"/>
      <c r="IJG523" s="1358"/>
      <c r="IJH523" s="1358"/>
      <c r="IJI523" s="1358"/>
      <c r="IJJ523" s="1358"/>
      <c r="IJK523" s="1358"/>
      <c r="IJL523" s="1358"/>
      <c r="IJM523" s="1358"/>
      <c r="IJN523" s="1358"/>
      <c r="IJO523" s="1358"/>
      <c r="IJP523" s="1358"/>
      <c r="IJQ523" s="1358"/>
      <c r="IJR523" s="1358"/>
      <c r="IJS523" s="1358"/>
      <c r="IJT523" s="1358"/>
      <c r="IJU523" s="1358"/>
      <c r="IJV523" s="1358"/>
      <c r="IJW523" s="1358"/>
      <c r="IJX523" s="1358"/>
      <c r="IJY523" s="1358"/>
      <c r="IJZ523" s="1358"/>
      <c r="IKA523" s="1358"/>
      <c r="IKB523" s="1358"/>
      <c r="IKC523" s="1358"/>
      <c r="IKD523" s="1358"/>
      <c r="IKE523" s="1358"/>
      <c r="IKF523" s="1358"/>
      <c r="IKG523" s="1358"/>
      <c r="IKH523" s="1358"/>
      <c r="IKI523" s="1358"/>
      <c r="IKJ523" s="1358"/>
      <c r="IKK523" s="1358"/>
      <c r="IKL523" s="1358"/>
      <c r="IKM523" s="1358"/>
      <c r="IKN523" s="1358"/>
      <c r="IKO523" s="1358"/>
      <c r="IKP523" s="1358"/>
      <c r="IKQ523" s="1358"/>
      <c r="IKR523" s="1358"/>
      <c r="IKS523" s="1358"/>
      <c r="IKT523" s="1358"/>
      <c r="IKU523" s="1358"/>
      <c r="IKV523" s="1358"/>
      <c r="IKW523" s="1358"/>
      <c r="IKX523" s="1358"/>
      <c r="IKY523" s="1358"/>
      <c r="IKZ523" s="1358"/>
      <c r="ILA523" s="1358"/>
      <c r="ILB523" s="1358"/>
      <c r="ILC523" s="1358"/>
      <c r="ILD523" s="1358"/>
      <c r="ILE523" s="1358"/>
      <c r="ILF523" s="1358"/>
      <c r="ILG523" s="1358"/>
      <c r="ILH523" s="1358"/>
      <c r="ILI523" s="1358"/>
      <c r="ILJ523" s="1358"/>
      <c r="ILK523" s="1358"/>
      <c r="ILL523" s="1358"/>
      <c r="ILM523" s="1358"/>
      <c r="ILN523" s="1358"/>
      <c r="ILO523" s="1358"/>
      <c r="ILP523" s="1358"/>
      <c r="ILQ523" s="1358"/>
      <c r="ILR523" s="1358"/>
      <c r="ILS523" s="1358"/>
      <c r="ILT523" s="1358"/>
      <c r="ILU523" s="1358"/>
      <c r="ILV523" s="1358"/>
      <c r="ILW523" s="1358"/>
      <c r="ILX523" s="1358"/>
      <c r="ILY523" s="1358"/>
      <c r="ILZ523" s="1358"/>
      <c r="IMA523" s="1358"/>
      <c r="IMB523" s="1358"/>
      <c r="IMC523" s="1358"/>
      <c r="IMD523" s="1358"/>
      <c r="IME523" s="1358"/>
      <c r="IMF523" s="1358"/>
      <c r="IMG523" s="1358"/>
      <c r="IMH523" s="1358"/>
      <c r="IMI523" s="1358"/>
      <c r="IMJ523" s="1358"/>
      <c r="IMK523" s="1358"/>
      <c r="IML523" s="1358"/>
      <c r="IMM523" s="1358"/>
      <c r="IMN523" s="1358"/>
      <c r="IMO523" s="1358"/>
      <c r="IMP523" s="1358"/>
      <c r="IMQ523" s="1358"/>
      <c r="IMR523" s="1358"/>
      <c r="IMS523" s="1358"/>
      <c r="IMT523" s="1358"/>
      <c r="IMU523" s="1358"/>
      <c r="IMV523" s="1358"/>
      <c r="IMW523" s="1358"/>
      <c r="IMX523" s="1358"/>
      <c r="IMY523" s="1358"/>
      <c r="IMZ523" s="1358"/>
      <c r="INA523" s="1358"/>
      <c r="INB523" s="1358"/>
      <c r="INC523" s="1358"/>
      <c r="IND523" s="1358"/>
      <c r="INE523" s="1358"/>
      <c r="INF523" s="1358"/>
      <c r="ING523" s="1358"/>
      <c r="INH523" s="1358"/>
      <c r="INI523" s="1358"/>
      <c r="INJ523" s="1358"/>
      <c r="INK523" s="1358"/>
      <c r="INL523" s="1358"/>
      <c r="INM523" s="1358"/>
      <c r="INN523" s="1358"/>
      <c r="INO523" s="1358"/>
      <c r="INP523" s="1358"/>
      <c r="INQ523" s="1358"/>
      <c r="INR523" s="1358"/>
      <c r="INS523" s="1358"/>
      <c r="INT523" s="1358"/>
      <c r="INU523" s="1358"/>
      <c r="INV523" s="1358"/>
      <c r="INW523" s="1358"/>
      <c r="INX523" s="1358"/>
      <c r="INY523" s="1358"/>
      <c r="INZ523" s="1358"/>
      <c r="IOA523" s="1358"/>
      <c r="IOB523" s="1358"/>
      <c r="IOC523" s="1358"/>
      <c r="IOD523" s="1358"/>
      <c r="IOE523" s="1358"/>
      <c r="IOF523" s="1358"/>
      <c r="IOG523" s="1358"/>
      <c r="IOH523" s="1358"/>
      <c r="IOI523" s="1358"/>
      <c r="IOJ523" s="1358"/>
      <c r="IOK523" s="1358"/>
      <c r="IOL523" s="1358"/>
      <c r="IOM523" s="1358"/>
      <c r="ION523" s="1358"/>
      <c r="IOO523" s="1358"/>
      <c r="IOP523" s="1358"/>
      <c r="IOQ523" s="1358"/>
      <c r="IOR523" s="1358"/>
      <c r="IOS523" s="1358"/>
      <c r="IOT523" s="1358"/>
      <c r="IOU523" s="1358"/>
      <c r="IOV523" s="1358"/>
      <c r="IOW523" s="1358"/>
      <c r="IOX523" s="1358"/>
      <c r="IOY523" s="1358"/>
      <c r="IOZ523" s="1358"/>
      <c r="IPA523" s="1358"/>
      <c r="IPB523" s="1358"/>
      <c r="IPC523" s="1358"/>
      <c r="IPD523" s="1358"/>
      <c r="IPE523" s="1358"/>
      <c r="IPF523" s="1358"/>
      <c r="IPG523" s="1358"/>
      <c r="IPH523" s="1358"/>
      <c r="IPI523" s="1358"/>
      <c r="IPJ523" s="1358"/>
      <c r="IPK523" s="1358"/>
      <c r="IPL523" s="1358"/>
      <c r="IPM523" s="1358"/>
      <c r="IPN523" s="1358"/>
      <c r="IPO523" s="1358"/>
      <c r="IPP523" s="1358"/>
      <c r="IPQ523" s="1358"/>
      <c r="IPR523" s="1358"/>
      <c r="IPS523" s="1358"/>
      <c r="IPT523" s="1358"/>
      <c r="IPU523" s="1358"/>
      <c r="IPV523" s="1358"/>
      <c r="IPW523" s="1358"/>
      <c r="IPX523" s="1358"/>
      <c r="IPY523" s="1358"/>
      <c r="IPZ523" s="1358"/>
      <c r="IQA523" s="1358"/>
      <c r="IQB523" s="1358"/>
      <c r="IQC523" s="1358"/>
      <c r="IQD523" s="1358"/>
      <c r="IQE523" s="1358"/>
      <c r="IQF523" s="1358"/>
      <c r="IQG523" s="1358"/>
      <c r="IQH523" s="1358"/>
      <c r="IQI523" s="1358"/>
      <c r="IQJ523" s="1358"/>
      <c r="IQK523" s="1358"/>
      <c r="IQL523" s="1358"/>
      <c r="IQM523" s="1358"/>
      <c r="IQN523" s="1358"/>
      <c r="IQO523" s="1358"/>
      <c r="IQP523" s="1358"/>
      <c r="IQQ523" s="1358"/>
      <c r="IQR523" s="1358"/>
      <c r="IQS523" s="1358"/>
      <c r="IQT523" s="1358"/>
      <c r="IQU523" s="1358"/>
      <c r="IQV523" s="1358"/>
      <c r="IQW523" s="1358"/>
      <c r="IQX523" s="1358"/>
      <c r="IQY523" s="1358"/>
      <c r="IQZ523" s="1358"/>
      <c r="IRA523" s="1358"/>
      <c r="IRB523" s="1358"/>
      <c r="IRC523" s="1358"/>
      <c r="IRD523" s="1358"/>
      <c r="IRE523" s="1358"/>
      <c r="IRF523" s="1358"/>
      <c r="IRG523" s="1358"/>
      <c r="IRH523" s="1358"/>
      <c r="IRI523" s="1358"/>
      <c r="IRJ523" s="1358"/>
      <c r="IRK523" s="1358"/>
      <c r="IRL523" s="1358"/>
      <c r="IRM523" s="1358"/>
      <c r="IRN523" s="1358"/>
      <c r="IRO523" s="1358"/>
      <c r="IRP523" s="1358"/>
      <c r="IRQ523" s="1358"/>
      <c r="IRR523" s="1358"/>
      <c r="IRS523" s="1358"/>
      <c r="IRT523" s="1358"/>
      <c r="IRU523" s="1358"/>
      <c r="IRV523" s="1358"/>
      <c r="IRW523" s="1358"/>
      <c r="IRX523" s="1358"/>
      <c r="IRY523" s="1358"/>
      <c r="IRZ523" s="1358"/>
      <c r="ISA523" s="1358"/>
      <c r="ISB523" s="1358"/>
      <c r="ISC523" s="1358"/>
      <c r="ISD523" s="1358"/>
      <c r="ISE523" s="1358"/>
      <c r="ISF523" s="1358"/>
      <c r="ISG523" s="1358"/>
      <c r="ISH523" s="1358"/>
      <c r="ISI523" s="1358"/>
      <c r="ISJ523" s="1358"/>
      <c r="ISK523" s="1358"/>
      <c r="ISL523" s="1358"/>
      <c r="ISM523" s="1358"/>
      <c r="ISN523" s="1358"/>
      <c r="ISO523" s="1358"/>
      <c r="ISP523" s="1358"/>
      <c r="ISQ523" s="1358"/>
      <c r="ISR523" s="1358"/>
      <c r="ISS523" s="1358"/>
      <c r="IST523" s="1358"/>
      <c r="ISU523" s="1358"/>
      <c r="ISV523" s="1358"/>
      <c r="ISW523" s="1358"/>
      <c r="ISX523" s="1358"/>
      <c r="ISY523" s="1358"/>
      <c r="ISZ523" s="1358"/>
      <c r="ITA523" s="1358"/>
      <c r="ITB523" s="1358"/>
      <c r="ITC523" s="1358"/>
      <c r="ITD523" s="1358"/>
      <c r="ITE523" s="1358"/>
      <c r="ITF523" s="1358"/>
      <c r="ITG523" s="1358"/>
      <c r="ITH523" s="1358"/>
      <c r="ITI523" s="1358"/>
      <c r="ITJ523" s="1358"/>
      <c r="ITK523" s="1358"/>
      <c r="ITL523" s="1358"/>
      <c r="ITM523" s="1358"/>
      <c r="ITN523" s="1358"/>
      <c r="ITO523" s="1358"/>
      <c r="ITP523" s="1358"/>
      <c r="ITQ523" s="1358"/>
      <c r="ITR523" s="1358"/>
      <c r="ITS523" s="1358"/>
      <c r="ITT523" s="1358"/>
      <c r="ITU523" s="1358"/>
      <c r="ITV523" s="1358"/>
      <c r="ITW523" s="1358"/>
      <c r="ITX523" s="1358"/>
      <c r="ITY523" s="1358"/>
      <c r="ITZ523" s="1358"/>
      <c r="IUA523" s="1358"/>
      <c r="IUB523" s="1358"/>
      <c r="IUC523" s="1358"/>
      <c r="IUD523" s="1358"/>
      <c r="IUE523" s="1358"/>
      <c r="IUF523" s="1358"/>
      <c r="IUG523" s="1358"/>
      <c r="IUH523" s="1358"/>
      <c r="IUI523" s="1358"/>
      <c r="IUJ523" s="1358"/>
      <c r="IUK523" s="1358"/>
      <c r="IUL523" s="1358"/>
      <c r="IUM523" s="1358"/>
      <c r="IUN523" s="1358"/>
      <c r="IUO523" s="1358"/>
      <c r="IUP523" s="1358"/>
      <c r="IUQ523" s="1358"/>
      <c r="IUR523" s="1358"/>
      <c r="IUS523" s="1358"/>
      <c r="IUT523" s="1358"/>
      <c r="IUU523" s="1358"/>
      <c r="IUV523" s="1358"/>
      <c r="IUW523" s="1358"/>
      <c r="IUX523" s="1358"/>
      <c r="IUY523" s="1358"/>
      <c r="IUZ523" s="1358"/>
      <c r="IVA523" s="1358"/>
      <c r="IVB523" s="1358"/>
      <c r="IVC523" s="1358"/>
      <c r="IVD523" s="1358"/>
      <c r="IVE523" s="1358"/>
      <c r="IVF523" s="1358"/>
      <c r="IVG523" s="1358"/>
      <c r="IVH523" s="1358"/>
      <c r="IVI523" s="1358"/>
      <c r="IVJ523" s="1358"/>
      <c r="IVK523" s="1358"/>
      <c r="IVL523" s="1358"/>
      <c r="IVM523" s="1358"/>
      <c r="IVN523" s="1358"/>
      <c r="IVO523" s="1358"/>
      <c r="IVP523" s="1358"/>
      <c r="IVQ523" s="1358"/>
      <c r="IVR523" s="1358"/>
      <c r="IVS523" s="1358"/>
      <c r="IVT523" s="1358"/>
      <c r="IVU523" s="1358"/>
      <c r="IVV523" s="1358"/>
      <c r="IVW523" s="1358"/>
      <c r="IVX523" s="1358"/>
      <c r="IVY523" s="1358"/>
      <c r="IVZ523" s="1358"/>
      <c r="IWA523" s="1358"/>
      <c r="IWB523" s="1358"/>
      <c r="IWC523" s="1358"/>
      <c r="IWD523" s="1358"/>
      <c r="IWE523" s="1358"/>
      <c r="IWF523" s="1358"/>
      <c r="IWG523" s="1358"/>
      <c r="IWH523" s="1358"/>
      <c r="IWI523" s="1358"/>
      <c r="IWJ523" s="1358"/>
      <c r="IWK523" s="1358"/>
      <c r="IWL523" s="1358"/>
      <c r="IWM523" s="1358"/>
      <c r="IWN523" s="1358"/>
      <c r="IWO523" s="1358"/>
      <c r="IWP523" s="1358"/>
      <c r="IWQ523" s="1358"/>
      <c r="IWR523" s="1358"/>
      <c r="IWS523" s="1358"/>
      <c r="IWT523" s="1358"/>
      <c r="IWU523" s="1358"/>
      <c r="IWV523" s="1358"/>
      <c r="IWW523" s="1358"/>
      <c r="IWX523" s="1358"/>
      <c r="IWY523" s="1358"/>
      <c r="IWZ523" s="1358"/>
      <c r="IXA523" s="1358"/>
      <c r="IXB523" s="1358"/>
      <c r="IXC523" s="1358"/>
      <c r="IXD523" s="1358"/>
      <c r="IXE523" s="1358"/>
      <c r="IXF523" s="1358"/>
      <c r="IXG523" s="1358"/>
      <c r="IXH523" s="1358"/>
      <c r="IXI523" s="1358"/>
      <c r="IXJ523" s="1358"/>
      <c r="IXK523" s="1358"/>
      <c r="IXL523" s="1358"/>
      <c r="IXM523" s="1358"/>
      <c r="IXN523" s="1358"/>
      <c r="IXO523" s="1358"/>
      <c r="IXP523" s="1358"/>
      <c r="IXQ523" s="1358"/>
      <c r="IXR523" s="1358"/>
      <c r="IXS523" s="1358"/>
      <c r="IXT523" s="1358"/>
      <c r="IXU523" s="1358"/>
      <c r="IXV523" s="1358"/>
      <c r="IXW523" s="1358"/>
      <c r="IXX523" s="1358"/>
      <c r="IXY523" s="1358"/>
      <c r="IXZ523" s="1358"/>
      <c r="IYA523" s="1358"/>
      <c r="IYB523" s="1358"/>
      <c r="IYC523" s="1358"/>
      <c r="IYD523" s="1358"/>
      <c r="IYE523" s="1358"/>
      <c r="IYF523" s="1358"/>
      <c r="IYG523" s="1358"/>
      <c r="IYH523" s="1358"/>
      <c r="IYI523" s="1358"/>
      <c r="IYJ523" s="1358"/>
      <c r="IYK523" s="1358"/>
      <c r="IYL523" s="1358"/>
      <c r="IYM523" s="1358"/>
      <c r="IYN523" s="1358"/>
      <c r="IYO523" s="1358"/>
      <c r="IYP523" s="1358"/>
      <c r="IYQ523" s="1358"/>
      <c r="IYR523" s="1358"/>
      <c r="IYS523" s="1358"/>
      <c r="IYT523" s="1358"/>
      <c r="IYU523" s="1358"/>
      <c r="IYV523" s="1358"/>
      <c r="IYW523" s="1358"/>
      <c r="IYX523" s="1358"/>
      <c r="IYY523" s="1358"/>
      <c r="IYZ523" s="1358"/>
      <c r="IZA523" s="1358"/>
      <c r="IZB523" s="1358"/>
      <c r="IZC523" s="1358"/>
      <c r="IZD523" s="1358"/>
      <c r="IZE523" s="1358"/>
      <c r="IZF523" s="1358"/>
      <c r="IZG523" s="1358"/>
      <c r="IZH523" s="1358"/>
      <c r="IZI523" s="1358"/>
      <c r="IZJ523" s="1358"/>
      <c r="IZK523" s="1358"/>
      <c r="IZL523" s="1358"/>
      <c r="IZM523" s="1358"/>
      <c r="IZN523" s="1358"/>
      <c r="IZO523" s="1358"/>
      <c r="IZP523" s="1358"/>
      <c r="IZQ523" s="1358"/>
      <c r="IZR523" s="1358"/>
      <c r="IZS523" s="1358"/>
      <c r="IZT523" s="1358"/>
      <c r="IZU523" s="1358"/>
      <c r="IZV523" s="1358"/>
      <c r="IZW523" s="1358"/>
      <c r="IZX523" s="1358"/>
      <c r="IZY523" s="1358"/>
      <c r="IZZ523" s="1358"/>
      <c r="JAA523" s="1358"/>
      <c r="JAB523" s="1358"/>
      <c r="JAC523" s="1358"/>
      <c r="JAD523" s="1358"/>
      <c r="JAE523" s="1358"/>
      <c r="JAF523" s="1358"/>
      <c r="JAG523" s="1358"/>
      <c r="JAH523" s="1358"/>
      <c r="JAI523" s="1358"/>
      <c r="JAJ523" s="1358"/>
      <c r="JAK523" s="1358"/>
      <c r="JAL523" s="1358"/>
      <c r="JAM523" s="1358"/>
      <c r="JAN523" s="1358"/>
      <c r="JAO523" s="1358"/>
      <c r="JAP523" s="1358"/>
      <c r="JAQ523" s="1358"/>
      <c r="JAR523" s="1358"/>
      <c r="JAS523" s="1358"/>
      <c r="JAT523" s="1358"/>
      <c r="JAU523" s="1358"/>
      <c r="JAV523" s="1358"/>
      <c r="JAW523" s="1358"/>
      <c r="JAX523" s="1358"/>
      <c r="JAY523" s="1358"/>
      <c r="JAZ523" s="1358"/>
      <c r="JBA523" s="1358"/>
      <c r="JBB523" s="1358"/>
      <c r="JBC523" s="1358"/>
      <c r="JBD523" s="1358"/>
      <c r="JBE523" s="1358"/>
      <c r="JBF523" s="1358"/>
      <c r="JBG523" s="1358"/>
      <c r="JBH523" s="1358"/>
      <c r="JBI523" s="1358"/>
      <c r="JBJ523" s="1358"/>
      <c r="JBK523" s="1358"/>
      <c r="JBL523" s="1358"/>
      <c r="JBM523" s="1358"/>
      <c r="JBN523" s="1358"/>
      <c r="JBO523" s="1358"/>
      <c r="JBP523" s="1358"/>
      <c r="JBQ523" s="1358"/>
      <c r="JBR523" s="1358"/>
      <c r="JBS523" s="1358"/>
      <c r="JBT523" s="1358"/>
      <c r="JBU523" s="1358"/>
      <c r="JBV523" s="1358"/>
      <c r="JBW523" s="1358"/>
      <c r="JBX523" s="1358"/>
      <c r="JBY523" s="1358"/>
      <c r="JBZ523" s="1358"/>
      <c r="JCA523" s="1358"/>
      <c r="JCB523" s="1358"/>
      <c r="JCC523" s="1358"/>
      <c r="JCD523" s="1358"/>
      <c r="JCE523" s="1358"/>
      <c r="JCF523" s="1358"/>
      <c r="JCG523" s="1358"/>
      <c r="JCH523" s="1358"/>
      <c r="JCI523" s="1358"/>
      <c r="JCJ523" s="1358"/>
      <c r="JCK523" s="1358"/>
      <c r="JCL523" s="1358"/>
      <c r="JCM523" s="1358"/>
      <c r="JCN523" s="1358"/>
      <c r="JCO523" s="1358"/>
      <c r="JCP523" s="1358"/>
      <c r="JCQ523" s="1358"/>
      <c r="JCR523" s="1358"/>
      <c r="JCS523" s="1358"/>
      <c r="JCT523" s="1358"/>
      <c r="JCU523" s="1358"/>
      <c r="JCV523" s="1358"/>
      <c r="JCW523" s="1358"/>
      <c r="JCX523" s="1358"/>
      <c r="JCY523" s="1358"/>
      <c r="JCZ523" s="1358"/>
      <c r="JDA523" s="1358"/>
      <c r="JDB523" s="1358"/>
      <c r="JDC523" s="1358"/>
      <c r="JDD523" s="1358"/>
      <c r="JDE523" s="1358"/>
      <c r="JDF523" s="1358"/>
      <c r="JDG523" s="1358"/>
      <c r="JDH523" s="1358"/>
      <c r="JDI523" s="1358"/>
      <c r="JDJ523" s="1358"/>
      <c r="JDK523" s="1358"/>
      <c r="JDL523" s="1358"/>
      <c r="JDM523" s="1358"/>
      <c r="JDN523" s="1358"/>
      <c r="JDO523" s="1358"/>
      <c r="JDP523" s="1358"/>
      <c r="JDQ523" s="1358"/>
      <c r="JDR523" s="1358"/>
      <c r="JDS523" s="1358"/>
      <c r="JDT523" s="1358"/>
      <c r="JDU523" s="1358"/>
      <c r="JDV523" s="1358"/>
      <c r="JDW523" s="1358"/>
      <c r="JDX523" s="1358"/>
      <c r="JDY523" s="1358"/>
      <c r="JDZ523" s="1358"/>
      <c r="JEA523" s="1358"/>
      <c r="JEB523" s="1358"/>
      <c r="JEC523" s="1358"/>
      <c r="JED523" s="1358"/>
      <c r="JEE523" s="1358"/>
      <c r="JEF523" s="1358"/>
      <c r="JEG523" s="1358"/>
      <c r="JEH523" s="1358"/>
      <c r="JEI523" s="1358"/>
      <c r="JEJ523" s="1358"/>
      <c r="JEK523" s="1358"/>
      <c r="JEL523" s="1358"/>
      <c r="JEM523" s="1358"/>
      <c r="JEN523" s="1358"/>
      <c r="JEO523" s="1358"/>
      <c r="JEP523" s="1358"/>
      <c r="JEQ523" s="1358"/>
      <c r="JER523" s="1358"/>
      <c r="JES523" s="1358"/>
      <c r="JET523" s="1358"/>
      <c r="JEU523" s="1358"/>
      <c r="JEV523" s="1358"/>
      <c r="JEW523" s="1358"/>
      <c r="JEX523" s="1358"/>
      <c r="JEY523" s="1358"/>
      <c r="JEZ523" s="1358"/>
      <c r="JFA523" s="1358"/>
      <c r="JFB523" s="1358"/>
      <c r="JFC523" s="1358"/>
      <c r="JFD523" s="1358"/>
      <c r="JFE523" s="1358"/>
      <c r="JFF523" s="1358"/>
      <c r="JFG523" s="1358"/>
      <c r="JFH523" s="1358"/>
      <c r="JFI523" s="1358"/>
      <c r="JFJ523" s="1358"/>
      <c r="JFK523" s="1358"/>
      <c r="JFL523" s="1358"/>
      <c r="JFM523" s="1358"/>
      <c r="JFN523" s="1358"/>
      <c r="JFO523" s="1358"/>
      <c r="JFP523" s="1358"/>
      <c r="JFQ523" s="1358"/>
      <c r="JFR523" s="1358"/>
      <c r="JFS523" s="1358"/>
      <c r="JFT523" s="1358"/>
      <c r="JFU523" s="1358"/>
      <c r="JFV523" s="1358"/>
      <c r="JFW523" s="1358"/>
      <c r="JFX523" s="1358"/>
      <c r="JFY523" s="1358"/>
      <c r="JFZ523" s="1358"/>
      <c r="JGA523" s="1358"/>
      <c r="JGB523" s="1358"/>
      <c r="JGC523" s="1358"/>
      <c r="JGD523" s="1358"/>
      <c r="JGE523" s="1358"/>
      <c r="JGF523" s="1358"/>
      <c r="JGG523" s="1358"/>
      <c r="JGH523" s="1358"/>
      <c r="JGI523" s="1358"/>
      <c r="JGJ523" s="1358"/>
      <c r="JGK523" s="1358"/>
      <c r="JGL523" s="1358"/>
      <c r="JGM523" s="1358"/>
      <c r="JGN523" s="1358"/>
      <c r="JGO523" s="1358"/>
      <c r="JGP523" s="1358"/>
      <c r="JGQ523" s="1358"/>
      <c r="JGR523" s="1358"/>
      <c r="JGS523" s="1358"/>
      <c r="JGT523" s="1358"/>
      <c r="JGU523" s="1358"/>
      <c r="JGV523" s="1358"/>
      <c r="JGW523" s="1358"/>
      <c r="JGX523" s="1358"/>
      <c r="JGY523" s="1358"/>
      <c r="JGZ523" s="1358"/>
      <c r="JHA523" s="1358"/>
      <c r="JHB523" s="1358"/>
      <c r="JHC523" s="1358"/>
      <c r="JHD523" s="1358"/>
      <c r="JHE523" s="1358"/>
      <c r="JHF523" s="1358"/>
      <c r="JHG523" s="1358"/>
      <c r="JHH523" s="1358"/>
      <c r="JHI523" s="1358"/>
      <c r="JHJ523" s="1358"/>
      <c r="JHK523" s="1358"/>
      <c r="JHL523" s="1358"/>
      <c r="JHM523" s="1358"/>
      <c r="JHN523" s="1358"/>
      <c r="JHO523" s="1358"/>
      <c r="JHP523" s="1358"/>
      <c r="JHQ523" s="1358"/>
      <c r="JHR523" s="1358"/>
      <c r="JHS523" s="1358"/>
      <c r="JHT523" s="1358"/>
      <c r="JHU523" s="1358"/>
      <c r="JHV523" s="1358"/>
      <c r="JHW523" s="1358"/>
      <c r="JHX523" s="1358"/>
      <c r="JHY523" s="1358"/>
      <c r="JHZ523" s="1358"/>
      <c r="JIA523" s="1358"/>
      <c r="JIB523" s="1358"/>
      <c r="JIC523" s="1358"/>
      <c r="JID523" s="1358"/>
      <c r="JIE523" s="1358"/>
      <c r="JIF523" s="1358"/>
      <c r="JIG523" s="1358"/>
      <c r="JIH523" s="1358"/>
      <c r="JII523" s="1358"/>
      <c r="JIJ523" s="1358"/>
      <c r="JIK523" s="1358"/>
      <c r="JIL523" s="1358"/>
      <c r="JIM523" s="1358"/>
      <c r="JIN523" s="1358"/>
      <c r="JIO523" s="1358"/>
      <c r="JIP523" s="1358"/>
      <c r="JIQ523" s="1358"/>
      <c r="JIR523" s="1358"/>
      <c r="JIS523" s="1358"/>
      <c r="JIT523" s="1358"/>
      <c r="JIU523" s="1358"/>
      <c r="JIV523" s="1358"/>
      <c r="JIW523" s="1358"/>
      <c r="JIX523" s="1358"/>
      <c r="JIY523" s="1358"/>
      <c r="JIZ523" s="1358"/>
      <c r="JJA523" s="1358"/>
      <c r="JJB523" s="1358"/>
      <c r="JJC523" s="1358"/>
      <c r="JJD523" s="1358"/>
      <c r="JJE523" s="1358"/>
      <c r="JJF523" s="1358"/>
      <c r="JJG523" s="1358"/>
      <c r="JJH523" s="1358"/>
      <c r="JJI523" s="1358"/>
      <c r="JJJ523" s="1358"/>
      <c r="JJK523" s="1358"/>
      <c r="JJL523" s="1358"/>
      <c r="JJM523" s="1358"/>
      <c r="JJN523" s="1358"/>
      <c r="JJO523" s="1358"/>
      <c r="JJP523" s="1358"/>
      <c r="JJQ523" s="1358"/>
      <c r="JJR523" s="1358"/>
      <c r="JJS523" s="1358"/>
      <c r="JJT523" s="1358"/>
      <c r="JJU523" s="1358"/>
      <c r="JJV523" s="1358"/>
      <c r="JJW523" s="1358"/>
      <c r="JJX523" s="1358"/>
      <c r="JJY523" s="1358"/>
      <c r="JJZ523" s="1358"/>
      <c r="JKA523" s="1358"/>
      <c r="JKB523" s="1358"/>
      <c r="JKC523" s="1358"/>
      <c r="JKD523" s="1358"/>
      <c r="JKE523" s="1358"/>
      <c r="JKF523" s="1358"/>
      <c r="JKG523" s="1358"/>
      <c r="JKH523" s="1358"/>
      <c r="JKI523" s="1358"/>
      <c r="JKJ523" s="1358"/>
      <c r="JKK523" s="1358"/>
      <c r="JKL523" s="1358"/>
      <c r="JKM523" s="1358"/>
      <c r="JKN523" s="1358"/>
      <c r="JKO523" s="1358"/>
      <c r="JKP523" s="1358"/>
      <c r="JKQ523" s="1358"/>
      <c r="JKR523" s="1358"/>
      <c r="JKS523" s="1358"/>
      <c r="JKT523" s="1358"/>
      <c r="JKU523" s="1358"/>
      <c r="JKV523" s="1358"/>
      <c r="JKW523" s="1358"/>
      <c r="JKX523" s="1358"/>
      <c r="JKY523" s="1358"/>
      <c r="JKZ523" s="1358"/>
      <c r="JLA523" s="1358"/>
      <c r="JLB523" s="1358"/>
      <c r="JLC523" s="1358"/>
      <c r="JLD523" s="1358"/>
      <c r="JLE523" s="1358"/>
      <c r="JLF523" s="1358"/>
      <c r="JLG523" s="1358"/>
      <c r="JLH523" s="1358"/>
      <c r="JLI523" s="1358"/>
      <c r="JLJ523" s="1358"/>
      <c r="JLK523" s="1358"/>
      <c r="JLL523" s="1358"/>
      <c r="JLM523" s="1358"/>
      <c r="JLN523" s="1358"/>
      <c r="JLO523" s="1358"/>
      <c r="JLP523" s="1358"/>
      <c r="JLQ523" s="1358"/>
      <c r="JLR523" s="1358"/>
      <c r="JLS523" s="1358"/>
      <c r="JLT523" s="1358"/>
      <c r="JLU523" s="1358"/>
      <c r="JLV523" s="1358"/>
      <c r="JLW523" s="1358"/>
      <c r="JLX523" s="1358"/>
      <c r="JLY523" s="1358"/>
      <c r="JLZ523" s="1358"/>
      <c r="JMA523" s="1358"/>
      <c r="JMB523" s="1358"/>
      <c r="JMC523" s="1358"/>
      <c r="JMD523" s="1358"/>
      <c r="JME523" s="1358"/>
      <c r="JMF523" s="1358"/>
      <c r="JMG523" s="1358"/>
      <c r="JMH523" s="1358"/>
      <c r="JMI523" s="1358"/>
      <c r="JMJ523" s="1358"/>
      <c r="JMK523" s="1358"/>
      <c r="JML523" s="1358"/>
      <c r="JMM523" s="1358"/>
      <c r="JMN523" s="1358"/>
      <c r="JMO523" s="1358"/>
      <c r="JMP523" s="1358"/>
      <c r="JMQ523" s="1358"/>
      <c r="JMR523" s="1358"/>
      <c r="JMS523" s="1358"/>
      <c r="JMT523" s="1358"/>
      <c r="JMU523" s="1358"/>
      <c r="JMV523" s="1358"/>
      <c r="JMW523" s="1358"/>
      <c r="JMX523" s="1358"/>
      <c r="JMY523" s="1358"/>
      <c r="JMZ523" s="1358"/>
      <c r="JNA523" s="1358"/>
      <c r="JNB523" s="1358"/>
      <c r="JNC523" s="1358"/>
      <c r="JND523" s="1358"/>
      <c r="JNE523" s="1358"/>
      <c r="JNF523" s="1358"/>
      <c r="JNG523" s="1358"/>
      <c r="JNH523" s="1358"/>
      <c r="JNI523" s="1358"/>
      <c r="JNJ523" s="1358"/>
      <c r="JNK523" s="1358"/>
      <c r="JNL523" s="1358"/>
      <c r="JNM523" s="1358"/>
      <c r="JNN523" s="1358"/>
      <c r="JNO523" s="1358"/>
      <c r="JNP523" s="1358"/>
      <c r="JNQ523" s="1358"/>
      <c r="JNR523" s="1358"/>
      <c r="JNS523" s="1358"/>
      <c r="JNT523" s="1358"/>
      <c r="JNU523" s="1358"/>
      <c r="JNV523" s="1358"/>
      <c r="JNW523" s="1358"/>
      <c r="JNX523" s="1358"/>
      <c r="JNY523" s="1358"/>
      <c r="JNZ523" s="1358"/>
      <c r="JOA523" s="1358"/>
      <c r="JOB523" s="1358"/>
      <c r="JOC523" s="1358"/>
      <c r="JOD523" s="1358"/>
      <c r="JOE523" s="1358"/>
      <c r="JOF523" s="1358"/>
      <c r="JOG523" s="1358"/>
      <c r="JOH523" s="1358"/>
      <c r="JOI523" s="1358"/>
      <c r="JOJ523" s="1358"/>
      <c r="JOK523" s="1358"/>
      <c r="JOL523" s="1358"/>
      <c r="JOM523" s="1358"/>
      <c r="JON523" s="1358"/>
      <c r="JOO523" s="1358"/>
      <c r="JOP523" s="1358"/>
      <c r="JOQ523" s="1358"/>
      <c r="JOR523" s="1358"/>
      <c r="JOS523" s="1358"/>
      <c r="JOT523" s="1358"/>
      <c r="JOU523" s="1358"/>
      <c r="JOV523" s="1358"/>
      <c r="JOW523" s="1358"/>
      <c r="JOX523" s="1358"/>
      <c r="JOY523" s="1358"/>
      <c r="JOZ523" s="1358"/>
      <c r="JPA523" s="1358"/>
      <c r="JPB523" s="1358"/>
      <c r="JPC523" s="1358"/>
      <c r="JPD523" s="1358"/>
      <c r="JPE523" s="1358"/>
      <c r="JPF523" s="1358"/>
      <c r="JPG523" s="1358"/>
      <c r="JPH523" s="1358"/>
      <c r="JPI523" s="1358"/>
      <c r="JPJ523" s="1358"/>
      <c r="JPK523" s="1358"/>
      <c r="JPL523" s="1358"/>
      <c r="JPM523" s="1358"/>
      <c r="JPN523" s="1358"/>
      <c r="JPO523" s="1358"/>
      <c r="JPP523" s="1358"/>
      <c r="JPQ523" s="1358"/>
      <c r="JPR523" s="1358"/>
      <c r="JPS523" s="1358"/>
      <c r="JPT523" s="1358"/>
      <c r="JPU523" s="1358"/>
      <c r="JPV523" s="1358"/>
      <c r="JPW523" s="1358"/>
      <c r="JPX523" s="1358"/>
      <c r="JPY523" s="1358"/>
      <c r="JPZ523" s="1358"/>
      <c r="JQA523" s="1358"/>
      <c r="JQB523" s="1358"/>
      <c r="JQC523" s="1358"/>
      <c r="JQD523" s="1358"/>
      <c r="JQE523" s="1358"/>
      <c r="JQF523" s="1358"/>
      <c r="JQG523" s="1358"/>
      <c r="JQH523" s="1358"/>
      <c r="JQI523" s="1358"/>
      <c r="JQJ523" s="1358"/>
      <c r="JQK523" s="1358"/>
      <c r="JQL523" s="1358"/>
      <c r="JQM523" s="1358"/>
      <c r="JQN523" s="1358"/>
      <c r="JQO523" s="1358"/>
      <c r="JQP523" s="1358"/>
      <c r="JQQ523" s="1358"/>
      <c r="JQR523" s="1358"/>
      <c r="JQS523" s="1358"/>
      <c r="JQT523" s="1358"/>
      <c r="JQU523" s="1358"/>
      <c r="JQV523" s="1358"/>
      <c r="JQW523" s="1358"/>
      <c r="JQX523" s="1358"/>
      <c r="JQY523" s="1358"/>
      <c r="JQZ523" s="1358"/>
      <c r="JRA523" s="1358"/>
      <c r="JRB523" s="1358"/>
      <c r="JRC523" s="1358"/>
      <c r="JRD523" s="1358"/>
      <c r="JRE523" s="1358"/>
      <c r="JRF523" s="1358"/>
      <c r="JRG523" s="1358"/>
      <c r="JRH523" s="1358"/>
      <c r="JRI523" s="1358"/>
      <c r="JRJ523" s="1358"/>
      <c r="JRK523" s="1358"/>
      <c r="JRL523" s="1358"/>
      <c r="JRM523" s="1358"/>
      <c r="JRN523" s="1358"/>
      <c r="JRO523" s="1358"/>
      <c r="JRP523" s="1358"/>
      <c r="JRQ523" s="1358"/>
      <c r="JRR523" s="1358"/>
      <c r="JRS523" s="1358"/>
      <c r="JRT523" s="1358"/>
      <c r="JRU523" s="1358"/>
      <c r="JRV523" s="1358"/>
      <c r="JRW523" s="1358"/>
      <c r="JRX523" s="1358"/>
      <c r="JRY523" s="1358"/>
      <c r="JRZ523" s="1358"/>
      <c r="JSA523" s="1358"/>
      <c r="JSB523" s="1358"/>
      <c r="JSC523" s="1358"/>
      <c r="JSD523" s="1358"/>
      <c r="JSE523" s="1358"/>
      <c r="JSF523" s="1358"/>
      <c r="JSG523" s="1358"/>
      <c r="JSH523" s="1358"/>
      <c r="JSI523" s="1358"/>
      <c r="JSJ523" s="1358"/>
      <c r="JSK523" s="1358"/>
      <c r="JSL523" s="1358"/>
      <c r="JSM523" s="1358"/>
      <c r="JSN523" s="1358"/>
      <c r="JSO523" s="1358"/>
      <c r="JSP523" s="1358"/>
      <c r="JSQ523" s="1358"/>
      <c r="JSR523" s="1358"/>
      <c r="JSS523" s="1358"/>
      <c r="JST523" s="1358"/>
      <c r="JSU523" s="1358"/>
      <c r="JSV523" s="1358"/>
      <c r="JSW523" s="1358"/>
      <c r="JSX523" s="1358"/>
      <c r="JSY523" s="1358"/>
      <c r="JSZ523" s="1358"/>
      <c r="JTA523" s="1358"/>
      <c r="JTB523" s="1358"/>
      <c r="JTC523" s="1358"/>
      <c r="JTD523" s="1358"/>
      <c r="JTE523" s="1358"/>
      <c r="JTF523" s="1358"/>
      <c r="JTG523" s="1358"/>
      <c r="JTH523" s="1358"/>
      <c r="JTI523" s="1358"/>
      <c r="JTJ523" s="1358"/>
      <c r="JTK523" s="1358"/>
      <c r="JTL523" s="1358"/>
      <c r="JTM523" s="1358"/>
      <c r="JTN523" s="1358"/>
      <c r="JTO523" s="1358"/>
      <c r="JTP523" s="1358"/>
      <c r="JTQ523" s="1358"/>
      <c r="JTR523" s="1358"/>
      <c r="JTS523" s="1358"/>
      <c r="JTT523" s="1358"/>
      <c r="JTU523" s="1358"/>
      <c r="JTV523" s="1358"/>
      <c r="JTW523" s="1358"/>
      <c r="JTX523" s="1358"/>
      <c r="JTY523" s="1358"/>
      <c r="JTZ523" s="1358"/>
      <c r="JUA523" s="1358"/>
      <c r="JUB523" s="1358"/>
      <c r="JUC523" s="1358"/>
      <c r="JUD523" s="1358"/>
      <c r="JUE523" s="1358"/>
      <c r="JUF523" s="1358"/>
      <c r="JUG523" s="1358"/>
      <c r="JUH523" s="1358"/>
      <c r="JUI523" s="1358"/>
      <c r="JUJ523" s="1358"/>
      <c r="JUK523" s="1358"/>
      <c r="JUL523" s="1358"/>
      <c r="JUM523" s="1358"/>
      <c r="JUN523" s="1358"/>
      <c r="JUO523" s="1358"/>
      <c r="JUP523" s="1358"/>
      <c r="JUQ523" s="1358"/>
      <c r="JUR523" s="1358"/>
      <c r="JUS523" s="1358"/>
      <c r="JUT523" s="1358"/>
      <c r="JUU523" s="1358"/>
      <c r="JUV523" s="1358"/>
      <c r="JUW523" s="1358"/>
      <c r="JUX523" s="1358"/>
      <c r="JUY523" s="1358"/>
      <c r="JUZ523" s="1358"/>
      <c r="JVA523" s="1358"/>
      <c r="JVB523" s="1358"/>
      <c r="JVC523" s="1358"/>
      <c r="JVD523" s="1358"/>
      <c r="JVE523" s="1358"/>
      <c r="JVF523" s="1358"/>
      <c r="JVG523" s="1358"/>
      <c r="JVH523" s="1358"/>
      <c r="JVI523" s="1358"/>
      <c r="JVJ523" s="1358"/>
      <c r="JVK523" s="1358"/>
      <c r="JVL523" s="1358"/>
      <c r="JVM523" s="1358"/>
      <c r="JVN523" s="1358"/>
      <c r="JVO523" s="1358"/>
      <c r="JVP523" s="1358"/>
      <c r="JVQ523" s="1358"/>
      <c r="JVR523" s="1358"/>
      <c r="JVS523" s="1358"/>
      <c r="JVT523" s="1358"/>
      <c r="JVU523" s="1358"/>
      <c r="JVV523" s="1358"/>
      <c r="JVW523" s="1358"/>
      <c r="JVX523" s="1358"/>
      <c r="JVY523" s="1358"/>
      <c r="JVZ523" s="1358"/>
      <c r="JWA523" s="1358"/>
      <c r="JWB523" s="1358"/>
      <c r="JWC523" s="1358"/>
      <c r="JWD523" s="1358"/>
      <c r="JWE523" s="1358"/>
      <c r="JWF523" s="1358"/>
      <c r="JWG523" s="1358"/>
      <c r="JWH523" s="1358"/>
      <c r="JWI523" s="1358"/>
      <c r="JWJ523" s="1358"/>
      <c r="JWK523" s="1358"/>
      <c r="JWL523" s="1358"/>
      <c r="JWM523" s="1358"/>
      <c r="JWN523" s="1358"/>
      <c r="JWO523" s="1358"/>
      <c r="JWP523" s="1358"/>
      <c r="JWQ523" s="1358"/>
      <c r="JWR523" s="1358"/>
      <c r="JWS523" s="1358"/>
      <c r="JWT523" s="1358"/>
      <c r="JWU523" s="1358"/>
      <c r="JWV523" s="1358"/>
      <c r="JWW523" s="1358"/>
      <c r="JWX523" s="1358"/>
      <c r="JWY523" s="1358"/>
      <c r="JWZ523" s="1358"/>
      <c r="JXA523" s="1358"/>
      <c r="JXB523" s="1358"/>
      <c r="JXC523" s="1358"/>
      <c r="JXD523" s="1358"/>
      <c r="JXE523" s="1358"/>
      <c r="JXF523" s="1358"/>
      <c r="JXG523" s="1358"/>
      <c r="JXH523" s="1358"/>
      <c r="JXI523" s="1358"/>
      <c r="JXJ523" s="1358"/>
      <c r="JXK523" s="1358"/>
      <c r="JXL523" s="1358"/>
      <c r="JXM523" s="1358"/>
      <c r="JXN523" s="1358"/>
      <c r="JXO523" s="1358"/>
      <c r="JXP523" s="1358"/>
      <c r="JXQ523" s="1358"/>
      <c r="JXR523" s="1358"/>
      <c r="JXS523" s="1358"/>
      <c r="JXT523" s="1358"/>
      <c r="JXU523" s="1358"/>
      <c r="JXV523" s="1358"/>
      <c r="JXW523" s="1358"/>
      <c r="JXX523" s="1358"/>
      <c r="JXY523" s="1358"/>
      <c r="JXZ523" s="1358"/>
      <c r="JYA523" s="1358"/>
      <c r="JYB523" s="1358"/>
      <c r="JYC523" s="1358"/>
      <c r="JYD523" s="1358"/>
      <c r="JYE523" s="1358"/>
      <c r="JYF523" s="1358"/>
      <c r="JYG523" s="1358"/>
      <c r="JYH523" s="1358"/>
      <c r="JYI523" s="1358"/>
      <c r="JYJ523" s="1358"/>
      <c r="JYK523" s="1358"/>
      <c r="JYL523" s="1358"/>
      <c r="JYM523" s="1358"/>
      <c r="JYN523" s="1358"/>
      <c r="JYO523" s="1358"/>
      <c r="JYP523" s="1358"/>
      <c r="JYQ523" s="1358"/>
      <c r="JYR523" s="1358"/>
      <c r="JYS523" s="1358"/>
      <c r="JYT523" s="1358"/>
      <c r="JYU523" s="1358"/>
      <c r="JYV523" s="1358"/>
      <c r="JYW523" s="1358"/>
      <c r="JYX523" s="1358"/>
      <c r="JYY523" s="1358"/>
      <c r="JYZ523" s="1358"/>
      <c r="JZA523" s="1358"/>
      <c r="JZB523" s="1358"/>
      <c r="JZC523" s="1358"/>
      <c r="JZD523" s="1358"/>
      <c r="JZE523" s="1358"/>
      <c r="JZF523" s="1358"/>
      <c r="JZG523" s="1358"/>
      <c r="JZH523" s="1358"/>
      <c r="JZI523" s="1358"/>
      <c r="JZJ523" s="1358"/>
      <c r="JZK523" s="1358"/>
      <c r="JZL523" s="1358"/>
      <c r="JZM523" s="1358"/>
      <c r="JZN523" s="1358"/>
      <c r="JZO523" s="1358"/>
      <c r="JZP523" s="1358"/>
      <c r="JZQ523" s="1358"/>
      <c r="JZR523" s="1358"/>
      <c r="JZS523" s="1358"/>
      <c r="JZT523" s="1358"/>
      <c r="JZU523" s="1358"/>
      <c r="JZV523" s="1358"/>
      <c r="JZW523" s="1358"/>
      <c r="JZX523" s="1358"/>
      <c r="JZY523" s="1358"/>
      <c r="JZZ523" s="1358"/>
      <c r="KAA523" s="1358"/>
      <c r="KAB523" s="1358"/>
      <c r="KAC523" s="1358"/>
      <c r="KAD523" s="1358"/>
      <c r="KAE523" s="1358"/>
      <c r="KAF523" s="1358"/>
      <c r="KAG523" s="1358"/>
      <c r="KAH523" s="1358"/>
      <c r="KAI523" s="1358"/>
      <c r="KAJ523" s="1358"/>
      <c r="KAK523" s="1358"/>
      <c r="KAL523" s="1358"/>
      <c r="KAM523" s="1358"/>
      <c r="KAN523" s="1358"/>
      <c r="KAO523" s="1358"/>
      <c r="KAP523" s="1358"/>
      <c r="KAQ523" s="1358"/>
      <c r="KAR523" s="1358"/>
      <c r="KAS523" s="1358"/>
      <c r="KAT523" s="1358"/>
      <c r="KAU523" s="1358"/>
      <c r="KAV523" s="1358"/>
      <c r="KAW523" s="1358"/>
      <c r="KAX523" s="1358"/>
      <c r="KAY523" s="1358"/>
      <c r="KAZ523" s="1358"/>
      <c r="KBA523" s="1358"/>
      <c r="KBB523" s="1358"/>
      <c r="KBC523" s="1358"/>
      <c r="KBD523" s="1358"/>
      <c r="KBE523" s="1358"/>
      <c r="KBF523" s="1358"/>
      <c r="KBG523" s="1358"/>
      <c r="KBH523" s="1358"/>
      <c r="KBI523" s="1358"/>
      <c r="KBJ523" s="1358"/>
      <c r="KBK523" s="1358"/>
      <c r="KBL523" s="1358"/>
      <c r="KBM523" s="1358"/>
      <c r="KBN523" s="1358"/>
      <c r="KBO523" s="1358"/>
      <c r="KBP523" s="1358"/>
      <c r="KBQ523" s="1358"/>
      <c r="KBR523" s="1358"/>
      <c r="KBS523" s="1358"/>
      <c r="KBT523" s="1358"/>
      <c r="KBU523" s="1358"/>
      <c r="KBV523" s="1358"/>
      <c r="KBW523" s="1358"/>
      <c r="KBX523" s="1358"/>
      <c r="KBY523" s="1358"/>
      <c r="KBZ523" s="1358"/>
      <c r="KCA523" s="1358"/>
      <c r="KCB523" s="1358"/>
      <c r="KCC523" s="1358"/>
      <c r="KCD523" s="1358"/>
      <c r="KCE523" s="1358"/>
      <c r="KCF523" s="1358"/>
      <c r="KCG523" s="1358"/>
      <c r="KCH523" s="1358"/>
      <c r="KCI523" s="1358"/>
      <c r="KCJ523" s="1358"/>
      <c r="KCK523" s="1358"/>
      <c r="KCL523" s="1358"/>
      <c r="KCM523" s="1358"/>
      <c r="KCN523" s="1358"/>
      <c r="KCO523" s="1358"/>
      <c r="KCP523" s="1358"/>
      <c r="KCQ523" s="1358"/>
      <c r="KCR523" s="1358"/>
      <c r="KCS523" s="1358"/>
      <c r="KCT523" s="1358"/>
      <c r="KCU523" s="1358"/>
      <c r="KCV523" s="1358"/>
      <c r="KCW523" s="1358"/>
      <c r="KCX523" s="1358"/>
      <c r="KCY523" s="1358"/>
      <c r="KCZ523" s="1358"/>
      <c r="KDA523" s="1358"/>
      <c r="KDB523" s="1358"/>
      <c r="KDC523" s="1358"/>
      <c r="KDD523" s="1358"/>
      <c r="KDE523" s="1358"/>
      <c r="KDF523" s="1358"/>
      <c r="KDG523" s="1358"/>
      <c r="KDH523" s="1358"/>
      <c r="KDI523" s="1358"/>
      <c r="KDJ523" s="1358"/>
      <c r="KDK523" s="1358"/>
      <c r="KDL523" s="1358"/>
      <c r="KDM523" s="1358"/>
      <c r="KDN523" s="1358"/>
      <c r="KDO523" s="1358"/>
      <c r="KDP523" s="1358"/>
      <c r="KDQ523" s="1358"/>
      <c r="KDR523" s="1358"/>
      <c r="KDS523" s="1358"/>
      <c r="KDT523" s="1358"/>
      <c r="KDU523" s="1358"/>
      <c r="KDV523" s="1358"/>
      <c r="KDW523" s="1358"/>
      <c r="KDX523" s="1358"/>
      <c r="KDY523" s="1358"/>
      <c r="KDZ523" s="1358"/>
      <c r="KEA523" s="1358"/>
      <c r="KEB523" s="1358"/>
      <c r="KEC523" s="1358"/>
      <c r="KED523" s="1358"/>
      <c r="KEE523" s="1358"/>
      <c r="KEF523" s="1358"/>
      <c r="KEG523" s="1358"/>
      <c r="KEH523" s="1358"/>
      <c r="KEI523" s="1358"/>
      <c r="KEJ523" s="1358"/>
      <c r="KEK523" s="1358"/>
      <c r="KEL523" s="1358"/>
      <c r="KEM523" s="1358"/>
      <c r="KEN523" s="1358"/>
      <c r="KEO523" s="1358"/>
      <c r="KEP523" s="1358"/>
      <c r="KEQ523" s="1358"/>
      <c r="KER523" s="1358"/>
      <c r="KES523" s="1358"/>
      <c r="KET523" s="1358"/>
      <c r="KEU523" s="1358"/>
      <c r="KEV523" s="1358"/>
      <c r="KEW523" s="1358"/>
      <c r="KEX523" s="1358"/>
      <c r="KEY523" s="1358"/>
      <c r="KEZ523" s="1358"/>
      <c r="KFA523" s="1358"/>
      <c r="KFB523" s="1358"/>
      <c r="KFC523" s="1358"/>
      <c r="KFD523" s="1358"/>
      <c r="KFE523" s="1358"/>
      <c r="KFF523" s="1358"/>
      <c r="KFG523" s="1358"/>
      <c r="KFH523" s="1358"/>
      <c r="KFI523" s="1358"/>
      <c r="KFJ523" s="1358"/>
      <c r="KFK523" s="1358"/>
      <c r="KFL523" s="1358"/>
      <c r="KFM523" s="1358"/>
      <c r="KFN523" s="1358"/>
      <c r="KFO523" s="1358"/>
      <c r="KFP523" s="1358"/>
      <c r="KFQ523" s="1358"/>
      <c r="KFR523" s="1358"/>
      <c r="KFS523" s="1358"/>
      <c r="KFT523" s="1358"/>
      <c r="KFU523" s="1358"/>
      <c r="KFV523" s="1358"/>
      <c r="KFW523" s="1358"/>
      <c r="KFX523" s="1358"/>
      <c r="KFY523" s="1358"/>
      <c r="KFZ523" s="1358"/>
      <c r="KGA523" s="1358"/>
      <c r="KGB523" s="1358"/>
      <c r="KGC523" s="1358"/>
      <c r="KGD523" s="1358"/>
      <c r="KGE523" s="1358"/>
      <c r="KGF523" s="1358"/>
      <c r="KGG523" s="1358"/>
      <c r="KGH523" s="1358"/>
      <c r="KGI523" s="1358"/>
      <c r="KGJ523" s="1358"/>
      <c r="KGK523" s="1358"/>
      <c r="KGL523" s="1358"/>
      <c r="KGM523" s="1358"/>
      <c r="KGN523" s="1358"/>
      <c r="KGO523" s="1358"/>
      <c r="KGP523" s="1358"/>
      <c r="KGQ523" s="1358"/>
      <c r="KGR523" s="1358"/>
      <c r="KGS523" s="1358"/>
      <c r="KGT523" s="1358"/>
      <c r="KGU523" s="1358"/>
      <c r="KGV523" s="1358"/>
      <c r="KGW523" s="1358"/>
      <c r="KGX523" s="1358"/>
      <c r="KGY523" s="1358"/>
      <c r="KGZ523" s="1358"/>
      <c r="KHA523" s="1358"/>
      <c r="KHB523" s="1358"/>
      <c r="KHC523" s="1358"/>
      <c r="KHD523" s="1358"/>
      <c r="KHE523" s="1358"/>
      <c r="KHF523" s="1358"/>
      <c r="KHG523" s="1358"/>
      <c r="KHH523" s="1358"/>
      <c r="KHI523" s="1358"/>
      <c r="KHJ523" s="1358"/>
      <c r="KHK523" s="1358"/>
      <c r="KHL523" s="1358"/>
      <c r="KHM523" s="1358"/>
      <c r="KHN523" s="1358"/>
      <c r="KHO523" s="1358"/>
      <c r="KHP523" s="1358"/>
      <c r="KHQ523" s="1358"/>
      <c r="KHR523" s="1358"/>
      <c r="KHS523" s="1358"/>
      <c r="KHT523" s="1358"/>
      <c r="KHU523" s="1358"/>
      <c r="KHV523" s="1358"/>
      <c r="KHW523" s="1358"/>
      <c r="KHX523" s="1358"/>
      <c r="KHY523" s="1358"/>
      <c r="KHZ523" s="1358"/>
      <c r="KIA523" s="1358"/>
      <c r="KIB523" s="1358"/>
      <c r="KIC523" s="1358"/>
      <c r="KID523" s="1358"/>
      <c r="KIE523" s="1358"/>
      <c r="KIF523" s="1358"/>
      <c r="KIG523" s="1358"/>
      <c r="KIH523" s="1358"/>
      <c r="KII523" s="1358"/>
      <c r="KIJ523" s="1358"/>
      <c r="KIK523" s="1358"/>
      <c r="KIL523" s="1358"/>
      <c r="KIM523" s="1358"/>
      <c r="KIN523" s="1358"/>
      <c r="KIO523" s="1358"/>
      <c r="KIP523" s="1358"/>
      <c r="KIQ523" s="1358"/>
      <c r="KIR523" s="1358"/>
      <c r="KIS523" s="1358"/>
      <c r="KIT523" s="1358"/>
      <c r="KIU523" s="1358"/>
      <c r="KIV523" s="1358"/>
      <c r="KIW523" s="1358"/>
      <c r="KIX523" s="1358"/>
      <c r="KIY523" s="1358"/>
      <c r="KIZ523" s="1358"/>
      <c r="KJA523" s="1358"/>
      <c r="KJB523" s="1358"/>
      <c r="KJC523" s="1358"/>
      <c r="KJD523" s="1358"/>
      <c r="KJE523" s="1358"/>
      <c r="KJF523" s="1358"/>
      <c r="KJG523" s="1358"/>
      <c r="KJH523" s="1358"/>
      <c r="KJI523" s="1358"/>
      <c r="KJJ523" s="1358"/>
      <c r="KJK523" s="1358"/>
      <c r="KJL523" s="1358"/>
      <c r="KJM523" s="1358"/>
      <c r="KJN523" s="1358"/>
      <c r="KJO523" s="1358"/>
      <c r="KJP523" s="1358"/>
      <c r="KJQ523" s="1358"/>
      <c r="KJR523" s="1358"/>
      <c r="KJS523" s="1358"/>
      <c r="KJT523" s="1358"/>
      <c r="KJU523" s="1358"/>
      <c r="KJV523" s="1358"/>
      <c r="KJW523" s="1358"/>
      <c r="KJX523" s="1358"/>
      <c r="KJY523" s="1358"/>
      <c r="KJZ523" s="1358"/>
      <c r="KKA523" s="1358"/>
      <c r="KKB523" s="1358"/>
      <c r="KKC523" s="1358"/>
      <c r="KKD523" s="1358"/>
      <c r="KKE523" s="1358"/>
      <c r="KKF523" s="1358"/>
      <c r="KKG523" s="1358"/>
      <c r="KKH523" s="1358"/>
      <c r="KKI523" s="1358"/>
      <c r="KKJ523" s="1358"/>
      <c r="KKK523" s="1358"/>
      <c r="KKL523" s="1358"/>
      <c r="KKM523" s="1358"/>
      <c r="KKN523" s="1358"/>
      <c r="KKO523" s="1358"/>
      <c r="KKP523" s="1358"/>
      <c r="KKQ523" s="1358"/>
      <c r="KKR523" s="1358"/>
      <c r="KKS523" s="1358"/>
      <c r="KKT523" s="1358"/>
      <c r="KKU523" s="1358"/>
      <c r="KKV523" s="1358"/>
      <c r="KKW523" s="1358"/>
      <c r="KKX523" s="1358"/>
      <c r="KKY523" s="1358"/>
      <c r="KKZ523" s="1358"/>
      <c r="KLA523" s="1358"/>
      <c r="KLB523" s="1358"/>
      <c r="KLC523" s="1358"/>
      <c r="KLD523" s="1358"/>
      <c r="KLE523" s="1358"/>
      <c r="KLF523" s="1358"/>
      <c r="KLG523" s="1358"/>
      <c r="KLH523" s="1358"/>
      <c r="KLI523" s="1358"/>
      <c r="KLJ523" s="1358"/>
      <c r="KLK523" s="1358"/>
      <c r="KLL523" s="1358"/>
      <c r="KLM523" s="1358"/>
      <c r="KLN523" s="1358"/>
      <c r="KLO523" s="1358"/>
      <c r="KLP523" s="1358"/>
      <c r="KLQ523" s="1358"/>
      <c r="KLR523" s="1358"/>
      <c r="KLS523" s="1358"/>
      <c r="KLT523" s="1358"/>
      <c r="KLU523" s="1358"/>
      <c r="KLV523" s="1358"/>
      <c r="KLW523" s="1358"/>
      <c r="KLX523" s="1358"/>
      <c r="KLY523" s="1358"/>
      <c r="KLZ523" s="1358"/>
      <c r="KMA523" s="1358"/>
      <c r="KMB523" s="1358"/>
      <c r="KMC523" s="1358"/>
      <c r="KMD523" s="1358"/>
      <c r="KME523" s="1358"/>
      <c r="KMF523" s="1358"/>
      <c r="KMG523" s="1358"/>
      <c r="KMH523" s="1358"/>
      <c r="KMI523" s="1358"/>
      <c r="KMJ523" s="1358"/>
      <c r="KMK523" s="1358"/>
      <c r="KML523" s="1358"/>
      <c r="KMM523" s="1358"/>
      <c r="KMN523" s="1358"/>
      <c r="KMO523" s="1358"/>
      <c r="KMP523" s="1358"/>
      <c r="KMQ523" s="1358"/>
      <c r="KMR523" s="1358"/>
      <c r="KMS523" s="1358"/>
      <c r="KMT523" s="1358"/>
      <c r="KMU523" s="1358"/>
      <c r="KMV523" s="1358"/>
      <c r="KMW523" s="1358"/>
      <c r="KMX523" s="1358"/>
      <c r="KMY523" s="1358"/>
      <c r="KMZ523" s="1358"/>
      <c r="KNA523" s="1358"/>
      <c r="KNB523" s="1358"/>
      <c r="KNC523" s="1358"/>
      <c r="KND523" s="1358"/>
      <c r="KNE523" s="1358"/>
      <c r="KNF523" s="1358"/>
      <c r="KNG523" s="1358"/>
      <c r="KNH523" s="1358"/>
      <c r="KNI523" s="1358"/>
      <c r="KNJ523" s="1358"/>
      <c r="KNK523" s="1358"/>
      <c r="KNL523" s="1358"/>
      <c r="KNM523" s="1358"/>
      <c r="KNN523" s="1358"/>
      <c r="KNO523" s="1358"/>
      <c r="KNP523" s="1358"/>
      <c r="KNQ523" s="1358"/>
      <c r="KNR523" s="1358"/>
      <c r="KNS523" s="1358"/>
      <c r="KNT523" s="1358"/>
      <c r="KNU523" s="1358"/>
      <c r="KNV523" s="1358"/>
      <c r="KNW523" s="1358"/>
      <c r="KNX523" s="1358"/>
      <c r="KNY523" s="1358"/>
      <c r="KNZ523" s="1358"/>
      <c r="KOA523" s="1358"/>
      <c r="KOB523" s="1358"/>
      <c r="KOC523" s="1358"/>
      <c r="KOD523" s="1358"/>
      <c r="KOE523" s="1358"/>
      <c r="KOF523" s="1358"/>
      <c r="KOG523" s="1358"/>
      <c r="KOH523" s="1358"/>
      <c r="KOI523" s="1358"/>
      <c r="KOJ523" s="1358"/>
      <c r="KOK523" s="1358"/>
      <c r="KOL523" s="1358"/>
      <c r="KOM523" s="1358"/>
      <c r="KON523" s="1358"/>
      <c r="KOO523" s="1358"/>
      <c r="KOP523" s="1358"/>
      <c r="KOQ523" s="1358"/>
      <c r="KOR523" s="1358"/>
      <c r="KOS523" s="1358"/>
      <c r="KOT523" s="1358"/>
      <c r="KOU523" s="1358"/>
      <c r="KOV523" s="1358"/>
      <c r="KOW523" s="1358"/>
      <c r="KOX523" s="1358"/>
      <c r="KOY523" s="1358"/>
      <c r="KOZ523" s="1358"/>
      <c r="KPA523" s="1358"/>
      <c r="KPB523" s="1358"/>
      <c r="KPC523" s="1358"/>
      <c r="KPD523" s="1358"/>
      <c r="KPE523" s="1358"/>
      <c r="KPF523" s="1358"/>
      <c r="KPG523" s="1358"/>
      <c r="KPH523" s="1358"/>
      <c r="KPI523" s="1358"/>
      <c r="KPJ523" s="1358"/>
      <c r="KPK523" s="1358"/>
      <c r="KPL523" s="1358"/>
      <c r="KPM523" s="1358"/>
      <c r="KPN523" s="1358"/>
      <c r="KPO523" s="1358"/>
      <c r="KPP523" s="1358"/>
      <c r="KPQ523" s="1358"/>
      <c r="KPR523" s="1358"/>
      <c r="KPS523" s="1358"/>
      <c r="KPT523" s="1358"/>
      <c r="KPU523" s="1358"/>
      <c r="KPV523" s="1358"/>
      <c r="KPW523" s="1358"/>
      <c r="KPX523" s="1358"/>
      <c r="KPY523" s="1358"/>
      <c r="KPZ523" s="1358"/>
      <c r="KQA523" s="1358"/>
      <c r="KQB523" s="1358"/>
      <c r="KQC523" s="1358"/>
      <c r="KQD523" s="1358"/>
      <c r="KQE523" s="1358"/>
      <c r="KQF523" s="1358"/>
      <c r="KQG523" s="1358"/>
      <c r="KQH523" s="1358"/>
      <c r="KQI523" s="1358"/>
      <c r="KQJ523" s="1358"/>
      <c r="KQK523" s="1358"/>
      <c r="KQL523" s="1358"/>
      <c r="KQM523" s="1358"/>
      <c r="KQN523" s="1358"/>
      <c r="KQO523" s="1358"/>
      <c r="KQP523" s="1358"/>
      <c r="KQQ523" s="1358"/>
      <c r="KQR523" s="1358"/>
      <c r="KQS523" s="1358"/>
      <c r="KQT523" s="1358"/>
      <c r="KQU523" s="1358"/>
      <c r="KQV523" s="1358"/>
      <c r="KQW523" s="1358"/>
      <c r="KQX523" s="1358"/>
      <c r="KQY523" s="1358"/>
      <c r="KQZ523" s="1358"/>
      <c r="KRA523" s="1358"/>
      <c r="KRB523" s="1358"/>
      <c r="KRC523" s="1358"/>
      <c r="KRD523" s="1358"/>
      <c r="KRE523" s="1358"/>
      <c r="KRF523" s="1358"/>
      <c r="KRG523" s="1358"/>
      <c r="KRH523" s="1358"/>
      <c r="KRI523" s="1358"/>
      <c r="KRJ523" s="1358"/>
      <c r="KRK523" s="1358"/>
      <c r="KRL523" s="1358"/>
      <c r="KRM523" s="1358"/>
      <c r="KRN523" s="1358"/>
      <c r="KRO523" s="1358"/>
      <c r="KRP523" s="1358"/>
      <c r="KRQ523" s="1358"/>
      <c r="KRR523" s="1358"/>
      <c r="KRS523" s="1358"/>
      <c r="KRT523" s="1358"/>
      <c r="KRU523" s="1358"/>
      <c r="KRV523" s="1358"/>
      <c r="KRW523" s="1358"/>
      <c r="KRX523" s="1358"/>
      <c r="KRY523" s="1358"/>
      <c r="KRZ523" s="1358"/>
      <c r="KSA523" s="1358"/>
      <c r="KSB523" s="1358"/>
      <c r="KSC523" s="1358"/>
      <c r="KSD523" s="1358"/>
      <c r="KSE523" s="1358"/>
      <c r="KSF523" s="1358"/>
      <c r="KSG523" s="1358"/>
      <c r="KSH523" s="1358"/>
      <c r="KSI523" s="1358"/>
      <c r="KSJ523" s="1358"/>
      <c r="KSK523" s="1358"/>
      <c r="KSL523" s="1358"/>
      <c r="KSM523" s="1358"/>
      <c r="KSN523" s="1358"/>
      <c r="KSO523" s="1358"/>
      <c r="KSP523" s="1358"/>
      <c r="KSQ523" s="1358"/>
      <c r="KSR523" s="1358"/>
      <c r="KSS523" s="1358"/>
      <c r="KST523" s="1358"/>
      <c r="KSU523" s="1358"/>
      <c r="KSV523" s="1358"/>
      <c r="KSW523" s="1358"/>
      <c r="KSX523" s="1358"/>
      <c r="KSY523" s="1358"/>
      <c r="KSZ523" s="1358"/>
      <c r="KTA523" s="1358"/>
      <c r="KTB523" s="1358"/>
      <c r="KTC523" s="1358"/>
      <c r="KTD523" s="1358"/>
      <c r="KTE523" s="1358"/>
      <c r="KTF523" s="1358"/>
      <c r="KTG523" s="1358"/>
      <c r="KTH523" s="1358"/>
      <c r="KTI523" s="1358"/>
      <c r="KTJ523" s="1358"/>
      <c r="KTK523" s="1358"/>
      <c r="KTL523" s="1358"/>
      <c r="KTM523" s="1358"/>
      <c r="KTN523" s="1358"/>
      <c r="KTO523" s="1358"/>
      <c r="KTP523" s="1358"/>
      <c r="KTQ523" s="1358"/>
      <c r="KTR523" s="1358"/>
      <c r="KTS523" s="1358"/>
      <c r="KTT523" s="1358"/>
      <c r="KTU523" s="1358"/>
      <c r="KTV523" s="1358"/>
      <c r="KTW523" s="1358"/>
      <c r="KTX523" s="1358"/>
      <c r="KTY523" s="1358"/>
      <c r="KTZ523" s="1358"/>
      <c r="KUA523" s="1358"/>
      <c r="KUB523" s="1358"/>
      <c r="KUC523" s="1358"/>
      <c r="KUD523" s="1358"/>
      <c r="KUE523" s="1358"/>
      <c r="KUF523" s="1358"/>
      <c r="KUG523" s="1358"/>
      <c r="KUH523" s="1358"/>
      <c r="KUI523" s="1358"/>
      <c r="KUJ523" s="1358"/>
      <c r="KUK523" s="1358"/>
      <c r="KUL523" s="1358"/>
      <c r="KUM523" s="1358"/>
      <c r="KUN523" s="1358"/>
      <c r="KUO523" s="1358"/>
      <c r="KUP523" s="1358"/>
      <c r="KUQ523" s="1358"/>
      <c r="KUR523" s="1358"/>
      <c r="KUS523" s="1358"/>
      <c r="KUT523" s="1358"/>
      <c r="KUU523" s="1358"/>
      <c r="KUV523" s="1358"/>
      <c r="KUW523" s="1358"/>
      <c r="KUX523" s="1358"/>
      <c r="KUY523" s="1358"/>
      <c r="KUZ523" s="1358"/>
      <c r="KVA523" s="1358"/>
      <c r="KVB523" s="1358"/>
      <c r="KVC523" s="1358"/>
      <c r="KVD523" s="1358"/>
      <c r="KVE523" s="1358"/>
      <c r="KVF523" s="1358"/>
      <c r="KVG523" s="1358"/>
      <c r="KVH523" s="1358"/>
      <c r="KVI523" s="1358"/>
      <c r="KVJ523" s="1358"/>
      <c r="KVK523" s="1358"/>
      <c r="KVL523" s="1358"/>
      <c r="KVM523" s="1358"/>
      <c r="KVN523" s="1358"/>
      <c r="KVO523" s="1358"/>
      <c r="KVP523" s="1358"/>
      <c r="KVQ523" s="1358"/>
      <c r="KVR523" s="1358"/>
      <c r="KVS523" s="1358"/>
      <c r="KVT523" s="1358"/>
      <c r="KVU523" s="1358"/>
      <c r="KVV523" s="1358"/>
      <c r="KVW523" s="1358"/>
      <c r="KVX523" s="1358"/>
      <c r="KVY523" s="1358"/>
      <c r="KVZ523" s="1358"/>
      <c r="KWA523" s="1358"/>
      <c r="KWB523" s="1358"/>
      <c r="KWC523" s="1358"/>
      <c r="KWD523" s="1358"/>
      <c r="KWE523" s="1358"/>
      <c r="KWF523" s="1358"/>
      <c r="KWG523" s="1358"/>
      <c r="KWH523" s="1358"/>
      <c r="KWI523" s="1358"/>
      <c r="KWJ523" s="1358"/>
      <c r="KWK523" s="1358"/>
      <c r="KWL523" s="1358"/>
      <c r="KWM523" s="1358"/>
      <c r="KWN523" s="1358"/>
      <c r="KWO523" s="1358"/>
      <c r="KWP523" s="1358"/>
      <c r="KWQ523" s="1358"/>
      <c r="KWR523" s="1358"/>
      <c r="KWS523" s="1358"/>
      <c r="KWT523" s="1358"/>
      <c r="KWU523" s="1358"/>
      <c r="KWV523" s="1358"/>
      <c r="KWW523" s="1358"/>
      <c r="KWX523" s="1358"/>
      <c r="KWY523" s="1358"/>
      <c r="KWZ523" s="1358"/>
      <c r="KXA523" s="1358"/>
      <c r="KXB523" s="1358"/>
      <c r="KXC523" s="1358"/>
      <c r="KXD523" s="1358"/>
      <c r="KXE523" s="1358"/>
      <c r="KXF523" s="1358"/>
      <c r="KXG523" s="1358"/>
      <c r="KXH523" s="1358"/>
      <c r="KXI523" s="1358"/>
      <c r="KXJ523" s="1358"/>
      <c r="KXK523" s="1358"/>
      <c r="KXL523" s="1358"/>
      <c r="KXM523" s="1358"/>
      <c r="KXN523" s="1358"/>
      <c r="KXO523" s="1358"/>
      <c r="KXP523" s="1358"/>
      <c r="KXQ523" s="1358"/>
      <c r="KXR523" s="1358"/>
      <c r="KXS523" s="1358"/>
      <c r="KXT523" s="1358"/>
      <c r="KXU523" s="1358"/>
      <c r="KXV523" s="1358"/>
      <c r="KXW523" s="1358"/>
      <c r="KXX523" s="1358"/>
      <c r="KXY523" s="1358"/>
      <c r="KXZ523" s="1358"/>
      <c r="KYA523" s="1358"/>
      <c r="KYB523" s="1358"/>
      <c r="KYC523" s="1358"/>
      <c r="KYD523" s="1358"/>
      <c r="KYE523" s="1358"/>
      <c r="KYF523" s="1358"/>
      <c r="KYG523" s="1358"/>
      <c r="KYH523" s="1358"/>
      <c r="KYI523" s="1358"/>
      <c r="KYJ523" s="1358"/>
      <c r="KYK523" s="1358"/>
      <c r="KYL523" s="1358"/>
      <c r="KYM523" s="1358"/>
      <c r="KYN523" s="1358"/>
      <c r="KYO523" s="1358"/>
      <c r="KYP523" s="1358"/>
      <c r="KYQ523" s="1358"/>
      <c r="KYR523" s="1358"/>
      <c r="KYS523" s="1358"/>
      <c r="KYT523" s="1358"/>
      <c r="KYU523" s="1358"/>
      <c r="KYV523" s="1358"/>
      <c r="KYW523" s="1358"/>
      <c r="KYX523" s="1358"/>
      <c r="KYY523" s="1358"/>
      <c r="KYZ523" s="1358"/>
      <c r="KZA523" s="1358"/>
      <c r="KZB523" s="1358"/>
      <c r="KZC523" s="1358"/>
      <c r="KZD523" s="1358"/>
      <c r="KZE523" s="1358"/>
      <c r="KZF523" s="1358"/>
      <c r="KZG523" s="1358"/>
      <c r="KZH523" s="1358"/>
      <c r="KZI523" s="1358"/>
      <c r="KZJ523" s="1358"/>
      <c r="KZK523" s="1358"/>
      <c r="KZL523" s="1358"/>
      <c r="KZM523" s="1358"/>
      <c r="KZN523" s="1358"/>
      <c r="KZO523" s="1358"/>
      <c r="KZP523" s="1358"/>
      <c r="KZQ523" s="1358"/>
      <c r="KZR523" s="1358"/>
      <c r="KZS523" s="1358"/>
      <c r="KZT523" s="1358"/>
      <c r="KZU523" s="1358"/>
      <c r="KZV523" s="1358"/>
      <c r="KZW523" s="1358"/>
      <c r="KZX523" s="1358"/>
      <c r="KZY523" s="1358"/>
      <c r="KZZ523" s="1358"/>
      <c r="LAA523" s="1358"/>
      <c r="LAB523" s="1358"/>
      <c r="LAC523" s="1358"/>
      <c r="LAD523" s="1358"/>
      <c r="LAE523" s="1358"/>
      <c r="LAF523" s="1358"/>
      <c r="LAG523" s="1358"/>
      <c r="LAH523" s="1358"/>
      <c r="LAI523" s="1358"/>
      <c r="LAJ523" s="1358"/>
      <c r="LAK523" s="1358"/>
      <c r="LAL523" s="1358"/>
      <c r="LAM523" s="1358"/>
      <c r="LAN523" s="1358"/>
      <c r="LAO523" s="1358"/>
      <c r="LAP523" s="1358"/>
      <c r="LAQ523" s="1358"/>
      <c r="LAR523" s="1358"/>
      <c r="LAS523" s="1358"/>
      <c r="LAT523" s="1358"/>
      <c r="LAU523" s="1358"/>
      <c r="LAV523" s="1358"/>
      <c r="LAW523" s="1358"/>
      <c r="LAX523" s="1358"/>
      <c r="LAY523" s="1358"/>
      <c r="LAZ523" s="1358"/>
      <c r="LBA523" s="1358"/>
      <c r="LBB523" s="1358"/>
      <c r="LBC523" s="1358"/>
      <c r="LBD523" s="1358"/>
      <c r="LBE523" s="1358"/>
      <c r="LBF523" s="1358"/>
      <c r="LBG523" s="1358"/>
      <c r="LBH523" s="1358"/>
      <c r="LBI523" s="1358"/>
      <c r="LBJ523" s="1358"/>
      <c r="LBK523" s="1358"/>
      <c r="LBL523" s="1358"/>
      <c r="LBM523" s="1358"/>
      <c r="LBN523" s="1358"/>
      <c r="LBO523" s="1358"/>
      <c r="LBP523" s="1358"/>
      <c r="LBQ523" s="1358"/>
      <c r="LBR523" s="1358"/>
      <c r="LBS523" s="1358"/>
      <c r="LBT523" s="1358"/>
      <c r="LBU523" s="1358"/>
      <c r="LBV523" s="1358"/>
      <c r="LBW523" s="1358"/>
      <c r="LBX523" s="1358"/>
      <c r="LBY523" s="1358"/>
      <c r="LBZ523" s="1358"/>
      <c r="LCA523" s="1358"/>
      <c r="LCB523" s="1358"/>
      <c r="LCC523" s="1358"/>
      <c r="LCD523" s="1358"/>
      <c r="LCE523" s="1358"/>
      <c r="LCF523" s="1358"/>
      <c r="LCG523" s="1358"/>
      <c r="LCH523" s="1358"/>
      <c r="LCI523" s="1358"/>
      <c r="LCJ523" s="1358"/>
      <c r="LCK523" s="1358"/>
      <c r="LCL523" s="1358"/>
      <c r="LCM523" s="1358"/>
      <c r="LCN523" s="1358"/>
      <c r="LCO523" s="1358"/>
      <c r="LCP523" s="1358"/>
      <c r="LCQ523" s="1358"/>
      <c r="LCR523" s="1358"/>
      <c r="LCS523" s="1358"/>
      <c r="LCT523" s="1358"/>
      <c r="LCU523" s="1358"/>
      <c r="LCV523" s="1358"/>
      <c r="LCW523" s="1358"/>
      <c r="LCX523" s="1358"/>
      <c r="LCY523" s="1358"/>
      <c r="LCZ523" s="1358"/>
      <c r="LDA523" s="1358"/>
      <c r="LDB523" s="1358"/>
      <c r="LDC523" s="1358"/>
      <c r="LDD523" s="1358"/>
      <c r="LDE523" s="1358"/>
      <c r="LDF523" s="1358"/>
      <c r="LDG523" s="1358"/>
      <c r="LDH523" s="1358"/>
      <c r="LDI523" s="1358"/>
      <c r="LDJ523" s="1358"/>
      <c r="LDK523" s="1358"/>
      <c r="LDL523" s="1358"/>
      <c r="LDM523" s="1358"/>
      <c r="LDN523" s="1358"/>
      <c r="LDO523" s="1358"/>
      <c r="LDP523" s="1358"/>
      <c r="LDQ523" s="1358"/>
      <c r="LDR523" s="1358"/>
      <c r="LDS523" s="1358"/>
      <c r="LDT523" s="1358"/>
      <c r="LDU523" s="1358"/>
      <c r="LDV523" s="1358"/>
      <c r="LDW523" s="1358"/>
      <c r="LDX523" s="1358"/>
      <c r="LDY523" s="1358"/>
      <c r="LDZ523" s="1358"/>
      <c r="LEA523" s="1358"/>
      <c r="LEB523" s="1358"/>
      <c r="LEC523" s="1358"/>
      <c r="LED523" s="1358"/>
      <c r="LEE523" s="1358"/>
      <c r="LEF523" s="1358"/>
      <c r="LEG523" s="1358"/>
      <c r="LEH523" s="1358"/>
      <c r="LEI523" s="1358"/>
      <c r="LEJ523" s="1358"/>
      <c r="LEK523" s="1358"/>
      <c r="LEL523" s="1358"/>
      <c r="LEM523" s="1358"/>
      <c r="LEN523" s="1358"/>
      <c r="LEO523" s="1358"/>
      <c r="LEP523" s="1358"/>
      <c r="LEQ523" s="1358"/>
      <c r="LER523" s="1358"/>
      <c r="LES523" s="1358"/>
      <c r="LET523" s="1358"/>
      <c r="LEU523" s="1358"/>
      <c r="LEV523" s="1358"/>
      <c r="LEW523" s="1358"/>
      <c r="LEX523" s="1358"/>
      <c r="LEY523" s="1358"/>
      <c r="LEZ523" s="1358"/>
      <c r="LFA523" s="1358"/>
      <c r="LFB523" s="1358"/>
      <c r="LFC523" s="1358"/>
      <c r="LFD523" s="1358"/>
      <c r="LFE523" s="1358"/>
      <c r="LFF523" s="1358"/>
      <c r="LFG523" s="1358"/>
      <c r="LFH523" s="1358"/>
      <c r="LFI523" s="1358"/>
      <c r="LFJ523" s="1358"/>
      <c r="LFK523" s="1358"/>
      <c r="LFL523" s="1358"/>
      <c r="LFM523" s="1358"/>
      <c r="LFN523" s="1358"/>
      <c r="LFO523" s="1358"/>
      <c r="LFP523" s="1358"/>
      <c r="LFQ523" s="1358"/>
      <c r="LFR523" s="1358"/>
      <c r="LFS523" s="1358"/>
      <c r="LFT523" s="1358"/>
      <c r="LFU523" s="1358"/>
      <c r="LFV523" s="1358"/>
      <c r="LFW523" s="1358"/>
      <c r="LFX523" s="1358"/>
      <c r="LFY523" s="1358"/>
      <c r="LFZ523" s="1358"/>
      <c r="LGA523" s="1358"/>
      <c r="LGB523" s="1358"/>
      <c r="LGC523" s="1358"/>
      <c r="LGD523" s="1358"/>
      <c r="LGE523" s="1358"/>
      <c r="LGF523" s="1358"/>
      <c r="LGG523" s="1358"/>
      <c r="LGH523" s="1358"/>
      <c r="LGI523" s="1358"/>
      <c r="LGJ523" s="1358"/>
      <c r="LGK523" s="1358"/>
      <c r="LGL523" s="1358"/>
      <c r="LGM523" s="1358"/>
      <c r="LGN523" s="1358"/>
      <c r="LGO523" s="1358"/>
      <c r="LGP523" s="1358"/>
      <c r="LGQ523" s="1358"/>
      <c r="LGR523" s="1358"/>
      <c r="LGS523" s="1358"/>
      <c r="LGT523" s="1358"/>
      <c r="LGU523" s="1358"/>
      <c r="LGV523" s="1358"/>
      <c r="LGW523" s="1358"/>
      <c r="LGX523" s="1358"/>
      <c r="LGY523" s="1358"/>
      <c r="LGZ523" s="1358"/>
      <c r="LHA523" s="1358"/>
      <c r="LHB523" s="1358"/>
      <c r="LHC523" s="1358"/>
      <c r="LHD523" s="1358"/>
      <c r="LHE523" s="1358"/>
      <c r="LHF523" s="1358"/>
      <c r="LHG523" s="1358"/>
      <c r="LHH523" s="1358"/>
      <c r="LHI523" s="1358"/>
      <c r="LHJ523" s="1358"/>
      <c r="LHK523" s="1358"/>
      <c r="LHL523" s="1358"/>
      <c r="LHM523" s="1358"/>
      <c r="LHN523" s="1358"/>
      <c r="LHO523" s="1358"/>
      <c r="LHP523" s="1358"/>
      <c r="LHQ523" s="1358"/>
      <c r="LHR523" s="1358"/>
      <c r="LHS523" s="1358"/>
      <c r="LHT523" s="1358"/>
      <c r="LHU523" s="1358"/>
      <c r="LHV523" s="1358"/>
      <c r="LHW523" s="1358"/>
      <c r="LHX523" s="1358"/>
      <c r="LHY523" s="1358"/>
      <c r="LHZ523" s="1358"/>
      <c r="LIA523" s="1358"/>
      <c r="LIB523" s="1358"/>
      <c r="LIC523" s="1358"/>
      <c r="LID523" s="1358"/>
      <c r="LIE523" s="1358"/>
      <c r="LIF523" s="1358"/>
      <c r="LIG523" s="1358"/>
      <c r="LIH523" s="1358"/>
      <c r="LII523" s="1358"/>
      <c r="LIJ523" s="1358"/>
      <c r="LIK523" s="1358"/>
      <c r="LIL523" s="1358"/>
      <c r="LIM523" s="1358"/>
      <c r="LIN523" s="1358"/>
      <c r="LIO523" s="1358"/>
      <c r="LIP523" s="1358"/>
      <c r="LIQ523" s="1358"/>
      <c r="LIR523" s="1358"/>
      <c r="LIS523" s="1358"/>
      <c r="LIT523" s="1358"/>
      <c r="LIU523" s="1358"/>
      <c r="LIV523" s="1358"/>
      <c r="LIW523" s="1358"/>
      <c r="LIX523" s="1358"/>
      <c r="LIY523" s="1358"/>
      <c r="LIZ523" s="1358"/>
      <c r="LJA523" s="1358"/>
      <c r="LJB523" s="1358"/>
      <c r="LJC523" s="1358"/>
      <c r="LJD523" s="1358"/>
      <c r="LJE523" s="1358"/>
      <c r="LJF523" s="1358"/>
      <c r="LJG523" s="1358"/>
      <c r="LJH523" s="1358"/>
      <c r="LJI523" s="1358"/>
      <c r="LJJ523" s="1358"/>
      <c r="LJK523" s="1358"/>
      <c r="LJL523" s="1358"/>
      <c r="LJM523" s="1358"/>
      <c r="LJN523" s="1358"/>
      <c r="LJO523" s="1358"/>
      <c r="LJP523" s="1358"/>
      <c r="LJQ523" s="1358"/>
      <c r="LJR523" s="1358"/>
      <c r="LJS523" s="1358"/>
      <c r="LJT523" s="1358"/>
      <c r="LJU523" s="1358"/>
      <c r="LJV523" s="1358"/>
      <c r="LJW523" s="1358"/>
      <c r="LJX523" s="1358"/>
      <c r="LJY523" s="1358"/>
      <c r="LJZ523" s="1358"/>
      <c r="LKA523" s="1358"/>
      <c r="LKB523" s="1358"/>
      <c r="LKC523" s="1358"/>
      <c r="LKD523" s="1358"/>
      <c r="LKE523" s="1358"/>
      <c r="LKF523" s="1358"/>
      <c r="LKG523" s="1358"/>
      <c r="LKH523" s="1358"/>
      <c r="LKI523" s="1358"/>
      <c r="LKJ523" s="1358"/>
      <c r="LKK523" s="1358"/>
      <c r="LKL523" s="1358"/>
      <c r="LKM523" s="1358"/>
      <c r="LKN523" s="1358"/>
      <c r="LKO523" s="1358"/>
      <c r="LKP523" s="1358"/>
      <c r="LKQ523" s="1358"/>
      <c r="LKR523" s="1358"/>
      <c r="LKS523" s="1358"/>
      <c r="LKT523" s="1358"/>
      <c r="LKU523" s="1358"/>
      <c r="LKV523" s="1358"/>
      <c r="LKW523" s="1358"/>
      <c r="LKX523" s="1358"/>
      <c r="LKY523" s="1358"/>
      <c r="LKZ523" s="1358"/>
      <c r="LLA523" s="1358"/>
      <c r="LLB523" s="1358"/>
      <c r="LLC523" s="1358"/>
      <c r="LLD523" s="1358"/>
      <c r="LLE523" s="1358"/>
      <c r="LLF523" s="1358"/>
      <c r="LLG523" s="1358"/>
      <c r="LLH523" s="1358"/>
      <c r="LLI523" s="1358"/>
      <c r="LLJ523" s="1358"/>
      <c r="LLK523" s="1358"/>
      <c r="LLL523" s="1358"/>
      <c r="LLM523" s="1358"/>
      <c r="LLN523" s="1358"/>
      <c r="LLO523" s="1358"/>
      <c r="LLP523" s="1358"/>
      <c r="LLQ523" s="1358"/>
      <c r="LLR523" s="1358"/>
      <c r="LLS523" s="1358"/>
      <c r="LLT523" s="1358"/>
      <c r="LLU523" s="1358"/>
      <c r="LLV523" s="1358"/>
      <c r="LLW523" s="1358"/>
      <c r="LLX523" s="1358"/>
      <c r="LLY523" s="1358"/>
      <c r="LLZ523" s="1358"/>
      <c r="LMA523" s="1358"/>
      <c r="LMB523" s="1358"/>
      <c r="LMC523" s="1358"/>
      <c r="LMD523" s="1358"/>
      <c r="LME523" s="1358"/>
      <c r="LMF523" s="1358"/>
      <c r="LMG523" s="1358"/>
      <c r="LMH523" s="1358"/>
      <c r="LMI523" s="1358"/>
      <c r="LMJ523" s="1358"/>
      <c r="LMK523" s="1358"/>
      <c r="LML523" s="1358"/>
      <c r="LMM523" s="1358"/>
      <c r="LMN523" s="1358"/>
      <c r="LMO523" s="1358"/>
      <c r="LMP523" s="1358"/>
      <c r="LMQ523" s="1358"/>
      <c r="LMR523" s="1358"/>
      <c r="LMS523" s="1358"/>
      <c r="LMT523" s="1358"/>
      <c r="LMU523" s="1358"/>
      <c r="LMV523" s="1358"/>
      <c r="LMW523" s="1358"/>
      <c r="LMX523" s="1358"/>
      <c r="LMY523" s="1358"/>
      <c r="LMZ523" s="1358"/>
      <c r="LNA523" s="1358"/>
      <c r="LNB523" s="1358"/>
      <c r="LNC523" s="1358"/>
      <c r="LND523" s="1358"/>
      <c r="LNE523" s="1358"/>
      <c r="LNF523" s="1358"/>
      <c r="LNG523" s="1358"/>
      <c r="LNH523" s="1358"/>
      <c r="LNI523" s="1358"/>
      <c r="LNJ523" s="1358"/>
      <c r="LNK523" s="1358"/>
      <c r="LNL523" s="1358"/>
      <c r="LNM523" s="1358"/>
      <c r="LNN523" s="1358"/>
      <c r="LNO523" s="1358"/>
      <c r="LNP523" s="1358"/>
      <c r="LNQ523" s="1358"/>
      <c r="LNR523" s="1358"/>
      <c r="LNS523" s="1358"/>
      <c r="LNT523" s="1358"/>
      <c r="LNU523" s="1358"/>
      <c r="LNV523" s="1358"/>
      <c r="LNW523" s="1358"/>
      <c r="LNX523" s="1358"/>
      <c r="LNY523" s="1358"/>
      <c r="LNZ523" s="1358"/>
      <c r="LOA523" s="1358"/>
      <c r="LOB523" s="1358"/>
      <c r="LOC523" s="1358"/>
      <c r="LOD523" s="1358"/>
      <c r="LOE523" s="1358"/>
      <c r="LOF523" s="1358"/>
      <c r="LOG523" s="1358"/>
      <c r="LOH523" s="1358"/>
      <c r="LOI523" s="1358"/>
      <c r="LOJ523" s="1358"/>
      <c r="LOK523" s="1358"/>
      <c r="LOL523" s="1358"/>
      <c r="LOM523" s="1358"/>
      <c r="LON523" s="1358"/>
      <c r="LOO523" s="1358"/>
      <c r="LOP523" s="1358"/>
      <c r="LOQ523" s="1358"/>
      <c r="LOR523" s="1358"/>
      <c r="LOS523" s="1358"/>
      <c r="LOT523" s="1358"/>
      <c r="LOU523" s="1358"/>
      <c r="LOV523" s="1358"/>
      <c r="LOW523" s="1358"/>
      <c r="LOX523" s="1358"/>
      <c r="LOY523" s="1358"/>
      <c r="LOZ523" s="1358"/>
      <c r="LPA523" s="1358"/>
      <c r="LPB523" s="1358"/>
      <c r="LPC523" s="1358"/>
      <c r="LPD523" s="1358"/>
      <c r="LPE523" s="1358"/>
      <c r="LPF523" s="1358"/>
      <c r="LPG523" s="1358"/>
      <c r="LPH523" s="1358"/>
      <c r="LPI523" s="1358"/>
      <c r="LPJ523" s="1358"/>
      <c r="LPK523" s="1358"/>
      <c r="LPL523" s="1358"/>
      <c r="LPM523" s="1358"/>
      <c r="LPN523" s="1358"/>
      <c r="LPO523" s="1358"/>
      <c r="LPP523" s="1358"/>
      <c r="LPQ523" s="1358"/>
      <c r="LPR523" s="1358"/>
      <c r="LPS523" s="1358"/>
      <c r="LPT523" s="1358"/>
      <c r="LPU523" s="1358"/>
      <c r="LPV523" s="1358"/>
      <c r="LPW523" s="1358"/>
      <c r="LPX523" s="1358"/>
      <c r="LPY523" s="1358"/>
      <c r="LPZ523" s="1358"/>
      <c r="LQA523" s="1358"/>
      <c r="LQB523" s="1358"/>
      <c r="LQC523" s="1358"/>
      <c r="LQD523" s="1358"/>
      <c r="LQE523" s="1358"/>
      <c r="LQF523" s="1358"/>
      <c r="LQG523" s="1358"/>
      <c r="LQH523" s="1358"/>
      <c r="LQI523" s="1358"/>
      <c r="LQJ523" s="1358"/>
      <c r="LQK523" s="1358"/>
      <c r="LQL523" s="1358"/>
      <c r="LQM523" s="1358"/>
      <c r="LQN523" s="1358"/>
      <c r="LQO523" s="1358"/>
      <c r="LQP523" s="1358"/>
      <c r="LQQ523" s="1358"/>
      <c r="LQR523" s="1358"/>
      <c r="LQS523" s="1358"/>
      <c r="LQT523" s="1358"/>
      <c r="LQU523" s="1358"/>
      <c r="LQV523" s="1358"/>
      <c r="LQW523" s="1358"/>
      <c r="LQX523" s="1358"/>
      <c r="LQY523" s="1358"/>
      <c r="LQZ523" s="1358"/>
      <c r="LRA523" s="1358"/>
      <c r="LRB523" s="1358"/>
      <c r="LRC523" s="1358"/>
      <c r="LRD523" s="1358"/>
      <c r="LRE523" s="1358"/>
      <c r="LRF523" s="1358"/>
      <c r="LRG523" s="1358"/>
      <c r="LRH523" s="1358"/>
      <c r="LRI523" s="1358"/>
      <c r="LRJ523" s="1358"/>
      <c r="LRK523" s="1358"/>
      <c r="LRL523" s="1358"/>
      <c r="LRM523" s="1358"/>
      <c r="LRN523" s="1358"/>
      <c r="LRO523" s="1358"/>
      <c r="LRP523" s="1358"/>
      <c r="LRQ523" s="1358"/>
      <c r="LRR523" s="1358"/>
      <c r="LRS523" s="1358"/>
      <c r="LRT523" s="1358"/>
      <c r="LRU523" s="1358"/>
      <c r="LRV523" s="1358"/>
      <c r="LRW523" s="1358"/>
      <c r="LRX523" s="1358"/>
      <c r="LRY523" s="1358"/>
      <c r="LRZ523" s="1358"/>
      <c r="LSA523" s="1358"/>
      <c r="LSB523" s="1358"/>
      <c r="LSC523" s="1358"/>
      <c r="LSD523" s="1358"/>
      <c r="LSE523" s="1358"/>
      <c r="LSF523" s="1358"/>
      <c r="LSG523" s="1358"/>
      <c r="LSH523" s="1358"/>
      <c r="LSI523" s="1358"/>
      <c r="LSJ523" s="1358"/>
      <c r="LSK523" s="1358"/>
      <c r="LSL523" s="1358"/>
      <c r="LSM523" s="1358"/>
      <c r="LSN523" s="1358"/>
      <c r="LSO523" s="1358"/>
      <c r="LSP523" s="1358"/>
      <c r="LSQ523" s="1358"/>
      <c r="LSR523" s="1358"/>
      <c r="LSS523" s="1358"/>
      <c r="LST523" s="1358"/>
      <c r="LSU523" s="1358"/>
      <c r="LSV523" s="1358"/>
      <c r="LSW523" s="1358"/>
      <c r="LSX523" s="1358"/>
      <c r="LSY523" s="1358"/>
      <c r="LSZ523" s="1358"/>
      <c r="LTA523" s="1358"/>
      <c r="LTB523" s="1358"/>
      <c r="LTC523" s="1358"/>
      <c r="LTD523" s="1358"/>
      <c r="LTE523" s="1358"/>
      <c r="LTF523" s="1358"/>
      <c r="LTG523" s="1358"/>
      <c r="LTH523" s="1358"/>
      <c r="LTI523" s="1358"/>
      <c r="LTJ523" s="1358"/>
      <c r="LTK523" s="1358"/>
      <c r="LTL523" s="1358"/>
      <c r="LTM523" s="1358"/>
      <c r="LTN523" s="1358"/>
      <c r="LTO523" s="1358"/>
      <c r="LTP523" s="1358"/>
      <c r="LTQ523" s="1358"/>
      <c r="LTR523" s="1358"/>
      <c r="LTS523" s="1358"/>
      <c r="LTT523" s="1358"/>
      <c r="LTU523" s="1358"/>
      <c r="LTV523" s="1358"/>
      <c r="LTW523" s="1358"/>
      <c r="LTX523" s="1358"/>
      <c r="LTY523" s="1358"/>
      <c r="LTZ523" s="1358"/>
      <c r="LUA523" s="1358"/>
      <c r="LUB523" s="1358"/>
      <c r="LUC523" s="1358"/>
      <c r="LUD523" s="1358"/>
      <c r="LUE523" s="1358"/>
      <c r="LUF523" s="1358"/>
      <c r="LUG523" s="1358"/>
      <c r="LUH523" s="1358"/>
      <c r="LUI523" s="1358"/>
      <c r="LUJ523" s="1358"/>
      <c r="LUK523" s="1358"/>
      <c r="LUL523" s="1358"/>
      <c r="LUM523" s="1358"/>
      <c r="LUN523" s="1358"/>
      <c r="LUO523" s="1358"/>
      <c r="LUP523" s="1358"/>
      <c r="LUQ523" s="1358"/>
      <c r="LUR523" s="1358"/>
      <c r="LUS523" s="1358"/>
      <c r="LUT523" s="1358"/>
      <c r="LUU523" s="1358"/>
      <c r="LUV523" s="1358"/>
      <c r="LUW523" s="1358"/>
      <c r="LUX523" s="1358"/>
      <c r="LUY523" s="1358"/>
      <c r="LUZ523" s="1358"/>
      <c r="LVA523" s="1358"/>
      <c r="LVB523" s="1358"/>
      <c r="LVC523" s="1358"/>
      <c r="LVD523" s="1358"/>
      <c r="LVE523" s="1358"/>
      <c r="LVF523" s="1358"/>
      <c r="LVG523" s="1358"/>
      <c r="LVH523" s="1358"/>
      <c r="LVI523" s="1358"/>
      <c r="LVJ523" s="1358"/>
      <c r="LVK523" s="1358"/>
      <c r="LVL523" s="1358"/>
      <c r="LVM523" s="1358"/>
      <c r="LVN523" s="1358"/>
      <c r="LVO523" s="1358"/>
      <c r="LVP523" s="1358"/>
      <c r="LVQ523" s="1358"/>
      <c r="LVR523" s="1358"/>
      <c r="LVS523" s="1358"/>
      <c r="LVT523" s="1358"/>
      <c r="LVU523" s="1358"/>
      <c r="LVV523" s="1358"/>
      <c r="LVW523" s="1358"/>
      <c r="LVX523" s="1358"/>
      <c r="LVY523" s="1358"/>
      <c r="LVZ523" s="1358"/>
      <c r="LWA523" s="1358"/>
      <c r="LWB523" s="1358"/>
      <c r="LWC523" s="1358"/>
      <c r="LWD523" s="1358"/>
      <c r="LWE523" s="1358"/>
      <c r="LWF523" s="1358"/>
      <c r="LWG523" s="1358"/>
      <c r="LWH523" s="1358"/>
      <c r="LWI523" s="1358"/>
      <c r="LWJ523" s="1358"/>
      <c r="LWK523" s="1358"/>
      <c r="LWL523" s="1358"/>
      <c r="LWM523" s="1358"/>
      <c r="LWN523" s="1358"/>
      <c r="LWO523" s="1358"/>
      <c r="LWP523" s="1358"/>
      <c r="LWQ523" s="1358"/>
      <c r="LWR523" s="1358"/>
      <c r="LWS523" s="1358"/>
      <c r="LWT523" s="1358"/>
      <c r="LWU523" s="1358"/>
      <c r="LWV523" s="1358"/>
      <c r="LWW523" s="1358"/>
      <c r="LWX523" s="1358"/>
      <c r="LWY523" s="1358"/>
      <c r="LWZ523" s="1358"/>
      <c r="LXA523" s="1358"/>
      <c r="LXB523" s="1358"/>
      <c r="LXC523" s="1358"/>
      <c r="LXD523" s="1358"/>
      <c r="LXE523" s="1358"/>
      <c r="LXF523" s="1358"/>
      <c r="LXG523" s="1358"/>
      <c r="LXH523" s="1358"/>
      <c r="LXI523" s="1358"/>
      <c r="LXJ523" s="1358"/>
      <c r="LXK523" s="1358"/>
      <c r="LXL523" s="1358"/>
      <c r="LXM523" s="1358"/>
      <c r="LXN523" s="1358"/>
      <c r="LXO523" s="1358"/>
      <c r="LXP523" s="1358"/>
      <c r="LXQ523" s="1358"/>
      <c r="LXR523" s="1358"/>
      <c r="LXS523" s="1358"/>
      <c r="LXT523" s="1358"/>
      <c r="LXU523" s="1358"/>
      <c r="LXV523" s="1358"/>
      <c r="LXW523" s="1358"/>
      <c r="LXX523" s="1358"/>
      <c r="LXY523" s="1358"/>
      <c r="LXZ523" s="1358"/>
      <c r="LYA523" s="1358"/>
      <c r="LYB523" s="1358"/>
      <c r="LYC523" s="1358"/>
      <c r="LYD523" s="1358"/>
      <c r="LYE523" s="1358"/>
      <c r="LYF523" s="1358"/>
      <c r="LYG523" s="1358"/>
      <c r="LYH523" s="1358"/>
      <c r="LYI523" s="1358"/>
      <c r="LYJ523" s="1358"/>
      <c r="LYK523" s="1358"/>
      <c r="LYL523" s="1358"/>
      <c r="LYM523" s="1358"/>
      <c r="LYN523" s="1358"/>
      <c r="LYO523" s="1358"/>
      <c r="LYP523" s="1358"/>
      <c r="LYQ523" s="1358"/>
      <c r="LYR523" s="1358"/>
      <c r="LYS523" s="1358"/>
      <c r="LYT523" s="1358"/>
      <c r="LYU523" s="1358"/>
      <c r="LYV523" s="1358"/>
      <c r="LYW523" s="1358"/>
      <c r="LYX523" s="1358"/>
      <c r="LYY523" s="1358"/>
      <c r="LYZ523" s="1358"/>
      <c r="LZA523" s="1358"/>
      <c r="LZB523" s="1358"/>
      <c r="LZC523" s="1358"/>
      <c r="LZD523" s="1358"/>
      <c r="LZE523" s="1358"/>
      <c r="LZF523" s="1358"/>
      <c r="LZG523" s="1358"/>
      <c r="LZH523" s="1358"/>
      <c r="LZI523" s="1358"/>
      <c r="LZJ523" s="1358"/>
      <c r="LZK523" s="1358"/>
      <c r="LZL523" s="1358"/>
      <c r="LZM523" s="1358"/>
      <c r="LZN523" s="1358"/>
      <c r="LZO523" s="1358"/>
      <c r="LZP523" s="1358"/>
      <c r="LZQ523" s="1358"/>
      <c r="LZR523" s="1358"/>
      <c r="LZS523" s="1358"/>
      <c r="LZT523" s="1358"/>
      <c r="LZU523" s="1358"/>
      <c r="LZV523" s="1358"/>
      <c r="LZW523" s="1358"/>
      <c r="LZX523" s="1358"/>
      <c r="LZY523" s="1358"/>
      <c r="LZZ523" s="1358"/>
      <c r="MAA523" s="1358"/>
      <c r="MAB523" s="1358"/>
      <c r="MAC523" s="1358"/>
      <c r="MAD523" s="1358"/>
      <c r="MAE523" s="1358"/>
      <c r="MAF523" s="1358"/>
      <c r="MAG523" s="1358"/>
      <c r="MAH523" s="1358"/>
      <c r="MAI523" s="1358"/>
      <c r="MAJ523" s="1358"/>
      <c r="MAK523" s="1358"/>
      <c r="MAL523" s="1358"/>
      <c r="MAM523" s="1358"/>
      <c r="MAN523" s="1358"/>
      <c r="MAO523" s="1358"/>
      <c r="MAP523" s="1358"/>
      <c r="MAQ523" s="1358"/>
      <c r="MAR523" s="1358"/>
      <c r="MAS523" s="1358"/>
      <c r="MAT523" s="1358"/>
      <c r="MAU523" s="1358"/>
      <c r="MAV523" s="1358"/>
      <c r="MAW523" s="1358"/>
      <c r="MAX523" s="1358"/>
      <c r="MAY523" s="1358"/>
      <c r="MAZ523" s="1358"/>
      <c r="MBA523" s="1358"/>
      <c r="MBB523" s="1358"/>
      <c r="MBC523" s="1358"/>
      <c r="MBD523" s="1358"/>
      <c r="MBE523" s="1358"/>
      <c r="MBF523" s="1358"/>
      <c r="MBG523" s="1358"/>
      <c r="MBH523" s="1358"/>
      <c r="MBI523" s="1358"/>
      <c r="MBJ523" s="1358"/>
      <c r="MBK523" s="1358"/>
      <c r="MBL523" s="1358"/>
      <c r="MBM523" s="1358"/>
      <c r="MBN523" s="1358"/>
      <c r="MBO523" s="1358"/>
      <c r="MBP523" s="1358"/>
      <c r="MBQ523" s="1358"/>
      <c r="MBR523" s="1358"/>
      <c r="MBS523" s="1358"/>
      <c r="MBT523" s="1358"/>
      <c r="MBU523" s="1358"/>
      <c r="MBV523" s="1358"/>
      <c r="MBW523" s="1358"/>
      <c r="MBX523" s="1358"/>
      <c r="MBY523" s="1358"/>
      <c r="MBZ523" s="1358"/>
      <c r="MCA523" s="1358"/>
      <c r="MCB523" s="1358"/>
      <c r="MCC523" s="1358"/>
      <c r="MCD523" s="1358"/>
      <c r="MCE523" s="1358"/>
      <c r="MCF523" s="1358"/>
      <c r="MCG523" s="1358"/>
      <c r="MCH523" s="1358"/>
      <c r="MCI523" s="1358"/>
      <c r="MCJ523" s="1358"/>
      <c r="MCK523" s="1358"/>
      <c r="MCL523" s="1358"/>
      <c r="MCM523" s="1358"/>
      <c r="MCN523" s="1358"/>
      <c r="MCO523" s="1358"/>
      <c r="MCP523" s="1358"/>
      <c r="MCQ523" s="1358"/>
      <c r="MCR523" s="1358"/>
      <c r="MCS523" s="1358"/>
      <c r="MCT523" s="1358"/>
      <c r="MCU523" s="1358"/>
      <c r="MCV523" s="1358"/>
      <c r="MCW523" s="1358"/>
      <c r="MCX523" s="1358"/>
      <c r="MCY523" s="1358"/>
      <c r="MCZ523" s="1358"/>
      <c r="MDA523" s="1358"/>
      <c r="MDB523" s="1358"/>
      <c r="MDC523" s="1358"/>
      <c r="MDD523" s="1358"/>
      <c r="MDE523" s="1358"/>
      <c r="MDF523" s="1358"/>
      <c r="MDG523" s="1358"/>
      <c r="MDH523" s="1358"/>
      <c r="MDI523" s="1358"/>
      <c r="MDJ523" s="1358"/>
      <c r="MDK523" s="1358"/>
      <c r="MDL523" s="1358"/>
      <c r="MDM523" s="1358"/>
      <c r="MDN523" s="1358"/>
      <c r="MDO523" s="1358"/>
      <c r="MDP523" s="1358"/>
      <c r="MDQ523" s="1358"/>
      <c r="MDR523" s="1358"/>
      <c r="MDS523" s="1358"/>
      <c r="MDT523" s="1358"/>
      <c r="MDU523" s="1358"/>
      <c r="MDV523" s="1358"/>
      <c r="MDW523" s="1358"/>
      <c r="MDX523" s="1358"/>
      <c r="MDY523" s="1358"/>
      <c r="MDZ523" s="1358"/>
      <c r="MEA523" s="1358"/>
      <c r="MEB523" s="1358"/>
      <c r="MEC523" s="1358"/>
      <c r="MED523" s="1358"/>
      <c r="MEE523" s="1358"/>
      <c r="MEF523" s="1358"/>
      <c r="MEG523" s="1358"/>
      <c r="MEH523" s="1358"/>
      <c r="MEI523" s="1358"/>
      <c r="MEJ523" s="1358"/>
      <c r="MEK523" s="1358"/>
      <c r="MEL523" s="1358"/>
      <c r="MEM523" s="1358"/>
      <c r="MEN523" s="1358"/>
      <c r="MEO523" s="1358"/>
      <c r="MEP523" s="1358"/>
      <c r="MEQ523" s="1358"/>
      <c r="MER523" s="1358"/>
      <c r="MES523" s="1358"/>
      <c r="MET523" s="1358"/>
      <c r="MEU523" s="1358"/>
      <c r="MEV523" s="1358"/>
      <c r="MEW523" s="1358"/>
      <c r="MEX523" s="1358"/>
      <c r="MEY523" s="1358"/>
      <c r="MEZ523" s="1358"/>
      <c r="MFA523" s="1358"/>
      <c r="MFB523" s="1358"/>
      <c r="MFC523" s="1358"/>
      <c r="MFD523" s="1358"/>
      <c r="MFE523" s="1358"/>
      <c r="MFF523" s="1358"/>
      <c r="MFG523" s="1358"/>
      <c r="MFH523" s="1358"/>
      <c r="MFI523" s="1358"/>
      <c r="MFJ523" s="1358"/>
      <c r="MFK523" s="1358"/>
      <c r="MFL523" s="1358"/>
      <c r="MFM523" s="1358"/>
      <c r="MFN523" s="1358"/>
      <c r="MFO523" s="1358"/>
      <c r="MFP523" s="1358"/>
      <c r="MFQ523" s="1358"/>
      <c r="MFR523" s="1358"/>
      <c r="MFS523" s="1358"/>
      <c r="MFT523" s="1358"/>
      <c r="MFU523" s="1358"/>
      <c r="MFV523" s="1358"/>
      <c r="MFW523" s="1358"/>
      <c r="MFX523" s="1358"/>
      <c r="MFY523" s="1358"/>
      <c r="MFZ523" s="1358"/>
      <c r="MGA523" s="1358"/>
      <c r="MGB523" s="1358"/>
      <c r="MGC523" s="1358"/>
      <c r="MGD523" s="1358"/>
      <c r="MGE523" s="1358"/>
      <c r="MGF523" s="1358"/>
      <c r="MGG523" s="1358"/>
      <c r="MGH523" s="1358"/>
      <c r="MGI523" s="1358"/>
      <c r="MGJ523" s="1358"/>
      <c r="MGK523" s="1358"/>
      <c r="MGL523" s="1358"/>
      <c r="MGM523" s="1358"/>
      <c r="MGN523" s="1358"/>
      <c r="MGO523" s="1358"/>
      <c r="MGP523" s="1358"/>
      <c r="MGQ523" s="1358"/>
      <c r="MGR523" s="1358"/>
      <c r="MGS523" s="1358"/>
      <c r="MGT523" s="1358"/>
      <c r="MGU523" s="1358"/>
      <c r="MGV523" s="1358"/>
      <c r="MGW523" s="1358"/>
      <c r="MGX523" s="1358"/>
      <c r="MGY523" s="1358"/>
      <c r="MGZ523" s="1358"/>
      <c r="MHA523" s="1358"/>
      <c r="MHB523" s="1358"/>
      <c r="MHC523" s="1358"/>
      <c r="MHD523" s="1358"/>
      <c r="MHE523" s="1358"/>
      <c r="MHF523" s="1358"/>
      <c r="MHG523" s="1358"/>
      <c r="MHH523" s="1358"/>
      <c r="MHI523" s="1358"/>
      <c r="MHJ523" s="1358"/>
      <c r="MHK523" s="1358"/>
      <c r="MHL523" s="1358"/>
      <c r="MHM523" s="1358"/>
      <c r="MHN523" s="1358"/>
      <c r="MHO523" s="1358"/>
      <c r="MHP523" s="1358"/>
      <c r="MHQ523" s="1358"/>
      <c r="MHR523" s="1358"/>
      <c r="MHS523" s="1358"/>
      <c r="MHT523" s="1358"/>
      <c r="MHU523" s="1358"/>
      <c r="MHV523" s="1358"/>
      <c r="MHW523" s="1358"/>
      <c r="MHX523" s="1358"/>
      <c r="MHY523" s="1358"/>
      <c r="MHZ523" s="1358"/>
      <c r="MIA523" s="1358"/>
      <c r="MIB523" s="1358"/>
      <c r="MIC523" s="1358"/>
      <c r="MID523" s="1358"/>
      <c r="MIE523" s="1358"/>
      <c r="MIF523" s="1358"/>
      <c r="MIG523" s="1358"/>
      <c r="MIH523" s="1358"/>
      <c r="MII523" s="1358"/>
      <c r="MIJ523" s="1358"/>
      <c r="MIK523" s="1358"/>
      <c r="MIL523" s="1358"/>
      <c r="MIM523" s="1358"/>
      <c r="MIN523" s="1358"/>
      <c r="MIO523" s="1358"/>
      <c r="MIP523" s="1358"/>
      <c r="MIQ523" s="1358"/>
      <c r="MIR523" s="1358"/>
      <c r="MIS523" s="1358"/>
      <c r="MIT523" s="1358"/>
      <c r="MIU523" s="1358"/>
      <c r="MIV523" s="1358"/>
      <c r="MIW523" s="1358"/>
      <c r="MIX523" s="1358"/>
      <c r="MIY523" s="1358"/>
      <c r="MIZ523" s="1358"/>
      <c r="MJA523" s="1358"/>
      <c r="MJB523" s="1358"/>
      <c r="MJC523" s="1358"/>
      <c r="MJD523" s="1358"/>
      <c r="MJE523" s="1358"/>
      <c r="MJF523" s="1358"/>
      <c r="MJG523" s="1358"/>
      <c r="MJH523" s="1358"/>
      <c r="MJI523" s="1358"/>
      <c r="MJJ523" s="1358"/>
      <c r="MJK523" s="1358"/>
      <c r="MJL523" s="1358"/>
      <c r="MJM523" s="1358"/>
      <c r="MJN523" s="1358"/>
      <c r="MJO523" s="1358"/>
      <c r="MJP523" s="1358"/>
      <c r="MJQ523" s="1358"/>
      <c r="MJR523" s="1358"/>
      <c r="MJS523" s="1358"/>
      <c r="MJT523" s="1358"/>
      <c r="MJU523" s="1358"/>
      <c r="MJV523" s="1358"/>
      <c r="MJW523" s="1358"/>
      <c r="MJX523" s="1358"/>
      <c r="MJY523" s="1358"/>
      <c r="MJZ523" s="1358"/>
      <c r="MKA523" s="1358"/>
      <c r="MKB523" s="1358"/>
      <c r="MKC523" s="1358"/>
      <c r="MKD523" s="1358"/>
      <c r="MKE523" s="1358"/>
      <c r="MKF523" s="1358"/>
      <c r="MKG523" s="1358"/>
      <c r="MKH523" s="1358"/>
      <c r="MKI523" s="1358"/>
      <c r="MKJ523" s="1358"/>
      <c r="MKK523" s="1358"/>
      <c r="MKL523" s="1358"/>
      <c r="MKM523" s="1358"/>
      <c r="MKN523" s="1358"/>
      <c r="MKO523" s="1358"/>
      <c r="MKP523" s="1358"/>
      <c r="MKQ523" s="1358"/>
      <c r="MKR523" s="1358"/>
      <c r="MKS523" s="1358"/>
      <c r="MKT523" s="1358"/>
      <c r="MKU523" s="1358"/>
      <c r="MKV523" s="1358"/>
      <c r="MKW523" s="1358"/>
      <c r="MKX523" s="1358"/>
      <c r="MKY523" s="1358"/>
      <c r="MKZ523" s="1358"/>
      <c r="MLA523" s="1358"/>
      <c r="MLB523" s="1358"/>
      <c r="MLC523" s="1358"/>
      <c r="MLD523" s="1358"/>
      <c r="MLE523" s="1358"/>
      <c r="MLF523" s="1358"/>
      <c r="MLG523" s="1358"/>
      <c r="MLH523" s="1358"/>
      <c r="MLI523" s="1358"/>
      <c r="MLJ523" s="1358"/>
      <c r="MLK523" s="1358"/>
      <c r="MLL523" s="1358"/>
      <c r="MLM523" s="1358"/>
      <c r="MLN523" s="1358"/>
      <c r="MLO523" s="1358"/>
      <c r="MLP523" s="1358"/>
      <c r="MLQ523" s="1358"/>
      <c r="MLR523" s="1358"/>
      <c r="MLS523" s="1358"/>
      <c r="MLT523" s="1358"/>
      <c r="MLU523" s="1358"/>
      <c r="MLV523" s="1358"/>
      <c r="MLW523" s="1358"/>
      <c r="MLX523" s="1358"/>
      <c r="MLY523" s="1358"/>
      <c r="MLZ523" s="1358"/>
      <c r="MMA523" s="1358"/>
      <c r="MMB523" s="1358"/>
      <c r="MMC523" s="1358"/>
      <c r="MMD523" s="1358"/>
      <c r="MME523" s="1358"/>
      <c r="MMF523" s="1358"/>
      <c r="MMG523" s="1358"/>
      <c r="MMH523" s="1358"/>
      <c r="MMI523" s="1358"/>
      <c r="MMJ523" s="1358"/>
      <c r="MMK523" s="1358"/>
      <c r="MML523" s="1358"/>
      <c r="MMM523" s="1358"/>
      <c r="MMN523" s="1358"/>
      <c r="MMO523" s="1358"/>
      <c r="MMP523" s="1358"/>
      <c r="MMQ523" s="1358"/>
      <c r="MMR523" s="1358"/>
      <c r="MMS523" s="1358"/>
      <c r="MMT523" s="1358"/>
      <c r="MMU523" s="1358"/>
      <c r="MMV523" s="1358"/>
      <c r="MMW523" s="1358"/>
      <c r="MMX523" s="1358"/>
      <c r="MMY523" s="1358"/>
      <c r="MMZ523" s="1358"/>
      <c r="MNA523" s="1358"/>
      <c r="MNB523" s="1358"/>
      <c r="MNC523" s="1358"/>
      <c r="MND523" s="1358"/>
      <c r="MNE523" s="1358"/>
      <c r="MNF523" s="1358"/>
      <c r="MNG523" s="1358"/>
      <c r="MNH523" s="1358"/>
      <c r="MNI523" s="1358"/>
      <c r="MNJ523" s="1358"/>
      <c r="MNK523" s="1358"/>
      <c r="MNL523" s="1358"/>
      <c r="MNM523" s="1358"/>
      <c r="MNN523" s="1358"/>
      <c r="MNO523" s="1358"/>
      <c r="MNP523" s="1358"/>
      <c r="MNQ523" s="1358"/>
      <c r="MNR523" s="1358"/>
      <c r="MNS523" s="1358"/>
      <c r="MNT523" s="1358"/>
      <c r="MNU523" s="1358"/>
      <c r="MNV523" s="1358"/>
      <c r="MNW523" s="1358"/>
      <c r="MNX523" s="1358"/>
      <c r="MNY523" s="1358"/>
      <c r="MNZ523" s="1358"/>
      <c r="MOA523" s="1358"/>
      <c r="MOB523" s="1358"/>
      <c r="MOC523" s="1358"/>
      <c r="MOD523" s="1358"/>
      <c r="MOE523" s="1358"/>
      <c r="MOF523" s="1358"/>
      <c r="MOG523" s="1358"/>
      <c r="MOH523" s="1358"/>
      <c r="MOI523" s="1358"/>
      <c r="MOJ523" s="1358"/>
      <c r="MOK523" s="1358"/>
      <c r="MOL523" s="1358"/>
      <c r="MOM523" s="1358"/>
      <c r="MON523" s="1358"/>
      <c r="MOO523" s="1358"/>
      <c r="MOP523" s="1358"/>
      <c r="MOQ523" s="1358"/>
      <c r="MOR523" s="1358"/>
      <c r="MOS523" s="1358"/>
      <c r="MOT523" s="1358"/>
      <c r="MOU523" s="1358"/>
      <c r="MOV523" s="1358"/>
      <c r="MOW523" s="1358"/>
      <c r="MOX523" s="1358"/>
      <c r="MOY523" s="1358"/>
      <c r="MOZ523" s="1358"/>
      <c r="MPA523" s="1358"/>
      <c r="MPB523" s="1358"/>
      <c r="MPC523" s="1358"/>
      <c r="MPD523" s="1358"/>
      <c r="MPE523" s="1358"/>
      <c r="MPF523" s="1358"/>
      <c r="MPG523" s="1358"/>
      <c r="MPH523" s="1358"/>
      <c r="MPI523" s="1358"/>
      <c r="MPJ523" s="1358"/>
      <c r="MPK523" s="1358"/>
      <c r="MPL523" s="1358"/>
      <c r="MPM523" s="1358"/>
      <c r="MPN523" s="1358"/>
      <c r="MPO523" s="1358"/>
      <c r="MPP523" s="1358"/>
      <c r="MPQ523" s="1358"/>
      <c r="MPR523" s="1358"/>
      <c r="MPS523" s="1358"/>
      <c r="MPT523" s="1358"/>
      <c r="MPU523" s="1358"/>
      <c r="MPV523" s="1358"/>
      <c r="MPW523" s="1358"/>
      <c r="MPX523" s="1358"/>
      <c r="MPY523" s="1358"/>
      <c r="MPZ523" s="1358"/>
      <c r="MQA523" s="1358"/>
      <c r="MQB523" s="1358"/>
      <c r="MQC523" s="1358"/>
      <c r="MQD523" s="1358"/>
      <c r="MQE523" s="1358"/>
      <c r="MQF523" s="1358"/>
      <c r="MQG523" s="1358"/>
      <c r="MQH523" s="1358"/>
      <c r="MQI523" s="1358"/>
      <c r="MQJ523" s="1358"/>
      <c r="MQK523" s="1358"/>
      <c r="MQL523" s="1358"/>
      <c r="MQM523" s="1358"/>
      <c r="MQN523" s="1358"/>
      <c r="MQO523" s="1358"/>
      <c r="MQP523" s="1358"/>
      <c r="MQQ523" s="1358"/>
      <c r="MQR523" s="1358"/>
      <c r="MQS523" s="1358"/>
      <c r="MQT523" s="1358"/>
      <c r="MQU523" s="1358"/>
      <c r="MQV523" s="1358"/>
      <c r="MQW523" s="1358"/>
      <c r="MQX523" s="1358"/>
      <c r="MQY523" s="1358"/>
      <c r="MQZ523" s="1358"/>
      <c r="MRA523" s="1358"/>
      <c r="MRB523" s="1358"/>
      <c r="MRC523" s="1358"/>
      <c r="MRD523" s="1358"/>
      <c r="MRE523" s="1358"/>
      <c r="MRF523" s="1358"/>
      <c r="MRG523" s="1358"/>
      <c r="MRH523" s="1358"/>
      <c r="MRI523" s="1358"/>
      <c r="MRJ523" s="1358"/>
      <c r="MRK523" s="1358"/>
      <c r="MRL523" s="1358"/>
      <c r="MRM523" s="1358"/>
      <c r="MRN523" s="1358"/>
      <c r="MRO523" s="1358"/>
      <c r="MRP523" s="1358"/>
      <c r="MRQ523" s="1358"/>
      <c r="MRR523" s="1358"/>
      <c r="MRS523" s="1358"/>
      <c r="MRT523" s="1358"/>
      <c r="MRU523" s="1358"/>
      <c r="MRV523" s="1358"/>
      <c r="MRW523" s="1358"/>
      <c r="MRX523" s="1358"/>
      <c r="MRY523" s="1358"/>
      <c r="MRZ523" s="1358"/>
      <c r="MSA523" s="1358"/>
      <c r="MSB523" s="1358"/>
      <c r="MSC523" s="1358"/>
      <c r="MSD523" s="1358"/>
      <c r="MSE523" s="1358"/>
      <c r="MSF523" s="1358"/>
      <c r="MSG523" s="1358"/>
      <c r="MSH523" s="1358"/>
      <c r="MSI523" s="1358"/>
      <c r="MSJ523" s="1358"/>
      <c r="MSK523" s="1358"/>
      <c r="MSL523" s="1358"/>
      <c r="MSM523" s="1358"/>
      <c r="MSN523" s="1358"/>
      <c r="MSO523" s="1358"/>
      <c r="MSP523" s="1358"/>
      <c r="MSQ523" s="1358"/>
      <c r="MSR523" s="1358"/>
      <c r="MSS523" s="1358"/>
      <c r="MST523" s="1358"/>
      <c r="MSU523" s="1358"/>
      <c r="MSV523" s="1358"/>
      <c r="MSW523" s="1358"/>
      <c r="MSX523" s="1358"/>
      <c r="MSY523" s="1358"/>
      <c r="MSZ523" s="1358"/>
      <c r="MTA523" s="1358"/>
      <c r="MTB523" s="1358"/>
      <c r="MTC523" s="1358"/>
      <c r="MTD523" s="1358"/>
      <c r="MTE523" s="1358"/>
      <c r="MTF523" s="1358"/>
      <c r="MTG523" s="1358"/>
      <c r="MTH523" s="1358"/>
      <c r="MTI523" s="1358"/>
      <c r="MTJ523" s="1358"/>
      <c r="MTK523" s="1358"/>
      <c r="MTL523" s="1358"/>
      <c r="MTM523" s="1358"/>
      <c r="MTN523" s="1358"/>
      <c r="MTO523" s="1358"/>
      <c r="MTP523" s="1358"/>
      <c r="MTQ523" s="1358"/>
      <c r="MTR523" s="1358"/>
      <c r="MTS523" s="1358"/>
      <c r="MTT523" s="1358"/>
      <c r="MTU523" s="1358"/>
      <c r="MTV523" s="1358"/>
      <c r="MTW523" s="1358"/>
      <c r="MTX523" s="1358"/>
      <c r="MTY523" s="1358"/>
      <c r="MTZ523" s="1358"/>
      <c r="MUA523" s="1358"/>
      <c r="MUB523" s="1358"/>
      <c r="MUC523" s="1358"/>
      <c r="MUD523" s="1358"/>
      <c r="MUE523" s="1358"/>
      <c r="MUF523" s="1358"/>
      <c r="MUG523" s="1358"/>
      <c r="MUH523" s="1358"/>
      <c r="MUI523" s="1358"/>
      <c r="MUJ523" s="1358"/>
      <c r="MUK523" s="1358"/>
      <c r="MUL523" s="1358"/>
      <c r="MUM523" s="1358"/>
      <c r="MUN523" s="1358"/>
      <c r="MUO523" s="1358"/>
      <c r="MUP523" s="1358"/>
      <c r="MUQ523" s="1358"/>
      <c r="MUR523" s="1358"/>
      <c r="MUS523" s="1358"/>
      <c r="MUT523" s="1358"/>
      <c r="MUU523" s="1358"/>
      <c r="MUV523" s="1358"/>
      <c r="MUW523" s="1358"/>
      <c r="MUX523" s="1358"/>
      <c r="MUY523" s="1358"/>
      <c r="MUZ523" s="1358"/>
      <c r="MVA523" s="1358"/>
      <c r="MVB523" s="1358"/>
      <c r="MVC523" s="1358"/>
      <c r="MVD523" s="1358"/>
      <c r="MVE523" s="1358"/>
      <c r="MVF523" s="1358"/>
      <c r="MVG523" s="1358"/>
      <c r="MVH523" s="1358"/>
      <c r="MVI523" s="1358"/>
      <c r="MVJ523" s="1358"/>
      <c r="MVK523" s="1358"/>
      <c r="MVL523" s="1358"/>
      <c r="MVM523" s="1358"/>
      <c r="MVN523" s="1358"/>
      <c r="MVO523" s="1358"/>
      <c r="MVP523" s="1358"/>
      <c r="MVQ523" s="1358"/>
      <c r="MVR523" s="1358"/>
      <c r="MVS523" s="1358"/>
      <c r="MVT523" s="1358"/>
      <c r="MVU523" s="1358"/>
      <c r="MVV523" s="1358"/>
      <c r="MVW523" s="1358"/>
      <c r="MVX523" s="1358"/>
      <c r="MVY523" s="1358"/>
      <c r="MVZ523" s="1358"/>
      <c r="MWA523" s="1358"/>
      <c r="MWB523" s="1358"/>
      <c r="MWC523" s="1358"/>
      <c r="MWD523" s="1358"/>
      <c r="MWE523" s="1358"/>
      <c r="MWF523" s="1358"/>
      <c r="MWG523" s="1358"/>
      <c r="MWH523" s="1358"/>
      <c r="MWI523" s="1358"/>
      <c r="MWJ523" s="1358"/>
      <c r="MWK523" s="1358"/>
      <c r="MWL523" s="1358"/>
      <c r="MWM523" s="1358"/>
      <c r="MWN523" s="1358"/>
      <c r="MWO523" s="1358"/>
      <c r="MWP523" s="1358"/>
      <c r="MWQ523" s="1358"/>
      <c r="MWR523" s="1358"/>
      <c r="MWS523" s="1358"/>
      <c r="MWT523" s="1358"/>
      <c r="MWU523" s="1358"/>
      <c r="MWV523" s="1358"/>
      <c r="MWW523" s="1358"/>
      <c r="MWX523" s="1358"/>
      <c r="MWY523" s="1358"/>
      <c r="MWZ523" s="1358"/>
      <c r="MXA523" s="1358"/>
      <c r="MXB523" s="1358"/>
      <c r="MXC523" s="1358"/>
      <c r="MXD523" s="1358"/>
      <c r="MXE523" s="1358"/>
      <c r="MXF523" s="1358"/>
      <c r="MXG523" s="1358"/>
      <c r="MXH523" s="1358"/>
      <c r="MXI523" s="1358"/>
      <c r="MXJ523" s="1358"/>
      <c r="MXK523" s="1358"/>
      <c r="MXL523" s="1358"/>
      <c r="MXM523" s="1358"/>
      <c r="MXN523" s="1358"/>
      <c r="MXO523" s="1358"/>
      <c r="MXP523" s="1358"/>
      <c r="MXQ523" s="1358"/>
      <c r="MXR523" s="1358"/>
      <c r="MXS523" s="1358"/>
      <c r="MXT523" s="1358"/>
      <c r="MXU523" s="1358"/>
      <c r="MXV523" s="1358"/>
      <c r="MXW523" s="1358"/>
      <c r="MXX523" s="1358"/>
      <c r="MXY523" s="1358"/>
      <c r="MXZ523" s="1358"/>
      <c r="MYA523" s="1358"/>
      <c r="MYB523" s="1358"/>
      <c r="MYC523" s="1358"/>
      <c r="MYD523" s="1358"/>
      <c r="MYE523" s="1358"/>
      <c r="MYF523" s="1358"/>
      <c r="MYG523" s="1358"/>
      <c r="MYH523" s="1358"/>
      <c r="MYI523" s="1358"/>
      <c r="MYJ523" s="1358"/>
      <c r="MYK523" s="1358"/>
      <c r="MYL523" s="1358"/>
      <c r="MYM523" s="1358"/>
      <c r="MYN523" s="1358"/>
      <c r="MYO523" s="1358"/>
      <c r="MYP523" s="1358"/>
      <c r="MYQ523" s="1358"/>
      <c r="MYR523" s="1358"/>
      <c r="MYS523" s="1358"/>
      <c r="MYT523" s="1358"/>
      <c r="MYU523" s="1358"/>
      <c r="MYV523" s="1358"/>
      <c r="MYW523" s="1358"/>
      <c r="MYX523" s="1358"/>
      <c r="MYY523" s="1358"/>
      <c r="MYZ523" s="1358"/>
      <c r="MZA523" s="1358"/>
      <c r="MZB523" s="1358"/>
      <c r="MZC523" s="1358"/>
      <c r="MZD523" s="1358"/>
      <c r="MZE523" s="1358"/>
      <c r="MZF523" s="1358"/>
      <c r="MZG523" s="1358"/>
      <c r="MZH523" s="1358"/>
      <c r="MZI523" s="1358"/>
      <c r="MZJ523" s="1358"/>
      <c r="MZK523" s="1358"/>
      <c r="MZL523" s="1358"/>
      <c r="MZM523" s="1358"/>
      <c r="MZN523" s="1358"/>
      <c r="MZO523" s="1358"/>
      <c r="MZP523" s="1358"/>
      <c r="MZQ523" s="1358"/>
      <c r="MZR523" s="1358"/>
      <c r="MZS523" s="1358"/>
      <c r="MZT523" s="1358"/>
      <c r="MZU523" s="1358"/>
      <c r="MZV523" s="1358"/>
      <c r="MZW523" s="1358"/>
      <c r="MZX523" s="1358"/>
      <c r="MZY523" s="1358"/>
      <c r="MZZ523" s="1358"/>
      <c r="NAA523" s="1358"/>
      <c r="NAB523" s="1358"/>
      <c r="NAC523" s="1358"/>
      <c r="NAD523" s="1358"/>
      <c r="NAE523" s="1358"/>
      <c r="NAF523" s="1358"/>
      <c r="NAG523" s="1358"/>
      <c r="NAH523" s="1358"/>
      <c r="NAI523" s="1358"/>
      <c r="NAJ523" s="1358"/>
      <c r="NAK523" s="1358"/>
      <c r="NAL523" s="1358"/>
      <c r="NAM523" s="1358"/>
      <c r="NAN523" s="1358"/>
      <c r="NAO523" s="1358"/>
      <c r="NAP523" s="1358"/>
      <c r="NAQ523" s="1358"/>
      <c r="NAR523" s="1358"/>
      <c r="NAS523" s="1358"/>
      <c r="NAT523" s="1358"/>
      <c r="NAU523" s="1358"/>
      <c r="NAV523" s="1358"/>
      <c r="NAW523" s="1358"/>
      <c r="NAX523" s="1358"/>
      <c r="NAY523" s="1358"/>
      <c r="NAZ523" s="1358"/>
      <c r="NBA523" s="1358"/>
      <c r="NBB523" s="1358"/>
      <c r="NBC523" s="1358"/>
      <c r="NBD523" s="1358"/>
      <c r="NBE523" s="1358"/>
      <c r="NBF523" s="1358"/>
      <c r="NBG523" s="1358"/>
      <c r="NBH523" s="1358"/>
      <c r="NBI523" s="1358"/>
      <c r="NBJ523" s="1358"/>
      <c r="NBK523" s="1358"/>
      <c r="NBL523" s="1358"/>
      <c r="NBM523" s="1358"/>
      <c r="NBN523" s="1358"/>
      <c r="NBO523" s="1358"/>
      <c r="NBP523" s="1358"/>
      <c r="NBQ523" s="1358"/>
      <c r="NBR523" s="1358"/>
      <c r="NBS523" s="1358"/>
      <c r="NBT523" s="1358"/>
      <c r="NBU523" s="1358"/>
      <c r="NBV523" s="1358"/>
      <c r="NBW523" s="1358"/>
      <c r="NBX523" s="1358"/>
      <c r="NBY523" s="1358"/>
      <c r="NBZ523" s="1358"/>
      <c r="NCA523" s="1358"/>
      <c r="NCB523" s="1358"/>
      <c r="NCC523" s="1358"/>
      <c r="NCD523" s="1358"/>
      <c r="NCE523" s="1358"/>
      <c r="NCF523" s="1358"/>
      <c r="NCG523" s="1358"/>
      <c r="NCH523" s="1358"/>
      <c r="NCI523" s="1358"/>
      <c r="NCJ523" s="1358"/>
      <c r="NCK523" s="1358"/>
      <c r="NCL523" s="1358"/>
      <c r="NCM523" s="1358"/>
      <c r="NCN523" s="1358"/>
      <c r="NCO523" s="1358"/>
      <c r="NCP523" s="1358"/>
      <c r="NCQ523" s="1358"/>
      <c r="NCR523" s="1358"/>
      <c r="NCS523" s="1358"/>
      <c r="NCT523" s="1358"/>
      <c r="NCU523" s="1358"/>
      <c r="NCV523" s="1358"/>
      <c r="NCW523" s="1358"/>
      <c r="NCX523" s="1358"/>
      <c r="NCY523" s="1358"/>
      <c r="NCZ523" s="1358"/>
      <c r="NDA523" s="1358"/>
      <c r="NDB523" s="1358"/>
      <c r="NDC523" s="1358"/>
      <c r="NDD523" s="1358"/>
      <c r="NDE523" s="1358"/>
      <c r="NDF523" s="1358"/>
      <c r="NDG523" s="1358"/>
      <c r="NDH523" s="1358"/>
      <c r="NDI523" s="1358"/>
      <c r="NDJ523" s="1358"/>
      <c r="NDK523" s="1358"/>
      <c r="NDL523" s="1358"/>
      <c r="NDM523" s="1358"/>
      <c r="NDN523" s="1358"/>
      <c r="NDO523" s="1358"/>
      <c r="NDP523" s="1358"/>
      <c r="NDQ523" s="1358"/>
      <c r="NDR523" s="1358"/>
      <c r="NDS523" s="1358"/>
      <c r="NDT523" s="1358"/>
      <c r="NDU523" s="1358"/>
      <c r="NDV523" s="1358"/>
      <c r="NDW523" s="1358"/>
      <c r="NDX523" s="1358"/>
      <c r="NDY523" s="1358"/>
      <c r="NDZ523" s="1358"/>
      <c r="NEA523" s="1358"/>
      <c r="NEB523" s="1358"/>
      <c r="NEC523" s="1358"/>
      <c r="NED523" s="1358"/>
      <c r="NEE523" s="1358"/>
      <c r="NEF523" s="1358"/>
      <c r="NEG523" s="1358"/>
      <c r="NEH523" s="1358"/>
      <c r="NEI523" s="1358"/>
      <c r="NEJ523" s="1358"/>
      <c r="NEK523" s="1358"/>
      <c r="NEL523" s="1358"/>
      <c r="NEM523" s="1358"/>
      <c r="NEN523" s="1358"/>
      <c r="NEO523" s="1358"/>
      <c r="NEP523" s="1358"/>
      <c r="NEQ523" s="1358"/>
      <c r="NER523" s="1358"/>
      <c r="NES523" s="1358"/>
      <c r="NET523" s="1358"/>
      <c r="NEU523" s="1358"/>
      <c r="NEV523" s="1358"/>
      <c r="NEW523" s="1358"/>
      <c r="NEX523" s="1358"/>
      <c r="NEY523" s="1358"/>
      <c r="NEZ523" s="1358"/>
      <c r="NFA523" s="1358"/>
      <c r="NFB523" s="1358"/>
      <c r="NFC523" s="1358"/>
      <c r="NFD523" s="1358"/>
      <c r="NFE523" s="1358"/>
      <c r="NFF523" s="1358"/>
      <c r="NFG523" s="1358"/>
      <c r="NFH523" s="1358"/>
      <c r="NFI523" s="1358"/>
      <c r="NFJ523" s="1358"/>
      <c r="NFK523" s="1358"/>
      <c r="NFL523" s="1358"/>
      <c r="NFM523" s="1358"/>
      <c r="NFN523" s="1358"/>
      <c r="NFO523" s="1358"/>
      <c r="NFP523" s="1358"/>
      <c r="NFQ523" s="1358"/>
      <c r="NFR523" s="1358"/>
      <c r="NFS523" s="1358"/>
      <c r="NFT523" s="1358"/>
      <c r="NFU523" s="1358"/>
      <c r="NFV523" s="1358"/>
      <c r="NFW523" s="1358"/>
      <c r="NFX523" s="1358"/>
      <c r="NFY523" s="1358"/>
      <c r="NFZ523" s="1358"/>
      <c r="NGA523" s="1358"/>
      <c r="NGB523" s="1358"/>
      <c r="NGC523" s="1358"/>
      <c r="NGD523" s="1358"/>
      <c r="NGE523" s="1358"/>
      <c r="NGF523" s="1358"/>
      <c r="NGG523" s="1358"/>
      <c r="NGH523" s="1358"/>
      <c r="NGI523" s="1358"/>
      <c r="NGJ523" s="1358"/>
      <c r="NGK523" s="1358"/>
      <c r="NGL523" s="1358"/>
      <c r="NGM523" s="1358"/>
      <c r="NGN523" s="1358"/>
      <c r="NGO523" s="1358"/>
      <c r="NGP523" s="1358"/>
      <c r="NGQ523" s="1358"/>
      <c r="NGR523" s="1358"/>
      <c r="NGS523" s="1358"/>
      <c r="NGT523" s="1358"/>
      <c r="NGU523" s="1358"/>
      <c r="NGV523" s="1358"/>
      <c r="NGW523" s="1358"/>
      <c r="NGX523" s="1358"/>
      <c r="NGY523" s="1358"/>
      <c r="NGZ523" s="1358"/>
      <c r="NHA523" s="1358"/>
      <c r="NHB523" s="1358"/>
      <c r="NHC523" s="1358"/>
      <c r="NHD523" s="1358"/>
      <c r="NHE523" s="1358"/>
      <c r="NHF523" s="1358"/>
      <c r="NHG523" s="1358"/>
      <c r="NHH523" s="1358"/>
      <c r="NHI523" s="1358"/>
      <c r="NHJ523" s="1358"/>
      <c r="NHK523" s="1358"/>
      <c r="NHL523" s="1358"/>
      <c r="NHM523" s="1358"/>
      <c r="NHN523" s="1358"/>
      <c r="NHO523" s="1358"/>
      <c r="NHP523" s="1358"/>
      <c r="NHQ523" s="1358"/>
      <c r="NHR523" s="1358"/>
      <c r="NHS523" s="1358"/>
      <c r="NHT523" s="1358"/>
      <c r="NHU523" s="1358"/>
      <c r="NHV523" s="1358"/>
      <c r="NHW523" s="1358"/>
      <c r="NHX523" s="1358"/>
      <c r="NHY523" s="1358"/>
      <c r="NHZ523" s="1358"/>
      <c r="NIA523" s="1358"/>
      <c r="NIB523" s="1358"/>
      <c r="NIC523" s="1358"/>
      <c r="NID523" s="1358"/>
      <c r="NIE523" s="1358"/>
      <c r="NIF523" s="1358"/>
      <c r="NIG523" s="1358"/>
      <c r="NIH523" s="1358"/>
      <c r="NII523" s="1358"/>
      <c r="NIJ523" s="1358"/>
      <c r="NIK523" s="1358"/>
      <c r="NIL523" s="1358"/>
      <c r="NIM523" s="1358"/>
      <c r="NIN523" s="1358"/>
      <c r="NIO523" s="1358"/>
      <c r="NIP523" s="1358"/>
      <c r="NIQ523" s="1358"/>
      <c r="NIR523" s="1358"/>
      <c r="NIS523" s="1358"/>
      <c r="NIT523" s="1358"/>
      <c r="NIU523" s="1358"/>
      <c r="NIV523" s="1358"/>
      <c r="NIW523" s="1358"/>
      <c r="NIX523" s="1358"/>
      <c r="NIY523" s="1358"/>
      <c r="NIZ523" s="1358"/>
      <c r="NJA523" s="1358"/>
      <c r="NJB523" s="1358"/>
      <c r="NJC523" s="1358"/>
      <c r="NJD523" s="1358"/>
      <c r="NJE523" s="1358"/>
      <c r="NJF523" s="1358"/>
      <c r="NJG523" s="1358"/>
      <c r="NJH523" s="1358"/>
      <c r="NJI523" s="1358"/>
      <c r="NJJ523" s="1358"/>
      <c r="NJK523" s="1358"/>
      <c r="NJL523" s="1358"/>
      <c r="NJM523" s="1358"/>
      <c r="NJN523" s="1358"/>
      <c r="NJO523" s="1358"/>
      <c r="NJP523" s="1358"/>
      <c r="NJQ523" s="1358"/>
      <c r="NJR523" s="1358"/>
      <c r="NJS523" s="1358"/>
      <c r="NJT523" s="1358"/>
      <c r="NJU523" s="1358"/>
      <c r="NJV523" s="1358"/>
      <c r="NJW523" s="1358"/>
      <c r="NJX523" s="1358"/>
      <c r="NJY523" s="1358"/>
      <c r="NJZ523" s="1358"/>
      <c r="NKA523" s="1358"/>
      <c r="NKB523" s="1358"/>
      <c r="NKC523" s="1358"/>
      <c r="NKD523" s="1358"/>
      <c r="NKE523" s="1358"/>
      <c r="NKF523" s="1358"/>
      <c r="NKG523" s="1358"/>
      <c r="NKH523" s="1358"/>
      <c r="NKI523" s="1358"/>
      <c r="NKJ523" s="1358"/>
      <c r="NKK523" s="1358"/>
      <c r="NKL523" s="1358"/>
      <c r="NKM523" s="1358"/>
      <c r="NKN523" s="1358"/>
      <c r="NKO523" s="1358"/>
      <c r="NKP523" s="1358"/>
      <c r="NKQ523" s="1358"/>
      <c r="NKR523" s="1358"/>
      <c r="NKS523" s="1358"/>
      <c r="NKT523" s="1358"/>
      <c r="NKU523" s="1358"/>
      <c r="NKV523" s="1358"/>
      <c r="NKW523" s="1358"/>
      <c r="NKX523" s="1358"/>
      <c r="NKY523" s="1358"/>
      <c r="NKZ523" s="1358"/>
      <c r="NLA523" s="1358"/>
      <c r="NLB523" s="1358"/>
      <c r="NLC523" s="1358"/>
      <c r="NLD523" s="1358"/>
      <c r="NLE523" s="1358"/>
      <c r="NLF523" s="1358"/>
      <c r="NLG523" s="1358"/>
      <c r="NLH523" s="1358"/>
      <c r="NLI523" s="1358"/>
      <c r="NLJ523" s="1358"/>
      <c r="NLK523" s="1358"/>
      <c r="NLL523" s="1358"/>
      <c r="NLM523" s="1358"/>
      <c r="NLN523" s="1358"/>
      <c r="NLO523" s="1358"/>
      <c r="NLP523" s="1358"/>
      <c r="NLQ523" s="1358"/>
      <c r="NLR523" s="1358"/>
      <c r="NLS523" s="1358"/>
      <c r="NLT523" s="1358"/>
      <c r="NLU523" s="1358"/>
      <c r="NLV523" s="1358"/>
      <c r="NLW523" s="1358"/>
      <c r="NLX523" s="1358"/>
      <c r="NLY523" s="1358"/>
      <c r="NLZ523" s="1358"/>
      <c r="NMA523" s="1358"/>
      <c r="NMB523" s="1358"/>
      <c r="NMC523" s="1358"/>
      <c r="NMD523" s="1358"/>
      <c r="NME523" s="1358"/>
      <c r="NMF523" s="1358"/>
      <c r="NMG523" s="1358"/>
      <c r="NMH523" s="1358"/>
      <c r="NMI523" s="1358"/>
      <c r="NMJ523" s="1358"/>
      <c r="NMK523" s="1358"/>
      <c r="NML523" s="1358"/>
      <c r="NMM523" s="1358"/>
      <c r="NMN523" s="1358"/>
      <c r="NMO523" s="1358"/>
      <c r="NMP523" s="1358"/>
      <c r="NMQ523" s="1358"/>
      <c r="NMR523" s="1358"/>
      <c r="NMS523" s="1358"/>
      <c r="NMT523" s="1358"/>
      <c r="NMU523" s="1358"/>
      <c r="NMV523" s="1358"/>
      <c r="NMW523" s="1358"/>
      <c r="NMX523" s="1358"/>
      <c r="NMY523" s="1358"/>
      <c r="NMZ523" s="1358"/>
      <c r="NNA523" s="1358"/>
      <c r="NNB523" s="1358"/>
      <c r="NNC523" s="1358"/>
      <c r="NND523" s="1358"/>
      <c r="NNE523" s="1358"/>
      <c r="NNF523" s="1358"/>
      <c r="NNG523" s="1358"/>
      <c r="NNH523" s="1358"/>
      <c r="NNI523" s="1358"/>
      <c r="NNJ523" s="1358"/>
      <c r="NNK523" s="1358"/>
      <c r="NNL523" s="1358"/>
      <c r="NNM523" s="1358"/>
      <c r="NNN523" s="1358"/>
      <c r="NNO523" s="1358"/>
      <c r="NNP523" s="1358"/>
      <c r="NNQ523" s="1358"/>
      <c r="NNR523" s="1358"/>
      <c r="NNS523" s="1358"/>
      <c r="NNT523" s="1358"/>
      <c r="NNU523" s="1358"/>
      <c r="NNV523" s="1358"/>
      <c r="NNW523" s="1358"/>
      <c r="NNX523" s="1358"/>
      <c r="NNY523" s="1358"/>
      <c r="NNZ523" s="1358"/>
      <c r="NOA523" s="1358"/>
      <c r="NOB523" s="1358"/>
      <c r="NOC523" s="1358"/>
      <c r="NOD523" s="1358"/>
      <c r="NOE523" s="1358"/>
      <c r="NOF523" s="1358"/>
      <c r="NOG523" s="1358"/>
      <c r="NOH523" s="1358"/>
      <c r="NOI523" s="1358"/>
      <c r="NOJ523" s="1358"/>
      <c r="NOK523" s="1358"/>
      <c r="NOL523" s="1358"/>
      <c r="NOM523" s="1358"/>
      <c r="NON523" s="1358"/>
      <c r="NOO523" s="1358"/>
      <c r="NOP523" s="1358"/>
      <c r="NOQ523" s="1358"/>
      <c r="NOR523" s="1358"/>
      <c r="NOS523" s="1358"/>
      <c r="NOT523" s="1358"/>
      <c r="NOU523" s="1358"/>
      <c r="NOV523" s="1358"/>
      <c r="NOW523" s="1358"/>
      <c r="NOX523" s="1358"/>
      <c r="NOY523" s="1358"/>
      <c r="NOZ523" s="1358"/>
      <c r="NPA523" s="1358"/>
      <c r="NPB523" s="1358"/>
      <c r="NPC523" s="1358"/>
      <c r="NPD523" s="1358"/>
      <c r="NPE523" s="1358"/>
      <c r="NPF523" s="1358"/>
      <c r="NPG523" s="1358"/>
      <c r="NPH523" s="1358"/>
      <c r="NPI523" s="1358"/>
      <c r="NPJ523" s="1358"/>
      <c r="NPK523" s="1358"/>
      <c r="NPL523" s="1358"/>
      <c r="NPM523" s="1358"/>
      <c r="NPN523" s="1358"/>
      <c r="NPO523" s="1358"/>
      <c r="NPP523" s="1358"/>
      <c r="NPQ523" s="1358"/>
      <c r="NPR523" s="1358"/>
      <c r="NPS523" s="1358"/>
      <c r="NPT523" s="1358"/>
      <c r="NPU523" s="1358"/>
      <c r="NPV523" s="1358"/>
      <c r="NPW523" s="1358"/>
      <c r="NPX523" s="1358"/>
      <c r="NPY523" s="1358"/>
      <c r="NPZ523" s="1358"/>
      <c r="NQA523" s="1358"/>
      <c r="NQB523" s="1358"/>
      <c r="NQC523" s="1358"/>
      <c r="NQD523" s="1358"/>
      <c r="NQE523" s="1358"/>
      <c r="NQF523" s="1358"/>
      <c r="NQG523" s="1358"/>
      <c r="NQH523" s="1358"/>
      <c r="NQI523" s="1358"/>
      <c r="NQJ523" s="1358"/>
      <c r="NQK523" s="1358"/>
      <c r="NQL523" s="1358"/>
      <c r="NQM523" s="1358"/>
      <c r="NQN523" s="1358"/>
      <c r="NQO523" s="1358"/>
      <c r="NQP523" s="1358"/>
      <c r="NQQ523" s="1358"/>
      <c r="NQR523" s="1358"/>
      <c r="NQS523" s="1358"/>
      <c r="NQT523" s="1358"/>
      <c r="NQU523" s="1358"/>
      <c r="NQV523" s="1358"/>
      <c r="NQW523" s="1358"/>
      <c r="NQX523" s="1358"/>
      <c r="NQY523" s="1358"/>
      <c r="NQZ523" s="1358"/>
      <c r="NRA523" s="1358"/>
      <c r="NRB523" s="1358"/>
      <c r="NRC523" s="1358"/>
      <c r="NRD523" s="1358"/>
      <c r="NRE523" s="1358"/>
      <c r="NRF523" s="1358"/>
      <c r="NRG523" s="1358"/>
      <c r="NRH523" s="1358"/>
      <c r="NRI523" s="1358"/>
      <c r="NRJ523" s="1358"/>
      <c r="NRK523" s="1358"/>
      <c r="NRL523" s="1358"/>
      <c r="NRM523" s="1358"/>
      <c r="NRN523" s="1358"/>
      <c r="NRO523" s="1358"/>
      <c r="NRP523" s="1358"/>
      <c r="NRQ523" s="1358"/>
      <c r="NRR523" s="1358"/>
      <c r="NRS523" s="1358"/>
      <c r="NRT523" s="1358"/>
      <c r="NRU523" s="1358"/>
      <c r="NRV523" s="1358"/>
      <c r="NRW523" s="1358"/>
      <c r="NRX523" s="1358"/>
      <c r="NRY523" s="1358"/>
      <c r="NRZ523" s="1358"/>
      <c r="NSA523" s="1358"/>
      <c r="NSB523" s="1358"/>
      <c r="NSC523" s="1358"/>
      <c r="NSD523" s="1358"/>
      <c r="NSE523" s="1358"/>
      <c r="NSF523" s="1358"/>
      <c r="NSG523" s="1358"/>
      <c r="NSH523" s="1358"/>
      <c r="NSI523" s="1358"/>
      <c r="NSJ523" s="1358"/>
      <c r="NSK523" s="1358"/>
      <c r="NSL523" s="1358"/>
      <c r="NSM523" s="1358"/>
      <c r="NSN523" s="1358"/>
      <c r="NSO523" s="1358"/>
      <c r="NSP523" s="1358"/>
      <c r="NSQ523" s="1358"/>
      <c r="NSR523" s="1358"/>
      <c r="NSS523" s="1358"/>
      <c r="NST523" s="1358"/>
      <c r="NSU523" s="1358"/>
      <c r="NSV523" s="1358"/>
      <c r="NSW523" s="1358"/>
      <c r="NSX523" s="1358"/>
      <c r="NSY523" s="1358"/>
      <c r="NSZ523" s="1358"/>
      <c r="NTA523" s="1358"/>
      <c r="NTB523" s="1358"/>
      <c r="NTC523" s="1358"/>
      <c r="NTD523" s="1358"/>
      <c r="NTE523" s="1358"/>
      <c r="NTF523" s="1358"/>
      <c r="NTG523" s="1358"/>
      <c r="NTH523" s="1358"/>
      <c r="NTI523" s="1358"/>
      <c r="NTJ523" s="1358"/>
      <c r="NTK523" s="1358"/>
      <c r="NTL523" s="1358"/>
      <c r="NTM523" s="1358"/>
      <c r="NTN523" s="1358"/>
      <c r="NTO523" s="1358"/>
      <c r="NTP523" s="1358"/>
      <c r="NTQ523" s="1358"/>
      <c r="NTR523" s="1358"/>
      <c r="NTS523" s="1358"/>
      <c r="NTT523" s="1358"/>
      <c r="NTU523" s="1358"/>
      <c r="NTV523" s="1358"/>
      <c r="NTW523" s="1358"/>
      <c r="NTX523" s="1358"/>
      <c r="NTY523" s="1358"/>
      <c r="NTZ523" s="1358"/>
      <c r="NUA523" s="1358"/>
      <c r="NUB523" s="1358"/>
      <c r="NUC523" s="1358"/>
      <c r="NUD523" s="1358"/>
      <c r="NUE523" s="1358"/>
      <c r="NUF523" s="1358"/>
      <c r="NUG523" s="1358"/>
      <c r="NUH523" s="1358"/>
      <c r="NUI523" s="1358"/>
      <c r="NUJ523" s="1358"/>
      <c r="NUK523" s="1358"/>
      <c r="NUL523" s="1358"/>
      <c r="NUM523" s="1358"/>
      <c r="NUN523" s="1358"/>
      <c r="NUO523" s="1358"/>
      <c r="NUP523" s="1358"/>
      <c r="NUQ523" s="1358"/>
      <c r="NUR523" s="1358"/>
      <c r="NUS523" s="1358"/>
      <c r="NUT523" s="1358"/>
      <c r="NUU523" s="1358"/>
      <c r="NUV523" s="1358"/>
      <c r="NUW523" s="1358"/>
      <c r="NUX523" s="1358"/>
      <c r="NUY523" s="1358"/>
      <c r="NUZ523" s="1358"/>
      <c r="NVA523" s="1358"/>
      <c r="NVB523" s="1358"/>
      <c r="NVC523" s="1358"/>
      <c r="NVD523" s="1358"/>
      <c r="NVE523" s="1358"/>
      <c r="NVF523" s="1358"/>
      <c r="NVG523" s="1358"/>
      <c r="NVH523" s="1358"/>
      <c r="NVI523" s="1358"/>
      <c r="NVJ523" s="1358"/>
      <c r="NVK523" s="1358"/>
      <c r="NVL523" s="1358"/>
      <c r="NVM523" s="1358"/>
      <c r="NVN523" s="1358"/>
      <c r="NVO523" s="1358"/>
      <c r="NVP523" s="1358"/>
      <c r="NVQ523" s="1358"/>
      <c r="NVR523" s="1358"/>
      <c r="NVS523" s="1358"/>
      <c r="NVT523" s="1358"/>
      <c r="NVU523" s="1358"/>
      <c r="NVV523" s="1358"/>
      <c r="NVW523" s="1358"/>
      <c r="NVX523" s="1358"/>
      <c r="NVY523" s="1358"/>
      <c r="NVZ523" s="1358"/>
      <c r="NWA523" s="1358"/>
      <c r="NWB523" s="1358"/>
      <c r="NWC523" s="1358"/>
      <c r="NWD523" s="1358"/>
      <c r="NWE523" s="1358"/>
      <c r="NWF523" s="1358"/>
      <c r="NWG523" s="1358"/>
      <c r="NWH523" s="1358"/>
      <c r="NWI523" s="1358"/>
      <c r="NWJ523" s="1358"/>
      <c r="NWK523" s="1358"/>
      <c r="NWL523" s="1358"/>
      <c r="NWM523" s="1358"/>
      <c r="NWN523" s="1358"/>
      <c r="NWO523" s="1358"/>
      <c r="NWP523" s="1358"/>
      <c r="NWQ523" s="1358"/>
      <c r="NWR523" s="1358"/>
      <c r="NWS523" s="1358"/>
      <c r="NWT523" s="1358"/>
      <c r="NWU523" s="1358"/>
      <c r="NWV523" s="1358"/>
      <c r="NWW523" s="1358"/>
      <c r="NWX523" s="1358"/>
      <c r="NWY523" s="1358"/>
      <c r="NWZ523" s="1358"/>
      <c r="NXA523" s="1358"/>
      <c r="NXB523" s="1358"/>
      <c r="NXC523" s="1358"/>
      <c r="NXD523" s="1358"/>
      <c r="NXE523" s="1358"/>
      <c r="NXF523" s="1358"/>
      <c r="NXG523" s="1358"/>
      <c r="NXH523" s="1358"/>
      <c r="NXI523" s="1358"/>
      <c r="NXJ523" s="1358"/>
      <c r="NXK523" s="1358"/>
      <c r="NXL523" s="1358"/>
      <c r="NXM523" s="1358"/>
      <c r="NXN523" s="1358"/>
      <c r="NXO523" s="1358"/>
      <c r="NXP523" s="1358"/>
      <c r="NXQ523" s="1358"/>
      <c r="NXR523" s="1358"/>
      <c r="NXS523" s="1358"/>
      <c r="NXT523" s="1358"/>
      <c r="NXU523" s="1358"/>
      <c r="NXV523" s="1358"/>
      <c r="NXW523" s="1358"/>
      <c r="NXX523" s="1358"/>
      <c r="NXY523" s="1358"/>
      <c r="NXZ523" s="1358"/>
      <c r="NYA523" s="1358"/>
      <c r="NYB523" s="1358"/>
      <c r="NYC523" s="1358"/>
      <c r="NYD523" s="1358"/>
      <c r="NYE523" s="1358"/>
      <c r="NYF523" s="1358"/>
      <c r="NYG523" s="1358"/>
      <c r="NYH523" s="1358"/>
      <c r="NYI523" s="1358"/>
      <c r="NYJ523" s="1358"/>
      <c r="NYK523" s="1358"/>
      <c r="NYL523" s="1358"/>
      <c r="NYM523" s="1358"/>
      <c r="NYN523" s="1358"/>
      <c r="NYO523" s="1358"/>
      <c r="NYP523" s="1358"/>
      <c r="NYQ523" s="1358"/>
      <c r="NYR523" s="1358"/>
      <c r="NYS523" s="1358"/>
      <c r="NYT523" s="1358"/>
      <c r="NYU523" s="1358"/>
      <c r="NYV523" s="1358"/>
      <c r="NYW523" s="1358"/>
      <c r="NYX523" s="1358"/>
      <c r="NYY523" s="1358"/>
      <c r="NYZ523" s="1358"/>
      <c r="NZA523" s="1358"/>
      <c r="NZB523" s="1358"/>
      <c r="NZC523" s="1358"/>
      <c r="NZD523" s="1358"/>
      <c r="NZE523" s="1358"/>
      <c r="NZF523" s="1358"/>
      <c r="NZG523" s="1358"/>
      <c r="NZH523" s="1358"/>
      <c r="NZI523" s="1358"/>
      <c r="NZJ523" s="1358"/>
      <c r="NZK523" s="1358"/>
      <c r="NZL523" s="1358"/>
      <c r="NZM523" s="1358"/>
      <c r="NZN523" s="1358"/>
      <c r="NZO523" s="1358"/>
      <c r="NZP523" s="1358"/>
      <c r="NZQ523" s="1358"/>
      <c r="NZR523" s="1358"/>
      <c r="NZS523" s="1358"/>
      <c r="NZT523" s="1358"/>
      <c r="NZU523" s="1358"/>
      <c r="NZV523" s="1358"/>
      <c r="NZW523" s="1358"/>
      <c r="NZX523" s="1358"/>
      <c r="NZY523" s="1358"/>
      <c r="NZZ523" s="1358"/>
      <c r="OAA523" s="1358"/>
      <c r="OAB523" s="1358"/>
      <c r="OAC523" s="1358"/>
      <c r="OAD523" s="1358"/>
      <c r="OAE523" s="1358"/>
      <c r="OAF523" s="1358"/>
      <c r="OAG523" s="1358"/>
      <c r="OAH523" s="1358"/>
      <c r="OAI523" s="1358"/>
      <c r="OAJ523" s="1358"/>
      <c r="OAK523" s="1358"/>
      <c r="OAL523" s="1358"/>
      <c r="OAM523" s="1358"/>
      <c r="OAN523" s="1358"/>
      <c r="OAO523" s="1358"/>
      <c r="OAP523" s="1358"/>
      <c r="OAQ523" s="1358"/>
      <c r="OAR523" s="1358"/>
      <c r="OAS523" s="1358"/>
      <c r="OAT523" s="1358"/>
      <c r="OAU523" s="1358"/>
      <c r="OAV523" s="1358"/>
      <c r="OAW523" s="1358"/>
      <c r="OAX523" s="1358"/>
      <c r="OAY523" s="1358"/>
      <c r="OAZ523" s="1358"/>
      <c r="OBA523" s="1358"/>
      <c r="OBB523" s="1358"/>
      <c r="OBC523" s="1358"/>
      <c r="OBD523" s="1358"/>
      <c r="OBE523" s="1358"/>
      <c r="OBF523" s="1358"/>
      <c r="OBG523" s="1358"/>
      <c r="OBH523" s="1358"/>
      <c r="OBI523" s="1358"/>
      <c r="OBJ523" s="1358"/>
      <c r="OBK523" s="1358"/>
      <c r="OBL523" s="1358"/>
      <c r="OBM523" s="1358"/>
      <c r="OBN523" s="1358"/>
      <c r="OBO523" s="1358"/>
      <c r="OBP523" s="1358"/>
      <c r="OBQ523" s="1358"/>
      <c r="OBR523" s="1358"/>
      <c r="OBS523" s="1358"/>
      <c r="OBT523" s="1358"/>
      <c r="OBU523" s="1358"/>
      <c r="OBV523" s="1358"/>
      <c r="OBW523" s="1358"/>
      <c r="OBX523" s="1358"/>
      <c r="OBY523" s="1358"/>
      <c r="OBZ523" s="1358"/>
      <c r="OCA523" s="1358"/>
      <c r="OCB523" s="1358"/>
      <c r="OCC523" s="1358"/>
      <c r="OCD523" s="1358"/>
      <c r="OCE523" s="1358"/>
      <c r="OCF523" s="1358"/>
      <c r="OCG523" s="1358"/>
      <c r="OCH523" s="1358"/>
      <c r="OCI523" s="1358"/>
      <c r="OCJ523" s="1358"/>
      <c r="OCK523" s="1358"/>
      <c r="OCL523" s="1358"/>
      <c r="OCM523" s="1358"/>
      <c r="OCN523" s="1358"/>
      <c r="OCO523" s="1358"/>
      <c r="OCP523" s="1358"/>
      <c r="OCQ523" s="1358"/>
      <c r="OCR523" s="1358"/>
      <c r="OCS523" s="1358"/>
      <c r="OCT523" s="1358"/>
      <c r="OCU523" s="1358"/>
      <c r="OCV523" s="1358"/>
      <c r="OCW523" s="1358"/>
      <c r="OCX523" s="1358"/>
      <c r="OCY523" s="1358"/>
      <c r="OCZ523" s="1358"/>
      <c r="ODA523" s="1358"/>
      <c r="ODB523" s="1358"/>
      <c r="ODC523" s="1358"/>
      <c r="ODD523" s="1358"/>
      <c r="ODE523" s="1358"/>
      <c r="ODF523" s="1358"/>
      <c r="ODG523" s="1358"/>
      <c r="ODH523" s="1358"/>
      <c r="ODI523" s="1358"/>
      <c r="ODJ523" s="1358"/>
      <c r="ODK523" s="1358"/>
      <c r="ODL523" s="1358"/>
      <c r="ODM523" s="1358"/>
      <c r="ODN523" s="1358"/>
      <c r="ODO523" s="1358"/>
      <c r="ODP523" s="1358"/>
      <c r="ODQ523" s="1358"/>
      <c r="ODR523" s="1358"/>
      <c r="ODS523" s="1358"/>
      <c r="ODT523" s="1358"/>
      <c r="ODU523" s="1358"/>
      <c r="ODV523" s="1358"/>
      <c r="ODW523" s="1358"/>
      <c r="ODX523" s="1358"/>
      <c r="ODY523" s="1358"/>
      <c r="ODZ523" s="1358"/>
      <c r="OEA523" s="1358"/>
      <c r="OEB523" s="1358"/>
      <c r="OEC523" s="1358"/>
      <c r="OED523" s="1358"/>
      <c r="OEE523" s="1358"/>
      <c r="OEF523" s="1358"/>
      <c r="OEG523" s="1358"/>
      <c r="OEH523" s="1358"/>
      <c r="OEI523" s="1358"/>
      <c r="OEJ523" s="1358"/>
      <c r="OEK523" s="1358"/>
      <c r="OEL523" s="1358"/>
      <c r="OEM523" s="1358"/>
      <c r="OEN523" s="1358"/>
      <c r="OEO523" s="1358"/>
      <c r="OEP523" s="1358"/>
      <c r="OEQ523" s="1358"/>
      <c r="OER523" s="1358"/>
      <c r="OES523" s="1358"/>
      <c r="OET523" s="1358"/>
      <c r="OEU523" s="1358"/>
      <c r="OEV523" s="1358"/>
      <c r="OEW523" s="1358"/>
      <c r="OEX523" s="1358"/>
      <c r="OEY523" s="1358"/>
      <c r="OEZ523" s="1358"/>
      <c r="OFA523" s="1358"/>
      <c r="OFB523" s="1358"/>
      <c r="OFC523" s="1358"/>
      <c r="OFD523" s="1358"/>
      <c r="OFE523" s="1358"/>
      <c r="OFF523" s="1358"/>
      <c r="OFG523" s="1358"/>
      <c r="OFH523" s="1358"/>
      <c r="OFI523" s="1358"/>
      <c r="OFJ523" s="1358"/>
      <c r="OFK523" s="1358"/>
      <c r="OFL523" s="1358"/>
      <c r="OFM523" s="1358"/>
      <c r="OFN523" s="1358"/>
      <c r="OFO523" s="1358"/>
      <c r="OFP523" s="1358"/>
      <c r="OFQ523" s="1358"/>
      <c r="OFR523" s="1358"/>
      <c r="OFS523" s="1358"/>
      <c r="OFT523" s="1358"/>
      <c r="OFU523" s="1358"/>
      <c r="OFV523" s="1358"/>
      <c r="OFW523" s="1358"/>
      <c r="OFX523" s="1358"/>
      <c r="OFY523" s="1358"/>
      <c r="OFZ523" s="1358"/>
      <c r="OGA523" s="1358"/>
      <c r="OGB523" s="1358"/>
      <c r="OGC523" s="1358"/>
      <c r="OGD523" s="1358"/>
      <c r="OGE523" s="1358"/>
      <c r="OGF523" s="1358"/>
      <c r="OGG523" s="1358"/>
      <c r="OGH523" s="1358"/>
      <c r="OGI523" s="1358"/>
      <c r="OGJ523" s="1358"/>
      <c r="OGK523" s="1358"/>
      <c r="OGL523" s="1358"/>
      <c r="OGM523" s="1358"/>
      <c r="OGN523" s="1358"/>
      <c r="OGO523" s="1358"/>
      <c r="OGP523" s="1358"/>
      <c r="OGQ523" s="1358"/>
      <c r="OGR523" s="1358"/>
      <c r="OGS523" s="1358"/>
      <c r="OGT523" s="1358"/>
      <c r="OGU523" s="1358"/>
      <c r="OGV523" s="1358"/>
      <c r="OGW523" s="1358"/>
      <c r="OGX523" s="1358"/>
      <c r="OGY523" s="1358"/>
      <c r="OGZ523" s="1358"/>
      <c r="OHA523" s="1358"/>
      <c r="OHB523" s="1358"/>
      <c r="OHC523" s="1358"/>
      <c r="OHD523" s="1358"/>
      <c r="OHE523" s="1358"/>
      <c r="OHF523" s="1358"/>
      <c r="OHG523" s="1358"/>
      <c r="OHH523" s="1358"/>
      <c r="OHI523" s="1358"/>
      <c r="OHJ523" s="1358"/>
      <c r="OHK523" s="1358"/>
      <c r="OHL523" s="1358"/>
      <c r="OHM523" s="1358"/>
      <c r="OHN523" s="1358"/>
      <c r="OHO523" s="1358"/>
      <c r="OHP523" s="1358"/>
      <c r="OHQ523" s="1358"/>
      <c r="OHR523" s="1358"/>
      <c r="OHS523" s="1358"/>
      <c r="OHT523" s="1358"/>
      <c r="OHU523" s="1358"/>
      <c r="OHV523" s="1358"/>
      <c r="OHW523" s="1358"/>
      <c r="OHX523" s="1358"/>
      <c r="OHY523" s="1358"/>
      <c r="OHZ523" s="1358"/>
      <c r="OIA523" s="1358"/>
      <c r="OIB523" s="1358"/>
      <c r="OIC523" s="1358"/>
      <c r="OID523" s="1358"/>
      <c r="OIE523" s="1358"/>
      <c r="OIF523" s="1358"/>
      <c r="OIG523" s="1358"/>
      <c r="OIH523" s="1358"/>
      <c r="OII523" s="1358"/>
      <c r="OIJ523" s="1358"/>
      <c r="OIK523" s="1358"/>
      <c r="OIL523" s="1358"/>
      <c r="OIM523" s="1358"/>
      <c r="OIN523" s="1358"/>
      <c r="OIO523" s="1358"/>
      <c r="OIP523" s="1358"/>
      <c r="OIQ523" s="1358"/>
      <c r="OIR523" s="1358"/>
      <c r="OIS523" s="1358"/>
      <c r="OIT523" s="1358"/>
      <c r="OIU523" s="1358"/>
      <c r="OIV523" s="1358"/>
      <c r="OIW523" s="1358"/>
      <c r="OIX523" s="1358"/>
      <c r="OIY523" s="1358"/>
      <c r="OIZ523" s="1358"/>
      <c r="OJA523" s="1358"/>
      <c r="OJB523" s="1358"/>
      <c r="OJC523" s="1358"/>
      <c r="OJD523" s="1358"/>
      <c r="OJE523" s="1358"/>
      <c r="OJF523" s="1358"/>
      <c r="OJG523" s="1358"/>
      <c r="OJH523" s="1358"/>
      <c r="OJI523" s="1358"/>
      <c r="OJJ523" s="1358"/>
      <c r="OJK523" s="1358"/>
      <c r="OJL523" s="1358"/>
      <c r="OJM523" s="1358"/>
      <c r="OJN523" s="1358"/>
      <c r="OJO523" s="1358"/>
      <c r="OJP523" s="1358"/>
      <c r="OJQ523" s="1358"/>
      <c r="OJR523" s="1358"/>
      <c r="OJS523" s="1358"/>
      <c r="OJT523" s="1358"/>
      <c r="OJU523" s="1358"/>
      <c r="OJV523" s="1358"/>
      <c r="OJW523" s="1358"/>
      <c r="OJX523" s="1358"/>
      <c r="OJY523" s="1358"/>
      <c r="OJZ523" s="1358"/>
      <c r="OKA523" s="1358"/>
      <c r="OKB523" s="1358"/>
      <c r="OKC523" s="1358"/>
      <c r="OKD523" s="1358"/>
      <c r="OKE523" s="1358"/>
      <c r="OKF523" s="1358"/>
      <c r="OKG523" s="1358"/>
      <c r="OKH523" s="1358"/>
      <c r="OKI523" s="1358"/>
      <c r="OKJ523" s="1358"/>
      <c r="OKK523" s="1358"/>
      <c r="OKL523" s="1358"/>
      <c r="OKM523" s="1358"/>
      <c r="OKN523" s="1358"/>
      <c r="OKO523" s="1358"/>
      <c r="OKP523" s="1358"/>
      <c r="OKQ523" s="1358"/>
      <c r="OKR523" s="1358"/>
      <c r="OKS523" s="1358"/>
      <c r="OKT523" s="1358"/>
      <c r="OKU523" s="1358"/>
      <c r="OKV523" s="1358"/>
      <c r="OKW523" s="1358"/>
      <c r="OKX523" s="1358"/>
      <c r="OKY523" s="1358"/>
      <c r="OKZ523" s="1358"/>
      <c r="OLA523" s="1358"/>
      <c r="OLB523" s="1358"/>
      <c r="OLC523" s="1358"/>
      <c r="OLD523" s="1358"/>
      <c r="OLE523" s="1358"/>
      <c r="OLF523" s="1358"/>
      <c r="OLG523" s="1358"/>
      <c r="OLH523" s="1358"/>
      <c r="OLI523" s="1358"/>
      <c r="OLJ523" s="1358"/>
      <c r="OLK523" s="1358"/>
      <c r="OLL523" s="1358"/>
      <c r="OLM523" s="1358"/>
      <c r="OLN523" s="1358"/>
      <c r="OLO523" s="1358"/>
      <c r="OLP523" s="1358"/>
      <c r="OLQ523" s="1358"/>
      <c r="OLR523" s="1358"/>
      <c r="OLS523" s="1358"/>
      <c r="OLT523" s="1358"/>
      <c r="OLU523" s="1358"/>
      <c r="OLV523" s="1358"/>
      <c r="OLW523" s="1358"/>
      <c r="OLX523" s="1358"/>
      <c r="OLY523" s="1358"/>
      <c r="OLZ523" s="1358"/>
      <c r="OMA523" s="1358"/>
      <c r="OMB523" s="1358"/>
      <c r="OMC523" s="1358"/>
      <c r="OMD523" s="1358"/>
      <c r="OME523" s="1358"/>
      <c r="OMF523" s="1358"/>
      <c r="OMG523" s="1358"/>
      <c r="OMH523" s="1358"/>
      <c r="OMI523" s="1358"/>
      <c r="OMJ523" s="1358"/>
      <c r="OMK523" s="1358"/>
      <c r="OML523" s="1358"/>
      <c r="OMM523" s="1358"/>
      <c r="OMN523" s="1358"/>
      <c r="OMO523" s="1358"/>
      <c r="OMP523" s="1358"/>
      <c r="OMQ523" s="1358"/>
      <c r="OMR523" s="1358"/>
      <c r="OMS523" s="1358"/>
      <c r="OMT523" s="1358"/>
      <c r="OMU523" s="1358"/>
      <c r="OMV523" s="1358"/>
      <c r="OMW523" s="1358"/>
      <c r="OMX523" s="1358"/>
      <c r="OMY523" s="1358"/>
      <c r="OMZ523" s="1358"/>
      <c r="ONA523" s="1358"/>
      <c r="ONB523" s="1358"/>
      <c r="ONC523" s="1358"/>
      <c r="OND523" s="1358"/>
      <c r="ONE523" s="1358"/>
      <c r="ONF523" s="1358"/>
      <c r="ONG523" s="1358"/>
      <c r="ONH523" s="1358"/>
      <c r="ONI523" s="1358"/>
      <c r="ONJ523" s="1358"/>
      <c r="ONK523" s="1358"/>
      <c r="ONL523" s="1358"/>
      <c r="ONM523" s="1358"/>
      <c r="ONN523" s="1358"/>
      <c r="ONO523" s="1358"/>
      <c r="ONP523" s="1358"/>
      <c r="ONQ523" s="1358"/>
      <c r="ONR523" s="1358"/>
      <c r="ONS523" s="1358"/>
      <c r="ONT523" s="1358"/>
      <c r="ONU523" s="1358"/>
      <c r="ONV523" s="1358"/>
      <c r="ONW523" s="1358"/>
      <c r="ONX523" s="1358"/>
      <c r="ONY523" s="1358"/>
      <c r="ONZ523" s="1358"/>
      <c r="OOA523" s="1358"/>
      <c r="OOB523" s="1358"/>
      <c r="OOC523" s="1358"/>
      <c r="OOD523" s="1358"/>
      <c r="OOE523" s="1358"/>
      <c r="OOF523" s="1358"/>
      <c r="OOG523" s="1358"/>
      <c r="OOH523" s="1358"/>
      <c r="OOI523" s="1358"/>
      <c r="OOJ523" s="1358"/>
      <c r="OOK523" s="1358"/>
      <c r="OOL523" s="1358"/>
      <c r="OOM523" s="1358"/>
      <c r="OON523" s="1358"/>
      <c r="OOO523" s="1358"/>
      <c r="OOP523" s="1358"/>
      <c r="OOQ523" s="1358"/>
      <c r="OOR523" s="1358"/>
      <c r="OOS523" s="1358"/>
      <c r="OOT523" s="1358"/>
      <c r="OOU523" s="1358"/>
      <c r="OOV523" s="1358"/>
      <c r="OOW523" s="1358"/>
      <c r="OOX523" s="1358"/>
      <c r="OOY523" s="1358"/>
      <c r="OOZ523" s="1358"/>
      <c r="OPA523" s="1358"/>
      <c r="OPB523" s="1358"/>
      <c r="OPC523" s="1358"/>
      <c r="OPD523" s="1358"/>
      <c r="OPE523" s="1358"/>
      <c r="OPF523" s="1358"/>
      <c r="OPG523" s="1358"/>
      <c r="OPH523" s="1358"/>
      <c r="OPI523" s="1358"/>
      <c r="OPJ523" s="1358"/>
      <c r="OPK523" s="1358"/>
      <c r="OPL523" s="1358"/>
      <c r="OPM523" s="1358"/>
      <c r="OPN523" s="1358"/>
      <c r="OPO523" s="1358"/>
      <c r="OPP523" s="1358"/>
      <c r="OPQ523" s="1358"/>
      <c r="OPR523" s="1358"/>
      <c r="OPS523" s="1358"/>
      <c r="OPT523" s="1358"/>
      <c r="OPU523" s="1358"/>
      <c r="OPV523" s="1358"/>
      <c r="OPW523" s="1358"/>
      <c r="OPX523" s="1358"/>
      <c r="OPY523" s="1358"/>
      <c r="OPZ523" s="1358"/>
      <c r="OQA523" s="1358"/>
      <c r="OQB523" s="1358"/>
      <c r="OQC523" s="1358"/>
      <c r="OQD523" s="1358"/>
      <c r="OQE523" s="1358"/>
      <c r="OQF523" s="1358"/>
      <c r="OQG523" s="1358"/>
      <c r="OQH523" s="1358"/>
      <c r="OQI523" s="1358"/>
      <c r="OQJ523" s="1358"/>
      <c r="OQK523" s="1358"/>
      <c r="OQL523" s="1358"/>
      <c r="OQM523" s="1358"/>
      <c r="OQN523" s="1358"/>
      <c r="OQO523" s="1358"/>
      <c r="OQP523" s="1358"/>
      <c r="OQQ523" s="1358"/>
      <c r="OQR523" s="1358"/>
      <c r="OQS523" s="1358"/>
      <c r="OQT523" s="1358"/>
      <c r="OQU523" s="1358"/>
      <c r="OQV523" s="1358"/>
      <c r="OQW523" s="1358"/>
      <c r="OQX523" s="1358"/>
      <c r="OQY523" s="1358"/>
      <c r="OQZ523" s="1358"/>
      <c r="ORA523" s="1358"/>
      <c r="ORB523" s="1358"/>
      <c r="ORC523" s="1358"/>
      <c r="ORD523" s="1358"/>
      <c r="ORE523" s="1358"/>
      <c r="ORF523" s="1358"/>
      <c r="ORG523" s="1358"/>
      <c r="ORH523" s="1358"/>
      <c r="ORI523" s="1358"/>
      <c r="ORJ523" s="1358"/>
      <c r="ORK523" s="1358"/>
      <c r="ORL523" s="1358"/>
      <c r="ORM523" s="1358"/>
      <c r="ORN523" s="1358"/>
      <c r="ORO523" s="1358"/>
      <c r="ORP523" s="1358"/>
      <c r="ORQ523" s="1358"/>
      <c r="ORR523" s="1358"/>
      <c r="ORS523" s="1358"/>
      <c r="ORT523" s="1358"/>
      <c r="ORU523" s="1358"/>
      <c r="ORV523" s="1358"/>
      <c r="ORW523" s="1358"/>
      <c r="ORX523" s="1358"/>
      <c r="ORY523" s="1358"/>
      <c r="ORZ523" s="1358"/>
      <c r="OSA523" s="1358"/>
      <c r="OSB523" s="1358"/>
      <c r="OSC523" s="1358"/>
      <c r="OSD523" s="1358"/>
      <c r="OSE523" s="1358"/>
      <c r="OSF523" s="1358"/>
      <c r="OSG523" s="1358"/>
      <c r="OSH523" s="1358"/>
      <c r="OSI523" s="1358"/>
      <c r="OSJ523" s="1358"/>
      <c r="OSK523" s="1358"/>
      <c r="OSL523" s="1358"/>
      <c r="OSM523" s="1358"/>
      <c r="OSN523" s="1358"/>
      <c r="OSO523" s="1358"/>
      <c r="OSP523" s="1358"/>
      <c r="OSQ523" s="1358"/>
      <c r="OSR523" s="1358"/>
      <c r="OSS523" s="1358"/>
      <c r="OST523" s="1358"/>
      <c r="OSU523" s="1358"/>
      <c r="OSV523" s="1358"/>
      <c r="OSW523" s="1358"/>
      <c r="OSX523" s="1358"/>
      <c r="OSY523" s="1358"/>
      <c r="OSZ523" s="1358"/>
      <c r="OTA523" s="1358"/>
      <c r="OTB523" s="1358"/>
      <c r="OTC523" s="1358"/>
      <c r="OTD523" s="1358"/>
      <c r="OTE523" s="1358"/>
      <c r="OTF523" s="1358"/>
      <c r="OTG523" s="1358"/>
      <c r="OTH523" s="1358"/>
      <c r="OTI523" s="1358"/>
      <c r="OTJ523" s="1358"/>
      <c r="OTK523" s="1358"/>
      <c r="OTL523" s="1358"/>
      <c r="OTM523" s="1358"/>
      <c r="OTN523" s="1358"/>
      <c r="OTO523" s="1358"/>
      <c r="OTP523" s="1358"/>
      <c r="OTQ523" s="1358"/>
      <c r="OTR523" s="1358"/>
      <c r="OTS523" s="1358"/>
      <c r="OTT523" s="1358"/>
      <c r="OTU523" s="1358"/>
      <c r="OTV523" s="1358"/>
      <c r="OTW523" s="1358"/>
      <c r="OTX523" s="1358"/>
      <c r="OTY523" s="1358"/>
      <c r="OTZ523" s="1358"/>
      <c r="OUA523" s="1358"/>
      <c r="OUB523" s="1358"/>
      <c r="OUC523" s="1358"/>
      <c r="OUD523" s="1358"/>
      <c r="OUE523" s="1358"/>
      <c r="OUF523" s="1358"/>
      <c r="OUG523" s="1358"/>
      <c r="OUH523" s="1358"/>
      <c r="OUI523" s="1358"/>
      <c r="OUJ523" s="1358"/>
      <c r="OUK523" s="1358"/>
      <c r="OUL523" s="1358"/>
      <c r="OUM523" s="1358"/>
      <c r="OUN523" s="1358"/>
      <c r="OUO523" s="1358"/>
      <c r="OUP523" s="1358"/>
      <c r="OUQ523" s="1358"/>
      <c r="OUR523" s="1358"/>
      <c r="OUS523" s="1358"/>
      <c r="OUT523" s="1358"/>
      <c r="OUU523" s="1358"/>
      <c r="OUV523" s="1358"/>
      <c r="OUW523" s="1358"/>
      <c r="OUX523" s="1358"/>
      <c r="OUY523" s="1358"/>
      <c r="OUZ523" s="1358"/>
      <c r="OVA523" s="1358"/>
      <c r="OVB523" s="1358"/>
      <c r="OVC523" s="1358"/>
      <c r="OVD523" s="1358"/>
      <c r="OVE523" s="1358"/>
      <c r="OVF523" s="1358"/>
      <c r="OVG523" s="1358"/>
      <c r="OVH523" s="1358"/>
      <c r="OVI523" s="1358"/>
      <c r="OVJ523" s="1358"/>
      <c r="OVK523" s="1358"/>
      <c r="OVL523" s="1358"/>
      <c r="OVM523" s="1358"/>
      <c r="OVN523" s="1358"/>
      <c r="OVO523" s="1358"/>
      <c r="OVP523" s="1358"/>
      <c r="OVQ523" s="1358"/>
      <c r="OVR523" s="1358"/>
      <c r="OVS523" s="1358"/>
      <c r="OVT523" s="1358"/>
      <c r="OVU523" s="1358"/>
      <c r="OVV523" s="1358"/>
      <c r="OVW523" s="1358"/>
      <c r="OVX523" s="1358"/>
      <c r="OVY523" s="1358"/>
      <c r="OVZ523" s="1358"/>
      <c r="OWA523" s="1358"/>
      <c r="OWB523" s="1358"/>
      <c r="OWC523" s="1358"/>
      <c r="OWD523" s="1358"/>
      <c r="OWE523" s="1358"/>
      <c r="OWF523" s="1358"/>
      <c r="OWG523" s="1358"/>
      <c r="OWH523" s="1358"/>
      <c r="OWI523" s="1358"/>
      <c r="OWJ523" s="1358"/>
      <c r="OWK523" s="1358"/>
      <c r="OWL523" s="1358"/>
      <c r="OWM523" s="1358"/>
      <c r="OWN523" s="1358"/>
      <c r="OWO523" s="1358"/>
      <c r="OWP523" s="1358"/>
      <c r="OWQ523" s="1358"/>
      <c r="OWR523" s="1358"/>
      <c r="OWS523" s="1358"/>
      <c r="OWT523" s="1358"/>
      <c r="OWU523" s="1358"/>
      <c r="OWV523" s="1358"/>
      <c r="OWW523" s="1358"/>
      <c r="OWX523" s="1358"/>
      <c r="OWY523" s="1358"/>
      <c r="OWZ523" s="1358"/>
      <c r="OXA523" s="1358"/>
      <c r="OXB523" s="1358"/>
      <c r="OXC523" s="1358"/>
      <c r="OXD523" s="1358"/>
      <c r="OXE523" s="1358"/>
      <c r="OXF523" s="1358"/>
      <c r="OXG523" s="1358"/>
      <c r="OXH523" s="1358"/>
      <c r="OXI523" s="1358"/>
      <c r="OXJ523" s="1358"/>
      <c r="OXK523" s="1358"/>
      <c r="OXL523" s="1358"/>
      <c r="OXM523" s="1358"/>
      <c r="OXN523" s="1358"/>
      <c r="OXO523" s="1358"/>
      <c r="OXP523" s="1358"/>
      <c r="OXQ523" s="1358"/>
      <c r="OXR523" s="1358"/>
      <c r="OXS523" s="1358"/>
      <c r="OXT523" s="1358"/>
      <c r="OXU523" s="1358"/>
      <c r="OXV523" s="1358"/>
      <c r="OXW523" s="1358"/>
      <c r="OXX523" s="1358"/>
      <c r="OXY523" s="1358"/>
      <c r="OXZ523" s="1358"/>
      <c r="OYA523" s="1358"/>
      <c r="OYB523" s="1358"/>
      <c r="OYC523" s="1358"/>
      <c r="OYD523" s="1358"/>
      <c r="OYE523" s="1358"/>
      <c r="OYF523" s="1358"/>
      <c r="OYG523" s="1358"/>
      <c r="OYH523" s="1358"/>
      <c r="OYI523" s="1358"/>
      <c r="OYJ523" s="1358"/>
      <c r="OYK523" s="1358"/>
      <c r="OYL523" s="1358"/>
      <c r="OYM523" s="1358"/>
      <c r="OYN523" s="1358"/>
      <c r="OYO523" s="1358"/>
      <c r="OYP523" s="1358"/>
      <c r="OYQ523" s="1358"/>
      <c r="OYR523" s="1358"/>
      <c r="OYS523" s="1358"/>
      <c r="OYT523" s="1358"/>
      <c r="OYU523" s="1358"/>
      <c r="OYV523" s="1358"/>
      <c r="OYW523" s="1358"/>
      <c r="OYX523" s="1358"/>
      <c r="OYY523" s="1358"/>
      <c r="OYZ523" s="1358"/>
      <c r="OZA523" s="1358"/>
      <c r="OZB523" s="1358"/>
      <c r="OZC523" s="1358"/>
      <c r="OZD523" s="1358"/>
      <c r="OZE523" s="1358"/>
      <c r="OZF523" s="1358"/>
      <c r="OZG523" s="1358"/>
      <c r="OZH523" s="1358"/>
      <c r="OZI523" s="1358"/>
      <c r="OZJ523" s="1358"/>
      <c r="OZK523" s="1358"/>
      <c r="OZL523" s="1358"/>
      <c r="OZM523" s="1358"/>
      <c r="OZN523" s="1358"/>
      <c r="OZO523" s="1358"/>
      <c r="OZP523" s="1358"/>
      <c r="OZQ523" s="1358"/>
      <c r="OZR523" s="1358"/>
      <c r="OZS523" s="1358"/>
      <c r="OZT523" s="1358"/>
      <c r="OZU523" s="1358"/>
      <c r="OZV523" s="1358"/>
      <c r="OZW523" s="1358"/>
      <c r="OZX523" s="1358"/>
      <c r="OZY523" s="1358"/>
      <c r="OZZ523" s="1358"/>
      <c r="PAA523" s="1358"/>
      <c r="PAB523" s="1358"/>
      <c r="PAC523" s="1358"/>
      <c r="PAD523" s="1358"/>
      <c r="PAE523" s="1358"/>
      <c r="PAF523" s="1358"/>
      <c r="PAG523" s="1358"/>
      <c r="PAH523" s="1358"/>
      <c r="PAI523" s="1358"/>
      <c r="PAJ523" s="1358"/>
      <c r="PAK523" s="1358"/>
      <c r="PAL523" s="1358"/>
      <c r="PAM523" s="1358"/>
      <c r="PAN523" s="1358"/>
      <c r="PAO523" s="1358"/>
      <c r="PAP523" s="1358"/>
      <c r="PAQ523" s="1358"/>
      <c r="PAR523" s="1358"/>
      <c r="PAS523" s="1358"/>
      <c r="PAT523" s="1358"/>
      <c r="PAU523" s="1358"/>
      <c r="PAV523" s="1358"/>
      <c r="PAW523" s="1358"/>
      <c r="PAX523" s="1358"/>
      <c r="PAY523" s="1358"/>
      <c r="PAZ523" s="1358"/>
      <c r="PBA523" s="1358"/>
      <c r="PBB523" s="1358"/>
      <c r="PBC523" s="1358"/>
      <c r="PBD523" s="1358"/>
      <c r="PBE523" s="1358"/>
      <c r="PBF523" s="1358"/>
      <c r="PBG523" s="1358"/>
      <c r="PBH523" s="1358"/>
      <c r="PBI523" s="1358"/>
      <c r="PBJ523" s="1358"/>
      <c r="PBK523" s="1358"/>
      <c r="PBL523" s="1358"/>
      <c r="PBM523" s="1358"/>
      <c r="PBN523" s="1358"/>
      <c r="PBO523" s="1358"/>
      <c r="PBP523" s="1358"/>
      <c r="PBQ523" s="1358"/>
      <c r="PBR523" s="1358"/>
      <c r="PBS523" s="1358"/>
      <c r="PBT523" s="1358"/>
      <c r="PBU523" s="1358"/>
      <c r="PBV523" s="1358"/>
      <c r="PBW523" s="1358"/>
      <c r="PBX523" s="1358"/>
      <c r="PBY523" s="1358"/>
      <c r="PBZ523" s="1358"/>
      <c r="PCA523" s="1358"/>
      <c r="PCB523" s="1358"/>
      <c r="PCC523" s="1358"/>
      <c r="PCD523" s="1358"/>
      <c r="PCE523" s="1358"/>
      <c r="PCF523" s="1358"/>
      <c r="PCG523" s="1358"/>
      <c r="PCH523" s="1358"/>
      <c r="PCI523" s="1358"/>
      <c r="PCJ523" s="1358"/>
      <c r="PCK523" s="1358"/>
      <c r="PCL523" s="1358"/>
      <c r="PCM523" s="1358"/>
      <c r="PCN523" s="1358"/>
      <c r="PCO523" s="1358"/>
      <c r="PCP523" s="1358"/>
      <c r="PCQ523" s="1358"/>
      <c r="PCR523" s="1358"/>
      <c r="PCS523" s="1358"/>
      <c r="PCT523" s="1358"/>
      <c r="PCU523" s="1358"/>
      <c r="PCV523" s="1358"/>
      <c r="PCW523" s="1358"/>
      <c r="PCX523" s="1358"/>
      <c r="PCY523" s="1358"/>
      <c r="PCZ523" s="1358"/>
      <c r="PDA523" s="1358"/>
      <c r="PDB523" s="1358"/>
      <c r="PDC523" s="1358"/>
      <c r="PDD523" s="1358"/>
      <c r="PDE523" s="1358"/>
      <c r="PDF523" s="1358"/>
      <c r="PDG523" s="1358"/>
      <c r="PDH523" s="1358"/>
      <c r="PDI523" s="1358"/>
      <c r="PDJ523" s="1358"/>
      <c r="PDK523" s="1358"/>
      <c r="PDL523" s="1358"/>
      <c r="PDM523" s="1358"/>
      <c r="PDN523" s="1358"/>
      <c r="PDO523" s="1358"/>
      <c r="PDP523" s="1358"/>
      <c r="PDQ523" s="1358"/>
      <c r="PDR523" s="1358"/>
      <c r="PDS523" s="1358"/>
      <c r="PDT523" s="1358"/>
      <c r="PDU523" s="1358"/>
      <c r="PDV523" s="1358"/>
      <c r="PDW523" s="1358"/>
      <c r="PDX523" s="1358"/>
      <c r="PDY523" s="1358"/>
      <c r="PDZ523" s="1358"/>
      <c r="PEA523" s="1358"/>
      <c r="PEB523" s="1358"/>
      <c r="PEC523" s="1358"/>
      <c r="PED523" s="1358"/>
      <c r="PEE523" s="1358"/>
      <c r="PEF523" s="1358"/>
      <c r="PEG523" s="1358"/>
      <c r="PEH523" s="1358"/>
      <c r="PEI523" s="1358"/>
      <c r="PEJ523" s="1358"/>
      <c r="PEK523" s="1358"/>
      <c r="PEL523" s="1358"/>
      <c r="PEM523" s="1358"/>
      <c r="PEN523" s="1358"/>
      <c r="PEO523" s="1358"/>
      <c r="PEP523" s="1358"/>
      <c r="PEQ523" s="1358"/>
      <c r="PER523" s="1358"/>
      <c r="PES523" s="1358"/>
      <c r="PET523" s="1358"/>
      <c r="PEU523" s="1358"/>
      <c r="PEV523" s="1358"/>
      <c r="PEW523" s="1358"/>
      <c r="PEX523" s="1358"/>
      <c r="PEY523" s="1358"/>
      <c r="PEZ523" s="1358"/>
      <c r="PFA523" s="1358"/>
      <c r="PFB523" s="1358"/>
      <c r="PFC523" s="1358"/>
      <c r="PFD523" s="1358"/>
      <c r="PFE523" s="1358"/>
      <c r="PFF523" s="1358"/>
      <c r="PFG523" s="1358"/>
      <c r="PFH523" s="1358"/>
      <c r="PFI523" s="1358"/>
      <c r="PFJ523" s="1358"/>
      <c r="PFK523" s="1358"/>
      <c r="PFL523" s="1358"/>
      <c r="PFM523" s="1358"/>
      <c r="PFN523" s="1358"/>
      <c r="PFO523" s="1358"/>
      <c r="PFP523" s="1358"/>
      <c r="PFQ523" s="1358"/>
      <c r="PFR523" s="1358"/>
      <c r="PFS523" s="1358"/>
      <c r="PFT523" s="1358"/>
      <c r="PFU523" s="1358"/>
      <c r="PFV523" s="1358"/>
      <c r="PFW523" s="1358"/>
      <c r="PFX523" s="1358"/>
      <c r="PFY523" s="1358"/>
      <c r="PFZ523" s="1358"/>
      <c r="PGA523" s="1358"/>
      <c r="PGB523" s="1358"/>
      <c r="PGC523" s="1358"/>
      <c r="PGD523" s="1358"/>
      <c r="PGE523" s="1358"/>
      <c r="PGF523" s="1358"/>
      <c r="PGG523" s="1358"/>
      <c r="PGH523" s="1358"/>
      <c r="PGI523" s="1358"/>
      <c r="PGJ523" s="1358"/>
      <c r="PGK523" s="1358"/>
      <c r="PGL523" s="1358"/>
      <c r="PGM523" s="1358"/>
      <c r="PGN523" s="1358"/>
      <c r="PGO523" s="1358"/>
      <c r="PGP523" s="1358"/>
      <c r="PGQ523" s="1358"/>
      <c r="PGR523" s="1358"/>
      <c r="PGS523" s="1358"/>
      <c r="PGT523" s="1358"/>
      <c r="PGU523" s="1358"/>
      <c r="PGV523" s="1358"/>
      <c r="PGW523" s="1358"/>
      <c r="PGX523" s="1358"/>
      <c r="PGY523" s="1358"/>
      <c r="PGZ523" s="1358"/>
      <c r="PHA523" s="1358"/>
      <c r="PHB523" s="1358"/>
      <c r="PHC523" s="1358"/>
      <c r="PHD523" s="1358"/>
      <c r="PHE523" s="1358"/>
      <c r="PHF523" s="1358"/>
      <c r="PHG523" s="1358"/>
      <c r="PHH523" s="1358"/>
      <c r="PHI523" s="1358"/>
      <c r="PHJ523" s="1358"/>
      <c r="PHK523" s="1358"/>
      <c r="PHL523" s="1358"/>
      <c r="PHM523" s="1358"/>
      <c r="PHN523" s="1358"/>
      <c r="PHO523" s="1358"/>
      <c r="PHP523" s="1358"/>
      <c r="PHQ523" s="1358"/>
      <c r="PHR523" s="1358"/>
      <c r="PHS523" s="1358"/>
      <c r="PHT523" s="1358"/>
      <c r="PHU523" s="1358"/>
      <c r="PHV523" s="1358"/>
      <c r="PHW523" s="1358"/>
      <c r="PHX523" s="1358"/>
      <c r="PHY523" s="1358"/>
      <c r="PHZ523" s="1358"/>
      <c r="PIA523" s="1358"/>
      <c r="PIB523" s="1358"/>
      <c r="PIC523" s="1358"/>
      <c r="PID523" s="1358"/>
      <c r="PIE523" s="1358"/>
      <c r="PIF523" s="1358"/>
      <c r="PIG523" s="1358"/>
      <c r="PIH523" s="1358"/>
      <c r="PII523" s="1358"/>
      <c r="PIJ523" s="1358"/>
      <c r="PIK523" s="1358"/>
      <c r="PIL523" s="1358"/>
      <c r="PIM523" s="1358"/>
      <c r="PIN523" s="1358"/>
      <c r="PIO523" s="1358"/>
      <c r="PIP523" s="1358"/>
      <c r="PIQ523" s="1358"/>
      <c r="PIR523" s="1358"/>
      <c r="PIS523" s="1358"/>
      <c r="PIT523" s="1358"/>
      <c r="PIU523" s="1358"/>
      <c r="PIV523" s="1358"/>
      <c r="PIW523" s="1358"/>
      <c r="PIX523" s="1358"/>
      <c r="PIY523" s="1358"/>
      <c r="PIZ523" s="1358"/>
      <c r="PJA523" s="1358"/>
      <c r="PJB523" s="1358"/>
      <c r="PJC523" s="1358"/>
      <c r="PJD523" s="1358"/>
      <c r="PJE523" s="1358"/>
      <c r="PJF523" s="1358"/>
      <c r="PJG523" s="1358"/>
      <c r="PJH523" s="1358"/>
      <c r="PJI523" s="1358"/>
      <c r="PJJ523" s="1358"/>
      <c r="PJK523" s="1358"/>
      <c r="PJL523" s="1358"/>
      <c r="PJM523" s="1358"/>
      <c r="PJN523" s="1358"/>
      <c r="PJO523" s="1358"/>
      <c r="PJP523" s="1358"/>
      <c r="PJQ523" s="1358"/>
      <c r="PJR523" s="1358"/>
      <c r="PJS523" s="1358"/>
      <c r="PJT523" s="1358"/>
      <c r="PJU523" s="1358"/>
      <c r="PJV523" s="1358"/>
      <c r="PJW523" s="1358"/>
      <c r="PJX523" s="1358"/>
      <c r="PJY523" s="1358"/>
      <c r="PJZ523" s="1358"/>
      <c r="PKA523" s="1358"/>
      <c r="PKB523" s="1358"/>
      <c r="PKC523" s="1358"/>
      <c r="PKD523" s="1358"/>
      <c r="PKE523" s="1358"/>
      <c r="PKF523" s="1358"/>
      <c r="PKG523" s="1358"/>
      <c r="PKH523" s="1358"/>
      <c r="PKI523" s="1358"/>
      <c r="PKJ523" s="1358"/>
      <c r="PKK523" s="1358"/>
      <c r="PKL523" s="1358"/>
      <c r="PKM523" s="1358"/>
      <c r="PKN523" s="1358"/>
      <c r="PKO523" s="1358"/>
      <c r="PKP523" s="1358"/>
      <c r="PKQ523" s="1358"/>
      <c r="PKR523" s="1358"/>
      <c r="PKS523" s="1358"/>
      <c r="PKT523" s="1358"/>
      <c r="PKU523" s="1358"/>
      <c r="PKV523" s="1358"/>
      <c r="PKW523" s="1358"/>
      <c r="PKX523" s="1358"/>
      <c r="PKY523" s="1358"/>
      <c r="PKZ523" s="1358"/>
      <c r="PLA523" s="1358"/>
      <c r="PLB523" s="1358"/>
      <c r="PLC523" s="1358"/>
      <c r="PLD523" s="1358"/>
      <c r="PLE523" s="1358"/>
      <c r="PLF523" s="1358"/>
      <c r="PLG523" s="1358"/>
      <c r="PLH523" s="1358"/>
      <c r="PLI523" s="1358"/>
      <c r="PLJ523" s="1358"/>
      <c r="PLK523" s="1358"/>
      <c r="PLL523" s="1358"/>
      <c r="PLM523" s="1358"/>
      <c r="PLN523" s="1358"/>
      <c r="PLO523" s="1358"/>
      <c r="PLP523" s="1358"/>
      <c r="PLQ523" s="1358"/>
      <c r="PLR523" s="1358"/>
      <c r="PLS523" s="1358"/>
      <c r="PLT523" s="1358"/>
      <c r="PLU523" s="1358"/>
      <c r="PLV523" s="1358"/>
      <c r="PLW523" s="1358"/>
      <c r="PLX523" s="1358"/>
      <c r="PLY523" s="1358"/>
      <c r="PLZ523" s="1358"/>
      <c r="PMA523" s="1358"/>
      <c r="PMB523" s="1358"/>
      <c r="PMC523" s="1358"/>
      <c r="PMD523" s="1358"/>
      <c r="PME523" s="1358"/>
      <c r="PMF523" s="1358"/>
      <c r="PMG523" s="1358"/>
      <c r="PMH523" s="1358"/>
      <c r="PMI523" s="1358"/>
      <c r="PMJ523" s="1358"/>
      <c r="PMK523" s="1358"/>
      <c r="PML523" s="1358"/>
      <c r="PMM523" s="1358"/>
      <c r="PMN523" s="1358"/>
      <c r="PMO523" s="1358"/>
      <c r="PMP523" s="1358"/>
      <c r="PMQ523" s="1358"/>
      <c r="PMR523" s="1358"/>
      <c r="PMS523" s="1358"/>
      <c r="PMT523" s="1358"/>
      <c r="PMU523" s="1358"/>
      <c r="PMV523" s="1358"/>
      <c r="PMW523" s="1358"/>
      <c r="PMX523" s="1358"/>
      <c r="PMY523" s="1358"/>
      <c r="PMZ523" s="1358"/>
      <c r="PNA523" s="1358"/>
      <c r="PNB523" s="1358"/>
      <c r="PNC523" s="1358"/>
      <c r="PND523" s="1358"/>
      <c r="PNE523" s="1358"/>
      <c r="PNF523" s="1358"/>
      <c r="PNG523" s="1358"/>
      <c r="PNH523" s="1358"/>
      <c r="PNI523" s="1358"/>
      <c r="PNJ523" s="1358"/>
      <c r="PNK523" s="1358"/>
      <c r="PNL523" s="1358"/>
      <c r="PNM523" s="1358"/>
      <c r="PNN523" s="1358"/>
      <c r="PNO523" s="1358"/>
      <c r="PNP523" s="1358"/>
      <c r="PNQ523" s="1358"/>
      <c r="PNR523" s="1358"/>
      <c r="PNS523" s="1358"/>
      <c r="PNT523" s="1358"/>
      <c r="PNU523" s="1358"/>
      <c r="PNV523" s="1358"/>
      <c r="PNW523" s="1358"/>
      <c r="PNX523" s="1358"/>
      <c r="PNY523" s="1358"/>
      <c r="PNZ523" s="1358"/>
      <c r="POA523" s="1358"/>
      <c r="POB523" s="1358"/>
      <c r="POC523" s="1358"/>
      <c r="POD523" s="1358"/>
      <c r="POE523" s="1358"/>
      <c r="POF523" s="1358"/>
      <c r="POG523" s="1358"/>
      <c r="POH523" s="1358"/>
      <c r="POI523" s="1358"/>
      <c r="POJ523" s="1358"/>
      <c r="POK523" s="1358"/>
      <c r="POL523" s="1358"/>
      <c r="POM523" s="1358"/>
      <c r="PON523" s="1358"/>
      <c r="POO523" s="1358"/>
      <c r="POP523" s="1358"/>
      <c r="POQ523" s="1358"/>
      <c r="POR523" s="1358"/>
      <c r="POS523" s="1358"/>
      <c r="POT523" s="1358"/>
      <c r="POU523" s="1358"/>
      <c r="POV523" s="1358"/>
      <c r="POW523" s="1358"/>
      <c r="POX523" s="1358"/>
      <c r="POY523" s="1358"/>
      <c r="POZ523" s="1358"/>
      <c r="PPA523" s="1358"/>
      <c r="PPB523" s="1358"/>
      <c r="PPC523" s="1358"/>
      <c r="PPD523" s="1358"/>
      <c r="PPE523" s="1358"/>
      <c r="PPF523" s="1358"/>
      <c r="PPG523" s="1358"/>
      <c r="PPH523" s="1358"/>
      <c r="PPI523" s="1358"/>
      <c r="PPJ523" s="1358"/>
      <c r="PPK523" s="1358"/>
      <c r="PPL523" s="1358"/>
      <c r="PPM523" s="1358"/>
      <c r="PPN523" s="1358"/>
      <c r="PPO523" s="1358"/>
      <c r="PPP523" s="1358"/>
      <c r="PPQ523" s="1358"/>
      <c r="PPR523" s="1358"/>
      <c r="PPS523" s="1358"/>
      <c r="PPT523" s="1358"/>
      <c r="PPU523" s="1358"/>
      <c r="PPV523" s="1358"/>
      <c r="PPW523" s="1358"/>
      <c r="PPX523" s="1358"/>
      <c r="PPY523" s="1358"/>
      <c r="PPZ523" s="1358"/>
      <c r="PQA523" s="1358"/>
      <c r="PQB523" s="1358"/>
      <c r="PQC523" s="1358"/>
      <c r="PQD523" s="1358"/>
      <c r="PQE523" s="1358"/>
      <c r="PQF523" s="1358"/>
      <c r="PQG523" s="1358"/>
      <c r="PQH523" s="1358"/>
      <c r="PQI523" s="1358"/>
      <c r="PQJ523" s="1358"/>
      <c r="PQK523" s="1358"/>
      <c r="PQL523" s="1358"/>
      <c r="PQM523" s="1358"/>
      <c r="PQN523" s="1358"/>
      <c r="PQO523" s="1358"/>
      <c r="PQP523" s="1358"/>
      <c r="PQQ523" s="1358"/>
      <c r="PQR523" s="1358"/>
      <c r="PQS523" s="1358"/>
      <c r="PQT523" s="1358"/>
      <c r="PQU523" s="1358"/>
      <c r="PQV523" s="1358"/>
      <c r="PQW523" s="1358"/>
      <c r="PQX523" s="1358"/>
      <c r="PQY523" s="1358"/>
      <c r="PQZ523" s="1358"/>
      <c r="PRA523" s="1358"/>
      <c r="PRB523" s="1358"/>
      <c r="PRC523" s="1358"/>
      <c r="PRD523" s="1358"/>
      <c r="PRE523" s="1358"/>
      <c r="PRF523" s="1358"/>
      <c r="PRG523" s="1358"/>
      <c r="PRH523" s="1358"/>
      <c r="PRI523" s="1358"/>
      <c r="PRJ523" s="1358"/>
      <c r="PRK523" s="1358"/>
      <c r="PRL523" s="1358"/>
      <c r="PRM523" s="1358"/>
      <c r="PRN523" s="1358"/>
      <c r="PRO523" s="1358"/>
      <c r="PRP523" s="1358"/>
      <c r="PRQ523" s="1358"/>
      <c r="PRR523" s="1358"/>
      <c r="PRS523" s="1358"/>
      <c r="PRT523" s="1358"/>
      <c r="PRU523" s="1358"/>
      <c r="PRV523" s="1358"/>
      <c r="PRW523" s="1358"/>
      <c r="PRX523" s="1358"/>
      <c r="PRY523" s="1358"/>
      <c r="PRZ523" s="1358"/>
      <c r="PSA523" s="1358"/>
      <c r="PSB523" s="1358"/>
      <c r="PSC523" s="1358"/>
      <c r="PSD523" s="1358"/>
      <c r="PSE523" s="1358"/>
      <c r="PSF523" s="1358"/>
      <c r="PSG523" s="1358"/>
      <c r="PSH523" s="1358"/>
      <c r="PSI523" s="1358"/>
      <c r="PSJ523" s="1358"/>
      <c r="PSK523" s="1358"/>
      <c r="PSL523" s="1358"/>
      <c r="PSM523" s="1358"/>
      <c r="PSN523" s="1358"/>
      <c r="PSO523" s="1358"/>
      <c r="PSP523" s="1358"/>
      <c r="PSQ523" s="1358"/>
      <c r="PSR523" s="1358"/>
      <c r="PSS523" s="1358"/>
      <c r="PST523" s="1358"/>
      <c r="PSU523" s="1358"/>
      <c r="PSV523" s="1358"/>
      <c r="PSW523" s="1358"/>
      <c r="PSX523" s="1358"/>
      <c r="PSY523" s="1358"/>
      <c r="PSZ523" s="1358"/>
      <c r="PTA523" s="1358"/>
      <c r="PTB523" s="1358"/>
      <c r="PTC523" s="1358"/>
      <c r="PTD523" s="1358"/>
      <c r="PTE523" s="1358"/>
      <c r="PTF523" s="1358"/>
      <c r="PTG523" s="1358"/>
      <c r="PTH523" s="1358"/>
      <c r="PTI523" s="1358"/>
      <c r="PTJ523" s="1358"/>
      <c r="PTK523" s="1358"/>
      <c r="PTL523" s="1358"/>
      <c r="PTM523" s="1358"/>
      <c r="PTN523" s="1358"/>
      <c r="PTO523" s="1358"/>
      <c r="PTP523" s="1358"/>
      <c r="PTQ523" s="1358"/>
      <c r="PTR523" s="1358"/>
      <c r="PTS523" s="1358"/>
      <c r="PTT523" s="1358"/>
      <c r="PTU523" s="1358"/>
      <c r="PTV523" s="1358"/>
      <c r="PTW523" s="1358"/>
      <c r="PTX523" s="1358"/>
      <c r="PTY523" s="1358"/>
      <c r="PTZ523" s="1358"/>
      <c r="PUA523" s="1358"/>
      <c r="PUB523" s="1358"/>
      <c r="PUC523" s="1358"/>
      <c r="PUD523" s="1358"/>
      <c r="PUE523" s="1358"/>
      <c r="PUF523" s="1358"/>
      <c r="PUG523" s="1358"/>
      <c r="PUH523" s="1358"/>
      <c r="PUI523" s="1358"/>
      <c r="PUJ523" s="1358"/>
      <c r="PUK523" s="1358"/>
      <c r="PUL523" s="1358"/>
      <c r="PUM523" s="1358"/>
      <c r="PUN523" s="1358"/>
      <c r="PUO523" s="1358"/>
      <c r="PUP523" s="1358"/>
      <c r="PUQ523" s="1358"/>
      <c r="PUR523" s="1358"/>
      <c r="PUS523" s="1358"/>
      <c r="PUT523" s="1358"/>
      <c r="PUU523" s="1358"/>
      <c r="PUV523" s="1358"/>
      <c r="PUW523" s="1358"/>
      <c r="PUX523" s="1358"/>
      <c r="PUY523" s="1358"/>
      <c r="PUZ523" s="1358"/>
      <c r="PVA523" s="1358"/>
      <c r="PVB523" s="1358"/>
      <c r="PVC523" s="1358"/>
      <c r="PVD523" s="1358"/>
      <c r="PVE523" s="1358"/>
      <c r="PVF523" s="1358"/>
      <c r="PVG523" s="1358"/>
      <c r="PVH523" s="1358"/>
      <c r="PVI523" s="1358"/>
      <c r="PVJ523" s="1358"/>
      <c r="PVK523" s="1358"/>
      <c r="PVL523" s="1358"/>
      <c r="PVM523" s="1358"/>
      <c r="PVN523" s="1358"/>
      <c r="PVO523" s="1358"/>
      <c r="PVP523" s="1358"/>
      <c r="PVQ523" s="1358"/>
      <c r="PVR523" s="1358"/>
      <c r="PVS523" s="1358"/>
      <c r="PVT523" s="1358"/>
      <c r="PVU523" s="1358"/>
      <c r="PVV523" s="1358"/>
      <c r="PVW523" s="1358"/>
      <c r="PVX523" s="1358"/>
      <c r="PVY523" s="1358"/>
      <c r="PVZ523" s="1358"/>
      <c r="PWA523" s="1358"/>
      <c r="PWB523" s="1358"/>
      <c r="PWC523" s="1358"/>
      <c r="PWD523" s="1358"/>
      <c r="PWE523" s="1358"/>
      <c r="PWF523" s="1358"/>
      <c r="PWG523" s="1358"/>
      <c r="PWH523" s="1358"/>
      <c r="PWI523" s="1358"/>
      <c r="PWJ523" s="1358"/>
      <c r="PWK523" s="1358"/>
      <c r="PWL523" s="1358"/>
      <c r="PWM523" s="1358"/>
      <c r="PWN523" s="1358"/>
      <c r="PWO523" s="1358"/>
      <c r="PWP523" s="1358"/>
      <c r="PWQ523" s="1358"/>
      <c r="PWR523" s="1358"/>
      <c r="PWS523" s="1358"/>
      <c r="PWT523" s="1358"/>
      <c r="PWU523" s="1358"/>
      <c r="PWV523" s="1358"/>
      <c r="PWW523" s="1358"/>
      <c r="PWX523" s="1358"/>
      <c r="PWY523" s="1358"/>
      <c r="PWZ523" s="1358"/>
      <c r="PXA523" s="1358"/>
      <c r="PXB523" s="1358"/>
      <c r="PXC523" s="1358"/>
      <c r="PXD523" s="1358"/>
      <c r="PXE523" s="1358"/>
      <c r="PXF523" s="1358"/>
      <c r="PXG523" s="1358"/>
      <c r="PXH523" s="1358"/>
      <c r="PXI523" s="1358"/>
      <c r="PXJ523" s="1358"/>
      <c r="PXK523" s="1358"/>
      <c r="PXL523" s="1358"/>
      <c r="PXM523" s="1358"/>
      <c r="PXN523" s="1358"/>
      <c r="PXO523" s="1358"/>
      <c r="PXP523" s="1358"/>
      <c r="PXQ523" s="1358"/>
      <c r="PXR523" s="1358"/>
      <c r="PXS523" s="1358"/>
      <c r="PXT523" s="1358"/>
      <c r="PXU523" s="1358"/>
      <c r="PXV523" s="1358"/>
      <c r="PXW523" s="1358"/>
      <c r="PXX523" s="1358"/>
      <c r="PXY523" s="1358"/>
      <c r="PXZ523" s="1358"/>
      <c r="PYA523" s="1358"/>
      <c r="PYB523" s="1358"/>
      <c r="PYC523" s="1358"/>
      <c r="PYD523" s="1358"/>
      <c r="PYE523" s="1358"/>
      <c r="PYF523" s="1358"/>
      <c r="PYG523" s="1358"/>
      <c r="PYH523" s="1358"/>
      <c r="PYI523" s="1358"/>
      <c r="PYJ523" s="1358"/>
      <c r="PYK523" s="1358"/>
      <c r="PYL523" s="1358"/>
      <c r="PYM523" s="1358"/>
      <c r="PYN523" s="1358"/>
      <c r="PYO523" s="1358"/>
      <c r="PYP523" s="1358"/>
      <c r="PYQ523" s="1358"/>
      <c r="PYR523" s="1358"/>
      <c r="PYS523" s="1358"/>
      <c r="PYT523" s="1358"/>
      <c r="PYU523" s="1358"/>
      <c r="PYV523" s="1358"/>
      <c r="PYW523" s="1358"/>
      <c r="PYX523" s="1358"/>
      <c r="PYY523" s="1358"/>
      <c r="PYZ523" s="1358"/>
      <c r="PZA523" s="1358"/>
      <c r="PZB523" s="1358"/>
      <c r="PZC523" s="1358"/>
      <c r="PZD523" s="1358"/>
      <c r="PZE523" s="1358"/>
      <c r="PZF523" s="1358"/>
      <c r="PZG523" s="1358"/>
      <c r="PZH523" s="1358"/>
      <c r="PZI523" s="1358"/>
      <c r="PZJ523" s="1358"/>
      <c r="PZK523" s="1358"/>
      <c r="PZL523" s="1358"/>
      <c r="PZM523" s="1358"/>
      <c r="PZN523" s="1358"/>
      <c r="PZO523" s="1358"/>
      <c r="PZP523" s="1358"/>
      <c r="PZQ523" s="1358"/>
      <c r="PZR523" s="1358"/>
      <c r="PZS523" s="1358"/>
      <c r="PZT523" s="1358"/>
      <c r="PZU523" s="1358"/>
      <c r="PZV523" s="1358"/>
      <c r="PZW523" s="1358"/>
      <c r="PZX523" s="1358"/>
      <c r="PZY523" s="1358"/>
      <c r="PZZ523" s="1358"/>
      <c r="QAA523" s="1358"/>
      <c r="QAB523" s="1358"/>
      <c r="QAC523" s="1358"/>
      <c r="QAD523" s="1358"/>
      <c r="QAE523" s="1358"/>
      <c r="QAF523" s="1358"/>
      <c r="QAG523" s="1358"/>
      <c r="QAH523" s="1358"/>
      <c r="QAI523" s="1358"/>
      <c r="QAJ523" s="1358"/>
      <c r="QAK523" s="1358"/>
      <c r="QAL523" s="1358"/>
      <c r="QAM523" s="1358"/>
      <c r="QAN523" s="1358"/>
      <c r="QAO523" s="1358"/>
      <c r="QAP523" s="1358"/>
      <c r="QAQ523" s="1358"/>
      <c r="QAR523" s="1358"/>
      <c r="QAS523" s="1358"/>
      <c r="QAT523" s="1358"/>
      <c r="QAU523" s="1358"/>
      <c r="QAV523" s="1358"/>
      <c r="QAW523" s="1358"/>
      <c r="QAX523" s="1358"/>
      <c r="QAY523" s="1358"/>
      <c r="QAZ523" s="1358"/>
      <c r="QBA523" s="1358"/>
      <c r="QBB523" s="1358"/>
      <c r="QBC523" s="1358"/>
      <c r="QBD523" s="1358"/>
      <c r="QBE523" s="1358"/>
      <c r="QBF523" s="1358"/>
      <c r="QBG523" s="1358"/>
      <c r="QBH523" s="1358"/>
      <c r="QBI523" s="1358"/>
      <c r="QBJ523" s="1358"/>
      <c r="QBK523" s="1358"/>
      <c r="QBL523" s="1358"/>
      <c r="QBM523" s="1358"/>
      <c r="QBN523" s="1358"/>
      <c r="QBO523" s="1358"/>
      <c r="QBP523" s="1358"/>
      <c r="QBQ523" s="1358"/>
      <c r="QBR523" s="1358"/>
      <c r="QBS523" s="1358"/>
      <c r="QBT523" s="1358"/>
      <c r="QBU523" s="1358"/>
      <c r="QBV523" s="1358"/>
      <c r="QBW523" s="1358"/>
      <c r="QBX523" s="1358"/>
      <c r="QBY523" s="1358"/>
      <c r="QBZ523" s="1358"/>
      <c r="QCA523" s="1358"/>
      <c r="QCB523" s="1358"/>
      <c r="QCC523" s="1358"/>
      <c r="QCD523" s="1358"/>
      <c r="QCE523" s="1358"/>
      <c r="QCF523" s="1358"/>
      <c r="QCG523" s="1358"/>
      <c r="QCH523" s="1358"/>
      <c r="QCI523" s="1358"/>
      <c r="QCJ523" s="1358"/>
      <c r="QCK523" s="1358"/>
      <c r="QCL523" s="1358"/>
      <c r="QCM523" s="1358"/>
      <c r="QCN523" s="1358"/>
      <c r="QCO523" s="1358"/>
      <c r="QCP523" s="1358"/>
      <c r="QCQ523" s="1358"/>
      <c r="QCR523" s="1358"/>
      <c r="QCS523" s="1358"/>
      <c r="QCT523" s="1358"/>
      <c r="QCU523" s="1358"/>
      <c r="QCV523" s="1358"/>
      <c r="QCW523" s="1358"/>
      <c r="QCX523" s="1358"/>
      <c r="QCY523" s="1358"/>
      <c r="QCZ523" s="1358"/>
      <c r="QDA523" s="1358"/>
      <c r="QDB523" s="1358"/>
      <c r="QDC523" s="1358"/>
      <c r="QDD523" s="1358"/>
      <c r="QDE523" s="1358"/>
      <c r="QDF523" s="1358"/>
      <c r="QDG523" s="1358"/>
      <c r="QDH523" s="1358"/>
      <c r="QDI523" s="1358"/>
      <c r="QDJ523" s="1358"/>
      <c r="QDK523" s="1358"/>
      <c r="QDL523" s="1358"/>
      <c r="QDM523" s="1358"/>
      <c r="QDN523" s="1358"/>
      <c r="QDO523" s="1358"/>
      <c r="QDP523" s="1358"/>
      <c r="QDQ523" s="1358"/>
      <c r="QDR523" s="1358"/>
      <c r="QDS523" s="1358"/>
      <c r="QDT523" s="1358"/>
      <c r="QDU523" s="1358"/>
      <c r="QDV523" s="1358"/>
      <c r="QDW523" s="1358"/>
      <c r="QDX523" s="1358"/>
      <c r="QDY523" s="1358"/>
      <c r="QDZ523" s="1358"/>
      <c r="QEA523" s="1358"/>
      <c r="QEB523" s="1358"/>
      <c r="QEC523" s="1358"/>
      <c r="QED523" s="1358"/>
      <c r="QEE523" s="1358"/>
      <c r="QEF523" s="1358"/>
      <c r="QEG523" s="1358"/>
      <c r="QEH523" s="1358"/>
      <c r="QEI523" s="1358"/>
      <c r="QEJ523" s="1358"/>
      <c r="QEK523" s="1358"/>
      <c r="QEL523" s="1358"/>
      <c r="QEM523" s="1358"/>
      <c r="QEN523" s="1358"/>
      <c r="QEO523" s="1358"/>
      <c r="QEP523" s="1358"/>
      <c r="QEQ523" s="1358"/>
      <c r="QER523" s="1358"/>
      <c r="QES523" s="1358"/>
      <c r="QET523" s="1358"/>
      <c r="QEU523" s="1358"/>
      <c r="QEV523" s="1358"/>
      <c r="QEW523" s="1358"/>
      <c r="QEX523" s="1358"/>
      <c r="QEY523" s="1358"/>
      <c r="QEZ523" s="1358"/>
      <c r="QFA523" s="1358"/>
      <c r="QFB523" s="1358"/>
      <c r="QFC523" s="1358"/>
      <c r="QFD523" s="1358"/>
      <c r="QFE523" s="1358"/>
      <c r="QFF523" s="1358"/>
      <c r="QFG523" s="1358"/>
      <c r="QFH523" s="1358"/>
      <c r="QFI523" s="1358"/>
      <c r="QFJ523" s="1358"/>
      <c r="QFK523" s="1358"/>
      <c r="QFL523" s="1358"/>
      <c r="QFM523" s="1358"/>
      <c r="QFN523" s="1358"/>
      <c r="QFO523" s="1358"/>
      <c r="QFP523" s="1358"/>
      <c r="QFQ523" s="1358"/>
      <c r="QFR523" s="1358"/>
      <c r="QFS523" s="1358"/>
      <c r="QFT523" s="1358"/>
      <c r="QFU523" s="1358"/>
      <c r="QFV523" s="1358"/>
      <c r="QFW523" s="1358"/>
      <c r="QFX523" s="1358"/>
      <c r="QFY523" s="1358"/>
      <c r="QFZ523" s="1358"/>
      <c r="QGA523" s="1358"/>
      <c r="QGB523" s="1358"/>
      <c r="QGC523" s="1358"/>
      <c r="QGD523" s="1358"/>
      <c r="QGE523" s="1358"/>
      <c r="QGF523" s="1358"/>
      <c r="QGG523" s="1358"/>
      <c r="QGH523" s="1358"/>
      <c r="QGI523" s="1358"/>
      <c r="QGJ523" s="1358"/>
      <c r="QGK523" s="1358"/>
      <c r="QGL523" s="1358"/>
      <c r="QGM523" s="1358"/>
      <c r="QGN523" s="1358"/>
      <c r="QGO523" s="1358"/>
      <c r="QGP523" s="1358"/>
      <c r="QGQ523" s="1358"/>
      <c r="QGR523" s="1358"/>
      <c r="QGS523" s="1358"/>
      <c r="QGT523" s="1358"/>
      <c r="QGU523" s="1358"/>
      <c r="QGV523" s="1358"/>
      <c r="QGW523" s="1358"/>
      <c r="QGX523" s="1358"/>
      <c r="QGY523" s="1358"/>
      <c r="QGZ523" s="1358"/>
      <c r="QHA523" s="1358"/>
      <c r="QHB523" s="1358"/>
      <c r="QHC523" s="1358"/>
      <c r="QHD523" s="1358"/>
      <c r="QHE523" s="1358"/>
      <c r="QHF523" s="1358"/>
      <c r="QHG523" s="1358"/>
      <c r="QHH523" s="1358"/>
      <c r="QHI523" s="1358"/>
      <c r="QHJ523" s="1358"/>
      <c r="QHK523" s="1358"/>
      <c r="QHL523" s="1358"/>
      <c r="QHM523" s="1358"/>
      <c r="QHN523" s="1358"/>
      <c r="QHO523" s="1358"/>
      <c r="QHP523" s="1358"/>
      <c r="QHQ523" s="1358"/>
      <c r="QHR523" s="1358"/>
      <c r="QHS523" s="1358"/>
      <c r="QHT523" s="1358"/>
      <c r="QHU523" s="1358"/>
      <c r="QHV523" s="1358"/>
      <c r="QHW523" s="1358"/>
      <c r="QHX523" s="1358"/>
      <c r="QHY523" s="1358"/>
      <c r="QHZ523" s="1358"/>
      <c r="QIA523" s="1358"/>
      <c r="QIB523" s="1358"/>
      <c r="QIC523" s="1358"/>
      <c r="QID523" s="1358"/>
      <c r="QIE523" s="1358"/>
      <c r="QIF523" s="1358"/>
      <c r="QIG523" s="1358"/>
      <c r="QIH523" s="1358"/>
      <c r="QII523" s="1358"/>
      <c r="QIJ523" s="1358"/>
      <c r="QIK523" s="1358"/>
      <c r="QIL523" s="1358"/>
      <c r="QIM523" s="1358"/>
      <c r="QIN523" s="1358"/>
      <c r="QIO523" s="1358"/>
      <c r="QIP523" s="1358"/>
      <c r="QIQ523" s="1358"/>
      <c r="QIR523" s="1358"/>
      <c r="QIS523" s="1358"/>
      <c r="QIT523" s="1358"/>
      <c r="QIU523" s="1358"/>
      <c r="QIV523" s="1358"/>
      <c r="QIW523" s="1358"/>
      <c r="QIX523" s="1358"/>
      <c r="QIY523" s="1358"/>
      <c r="QIZ523" s="1358"/>
      <c r="QJA523" s="1358"/>
      <c r="QJB523" s="1358"/>
      <c r="QJC523" s="1358"/>
      <c r="QJD523" s="1358"/>
      <c r="QJE523" s="1358"/>
      <c r="QJF523" s="1358"/>
      <c r="QJG523" s="1358"/>
      <c r="QJH523" s="1358"/>
      <c r="QJI523" s="1358"/>
      <c r="QJJ523" s="1358"/>
      <c r="QJK523" s="1358"/>
      <c r="QJL523" s="1358"/>
      <c r="QJM523" s="1358"/>
      <c r="QJN523" s="1358"/>
      <c r="QJO523" s="1358"/>
      <c r="QJP523" s="1358"/>
      <c r="QJQ523" s="1358"/>
      <c r="QJR523" s="1358"/>
      <c r="QJS523" s="1358"/>
      <c r="QJT523" s="1358"/>
      <c r="QJU523" s="1358"/>
      <c r="QJV523" s="1358"/>
      <c r="QJW523" s="1358"/>
      <c r="QJX523" s="1358"/>
      <c r="QJY523" s="1358"/>
      <c r="QJZ523" s="1358"/>
      <c r="QKA523" s="1358"/>
      <c r="QKB523" s="1358"/>
      <c r="QKC523" s="1358"/>
      <c r="QKD523" s="1358"/>
      <c r="QKE523" s="1358"/>
      <c r="QKF523" s="1358"/>
      <c r="QKG523" s="1358"/>
      <c r="QKH523" s="1358"/>
      <c r="QKI523" s="1358"/>
      <c r="QKJ523" s="1358"/>
      <c r="QKK523" s="1358"/>
      <c r="QKL523" s="1358"/>
      <c r="QKM523" s="1358"/>
      <c r="QKN523" s="1358"/>
      <c r="QKO523" s="1358"/>
      <c r="QKP523" s="1358"/>
      <c r="QKQ523" s="1358"/>
      <c r="QKR523" s="1358"/>
      <c r="QKS523" s="1358"/>
      <c r="QKT523" s="1358"/>
      <c r="QKU523" s="1358"/>
      <c r="QKV523" s="1358"/>
      <c r="QKW523" s="1358"/>
      <c r="QKX523" s="1358"/>
      <c r="QKY523" s="1358"/>
      <c r="QKZ523" s="1358"/>
      <c r="QLA523" s="1358"/>
      <c r="QLB523" s="1358"/>
      <c r="QLC523" s="1358"/>
      <c r="QLD523" s="1358"/>
      <c r="QLE523" s="1358"/>
      <c r="QLF523" s="1358"/>
      <c r="QLG523" s="1358"/>
      <c r="QLH523" s="1358"/>
      <c r="QLI523" s="1358"/>
      <c r="QLJ523" s="1358"/>
      <c r="QLK523" s="1358"/>
      <c r="QLL523" s="1358"/>
      <c r="QLM523" s="1358"/>
      <c r="QLN523" s="1358"/>
      <c r="QLO523" s="1358"/>
      <c r="QLP523" s="1358"/>
      <c r="QLQ523" s="1358"/>
      <c r="QLR523" s="1358"/>
      <c r="QLS523" s="1358"/>
      <c r="QLT523" s="1358"/>
      <c r="QLU523" s="1358"/>
      <c r="QLV523" s="1358"/>
      <c r="QLW523" s="1358"/>
      <c r="QLX523" s="1358"/>
      <c r="QLY523" s="1358"/>
      <c r="QLZ523" s="1358"/>
      <c r="QMA523" s="1358"/>
      <c r="QMB523" s="1358"/>
      <c r="QMC523" s="1358"/>
      <c r="QMD523" s="1358"/>
      <c r="QME523" s="1358"/>
      <c r="QMF523" s="1358"/>
      <c r="QMG523" s="1358"/>
      <c r="QMH523" s="1358"/>
      <c r="QMI523" s="1358"/>
      <c r="QMJ523" s="1358"/>
      <c r="QMK523" s="1358"/>
      <c r="QML523" s="1358"/>
      <c r="QMM523" s="1358"/>
      <c r="QMN523" s="1358"/>
      <c r="QMO523" s="1358"/>
      <c r="QMP523" s="1358"/>
      <c r="QMQ523" s="1358"/>
      <c r="QMR523" s="1358"/>
      <c r="QMS523" s="1358"/>
      <c r="QMT523" s="1358"/>
      <c r="QMU523" s="1358"/>
      <c r="QMV523" s="1358"/>
      <c r="QMW523" s="1358"/>
      <c r="QMX523" s="1358"/>
      <c r="QMY523" s="1358"/>
      <c r="QMZ523" s="1358"/>
      <c r="QNA523" s="1358"/>
      <c r="QNB523" s="1358"/>
      <c r="QNC523" s="1358"/>
      <c r="QND523" s="1358"/>
      <c r="QNE523" s="1358"/>
      <c r="QNF523" s="1358"/>
      <c r="QNG523" s="1358"/>
      <c r="QNH523" s="1358"/>
      <c r="QNI523" s="1358"/>
      <c r="QNJ523" s="1358"/>
      <c r="QNK523" s="1358"/>
      <c r="QNL523" s="1358"/>
      <c r="QNM523" s="1358"/>
      <c r="QNN523" s="1358"/>
      <c r="QNO523" s="1358"/>
      <c r="QNP523" s="1358"/>
      <c r="QNQ523" s="1358"/>
      <c r="QNR523" s="1358"/>
      <c r="QNS523" s="1358"/>
      <c r="QNT523" s="1358"/>
      <c r="QNU523" s="1358"/>
      <c r="QNV523" s="1358"/>
      <c r="QNW523" s="1358"/>
      <c r="QNX523" s="1358"/>
      <c r="QNY523" s="1358"/>
      <c r="QNZ523" s="1358"/>
      <c r="QOA523" s="1358"/>
      <c r="QOB523" s="1358"/>
      <c r="QOC523" s="1358"/>
      <c r="QOD523" s="1358"/>
      <c r="QOE523" s="1358"/>
      <c r="QOF523" s="1358"/>
      <c r="QOG523" s="1358"/>
      <c r="QOH523" s="1358"/>
      <c r="QOI523" s="1358"/>
      <c r="QOJ523" s="1358"/>
      <c r="QOK523" s="1358"/>
      <c r="QOL523" s="1358"/>
      <c r="QOM523" s="1358"/>
      <c r="QON523" s="1358"/>
      <c r="QOO523" s="1358"/>
      <c r="QOP523" s="1358"/>
      <c r="QOQ523" s="1358"/>
      <c r="QOR523" s="1358"/>
      <c r="QOS523" s="1358"/>
      <c r="QOT523" s="1358"/>
      <c r="QOU523" s="1358"/>
      <c r="QOV523" s="1358"/>
      <c r="QOW523" s="1358"/>
      <c r="QOX523" s="1358"/>
      <c r="QOY523" s="1358"/>
      <c r="QOZ523" s="1358"/>
      <c r="QPA523" s="1358"/>
      <c r="QPB523" s="1358"/>
      <c r="QPC523" s="1358"/>
      <c r="QPD523" s="1358"/>
      <c r="QPE523" s="1358"/>
      <c r="QPF523" s="1358"/>
      <c r="QPG523" s="1358"/>
      <c r="QPH523" s="1358"/>
      <c r="QPI523" s="1358"/>
      <c r="QPJ523" s="1358"/>
      <c r="QPK523" s="1358"/>
      <c r="QPL523" s="1358"/>
      <c r="QPM523" s="1358"/>
      <c r="QPN523" s="1358"/>
      <c r="QPO523" s="1358"/>
      <c r="QPP523" s="1358"/>
      <c r="QPQ523" s="1358"/>
      <c r="QPR523" s="1358"/>
      <c r="QPS523" s="1358"/>
      <c r="QPT523" s="1358"/>
      <c r="QPU523" s="1358"/>
      <c r="QPV523" s="1358"/>
      <c r="QPW523" s="1358"/>
      <c r="QPX523" s="1358"/>
      <c r="QPY523" s="1358"/>
      <c r="QPZ523" s="1358"/>
      <c r="QQA523" s="1358"/>
      <c r="QQB523" s="1358"/>
      <c r="QQC523" s="1358"/>
      <c r="QQD523" s="1358"/>
      <c r="QQE523" s="1358"/>
      <c r="QQF523" s="1358"/>
      <c r="QQG523" s="1358"/>
      <c r="QQH523" s="1358"/>
      <c r="QQI523" s="1358"/>
      <c r="QQJ523" s="1358"/>
      <c r="QQK523" s="1358"/>
      <c r="QQL523" s="1358"/>
      <c r="QQM523" s="1358"/>
      <c r="QQN523" s="1358"/>
      <c r="QQO523" s="1358"/>
      <c r="QQP523" s="1358"/>
      <c r="QQQ523" s="1358"/>
      <c r="QQR523" s="1358"/>
      <c r="QQS523" s="1358"/>
      <c r="QQT523" s="1358"/>
      <c r="QQU523" s="1358"/>
      <c r="QQV523" s="1358"/>
      <c r="QQW523" s="1358"/>
      <c r="QQX523" s="1358"/>
      <c r="QQY523" s="1358"/>
      <c r="QQZ523" s="1358"/>
      <c r="QRA523" s="1358"/>
      <c r="QRB523" s="1358"/>
      <c r="QRC523" s="1358"/>
      <c r="QRD523" s="1358"/>
      <c r="QRE523" s="1358"/>
      <c r="QRF523" s="1358"/>
      <c r="QRG523" s="1358"/>
      <c r="QRH523" s="1358"/>
      <c r="QRI523" s="1358"/>
      <c r="QRJ523" s="1358"/>
      <c r="QRK523" s="1358"/>
      <c r="QRL523" s="1358"/>
      <c r="QRM523" s="1358"/>
      <c r="QRN523" s="1358"/>
      <c r="QRO523" s="1358"/>
      <c r="QRP523" s="1358"/>
      <c r="QRQ523" s="1358"/>
      <c r="QRR523" s="1358"/>
      <c r="QRS523" s="1358"/>
      <c r="QRT523" s="1358"/>
      <c r="QRU523" s="1358"/>
      <c r="QRV523" s="1358"/>
      <c r="QRW523" s="1358"/>
      <c r="QRX523" s="1358"/>
      <c r="QRY523" s="1358"/>
      <c r="QRZ523" s="1358"/>
      <c r="QSA523" s="1358"/>
      <c r="QSB523" s="1358"/>
      <c r="QSC523" s="1358"/>
      <c r="QSD523" s="1358"/>
      <c r="QSE523" s="1358"/>
      <c r="QSF523" s="1358"/>
      <c r="QSG523" s="1358"/>
      <c r="QSH523" s="1358"/>
      <c r="QSI523" s="1358"/>
      <c r="QSJ523" s="1358"/>
      <c r="QSK523" s="1358"/>
      <c r="QSL523" s="1358"/>
      <c r="QSM523" s="1358"/>
      <c r="QSN523" s="1358"/>
      <c r="QSO523" s="1358"/>
      <c r="QSP523" s="1358"/>
      <c r="QSQ523" s="1358"/>
      <c r="QSR523" s="1358"/>
      <c r="QSS523" s="1358"/>
      <c r="QST523" s="1358"/>
      <c r="QSU523" s="1358"/>
      <c r="QSV523" s="1358"/>
      <c r="QSW523" s="1358"/>
      <c r="QSX523" s="1358"/>
      <c r="QSY523" s="1358"/>
      <c r="QSZ523" s="1358"/>
      <c r="QTA523" s="1358"/>
      <c r="QTB523" s="1358"/>
      <c r="QTC523" s="1358"/>
      <c r="QTD523" s="1358"/>
      <c r="QTE523" s="1358"/>
      <c r="QTF523" s="1358"/>
      <c r="QTG523" s="1358"/>
      <c r="QTH523" s="1358"/>
      <c r="QTI523" s="1358"/>
      <c r="QTJ523" s="1358"/>
      <c r="QTK523" s="1358"/>
      <c r="QTL523" s="1358"/>
      <c r="QTM523" s="1358"/>
      <c r="QTN523" s="1358"/>
      <c r="QTO523" s="1358"/>
      <c r="QTP523" s="1358"/>
      <c r="QTQ523" s="1358"/>
      <c r="QTR523" s="1358"/>
      <c r="QTS523" s="1358"/>
      <c r="QTT523" s="1358"/>
      <c r="QTU523" s="1358"/>
      <c r="QTV523" s="1358"/>
      <c r="QTW523" s="1358"/>
      <c r="QTX523" s="1358"/>
      <c r="QTY523" s="1358"/>
      <c r="QTZ523" s="1358"/>
      <c r="QUA523" s="1358"/>
      <c r="QUB523" s="1358"/>
      <c r="QUC523" s="1358"/>
      <c r="QUD523" s="1358"/>
      <c r="QUE523" s="1358"/>
      <c r="QUF523" s="1358"/>
      <c r="QUG523" s="1358"/>
      <c r="QUH523" s="1358"/>
      <c r="QUI523" s="1358"/>
      <c r="QUJ523" s="1358"/>
      <c r="QUK523" s="1358"/>
      <c r="QUL523" s="1358"/>
      <c r="QUM523" s="1358"/>
      <c r="QUN523" s="1358"/>
      <c r="QUO523" s="1358"/>
      <c r="QUP523" s="1358"/>
      <c r="QUQ523" s="1358"/>
      <c r="QUR523" s="1358"/>
      <c r="QUS523" s="1358"/>
      <c r="QUT523" s="1358"/>
      <c r="QUU523" s="1358"/>
      <c r="QUV523" s="1358"/>
      <c r="QUW523" s="1358"/>
      <c r="QUX523" s="1358"/>
      <c r="QUY523" s="1358"/>
      <c r="QUZ523" s="1358"/>
      <c r="QVA523" s="1358"/>
      <c r="QVB523" s="1358"/>
      <c r="QVC523" s="1358"/>
      <c r="QVD523" s="1358"/>
      <c r="QVE523" s="1358"/>
      <c r="QVF523" s="1358"/>
      <c r="QVG523" s="1358"/>
      <c r="QVH523" s="1358"/>
      <c r="QVI523" s="1358"/>
      <c r="QVJ523" s="1358"/>
      <c r="QVK523" s="1358"/>
      <c r="QVL523" s="1358"/>
      <c r="QVM523" s="1358"/>
      <c r="QVN523" s="1358"/>
      <c r="QVO523" s="1358"/>
      <c r="QVP523" s="1358"/>
      <c r="QVQ523" s="1358"/>
      <c r="QVR523" s="1358"/>
      <c r="QVS523" s="1358"/>
      <c r="QVT523" s="1358"/>
      <c r="QVU523" s="1358"/>
      <c r="QVV523" s="1358"/>
      <c r="QVW523" s="1358"/>
      <c r="QVX523" s="1358"/>
      <c r="QVY523" s="1358"/>
      <c r="QVZ523" s="1358"/>
      <c r="QWA523" s="1358"/>
      <c r="QWB523" s="1358"/>
      <c r="QWC523" s="1358"/>
      <c r="QWD523" s="1358"/>
      <c r="QWE523" s="1358"/>
      <c r="QWF523" s="1358"/>
      <c r="QWG523" s="1358"/>
      <c r="QWH523" s="1358"/>
      <c r="QWI523" s="1358"/>
      <c r="QWJ523" s="1358"/>
      <c r="QWK523" s="1358"/>
      <c r="QWL523" s="1358"/>
      <c r="QWM523" s="1358"/>
      <c r="QWN523" s="1358"/>
      <c r="QWO523" s="1358"/>
      <c r="QWP523" s="1358"/>
      <c r="QWQ523" s="1358"/>
      <c r="QWR523" s="1358"/>
      <c r="QWS523" s="1358"/>
      <c r="QWT523" s="1358"/>
      <c r="QWU523" s="1358"/>
      <c r="QWV523" s="1358"/>
      <c r="QWW523" s="1358"/>
      <c r="QWX523" s="1358"/>
      <c r="QWY523" s="1358"/>
      <c r="QWZ523" s="1358"/>
      <c r="QXA523" s="1358"/>
      <c r="QXB523" s="1358"/>
      <c r="QXC523" s="1358"/>
      <c r="QXD523" s="1358"/>
      <c r="QXE523" s="1358"/>
      <c r="QXF523" s="1358"/>
      <c r="QXG523" s="1358"/>
      <c r="QXH523" s="1358"/>
      <c r="QXI523" s="1358"/>
      <c r="QXJ523" s="1358"/>
      <c r="QXK523" s="1358"/>
      <c r="QXL523" s="1358"/>
      <c r="QXM523" s="1358"/>
      <c r="QXN523" s="1358"/>
      <c r="QXO523" s="1358"/>
      <c r="QXP523" s="1358"/>
      <c r="QXQ523" s="1358"/>
      <c r="QXR523" s="1358"/>
      <c r="QXS523" s="1358"/>
      <c r="QXT523" s="1358"/>
      <c r="QXU523" s="1358"/>
      <c r="QXV523" s="1358"/>
      <c r="QXW523" s="1358"/>
      <c r="QXX523" s="1358"/>
      <c r="QXY523" s="1358"/>
      <c r="QXZ523" s="1358"/>
      <c r="QYA523" s="1358"/>
      <c r="QYB523" s="1358"/>
      <c r="QYC523" s="1358"/>
      <c r="QYD523" s="1358"/>
      <c r="QYE523" s="1358"/>
      <c r="QYF523" s="1358"/>
      <c r="QYG523" s="1358"/>
      <c r="QYH523" s="1358"/>
      <c r="QYI523" s="1358"/>
      <c r="QYJ523" s="1358"/>
      <c r="QYK523" s="1358"/>
      <c r="QYL523" s="1358"/>
      <c r="QYM523" s="1358"/>
      <c r="QYN523" s="1358"/>
      <c r="QYO523" s="1358"/>
      <c r="QYP523" s="1358"/>
      <c r="QYQ523" s="1358"/>
      <c r="QYR523" s="1358"/>
      <c r="QYS523" s="1358"/>
      <c r="QYT523" s="1358"/>
      <c r="QYU523" s="1358"/>
      <c r="QYV523" s="1358"/>
      <c r="QYW523" s="1358"/>
      <c r="QYX523" s="1358"/>
      <c r="QYY523" s="1358"/>
      <c r="QYZ523" s="1358"/>
      <c r="QZA523" s="1358"/>
      <c r="QZB523" s="1358"/>
      <c r="QZC523" s="1358"/>
      <c r="QZD523" s="1358"/>
      <c r="QZE523" s="1358"/>
      <c r="QZF523" s="1358"/>
      <c r="QZG523" s="1358"/>
      <c r="QZH523" s="1358"/>
      <c r="QZI523" s="1358"/>
      <c r="QZJ523" s="1358"/>
      <c r="QZK523" s="1358"/>
      <c r="QZL523" s="1358"/>
      <c r="QZM523" s="1358"/>
      <c r="QZN523" s="1358"/>
      <c r="QZO523" s="1358"/>
      <c r="QZP523" s="1358"/>
      <c r="QZQ523" s="1358"/>
      <c r="QZR523" s="1358"/>
      <c r="QZS523" s="1358"/>
      <c r="QZT523" s="1358"/>
      <c r="QZU523" s="1358"/>
      <c r="QZV523" s="1358"/>
      <c r="QZW523" s="1358"/>
      <c r="QZX523" s="1358"/>
      <c r="QZY523" s="1358"/>
      <c r="QZZ523" s="1358"/>
      <c r="RAA523" s="1358"/>
      <c r="RAB523" s="1358"/>
      <c r="RAC523" s="1358"/>
      <c r="RAD523" s="1358"/>
      <c r="RAE523" s="1358"/>
      <c r="RAF523" s="1358"/>
      <c r="RAG523" s="1358"/>
      <c r="RAH523" s="1358"/>
      <c r="RAI523" s="1358"/>
      <c r="RAJ523" s="1358"/>
      <c r="RAK523" s="1358"/>
      <c r="RAL523" s="1358"/>
      <c r="RAM523" s="1358"/>
      <c r="RAN523" s="1358"/>
      <c r="RAO523" s="1358"/>
      <c r="RAP523" s="1358"/>
      <c r="RAQ523" s="1358"/>
      <c r="RAR523" s="1358"/>
      <c r="RAS523" s="1358"/>
      <c r="RAT523" s="1358"/>
      <c r="RAU523" s="1358"/>
      <c r="RAV523" s="1358"/>
      <c r="RAW523" s="1358"/>
      <c r="RAX523" s="1358"/>
      <c r="RAY523" s="1358"/>
      <c r="RAZ523" s="1358"/>
      <c r="RBA523" s="1358"/>
      <c r="RBB523" s="1358"/>
      <c r="RBC523" s="1358"/>
      <c r="RBD523" s="1358"/>
      <c r="RBE523" s="1358"/>
      <c r="RBF523" s="1358"/>
      <c r="RBG523" s="1358"/>
      <c r="RBH523" s="1358"/>
      <c r="RBI523" s="1358"/>
      <c r="RBJ523" s="1358"/>
      <c r="RBK523" s="1358"/>
      <c r="RBL523" s="1358"/>
      <c r="RBM523" s="1358"/>
      <c r="RBN523" s="1358"/>
      <c r="RBO523" s="1358"/>
      <c r="RBP523" s="1358"/>
      <c r="RBQ523" s="1358"/>
      <c r="RBR523" s="1358"/>
      <c r="RBS523" s="1358"/>
      <c r="RBT523" s="1358"/>
      <c r="RBU523" s="1358"/>
      <c r="RBV523" s="1358"/>
      <c r="RBW523" s="1358"/>
      <c r="RBX523" s="1358"/>
      <c r="RBY523" s="1358"/>
      <c r="RBZ523" s="1358"/>
      <c r="RCA523" s="1358"/>
      <c r="RCB523" s="1358"/>
      <c r="RCC523" s="1358"/>
      <c r="RCD523" s="1358"/>
      <c r="RCE523" s="1358"/>
      <c r="RCF523" s="1358"/>
      <c r="RCG523" s="1358"/>
      <c r="RCH523" s="1358"/>
      <c r="RCI523" s="1358"/>
      <c r="RCJ523" s="1358"/>
      <c r="RCK523" s="1358"/>
      <c r="RCL523" s="1358"/>
      <c r="RCM523" s="1358"/>
      <c r="RCN523" s="1358"/>
      <c r="RCO523" s="1358"/>
      <c r="RCP523" s="1358"/>
      <c r="RCQ523" s="1358"/>
      <c r="RCR523" s="1358"/>
      <c r="RCS523" s="1358"/>
      <c r="RCT523" s="1358"/>
      <c r="RCU523" s="1358"/>
      <c r="RCV523" s="1358"/>
      <c r="RCW523" s="1358"/>
      <c r="RCX523" s="1358"/>
      <c r="RCY523" s="1358"/>
      <c r="RCZ523" s="1358"/>
      <c r="RDA523" s="1358"/>
      <c r="RDB523" s="1358"/>
      <c r="RDC523" s="1358"/>
      <c r="RDD523" s="1358"/>
      <c r="RDE523" s="1358"/>
      <c r="RDF523" s="1358"/>
      <c r="RDG523" s="1358"/>
      <c r="RDH523" s="1358"/>
      <c r="RDI523" s="1358"/>
      <c r="RDJ523" s="1358"/>
      <c r="RDK523" s="1358"/>
      <c r="RDL523" s="1358"/>
      <c r="RDM523" s="1358"/>
      <c r="RDN523" s="1358"/>
      <c r="RDO523" s="1358"/>
      <c r="RDP523" s="1358"/>
      <c r="RDQ523" s="1358"/>
      <c r="RDR523" s="1358"/>
      <c r="RDS523" s="1358"/>
      <c r="RDT523" s="1358"/>
      <c r="RDU523" s="1358"/>
      <c r="RDV523" s="1358"/>
      <c r="RDW523" s="1358"/>
      <c r="RDX523" s="1358"/>
      <c r="RDY523" s="1358"/>
      <c r="RDZ523" s="1358"/>
      <c r="REA523" s="1358"/>
      <c r="REB523" s="1358"/>
      <c r="REC523" s="1358"/>
      <c r="RED523" s="1358"/>
      <c r="REE523" s="1358"/>
      <c r="REF523" s="1358"/>
      <c r="REG523" s="1358"/>
      <c r="REH523" s="1358"/>
      <c r="REI523" s="1358"/>
      <c r="REJ523" s="1358"/>
      <c r="REK523" s="1358"/>
      <c r="REL523" s="1358"/>
      <c r="REM523" s="1358"/>
      <c r="REN523" s="1358"/>
      <c r="REO523" s="1358"/>
      <c r="REP523" s="1358"/>
      <c r="REQ523" s="1358"/>
      <c r="RER523" s="1358"/>
      <c r="RES523" s="1358"/>
      <c r="RET523" s="1358"/>
      <c r="REU523" s="1358"/>
      <c r="REV523" s="1358"/>
      <c r="REW523" s="1358"/>
      <c r="REX523" s="1358"/>
      <c r="REY523" s="1358"/>
      <c r="REZ523" s="1358"/>
      <c r="RFA523" s="1358"/>
      <c r="RFB523" s="1358"/>
      <c r="RFC523" s="1358"/>
      <c r="RFD523" s="1358"/>
      <c r="RFE523" s="1358"/>
      <c r="RFF523" s="1358"/>
      <c r="RFG523" s="1358"/>
      <c r="RFH523" s="1358"/>
      <c r="RFI523" s="1358"/>
      <c r="RFJ523" s="1358"/>
      <c r="RFK523" s="1358"/>
      <c r="RFL523" s="1358"/>
      <c r="RFM523" s="1358"/>
      <c r="RFN523" s="1358"/>
      <c r="RFO523" s="1358"/>
      <c r="RFP523" s="1358"/>
      <c r="RFQ523" s="1358"/>
      <c r="RFR523" s="1358"/>
      <c r="RFS523" s="1358"/>
      <c r="RFT523" s="1358"/>
      <c r="RFU523" s="1358"/>
      <c r="RFV523" s="1358"/>
      <c r="RFW523" s="1358"/>
      <c r="RFX523" s="1358"/>
      <c r="RFY523" s="1358"/>
      <c r="RFZ523" s="1358"/>
      <c r="RGA523" s="1358"/>
      <c r="RGB523" s="1358"/>
      <c r="RGC523" s="1358"/>
      <c r="RGD523" s="1358"/>
      <c r="RGE523" s="1358"/>
      <c r="RGF523" s="1358"/>
      <c r="RGG523" s="1358"/>
      <c r="RGH523" s="1358"/>
      <c r="RGI523" s="1358"/>
      <c r="RGJ523" s="1358"/>
      <c r="RGK523" s="1358"/>
      <c r="RGL523" s="1358"/>
      <c r="RGM523" s="1358"/>
      <c r="RGN523" s="1358"/>
      <c r="RGO523" s="1358"/>
      <c r="RGP523" s="1358"/>
      <c r="RGQ523" s="1358"/>
      <c r="RGR523" s="1358"/>
      <c r="RGS523" s="1358"/>
      <c r="RGT523" s="1358"/>
      <c r="RGU523" s="1358"/>
      <c r="RGV523" s="1358"/>
      <c r="RGW523" s="1358"/>
      <c r="RGX523" s="1358"/>
      <c r="RGY523" s="1358"/>
      <c r="RGZ523" s="1358"/>
      <c r="RHA523" s="1358"/>
      <c r="RHB523" s="1358"/>
      <c r="RHC523" s="1358"/>
      <c r="RHD523" s="1358"/>
      <c r="RHE523" s="1358"/>
      <c r="RHF523" s="1358"/>
      <c r="RHG523" s="1358"/>
      <c r="RHH523" s="1358"/>
      <c r="RHI523" s="1358"/>
      <c r="RHJ523" s="1358"/>
      <c r="RHK523" s="1358"/>
      <c r="RHL523" s="1358"/>
      <c r="RHM523" s="1358"/>
      <c r="RHN523" s="1358"/>
      <c r="RHO523" s="1358"/>
      <c r="RHP523" s="1358"/>
      <c r="RHQ523" s="1358"/>
      <c r="RHR523" s="1358"/>
      <c r="RHS523" s="1358"/>
      <c r="RHT523" s="1358"/>
      <c r="RHU523" s="1358"/>
      <c r="RHV523" s="1358"/>
      <c r="RHW523" s="1358"/>
      <c r="RHX523" s="1358"/>
      <c r="RHY523" s="1358"/>
      <c r="RHZ523" s="1358"/>
      <c r="RIA523" s="1358"/>
      <c r="RIB523" s="1358"/>
      <c r="RIC523" s="1358"/>
      <c r="RID523" s="1358"/>
      <c r="RIE523" s="1358"/>
      <c r="RIF523" s="1358"/>
      <c r="RIG523" s="1358"/>
      <c r="RIH523" s="1358"/>
      <c r="RII523" s="1358"/>
      <c r="RIJ523" s="1358"/>
      <c r="RIK523" s="1358"/>
      <c r="RIL523" s="1358"/>
      <c r="RIM523" s="1358"/>
      <c r="RIN523" s="1358"/>
      <c r="RIO523" s="1358"/>
      <c r="RIP523" s="1358"/>
      <c r="RIQ523" s="1358"/>
      <c r="RIR523" s="1358"/>
      <c r="RIS523" s="1358"/>
      <c r="RIT523" s="1358"/>
      <c r="RIU523" s="1358"/>
      <c r="RIV523" s="1358"/>
      <c r="RIW523" s="1358"/>
      <c r="RIX523" s="1358"/>
      <c r="RIY523" s="1358"/>
      <c r="RIZ523" s="1358"/>
      <c r="RJA523" s="1358"/>
      <c r="RJB523" s="1358"/>
      <c r="RJC523" s="1358"/>
      <c r="RJD523" s="1358"/>
      <c r="RJE523" s="1358"/>
      <c r="RJF523" s="1358"/>
      <c r="RJG523" s="1358"/>
      <c r="RJH523" s="1358"/>
      <c r="RJI523" s="1358"/>
      <c r="RJJ523" s="1358"/>
      <c r="RJK523" s="1358"/>
      <c r="RJL523" s="1358"/>
      <c r="RJM523" s="1358"/>
      <c r="RJN523" s="1358"/>
      <c r="RJO523" s="1358"/>
      <c r="RJP523" s="1358"/>
      <c r="RJQ523" s="1358"/>
      <c r="RJR523" s="1358"/>
      <c r="RJS523" s="1358"/>
      <c r="RJT523" s="1358"/>
      <c r="RJU523" s="1358"/>
      <c r="RJV523" s="1358"/>
      <c r="RJW523" s="1358"/>
      <c r="RJX523" s="1358"/>
      <c r="RJY523" s="1358"/>
      <c r="RJZ523" s="1358"/>
      <c r="RKA523" s="1358"/>
      <c r="RKB523" s="1358"/>
      <c r="RKC523" s="1358"/>
      <c r="RKD523" s="1358"/>
      <c r="RKE523" s="1358"/>
      <c r="RKF523" s="1358"/>
      <c r="RKG523" s="1358"/>
      <c r="RKH523" s="1358"/>
      <c r="RKI523" s="1358"/>
      <c r="RKJ523" s="1358"/>
      <c r="RKK523" s="1358"/>
      <c r="RKL523" s="1358"/>
      <c r="RKM523" s="1358"/>
      <c r="RKN523" s="1358"/>
      <c r="RKO523" s="1358"/>
      <c r="RKP523" s="1358"/>
      <c r="RKQ523" s="1358"/>
      <c r="RKR523" s="1358"/>
      <c r="RKS523" s="1358"/>
      <c r="RKT523" s="1358"/>
      <c r="RKU523" s="1358"/>
      <c r="RKV523" s="1358"/>
      <c r="RKW523" s="1358"/>
      <c r="RKX523" s="1358"/>
      <c r="RKY523" s="1358"/>
      <c r="RKZ523" s="1358"/>
      <c r="RLA523" s="1358"/>
      <c r="RLB523" s="1358"/>
      <c r="RLC523" s="1358"/>
      <c r="RLD523" s="1358"/>
      <c r="RLE523" s="1358"/>
      <c r="RLF523" s="1358"/>
      <c r="RLG523" s="1358"/>
      <c r="RLH523" s="1358"/>
      <c r="RLI523" s="1358"/>
      <c r="RLJ523" s="1358"/>
      <c r="RLK523" s="1358"/>
      <c r="RLL523" s="1358"/>
      <c r="RLM523" s="1358"/>
      <c r="RLN523" s="1358"/>
      <c r="RLO523" s="1358"/>
      <c r="RLP523" s="1358"/>
      <c r="RLQ523" s="1358"/>
      <c r="RLR523" s="1358"/>
      <c r="RLS523" s="1358"/>
      <c r="RLT523" s="1358"/>
      <c r="RLU523" s="1358"/>
      <c r="RLV523" s="1358"/>
      <c r="RLW523" s="1358"/>
      <c r="RLX523" s="1358"/>
      <c r="RLY523" s="1358"/>
      <c r="RLZ523" s="1358"/>
      <c r="RMA523" s="1358"/>
      <c r="RMB523" s="1358"/>
      <c r="RMC523" s="1358"/>
      <c r="RMD523" s="1358"/>
      <c r="RME523" s="1358"/>
      <c r="RMF523" s="1358"/>
      <c r="RMG523" s="1358"/>
      <c r="RMH523" s="1358"/>
      <c r="RMI523" s="1358"/>
      <c r="RMJ523" s="1358"/>
      <c r="RMK523" s="1358"/>
      <c r="RML523" s="1358"/>
      <c r="RMM523" s="1358"/>
      <c r="RMN523" s="1358"/>
      <c r="RMO523" s="1358"/>
      <c r="RMP523" s="1358"/>
      <c r="RMQ523" s="1358"/>
      <c r="RMR523" s="1358"/>
      <c r="RMS523" s="1358"/>
      <c r="RMT523" s="1358"/>
      <c r="RMU523" s="1358"/>
      <c r="RMV523" s="1358"/>
      <c r="RMW523" s="1358"/>
      <c r="RMX523" s="1358"/>
      <c r="RMY523" s="1358"/>
      <c r="RMZ523" s="1358"/>
      <c r="RNA523" s="1358"/>
      <c r="RNB523" s="1358"/>
      <c r="RNC523" s="1358"/>
      <c r="RND523" s="1358"/>
      <c r="RNE523" s="1358"/>
      <c r="RNF523" s="1358"/>
      <c r="RNG523" s="1358"/>
      <c r="RNH523" s="1358"/>
      <c r="RNI523" s="1358"/>
      <c r="RNJ523" s="1358"/>
      <c r="RNK523" s="1358"/>
      <c r="RNL523" s="1358"/>
      <c r="RNM523" s="1358"/>
      <c r="RNN523" s="1358"/>
      <c r="RNO523" s="1358"/>
      <c r="RNP523" s="1358"/>
      <c r="RNQ523" s="1358"/>
      <c r="RNR523" s="1358"/>
      <c r="RNS523" s="1358"/>
      <c r="RNT523" s="1358"/>
      <c r="RNU523" s="1358"/>
      <c r="RNV523" s="1358"/>
      <c r="RNW523" s="1358"/>
      <c r="RNX523" s="1358"/>
      <c r="RNY523" s="1358"/>
      <c r="RNZ523" s="1358"/>
      <c r="ROA523" s="1358"/>
      <c r="ROB523" s="1358"/>
      <c r="ROC523" s="1358"/>
      <c r="ROD523" s="1358"/>
      <c r="ROE523" s="1358"/>
      <c r="ROF523" s="1358"/>
      <c r="ROG523" s="1358"/>
      <c r="ROH523" s="1358"/>
      <c r="ROI523" s="1358"/>
      <c r="ROJ523" s="1358"/>
      <c r="ROK523" s="1358"/>
      <c r="ROL523" s="1358"/>
      <c r="ROM523" s="1358"/>
      <c r="RON523" s="1358"/>
      <c r="ROO523" s="1358"/>
      <c r="ROP523" s="1358"/>
      <c r="ROQ523" s="1358"/>
      <c r="ROR523" s="1358"/>
      <c r="ROS523" s="1358"/>
      <c r="ROT523" s="1358"/>
      <c r="ROU523" s="1358"/>
      <c r="ROV523" s="1358"/>
      <c r="ROW523" s="1358"/>
      <c r="ROX523" s="1358"/>
      <c r="ROY523" s="1358"/>
      <c r="ROZ523" s="1358"/>
      <c r="RPA523" s="1358"/>
      <c r="RPB523" s="1358"/>
      <c r="RPC523" s="1358"/>
      <c r="RPD523" s="1358"/>
      <c r="RPE523" s="1358"/>
      <c r="RPF523" s="1358"/>
      <c r="RPG523" s="1358"/>
      <c r="RPH523" s="1358"/>
      <c r="RPI523" s="1358"/>
      <c r="RPJ523" s="1358"/>
      <c r="RPK523" s="1358"/>
      <c r="RPL523" s="1358"/>
      <c r="RPM523" s="1358"/>
      <c r="RPN523" s="1358"/>
      <c r="RPO523" s="1358"/>
      <c r="RPP523" s="1358"/>
      <c r="RPQ523" s="1358"/>
      <c r="RPR523" s="1358"/>
      <c r="RPS523" s="1358"/>
      <c r="RPT523" s="1358"/>
      <c r="RPU523" s="1358"/>
      <c r="RPV523" s="1358"/>
      <c r="RPW523" s="1358"/>
      <c r="RPX523" s="1358"/>
      <c r="RPY523" s="1358"/>
      <c r="RPZ523" s="1358"/>
      <c r="RQA523" s="1358"/>
      <c r="RQB523" s="1358"/>
      <c r="RQC523" s="1358"/>
      <c r="RQD523" s="1358"/>
      <c r="RQE523" s="1358"/>
      <c r="RQF523" s="1358"/>
      <c r="RQG523" s="1358"/>
      <c r="RQH523" s="1358"/>
      <c r="RQI523" s="1358"/>
      <c r="RQJ523" s="1358"/>
      <c r="RQK523" s="1358"/>
      <c r="RQL523" s="1358"/>
      <c r="RQM523" s="1358"/>
      <c r="RQN523" s="1358"/>
      <c r="RQO523" s="1358"/>
      <c r="RQP523" s="1358"/>
      <c r="RQQ523" s="1358"/>
      <c r="RQR523" s="1358"/>
      <c r="RQS523" s="1358"/>
      <c r="RQT523" s="1358"/>
      <c r="RQU523" s="1358"/>
      <c r="RQV523" s="1358"/>
      <c r="RQW523" s="1358"/>
      <c r="RQX523" s="1358"/>
      <c r="RQY523" s="1358"/>
      <c r="RQZ523" s="1358"/>
      <c r="RRA523" s="1358"/>
      <c r="RRB523" s="1358"/>
      <c r="RRC523" s="1358"/>
      <c r="RRD523" s="1358"/>
      <c r="RRE523" s="1358"/>
      <c r="RRF523" s="1358"/>
      <c r="RRG523" s="1358"/>
      <c r="RRH523" s="1358"/>
      <c r="RRI523" s="1358"/>
      <c r="RRJ523" s="1358"/>
      <c r="RRK523" s="1358"/>
      <c r="RRL523" s="1358"/>
      <c r="RRM523" s="1358"/>
      <c r="RRN523" s="1358"/>
      <c r="RRO523" s="1358"/>
      <c r="RRP523" s="1358"/>
      <c r="RRQ523" s="1358"/>
      <c r="RRR523" s="1358"/>
      <c r="RRS523" s="1358"/>
      <c r="RRT523" s="1358"/>
      <c r="RRU523" s="1358"/>
      <c r="RRV523" s="1358"/>
      <c r="RRW523" s="1358"/>
      <c r="RRX523" s="1358"/>
      <c r="RRY523" s="1358"/>
      <c r="RRZ523" s="1358"/>
      <c r="RSA523" s="1358"/>
      <c r="RSB523" s="1358"/>
      <c r="RSC523" s="1358"/>
      <c r="RSD523" s="1358"/>
      <c r="RSE523" s="1358"/>
      <c r="RSF523" s="1358"/>
      <c r="RSG523" s="1358"/>
      <c r="RSH523" s="1358"/>
      <c r="RSI523" s="1358"/>
      <c r="RSJ523" s="1358"/>
      <c r="RSK523" s="1358"/>
      <c r="RSL523" s="1358"/>
      <c r="RSM523" s="1358"/>
      <c r="RSN523" s="1358"/>
      <c r="RSO523" s="1358"/>
      <c r="RSP523" s="1358"/>
      <c r="RSQ523" s="1358"/>
      <c r="RSR523" s="1358"/>
      <c r="RSS523" s="1358"/>
      <c r="RST523" s="1358"/>
      <c r="RSU523" s="1358"/>
      <c r="RSV523" s="1358"/>
      <c r="RSW523" s="1358"/>
      <c r="RSX523" s="1358"/>
      <c r="RSY523" s="1358"/>
      <c r="RSZ523" s="1358"/>
      <c r="RTA523" s="1358"/>
      <c r="RTB523" s="1358"/>
      <c r="RTC523" s="1358"/>
      <c r="RTD523" s="1358"/>
      <c r="RTE523" s="1358"/>
      <c r="RTF523" s="1358"/>
      <c r="RTG523" s="1358"/>
      <c r="RTH523" s="1358"/>
      <c r="RTI523" s="1358"/>
      <c r="RTJ523" s="1358"/>
      <c r="RTK523" s="1358"/>
      <c r="RTL523" s="1358"/>
      <c r="RTM523" s="1358"/>
      <c r="RTN523" s="1358"/>
      <c r="RTO523" s="1358"/>
      <c r="RTP523" s="1358"/>
      <c r="RTQ523" s="1358"/>
      <c r="RTR523" s="1358"/>
      <c r="RTS523" s="1358"/>
      <c r="RTT523" s="1358"/>
      <c r="RTU523" s="1358"/>
      <c r="RTV523" s="1358"/>
      <c r="RTW523" s="1358"/>
      <c r="RTX523" s="1358"/>
      <c r="RTY523" s="1358"/>
      <c r="RTZ523" s="1358"/>
      <c r="RUA523" s="1358"/>
      <c r="RUB523" s="1358"/>
      <c r="RUC523" s="1358"/>
      <c r="RUD523" s="1358"/>
      <c r="RUE523" s="1358"/>
      <c r="RUF523" s="1358"/>
      <c r="RUG523" s="1358"/>
      <c r="RUH523" s="1358"/>
      <c r="RUI523" s="1358"/>
      <c r="RUJ523" s="1358"/>
      <c r="RUK523" s="1358"/>
      <c r="RUL523" s="1358"/>
      <c r="RUM523" s="1358"/>
      <c r="RUN523" s="1358"/>
      <c r="RUO523" s="1358"/>
      <c r="RUP523" s="1358"/>
      <c r="RUQ523" s="1358"/>
      <c r="RUR523" s="1358"/>
      <c r="RUS523" s="1358"/>
      <c r="RUT523" s="1358"/>
      <c r="RUU523" s="1358"/>
      <c r="RUV523" s="1358"/>
      <c r="RUW523" s="1358"/>
      <c r="RUX523" s="1358"/>
      <c r="RUY523" s="1358"/>
      <c r="RUZ523" s="1358"/>
      <c r="RVA523" s="1358"/>
      <c r="RVB523" s="1358"/>
      <c r="RVC523" s="1358"/>
      <c r="RVD523" s="1358"/>
      <c r="RVE523" s="1358"/>
      <c r="RVF523" s="1358"/>
      <c r="RVG523" s="1358"/>
      <c r="RVH523" s="1358"/>
      <c r="RVI523" s="1358"/>
      <c r="RVJ523" s="1358"/>
      <c r="RVK523" s="1358"/>
      <c r="RVL523" s="1358"/>
      <c r="RVM523" s="1358"/>
      <c r="RVN523" s="1358"/>
      <c r="RVO523" s="1358"/>
      <c r="RVP523" s="1358"/>
      <c r="RVQ523" s="1358"/>
      <c r="RVR523" s="1358"/>
      <c r="RVS523" s="1358"/>
      <c r="RVT523" s="1358"/>
      <c r="RVU523" s="1358"/>
      <c r="RVV523" s="1358"/>
      <c r="RVW523" s="1358"/>
      <c r="RVX523" s="1358"/>
      <c r="RVY523" s="1358"/>
      <c r="RVZ523" s="1358"/>
      <c r="RWA523" s="1358"/>
      <c r="RWB523" s="1358"/>
      <c r="RWC523" s="1358"/>
      <c r="RWD523" s="1358"/>
      <c r="RWE523" s="1358"/>
      <c r="RWF523" s="1358"/>
      <c r="RWG523" s="1358"/>
      <c r="RWH523" s="1358"/>
      <c r="RWI523" s="1358"/>
      <c r="RWJ523" s="1358"/>
      <c r="RWK523" s="1358"/>
      <c r="RWL523" s="1358"/>
      <c r="RWM523" s="1358"/>
      <c r="RWN523" s="1358"/>
      <c r="RWO523" s="1358"/>
      <c r="RWP523" s="1358"/>
      <c r="RWQ523" s="1358"/>
      <c r="RWR523" s="1358"/>
      <c r="RWS523" s="1358"/>
      <c r="RWT523" s="1358"/>
      <c r="RWU523" s="1358"/>
      <c r="RWV523" s="1358"/>
      <c r="RWW523" s="1358"/>
      <c r="RWX523" s="1358"/>
      <c r="RWY523" s="1358"/>
      <c r="RWZ523" s="1358"/>
      <c r="RXA523" s="1358"/>
      <c r="RXB523" s="1358"/>
      <c r="RXC523" s="1358"/>
      <c r="RXD523" s="1358"/>
      <c r="RXE523" s="1358"/>
      <c r="RXF523" s="1358"/>
      <c r="RXG523" s="1358"/>
      <c r="RXH523" s="1358"/>
      <c r="RXI523" s="1358"/>
      <c r="RXJ523" s="1358"/>
      <c r="RXK523" s="1358"/>
      <c r="RXL523" s="1358"/>
      <c r="RXM523" s="1358"/>
      <c r="RXN523" s="1358"/>
      <c r="RXO523" s="1358"/>
      <c r="RXP523" s="1358"/>
      <c r="RXQ523" s="1358"/>
      <c r="RXR523" s="1358"/>
      <c r="RXS523" s="1358"/>
      <c r="RXT523" s="1358"/>
      <c r="RXU523" s="1358"/>
      <c r="RXV523" s="1358"/>
      <c r="RXW523" s="1358"/>
      <c r="RXX523" s="1358"/>
      <c r="RXY523" s="1358"/>
      <c r="RXZ523" s="1358"/>
      <c r="RYA523" s="1358"/>
      <c r="RYB523" s="1358"/>
      <c r="RYC523" s="1358"/>
      <c r="RYD523" s="1358"/>
      <c r="RYE523" s="1358"/>
      <c r="RYF523" s="1358"/>
      <c r="RYG523" s="1358"/>
      <c r="RYH523" s="1358"/>
      <c r="RYI523" s="1358"/>
      <c r="RYJ523" s="1358"/>
      <c r="RYK523" s="1358"/>
      <c r="RYL523" s="1358"/>
      <c r="RYM523" s="1358"/>
      <c r="RYN523" s="1358"/>
      <c r="RYO523" s="1358"/>
      <c r="RYP523" s="1358"/>
      <c r="RYQ523" s="1358"/>
      <c r="RYR523" s="1358"/>
      <c r="RYS523" s="1358"/>
      <c r="RYT523" s="1358"/>
      <c r="RYU523" s="1358"/>
      <c r="RYV523" s="1358"/>
      <c r="RYW523" s="1358"/>
      <c r="RYX523" s="1358"/>
      <c r="RYY523" s="1358"/>
      <c r="RYZ523" s="1358"/>
      <c r="RZA523" s="1358"/>
      <c r="RZB523" s="1358"/>
      <c r="RZC523" s="1358"/>
      <c r="RZD523" s="1358"/>
      <c r="RZE523" s="1358"/>
      <c r="RZF523" s="1358"/>
      <c r="RZG523" s="1358"/>
      <c r="RZH523" s="1358"/>
      <c r="RZI523" s="1358"/>
      <c r="RZJ523" s="1358"/>
      <c r="RZK523" s="1358"/>
      <c r="RZL523" s="1358"/>
      <c r="RZM523" s="1358"/>
      <c r="RZN523" s="1358"/>
      <c r="RZO523" s="1358"/>
      <c r="RZP523" s="1358"/>
      <c r="RZQ523" s="1358"/>
      <c r="RZR523" s="1358"/>
      <c r="RZS523" s="1358"/>
      <c r="RZT523" s="1358"/>
      <c r="RZU523" s="1358"/>
      <c r="RZV523" s="1358"/>
      <c r="RZW523" s="1358"/>
      <c r="RZX523" s="1358"/>
      <c r="RZY523" s="1358"/>
      <c r="RZZ523" s="1358"/>
      <c r="SAA523" s="1358"/>
      <c r="SAB523" s="1358"/>
      <c r="SAC523" s="1358"/>
      <c r="SAD523" s="1358"/>
      <c r="SAE523" s="1358"/>
      <c r="SAF523" s="1358"/>
      <c r="SAG523" s="1358"/>
      <c r="SAH523" s="1358"/>
      <c r="SAI523" s="1358"/>
      <c r="SAJ523" s="1358"/>
      <c r="SAK523" s="1358"/>
      <c r="SAL523" s="1358"/>
      <c r="SAM523" s="1358"/>
      <c r="SAN523" s="1358"/>
      <c r="SAO523" s="1358"/>
      <c r="SAP523" s="1358"/>
      <c r="SAQ523" s="1358"/>
      <c r="SAR523" s="1358"/>
      <c r="SAS523" s="1358"/>
      <c r="SAT523" s="1358"/>
      <c r="SAU523" s="1358"/>
      <c r="SAV523" s="1358"/>
      <c r="SAW523" s="1358"/>
      <c r="SAX523" s="1358"/>
      <c r="SAY523" s="1358"/>
      <c r="SAZ523" s="1358"/>
      <c r="SBA523" s="1358"/>
      <c r="SBB523" s="1358"/>
      <c r="SBC523" s="1358"/>
      <c r="SBD523" s="1358"/>
      <c r="SBE523" s="1358"/>
      <c r="SBF523" s="1358"/>
      <c r="SBG523" s="1358"/>
      <c r="SBH523" s="1358"/>
      <c r="SBI523" s="1358"/>
      <c r="SBJ523" s="1358"/>
      <c r="SBK523" s="1358"/>
      <c r="SBL523" s="1358"/>
      <c r="SBM523" s="1358"/>
      <c r="SBN523" s="1358"/>
      <c r="SBO523" s="1358"/>
      <c r="SBP523" s="1358"/>
      <c r="SBQ523" s="1358"/>
      <c r="SBR523" s="1358"/>
      <c r="SBS523" s="1358"/>
      <c r="SBT523" s="1358"/>
      <c r="SBU523" s="1358"/>
      <c r="SBV523" s="1358"/>
      <c r="SBW523" s="1358"/>
      <c r="SBX523" s="1358"/>
      <c r="SBY523" s="1358"/>
      <c r="SBZ523" s="1358"/>
      <c r="SCA523" s="1358"/>
      <c r="SCB523" s="1358"/>
      <c r="SCC523" s="1358"/>
      <c r="SCD523" s="1358"/>
      <c r="SCE523" s="1358"/>
      <c r="SCF523" s="1358"/>
      <c r="SCG523" s="1358"/>
      <c r="SCH523" s="1358"/>
      <c r="SCI523" s="1358"/>
      <c r="SCJ523" s="1358"/>
      <c r="SCK523" s="1358"/>
      <c r="SCL523" s="1358"/>
      <c r="SCM523" s="1358"/>
      <c r="SCN523" s="1358"/>
      <c r="SCO523" s="1358"/>
      <c r="SCP523" s="1358"/>
      <c r="SCQ523" s="1358"/>
      <c r="SCR523" s="1358"/>
      <c r="SCS523" s="1358"/>
      <c r="SCT523" s="1358"/>
      <c r="SCU523" s="1358"/>
      <c r="SCV523" s="1358"/>
      <c r="SCW523" s="1358"/>
      <c r="SCX523" s="1358"/>
      <c r="SCY523" s="1358"/>
      <c r="SCZ523" s="1358"/>
      <c r="SDA523" s="1358"/>
      <c r="SDB523" s="1358"/>
      <c r="SDC523" s="1358"/>
      <c r="SDD523" s="1358"/>
      <c r="SDE523" s="1358"/>
      <c r="SDF523" s="1358"/>
      <c r="SDG523" s="1358"/>
      <c r="SDH523" s="1358"/>
      <c r="SDI523" s="1358"/>
      <c r="SDJ523" s="1358"/>
      <c r="SDK523" s="1358"/>
      <c r="SDL523" s="1358"/>
      <c r="SDM523" s="1358"/>
      <c r="SDN523" s="1358"/>
      <c r="SDO523" s="1358"/>
      <c r="SDP523" s="1358"/>
      <c r="SDQ523" s="1358"/>
      <c r="SDR523" s="1358"/>
      <c r="SDS523" s="1358"/>
      <c r="SDT523" s="1358"/>
      <c r="SDU523" s="1358"/>
      <c r="SDV523" s="1358"/>
      <c r="SDW523" s="1358"/>
      <c r="SDX523" s="1358"/>
      <c r="SDY523" s="1358"/>
      <c r="SDZ523" s="1358"/>
      <c r="SEA523" s="1358"/>
      <c r="SEB523" s="1358"/>
      <c r="SEC523" s="1358"/>
      <c r="SED523" s="1358"/>
      <c r="SEE523" s="1358"/>
      <c r="SEF523" s="1358"/>
      <c r="SEG523" s="1358"/>
      <c r="SEH523" s="1358"/>
      <c r="SEI523" s="1358"/>
      <c r="SEJ523" s="1358"/>
      <c r="SEK523" s="1358"/>
      <c r="SEL523" s="1358"/>
      <c r="SEM523" s="1358"/>
      <c r="SEN523" s="1358"/>
      <c r="SEO523" s="1358"/>
      <c r="SEP523" s="1358"/>
      <c r="SEQ523" s="1358"/>
      <c r="SER523" s="1358"/>
      <c r="SES523" s="1358"/>
      <c r="SET523" s="1358"/>
      <c r="SEU523" s="1358"/>
      <c r="SEV523" s="1358"/>
      <c r="SEW523" s="1358"/>
      <c r="SEX523" s="1358"/>
      <c r="SEY523" s="1358"/>
      <c r="SEZ523" s="1358"/>
      <c r="SFA523" s="1358"/>
      <c r="SFB523" s="1358"/>
      <c r="SFC523" s="1358"/>
      <c r="SFD523" s="1358"/>
      <c r="SFE523" s="1358"/>
      <c r="SFF523" s="1358"/>
      <c r="SFG523" s="1358"/>
      <c r="SFH523" s="1358"/>
      <c r="SFI523" s="1358"/>
      <c r="SFJ523" s="1358"/>
      <c r="SFK523" s="1358"/>
      <c r="SFL523" s="1358"/>
      <c r="SFM523" s="1358"/>
      <c r="SFN523" s="1358"/>
      <c r="SFO523" s="1358"/>
      <c r="SFP523" s="1358"/>
      <c r="SFQ523" s="1358"/>
      <c r="SFR523" s="1358"/>
      <c r="SFS523" s="1358"/>
      <c r="SFT523" s="1358"/>
      <c r="SFU523" s="1358"/>
      <c r="SFV523" s="1358"/>
      <c r="SFW523" s="1358"/>
      <c r="SFX523" s="1358"/>
      <c r="SFY523" s="1358"/>
      <c r="SFZ523" s="1358"/>
      <c r="SGA523" s="1358"/>
      <c r="SGB523" s="1358"/>
      <c r="SGC523" s="1358"/>
      <c r="SGD523" s="1358"/>
      <c r="SGE523" s="1358"/>
      <c r="SGF523" s="1358"/>
      <c r="SGG523" s="1358"/>
      <c r="SGH523" s="1358"/>
      <c r="SGI523" s="1358"/>
      <c r="SGJ523" s="1358"/>
      <c r="SGK523" s="1358"/>
      <c r="SGL523" s="1358"/>
      <c r="SGM523" s="1358"/>
      <c r="SGN523" s="1358"/>
      <c r="SGO523" s="1358"/>
      <c r="SGP523" s="1358"/>
      <c r="SGQ523" s="1358"/>
      <c r="SGR523" s="1358"/>
      <c r="SGS523" s="1358"/>
      <c r="SGT523" s="1358"/>
      <c r="SGU523" s="1358"/>
      <c r="SGV523" s="1358"/>
      <c r="SGW523" s="1358"/>
      <c r="SGX523" s="1358"/>
      <c r="SGY523" s="1358"/>
      <c r="SGZ523" s="1358"/>
      <c r="SHA523" s="1358"/>
      <c r="SHB523" s="1358"/>
      <c r="SHC523" s="1358"/>
      <c r="SHD523" s="1358"/>
      <c r="SHE523" s="1358"/>
      <c r="SHF523" s="1358"/>
      <c r="SHG523" s="1358"/>
      <c r="SHH523" s="1358"/>
      <c r="SHI523" s="1358"/>
      <c r="SHJ523" s="1358"/>
      <c r="SHK523" s="1358"/>
      <c r="SHL523" s="1358"/>
      <c r="SHM523" s="1358"/>
      <c r="SHN523" s="1358"/>
      <c r="SHO523" s="1358"/>
      <c r="SHP523" s="1358"/>
      <c r="SHQ523" s="1358"/>
      <c r="SHR523" s="1358"/>
      <c r="SHS523" s="1358"/>
      <c r="SHT523" s="1358"/>
      <c r="SHU523" s="1358"/>
      <c r="SHV523" s="1358"/>
      <c r="SHW523" s="1358"/>
      <c r="SHX523" s="1358"/>
      <c r="SHY523" s="1358"/>
      <c r="SHZ523" s="1358"/>
      <c r="SIA523" s="1358"/>
      <c r="SIB523" s="1358"/>
      <c r="SIC523" s="1358"/>
      <c r="SID523" s="1358"/>
      <c r="SIE523" s="1358"/>
      <c r="SIF523" s="1358"/>
      <c r="SIG523" s="1358"/>
      <c r="SIH523" s="1358"/>
      <c r="SII523" s="1358"/>
      <c r="SIJ523" s="1358"/>
      <c r="SIK523" s="1358"/>
      <c r="SIL523" s="1358"/>
      <c r="SIM523" s="1358"/>
      <c r="SIN523" s="1358"/>
      <c r="SIO523" s="1358"/>
      <c r="SIP523" s="1358"/>
      <c r="SIQ523" s="1358"/>
      <c r="SIR523" s="1358"/>
      <c r="SIS523" s="1358"/>
      <c r="SIT523" s="1358"/>
      <c r="SIU523" s="1358"/>
      <c r="SIV523" s="1358"/>
      <c r="SIW523" s="1358"/>
      <c r="SIX523" s="1358"/>
      <c r="SIY523" s="1358"/>
      <c r="SIZ523" s="1358"/>
      <c r="SJA523" s="1358"/>
      <c r="SJB523" s="1358"/>
      <c r="SJC523" s="1358"/>
      <c r="SJD523" s="1358"/>
      <c r="SJE523" s="1358"/>
      <c r="SJF523" s="1358"/>
      <c r="SJG523" s="1358"/>
      <c r="SJH523" s="1358"/>
      <c r="SJI523" s="1358"/>
      <c r="SJJ523" s="1358"/>
      <c r="SJK523" s="1358"/>
      <c r="SJL523" s="1358"/>
      <c r="SJM523" s="1358"/>
      <c r="SJN523" s="1358"/>
      <c r="SJO523" s="1358"/>
      <c r="SJP523" s="1358"/>
      <c r="SJQ523" s="1358"/>
      <c r="SJR523" s="1358"/>
      <c r="SJS523" s="1358"/>
      <c r="SJT523" s="1358"/>
      <c r="SJU523" s="1358"/>
      <c r="SJV523" s="1358"/>
      <c r="SJW523" s="1358"/>
      <c r="SJX523" s="1358"/>
      <c r="SJY523" s="1358"/>
      <c r="SJZ523" s="1358"/>
      <c r="SKA523" s="1358"/>
      <c r="SKB523" s="1358"/>
      <c r="SKC523" s="1358"/>
      <c r="SKD523" s="1358"/>
      <c r="SKE523" s="1358"/>
      <c r="SKF523" s="1358"/>
      <c r="SKG523" s="1358"/>
      <c r="SKH523" s="1358"/>
      <c r="SKI523" s="1358"/>
      <c r="SKJ523" s="1358"/>
      <c r="SKK523" s="1358"/>
      <c r="SKL523" s="1358"/>
      <c r="SKM523" s="1358"/>
      <c r="SKN523" s="1358"/>
      <c r="SKO523" s="1358"/>
      <c r="SKP523" s="1358"/>
      <c r="SKQ523" s="1358"/>
      <c r="SKR523" s="1358"/>
      <c r="SKS523" s="1358"/>
      <c r="SKT523" s="1358"/>
      <c r="SKU523" s="1358"/>
      <c r="SKV523" s="1358"/>
      <c r="SKW523" s="1358"/>
      <c r="SKX523" s="1358"/>
      <c r="SKY523" s="1358"/>
      <c r="SKZ523" s="1358"/>
      <c r="SLA523" s="1358"/>
      <c r="SLB523" s="1358"/>
      <c r="SLC523" s="1358"/>
      <c r="SLD523" s="1358"/>
      <c r="SLE523" s="1358"/>
      <c r="SLF523" s="1358"/>
      <c r="SLG523" s="1358"/>
      <c r="SLH523" s="1358"/>
      <c r="SLI523" s="1358"/>
      <c r="SLJ523" s="1358"/>
      <c r="SLK523" s="1358"/>
      <c r="SLL523" s="1358"/>
      <c r="SLM523" s="1358"/>
      <c r="SLN523" s="1358"/>
      <c r="SLO523" s="1358"/>
      <c r="SLP523" s="1358"/>
      <c r="SLQ523" s="1358"/>
      <c r="SLR523" s="1358"/>
      <c r="SLS523" s="1358"/>
      <c r="SLT523" s="1358"/>
      <c r="SLU523" s="1358"/>
      <c r="SLV523" s="1358"/>
      <c r="SLW523" s="1358"/>
      <c r="SLX523" s="1358"/>
      <c r="SLY523" s="1358"/>
      <c r="SLZ523" s="1358"/>
      <c r="SMA523" s="1358"/>
      <c r="SMB523" s="1358"/>
      <c r="SMC523" s="1358"/>
      <c r="SMD523" s="1358"/>
      <c r="SME523" s="1358"/>
      <c r="SMF523" s="1358"/>
      <c r="SMG523" s="1358"/>
      <c r="SMH523" s="1358"/>
      <c r="SMI523" s="1358"/>
      <c r="SMJ523" s="1358"/>
      <c r="SMK523" s="1358"/>
      <c r="SML523" s="1358"/>
      <c r="SMM523" s="1358"/>
      <c r="SMN523" s="1358"/>
      <c r="SMO523" s="1358"/>
      <c r="SMP523" s="1358"/>
      <c r="SMQ523" s="1358"/>
      <c r="SMR523" s="1358"/>
      <c r="SMS523" s="1358"/>
      <c r="SMT523" s="1358"/>
      <c r="SMU523" s="1358"/>
      <c r="SMV523" s="1358"/>
      <c r="SMW523" s="1358"/>
      <c r="SMX523" s="1358"/>
      <c r="SMY523" s="1358"/>
      <c r="SMZ523" s="1358"/>
      <c r="SNA523" s="1358"/>
      <c r="SNB523" s="1358"/>
      <c r="SNC523" s="1358"/>
      <c r="SND523" s="1358"/>
      <c r="SNE523" s="1358"/>
      <c r="SNF523" s="1358"/>
      <c r="SNG523" s="1358"/>
      <c r="SNH523" s="1358"/>
      <c r="SNI523" s="1358"/>
      <c r="SNJ523" s="1358"/>
      <c r="SNK523" s="1358"/>
      <c r="SNL523" s="1358"/>
      <c r="SNM523" s="1358"/>
      <c r="SNN523" s="1358"/>
      <c r="SNO523" s="1358"/>
      <c r="SNP523" s="1358"/>
      <c r="SNQ523" s="1358"/>
      <c r="SNR523" s="1358"/>
      <c r="SNS523" s="1358"/>
      <c r="SNT523" s="1358"/>
      <c r="SNU523" s="1358"/>
      <c r="SNV523" s="1358"/>
      <c r="SNW523" s="1358"/>
      <c r="SNX523" s="1358"/>
      <c r="SNY523" s="1358"/>
      <c r="SNZ523" s="1358"/>
      <c r="SOA523" s="1358"/>
      <c r="SOB523" s="1358"/>
      <c r="SOC523" s="1358"/>
      <c r="SOD523" s="1358"/>
      <c r="SOE523" s="1358"/>
      <c r="SOF523" s="1358"/>
      <c r="SOG523" s="1358"/>
      <c r="SOH523" s="1358"/>
      <c r="SOI523" s="1358"/>
      <c r="SOJ523" s="1358"/>
      <c r="SOK523" s="1358"/>
      <c r="SOL523" s="1358"/>
      <c r="SOM523" s="1358"/>
      <c r="SON523" s="1358"/>
      <c r="SOO523" s="1358"/>
      <c r="SOP523" s="1358"/>
      <c r="SOQ523" s="1358"/>
      <c r="SOR523" s="1358"/>
      <c r="SOS523" s="1358"/>
      <c r="SOT523" s="1358"/>
      <c r="SOU523" s="1358"/>
      <c r="SOV523" s="1358"/>
      <c r="SOW523" s="1358"/>
      <c r="SOX523" s="1358"/>
      <c r="SOY523" s="1358"/>
      <c r="SOZ523" s="1358"/>
      <c r="SPA523" s="1358"/>
      <c r="SPB523" s="1358"/>
      <c r="SPC523" s="1358"/>
      <c r="SPD523" s="1358"/>
      <c r="SPE523" s="1358"/>
      <c r="SPF523" s="1358"/>
      <c r="SPG523" s="1358"/>
      <c r="SPH523" s="1358"/>
      <c r="SPI523" s="1358"/>
      <c r="SPJ523" s="1358"/>
      <c r="SPK523" s="1358"/>
      <c r="SPL523" s="1358"/>
      <c r="SPM523" s="1358"/>
      <c r="SPN523" s="1358"/>
      <c r="SPO523" s="1358"/>
      <c r="SPP523" s="1358"/>
      <c r="SPQ523" s="1358"/>
      <c r="SPR523" s="1358"/>
      <c r="SPS523" s="1358"/>
      <c r="SPT523" s="1358"/>
      <c r="SPU523" s="1358"/>
      <c r="SPV523" s="1358"/>
      <c r="SPW523" s="1358"/>
      <c r="SPX523" s="1358"/>
      <c r="SPY523" s="1358"/>
      <c r="SPZ523" s="1358"/>
      <c r="SQA523" s="1358"/>
      <c r="SQB523" s="1358"/>
      <c r="SQC523" s="1358"/>
      <c r="SQD523" s="1358"/>
      <c r="SQE523" s="1358"/>
      <c r="SQF523" s="1358"/>
      <c r="SQG523" s="1358"/>
      <c r="SQH523" s="1358"/>
      <c r="SQI523" s="1358"/>
      <c r="SQJ523" s="1358"/>
      <c r="SQK523" s="1358"/>
      <c r="SQL523" s="1358"/>
      <c r="SQM523" s="1358"/>
      <c r="SQN523" s="1358"/>
      <c r="SQO523" s="1358"/>
      <c r="SQP523" s="1358"/>
      <c r="SQQ523" s="1358"/>
      <c r="SQR523" s="1358"/>
      <c r="SQS523" s="1358"/>
      <c r="SQT523" s="1358"/>
      <c r="SQU523" s="1358"/>
      <c r="SQV523" s="1358"/>
      <c r="SQW523" s="1358"/>
      <c r="SQX523" s="1358"/>
      <c r="SQY523" s="1358"/>
      <c r="SQZ523" s="1358"/>
      <c r="SRA523" s="1358"/>
      <c r="SRB523" s="1358"/>
      <c r="SRC523" s="1358"/>
      <c r="SRD523" s="1358"/>
      <c r="SRE523" s="1358"/>
      <c r="SRF523" s="1358"/>
      <c r="SRG523" s="1358"/>
      <c r="SRH523" s="1358"/>
      <c r="SRI523" s="1358"/>
      <c r="SRJ523" s="1358"/>
      <c r="SRK523" s="1358"/>
      <c r="SRL523" s="1358"/>
      <c r="SRM523" s="1358"/>
      <c r="SRN523" s="1358"/>
      <c r="SRO523" s="1358"/>
      <c r="SRP523" s="1358"/>
      <c r="SRQ523" s="1358"/>
      <c r="SRR523" s="1358"/>
      <c r="SRS523" s="1358"/>
      <c r="SRT523" s="1358"/>
      <c r="SRU523" s="1358"/>
      <c r="SRV523" s="1358"/>
      <c r="SRW523" s="1358"/>
      <c r="SRX523" s="1358"/>
      <c r="SRY523" s="1358"/>
      <c r="SRZ523" s="1358"/>
      <c r="SSA523" s="1358"/>
      <c r="SSB523" s="1358"/>
      <c r="SSC523" s="1358"/>
      <c r="SSD523" s="1358"/>
      <c r="SSE523" s="1358"/>
      <c r="SSF523" s="1358"/>
      <c r="SSG523" s="1358"/>
      <c r="SSH523" s="1358"/>
      <c r="SSI523" s="1358"/>
      <c r="SSJ523" s="1358"/>
      <c r="SSK523" s="1358"/>
      <c r="SSL523" s="1358"/>
      <c r="SSM523" s="1358"/>
      <c r="SSN523" s="1358"/>
      <c r="SSO523" s="1358"/>
      <c r="SSP523" s="1358"/>
      <c r="SSQ523" s="1358"/>
      <c r="SSR523" s="1358"/>
      <c r="SSS523" s="1358"/>
      <c r="SST523" s="1358"/>
      <c r="SSU523" s="1358"/>
      <c r="SSV523" s="1358"/>
      <c r="SSW523" s="1358"/>
      <c r="SSX523" s="1358"/>
      <c r="SSY523" s="1358"/>
      <c r="SSZ523" s="1358"/>
      <c r="STA523" s="1358"/>
      <c r="STB523" s="1358"/>
      <c r="STC523" s="1358"/>
      <c r="STD523" s="1358"/>
      <c r="STE523" s="1358"/>
      <c r="STF523" s="1358"/>
      <c r="STG523" s="1358"/>
      <c r="STH523" s="1358"/>
      <c r="STI523" s="1358"/>
      <c r="STJ523" s="1358"/>
      <c r="STK523" s="1358"/>
      <c r="STL523" s="1358"/>
      <c r="STM523" s="1358"/>
      <c r="STN523" s="1358"/>
      <c r="STO523" s="1358"/>
      <c r="STP523" s="1358"/>
      <c r="STQ523" s="1358"/>
      <c r="STR523" s="1358"/>
      <c r="STS523" s="1358"/>
      <c r="STT523" s="1358"/>
      <c r="STU523" s="1358"/>
      <c r="STV523" s="1358"/>
      <c r="STW523" s="1358"/>
      <c r="STX523" s="1358"/>
      <c r="STY523" s="1358"/>
      <c r="STZ523" s="1358"/>
      <c r="SUA523" s="1358"/>
      <c r="SUB523" s="1358"/>
      <c r="SUC523" s="1358"/>
      <c r="SUD523" s="1358"/>
      <c r="SUE523" s="1358"/>
      <c r="SUF523" s="1358"/>
      <c r="SUG523" s="1358"/>
      <c r="SUH523" s="1358"/>
      <c r="SUI523" s="1358"/>
      <c r="SUJ523" s="1358"/>
      <c r="SUK523" s="1358"/>
      <c r="SUL523" s="1358"/>
      <c r="SUM523" s="1358"/>
      <c r="SUN523" s="1358"/>
      <c r="SUO523" s="1358"/>
      <c r="SUP523" s="1358"/>
      <c r="SUQ523" s="1358"/>
      <c r="SUR523" s="1358"/>
      <c r="SUS523" s="1358"/>
      <c r="SUT523" s="1358"/>
      <c r="SUU523" s="1358"/>
      <c r="SUV523" s="1358"/>
      <c r="SUW523" s="1358"/>
      <c r="SUX523" s="1358"/>
      <c r="SUY523" s="1358"/>
      <c r="SUZ523" s="1358"/>
      <c r="SVA523" s="1358"/>
      <c r="SVB523" s="1358"/>
      <c r="SVC523" s="1358"/>
      <c r="SVD523" s="1358"/>
      <c r="SVE523" s="1358"/>
      <c r="SVF523" s="1358"/>
      <c r="SVG523" s="1358"/>
      <c r="SVH523" s="1358"/>
      <c r="SVI523" s="1358"/>
      <c r="SVJ523" s="1358"/>
      <c r="SVK523" s="1358"/>
      <c r="SVL523" s="1358"/>
      <c r="SVM523" s="1358"/>
      <c r="SVN523" s="1358"/>
      <c r="SVO523" s="1358"/>
      <c r="SVP523" s="1358"/>
      <c r="SVQ523" s="1358"/>
      <c r="SVR523" s="1358"/>
      <c r="SVS523" s="1358"/>
      <c r="SVT523" s="1358"/>
      <c r="SVU523" s="1358"/>
      <c r="SVV523" s="1358"/>
      <c r="SVW523" s="1358"/>
      <c r="SVX523" s="1358"/>
      <c r="SVY523" s="1358"/>
      <c r="SVZ523" s="1358"/>
      <c r="SWA523" s="1358"/>
      <c r="SWB523" s="1358"/>
      <c r="SWC523" s="1358"/>
      <c r="SWD523" s="1358"/>
      <c r="SWE523" s="1358"/>
      <c r="SWF523" s="1358"/>
      <c r="SWG523" s="1358"/>
      <c r="SWH523" s="1358"/>
      <c r="SWI523" s="1358"/>
      <c r="SWJ523" s="1358"/>
      <c r="SWK523" s="1358"/>
      <c r="SWL523" s="1358"/>
      <c r="SWM523" s="1358"/>
      <c r="SWN523" s="1358"/>
      <c r="SWO523" s="1358"/>
      <c r="SWP523" s="1358"/>
      <c r="SWQ523" s="1358"/>
      <c r="SWR523" s="1358"/>
      <c r="SWS523" s="1358"/>
      <c r="SWT523" s="1358"/>
      <c r="SWU523" s="1358"/>
      <c r="SWV523" s="1358"/>
      <c r="SWW523" s="1358"/>
      <c r="SWX523" s="1358"/>
      <c r="SWY523" s="1358"/>
      <c r="SWZ523" s="1358"/>
      <c r="SXA523" s="1358"/>
      <c r="SXB523" s="1358"/>
      <c r="SXC523" s="1358"/>
      <c r="SXD523" s="1358"/>
      <c r="SXE523" s="1358"/>
      <c r="SXF523" s="1358"/>
      <c r="SXG523" s="1358"/>
      <c r="SXH523" s="1358"/>
      <c r="SXI523" s="1358"/>
      <c r="SXJ523" s="1358"/>
      <c r="SXK523" s="1358"/>
      <c r="SXL523" s="1358"/>
      <c r="SXM523" s="1358"/>
      <c r="SXN523" s="1358"/>
      <c r="SXO523" s="1358"/>
      <c r="SXP523" s="1358"/>
      <c r="SXQ523" s="1358"/>
      <c r="SXR523" s="1358"/>
      <c r="SXS523" s="1358"/>
      <c r="SXT523" s="1358"/>
      <c r="SXU523" s="1358"/>
      <c r="SXV523" s="1358"/>
      <c r="SXW523" s="1358"/>
      <c r="SXX523" s="1358"/>
      <c r="SXY523" s="1358"/>
      <c r="SXZ523" s="1358"/>
      <c r="SYA523" s="1358"/>
      <c r="SYB523" s="1358"/>
      <c r="SYC523" s="1358"/>
      <c r="SYD523" s="1358"/>
      <c r="SYE523" s="1358"/>
      <c r="SYF523" s="1358"/>
      <c r="SYG523" s="1358"/>
      <c r="SYH523" s="1358"/>
      <c r="SYI523" s="1358"/>
      <c r="SYJ523" s="1358"/>
      <c r="SYK523" s="1358"/>
      <c r="SYL523" s="1358"/>
      <c r="SYM523" s="1358"/>
      <c r="SYN523" s="1358"/>
      <c r="SYO523" s="1358"/>
      <c r="SYP523" s="1358"/>
      <c r="SYQ523" s="1358"/>
      <c r="SYR523" s="1358"/>
      <c r="SYS523" s="1358"/>
      <c r="SYT523" s="1358"/>
      <c r="SYU523" s="1358"/>
      <c r="SYV523" s="1358"/>
      <c r="SYW523" s="1358"/>
      <c r="SYX523" s="1358"/>
      <c r="SYY523" s="1358"/>
      <c r="SYZ523" s="1358"/>
      <c r="SZA523" s="1358"/>
      <c r="SZB523" s="1358"/>
      <c r="SZC523" s="1358"/>
      <c r="SZD523" s="1358"/>
      <c r="SZE523" s="1358"/>
      <c r="SZF523" s="1358"/>
      <c r="SZG523" s="1358"/>
      <c r="SZH523" s="1358"/>
      <c r="SZI523" s="1358"/>
      <c r="SZJ523" s="1358"/>
      <c r="SZK523" s="1358"/>
      <c r="SZL523" s="1358"/>
      <c r="SZM523" s="1358"/>
      <c r="SZN523" s="1358"/>
      <c r="SZO523" s="1358"/>
      <c r="SZP523" s="1358"/>
      <c r="SZQ523" s="1358"/>
      <c r="SZR523" s="1358"/>
      <c r="SZS523" s="1358"/>
      <c r="SZT523" s="1358"/>
      <c r="SZU523" s="1358"/>
      <c r="SZV523" s="1358"/>
      <c r="SZW523" s="1358"/>
      <c r="SZX523" s="1358"/>
      <c r="SZY523" s="1358"/>
      <c r="SZZ523" s="1358"/>
      <c r="TAA523" s="1358"/>
      <c r="TAB523" s="1358"/>
      <c r="TAC523" s="1358"/>
      <c r="TAD523" s="1358"/>
      <c r="TAE523" s="1358"/>
      <c r="TAF523" s="1358"/>
      <c r="TAG523" s="1358"/>
      <c r="TAH523" s="1358"/>
      <c r="TAI523" s="1358"/>
      <c r="TAJ523" s="1358"/>
      <c r="TAK523" s="1358"/>
      <c r="TAL523" s="1358"/>
      <c r="TAM523" s="1358"/>
      <c r="TAN523" s="1358"/>
      <c r="TAO523" s="1358"/>
      <c r="TAP523" s="1358"/>
      <c r="TAQ523" s="1358"/>
      <c r="TAR523" s="1358"/>
      <c r="TAS523" s="1358"/>
      <c r="TAT523" s="1358"/>
      <c r="TAU523" s="1358"/>
      <c r="TAV523" s="1358"/>
      <c r="TAW523" s="1358"/>
      <c r="TAX523" s="1358"/>
      <c r="TAY523" s="1358"/>
      <c r="TAZ523" s="1358"/>
      <c r="TBA523" s="1358"/>
      <c r="TBB523" s="1358"/>
      <c r="TBC523" s="1358"/>
      <c r="TBD523" s="1358"/>
      <c r="TBE523" s="1358"/>
      <c r="TBF523" s="1358"/>
      <c r="TBG523" s="1358"/>
      <c r="TBH523" s="1358"/>
      <c r="TBI523" s="1358"/>
      <c r="TBJ523" s="1358"/>
      <c r="TBK523" s="1358"/>
      <c r="TBL523" s="1358"/>
      <c r="TBM523" s="1358"/>
      <c r="TBN523" s="1358"/>
      <c r="TBO523" s="1358"/>
      <c r="TBP523" s="1358"/>
      <c r="TBQ523" s="1358"/>
      <c r="TBR523" s="1358"/>
      <c r="TBS523" s="1358"/>
      <c r="TBT523" s="1358"/>
      <c r="TBU523" s="1358"/>
      <c r="TBV523" s="1358"/>
      <c r="TBW523" s="1358"/>
      <c r="TBX523" s="1358"/>
      <c r="TBY523" s="1358"/>
      <c r="TBZ523" s="1358"/>
      <c r="TCA523" s="1358"/>
      <c r="TCB523" s="1358"/>
      <c r="TCC523" s="1358"/>
      <c r="TCD523" s="1358"/>
      <c r="TCE523" s="1358"/>
      <c r="TCF523" s="1358"/>
      <c r="TCG523" s="1358"/>
      <c r="TCH523" s="1358"/>
      <c r="TCI523" s="1358"/>
      <c r="TCJ523" s="1358"/>
      <c r="TCK523" s="1358"/>
      <c r="TCL523" s="1358"/>
      <c r="TCM523" s="1358"/>
      <c r="TCN523" s="1358"/>
      <c r="TCO523" s="1358"/>
      <c r="TCP523" s="1358"/>
      <c r="TCQ523" s="1358"/>
      <c r="TCR523" s="1358"/>
      <c r="TCS523" s="1358"/>
      <c r="TCT523" s="1358"/>
      <c r="TCU523" s="1358"/>
      <c r="TCV523" s="1358"/>
      <c r="TCW523" s="1358"/>
      <c r="TCX523" s="1358"/>
      <c r="TCY523" s="1358"/>
      <c r="TCZ523" s="1358"/>
      <c r="TDA523" s="1358"/>
      <c r="TDB523" s="1358"/>
      <c r="TDC523" s="1358"/>
      <c r="TDD523" s="1358"/>
      <c r="TDE523" s="1358"/>
      <c r="TDF523" s="1358"/>
      <c r="TDG523" s="1358"/>
      <c r="TDH523" s="1358"/>
      <c r="TDI523" s="1358"/>
      <c r="TDJ523" s="1358"/>
      <c r="TDK523" s="1358"/>
      <c r="TDL523" s="1358"/>
      <c r="TDM523" s="1358"/>
      <c r="TDN523" s="1358"/>
      <c r="TDO523" s="1358"/>
      <c r="TDP523" s="1358"/>
      <c r="TDQ523" s="1358"/>
      <c r="TDR523" s="1358"/>
      <c r="TDS523" s="1358"/>
      <c r="TDT523" s="1358"/>
      <c r="TDU523" s="1358"/>
      <c r="TDV523" s="1358"/>
      <c r="TDW523" s="1358"/>
      <c r="TDX523" s="1358"/>
      <c r="TDY523" s="1358"/>
      <c r="TDZ523" s="1358"/>
      <c r="TEA523" s="1358"/>
      <c r="TEB523" s="1358"/>
      <c r="TEC523" s="1358"/>
      <c r="TED523" s="1358"/>
      <c r="TEE523" s="1358"/>
      <c r="TEF523" s="1358"/>
      <c r="TEG523" s="1358"/>
      <c r="TEH523" s="1358"/>
      <c r="TEI523" s="1358"/>
      <c r="TEJ523" s="1358"/>
      <c r="TEK523" s="1358"/>
      <c r="TEL523" s="1358"/>
      <c r="TEM523" s="1358"/>
      <c r="TEN523" s="1358"/>
      <c r="TEO523" s="1358"/>
      <c r="TEP523" s="1358"/>
      <c r="TEQ523" s="1358"/>
      <c r="TER523" s="1358"/>
      <c r="TES523" s="1358"/>
      <c r="TET523" s="1358"/>
      <c r="TEU523" s="1358"/>
      <c r="TEV523" s="1358"/>
      <c r="TEW523" s="1358"/>
      <c r="TEX523" s="1358"/>
      <c r="TEY523" s="1358"/>
      <c r="TEZ523" s="1358"/>
      <c r="TFA523" s="1358"/>
      <c r="TFB523" s="1358"/>
      <c r="TFC523" s="1358"/>
      <c r="TFD523" s="1358"/>
      <c r="TFE523" s="1358"/>
      <c r="TFF523" s="1358"/>
      <c r="TFG523" s="1358"/>
      <c r="TFH523" s="1358"/>
      <c r="TFI523" s="1358"/>
      <c r="TFJ523" s="1358"/>
      <c r="TFK523" s="1358"/>
      <c r="TFL523" s="1358"/>
      <c r="TFM523" s="1358"/>
      <c r="TFN523" s="1358"/>
      <c r="TFO523" s="1358"/>
      <c r="TFP523" s="1358"/>
      <c r="TFQ523" s="1358"/>
      <c r="TFR523" s="1358"/>
      <c r="TFS523" s="1358"/>
      <c r="TFT523" s="1358"/>
      <c r="TFU523" s="1358"/>
      <c r="TFV523" s="1358"/>
      <c r="TFW523" s="1358"/>
      <c r="TFX523" s="1358"/>
      <c r="TFY523" s="1358"/>
      <c r="TFZ523" s="1358"/>
      <c r="TGA523" s="1358"/>
      <c r="TGB523" s="1358"/>
      <c r="TGC523" s="1358"/>
      <c r="TGD523" s="1358"/>
      <c r="TGE523" s="1358"/>
      <c r="TGF523" s="1358"/>
      <c r="TGG523" s="1358"/>
      <c r="TGH523" s="1358"/>
      <c r="TGI523" s="1358"/>
      <c r="TGJ523" s="1358"/>
      <c r="TGK523" s="1358"/>
      <c r="TGL523" s="1358"/>
      <c r="TGM523" s="1358"/>
      <c r="TGN523" s="1358"/>
      <c r="TGO523" s="1358"/>
      <c r="TGP523" s="1358"/>
      <c r="TGQ523" s="1358"/>
      <c r="TGR523" s="1358"/>
      <c r="TGS523" s="1358"/>
      <c r="TGT523" s="1358"/>
      <c r="TGU523" s="1358"/>
      <c r="TGV523" s="1358"/>
      <c r="TGW523" s="1358"/>
      <c r="TGX523" s="1358"/>
      <c r="TGY523" s="1358"/>
      <c r="TGZ523" s="1358"/>
      <c r="THA523" s="1358"/>
      <c r="THB523" s="1358"/>
      <c r="THC523" s="1358"/>
      <c r="THD523" s="1358"/>
      <c r="THE523" s="1358"/>
      <c r="THF523" s="1358"/>
      <c r="THG523" s="1358"/>
      <c r="THH523" s="1358"/>
      <c r="THI523" s="1358"/>
      <c r="THJ523" s="1358"/>
      <c r="THK523" s="1358"/>
      <c r="THL523" s="1358"/>
      <c r="THM523" s="1358"/>
      <c r="THN523" s="1358"/>
      <c r="THO523" s="1358"/>
      <c r="THP523" s="1358"/>
      <c r="THQ523" s="1358"/>
      <c r="THR523" s="1358"/>
      <c r="THS523" s="1358"/>
      <c r="THT523" s="1358"/>
      <c r="THU523" s="1358"/>
      <c r="THV523" s="1358"/>
      <c r="THW523" s="1358"/>
      <c r="THX523" s="1358"/>
      <c r="THY523" s="1358"/>
      <c r="THZ523" s="1358"/>
      <c r="TIA523" s="1358"/>
      <c r="TIB523" s="1358"/>
      <c r="TIC523" s="1358"/>
      <c r="TID523" s="1358"/>
      <c r="TIE523" s="1358"/>
      <c r="TIF523" s="1358"/>
      <c r="TIG523" s="1358"/>
      <c r="TIH523" s="1358"/>
      <c r="TII523" s="1358"/>
      <c r="TIJ523" s="1358"/>
      <c r="TIK523" s="1358"/>
      <c r="TIL523" s="1358"/>
      <c r="TIM523" s="1358"/>
      <c r="TIN523" s="1358"/>
      <c r="TIO523" s="1358"/>
      <c r="TIP523" s="1358"/>
      <c r="TIQ523" s="1358"/>
      <c r="TIR523" s="1358"/>
      <c r="TIS523" s="1358"/>
      <c r="TIT523" s="1358"/>
      <c r="TIU523" s="1358"/>
      <c r="TIV523" s="1358"/>
      <c r="TIW523" s="1358"/>
      <c r="TIX523" s="1358"/>
      <c r="TIY523" s="1358"/>
      <c r="TIZ523" s="1358"/>
      <c r="TJA523" s="1358"/>
      <c r="TJB523" s="1358"/>
      <c r="TJC523" s="1358"/>
      <c r="TJD523" s="1358"/>
      <c r="TJE523" s="1358"/>
      <c r="TJF523" s="1358"/>
      <c r="TJG523" s="1358"/>
      <c r="TJH523" s="1358"/>
      <c r="TJI523" s="1358"/>
      <c r="TJJ523" s="1358"/>
      <c r="TJK523" s="1358"/>
      <c r="TJL523" s="1358"/>
      <c r="TJM523" s="1358"/>
      <c r="TJN523" s="1358"/>
      <c r="TJO523" s="1358"/>
      <c r="TJP523" s="1358"/>
      <c r="TJQ523" s="1358"/>
      <c r="TJR523" s="1358"/>
      <c r="TJS523" s="1358"/>
      <c r="TJT523" s="1358"/>
      <c r="TJU523" s="1358"/>
      <c r="TJV523" s="1358"/>
      <c r="TJW523" s="1358"/>
      <c r="TJX523" s="1358"/>
      <c r="TJY523" s="1358"/>
      <c r="TJZ523" s="1358"/>
      <c r="TKA523" s="1358"/>
      <c r="TKB523" s="1358"/>
      <c r="TKC523" s="1358"/>
      <c r="TKD523" s="1358"/>
      <c r="TKE523" s="1358"/>
      <c r="TKF523" s="1358"/>
      <c r="TKG523" s="1358"/>
      <c r="TKH523" s="1358"/>
      <c r="TKI523" s="1358"/>
      <c r="TKJ523" s="1358"/>
      <c r="TKK523" s="1358"/>
      <c r="TKL523" s="1358"/>
      <c r="TKM523" s="1358"/>
      <c r="TKN523" s="1358"/>
      <c r="TKO523" s="1358"/>
      <c r="TKP523" s="1358"/>
      <c r="TKQ523" s="1358"/>
      <c r="TKR523" s="1358"/>
      <c r="TKS523" s="1358"/>
      <c r="TKT523" s="1358"/>
      <c r="TKU523" s="1358"/>
      <c r="TKV523" s="1358"/>
      <c r="TKW523" s="1358"/>
      <c r="TKX523" s="1358"/>
      <c r="TKY523" s="1358"/>
      <c r="TKZ523" s="1358"/>
      <c r="TLA523" s="1358"/>
      <c r="TLB523" s="1358"/>
      <c r="TLC523" s="1358"/>
      <c r="TLD523" s="1358"/>
      <c r="TLE523" s="1358"/>
      <c r="TLF523" s="1358"/>
      <c r="TLG523" s="1358"/>
      <c r="TLH523" s="1358"/>
      <c r="TLI523" s="1358"/>
      <c r="TLJ523" s="1358"/>
      <c r="TLK523" s="1358"/>
      <c r="TLL523" s="1358"/>
      <c r="TLM523" s="1358"/>
      <c r="TLN523" s="1358"/>
      <c r="TLO523" s="1358"/>
      <c r="TLP523" s="1358"/>
      <c r="TLQ523" s="1358"/>
      <c r="TLR523" s="1358"/>
      <c r="TLS523" s="1358"/>
      <c r="TLT523" s="1358"/>
      <c r="TLU523" s="1358"/>
      <c r="TLV523" s="1358"/>
      <c r="TLW523" s="1358"/>
      <c r="TLX523" s="1358"/>
      <c r="TLY523" s="1358"/>
      <c r="TLZ523" s="1358"/>
      <c r="TMA523" s="1358"/>
      <c r="TMB523" s="1358"/>
      <c r="TMC523" s="1358"/>
      <c r="TMD523" s="1358"/>
      <c r="TME523" s="1358"/>
      <c r="TMF523" s="1358"/>
      <c r="TMG523" s="1358"/>
      <c r="TMH523" s="1358"/>
      <c r="TMI523" s="1358"/>
      <c r="TMJ523" s="1358"/>
      <c r="TMK523" s="1358"/>
      <c r="TML523" s="1358"/>
      <c r="TMM523" s="1358"/>
      <c r="TMN523" s="1358"/>
      <c r="TMO523" s="1358"/>
      <c r="TMP523" s="1358"/>
      <c r="TMQ523" s="1358"/>
      <c r="TMR523" s="1358"/>
      <c r="TMS523" s="1358"/>
      <c r="TMT523" s="1358"/>
      <c r="TMU523" s="1358"/>
      <c r="TMV523" s="1358"/>
      <c r="TMW523" s="1358"/>
      <c r="TMX523" s="1358"/>
      <c r="TMY523" s="1358"/>
      <c r="TMZ523" s="1358"/>
      <c r="TNA523" s="1358"/>
      <c r="TNB523" s="1358"/>
      <c r="TNC523" s="1358"/>
      <c r="TND523" s="1358"/>
      <c r="TNE523" s="1358"/>
      <c r="TNF523" s="1358"/>
      <c r="TNG523" s="1358"/>
      <c r="TNH523" s="1358"/>
      <c r="TNI523" s="1358"/>
      <c r="TNJ523" s="1358"/>
      <c r="TNK523" s="1358"/>
      <c r="TNL523" s="1358"/>
      <c r="TNM523" s="1358"/>
      <c r="TNN523" s="1358"/>
      <c r="TNO523" s="1358"/>
      <c r="TNP523" s="1358"/>
      <c r="TNQ523" s="1358"/>
      <c r="TNR523" s="1358"/>
      <c r="TNS523" s="1358"/>
      <c r="TNT523" s="1358"/>
      <c r="TNU523" s="1358"/>
      <c r="TNV523" s="1358"/>
      <c r="TNW523" s="1358"/>
      <c r="TNX523" s="1358"/>
      <c r="TNY523" s="1358"/>
      <c r="TNZ523" s="1358"/>
      <c r="TOA523" s="1358"/>
      <c r="TOB523" s="1358"/>
      <c r="TOC523" s="1358"/>
      <c r="TOD523" s="1358"/>
      <c r="TOE523" s="1358"/>
      <c r="TOF523" s="1358"/>
      <c r="TOG523" s="1358"/>
      <c r="TOH523" s="1358"/>
      <c r="TOI523" s="1358"/>
      <c r="TOJ523" s="1358"/>
      <c r="TOK523" s="1358"/>
      <c r="TOL523" s="1358"/>
      <c r="TOM523" s="1358"/>
      <c r="TON523" s="1358"/>
      <c r="TOO523" s="1358"/>
      <c r="TOP523" s="1358"/>
      <c r="TOQ523" s="1358"/>
      <c r="TOR523" s="1358"/>
      <c r="TOS523" s="1358"/>
      <c r="TOT523" s="1358"/>
      <c r="TOU523" s="1358"/>
      <c r="TOV523" s="1358"/>
      <c r="TOW523" s="1358"/>
      <c r="TOX523" s="1358"/>
      <c r="TOY523" s="1358"/>
      <c r="TOZ523" s="1358"/>
      <c r="TPA523" s="1358"/>
      <c r="TPB523" s="1358"/>
      <c r="TPC523" s="1358"/>
      <c r="TPD523" s="1358"/>
      <c r="TPE523" s="1358"/>
      <c r="TPF523" s="1358"/>
      <c r="TPG523" s="1358"/>
      <c r="TPH523" s="1358"/>
      <c r="TPI523" s="1358"/>
      <c r="TPJ523" s="1358"/>
      <c r="TPK523" s="1358"/>
      <c r="TPL523" s="1358"/>
      <c r="TPM523" s="1358"/>
      <c r="TPN523" s="1358"/>
      <c r="TPO523" s="1358"/>
      <c r="TPP523" s="1358"/>
      <c r="TPQ523" s="1358"/>
      <c r="TPR523" s="1358"/>
      <c r="TPS523" s="1358"/>
      <c r="TPT523" s="1358"/>
      <c r="TPU523" s="1358"/>
      <c r="TPV523" s="1358"/>
      <c r="TPW523" s="1358"/>
      <c r="TPX523" s="1358"/>
      <c r="TPY523" s="1358"/>
      <c r="TPZ523" s="1358"/>
      <c r="TQA523" s="1358"/>
      <c r="TQB523" s="1358"/>
      <c r="TQC523" s="1358"/>
      <c r="TQD523" s="1358"/>
      <c r="TQE523" s="1358"/>
      <c r="TQF523" s="1358"/>
      <c r="TQG523" s="1358"/>
      <c r="TQH523" s="1358"/>
      <c r="TQI523" s="1358"/>
      <c r="TQJ523" s="1358"/>
      <c r="TQK523" s="1358"/>
      <c r="TQL523" s="1358"/>
      <c r="TQM523" s="1358"/>
      <c r="TQN523" s="1358"/>
      <c r="TQO523" s="1358"/>
      <c r="TQP523" s="1358"/>
      <c r="TQQ523" s="1358"/>
      <c r="TQR523" s="1358"/>
      <c r="TQS523" s="1358"/>
      <c r="TQT523" s="1358"/>
      <c r="TQU523" s="1358"/>
      <c r="TQV523" s="1358"/>
      <c r="TQW523" s="1358"/>
      <c r="TQX523" s="1358"/>
      <c r="TQY523" s="1358"/>
      <c r="TQZ523" s="1358"/>
      <c r="TRA523" s="1358"/>
      <c r="TRB523" s="1358"/>
      <c r="TRC523" s="1358"/>
      <c r="TRD523" s="1358"/>
      <c r="TRE523" s="1358"/>
      <c r="TRF523" s="1358"/>
      <c r="TRG523" s="1358"/>
      <c r="TRH523" s="1358"/>
      <c r="TRI523" s="1358"/>
      <c r="TRJ523" s="1358"/>
      <c r="TRK523" s="1358"/>
      <c r="TRL523" s="1358"/>
      <c r="TRM523" s="1358"/>
      <c r="TRN523" s="1358"/>
      <c r="TRO523" s="1358"/>
      <c r="TRP523" s="1358"/>
      <c r="TRQ523" s="1358"/>
      <c r="TRR523" s="1358"/>
      <c r="TRS523" s="1358"/>
      <c r="TRT523" s="1358"/>
      <c r="TRU523" s="1358"/>
      <c r="TRV523" s="1358"/>
      <c r="TRW523" s="1358"/>
      <c r="TRX523" s="1358"/>
      <c r="TRY523" s="1358"/>
      <c r="TRZ523" s="1358"/>
      <c r="TSA523" s="1358"/>
      <c r="TSB523" s="1358"/>
      <c r="TSC523" s="1358"/>
      <c r="TSD523" s="1358"/>
      <c r="TSE523" s="1358"/>
      <c r="TSF523" s="1358"/>
      <c r="TSG523" s="1358"/>
      <c r="TSH523" s="1358"/>
      <c r="TSI523" s="1358"/>
      <c r="TSJ523" s="1358"/>
      <c r="TSK523" s="1358"/>
      <c r="TSL523" s="1358"/>
      <c r="TSM523" s="1358"/>
      <c r="TSN523" s="1358"/>
      <c r="TSO523" s="1358"/>
      <c r="TSP523" s="1358"/>
      <c r="TSQ523" s="1358"/>
      <c r="TSR523" s="1358"/>
      <c r="TSS523" s="1358"/>
      <c r="TST523" s="1358"/>
      <c r="TSU523" s="1358"/>
      <c r="TSV523" s="1358"/>
      <c r="TSW523" s="1358"/>
      <c r="TSX523" s="1358"/>
      <c r="TSY523" s="1358"/>
      <c r="TSZ523" s="1358"/>
      <c r="TTA523" s="1358"/>
      <c r="TTB523" s="1358"/>
      <c r="TTC523" s="1358"/>
      <c r="TTD523" s="1358"/>
      <c r="TTE523" s="1358"/>
      <c r="TTF523" s="1358"/>
      <c r="TTG523" s="1358"/>
      <c r="TTH523" s="1358"/>
      <c r="TTI523" s="1358"/>
      <c r="TTJ523" s="1358"/>
      <c r="TTK523" s="1358"/>
      <c r="TTL523" s="1358"/>
      <c r="TTM523" s="1358"/>
      <c r="TTN523" s="1358"/>
      <c r="TTO523" s="1358"/>
      <c r="TTP523" s="1358"/>
      <c r="TTQ523" s="1358"/>
      <c r="TTR523" s="1358"/>
      <c r="TTS523" s="1358"/>
      <c r="TTT523" s="1358"/>
      <c r="TTU523" s="1358"/>
      <c r="TTV523" s="1358"/>
      <c r="TTW523" s="1358"/>
      <c r="TTX523" s="1358"/>
      <c r="TTY523" s="1358"/>
      <c r="TTZ523" s="1358"/>
      <c r="TUA523" s="1358"/>
      <c r="TUB523" s="1358"/>
      <c r="TUC523" s="1358"/>
      <c r="TUD523" s="1358"/>
      <c r="TUE523" s="1358"/>
      <c r="TUF523" s="1358"/>
      <c r="TUG523" s="1358"/>
      <c r="TUH523" s="1358"/>
      <c r="TUI523" s="1358"/>
      <c r="TUJ523" s="1358"/>
      <c r="TUK523" s="1358"/>
      <c r="TUL523" s="1358"/>
      <c r="TUM523" s="1358"/>
      <c r="TUN523" s="1358"/>
      <c r="TUO523" s="1358"/>
      <c r="TUP523" s="1358"/>
      <c r="TUQ523" s="1358"/>
      <c r="TUR523" s="1358"/>
      <c r="TUS523" s="1358"/>
      <c r="TUT523" s="1358"/>
      <c r="TUU523" s="1358"/>
      <c r="TUV523" s="1358"/>
      <c r="TUW523" s="1358"/>
      <c r="TUX523" s="1358"/>
      <c r="TUY523" s="1358"/>
      <c r="TUZ523" s="1358"/>
      <c r="TVA523" s="1358"/>
      <c r="TVB523" s="1358"/>
      <c r="TVC523" s="1358"/>
      <c r="TVD523" s="1358"/>
      <c r="TVE523" s="1358"/>
      <c r="TVF523" s="1358"/>
      <c r="TVG523" s="1358"/>
      <c r="TVH523" s="1358"/>
      <c r="TVI523" s="1358"/>
      <c r="TVJ523" s="1358"/>
      <c r="TVK523" s="1358"/>
      <c r="TVL523" s="1358"/>
      <c r="TVM523" s="1358"/>
      <c r="TVN523" s="1358"/>
      <c r="TVO523" s="1358"/>
      <c r="TVP523" s="1358"/>
      <c r="TVQ523" s="1358"/>
      <c r="TVR523" s="1358"/>
      <c r="TVS523" s="1358"/>
      <c r="TVT523" s="1358"/>
      <c r="TVU523" s="1358"/>
      <c r="TVV523" s="1358"/>
      <c r="TVW523" s="1358"/>
      <c r="TVX523" s="1358"/>
      <c r="TVY523" s="1358"/>
      <c r="TVZ523" s="1358"/>
      <c r="TWA523" s="1358"/>
      <c r="TWB523" s="1358"/>
      <c r="TWC523" s="1358"/>
      <c r="TWD523" s="1358"/>
      <c r="TWE523" s="1358"/>
      <c r="TWF523" s="1358"/>
      <c r="TWG523" s="1358"/>
      <c r="TWH523" s="1358"/>
      <c r="TWI523" s="1358"/>
      <c r="TWJ523" s="1358"/>
      <c r="TWK523" s="1358"/>
      <c r="TWL523" s="1358"/>
      <c r="TWM523" s="1358"/>
      <c r="TWN523" s="1358"/>
      <c r="TWO523" s="1358"/>
      <c r="TWP523" s="1358"/>
      <c r="TWQ523" s="1358"/>
      <c r="TWR523" s="1358"/>
      <c r="TWS523" s="1358"/>
      <c r="TWT523" s="1358"/>
      <c r="TWU523" s="1358"/>
      <c r="TWV523" s="1358"/>
      <c r="TWW523" s="1358"/>
      <c r="TWX523" s="1358"/>
      <c r="TWY523" s="1358"/>
      <c r="TWZ523" s="1358"/>
      <c r="TXA523" s="1358"/>
      <c r="TXB523" s="1358"/>
      <c r="TXC523" s="1358"/>
      <c r="TXD523" s="1358"/>
      <c r="TXE523" s="1358"/>
      <c r="TXF523" s="1358"/>
      <c r="TXG523" s="1358"/>
      <c r="TXH523" s="1358"/>
      <c r="TXI523" s="1358"/>
      <c r="TXJ523" s="1358"/>
      <c r="TXK523" s="1358"/>
      <c r="TXL523" s="1358"/>
      <c r="TXM523" s="1358"/>
      <c r="TXN523" s="1358"/>
      <c r="TXO523" s="1358"/>
      <c r="TXP523" s="1358"/>
      <c r="TXQ523" s="1358"/>
      <c r="TXR523" s="1358"/>
      <c r="TXS523" s="1358"/>
      <c r="TXT523" s="1358"/>
      <c r="TXU523" s="1358"/>
      <c r="TXV523" s="1358"/>
      <c r="TXW523" s="1358"/>
      <c r="TXX523" s="1358"/>
      <c r="TXY523" s="1358"/>
      <c r="TXZ523" s="1358"/>
      <c r="TYA523" s="1358"/>
      <c r="TYB523" s="1358"/>
      <c r="TYC523" s="1358"/>
      <c r="TYD523" s="1358"/>
      <c r="TYE523" s="1358"/>
      <c r="TYF523" s="1358"/>
      <c r="TYG523" s="1358"/>
      <c r="TYH523" s="1358"/>
      <c r="TYI523" s="1358"/>
      <c r="TYJ523" s="1358"/>
      <c r="TYK523" s="1358"/>
      <c r="TYL523" s="1358"/>
      <c r="TYM523" s="1358"/>
      <c r="TYN523" s="1358"/>
      <c r="TYO523" s="1358"/>
      <c r="TYP523" s="1358"/>
      <c r="TYQ523" s="1358"/>
      <c r="TYR523" s="1358"/>
      <c r="TYS523" s="1358"/>
      <c r="TYT523" s="1358"/>
      <c r="TYU523" s="1358"/>
      <c r="TYV523" s="1358"/>
      <c r="TYW523" s="1358"/>
      <c r="TYX523" s="1358"/>
      <c r="TYY523" s="1358"/>
      <c r="TYZ523" s="1358"/>
      <c r="TZA523" s="1358"/>
      <c r="TZB523" s="1358"/>
      <c r="TZC523" s="1358"/>
      <c r="TZD523" s="1358"/>
      <c r="TZE523" s="1358"/>
      <c r="TZF523" s="1358"/>
      <c r="TZG523" s="1358"/>
      <c r="TZH523" s="1358"/>
      <c r="TZI523" s="1358"/>
      <c r="TZJ523" s="1358"/>
      <c r="TZK523" s="1358"/>
      <c r="TZL523" s="1358"/>
      <c r="TZM523" s="1358"/>
      <c r="TZN523" s="1358"/>
      <c r="TZO523" s="1358"/>
      <c r="TZP523" s="1358"/>
      <c r="TZQ523" s="1358"/>
      <c r="TZR523" s="1358"/>
      <c r="TZS523" s="1358"/>
      <c r="TZT523" s="1358"/>
      <c r="TZU523" s="1358"/>
      <c r="TZV523" s="1358"/>
      <c r="TZW523" s="1358"/>
      <c r="TZX523" s="1358"/>
      <c r="TZY523" s="1358"/>
      <c r="TZZ523" s="1358"/>
      <c r="UAA523" s="1358"/>
      <c r="UAB523" s="1358"/>
      <c r="UAC523" s="1358"/>
      <c r="UAD523" s="1358"/>
      <c r="UAE523" s="1358"/>
      <c r="UAF523" s="1358"/>
      <c r="UAG523" s="1358"/>
      <c r="UAH523" s="1358"/>
      <c r="UAI523" s="1358"/>
      <c r="UAJ523" s="1358"/>
      <c r="UAK523" s="1358"/>
      <c r="UAL523" s="1358"/>
      <c r="UAM523" s="1358"/>
      <c r="UAN523" s="1358"/>
      <c r="UAO523" s="1358"/>
      <c r="UAP523" s="1358"/>
      <c r="UAQ523" s="1358"/>
      <c r="UAR523" s="1358"/>
      <c r="UAS523" s="1358"/>
      <c r="UAT523" s="1358"/>
      <c r="UAU523" s="1358"/>
      <c r="UAV523" s="1358"/>
      <c r="UAW523" s="1358"/>
      <c r="UAX523" s="1358"/>
      <c r="UAY523" s="1358"/>
      <c r="UAZ523" s="1358"/>
      <c r="UBA523" s="1358"/>
      <c r="UBB523" s="1358"/>
      <c r="UBC523" s="1358"/>
      <c r="UBD523" s="1358"/>
      <c r="UBE523" s="1358"/>
      <c r="UBF523" s="1358"/>
      <c r="UBG523" s="1358"/>
      <c r="UBH523" s="1358"/>
      <c r="UBI523" s="1358"/>
      <c r="UBJ523" s="1358"/>
      <c r="UBK523" s="1358"/>
      <c r="UBL523" s="1358"/>
      <c r="UBM523" s="1358"/>
      <c r="UBN523" s="1358"/>
      <c r="UBO523" s="1358"/>
      <c r="UBP523" s="1358"/>
      <c r="UBQ523" s="1358"/>
      <c r="UBR523" s="1358"/>
      <c r="UBS523" s="1358"/>
      <c r="UBT523" s="1358"/>
      <c r="UBU523" s="1358"/>
      <c r="UBV523" s="1358"/>
      <c r="UBW523" s="1358"/>
      <c r="UBX523" s="1358"/>
      <c r="UBY523" s="1358"/>
      <c r="UBZ523" s="1358"/>
      <c r="UCA523" s="1358"/>
      <c r="UCB523" s="1358"/>
      <c r="UCC523" s="1358"/>
      <c r="UCD523" s="1358"/>
      <c r="UCE523" s="1358"/>
      <c r="UCF523" s="1358"/>
      <c r="UCG523" s="1358"/>
      <c r="UCH523" s="1358"/>
      <c r="UCI523" s="1358"/>
      <c r="UCJ523" s="1358"/>
      <c r="UCK523" s="1358"/>
      <c r="UCL523" s="1358"/>
      <c r="UCM523" s="1358"/>
      <c r="UCN523" s="1358"/>
      <c r="UCO523" s="1358"/>
      <c r="UCP523" s="1358"/>
      <c r="UCQ523" s="1358"/>
      <c r="UCR523" s="1358"/>
      <c r="UCS523" s="1358"/>
      <c r="UCT523" s="1358"/>
      <c r="UCU523" s="1358"/>
      <c r="UCV523" s="1358"/>
      <c r="UCW523" s="1358"/>
      <c r="UCX523" s="1358"/>
      <c r="UCY523" s="1358"/>
      <c r="UCZ523" s="1358"/>
      <c r="UDA523" s="1358"/>
      <c r="UDB523" s="1358"/>
      <c r="UDC523" s="1358"/>
      <c r="UDD523" s="1358"/>
      <c r="UDE523" s="1358"/>
      <c r="UDF523" s="1358"/>
      <c r="UDG523" s="1358"/>
      <c r="UDH523" s="1358"/>
      <c r="UDI523" s="1358"/>
      <c r="UDJ523" s="1358"/>
      <c r="UDK523" s="1358"/>
      <c r="UDL523" s="1358"/>
      <c r="UDM523" s="1358"/>
      <c r="UDN523" s="1358"/>
      <c r="UDO523" s="1358"/>
      <c r="UDP523" s="1358"/>
      <c r="UDQ523" s="1358"/>
      <c r="UDR523" s="1358"/>
      <c r="UDS523" s="1358"/>
      <c r="UDT523" s="1358"/>
      <c r="UDU523" s="1358"/>
      <c r="UDV523" s="1358"/>
      <c r="UDW523" s="1358"/>
      <c r="UDX523" s="1358"/>
      <c r="UDY523" s="1358"/>
      <c r="UDZ523" s="1358"/>
      <c r="UEA523" s="1358"/>
      <c r="UEB523" s="1358"/>
      <c r="UEC523" s="1358"/>
      <c r="UED523" s="1358"/>
      <c r="UEE523" s="1358"/>
      <c r="UEF523" s="1358"/>
      <c r="UEG523" s="1358"/>
      <c r="UEH523" s="1358"/>
      <c r="UEI523" s="1358"/>
      <c r="UEJ523" s="1358"/>
      <c r="UEK523" s="1358"/>
      <c r="UEL523" s="1358"/>
      <c r="UEM523" s="1358"/>
      <c r="UEN523" s="1358"/>
      <c r="UEO523" s="1358"/>
      <c r="UEP523" s="1358"/>
      <c r="UEQ523" s="1358"/>
      <c r="UER523" s="1358"/>
      <c r="UES523" s="1358"/>
      <c r="UET523" s="1358"/>
      <c r="UEU523" s="1358"/>
      <c r="UEV523" s="1358"/>
      <c r="UEW523" s="1358"/>
      <c r="UEX523" s="1358"/>
      <c r="UEY523" s="1358"/>
      <c r="UEZ523" s="1358"/>
      <c r="UFA523" s="1358"/>
      <c r="UFB523" s="1358"/>
      <c r="UFC523" s="1358"/>
      <c r="UFD523" s="1358"/>
      <c r="UFE523" s="1358"/>
      <c r="UFF523" s="1358"/>
      <c r="UFG523" s="1358"/>
      <c r="UFH523" s="1358"/>
      <c r="UFI523" s="1358"/>
      <c r="UFJ523" s="1358"/>
      <c r="UFK523" s="1358"/>
      <c r="UFL523" s="1358"/>
      <c r="UFM523" s="1358"/>
      <c r="UFN523" s="1358"/>
      <c r="UFO523" s="1358"/>
      <c r="UFP523" s="1358"/>
      <c r="UFQ523" s="1358"/>
      <c r="UFR523" s="1358"/>
      <c r="UFS523" s="1358"/>
      <c r="UFT523" s="1358"/>
      <c r="UFU523" s="1358"/>
      <c r="UFV523" s="1358"/>
      <c r="UFW523" s="1358"/>
      <c r="UFX523" s="1358"/>
      <c r="UFY523" s="1358"/>
      <c r="UFZ523" s="1358"/>
      <c r="UGA523" s="1358"/>
      <c r="UGB523" s="1358"/>
      <c r="UGC523" s="1358"/>
      <c r="UGD523" s="1358"/>
      <c r="UGE523" s="1358"/>
      <c r="UGF523" s="1358"/>
      <c r="UGG523" s="1358"/>
      <c r="UGH523" s="1358"/>
      <c r="UGI523" s="1358"/>
      <c r="UGJ523" s="1358"/>
      <c r="UGK523" s="1358"/>
      <c r="UGL523" s="1358"/>
      <c r="UGM523" s="1358"/>
      <c r="UGN523" s="1358"/>
      <c r="UGO523" s="1358"/>
      <c r="UGP523" s="1358"/>
      <c r="UGQ523" s="1358"/>
      <c r="UGR523" s="1358"/>
      <c r="UGS523" s="1358"/>
      <c r="UGT523" s="1358"/>
      <c r="UGU523" s="1358"/>
      <c r="UGV523" s="1358"/>
      <c r="UGW523" s="1358"/>
      <c r="UGX523" s="1358"/>
      <c r="UGY523" s="1358"/>
      <c r="UGZ523" s="1358"/>
      <c r="UHA523" s="1358"/>
      <c r="UHB523" s="1358"/>
      <c r="UHC523" s="1358"/>
      <c r="UHD523" s="1358"/>
      <c r="UHE523" s="1358"/>
      <c r="UHF523" s="1358"/>
      <c r="UHG523" s="1358"/>
      <c r="UHH523" s="1358"/>
      <c r="UHI523" s="1358"/>
      <c r="UHJ523" s="1358"/>
      <c r="UHK523" s="1358"/>
      <c r="UHL523" s="1358"/>
      <c r="UHM523" s="1358"/>
      <c r="UHN523" s="1358"/>
      <c r="UHO523" s="1358"/>
      <c r="UHP523" s="1358"/>
      <c r="UHQ523" s="1358"/>
      <c r="UHR523" s="1358"/>
      <c r="UHS523" s="1358"/>
      <c r="UHT523" s="1358"/>
      <c r="UHU523" s="1358"/>
      <c r="UHV523" s="1358"/>
      <c r="UHW523" s="1358"/>
      <c r="UHX523" s="1358"/>
      <c r="UHY523" s="1358"/>
      <c r="UHZ523" s="1358"/>
      <c r="UIA523" s="1358"/>
      <c r="UIB523" s="1358"/>
      <c r="UIC523" s="1358"/>
      <c r="UID523" s="1358"/>
      <c r="UIE523" s="1358"/>
      <c r="UIF523" s="1358"/>
      <c r="UIG523" s="1358"/>
      <c r="UIH523" s="1358"/>
      <c r="UII523" s="1358"/>
      <c r="UIJ523" s="1358"/>
      <c r="UIK523" s="1358"/>
      <c r="UIL523" s="1358"/>
      <c r="UIM523" s="1358"/>
      <c r="UIN523" s="1358"/>
      <c r="UIO523" s="1358"/>
      <c r="UIP523" s="1358"/>
      <c r="UIQ523" s="1358"/>
      <c r="UIR523" s="1358"/>
      <c r="UIS523" s="1358"/>
      <c r="UIT523" s="1358"/>
      <c r="UIU523" s="1358"/>
      <c r="UIV523" s="1358"/>
      <c r="UIW523" s="1358"/>
      <c r="UIX523" s="1358"/>
      <c r="UIY523" s="1358"/>
      <c r="UIZ523" s="1358"/>
      <c r="UJA523" s="1358"/>
      <c r="UJB523" s="1358"/>
      <c r="UJC523" s="1358"/>
      <c r="UJD523" s="1358"/>
      <c r="UJE523" s="1358"/>
      <c r="UJF523" s="1358"/>
      <c r="UJG523" s="1358"/>
      <c r="UJH523" s="1358"/>
      <c r="UJI523" s="1358"/>
      <c r="UJJ523" s="1358"/>
      <c r="UJK523" s="1358"/>
      <c r="UJL523" s="1358"/>
      <c r="UJM523" s="1358"/>
      <c r="UJN523" s="1358"/>
      <c r="UJO523" s="1358"/>
      <c r="UJP523" s="1358"/>
      <c r="UJQ523" s="1358"/>
      <c r="UJR523" s="1358"/>
      <c r="UJS523" s="1358"/>
      <c r="UJT523" s="1358"/>
      <c r="UJU523" s="1358"/>
      <c r="UJV523" s="1358"/>
      <c r="UJW523" s="1358"/>
      <c r="UJX523" s="1358"/>
      <c r="UJY523" s="1358"/>
      <c r="UJZ523" s="1358"/>
      <c r="UKA523" s="1358"/>
      <c r="UKB523" s="1358"/>
      <c r="UKC523" s="1358"/>
      <c r="UKD523" s="1358"/>
      <c r="UKE523" s="1358"/>
      <c r="UKF523" s="1358"/>
      <c r="UKG523" s="1358"/>
      <c r="UKH523" s="1358"/>
      <c r="UKI523" s="1358"/>
      <c r="UKJ523" s="1358"/>
      <c r="UKK523" s="1358"/>
      <c r="UKL523" s="1358"/>
      <c r="UKM523" s="1358"/>
      <c r="UKN523" s="1358"/>
      <c r="UKO523" s="1358"/>
      <c r="UKP523" s="1358"/>
      <c r="UKQ523" s="1358"/>
      <c r="UKR523" s="1358"/>
      <c r="UKS523" s="1358"/>
      <c r="UKT523" s="1358"/>
      <c r="UKU523" s="1358"/>
      <c r="UKV523" s="1358"/>
      <c r="UKW523" s="1358"/>
      <c r="UKX523" s="1358"/>
      <c r="UKY523" s="1358"/>
      <c r="UKZ523" s="1358"/>
      <c r="ULA523" s="1358"/>
      <c r="ULB523" s="1358"/>
      <c r="ULC523" s="1358"/>
      <c r="ULD523" s="1358"/>
      <c r="ULE523" s="1358"/>
      <c r="ULF523" s="1358"/>
      <c r="ULG523" s="1358"/>
      <c r="ULH523" s="1358"/>
      <c r="ULI523" s="1358"/>
      <c r="ULJ523" s="1358"/>
      <c r="ULK523" s="1358"/>
      <c r="ULL523" s="1358"/>
      <c r="ULM523" s="1358"/>
      <c r="ULN523" s="1358"/>
      <c r="ULO523" s="1358"/>
      <c r="ULP523" s="1358"/>
      <c r="ULQ523" s="1358"/>
      <c r="ULR523" s="1358"/>
      <c r="ULS523" s="1358"/>
      <c r="ULT523" s="1358"/>
      <c r="ULU523" s="1358"/>
      <c r="ULV523" s="1358"/>
      <c r="ULW523" s="1358"/>
      <c r="ULX523" s="1358"/>
      <c r="ULY523" s="1358"/>
      <c r="ULZ523" s="1358"/>
      <c r="UMA523" s="1358"/>
      <c r="UMB523" s="1358"/>
      <c r="UMC523" s="1358"/>
      <c r="UMD523" s="1358"/>
      <c r="UME523" s="1358"/>
      <c r="UMF523" s="1358"/>
      <c r="UMG523" s="1358"/>
      <c r="UMH523" s="1358"/>
      <c r="UMI523" s="1358"/>
      <c r="UMJ523" s="1358"/>
      <c r="UMK523" s="1358"/>
      <c r="UML523" s="1358"/>
      <c r="UMM523" s="1358"/>
      <c r="UMN523" s="1358"/>
      <c r="UMO523" s="1358"/>
      <c r="UMP523" s="1358"/>
      <c r="UMQ523" s="1358"/>
      <c r="UMR523" s="1358"/>
      <c r="UMS523" s="1358"/>
      <c r="UMT523" s="1358"/>
      <c r="UMU523" s="1358"/>
      <c r="UMV523" s="1358"/>
      <c r="UMW523" s="1358"/>
      <c r="UMX523" s="1358"/>
      <c r="UMY523" s="1358"/>
      <c r="UMZ523" s="1358"/>
      <c r="UNA523" s="1358"/>
      <c r="UNB523" s="1358"/>
      <c r="UNC523" s="1358"/>
      <c r="UND523" s="1358"/>
      <c r="UNE523" s="1358"/>
      <c r="UNF523" s="1358"/>
      <c r="UNG523" s="1358"/>
      <c r="UNH523" s="1358"/>
      <c r="UNI523" s="1358"/>
      <c r="UNJ523" s="1358"/>
      <c r="UNK523" s="1358"/>
      <c r="UNL523" s="1358"/>
      <c r="UNM523" s="1358"/>
      <c r="UNN523" s="1358"/>
      <c r="UNO523" s="1358"/>
      <c r="UNP523" s="1358"/>
      <c r="UNQ523" s="1358"/>
      <c r="UNR523" s="1358"/>
      <c r="UNS523" s="1358"/>
      <c r="UNT523" s="1358"/>
      <c r="UNU523" s="1358"/>
      <c r="UNV523" s="1358"/>
      <c r="UNW523" s="1358"/>
      <c r="UNX523" s="1358"/>
      <c r="UNY523" s="1358"/>
      <c r="UNZ523" s="1358"/>
      <c r="UOA523" s="1358"/>
      <c r="UOB523" s="1358"/>
      <c r="UOC523" s="1358"/>
      <c r="UOD523" s="1358"/>
      <c r="UOE523" s="1358"/>
      <c r="UOF523" s="1358"/>
      <c r="UOG523" s="1358"/>
      <c r="UOH523" s="1358"/>
      <c r="UOI523" s="1358"/>
      <c r="UOJ523" s="1358"/>
      <c r="UOK523" s="1358"/>
      <c r="UOL523" s="1358"/>
      <c r="UOM523" s="1358"/>
      <c r="UON523" s="1358"/>
      <c r="UOO523" s="1358"/>
      <c r="UOP523" s="1358"/>
      <c r="UOQ523" s="1358"/>
      <c r="UOR523" s="1358"/>
      <c r="UOS523" s="1358"/>
      <c r="UOT523" s="1358"/>
      <c r="UOU523" s="1358"/>
      <c r="UOV523" s="1358"/>
      <c r="UOW523" s="1358"/>
      <c r="UOX523" s="1358"/>
      <c r="UOY523" s="1358"/>
      <c r="UOZ523" s="1358"/>
      <c r="UPA523" s="1358"/>
      <c r="UPB523" s="1358"/>
      <c r="UPC523" s="1358"/>
      <c r="UPD523" s="1358"/>
      <c r="UPE523" s="1358"/>
      <c r="UPF523" s="1358"/>
      <c r="UPG523" s="1358"/>
      <c r="UPH523" s="1358"/>
      <c r="UPI523" s="1358"/>
      <c r="UPJ523" s="1358"/>
      <c r="UPK523" s="1358"/>
      <c r="UPL523" s="1358"/>
      <c r="UPM523" s="1358"/>
      <c r="UPN523" s="1358"/>
      <c r="UPO523" s="1358"/>
      <c r="UPP523" s="1358"/>
      <c r="UPQ523" s="1358"/>
      <c r="UPR523" s="1358"/>
      <c r="UPS523" s="1358"/>
      <c r="UPT523" s="1358"/>
      <c r="UPU523" s="1358"/>
      <c r="UPV523" s="1358"/>
      <c r="UPW523" s="1358"/>
      <c r="UPX523" s="1358"/>
      <c r="UPY523" s="1358"/>
      <c r="UPZ523" s="1358"/>
      <c r="UQA523" s="1358"/>
      <c r="UQB523" s="1358"/>
      <c r="UQC523" s="1358"/>
      <c r="UQD523" s="1358"/>
      <c r="UQE523" s="1358"/>
      <c r="UQF523" s="1358"/>
      <c r="UQG523" s="1358"/>
      <c r="UQH523" s="1358"/>
      <c r="UQI523" s="1358"/>
      <c r="UQJ523" s="1358"/>
      <c r="UQK523" s="1358"/>
      <c r="UQL523" s="1358"/>
      <c r="UQM523" s="1358"/>
      <c r="UQN523" s="1358"/>
      <c r="UQO523" s="1358"/>
      <c r="UQP523" s="1358"/>
      <c r="UQQ523" s="1358"/>
      <c r="UQR523" s="1358"/>
      <c r="UQS523" s="1358"/>
      <c r="UQT523" s="1358"/>
      <c r="UQU523" s="1358"/>
      <c r="UQV523" s="1358"/>
      <c r="UQW523" s="1358"/>
      <c r="UQX523" s="1358"/>
      <c r="UQY523" s="1358"/>
      <c r="UQZ523" s="1358"/>
      <c r="URA523" s="1358"/>
      <c r="URB523" s="1358"/>
      <c r="URC523" s="1358"/>
      <c r="URD523" s="1358"/>
      <c r="URE523" s="1358"/>
      <c r="URF523" s="1358"/>
      <c r="URG523" s="1358"/>
      <c r="URH523" s="1358"/>
      <c r="URI523" s="1358"/>
      <c r="URJ523" s="1358"/>
      <c r="URK523" s="1358"/>
      <c r="URL523" s="1358"/>
      <c r="URM523" s="1358"/>
      <c r="URN523" s="1358"/>
      <c r="URO523" s="1358"/>
      <c r="URP523" s="1358"/>
      <c r="URQ523" s="1358"/>
      <c r="URR523" s="1358"/>
      <c r="URS523" s="1358"/>
      <c r="URT523" s="1358"/>
      <c r="URU523" s="1358"/>
      <c r="URV523" s="1358"/>
      <c r="URW523" s="1358"/>
      <c r="URX523" s="1358"/>
      <c r="URY523" s="1358"/>
      <c r="URZ523" s="1358"/>
      <c r="USA523" s="1358"/>
      <c r="USB523" s="1358"/>
      <c r="USC523" s="1358"/>
      <c r="USD523" s="1358"/>
      <c r="USE523" s="1358"/>
      <c r="USF523" s="1358"/>
      <c r="USG523" s="1358"/>
      <c r="USH523" s="1358"/>
      <c r="USI523" s="1358"/>
      <c r="USJ523" s="1358"/>
      <c r="USK523" s="1358"/>
      <c r="USL523" s="1358"/>
      <c r="USM523" s="1358"/>
      <c r="USN523" s="1358"/>
      <c r="USO523" s="1358"/>
      <c r="USP523" s="1358"/>
      <c r="USQ523" s="1358"/>
      <c r="USR523" s="1358"/>
      <c r="USS523" s="1358"/>
      <c r="UST523" s="1358"/>
      <c r="USU523" s="1358"/>
      <c r="USV523" s="1358"/>
      <c r="USW523" s="1358"/>
      <c r="USX523" s="1358"/>
      <c r="USY523" s="1358"/>
      <c r="USZ523" s="1358"/>
      <c r="UTA523" s="1358"/>
      <c r="UTB523" s="1358"/>
      <c r="UTC523" s="1358"/>
      <c r="UTD523" s="1358"/>
      <c r="UTE523" s="1358"/>
      <c r="UTF523" s="1358"/>
      <c r="UTG523" s="1358"/>
      <c r="UTH523" s="1358"/>
      <c r="UTI523" s="1358"/>
      <c r="UTJ523" s="1358"/>
      <c r="UTK523" s="1358"/>
      <c r="UTL523" s="1358"/>
      <c r="UTM523" s="1358"/>
      <c r="UTN523" s="1358"/>
      <c r="UTO523" s="1358"/>
      <c r="UTP523" s="1358"/>
      <c r="UTQ523" s="1358"/>
      <c r="UTR523" s="1358"/>
      <c r="UTS523" s="1358"/>
      <c r="UTT523" s="1358"/>
      <c r="UTU523" s="1358"/>
      <c r="UTV523" s="1358"/>
      <c r="UTW523" s="1358"/>
      <c r="UTX523" s="1358"/>
      <c r="UTY523" s="1358"/>
      <c r="UTZ523" s="1358"/>
      <c r="UUA523" s="1358"/>
      <c r="UUB523" s="1358"/>
      <c r="UUC523" s="1358"/>
      <c r="UUD523" s="1358"/>
      <c r="UUE523" s="1358"/>
      <c r="UUF523" s="1358"/>
      <c r="UUG523" s="1358"/>
      <c r="UUH523" s="1358"/>
      <c r="UUI523" s="1358"/>
      <c r="UUJ523" s="1358"/>
      <c r="UUK523" s="1358"/>
      <c r="UUL523" s="1358"/>
      <c r="UUM523" s="1358"/>
      <c r="UUN523" s="1358"/>
      <c r="UUO523" s="1358"/>
      <c r="UUP523" s="1358"/>
      <c r="UUQ523" s="1358"/>
      <c r="UUR523" s="1358"/>
      <c r="UUS523" s="1358"/>
      <c r="UUT523" s="1358"/>
      <c r="UUU523" s="1358"/>
      <c r="UUV523" s="1358"/>
      <c r="UUW523" s="1358"/>
      <c r="UUX523" s="1358"/>
      <c r="UUY523" s="1358"/>
      <c r="UUZ523" s="1358"/>
      <c r="UVA523" s="1358"/>
      <c r="UVB523" s="1358"/>
      <c r="UVC523" s="1358"/>
      <c r="UVD523" s="1358"/>
      <c r="UVE523" s="1358"/>
      <c r="UVF523" s="1358"/>
      <c r="UVG523" s="1358"/>
      <c r="UVH523" s="1358"/>
      <c r="UVI523" s="1358"/>
      <c r="UVJ523" s="1358"/>
      <c r="UVK523" s="1358"/>
      <c r="UVL523" s="1358"/>
      <c r="UVM523" s="1358"/>
      <c r="UVN523" s="1358"/>
      <c r="UVO523" s="1358"/>
      <c r="UVP523" s="1358"/>
      <c r="UVQ523" s="1358"/>
      <c r="UVR523" s="1358"/>
      <c r="UVS523" s="1358"/>
      <c r="UVT523" s="1358"/>
      <c r="UVU523" s="1358"/>
      <c r="UVV523" s="1358"/>
      <c r="UVW523" s="1358"/>
      <c r="UVX523" s="1358"/>
      <c r="UVY523" s="1358"/>
      <c r="UVZ523" s="1358"/>
      <c r="UWA523" s="1358"/>
      <c r="UWB523" s="1358"/>
      <c r="UWC523" s="1358"/>
      <c r="UWD523" s="1358"/>
      <c r="UWE523" s="1358"/>
      <c r="UWF523" s="1358"/>
      <c r="UWG523" s="1358"/>
      <c r="UWH523" s="1358"/>
      <c r="UWI523" s="1358"/>
      <c r="UWJ523" s="1358"/>
      <c r="UWK523" s="1358"/>
      <c r="UWL523" s="1358"/>
      <c r="UWM523" s="1358"/>
      <c r="UWN523" s="1358"/>
      <c r="UWO523" s="1358"/>
      <c r="UWP523" s="1358"/>
      <c r="UWQ523" s="1358"/>
      <c r="UWR523" s="1358"/>
      <c r="UWS523" s="1358"/>
      <c r="UWT523" s="1358"/>
      <c r="UWU523" s="1358"/>
      <c r="UWV523" s="1358"/>
      <c r="UWW523" s="1358"/>
      <c r="UWX523" s="1358"/>
      <c r="UWY523" s="1358"/>
      <c r="UWZ523" s="1358"/>
      <c r="UXA523" s="1358"/>
      <c r="UXB523" s="1358"/>
      <c r="UXC523" s="1358"/>
      <c r="UXD523" s="1358"/>
      <c r="UXE523" s="1358"/>
      <c r="UXF523" s="1358"/>
      <c r="UXG523" s="1358"/>
      <c r="UXH523" s="1358"/>
      <c r="UXI523" s="1358"/>
      <c r="UXJ523" s="1358"/>
      <c r="UXK523" s="1358"/>
      <c r="UXL523" s="1358"/>
      <c r="UXM523" s="1358"/>
      <c r="UXN523" s="1358"/>
      <c r="UXO523" s="1358"/>
      <c r="UXP523" s="1358"/>
      <c r="UXQ523" s="1358"/>
      <c r="UXR523" s="1358"/>
      <c r="UXS523" s="1358"/>
      <c r="UXT523" s="1358"/>
      <c r="UXU523" s="1358"/>
      <c r="UXV523" s="1358"/>
      <c r="UXW523" s="1358"/>
      <c r="UXX523" s="1358"/>
      <c r="UXY523" s="1358"/>
      <c r="UXZ523" s="1358"/>
      <c r="UYA523" s="1358"/>
      <c r="UYB523" s="1358"/>
      <c r="UYC523" s="1358"/>
      <c r="UYD523" s="1358"/>
      <c r="UYE523" s="1358"/>
      <c r="UYF523" s="1358"/>
      <c r="UYG523" s="1358"/>
      <c r="UYH523" s="1358"/>
      <c r="UYI523" s="1358"/>
      <c r="UYJ523" s="1358"/>
      <c r="UYK523" s="1358"/>
      <c r="UYL523" s="1358"/>
      <c r="UYM523" s="1358"/>
      <c r="UYN523" s="1358"/>
      <c r="UYO523" s="1358"/>
      <c r="UYP523" s="1358"/>
      <c r="UYQ523" s="1358"/>
      <c r="UYR523" s="1358"/>
      <c r="UYS523" s="1358"/>
      <c r="UYT523" s="1358"/>
      <c r="UYU523" s="1358"/>
      <c r="UYV523" s="1358"/>
      <c r="UYW523" s="1358"/>
      <c r="UYX523" s="1358"/>
      <c r="UYY523" s="1358"/>
      <c r="UYZ523" s="1358"/>
      <c r="UZA523" s="1358"/>
      <c r="UZB523" s="1358"/>
      <c r="UZC523" s="1358"/>
      <c r="UZD523" s="1358"/>
      <c r="UZE523" s="1358"/>
      <c r="UZF523" s="1358"/>
      <c r="UZG523" s="1358"/>
      <c r="UZH523" s="1358"/>
      <c r="UZI523" s="1358"/>
      <c r="UZJ523" s="1358"/>
      <c r="UZK523" s="1358"/>
      <c r="UZL523" s="1358"/>
      <c r="UZM523" s="1358"/>
      <c r="UZN523" s="1358"/>
      <c r="UZO523" s="1358"/>
      <c r="UZP523" s="1358"/>
      <c r="UZQ523" s="1358"/>
      <c r="UZR523" s="1358"/>
      <c r="UZS523" s="1358"/>
      <c r="UZT523" s="1358"/>
      <c r="UZU523" s="1358"/>
      <c r="UZV523" s="1358"/>
      <c r="UZW523" s="1358"/>
      <c r="UZX523" s="1358"/>
      <c r="UZY523" s="1358"/>
      <c r="UZZ523" s="1358"/>
      <c r="VAA523" s="1358"/>
      <c r="VAB523" s="1358"/>
      <c r="VAC523" s="1358"/>
      <c r="VAD523" s="1358"/>
      <c r="VAE523" s="1358"/>
      <c r="VAF523" s="1358"/>
      <c r="VAG523" s="1358"/>
      <c r="VAH523" s="1358"/>
      <c r="VAI523" s="1358"/>
      <c r="VAJ523" s="1358"/>
      <c r="VAK523" s="1358"/>
      <c r="VAL523" s="1358"/>
      <c r="VAM523" s="1358"/>
      <c r="VAN523" s="1358"/>
      <c r="VAO523" s="1358"/>
      <c r="VAP523" s="1358"/>
      <c r="VAQ523" s="1358"/>
      <c r="VAR523" s="1358"/>
      <c r="VAS523" s="1358"/>
      <c r="VAT523" s="1358"/>
      <c r="VAU523" s="1358"/>
      <c r="VAV523" s="1358"/>
      <c r="VAW523" s="1358"/>
      <c r="VAX523" s="1358"/>
      <c r="VAY523" s="1358"/>
      <c r="VAZ523" s="1358"/>
      <c r="VBA523" s="1358"/>
      <c r="VBB523" s="1358"/>
      <c r="VBC523" s="1358"/>
      <c r="VBD523" s="1358"/>
      <c r="VBE523" s="1358"/>
      <c r="VBF523" s="1358"/>
      <c r="VBG523" s="1358"/>
      <c r="VBH523" s="1358"/>
      <c r="VBI523" s="1358"/>
      <c r="VBJ523" s="1358"/>
      <c r="VBK523" s="1358"/>
      <c r="VBL523" s="1358"/>
      <c r="VBM523" s="1358"/>
      <c r="VBN523" s="1358"/>
      <c r="VBO523" s="1358"/>
      <c r="VBP523" s="1358"/>
      <c r="VBQ523" s="1358"/>
      <c r="VBR523" s="1358"/>
      <c r="VBS523" s="1358"/>
      <c r="VBT523" s="1358"/>
      <c r="VBU523" s="1358"/>
      <c r="VBV523" s="1358"/>
      <c r="VBW523" s="1358"/>
      <c r="VBX523" s="1358"/>
      <c r="VBY523" s="1358"/>
      <c r="VBZ523" s="1358"/>
      <c r="VCA523" s="1358"/>
      <c r="VCB523" s="1358"/>
      <c r="VCC523" s="1358"/>
      <c r="VCD523" s="1358"/>
      <c r="VCE523" s="1358"/>
      <c r="VCF523" s="1358"/>
      <c r="VCG523" s="1358"/>
      <c r="VCH523" s="1358"/>
      <c r="VCI523" s="1358"/>
      <c r="VCJ523" s="1358"/>
      <c r="VCK523" s="1358"/>
      <c r="VCL523" s="1358"/>
      <c r="VCM523" s="1358"/>
      <c r="VCN523" s="1358"/>
      <c r="VCO523" s="1358"/>
      <c r="VCP523" s="1358"/>
      <c r="VCQ523" s="1358"/>
      <c r="VCR523" s="1358"/>
      <c r="VCS523" s="1358"/>
      <c r="VCT523" s="1358"/>
      <c r="VCU523" s="1358"/>
      <c r="VCV523" s="1358"/>
      <c r="VCW523" s="1358"/>
      <c r="VCX523" s="1358"/>
      <c r="VCY523" s="1358"/>
      <c r="VCZ523" s="1358"/>
      <c r="VDA523" s="1358"/>
      <c r="VDB523" s="1358"/>
      <c r="VDC523" s="1358"/>
      <c r="VDD523" s="1358"/>
      <c r="VDE523" s="1358"/>
      <c r="VDF523" s="1358"/>
      <c r="VDG523" s="1358"/>
      <c r="VDH523" s="1358"/>
      <c r="VDI523" s="1358"/>
      <c r="VDJ523" s="1358"/>
      <c r="VDK523" s="1358"/>
      <c r="VDL523" s="1358"/>
      <c r="VDM523" s="1358"/>
      <c r="VDN523" s="1358"/>
      <c r="VDO523" s="1358"/>
      <c r="VDP523" s="1358"/>
      <c r="VDQ523" s="1358"/>
      <c r="VDR523" s="1358"/>
      <c r="VDS523" s="1358"/>
      <c r="VDT523" s="1358"/>
      <c r="VDU523" s="1358"/>
      <c r="VDV523" s="1358"/>
      <c r="VDW523" s="1358"/>
      <c r="VDX523" s="1358"/>
      <c r="VDY523" s="1358"/>
      <c r="VDZ523" s="1358"/>
      <c r="VEA523" s="1358"/>
      <c r="VEB523" s="1358"/>
      <c r="VEC523" s="1358"/>
      <c r="VED523" s="1358"/>
      <c r="VEE523" s="1358"/>
      <c r="VEF523" s="1358"/>
      <c r="VEG523" s="1358"/>
      <c r="VEH523" s="1358"/>
      <c r="VEI523" s="1358"/>
      <c r="VEJ523" s="1358"/>
      <c r="VEK523" s="1358"/>
      <c r="VEL523" s="1358"/>
      <c r="VEM523" s="1358"/>
      <c r="VEN523" s="1358"/>
      <c r="VEO523" s="1358"/>
      <c r="VEP523" s="1358"/>
      <c r="VEQ523" s="1358"/>
      <c r="VER523" s="1358"/>
      <c r="VES523" s="1358"/>
      <c r="VET523" s="1358"/>
      <c r="VEU523" s="1358"/>
      <c r="VEV523" s="1358"/>
      <c r="VEW523" s="1358"/>
      <c r="VEX523" s="1358"/>
      <c r="VEY523" s="1358"/>
      <c r="VEZ523" s="1358"/>
      <c r="VFA523" s="1358"/>
      <c r="VFB523" s="1358"/>
      <c r="VFC523" s="1358"/>
      <c r="VFD523" s="1358"/>
      <c r="VFE523" s="1358"/>
      <c r="VFF523" s="1358"/>
      <c r="VFG523" s="1358"/>
      <c r="VFH523" s="1358"/>
      <c r="VFI523" s="1358"/>
      <c r="VFJ523" s="1358"/>
      <c r="VFK523" s="1358"/>
      <c r="VFL523" s="1358"/>
      <c r="VFM523" s="1358"/>
      <c r="VFN523" s="1358"/>
      <c r="VFO523" s="1358"/>
      <c r="VFP523" s="1358"/>
      <c r="VFQ523" s="1358"/>
      <c r="VFR523" s="1358"/>
      <c r="VFS523" s="1358"/>
      <c r="VFT523" s="1358"/>
      <c r="VFU523" s="1358"/>
      <c r="VFV523" s="1358"/>
      <c r="VFW523" s="1358"/>
      <c r="VFX523" s="1358"/>
      <c r="VFY523" s="1358"/>
      <c r="VFZ523" s="1358"/>
      <c r="VGA523" s="1358"/>
      <c r="VGB523" s="1358"/>
      <c r="VGC523" s="1358"/>
      <c r="VGD523" s="1358"/>
      <c r="VGE523" s="1358"/>
      <c r="VGF523" s="1358"/>
      <c r="VGG523" s="1358"/>
      <c r="VGH523" s="1358"/>
      <c r="VGI523" s="1358"/>
      <c r="VGJ523" s="1358"/>
      <c r="VGK523" s="1358"/>
      <c r="VGL523" s="1358"/>
      <c r="VGM523" s="1358"/>
      <c r="VGN523" s="1358"/>
      <c r="VGO523" s="1358"/>
      <c r="VGP523" s="1358"/>
      <c r="VGQ523" s="1358"/>
      <c r="VGR523" s="1358"/>
      <c r="VGS523" s="1358"/>
      <c r="VGT523" s="1358"/>
      <c r="VGU523" s="1358"/>
      <c r="VGV523" s="1358"/>
      <c r="VGW523" s="1358"/>
      <c r="VGX523" s="1358"/>
      <c r="VGY523" s="1358"/>
      <c r="VGZ523" s="1358"/>
      <c r="VHA523" s="1358"/>
      <c r="VHB523" s="1358"/>
      <c r="VHC523" s="1358"/>
      <c r="VHD523" s="1358"/>
      <c r="VHE523" s="1358"/>
      <c r="VHF523" s="1358"/>
      <c r="VHG523" s="1358"/>
      <c r="VHH523" s="1358"/>
      <c r="VHI523" s="1358"/>
      <c r="VHJ523" s="1358"/>
      <c r="VHK523" s="1358"/>
      <c r="VHL523" s="1358"/>
      <c r="VHM523" s="1358"/>
      <c r="VHN523" s="1358"/>
      <c r="VHO523" s="1358"/>
      <c r="VHP523" s="1358"/>
      <c r="VHQ523" s="1358"/>
      <c r="VHR523" s="1358"/>
      <c r="VHS523" s="1358"/>
      <c r="VHT523" s="1358"/>
      <c r="VHU523" s="1358"/>
      <c r="VHV523" s="1358"/>
      <c r="VHW523" s="1358"/>
      <c r="VHX523" s="1358"/>
      <c r="VHY523" s="1358"/>
      <c r="VHZ523" s="1358"/>
      <c r="VIA523" s="1358"/>
      <c r="VIB523" s="1358"/>
      <c r="VIC523" s="1358"/>
      <c r="VID523" s="1358"/>
      <c r="VIE523" s="1358"/>
      <c r="VIF523" s="1358"/>
      <c r="VIG523" s="1358"/>
      <c r="VIH523" s="1358"/>
      <c r="VII523" s="1358"/>
      <c r="VIJ523" s="1358"/>
      <c r="VIK523" s="1358"/>
      <c r="VIL523" s="1358"/>
      <c r="VIM523" s="1358"/>
      <c r="VIN523" s="1358"/>
      <c r="VIO523" s="1358"/>
      <c r="VIP523" s="1358"/>
      <c r="VIQ523" s="1358"/>
      <c r="VIR523" s="1358"/>
      <c r="VIS523" s="1358"/>
      <c r="VIT523" s="1358"/>
      <c r="VIU523" s="1358"/>
      <c r="VIV523" s="1358"/>
      <c r="VIW523" s="1358"/>
      <c r="VIX523" s="1358"/>
      <c r="VIY523" s="1358"/>
      <c r="VIZ523" s="1358"/>
      <c r="VJA523" s="1358"/>
      <c r="VJB523" s="1358"/>
      <c r="VJC523" s="1358"/>
      <c r="VJD523" s="1358"/>
      <c r="VJE523" s="1358"/>
      <c r="VJF523" s="1358"/>
      <c r="VJG523" s="1358"/>
      <c r="VJH523" s="1358"/>
      <c r="VJI523" s="1358"/>
      <c r="VJJ523" s="1358"/>
      <c r="VJK523" s="1358"/>
      <c r="VJL523" s="1358"/>
      <c r="VJM523" s="1358"/>
      <c r="VJN523" s="1358"/>
      <c r="VJO523" s="1358"/>
      <c r="VJP523" s="1358"/>
      <c r="VJQ523" s="1358"/>
      <c r="VJR523" s="1358"/>
      <c r="VJS523" s="1358"/>
      <c r="VJT523" s="1358"/>
      <c r="VJU523" s="1358"/>
      <c r="VJV523" s="1358"/>
      <c r="VJW523" s="1358"/>
      <c r="VJX523" s="1358"/>
      <c r="VJY523" s="1358"/>
      <c r="VJZ523" s="1358"/>
      <c r="VKA523" s="1358"/>
      <c r="VKB523" s="1358"/>
      <c r="VKC523" s="1358"/>
      <c r="VKD523" s="1358"/>
      <c r="VKE523" s="1358"/>
      <c r="VKF523" s="1358"/>
      <c r="VKG523" s="1358"/>
      <c r="VKH523" s="1358"/>
      <c r="VKI523" s="1358"/>
      <c r="VKJ523" s="1358"/>
      <c r="VKK523" s="1358"/>
      <c r="VKL523" s="1358"/>
      <c r="VKM523" s="1358"/>
      <c r="VKN523" s="1358"/>
      <c r="VKO523" s="1358"/>
      <c r="VKP523" s="1358"/>
      <c r="VKQ523" s="1358"/>
      <c r="VKR523" s="1358"/>
      <c r="VKS523" s="1358"/>
      <c r="VKT523" s="1358"/>
      <c r="VKU523" s="1358"/>
      <c r="VKV523" s="1358"/>
      <c r="VKW523" s="1358"/>
      <c r="VKX523" s="1358"/>
      <c r="VKY523" s="1358"/>
      <c r="VKZ523" s="1358"/>
      <c r="VLA523" s="1358"/>
      <c r="VLB523" s="1358"/>
      <c r="VLC523" s="1358"/>
      <c r="VLD523" s="1358"/>
      <c r="VLE523" s="1358"/>
      <c r="VLF523" s="1358"/>
      <c r="VLG523" s="1358"/>
      <c r="VLH523" s="1358"/>
      <c r="VLI523" s="1358"/>
      <c r="VLJ523" s="1358"/>
      <c r="VLK523" s="1358"/>
      <c r="VLL523" s="1358"/>
      <c r="VLM523" s="1358"/>
      <c r="VLN523" s="1358"/>
      <c r="VLO523" s="1358"/>
      <c r="VLP523" s="1358"/>
      <c r="VLQ523" s="1358"/>
      <c r="VLR523" s="1358"/>
      <c r="VLS523" s="1358"/>
      <c r="VLT523" s="1358"/>
      <c r="VLU523" s="1358"/>
      <c r="VLV523" s="1358"/>
      <c r="VLW523" s="1358"/>
      <c r="VLX523" s="1358"/>
      <c r="VLY523" s="1358"/>
      <c r="VLZ523" s="1358"/>
      <c r="VMA523" s="1358"/>
      <c r="VMB523" s="1358"/>
      <c r="VMC523" s="1358"/>
      <c r="VMD523" s="1358"/>
      <c r="VME523" s="1358"/>
      <c r="VMF523" s="1358"/>
      <c r="VMG523" s="1358"/>
      <c r="VMH523" s="1358"/>
      <c r="VMI523" s="1358"/>
      <c r="VMJ523" s="1358"/>
      <c r="VMK523" s="1358"/>
      <c r="VML523" s="1358"/>
      <c r="VMM523" s="1358"/>
      <c r="VMN523" s="1358"/>
      <c r="VMO523" s="1358"/>
      <c r="VMP523" s="1358"/>
      <c r="VMQ523" s="1358"/>
      <c r="VMR523" s="1358"/>
      <c r="VMS523" s="1358"/>
      <c r="VMT523" s="1358"/>
      <c r="VMU523" s="1358"/>
      <c r="VMV523" s="1358"/>
      <c r="VMW523" s="1358"/>
      <c r="VMX523" s="1358"/>
      <c r="VMY523" s="1358"/>
      <c r="VMZ523" s="1358"/>
      <c r="VNA523" s="1358"/>
      <c r="VNB523" s="1358"/>
      <c r="VNC523" s="1358"/>
      <c r="VND523" s="1358"/>
      <c r="VNE523" s="1358"/>
      <c r="VNF523" s="1358"/>
      <c r="VNG523" s="1358"/>
      <c r="VNH523" s="1358"/>
      <c r="VNI523" s="1358"/>
      <c r="VNJ523" s="1358"/>
      <c r="VNK523" s="1358"/>
      <c r="VNL523" s="1358"/>
      <c r="VNM523" s="1358"/>
      <c r="VNN523" s="1358"/>
      <c r="VNO523" s="1358"/>
      <c r="VNP523" s="1358"/>
      <c r="VNQ523" s="1358"/>
      <c r="VNR523" s="1358"/>
      <c r="VNS523" s="1358"/>
      <c r="VNT523" s="1358"/>
      <c r="VNU523" s="1358"/>
      <c r="VNV523" s="1358"/>
      <c r="VNW523" s="1358"/>
      <c r="VNX523" s="1358"/>
      <c r="VNY523" s="1358"/>
      <c r="VNZ523" s="1358"/>
      <c r="VOA523" s="1358"/>
      <c r="VOB523" s="1358"/>
      <c r="VOC523" s="1358"/>
      <c r="VOD523" s="1358"/>
      <c r="VOE523" s="1358"/>
      <c r="VOF523" s="1358"/>
      <c r="VOG523" s="1358"/>
      <c r="VOH523" s="1358"/>
      <c r="VOI523" s="1358"/>
      <c r="VOJ523" s="1358"/>
      <c r="VOK523" s="1358"/>
      <c r="VOL523" s="1358"/>
      <c r="VOM523" s="1358"/>
      <c r="VON523" s="1358"/>
      <c r="VOO523" s="1358"/>
      <c r="VOP523" s="1358"/>
      <c r="VOQ523" s="1358"/>
      <c r="VOR523" s="1358"/>
      <c r="VOS523" s="1358"/>
      <c r="VOT523" s="1358"/>
      <c r="VOU523" s="1358"/>
      <c r="VOV523" s="1358"/>
      <c r="VOW523" s="1358"/>
      <c r="VOX523" s="1358"/>
      <c r="VOY523" s="1358"/>
      <c r="VOZ523" s="1358"/>
      <c r="VPA523" s="1358"/>
      <c r="VPB523" s="1358"/>
      <c r="VPC523" s="1358"/>
      <c r="VPD523" s="1358"/>
      <c r="VPE523" s="1358"/>
      <c r="VPF523" s="1358"/>
      <c r="VPG523" s="1358"/>
      <c r="VPH523" s="1358"/>
      <c r="VPI523" s="1358"/>
      <c r="VPJ523" s="1358"/>
      <c r="VPK523" s="1358"/>
      <c r="VPL523" s="1358"/>
      <c r="VPM523" s="1358"/>
      <c r="VPN523" s="1358"/>
      <c r="VPO523" s="1358"/>
      <c r="VPP523" s="1358"/>
      <c r="VPQ523" s="1358"/>
      <c r="VPR523" s="1358"/>
      <c r="VPS523" s="1358"/>
      <c r="VPT523" s="1358"/>
      <c r="VPU523" s="1358"/>
      <c r="VPV523" s="1358"/>
      <c r="VPW523" s="1358"/>
      <c r="VPX523" s="1358"/>
      <c r="VPY523" s="1358"/>
      <c r="VPZ523" s="1358"/>
      <c r="VQA523" s="1358"/>
      <c r="VQB523" s="1358"/>
      <c r="VQC523" s="1358"/>
      <c r="VQD523" s="1358"/>
      <c r="VQE523" s="1358"/>
      <c r="VQF523" s="1358"/>
      <c r="VQG523" s="1358"/>
      <c r="VQH523" s="1358"/>
      <c r="VQI523" s="1358"/>
      <c r="VQJ523" s="1358"/>
      <c r="VQK523" s="1358"/>
      <c r="VQL523" s="1358"/>
      <c r="VQM523" s="1358"/>
      <c r="VQN523" s="1358"/>
      <c r="VQO523" s="1358"/>
      <c r="VQP523" s="1358"/>
      <c r="VQQ523" s="1358"/>
      <c r="VQR523" s="1358"/>
      <c r="VQS523" s="1358"/>
      <c r="VQT523" s="1358"/>
      <c r="VQU523" s="1358"/>
      <c r="VQV523" s="1358"/>
      <c r="VQW523" s="1358"/>
      <c r="VQX523" s="1358"/>
      <c r="VQY523" s="1358"/>
      <c r="VQZ523" s="1358"/>
      <c r="VRA523" s="1358"/>
      <c r="VRB523" s="1358"/>
      <c r="VRC523" s="1358"/>
      <c r="VRD523" s="1358"/>
      <c r="VRE523" s="1358"/>
      <c r="VRF523" s="1358"/>
      <c r="VRG523" s="1358"/>
      <c r="VRH523" s="1358"/>
      <c r="VRI523" s="1358"/>
      <c r="VRJ523" s="1358"/>
      <c r="VRK523" s="1358"/>
      <c r="VRL523" s="1358"/>
      <c r="VRM523" s="1358"/>
      <c r="VRN523" s="1358"/>
      <c r="VRO523" s="1358"/>
      <c r="VRP523" s="1358"/>
      <c r="VRQ523" s="1358"/>
      <c r="VRR523" s="1358"/>
      <c r="VRS523" s="1358"/>
      <c r="VRT523" s="1358"/>
      <c r="VRU523" s="1358"/>
      <c r="VRV523" s="1358"/>
      <c r="VRW523" s="1358"/>
      <c r="VRX523" s="1358"/>
      <c r="VRY523" s="1358"/>
      <c r="VRZ523" s="1358"/>
      <c r="VSA523" s="1358"/>
      <c r="VSB523" s="1358"/>
      <c r="VSC523" s="1358"/>
      <c r="VSD523" s="1358"/>
      <c r="VSE523" s="1358"/>
      <c r="VSF523" s="1358"/>
      <c r="VSG523" s="1358"/>
      <c r="VSH523" s="1358"/>
      <c r="VSI523" s="1358"/>
      <c r="VSJ523" s="1358"/>
      <c r="VSK523" s="1358"/>
      <c r="VSL523" s="1358"/>
      <c r="VSM523" s="1358"/>
      <c r="VSN523" s="1358"/>
      <c r="VSO523" s="1358"/>
      <c r="VSP523" s="1358"/>
      <c r="VSQ523" s="1358"/>
      <c r="VSR523" s="1358"/>
      <c r="VSS523" s="1358"/>
      <c r="VST523" s="1358"/>
      <c r="VSU523" s="1358"/>
      <c r="VSV523" s="1358"/>
      <c r="VSW523" s="1358"/>
      <c r="VSX523" s="1358"/>
      <c r="VSY523" s="1358"/>
      <c r="VSZ523" s="1358"/>
      <c r="VTA523" s="1358"/>
      <c r="VTB523" s="1358"/>
      <c r="VTC523" s="1358"/>
      <c r="VTD523" s="1358"/>
      <c r="VTE523" s="1358"/>
      <c r="VTF523" s="1358"/>
      <c r="VTG523" s="1358"/>
      <c r="VTH523" s="1358"/>
      <c r="VTI523" s="1358"/>
      <c r="VTJ523" s="1358"/>
      <c r="VTK523" s="1358"/>
      <c r="VTL523" s="1358"/>
      <c r="VTM523" s="1358"/>
      <c r="VTN523" s="1358"/>
      <c r="VTO523" s="1358"/>
      <c r="VTP523" s="1358"/>
      <c r="VTQ523" s="1358"/>
      <c r="VTR523" s="1358"/>
      <c r="VTS523" s="1358"/>
      <c r="VTT523" s="1358"/>
      <c r="VTU523" s="1358"/>
      <c r="VTV523" s="1358"/>
      <c r="VTW523" s="1358"/>
      <c r="VTX523" s="1358"/>
      <c r="VTY523" s="1358"/>
      <c r="VTZ523" s="1358"/>
      <c r="VUA523" s="1358"/>
      <c r="VUB523" s="1358"/>
      <c r="VUC523" s="1358"/>
      <c r="VUD523" s="1358"/>
      <c r="VUE523" s="1358"/>
      <c r="VUF523" s="1358"/>
      <c r="VUG523" s="1358"/>
      <c r="VUH523" s="1358"/>
      <c r="VUI523" s="1358"/>
      <c r="VUJ523" s="1358"/>
      <c r="VUK523" s="1358"/>
      <c r="VUL523" s="1358"/>
      <c r="VUM523" s="1358"/>
      <c r="VUN523" s="1358"/>
      <c r="VUO523" s="1358"/>
      <c r="VUP523" s="1358"/>
      <c r="VUQ523" s="1358"/>
      <c r="VUR523" s="1358"/>
      <c r="VUS523" s="1358"/>
      <c r="VUT523" s="1358"/>
      <c r="VUU523" s="1358"/>
      <c r="VUV523" s="1358"/>
      <c r="VUW523" s="1358"/>
      <c r="VUX523" s="1358"/>
      <c r="VUY523" s="1358"/>
      <c r="VUZ523" s="1358"/>
      <c r="VVA523" s="1358"/>
      <c r="VVB523" s="1358"/>
      <c r="VVC523" s="1358"/>
      <c r="VVD523" s="1358"/>
      <c r="VVE523" s="1358"/>
      <c r="VVF523" s="1358"/>
      <c r="VVG523" s="1358"/>
      <c r="VVH523" s="1358"/>
      <c r="VVI523" s="1358"/>
      <c r="VVJ523" s="1358"/>
      <c r="VVK523" s="1358"/>
      <c r="VVL523" s="1358"/>
      <c r="VVM523" s="1358"/>
      <c r="VVN523" s="1358"/>
      <c r="VVO523" s="1358"/>
      <c r="VVP523" s="1358"/>
      <c r="VVQ523" s="1358"/>
      <c r="VVR523" s="1358"/>
      <c r="VVS523" s="1358"/>
      <c r="VVT523" s="1358"/>
      <c r="VVU523" s="1358"/>
      <c r="VVV523" s="1358"/>
      <c r="VVW523" s="1358"/>
      <c r="VVX523" s="1358"/>
      <c r="VVY523" s="1358"/>
      <c r="VVZ523" s="1358"/>
      <c r="VWA523" s="1358"/>
      <c r="VWB523" s="1358"/>
      <c r="VWC523" s="1358"/>
      <c r="VWD523" s="1358"/>
      <c r="VWE523" s="1358"/>
      <c r="VWF523" s="1358"/>
      <c r="VWG523" s="1358"/>
      <c r="VWH523" s="1358"/>
      <c r="VWI523" s="1358"/>
      <c r="VWJ523" s="1358"/>
      <c r="VWK523" s="1358"/>
      <c r="VWL523" s="1358"/>
      <c r="VWM523" s="1358"/>
      <c r="VWN523" s="1358"/>
      <c r="VWO523" s="1358"/>
      <c r="VWP523" s="1358"/>
      <c r="VWQ523" s="1358"/>
      <c r="VWR523" s="1358"/>
      <c r="VWS523" s="1358"/>
      <c r="VWT523" s="1358"/>
      <c r="VWU523" s="1358"/>
      <c r="VWV523" s="1358"/>
      <c r="VWW523" s="1358"/>
      <c r="VWX523" s="1358"/>
      <c r="VWY523" s="1358"/>
      <c r="VWZ523" s="1358"/>
      <c r="VXA523" s="1358"/>
      <c r="VXB523" s="1358"/>
      <c r="VXC523" s="1358"/>
      <c r="VXD523" s="1358"/>
      <c r="VXE523" s="1358"/>
      <c r="VXF523" s="1358"/>
      <c r="VXG523" s="1358"/>
      <c r="VXH523" s="1358"/>
      <c r="VXI523" s="1358"/>
      <c r="VXJ523" s="1358"/>
      <c r="VXK523" s="1358"/>
      <c r="VXL523" s="1358"/>
      <c r="VXM523" s="1358"/>
      <c r="VXN523" s="1358"/>
      <c r="VXO523" s="1358"/>
      <c r="VXP523" s="1358"/>
      <c r="VXQ523" s="1358"/>
      <c r="VXR523" s="1358"/>
      <c r="VXS523" s="1358"/>
      <c r="VXT523" s="1358"/>
      <c r="VXU523" s="1358"/>
      <c r="VXV523" s="1358"/>
      <c r="VXW523" s="1358"/>
      <c r="VXX523" s="1358"/>
      <c r="VXY523" s="1358"/>
      <c r="VXZ523" s="1358"/>
      <c r="VYA523" s="1358"/>
      <c r="VYB523" s="1358"/>
      <c r="VYC523" s="1358"/>
      <c r="VYD523" s="1358"/>
      <c r="VYE523" s="1358"/>
      <c r="VYF523" s="1358"/>
      <c r="VYG523" s="1358"/>
      <c r="VYH523" s="1358"/>
      <c r="VYI523" s="1358"/>
      <c r="VYJ523" s="1358"/>
      <c r="VYK523" s="1358"/>
      <c r="VYL523" s="1358"/>
      <c r="VYM523" s="1358"/>
      <c r="VYN523" s="1358"/>
      <c r="VYO523" s="1358"/>
      <c r="VYP523" s="1358"/>
      <c r="VYQ523" s="1358"/>
      <c r="VYR523" s="1358"/>
      <c r="VYS523" s="1358"/>
      <c r="VYT523" s="1358"/>
      <c r="VYU523" s="1358"/>
      <c r="VYV523" s="1358"/>
      <c r="VYW523" s="1358"/>
      <c r="VYX523" s="1358"/>
      <c r="VYY523" s="1358"/>
      <c r="VYZ523" s="1358"/>
      <c r="VZA523" s="1358"/>
      <c r="VZB523" s="1358"/>
      <c r="VZC523" s="1358"/>
      <c r="VZD523" s="1358"/>
      <c r="VZE523" s="1358"/>
      <c r="VZF523" s="1358"/>
      <c r="VZG523" s="1358"/>
      <c r="VZH523" s="1358"/>
      <c r="VZI523" s="1358"/>
      <c r="VZJ523" s="1358"/>
      <c r="VZK523" s="1358"/>
      <c r="VZL523" s="1358"/>
      <c r="VZM523" s="1358"/>
      <c r="VZN523" s="1358"/>
      <c r="VZO523" s="1358"/>
      <c r="VZP523" s="1358"/>
      <c r="VZQ523" s="1358"/>
      <c r="VZR523" s="1358"/>
      <c r="VZS523" s="1358"/>
      <c r="VZT523" s="1358"/>
      <c r="VZU523" s="1358"/>
      <c r="VZV523" s="1358"/>
      <c r="VZW523" s="1358"/>
      <c r="VZX523" s="1358"/>
      <c r="VZY523" s="1358"/>
      <c r="VZZ523" s="1358"/>
      <c r="WAA523" s="1358"/>
      <c r="WAB523" s="1358"/>
      <c r="WAC523" s="1358"/>
      <c r="WAD523" s="1358"/>
      <c r="WAE523" s="1358"/>
      <c r="WAF523" s="1358"/>
      <c r="WAG523" s="1358"/>
      <c r="WAH523" s="1358"/>
      <c r="WAI523" s="1358"/>
      <c r="WAJ523" s="1358"/>
      <c r="WAK523" s="1358"/>
      <c r="WAL523" s="1358"/>
      <c r="WAM523" s="1358"/>
      <c r="WAN523" s="1358"/>
      <c r="WAO523" s="1358"/>
      <c r="WAP523" s="1358"/>
      <c r="WAQ523" s="1358"/>
      <c r="WAR523" s="1358"/>
      <c r="WAS523" s="1358"/>
      <c r="WAT523" s="1358"/>
      <c r="WAU523" s="1358"/>
      <c r="WAV523" s="1358"/>
      <c r="WAW523" s="1358"/>
      <c r="WAX523" s="1358"/>
      <c r="WAY523" s="1358"/>
      <c r="WAZ523" s="1358"/>
      <c r="WBA523" s="1358"/>
      <c r="WBB523" s="1358"/>
      <c r="WBC523" s="1358"/>
      <c r="WBD523" s="1358"/>
      <c r="WBE523" s="1358"/>
      <c r="WBF523" s="1358"/>
      <c r="WBG523" s="1358"/>
      <c r="WBH523" s="1358"/>
      <c r="WBI523" s="1358"/>
      <c r="WBJ523" s="1358"/>
      <c r="WBK523" s="1358"/>
      <c r="WBL523" s="1358"/>
      <c r="WBM523" s="1358"/>
      <c r="WBN523" s="1358"/>
      <c r="WBO523" s="1358"/>
      <c r="WBP523" s="1358"/>
      <c r="WBQ523" s="1358"/>
      <c r="WBR523" s="1358"/>
      <c r="WBS523" s="1358"/>
      <c r="WBT523" s="1358"/>
      <c r="WBU523" s="1358"/>
      <c r="WBV523" s="1358"/>
      <c r="WBW523" s="1358"/>
      <c r="WBX523" s="1358"/>
      <c r="WBY523" s="1358"/>
      <c r="WBZ523" s="1358"/>
      <c r="WCA523" s="1358"/>
      <c r="WCB523" s="1358"/>
      <c r="WCC523" s="1358"/>
      <c r="WCD523" s="1358"/>
      <c r="WCE523" s="1358"/>
      <c r="WCF523" s="1358"/>
      <c r="WCG523" s="1358"/>
      <c r="WCH523" s="1358"/>
      <c r="WCI523" s="1358"/>
      <c r="WCJ523" s="1358"/>
      <c r="WCK523" s="1358"/>
      <c r="WCL523" s="1358"/>
      <c r="WCM523" s="1358"/>
      <c r="WCN523" s="1358"/>
      <c r="WCO523" s="1358"/>
      <c r="WCP523" s="1358"/>
      <c r="WCQ523" s="1358"/>
      <c r="WCR523" s="1358"/>
      <c r="WCS523" s="1358"/>
      <c r="WCT523" s="1358"/>
      <c r="WCU523" s="1358"/>
      <c r="WCV523" s="1358"/>
      <c r="WCW523" s="1358"/>
      <c r="WCX523" s="1358"/>
      <c r="WCY523" s="1358"/>
      <c r="WCZ523" s="1358"/>
      <c r="WDA523" s="1358"/>
      <c r="WDB523" s="1358"/>
      <c r="WDC523" s="1358"/>
      <c r="WDD523" s="1358"/>
      <c r="WDE523" s="1358"/>
      <c r="WDF523" s="1358"/>
      <c r="WDG523" s="1358"/>
      <c r="WDH523" s="1358"/>
      <c r="WDI523" s="1358"/>
      <c r="WDJ523" s="1358"/>
      <c r="WDK523" s="1358"/>
      <c r="WDL523" s="1358"/>
      <c r="WDM523" s="1358"/>
      <c r="WDN523" s="1358"/>
      <c r="WDO523" s="1358"/>
      <c r="WDP523" s="1358"/>
      <c r="WDQ523" s="1358"/>
      <c r="WDR523" s="1358"/>
      <c r="WDS523" s="1358"/>
      <c r="WDT523" s="1358"/>
      <c r="WDU523" s="1358"/>
      <c r="WDV523" s="1358"/>
      <c r="WDW523" s="1358"/>
      <c r="WDX523" s="1358"/>
      <c r="WDY523" s="1358"/>
      <c r="WDZ523" s="1358"/>
      <c r="WEA523" s="1358"/>
      <c r="WEB523" s="1358"/>
      <c r="WEC523" s="1358"/>
      <c r="WED523" s="1358"/>
      <c r="WEE523" s="1358"/>
      <c r="WEF523" s="1358"/>
      <c r="WEG523" s="1358"/>
      <c r="WEH523" s="1358"/>
      <c r="WEI523" s="1358"/>
      <c r="WEJ523" s="1358"/>
      <c r="WEK523" s="1358"/>
      <c r="WEL523" s="1358"/>
      <c r="WEM523" s="1358"/>
      <c r="WEN523" s="1358"/>
      <c r="WEO523" s="1358"/>
      <c r="WEP523" s="1358"/>
      <c r="WEQ523" s="1358"/>
      <c r="WER523" s="1358"/>
      <c r="WES523" s="1358"/>
      <c r="WET523" s="1358"/>
      <c r="WEU523" s="1358"/>
      <c r="WEV523" s="1358"/>
      <c r="WEW523" s="1358"/>
      <c r="WEX523" s="1358"/>
      <c r="WEY523" s="1358"/>
      <c r="WEZ523" s="1358"/>
      <c r="WFA523" s="1358"/>
      <c r="WFB523" s="1358"/>
      <c r="WFC523" s="1358"/>
      <c r="WFD523" s="1358"/>
      <c r="WFE523" s="1358"/>
      <c r="WFF523" s="1358"/>
      <c r="WFG523" s="1358"/>
      <c r="WFH523" s="1358"/>
      <c r="WFI523" s="1358"/>
      <c r="WFJ523" s="1358"/>
      <c r="WFK523" s="1358"/>
      <c r="WFL523" s="1358"/>
      <c r="WFM523" s="1358"/>
      <c r="WFN523" s="1358"/>
      <c r="WFO523" s="1358"/>
      <c r="WFP523" s="1358"/>
      <c r="WFQ523" s="1358"/>
      <c r="WFR523" s="1358"/>
      <c r="WFS523" s="1358"/>
      <c r="WFT523" s="1358"/>
      <c r="WFU523" s="1358"/>
      <c r="WFV523" s="1358"/>
      <c r="WFW523" s="1358"/>
      <c r="WFX523" s="1358"/>
      <c r="WFY523" s="1358"/>
      <c r="WFZ523" s="1358"/>
      <c r="WGA523" s="1358"/>
      <c r="WGB523" s="1358"/>
      <c r="WGC523" s="1358"/>
      <c r="WGD523" s="1358"/>
      <c r="WGE523" s="1358"/>
      <c r="WGF523" s="1358"/>
      <c r="WGG523" s="1358"/>
      <c r="WGH523" s="1358"/>
      <c r="WGI523" s="1358"/>
      <c r="WGJ523" s="1358"/>
      <c r="WGK523" s="1358"/>
      <c r="WGL523" s="1358"/>
      <c r="WGM523" s="1358"/>
      <c r="WGN523" s="1358"/>
      <c r="WGO523" s="1358"/>
      <c r="WGP523" s="1358"/>
      <c r="WGQ523" s="1358"/>
      <c r="WGR523" s="1358"/>
      <c r="WGS523" s="1358"/>
      <c r="WGT523" s="1358"/>
      <c r="WGU523" s="1358"/>
      <c r="WGV523" s="1358"/>
      <c r="WGW523" s="1358"/>
      <c r="WGX523" s="1358"/>
      <c r="WGY523" s="1358"/>
      <c r="WGZ523" s="1358"/>
      <c r="WHA523" s="1358"/>
      <c r="WHB523" s="1358"/>
      <c r="WHC523" s="1358"/>
      <c r="WHD523" s="1358"/>
      <c r="WHE523" s="1358"/>
      <c r="WHF523" s="1358"/>
      <c r="WHG523" s="1358"/>
      <c r="WHH523" s="1358"/>
      <c r="WHI523" s="1358"/>
      <c r="WHJ523" s="1358"/>
      <c r="WHK523" s="1358"/>
      <c r="WHL523" s="1358"/>
      <c r="WHM523" s="1358"/>
      <c r="WHN523" s="1358"/>
      <c r="WHO523" s="1358"/>
      <c r="WHP523" s="1358"/>
      <c r="WHQ523" s="1358"/>
      <c r="WHR523" s="1358"/>
      <c r="WHS523" s="1358"/>
      <c r="WHT523" s="1358"/>
      <c r="WHU523" s="1358"/>
      <c r="WHV523" s="1358"/>
      <c r="WHW523" s="1358"/>
      <c r="WHX523" s="1358"/>
      <c r="WHY523" s="1358"/>
      <c r="WHZ523" s="1358"/>
      <c r="WIA523" s="1358"/>
      <c r="WIB523" s="1358"/>
      <c r="WIC523" s="1358"/>
      <c r="WID523" s="1358"/>
      <c r="WIE523" s="1358"/>
      <c r="WIF523" s="1358"/>
      <c r="WIG523" s="1358"/>
      <c r="WIH523" s="1358"/>
      <c r="WII523" s="1358"/>
      <c r="WIJ523" s="1358"/>
      <c r="WIK523" s="1358"/>
      <c r="WIL523" s="1358"/>
      <c r="WIM523" s="1358"/>
      <c r="WIN523" s="1358"/>
      <c r="WIO523" s="1358"/>
      <c r="WIP523" s="1358"/>
      <c r="WIQ523" s="1358"/>
      <c r="WIR523" s="1358"/>
      <c r="WIS523" s="1358"/>
      <c r="WIT523" s="1358"/>
      <c r="WIU523" s="1358"/>
      <c r="WIV523" s="1358"/>
      <c r="WIW523" s="1358"/>
      <c r="WIX523" s="1358"/>
      <c r="WIY523" s="1358"/>
      <c r="WIZ523" s="1358"/>
      <c r="WJA523" s="1358"/>
      <c r="WJB523" s="1358"/>
      <c r="WJC523" s="1358"/>
      <c r="WJD523" s="1358"/>
      <c r="WJE523" s="1358"/>
      <c r="WJF523" s="1358"/>
      <c r="WJG523" s="1358"/>
      <c r="WJH523" s="1358"/>
      <c r="WJI523" s="1358"/>
      <c r="WJJ523" s="1358"/>
      <c r="WJK523" s="1358"/>
      <c r="WJL523" s="1358"/>
      <c r="WJM523" s="1358"/>
      <c r="WJN523" s="1358"/>
      <c r="WJO523" s="1358"/>
      <c r="WJP523" s="1358"/>
      <c r="WJQ523" s="1358"/>
      <c r="WJR523" s="1358"/>
      <c r="WJS523" s="1358"/>
      <c r="WJT523" s="1358"/>
      <c r="WJU523" s="1358"/>
      <c r="WJV523" s="1358"/>
      <c r="WJW523" s="1358"/>
      <c r="WJX523" s="1358"/>
      <c r="WJY523" s="1358"/>
      <c r="WJZ523" s="1358"/>
      <c r="WKA523" s="1358"/>
      <c r="WKB523" s="1358"/>
      <c r="WKC523" s="1358"/>
      <c r="WKD523" s="1358"/>
      <c r="WKE523" s="1358"/>
      <c r="WKF523" s="1358"/>
      <c r="WKG523" s="1358"/>
      <c r="WKH523" s="1358"/>
      <c r="WKI523" s="1358"/>
      <c r="WKJ523" s="1358"/>
      <c r="WKK523" s="1358"/>
      <c r="WKL523" s="1358"/>
      <c r="WKM523" s="1358"/>
      <c r="WKN523" s="1358"/>
      <c r="WKO523" s="1358"/>
      <c r="WKP523" s="1358"/>
      <c r="WKQ523" s="1358"/>
      <c r="WKR523" s="1358"/>
      <c r="WKS523" s="1358"/>
      <c r="WKT523" s="1358"/>
      <c r="WKU523" s="1358"/>
      <c r="WKV523" s="1358"/>
      <c r="WKW523" s="1358"/>
      <c r="WKX523" s="1358"/>
      <c r="WKY523" s="1358"/>
      <c r="WKZ523" s="1358"/>
      <c r="WLA523" s="1358"/>
      <c r="WLB523" s="1358"/>
      <c r="WLC523" s="1358"/>
      <c r="WLD523" s="1358"/>
      <c r="WLE523" s="1358"/>
      <c r="WLF523" s="1358"/>
      <c r="WLG523" s="1358"/>
      <c r="WLH523" s="1358"/>
      <c r="WLI523" s="1358"/>
      <c r="WLJ523" s="1358"/>
      <c r="WLK523" s="1358"/>
      <c r="WLL523" s="1358"/>
      <c r="WLM523" s="1358"/>
      <c r="WLN523" s="1358"/>
      <c r="WLO523" s="1358"/>
      <c r="WLP523" s="1358"/>
      <c r="WLQ523" s="1358"/>
      <c r="WLR523" s="1358"/>
      <c r="WLS523" s="1358"/>
      <c r="WLT523" s="1358"/>
      <c r="WLU523" s="1358"/>
      <c r="WLV523" s="1358"/>
      <c r="WLW523" s="1358"/>
      <c r="WLX523" s="1358"/>
      <c r="WLY523" s="1358"/>
      <c r="WLZ523" s="1358"/>
      <c r="WMA523" s="1358"/>
      <c r="WMB523" s="1358"/>
      <c r="WMC523" s="1358"/>
      <c r="WMD523" s="1358"/>
      <c r="WME523" s="1358"/>
      <c r="WMF523" s="1358"/>
      <c r="WMG523" s="1358"/>
      <c r="WMH523" s="1358"/>
      <c r="WMI523" s="1358"/>
      <c r="WMJ523" s="1358"/>
      <c r="WMK523" s="1358"/>
      <c r="WML523" s="1358"/>
      <c r="WMM523" s="1358"/>
      <c r="WMN523" s="1358"/>
      <c r="WMO523" s="1358"/>
      <c r="WMP523" s="1358"/>
      <c r="WMQ523" s="1358"/>
      <c r="WMR523" s="1358"/>
      <c r="WMS523" s="1358"/>
      <c r="WMT523" s="1358"/>
      <c r="WMU523" s="1358"/>
      <c r="WMV523" s="1358"/>
      <c r="WMW523" s="1358"/>
      <c r="WMX523" s="1358"/>
      <c r="WMY523" s="1358"/>
      <c r="WMZ523" s="1358"/>
      <c r="WNA523" s="1358"/>
      <c r="WNB523" s="1358"/>
      <c r="WNC523" s="1358"/>
      <c r="WND523" s="1358"/>
      <c r="WNE523" s="1358"/>
      <c r="WNF523" s="1358"/>
      <c r="WNG523" s="1358"/>
      <c r="WNH523" s="1358"/>
      <c r="WNI523" s="1358"/>
      <c r="WNJ523" s="1358"/>
      <c r="WNK523" s="1358"/>
      <c r="WNL523" s="1358"/>
      <c r="WNM523" s="1358"/>
      <c r="WNN523" s="1358"/>
      <c r="WNO523" s="1358"/>
      <c r="WNP523" s="1358"/>
      <c r="WNQ523" s="1358"/>
      <c r="WNR523" s="1358"/>
      <c r="WNS523" s="1358"/>
      <c r="WNT523" s="1358"/>
      <c r="WNU523" s="1358"/>
      <c r="WNV523" s="1358"/>
      <c r="WNW523" s="1358"/>
      <c r="WNX523" s="1358"/>
      <c r="WNY523" s="1358"/>
      <c r="WNZ523" s="1358"/>
      <c r="WOA523" s="1358"/>
      <c r="WOB523" s="1358"/>
      <c r="WOC523" s="1358"/>
      <c r="WOD523" s="1358"/>
      <c r="WOE523" s="1358"/>
      <c r="WOF523" s="1358"/>
      <c r="WOG523" s="1358"/>
      <c r="WOH523" s="1358"/>
      <c r="WOI523" s="1358"/>
      <c r="WOJ523" s="1358"/>
      <c r="WOK523" s="1358"/>
      <c r="WOL523" s="1358"/>
      <c r="WOM523" s="1358"/>
      <c r="WON523" s="1358"/>
      <c r="WOO523" s="1358"/>
      <c r="WOP523" s="1358"/>
      <c r="WOQ523" s="1358"/>
      <c r="WOR523" s="1358"/>
      <c r="WOS523" s="1358"/>
      <c r="WOT523" s="1358"/>
      <c r="WOU523" s="1358"/>
      <c r="WOV523" s="1358"/>
      <c r="WOW523" s="1358"/>
      <c r="WOX523" s="1358"/>
      <c r="WOY523" s="1358"/>
      <c r="WOZ523" s="1358"/>
      <c r="WPA523" s="1358"/>
      <c r="WPB523" s="1358"/>
      <c r="WPC523" s="1358"/>
      <c r="WPD523" s="1358"/>
      <c r="WPE523" s="1358"/>
      <c r="WPF523" s="1358"/>
      <c r="WPG523" s="1358"/>
      <c r="WPH523" s="1358"/>
      <c r="WPI523" s="1358"/>
      <c r="WPJ523" s="1358"/>
      <c r="WPK523" s="1358"/>
      <c r="WPL523" s="1358"/>
      <c r="WPM523" s="1358"/>
      <c r="WPN523" s="1358"/>
      <c r="WPO523" s="1358"/>
      <c r="WPP523" s="1358"/>
      <c r="WPQ523" s="1358"/>
      <c r="WPR523" s="1358"/>
      <c r="WPS523" s="1358"/>
      <c r="WPT523" s="1358"/>
      <c r="WPU523" s="1358"/>
      <c r="WPV523" s="1358"/>
      <c r="WPW523" s="1358"/>
      <c r="WPX523" s="1358"/>
      <c r="WPY523" s="1358"/>
      <c r="WPZ523" s="1358"/>
      <c r="WQA523" s="1358"/>
      <c r="WQB523" s="1358"/>
      <c r="WQC523" s="1358"/>
      <c r="WQD523" s="1358"/>
      <c r="WQE523" s="1358"/>
      <c r="WQF523" s="1358"/>
      <c r="WQG523" s="1358"/>
      <c r="WQH523" s="1358"/>
      <c r="WQI523" s="1358"/>
      <c r="WQJ523" s="1358"/>
      <c r="WQK523" s="1358"/>
      <c r="WQL523" s="1358"/>
      <c r="WQM523" s="1358"/>
      <c r="WQN523" s="1358"/>
      <c r="WQO523" s="1358"/>
      <c r="WQP523" s="1358"/>
      <c r="WQQ523" s="1358"/>
      <c r="WQR523" s="1358"/>
      <c r="WQS523" s="1358"/>
      <c r="WQT523" s="1358"/>
      <c r="WQU523" s="1358"/>
      <c r="WQV523" s="1358"/>
      <c r="WQW523" s="1358"/>
      <c r="WQX523" s="1358"/>
      <c r="WQY523" s="1358"/>
      <c r="WQZ523" s="1358"/>
      <c r="WRA523" s="1358"/>
      <c r="WRB523" s="1358"/>
      <c r="WRC523" s="1358"/>
      <c r="WRD523" s="1358"/>
      <c r="WRE523" s="1358"/>
      <c r="WRF523" s="1358"/>
      <c r="WRG523" s="1358"/>
      <c r="WRH523" s="1358"/>
      <c r="WRI523" s="1358"/>
      <c r="WRJ523" s="1359"/>
      <c r="WRK523" s="1360"/>
      <c r="WRL523" s="1361"/>
      <c r="WRM523" s="1362"/>
      <c r="WRN523" s="1368"/>
      <c r="WRO523" s="1363"/>
      <c r="WRP523" s="1364"/>
      <c r="WRQ523" s="1365"/>
      <c r="WRR523" s="1364"/>
      <c r="WRS523" s="1366"/>
      <c r="WRT523" s="1367"/>
      <c r="WRU523" s="1363"/>
      <c r="WRV523" s="1363"/>
      <c r="WRW523" s="1363"/>
      <c r="WRX523" s="1358"/>
      <c r="WRY523" s="1358"/>
      <c r="WRZ523" s="1358"/>
      <c r="WSA523" s="1358"/>
      <c r="WSB523" s="1359"/>
      <c r="WSC523" s="1360"/>
      <c r="WSD523" s="1361"/>
      <c r="WSE523" s="1362"/>
      <c r="WSF523" s="1368"/>
      <c r="WSG523" s="1363"/>
      <c r="WSH523" s="1364"/>
      <c r="WSI523" s="1365"/>
      <c r="WSJ523" s="1364"/>
      <c r="WSK523" s="1366"/>
      <c r="WSL523" s="1367"/>
      <c r="WSM523" s="1363"/>
      <c r="WSN523" s="1363"/>
      <c r="WSO523" s="1363"/>
      <c r="WSP523" s="1358"/>
      <c r="WSQ523" s="1358"/>
      <c r="WSR523" s="1358"/>
      <c r="WSS523" s="1358"/>
      <c r="WST523" s="1359"/>
      <c r="WSU523" s="1360"/>
      <c r="WSV523" s="1361"/>
      <c r="WSW523" s="1362"/>
      <c r="WSX523" s="1368"/>
      <c r="WSY523" s="1363"/>
      <c r="WSZ523" s="1364"/>
      <c r="WTA523" s="1365"/>
      <c r="WTB523" s="1364"/>
      <c r="WTC523" s="1366"/>
      <c r="WTD523" s="1367"/>
      <c r="WTE523" s="1363"/>
      <c r="WTF523" s="1363"/>
      <c r="WTG523" s="1363"/>
      <c r="WTH523" s="1358"/>
      <c r="WTI523" s="1358"/>
      <c r="WTJ523" s="1358"/>
      <c r="WTK523" s="1358"/>
      <c r="WTL523" s="1359"/>
      <c r="WTM523" s="1360"/>
      <c r="WTN523" s="1361"/>
      <c r="WTO523" s="1362"/>
      <c r="WTP523" s="1368"/>
      <c r="WTQ523" s="1363"/>
      <c r="WTR523" s="1364"/>
      <c r="WTS523" s="1365"/>
      <c r="WTT523" s="1364"/>
      <c r="WTU523" s="1366"/>
      <c r="WTV523" s="1367"/>
      <c r="WTW523" s="1363"/>
      <c r="WTX523" s="1363"/>
      <c r="WTY523" s="1363"/>
      <c r="WTZ523" s="1358"/>
      <c r="WUA523" s="1358"/>
      <c r="WUB523" s="1358"/>
      <c r="WUC523" s="1358"/>
      <c r="WUD523" s="1359"/>
      <c r="WUE523" s="1360"/>
      <c r="WUF523" s="1361"/>
      <c r="WUG523" s="1362"/>
      <c r="WUH523" s="1368"/>
      <c r="WUI523" s="1363"/>
      <c r="WUJ523" s="1364"/>
      <c r="WUK523" s="1365"/>
      <c r="WUL523" s="1364"/>
      <c r="WUM523" s="1366"/>
      <c r="WUN523" s="1367"/>
      <c r="WUO523" s="1363"/>
      <c r="WUP523" s="1363"/>
      <c r="WUQ523" s="1363"/>
      <c r="WUR523" s="1358"/>
      <c r="WUS523" s="1358"/>
      <c r="WUT523" s="1358"/>
      <c r="WUU523" s="1358"/>
      <c r="WUV523" s="1359"/>
      <c r="WUW523" s="1360"/>
      <c r="WUX523" s="1361"/>
      <c r="WUY523" s="1362"/>
      <c r="WUZ523" s="1368"/>
      <c r="WVA523" s="1363"/>
      <c r="WVB523" s="1364"/>
      <c r="WVC523" s="1365"/>
      <c r="WVD523" s="1364"/>
      <c r="WVE523" s="1366"/>
      <c r="WVF523" s="1367"/>
      <c r="WVG523" s="1363"/>
      <c r="WVH523" s="1363"/>
      <c r="WVI523" s="1363"/>
      <c r="WVJ523" s="1358"/>
      <c r="WVK523" s="1358"/>
      <c r="WVL523" s="1358"/>
      <c r="WVM523" s="1358"/>
      <c r="WVN523" s="1359"/>
      <c r="WVO523" s="1360"/>
      <c r="WVP523" s="1361"/>
      <c r="WVQ523" s="1362"/>
      <c r="WVR523" s="1368"/>
      <c r="WVS523" s="1363"/>
      <c r="WVT523" s="1364"/>
      <c r="WVU523" s="1365"/>
      <c r="WVV523" s="1364"/>
      <c r="WVW523" s="1366"/>
      <c r="WVX523" s="1367"/>
      <c r="WVY523" s="1363"/>
      <c r="WVZ523" s="1363"/>
      <c r="WWA523" s="1363"/>
      <c r="WWB523" s="1358"/>
      <c r="WWC523" s="1358"/>
      <c r="WWD523" s="1358"/>
      <c r="WWE523" s="1358"/>
      <c r="WWF523" s="1359"/>
      <c r="WWG523" s="1360"/>
      <c r="WWH523" s="1361"/>
      <c r="WWI523" s="1362"/>
      <c r="WWJ523" s="1368"/>
      <c r="WWK523" s="1363"/>
      <c r="WWL523" s="1364"/>
      <c r="WWM523" s="1365"/>
      <c r="WWN523" s="1364"/>
      <c r="WWO523" s="1366"/>
      <c r="WWP523" s="1367"/>
      <c r="WWQ523" s="1363"/>
      <c r="WWR523" s="1363"/>
      <c r="WWS523" s="1363"/>
      <c r="WWT523" s="1358"/>
      <c r="WWU523" s="1358"/>
      <c r="WWV523" s="1358"/>
      <c r="WWW523" s="1358"/>
      <c r="WWX523" s="1359"/>
      <c r="WWY523" s="1360"/>
      <c r="WWZ523" s="1361"/>
      <c r="WXA523" s="1362"/>
      <c r="WXB523" s="1368"/>
      <c r="WXC523" s="1363"/>
      <c r="WXD523" s="1364"/>
      <c r="WXE523" s="1365"/>
      <c r="WXF523" s="1364"/>
      <c r="WXG523" s="1366"/>
      <c r="WXH523" s="1367"/>
      <c r="WXI523" s="1363"/>
      <c r="WXJ523" s="1363"/>
      <c r="WXK523" s="1363"/>
      <c r="WXL523" s="1358"/>
      <c r="WXM523" s="1358"/>
      <c r="WXN523" s="1358"/>
      <c r="WXO523" s="1358"/>
      <c r="WXP523" s="1359"/>
      <c r="WXQ523" s="1360"/>
      <c r="WXR523" s="1361"/>
      <c r="WXS523" s="1362"/>
      <c r="WXT523" s="1368"/>
      <c r="WXU523" s="1363"/>
      <c r="WXV523" s="1364"/>
      <c r="WXW523" s="1365"/>
      <c r="WXX523" s="1364"/>
      <c r="WXY523" s="1366"/>
      <c r="WXZ523" s="1367"/>
      <c r="WYA523" s="1363"/>
      <c r="WYB523" s="1363"/>
      <c r="WYC523" s="1363"/>
      <c r="WYD523" s="1358"/>
      <c r="WYE523" s="1358"/>
      <c r="WYF523" s="1358"/>
      <c r="WYG523" s="1358"/>
      <c r="WYH523" s="1359"/>
      <c r="WYI523" s="1360"/>
      <c r="WYJ523" s="1361"/>
      <c r="WYK523" s="1362"/>
      <c r="WYL523" s="1368"/>
      <c r="WYM523" s="1363"/>
      <c r="WYN523" s="1364"/>
      <c r="WYO523" s="1365"/>
      <c r="WYP523" s="1364"/>
      <c r="WYQ523" s="1366"/>
      <c r="WYR523" s="1367"/>
      <c r="WYS523" s="1363"/>
      <c r="WYT523" s="1363"/>
      <c r="WYU523" s="1363"/>
      <c r="WYV523" s="1358"/>
      <c r="WYW523" s="1358"/>
      <c r="WYX523" s="1358"/>
      <c r="WYY523" s="1358"/>
      <c r="WYZ523" s="1359"/>
      <c r="WZA523" s="1360"/>
      <c r="WZB523" s="1361"/>
      <c r="WZC523" s="1362"/>
      <c r="WZD523" s="1368"/>
      <c r="WZE523" s="1363"/>
      <c r="WZF523" s="1364"/>
      <c r="WZG523" s="1365"/>
      <c r="WZH523" s="1364"/>
      <c r="WZI523" s="1366"/>
      <c r="WZJ523" s="1367"/>
      <c r="WZK523" s="1363"/>
      <c r="WZL523" s="1363"/>
      <c r="WZM523" s="1363"/>
      <c r="WZN523" s="1358"/>
      <c r="WZO523" s="1358"/>
      <c r="WZP523" s="1358"/>
      <c r="WZQ523" s="1358"/>
      <c r="WZR523" s="1359"/>
      <c r="WZS523" s="1360"/>
      <c r="WZT523" s="1361"/>
      <c r="WZU523" s="1362"/>
      <c r="WZV523" s="1368"/>
      <c r="WZW523" s="1363"/>
      <c r="WZX523" s="1364"/>
      <c r="WZY523" s="1365"/>
      <c r="WZZ523" s="1364"/>
      <c r="XAA523" s="1366"/>
      <c r="XAB523" s="1367"/>
      <c r="XAC523" s="1363"/>
      <c r="XAD523" s="1363"/>
      <c r="XAE523" s="1363"/>
      <c r="XAF523" s="1358"/>
      <c r="XAG523" s="1358"/>
      <c r="XAH523" s="1358"/>
      <c r="XAI523" s="1358"/>
      <c r="XAJ523" s="1359"/>
      <c r="XAK523" s="1360"/>
      <c r="XAL523" s="1361"/>
      <c r="XAM523" s="1362"/>
      <c r="XAN523" s="1368"/>
      <c r="XAO523" s="1363"/>
      <c r="XAP523" s="1364"/>
      <c r="XAQ523" s="1365"/>
      <c r="XAR523" s="1364"/>
      <c r="XAS523" s="1366"/>
      <c r="XAT523" s="1367"/>
      <c r="XAU523" s="1363"/>
      <c r="XAV523" s="1363"/>
      <c r="XAW523" s="1363"/>
      <c r="XAX523" s="1358"/>
      <c r="XAY523" s="1358"/>
      <c r="XAZ523" s="1358"/>
      <c r="XBA523" s="1358"/>
      <c r="XBB523" s="1359"/>
      <c r="XBC523" s="1360"/>
      <c r="XBD523" s="1361"/>
      <c r="XBE523" s="1362"/>
      <c r="XBF523" s="1368"/>
      <c r="XBG523" s="1363"/>
      <c r="XBH523" s="1364"/>
      <c r="XBI523" s="1365"/>
      <c r="XBJ523" s="1364"/>
      <c r="XBK523" s="1366"/>
      <c r="XBL523" s="1367"/>
      <c r="XBM523" s="1363"/>
      <c r="XBN523" s="1363"/>
      <c r="XBO523" s="1363"/>
      <c r="XBP523" s="1358"/>
      <c r="XBQ523" s="1358"/>
      <c r="XBR523" s="1358"/>
      <c r="XBS523" s="1358"/>
      <c r="XBT523" s="1359"/>
      <c r="XBU523" s="1360"/>
      <c r="XBV523" s="1361"/>
      <c r="XBW523" s="1362"/>
      <c r="XBX523" s="1368"/>
      <c r="XBY523" s="1363"/>
      <c r="XBZ523" s="1364"/>
      <c r="XCA523" s="1365"/>
      <c r="XCB523" s="1364"/>
      <c r="XCC523" s="1366"/>
      <c r="XCD523" s="1367"/>
      <c r="XCE523" s="1363"/>
      <c r="XCF523" s="1363"/>
      <c r="XCG523" s="1363"/>
      <c r="XCH523" s="1358"/>
      <c r="XCI523" s="1358"/>
      <c r="XCJ523" s="1358"/>
      <c r="XCK523" s="1358"/>
      <c r="XCL523" s="1359"/>
      <c r="XCM523" s="1360"/>
      <c r="XCN523" s="1361"/>
      <c r="XCO523" s="1362"/>
      <c r="XCP523" s="1368"/>
      <c r="XCQ523" s="1363"/>
      <c r="XCR523" s="1364"/>
      <c r="XCS523" s="1365"/>
      <c r="XCT523" s="1364"/>
      <c r="XCU523" s="1366"/>
      <c r="XCV523" s="1367"/>
      <c r="XCW523" s="1363"/>
      <c r="XCX523" s="1363"/>
      <c r="XCY523" s="1363"/>
      <c r="XCZ523" s="1358"/>
      <c r="XDA523" s="1358"/>
      <c r="XDB523" s="1358"/>
      <c r="XDC523" s="1358"/>
      <c r="XDD523" s="1359"/>
      <c r="XDE523" s="1360"/>
      <c r="XDF523" s="1361"/>
      <c r="XDG523" s="1362"/>
      <c r="XDH523" s="1368"/>
      <c r="XDI523" s="1363"/>
      <c r="XDJ523" s="1364"/>
      <c r="XDK523" s="1365"/>
      <c r="XDL523" s="1364"/>
      <c r="XDM523" s="1366"/>
      <c r="XDN523" s="1367"/>
      <c r="XDO523" s="1363"/>
      <c r="XDP523" s="1363"/>
      <c r="XDQ523" s="1363"/>
      <c r="XDR523" s="1358"/>
      <c r="XDS523" s="1358"/>
      <c r="XDT523" s="1358"/>
      <c r="XDU523" s="1358"/>
      <c r="XDV523" s="1359"/>
      <c r="XDW523" s="1360"/>
      <c r="XDX523" s="1361"/>
      <c r="XDY523" s="1362"/>
      <c r="XDZ523" s="1368"/>
      <c r="XEA523" s="1363"/>
      <c r="XEB523" s="1364"/>
      <c r="XEC523" s="1365"/>
      <c r="XED523" s="1364"/>
      <c r="XEE523" s="1366"/>
      <c r="XEF523" s="1367"/>
      <c r="XEG523" s="1363"/>
      <c r="XEH523" s="1363"/>
      <c r="XEI523" s="1363"/>
      <c r="XEJ523" s="1358"/>
      <c r="XEK523" s="1358"/>
      <c r="XEL523" s="1358"/>
      <c r="XEM523" s="1358"/>
      <c r="XEN523" s="1359"/>
      <c r="XEO523" s="1360"/>
      <c r="XEP523" s="1361"/>
      <c r="XEQ523" s="1362"/>
      <c r="XER523" s="1368"/>
      <c r="XES523" s="1363"/>
      <c r="XET523" s="1364"/>
      <c r="XEU523" s="1365"/>
      <c r="XEV523" s="1364"/>
      <c r="XEW523" s="1366"/>
      <c r="XEX523" s="1367"/>
      <c r="XEY523" s="1363"/>
      <c r="XEZ523" s="1363"/>
      <c r="XFA523" s="1363"/>
    </row>
    <row r="524" spans="1:16381" s="1414" customFormat="1" ht="28.8" x14ac:dyDescent="0.3">
      <c r="A524" s="1358" t="s">
        <v>264</v>
      </c>
      <c r="B524" s="1359" t="s">
        <v>280</v>
      </c>
      <c r="C524" s="1360" t="s">
        <v>3868</v>
      </c>
      <c r="D524" s="1361" t="s">
        <v>34</v>
      </c>
      <c r="E524" s="1362" t="s">
        <v>282</v>
      </c>
      <c r="F524" s="1368" t="s">
        <v>285</v>
      </c>
      <c r="G524" s="1363">
        <v>3.21</v>
      </c>
      <c r="H524" s="1364">
        <v>71285.38</v>
      </c>
      <c r="I524" s="1365" t="s">
        <v>267</v>
      </c>
      <c r="J524" s="1364">
        <v>71285.38</v>
      </c>
      <c r="K524" s="1366">
        <v>0</v>
      </c>
      <c r="L524" s="1367">
        <v>0</v>
      </c>
      <c r="M524" s="1363" t="s">
        <v>51</v>
      </c>
      <c r="N524" s="1363" t="s">
        <v>3869</v>
      </c>
      <c r="O524" s="1363" t="s">
        <v>3870</v>
      </c>
      <c r="P524" s="1358" t="s">
        <v>40</v>
      </c>
      <c r="Q524" s="1358"/>
      <c r="R524" s="1358" t="s">
        <v>64</v>
      </c>
      <c r="S524" s="1358"/>
      <c r="T524" s="1358"/>
      <c r="U524" s="1358"/>
      <c r="V524" s="1358" t="s">
        <v>40</v>
      </c>
      <c r="W524" s="1358"/>
      <c r="X524" s="1358" t="s">
        <v>40</v>
      </c>
      <c r="Y524" s="1358"/>
      <c r="Z524" s="1358" t="s">
        <v>64</v>
      </c>
      <c r="AA524" s="1358"/>
      <c r="AB524" s="1358" t="s">
        <v>40</v>
      </c>
      <c r="AC524" s="1358"/>
      <c r="AD524" s="1358"/>
      <c r="AE524" s="1598">
        <v>46203</v>
      </c>
      <c r="AF524" s="1358" t="s">
        <v>247</v>
      </c>
      <c r="AG524" s="1358">
        <v>2023</v>
      </c>
      <c r="AH524" s="1364">
        <v>352727.18877800001</v>
      </c>
      <c r="AI524" s="1564">
        <v>1530112520027</v>
      </c>
      <c r="AJ524" s="1358"/>
      <c r="AK524" s="1358" t="s">
        <v>43</v>
      </c>
      <c r="AL524" s="1358" t="s">
        <v>41</v>
      </c>
      <c r="AM524" s="1358">
        <v>0</v>
      </c>
      <c r="AN524" s="1358" t="s">
        <v>40</v>
      </c>
      <c r="AO524" s="1358"/>
      <c r="AP524" s="1358"/>
      <c r="AQ524" s="1358"/>
      <c r="AR524" s="1358"/>
      <c r="AS524" s="1358"/>
      <c r="AT524" s="1358"/>
      <c r="AU524" s="1358"/>
      <c r="AV524" s="1358"/>
      <c r="AW524" s="1358"/>
      <c r="AX524" s="1358"/>
      <c r="AY524" s="1358"/>
      <c r="AZ524" s="1358"/>
      <c r="BA524" s="1358"/>
      <c r="BB524" s="1358"/>
      <c r="BC524" s="1358"/>
      <c r="BD524" s="1358"/>
      <c r="BE524" s="1358"/>
      <c r="BF524" s="1358"/>
      <c r="BG524" s="1358"/>
      <c r="BH524" s="1358"/>
      <c r="BI524" s="1358"/>
      <c r="BJ524" s="1358"/>
      <c r="BK524" s="1358"/>
      <c r="BL524" s="1358"/>
      <c r="BM524" s="1358"/>
      <c r="BN524" s="1358"/>
      <c r="BO524" s="1358"/>
      <c r="BP524" s="1358"/>
      <c r="BQ524" s="1358"/>
      <c r="BR524" s="1358"/>
      <c r="BS524" s="1358"/>
      <c r="BT524" s="1358"/>
      <c r="BU524" s="1358"/>
      <c r="BV524" s="1358"/>
      <c r="BW524" s="1358"/>
      <c r="BX524" s="1358"/>
      <c r="BY524" s="1358"/>
      <c r="BZ524" s="1358"/>
      <c r="CA524" s="1358"/>
      <c r="CB524" s="1358"/>
      <c r="CC524" s="1358"/>
      <c r="CD524" s="1358"/>
      <c r="CE524" s="1358"/>
      <c r="CF524" s="1358"/>
      <c r="CG524" s="1358"/>
      <c r="CH524" s="1358"/>
      <c r="CI524" s="1358"/>
      <c r="CJ524" s="1358"/>
      <c r="CK524" s="1358"/>
      <c r="CL524" s="1358"/>
      <c r="CM524" s="1358"/>
      <c r="CN524" s="1358"/>
      <c r="CO524" s="1358"/>
      <c r="CP524" s="1358"/>
      <c r="CQ524" s="1358"/>
      <c r="CR524" s="1358"/>
      <c r="CS524" s="1358"/>
      <c r="CT524" s="1358"/>
      <c r="CU524" s="1358"/>
      <c r="CV524" s="1358"/>
      <c r="CW524" s="1358"/>
      <c r="CX524" s="1358"/>
      <c r="CY524" s="1358"/>
      <c r="CZ524" s="1358"/>
      <c r="DA524" s="1358"/>
      <c r="DB524" s="1358"/>
      <c r="DC524" s="1358"/>
      <c r="DD524" s="1358"/>
      <c r="DE524" s="1358"/>
      <c r="DF524" s="1358"/>
      <c r="DG524" s="1358"/>
      <c r="DH524" s="1358"/>
      <c r="DI524" s="1358"/>
      <c r="DJ524" s="1358"/>
      <c r="DK524" s="1358"/>
      <c r="DL524" s="1358"/>
      <c r="DM524" s="1358"/>
      <c r="DN524" s="1358"/>
      <c r="DO524" s="1358"/>
      <c r="DP524" s="1358"/>
      <c r="DQ524" s="1358"/>
      <c r="DR524" s="1358"/>
      <c r="DS524" s="1358"/>
      <c r="DT524" s="1358"/>
      <c r="DU524" s="1358"/>
      <c r="DV524" s="1358"/>
      <c r="DW524" s="1358"/>
      <c r="DX524" s="1358"/>
      <c r="DY524" s="1358"/>
      <c r="DZ524" s="1358"/>
      <c r="EA524" s="1358"/>
      <c r="EB524" s="1358"/>
      <c r="EC524" s="1358"/>
      <c r="ED524" s="1358"/>
      <c r="EE524" s="1358"/>
      <c r="EF524" s="1358"/>
      <c r="EG524" s="1358"/>
      <c r="EH524" s="1358"/>
      <c r="EI524" s="1358"/>
      <c r="EJ524" s="1358"/>
      <c r="EK524" s="1358"/>
      <c r="EL524" s="1358"/>
      <c r="EM524" s="1358"/>
      <c r="EN524" s="1358"/>
      <c r="EO524" s="1358"/>
      <c r="EP524" s="1358"/>
      <c r="EQ524" s="1358"/>
      <c r="ER524" s="1358"/>
      <c r="ES524" s="1358"/>
      <c r="ET524" s="1358"/>
      <c r="EU524" s="1358"/>
      <c r="EV524" s="1358"/>
      <c r="EW524" s="1358"/>
      <c r="EX524" s="1358"/>
      <c r="EY524" s="1358"/>
      <c r="EZ524" s="1358"/>
      <c r="FA524" s="1358"/>
      <c r="FB524" s="1358"/>
      <c r="FC524" s="1358"/>
      <c r="FD524" s="1358"/>
      <c r="FE524" s="1358"/>
      <c r="FF524" s="1358"/>
      <c r="FG524" s="1358"/>
      <c r="FH524" s="1358"/>
      <c r="FI524" s="1358"/>
      <c r="FJ524" s="1358"/>
      <c r="FK524" s="1358"/>
      <c r="FL524" s="1358"/>
      <c r="FM524" s="1358"/>
      <c r="FN524" s="1358"/>
      <c r="FO524" s="1358"/>
      <c r="FP524" s="1358"/>
      <c r="FQ524" s="1358"/>
      <c r="FR524" s="1358"/>
      <c r="FS524" s="1358"/>
      <c r="FT524" s="1358"/>
      <c r="FU524" s="1358"/>
      <c r="FV524" s="1358"/>
      <c r="FW524" s="1358"/>
      <c r="FX524" s="1358"/>
      <c r="FY524" s="1358"/>
      <c r="FZ524" s="1358"/>
      <c r="GA524" s="1358"/>
      <c r="GB524" s="1358"/>
      <c r="GC524" s="1358"/>
      <c r="GD524" s="1358"/>
      <c r="GE524" s="1358"/>
      <c r="GF524" s="1358"/>
      <c r="GG524" s="1358"/>
      <c r="GH524" s="1358"/>
      <c r="GI524" s="1358"/>
      <c r="GJ524" s="1358"/>
      <c r="GK524" s="1358"/>
      <c r="GL524" s="1358"/>
      <c r="GM524" s="1358"/>
      <c r="GN524" s="1358"/>
      <c r="GO524" s="1358"/>
      <c r="GP524" s="1358"/>
      <c r="GQ524" s="1358"/>
      <c r="GR524" s="1358"/>
      <c r="GS524" s="1358"/>
      <c r="GT524" s="1358"/>
      <c r="GU524" s="1358"/>
      <c r="GV524" s="1358"/>
      <c r="GW524" s="1358"/>
      <c r="GX524" s="1358"/>
      <c r="GY524" s="1358"/>
      <c r="GZ524" s="1358"/>
      <c r="HA524" s="1358"/>
      <c r="HB524" s="1358"/>
      <c r="HC524" s="1358"/>
      <c r="HD524" s="1358"/>
      <c r="HE524" s="1358"/>
      <c r="HF524" s="1358"/>
      <c r="HG524" s="1358"/>
      <c r="HH524" s="1358"/>
      <c r="HI524" s="1358"/>
      <c r="HJ524" s="1358"/>
      <c r="HK524" s="1358"/>
      <c r="HL524" s="1358"/>
      <c r="HM524" s="1358"/>
      <c r="HN524" s="1358"/>
      <c r="HO524" s="1358"/>
      <c r="HP524" s="1358"/>
      <c r="HQ524" s="1358"/>
      <c r="HR524" s="1358"/>
      <c r="HS524" s="1358"/>
      <c r="HT524" s="1358"/>
      <c r="HU524" s="1358"/>
      <c r="HV524" s="1358"/>
      <c r="HW524" s="1358"/>
      <c r="HX524" s="1358"/>
      <c r="HY524" s="1358"/>
      <c r="HZ524" s="1358"/>
      <c r="IA524" s="1358"/>
      <c r="IB524" s="1358"/>
      <c r="IC524" s="1358"/>
      <c r="ID524" s="1358"/>
      <c r="IE524" s="1358"/>
      <c r="IF524" s="1358"/>
      <c r="IG524" s="1358"/>
      <c r="IH524" s="1358"/>
      <c r="II524" s="1358"/>
      <c r="IJ524" s="1358"/>
      <c r="IK524" s="1358"/>
      <c r="IL524" s="1358"/>
      <c r="IM524" s="1358"/>
      <c r="IN524" s="1358"/>
      <c r="IO524" s="1358"/>
      <c r="IP524" s="1358"/>
      <c r="IQ524" s="1358"/>
      <c r="IR524" s="1358"/>
      <c r="IS524" s="1358"/>
      <c r="IT524" s="1358"/>
      <c r="IU524" s="1358"/>
      <c r="IV524" s="1358"/>
      <c r="IW524" s="1358"/>
      <c r="IX524" s="1358"/>
      <c r="IY524" s="1358"/>
      <c r="IZ524" s="1358"/>
      <c r="JA524" s="1358"/>
      <c r="JB524" s="1358"/>
      <c r="JC524" s="1358"/>
      <c r="JD524" s="1358"/>
      <c r="JE524" s="1358"/>
      <c r="JF524" s="1358"/>
      <c r="JG524" s="1358"/>
      <c r="JH524" s="1358"/>
      <c r="JI524" s="1358"/>
      <c r="JJ524" s="1358"/>
      <c r="JK524" s="1358"/>
      <c r="JL524" s="1358"/>
      <c r="JM524" s="1358"/>
      <c r="JN524" s="1358"/>
      <c r="JO524" s="1358"/>
      <c r="JP524" s="1358"/>
      <c r="JQ524" s="1358"/>
      <c r="JR524" s="1358"/>
      <c r="JS524" s="1358"/>
      <c r="JT524" s="1358"/>
      <c r="JU524" s="1358"/>
      <c r="JV524" s="1358"/>
      <c r="JW524" s="1358"/>
      <c r="JX524" s="1358"/>
      <c r="JY524" s="1358"/>
      <c r="JZ524" s="1358"/>
      <c r="KA524" s="1358"/>
      <c r="KB524" s="1358"/>
      <c r="KC524" s="1358"/>
      <c r="KD524" s="1358"/>
      <c r="KE524" s="1358"/>
      <c r="KF524" s="1358"/>
      <c r="KG524" s="1358"/>
      <c r="KH524" s="1358"/>
      <c r="KI524" s="1358"/>
      <c r="KJ524" s="1358"/>
      <c r="KK524" s="1358"/>
      <c r="KL524" s="1358"/>
      <c r="KM524" s="1358"/>
      <c r="KN524" s="1358"/>
      <c r="KO524" s="1358"/>
      <c r="KP524" s="1358"/>
      <c r="KQ524" s="1358"/>
      <c r="KR524" s="1358"/>
      <c r="KS524" s="1358"/>
      <c r="KT524" s="1358"/>
      <c r="KU524" s="1358"/>
      <c r="KV524" s="1358"/>
      <c r="KW524" s="1358"/>
      <c r="KX524" s="1358"/>
      <c r="KY524" s="1358"/>
      <c r="KZ524" s="1358"/>
      <c r="LA524" s="1358"/>
      <c r="LB524" s="1358"/>
      <c r="LC524" s="1358"/>
      <c r="LD524" s="1358"/>
      <c r="LE524" s="1358"/>
      <c r="LF524" s="1358"/>
      <c r="LG524" s="1358"/>
      <c r="LH524" s="1358"/>
      <c r="LI524" s="1358"/>
      <c r="LJ524" s="1358"/>
      <c r="LK524" s="1358"/>
      <c r="LL524" s="1358"/>
      <c r="LM524" s="1358"/>
      <c r="LN524" s="1358"/>
      <c r="LO524" s="1358"/>
      <c r="LP524" s="1358"/>
      <c r="LQ524" s="1358"/>
      <c r="LR524" s="1358"/>
      <c r="LS524" s="1358"/>
      <c r="LT524" s="1358"/>
      <c r="LU524" s="1358"/>
      <c r="LV524" s="1358"/>
      <c r="LW524" s="1358"/>
      <c r="LX524" s="1358"/>
      <c r="LY524" s="1358"/>
      <c r="LZ524" s="1358"/>
      <c r="MA524" s="1358"/>
      <c r="MB524" s="1358"/>
      <c r="MC524" s="1358"/>
      <c r="MD524" s="1358"/>
      <c r="ME524" s="1358"/>
      <c r="MF524" s="1358"/>
      <c r="MG524" s="1358"/>
      <c r="MH524" s="1358"/>
      <c r="MI524" s="1358"/>
      <c r="MJ524" s="1358"/>
      <c r="MK524" s="1358"/>
      <c r="ML524" s="1358"/>
      <c r="MM524" s="1358"/>
      <c r="MN524" s="1358"/>
      <c r="MO524" s="1358"/>
      <c r="MP524" s="1358"/>
      <c r="MQ524" s="1358"/>
      <c r="MR524" s="1358"/>
      <c r="MS524" s="1358"/>
      <c r="MT524" s="1358"/>
      <c r="MU524" s="1358"/>
      <c r="MV524" s="1358"/>
      <c r="MW524" s="1358"/>
      <c r="MX524" s="1358"/>
      <c r="MY524" s="1358"/>
      <c r="MZ524" s="1358"/>
      <c r="NA524" s="1358"/>
      <c r="NB524" s="1358"/>
      <c r="NC524" s="1358"/>
      <c r="ND524" s="1358"/>
      <c r="NE524" s="1358"/>
      <c r="NF524" s="1358"/>
      <c r="NG524" s="1358"/>
      <c r="NH524" s="1358"/>
      <c r="NI524" s="1358"/>
      <c r="NJ524" s="1358"/>
      <c r="NK524" s="1358"/>
      <c r="NL524" s="1358"/>
      <c r="NM524" s="1358"/>
      <c r="NN524" s="1358"/>
      <c r="NO524" s="1358"/>
      <c r="NP524" s="1358"/>
      <c r="NQ524" s="1358"/>
      <c r="NR524" s="1358"/>
      <c r="NS524" s="1358"/>
      <c r="NT524" s="1358"/>
      <c r="NU524" s="1358"/>
      <c r="NV524" s="1358"/>
      <c r="NW524" s="1358"/>
      <c r="NX524" s="1358"/>
      <c r="NY524" s="1358"/>
      <c r="NZ524" s="1358"/>
      <c r="OA524" s="1358"/>
      <c r="OB524" s="1358"/>
      <c r="OC524" s="1358"/>
      <c r="OD524" s="1358"/>
      <c r="OE524" s="1358"/>
      <c r="OF524" s="1358"/>
      <c r="OG524" s="1358"/>
      <c r="OH524" s="1358"/>
      <c r="OI524" s="1358"/>
      <c r="OJ524" s="1358"/>
      <c r="OK524" s="1358"/>
      <c r="OL524" s="1358"/>
      <c r="OM524" s="1358"/>
      <c r="ON524" s="1358"/>
      <c r="OO524" s="1358"/>
      <c r="OP524" s="1358"/>
      <c r="OQ524" s="1358"/>
      <c r="OR524" s="1358"/>
      <c r="OS524" s="1358"/>
      <c r="OT524" s="1358"/>
      <c r="OU524" s="1358"/>
      <c r="OV524" s="1358"/>
      <c r="OW524" s="1358"/>
      <c r="OX524" s="1358"/>
      <c r="OY524" s="1358"/>
      <c r="OZ524" s="1358"/>
      <c r="PA524" s="1358"/>
      <c r="PB524" s="1358"/>
      <c r="PC524" s="1358"/>
      <c r="PD524" s="1358"/>
      <c r="PE524" s="1358"/>
      <c r="PF524" s="1358"/>
      <c r="PG524" s="1358"/>
      <c r="PH524" s="1358"/>
      <c r="PI524" s="1358"/>
      <c r="PJ524" s="1358"/>
      <c r="PK524" s="1358"/>
      <c r="PL524" s="1358"/>
      <c r="PM524" s="1358"/>
      <c r="PN524" s="1358"/>
      <c r="PO524" s="1358"/>
      <c r="PP524" s="1358"/>
      <c r="PQ524" s="1358"/>
      <c r="PR524" s="1358"/>
      <c r="PS524" s="1358"/>
      <c r="PT524" s="1358"/>
      <c r="PU524" s="1358"/>
      <c r="PV524" s="1358"/>
      <c r="PW524" s="1358"/>
      <c r="PX524" s="1358"/>
      <c r="PY524" s="1358"/>
      <c r="PZ524" s="1358"/>
      <c r="QA524" s="1358"/>
      <c r="QB524" s="1358"/>
      <c r="QC524" s="1358"/>
      <c r="QD524" s="1358"/>
      <c r="QE524" s="1358"/>
      <c r="QF524" s="1358"/>
      <c r="QG524" s="1358"/>
      <c r="QH524" s="1358"/>
      <c r="QI524" s="1358"/>
      <c r="QJ524" s="1358"/>
      <c r="QK524" s="1358"/>
      <c r="QL524" s="1358"/>
      <c r="QM524" s="1358"/>
      <c r="QN524" s="1358"/>
      <c r="QO524" s="1358"/>
      <c r="QP524" s="1358"/>
      <c r="QQ524" s="1358"/>
      <c r="QR524" s="1358"/>
      <c r="QS524" s="1358"/>
      <c r="QT524" s="1358"/>
      <c r="QU524" s="1358"/>
      <c r="QV524" s="1358"/>
      <c r="QW524" s="1358"/>
      <c r="QX524" s="1358"/>
      <c r="QY524" s="1358"/>
      <c r="QZ524" s="1358"/>
      <c r="RA524" s="1358"/>
      <c r="RB524" s="1358"/>
      <c r="RC524" s="1358"/>
      <c r="RD524" s="1358"/>
      <c r="RE524" s="1358"/>
      <c r="RF524" s="1358"/>
      <c r="RG524" s="1358"/>
      <c r="RH524" s="1358"/>
      <c r="RI524" s="1358"/>
      <c r="RJ524" s="1358"/>
      <c r="RK524" s="1358"/>
      <c r="RL524" s="1358"/>
      <c r="RM524" s="1358"/>
      <c r="RN524" s="1358"/>
      <c r="RO524" s="1358"/>
      <c r="RP524" s="1358"/>
      <c r="RQ524" s="1358"/>
      <c r="RR524" s="1358"/>
      <c r="RS524" s="1358"/>
      <c r="RT524" s="1358"/>
      <c r="RU524" s="1358"/>
      <c r="RV524" s="1358"/>
      <c r="RW524" s="1358"/>
      <c r="RX524" s="1358"/>
      <c r="RY524" s="1358"/>
      <c r="RZ524" s="1358"/>
      <c r="SA524" s="1358"/>
      <c r="SB524" s="1358"/>
      <c r="SC524" s="1358"/>
      <c r="SD524" s="1358"/>
      <c r="SE524" s="1358"/>
      <c r="SF524" s="1358"/>
      <c r="SG524" s="1358"/>
      <c r="SH524" s="1358"/>
      <c r="SI524" s="1358"/>
      <c r="SJ524" s="1358"/>
      <c r="SK524" s="1358"/>
      <c r="SL524" s="1358"/>
      <c r="SM524" s="1358"/>
      <c r="SN524" s="1358"/>
      <c r="SO524" s="1358"/>
      <c r="SP524" s="1358"/>
      <c r="SQ524" s="1358"/>
      <c r="SR524" s="1358"/>
      <c r="SS524" s="1358"/>
      <c r="ST524" s="1358"/>
      <c r="SU524" s="1358"/>
      <c r="SV524" s="1358"/>
      <c r="SW524" s="1358"/>
      <c r="SX524" s="1358"/>
      <c r="SY524" s="1358"/>
      <c r="SZ524" s="1358"/>
      <c r="TA524" s="1358"/>
      <c r="TB524" s="1358"/>
      <c r="TC524" s="1358"/>
      <c r="TD524" s="1358"/>
      <c r="TE524" s="1358"/>
      <c r="TF524" s="1358"/>
      <c r="TG524" s="1358"/>
      <c r="TH524" s="1358"/>
      <c r="TI524" s="1358"/>
      <c r="TJ524" s="1358"/>
      <c r="TK524" s="1358"/>
      <c r="TL524" s="1358"/>
      <c r="TM524" s="1358"/>
      <c r="TN524" s="1358"/>
      <c r="TO524" s="1358"/>
      <c r="TP524" s="1358"/>
      <c r="TQ524" s="1358"/>
      <c r="TR524" s="1358"/>
      <c r="TS524" s="1358"/>
      <c r="TT524" s="1358"/>
      <c r="TU524" s="1358"/>
      <c r="TV524" s="1358"/>
      <c r="TW524" s="1358"/>
      <c r="TX524" s="1358"/>
      <c r="TY524" s="1358"/>
      <c r="TZ524" s="1358"/>
      <c r="UA524" s="1358"/>
      <c r="UB524" s="1358"/>
      <c r="UC524" s="1358"/>
      <c r="UD524" s="1358"/>
      <c r="UE524" s="1358"/>
      <c r="UF524" s="1358"/>
      <c r="UG524" s="1358"/>
      <c r="UH524" s="1358"/>
      <c r="UI524" s="1358"/>
      <c r="UJ524" s="1358"/>
      <c r="UK524" s="1358"/>
      <c r="UL524" s="1358"/>
      <c r="UM524" s="1358"/>
      <c r="UN524" s="1358"/>
      <c r="UO524" s="1358"/>
      <c r="UP524" s="1358"/>
      <c r="UQ524" s="1358"/>
      <c r="UR524" s="1358"/>
      <c r="US524" s="1358"/>
      <c r="UT524" s="1358"/>
      <c r="UU524" s="1358"/>
      <c r="UV524" s="1358"/>
      <c r="UW524" s="1358"/>
      <c r="UX524" s="1358"/>
      <c r="UY524" s="1358"/>
      <c r="UZ524" s="1358"/>
      <c r="VA524" s="1358"/>
      <c r="VB524" s="1358"/>
      <c r="VC524" s="1358"/>
      <c r="VD524" s="1358"/>
      <c r="VE524" s="1358"/>
      <c r="VF524" s="1358"/>
      <c r="VG524" s="1358"/>
      <c r="VH524" s="1358"/>
      <c r="VI524" s="1358"/>
      <c r="VJ524" s="1358"/>
      <c r="VK524" s="1358"/>
      <c r="VL524" s="1358"/>
      <c r="VM524" s="1358"/>
      <c r="VN524" s="1358"/>
      <c r="VO524" s="1358"/>
      <c r="VP524" s="1358"/>
      <c r="VQ524" s="1358"/>
      <c r="VR524" s="1358"/>
      <c r="VS524" s="1358"/>
      <c r="VT524" s="1358"/>
      <c r="VU524" s="1358"/>
      <c r="VV524" s="1358"/>
      <c r="VW524" s="1358"/>
      <c r="VX524" s="1358"/>
      <c r="VY524" s="1358"/>
      <c r="VZ524" s="1358"/>
      <c r="WA524" s="1358"/>
      <c r="WB524" s="1358"/>
      <c r="WC524" s="1358"/>
      <c r="WD524" s="1358"/>
      <c r="WE524" s="1358"/>
      <c r="WF524" s="1358"/>
      <c r="WG524" s="1358"/>
      <c r="WH524" s="1358"/>
      <c r="WI524" s="1358"/>
      <c r="WJ524" s="1358"/>
      <c r="WK524" s="1358"/>
      <c r="WL524" s="1358"/>
      <c r="WM524" s="1358"/>
      <c r="WN524" s="1358"/>
      <c r="WO524" s="1358"/>
      <c r="WP524" s="1358"/>
      <c r="WQ524" s="1358"/>
      <c r="WR524" s="1358"/>
      <c r="WS524" s="1358"/>
      <c r="WT524" s="1358"/>
      <c r="WU524" s="1358"/>
      <c r="WV524" s="1358"/>
      <c r="WW524" s="1358"/>
      <c r="WX524" s="1358"/>
      <c r="WY524" s="1358"/>
      <c r="WZ524" s="1358"/>
      <c r="XA524" s="1358"/>
      <c r="XB524" s="1358"/>
      <c r="XC524" s="1358"/>
      <c r="XD524" s="1358"/>
      <c r="XE524" s="1358"/>
      <c r="XF524" s="1358"/>
      <c r="XG524" s="1358"/>
      <c r="XH524" s="1358"/>
      <c r="XI524" s="1358"/>
      <c r="XJ524" s="1358"/>
      <c r="XK524" s="1358"/>
      <c r="XL524" s="1358"/>
      <c r="XM524" s="1358"/>
      <c r="XN524" s="1358"/>
      <c r="XO524" s="1358"/>
      <c r="XP524" s="1358"/>
      <c r="XQ524" s="1358"/>
      <c r="XR524" s="1358"/>
      <c r="XS524" s="1358"/>
      <c r="XT524" s="1358"/>
      <c r="XU524" s="1358"/>
      <c r="XV524" s="1358"/>
      <c r="XW524" s="1358"/>
      <c r="XX524" s="1358"/>
      <c r="XY524" s="1358"/>
      <c r="XZ524" s="1358"/>
      <c r="YA524" s="1358"/>
      <c r="YB524" s="1358"/>
      <c r="YC524" s="1358"/>
      <c r="YD524" s="1358"/>
      <c r="YE524" s="1358"/>
      <c r="YF524" s="1358"/>
      <c r="YG524" s="1358"/>
      <c r="YH524" s="1358"/>
      <c r="YI524" s="1358"/>
      <c r="YJ524" s="1358"/>
      <c r="YK524" s="1358"/>
      <c r="YL524" s="1358"/>
      <c r="YM524" s="1358"/>
      <c r="YN524" s="1358"/>
      <c r="YO524" s="1358"/>
      <c r="YP524" s="1358"/>
      <c r="YQ524" s="1358"/>
      <c r="YR524" s="1358"/>
      <c r="YS524" s="1358"/>
      <c r="YT524" s="1358"/>
      <c r="YU524" s="1358"/>
      <c r="YV524" s="1358"/>
      <c r="YW524" s="1358"/>
      <c r="YX524" s="1358"/>
      <c r="YY524" s="1358"/>
      <c r="YZ524" s="1358"/>
      <c r="ZA524" s="1358"/>
      <c r="ZB524" s="1358"/>
      <c r="ZC524" s="1358"/>
      <c r="ZD524" s="1358"/>
      <c r="ZE524" s="1358"/>
      <c r="ZF524" s="1358"/>
      <c r="ZG524" s="1358"/>
      <c r="ZH524" s="1358"/>
      <c r="ZI524" s="1358"/>
      <c r="ZJ524" s="1358"/>
      <c r="ZK524" s="1358"/>
      <c r="ZL524" s="1358"/>
      <c r="ZM524" s="1358"/>
      <c r="ZN524" s="1358"/>
      <c r="ZO524" s="1358"/>
      <c r="ZP524" s="1358"/>
      <c r="ZQ524" s="1358"/>
      <c r="ZR524" s="1358"/>
      <c r="ZS524" s="1358"/>
      <c r="ZT524" s="1358"/>
      <c r="ZU524" s="1358"/>
      <c r="ZV524" s="1358"/>
      <c r="ZW524" s="1358"/>
      <c r="ZX524" s="1358"/>
      <c r="ZY524" s="1358"/>
      <c r="ZZ524" s="1358"/>
      <c r="AAA524" s="1358"/>
      <c r="AAB524" s="1358"/>
      <c r="AAC524" s="1358"/>
      <c r="AAD524" s="1358"/>
      <c r="AAE524" s="1358"/>
      <c r="AAF524" s="1358"/>
      <c r="AAG524" s="1358"/>
      <c r="AAH524" s="1358"/>
      <c r="AAI524" s="1358"/>
      <c r="AAJ524" s="1358"/>
      <c r="AAK524" s="1358"/>
      <c r="AAL524" s="1358"/>
      <c r="AAM524" s="1358"/>
      <c r="AAN524" s="1358"/>
      <c r="AAO524" s="1358"/>
      <c r="AAP524" s="1358"/>
      <c r="AAQ524" s="1358"/>
      <c r="AAR524" s="1358"/>
      <c r="AAS524" s="1358"/>
      <c r="AAT524" s="1358"/>
      <c r="AAU524" s="1358"/>
      <c r="AAV524" s="1358"/>
      <c r="AAW524" s="1358"/>
      <c r="AAX524" s="1358"/>
      <c r="AAY524" s="1358"/>
      <c r="AAZ524" s="1358"/>
      <c r="ABA524" s="1358"/>
      <c r="ABB524" s="1358"/>
      <c r="ABC524" s="1358"/>
      <c r="ABD524" s="1358"/>
      <c r="ABE524" s="1358"/>
      <c r="ABF524" s="1358"/>
      <c r="ABG524" s="1358"/>
      <c r="ABH524" s="1358"/>
      <c r="ABI524" s="1358"/>
      <c r="ABJ524" s="1358"/>
      <c r="ABK524" s="1358"/>
      <c r="ABL524" s="1358"/>
      <c r="ABM524" s="1358"/>
      <c r="ABN524" s="1358"/>
      <c r="ABO524" s="1358"/>
      <c r="ABP524" s="1358"/>
      <c r="ABQ524" s="1358"/>
      <c r="ABR524" s="1358"/>
      <c r="ABS524" s="1358"/>
      <c r="ABT524" s="1358"/>
      <c r="ABU524" s="1358"/>
      <c r="ABV524" s="1358"/>
      <c r="ABW524" s="1358"/>
      <c r="ABX524" s="1358"/>
      <c r="ABY524" s="1358"/>
      <c r="ABZ524" s="1358"/>
      <c r="ACA524" s="1358"/>
      <c r="ACB524" s="1358"/>
      <c r="ACC524" s="1358"/>
      <c r="ACD524" s="1358"/>
      <c r="ACE524" s="1358"/>
      <c r="ACF524" s="1358"/>
      <c r="ACG524" s="1358"/>
      <c r="ACH524" s="1358"/>
      <c r="ACI524" s="1358"/>
      <c r="ACJ524" s="1358"/>
      <c r="ACK524" s="1358"/>
      <c r="ACL524" s="1358"/>
      <c r="ACM524" s="1358"/>
      <c r="ACN524" s="1358"/>
      <c r="ACO524" s="1358"/>
      <c r="ACP524" s="1358"/>
      <c r="ACQ524" s="1358"/>
      <c r="ACR524" s="1358"/>
      <c r="ACS524" s="1358"/>
      <c r="ACT524" s="1358"/>
      <c r="ACU524" s="1358"/>
      <c r="ACV524" s="1358"/>
      <c r="ACW524" s="1358"/>
      <c r="ACX524" s="1358"/>
      <c r="ACY524" s="1358"/>
      <c r="ACZ524" s="1358"/>
      <c r="ADA524" s="1358"/>
      <c r="ADB524" s="1358"/>
      <c r="ADC524" s="1358"/>
      <c r="ADD524" s="1358"/>
      <c r="ADE524" s="1358"/>
      <c r="ADF524" s="1358"/>
      <c r="ADG524" s="1358"/>
      <c r="ADH524" s="1358"/>
      <c r="ADI524" s="1358"/>
      <c r="ADJ524" s="1358"/>
      <c r="ADK524" s="1358"/>
      <c r="ADL524" s="1358"/>
      <c r="ADM524" s="1358"/>
      <c r="ADN524" s="1358"/>
      <c r="ADO524" s="1358"/>
      <c r="ADP524" s="1358"/>
      <c r="ADQ524" s="1358"/>
      <c r="ADR524" s="1358"/>
      <c r="ADS524" s="1358"/>
      <c r="ADT524" s="1358"/>
      <c r="ADU524" s="1358"/>
      <c r="ADV524" s="1358"/>
      <c r="ADW524" s="1358"/>
      <c r="ADX524" s="1358"/>
      <c r="ADY524" s="1358"/>
      <c r="ADZ524" s="1358"/>
      <c r="AEA524" s="1358"/>
      <c r="AEB524" s="1358"/>
      <c r="AEC524" s="1358"/>
      <c r="AED524" s="1358"/>
      <c r="AEE524" s="1358"/>
      <c r="AEF524" s="1358"/>
      <c r="AEG524" s="1358"/>
      <c r="AEH524" s="1358"/>
      <c r="AEI524" s="1358"/>
      <c r="AEJ524" s="1358"/>
      <c r="AEK524" s="1358"/>
      <c r="AEL524" s="1358"/>
      <c r="AEM524" s="1358"/>
      <c r="AEN524" s="1358"/>
      <c r="AEO524" s="1358"/>
      <c r="AEP524" s="1358"/>
      <c r="AEQ524" s="1358"/>
      <c r="AER524" s="1358"/>
      <c r="AES524" s="1358"/>
      <c r="AET524" s="1358"/>
      <c r="AEU524" s="1358"/>
      <c r="AEV524" s="1358"/>
      <c r="AEW524" s="1358"/>
      <c r="AEX524" s="1358"/>
      <c r="AEY524" s="1358"/>
      <c r="AEZ524" s="1358"/>
      <c r="AFA524" s="1358"/>
      <c r="AFB524" s="1358"/>
      <c r="AFC524" s="1358"/>
      <c r="AFD524" s="1358"/>
      <c r="AFE524" s="1358"/>
      <c r="AFF524" s="1358"/>
      <c r="AFG524" s="1358"/>
      <c r="AFH524" s="1358"/>
      <c r="AFI524" s="1358"/>
      <c r="AFJ524" s="1358"/>
      <c r="AFK524" s="1358"/>
      <c r="AFL524" s="1358"/>
      <c r="AFM524" s="1358"/>
      <c r="AFN524" s="1358"/>
      <c r="AFO524" s="1358"/>
      <c r="AFP524" s="1358"/>
      <c r="AFQ524" s="1358"/>
      <c r="AFR524" s="1358"/>
      <c r="AFS524" s="1358"/>
      <c r="AFT524" s="1358"/>
      <c r="AFU524" s="1358"/>
      <c r="AFV524" s="1358"/>
      <c r="AFW524" s="1358"/>
      <c r="AFX524" s="1358"/>
      <c r="AFY524" s="1358"/>
      <c r="AFZ524" s="1358"/>
      <c r="AGA524" s="1358"/>
      <c r="AGB524" s="1358"/>
      <c r="AGC524" s="1358"/>
      <c r="AGD524" s="1358"/>
      <c r="AGE524" s="1358"/>
      <c r="AGF524" s="1358"/>
      <c r="AGG524" s="1358"/>
      <c r="AGH524" s="1358"/>
      <c r="AGI524" s="1358"/>
      <c r="AGJ524" s="1358"/>
      <c r="AGK524" s="1358"/>
      <c r="AGL524" s="1358"/>
      <c r="AGM524" s="1358"/>
      <c r="AGN524" s="1358"/>
      <c r="AGO524" s="1358"/>
      <c r="AGP524" s="1358"/>
      <c r="AGQ524" s="1358"/>
      <c r="AGR524" s="1358"/>
      <c r="AGS524" s="1358"/>
      <c r="AGT524" s="1358"/>
      <c r="AGU524" s="1358"/>
      <c r="AGV524" s="1358"/>
      <c r="AGW524" s="1358"/>
      <c r="AGX524" s="1358"/>
      <c r="AGY524" s="1358"/>
      <c r="AGZ524" s="1358"/>
      <c r="AHA524" s="1358"/>
      <c r="AHB524" s="1358"/>
      <c r="AHC524" s="1358"/>
      <c r="AHD524" s="1358"/>
      <c r="AHE524" s="1358"/>
      <c r="AHF524" s="1358"/>
      <c r="AHG524" s="1358"/>
      <c r="AHH524" s="1358"/>
      <c r="AHI524" s="1358"/>
      <c r="AHJ524" s="1358"/>
      <c r="AHK524" s="1358"/>
      <c r="AHL524" s="1358"/>
      <c r="AHM524" s="1358"/>
      <c r="AHN524" s="1358"/>
      <c r="AHO524" s="1358"/>
      <c r="AHP524" s="1358"/>
      <c r="AHQ524" s="1358"/>
      <c r="AHR524" s="1358"/>
      <c r="AHS524" s="1358"/>
      <c r="AHT524" s="1358"/>
      <c r="AHU524" s="1358"/>
      <c r="AHV524" s="1358"/>
      <c r="AHW524" s="1358"/>
      <c r="AHX524" s="1358"/>
      <c r="AHY524" s="1358"/>
      <c r="AHZ524" s="1358"/>
      <c r="AIA524" s="1358"/>
      <c r="AIB524" s="1358"/>
      <c r="AIC524" s="1358"/>
      <c r="AID524" s="1358"/>
      <c r="AIE524" s="1358"/>
      <c r="AIF524" s="1358"/>
      <c r="AIG524" s="1358"/>
      <c r="AIH524" s="1358"/>
      <c r="AII524" s="1358"/>
      <c r="AIJ524" s="1358"/>
      <c r="AIK524" s="1358"/>
      <c r="AIL524" s="1358"/>
      <c r="AIM524" s="1358"/>
      <c r="AIN524" s="1358"/>
      <c r="AIO524" s="1358"/>
      <c r="AIP524" s="1358"/>
      <c r="AIQ524" s="1358"/>
      <c r="AIR524" s="1358"/>
      <c r="AIS524" s="1358"/>
      <c r="AIT524" s="1358"/>
      <c r="AIU524" s="1358"/>
      <c r="AIV524" s="1358"/>
      <c r="AIW524" s="1358"/>
      <c r="AIX524" s="1358"/>
      <c r="AIY524" s="1358"/>
      <c r="AIZ524" s="1358"/>
      <c r="AJA524" s="1358"/>
      <c r="AJB524" s="1358"/>
      <c r="AJC524" s="1358"/>
      <c r="AJD524" s="1358"/>
      <c r="AJE524" s="1358"/>
      <c r="AJF524" s="1358"/>
      <c r="AJG524" s="1358"/>
      <c r="AJH524" s="1358"/>
      <c r="AJI524" s="1358"/>
      <c r="AJJ524" s="1358"/>
      <c r="AJK524" s="1358"/>
      <c r="AJL524" s="1358"/>
      <c r="AJM524" s="1358"/>
      <c r="AJN524" s="1358"/>
      <c r="AJO524" s="1358"/>
      <c r="AJP524" s="1358"/>
      <c r="AJQ524" s="1358"/>
      <c r="AJR524" s="1358"/>
      <c r="AJS524" s="1358"/>
      <c r="AJT524" s="1358"/>
      <c r="AJU524" s="1358"/>
      <c r="AJV524" s="1358"/>
      <c r="AJW524" s="1358"/>
      <c r="AJX524" s="1358"/>
      <c r="AJY524" s="1358"/>
      <c r="AJZ524" s="1358"/>
      <c r="AKA524" s="1358"/>
      <c r="AKB524" s="1358"/>
      <c r="AKC524" s="1358"/>
      <c r="AKD524" s="1358"/>
      <c r="AKE524" s="1358"/>
      <c r="AKF524" s="1358"/>
      <c r="AKG524" s="1358"/>
      <c r="AKH524" s="1358"/>
      <c r="AKI524" s="1358"/>
      <c r="AKJ524" s="1358"/>
      <c r="AKK524" s="1358"/>
      <c r="AKL524" s="1358"/>
      <c r="AKM524" s="1358"/>
      <c r="AKN524" s="1358"/>
      <c r="AKO524" s="1358"/>
      <c r="AKP524" s="1358"/>
      <c r="AKQ524" s="1358"/>
      <c r="AKR524" s="1358"/>
      <c r="AKS524" s="1358"/>
      <c r="AKT524" s="1358"/>
      <c r="AKU524" s="1358"/>
      <c r="AKV524" s="1358"/>
      <c r="AKW524" s="1358"/>
      <c r="AKX524" s="1358"/>
      <c r="AKY524" s="1358"/>
      <c r="AKZ524" s="1358"/>
      <c r="ALA524" s="1358"/>
      <c r="ALB524" s="1358"/>
      <c r="ALC524" s="1358"/>
      <c r="ALD524" s="1358"/>
      <c r="ALE524" s="1358"/>
      <c r="ALF524" s="1358"/>
      <c r="ALG524" s="1358"/>
      <c r="ALH524" s="1358"/>
      <c r="ALI524" s="1358"/>
      <c r="ALJ524" s="1358"/>
      <c r="ALK524" s="1358"/>
      <c r="ALL524" s="1358"/>
      <c r="ALM524" s="1358"/>
      <c r="ALN524" s="1358"/>
      <c r="ALO524" s="1358"/>
      <c r="ALP524" s="1358"/>
      <c r="ALQ524" s="1358"/>
      <c r="ALR524" s="1358"/>
      <c r="ALS524" s="1358"/>
      <c r="ALT524" s="1358"/>
      <c r="ALU524" s="1358"/>
      <c r="ALV524" s="1358"/>
      <c r="ALW524" s="1358"/>
      <c r="ALX524" s="1358"/>
      <c r="ALY524" s="1358"/>
      <c r="ALZ524" s="1358"/>
      <c r="AMA524" s="1358"/>
      <c r="AMB524" s="1358"/>
      <c r="AMC524" s="1358"/>
      <c r="AMD524" s="1358"/>
      <c r="AME524" s="1358"/>
      <c r="AMF524" s="1358"/>
      <c r="AMG524" s="1358"/>
      <c r="AMH524" s="1358"/>
      <c r="AMI524" s="1358"/>
      <c r="AMJ524" s="1358"/>
      <c r="AMK524" s="1358"/>
      <c r="AML524" s="1358"/>
      <c r="AMM524" s="1358"/>
      <c r="AMN524" s="1358"/>
      <c r="AMO524" s="1358"/>
      <c r="AMP524" s="1358"/>
      <c r="AMQ524" s="1358"/>
      <c r="AMR524" s="1358"/>
      <c r="AMS524" s="1358"/>
      <c r="AMT524" s="1358"/>
      <c r="AMU524" s="1358"/>
      <c r="AMV524" s="1358"/>
      <c r="AMW524" s="1358"/>
      <c r="AMX524" s="1358"/>
      <c r="AMY524" s="1358"/>
      <c r="AMZ524" s="1358"/>
      <c r="ANA524" s="1358"/>
      <c r="ANB524" s="1358"/>
      <c r="ANC524" s="1358"/>
      <c r="AND524" s="1358"/>
      <c r="ANE524" s="1358"/>
      <c r="ANF524" s="1358"/>
      <c r="ANG524" s="1358"/>
      <c r="ANH524" s="1358"/>
      <c r="ANI524" s="1358"/>
      <c r="ANJ524" s="1358"/>
      <c r="ANK524" s="1358"/>
      <c r="ANL524" s="1358"/>
      <c r="ANM524" s="1358"/>
      <c r="ANN524" s="1358"/>
      <c r="ANO524" s="1358"/>
      <c r="ANP524" s="1358"/>
      <c r="ANQ524" s="1358"/>
      <c r="ANR524" s="1358"/>
      <c r="ANS524" s="1358"/>
      <c r="ANT524" s="1358"/>
      <c r="ANU524" s="1358"/>
      <c r="ANV524" s="1358"/>
      <c r="ANW524" s="1358"/>
      <c r="ANX524" s="1358"/>
      <c r="ANY524" s="1358"/>
      <c r="ANZ524" s="1358"/>
      <c r="AOA524" s="1358"/>
      <c r="AOB524" s="1358"/>
      <c r="AOC524" s="1358"/>
      <c r="AOD524" s="1358"/>
      <c r="AOE524" s="1358"/>
      <c r="AOF524" s="1358"/>
      <c r="AOG524" s="1358"/>
      <c r="AOH524" s="1358"/>
      <c r="AOI524" s="1358"/>
      <c r="AOJ524" s="1358"/>
      <c r="AOK524" s="1358"/>
      <c r="AOL524" s="1358"/>
      <c r="AOM524" s="1358"/>
      <c r="AON524" s="1358"/>
      <c r="AOO524" s="1358"/>
      <c r="AOP524" s="1358"/>
      <c r="AOQ524" s="1358"/>
      <c r="AOR524" s="1358"/>
      <c r="AOS524" s="1358"/>
      <c r="AOT524" s="1358"/>
      <c r="AOU524" s="1358"/>
      <c r="AOV524" s="1358"/>
      <c r="AOW524" s="1358"/>
      <c r="AOX524" s="1358"/>
      <c r="AOY524" s="1358"/>
      <c r="AOZ524" s="1358"/>
      <c r="APA524" s="1358"/>
      <c r="APB524" s="1358"/>
      <c r="APC524" s="1358"/>
      <c r="APD524" s="1358"/>
      <c r="APE524" s="1358"/>
      <c r="APF524" s="1358"/>
      <c r="APG524" s="1358"/>
      <c r="APH524" s="1358"/>
      <c r="API524" s="1358"/>
      <c r="APJ524" s="1358"/>
      <c r="APK524" s="1358"/>
      <c r="APL524" s="1358"/>
      <c r="APM524" s="1358"/>
      <c r="APN524" s="1358"/>
      <c r="APO524" s="1358"/>
      <c r="APP524" s="1358"/>
      <c r="APQ524" s="1358"/>
      <c r="APR524" s="1358"/>
      <c r="APS524" s="1358"/>
      <c r="APT524" s="1358"/>
      <c r="APU524" s="1358"/>
      <c r="APV524" s="1358"/>
      <c r="APW524" s="1358"/>
      <c r="APX524" s="1358"/>
      <c r="APY524" s="1358"/>
      <c r="APZ524" s="1358"/>
      <c r="AQA524" s="1358"/>
      <c r="AQB524" s="1358"/>
      <c r="AQC524" s="1358"/>
      <c r="AQD524" s="1358"/>
      <c r="AQE524" s="1358"/>
      <c r="AQF524" s="1358"/>
      <c r="AQG524" s="1358"/>
      <c r="AQH524" s="1358"/>
      <c r="AQI524" s="1358"/>
      <c r="AQJ524" s="1358"/>
      <c r="AQK524" s="1358"/>
      <c r="AQL524" s="1358"/>
      <c r="AQM524" s="1358"/>
      <c r="AQN524" s="1358"/>
      <c r="AQO524" s="1358"/>
      <c r="AQP524" s="1358"/>
      <c r="AQQ524" s="1358"/>
      <c r="AQR524" s="1358"/>
      <c r="AQS524" s="1358"/>
      <c r="AQT524" s="1358"/>
      <c r="AQU524" s="1358"/>
      <c r="AQV524" s="1358"/>
      <c r="AQW524" s="1358"/>
      <c r="AQX524" s="1358"/>
      <c r="AQY524" s="1358"/>
      <c r="AQZ524" s="1358"/>
      <c r="ARA524" s="1358"/>
      <c r="ARB524" s="1358"/>
      <c r="ARC524" s="1358"/>
      <c r="ARD524" s="1358"/>
      <c r="ARE524" s="1358"/>
      <c r="ARF524" s="1358"/>
      <c r="ARG524" s="1358"/>
      <c r="ARH524" s="1358"/>
      <c r="ARI524" s="1358"/>
      <c r="ARJ524" s="1358"/>
      <c r="ARK524" s="1358"/>
      <c r="ARL524" s="1358"/>
      <c r="ARM524" s="1358"/>
      <c r="ARN524" s="1358"/>
      <c r="ARO524" s="1358"/>
      <c r="ARP524" s="1358"/>
      <c r="ARQ524" s="1358"/>
      <c r="ARR524" s="1358"/>
      <c r="ARS524" s="1358"/>
      <c r="ART524" s="1358"/>
      <c r="ARU524" s="1358"/>
      <c r="ARV524" s="1358"/>
      <c r="ARW524" s="1358"/>
      <c r="ARX524" s="1358"/>
      <c r="ARY524" s="1358"/>
      <c r="ARZ524" s="1358"/>
      <c r="ASA524" s="1358"/>
      <c r="ASB524" s="1358"/>
      <c r="ASC524" s="1358"/>
      <c r="ASD524" s="1358"/>
      <c r="ASE524" s="1358"/>
      <c r="ASF524" s="1358"/>
      <c r="ASG524" s="1358"/>
      <c r="ASH524" s="1358"/>
      <c r="ASI524" s="1358"/>
      <c r="ASJ524" s="1358"/>
      <c r="ASK524" s="1358"/>
      <c r="ASL524" s="1358"/>
      <c r="ASM524" s="1358"/>
      <c r="ASN524" s="1358"/>
      <c r="ASO524" s="1358"/>
      <c r="ASP524" s="1358"/>
      <c r="ASQ524" s="1358"/>
      <c r="ASR524" s="1358"/>
      <c r="ASS524" s="1358"/>
      <c r="AST524" s="1358"/>
      <c r="ASU524" s="1358"/>
      <c r="ASV524" s="1358"/>
      <c r="ASW524" s="1358"/>
      <c r="ASX524" s="1358"/>
      <c r="ASY524" s="1358"/>
      <c r="ASZ524" s="1358"/>
      <c r="ATA524" s="1358"/>
      <c r="ATB524" s="1358"/>
      <c r="ATC524" s="1358"/>
      <c r="ATD524" s="1358"/>
      <c r="ATE524" s="1358"/>
      <c r="ATF524" s="1358"/>
      <c r="ATG524" s="1358"/>
      <c r="ATH524" s="1358"/>
      <c r="ATI524" s="1358"/>
      <c r="ATJ524" s="1358"/>
      <c r="ATK524" s="1358"/>
      <c r="ATL524" s="1358"/>
      <c r="ATM524" s="1358"/>
      <c r="ATN524" s="1358"/>
      <c r="ATO524" s="1358"/>
      <c r="ATP524" s="1358"/>
      <c r="ATQ524" s="1358"/>
      <c r="ATR524" s="1358"/>
      <c r="ATS524" s="1358"/>
      <c r="ATT524" s="1358"/>
      <c r="ATU524" s="1358"/>
      <c r="ATV524" s="1358"/>
      <c r="ATW524" s="1358"/>
      <c r="ATX524" s="1358"/>
      <c r="ATY524" s="1358"/>
      <c r="ATZ524" s="1358"/>
      <c r="AUA524" s="1358"/>
      <c r="AUB524" s="1358"/>
      <c r="AUC524" s="1358"/>
      <c r="AUD524" s="1358"/>
      <c r="AUE524" s="1358"/>
      <c r="AUF524" s="1358"/>
      <c r="AUG524" s="1358"/>
      <c r="AUH524" s="1358"/>
      <c r="AUI524" s="1358"/>
      <c r="AUJ524" s="1358"/>
      <c r="AUK524" s="1358"/>
      <c r="AUL524" s="1358"/>
      <c r="AUM524" s="1358"/>
      <c r="AUN524" s="1358"/>
      <c r="AUO524" s="1358"/>
      <c r="AUP524" s="1358"/>
      <c r="AUQ524" s="1358"/>
      <c r="AUR524" s="1358"/>
      <c r="AUS524" s="1358"/>
      <c r="AUT524" s="1358"/>
      <c r="AUU524" s="1358"/>
      <c r="AUV524" s="1358"/>
      <c r="AUW524" s="1358"/>
      <c r="AUX524" s="1358"/>
      <c r="AUY524" s="1358"/>
      <c r="AUZ524" s="1358"/>
      <c r="AVA524" s="1358"/>
      <c r="AVB524" s="1358"/>
      <c r="AVC524" s="1358"/>
      <c r="AVD524" s="1358"/>
      <c r="AVE524" s="1358"/>
      <c r="AVF524" s="1358"/>
      <c r="AVG524" s="1358"/>
      <c r="AVH524" s="1358"/>
      <c r="AVI524" s="1358"/>
      <c r="AVJ524" s="1358"/>
      <c r="AVK524" s="1358"/>
      <c r="AVL524" s="1358"/>
      <c r="AVM524" s="1358"/>
      <c r="AVN524" s="1358"/>
      <c r="AVO524" s="1358"/>
      <c r="AVP524" s="1358"/>
      <c r="AVQ524" s="1358"/>
      <c r="AVR524" s="1358"/>
      <c r="AVS524" s="1358"/>
      <c r="AVT524" s="1358"/>
      <c r="AVU524" s="1358"/>
      <c r="AVV524" s="1358"/>
      <c r="AVW524" s="1358"/>
      <c r="AVX524" s="1358"/>
      <c r="AVY524" s="1358"/>
      <c r="AVZ524" s="1358"/>
      <c r="AWA524" s="1358"/>
      <c r="AWB524" s="1358"/>
      <c r="AWC524" s="1358"/>
      <c r="AWD524" s="1358"/>
      <c r="AWE524" s="1358"/>
      <c r="AWF524" s="1358"/>
      <c r="AWG524" s="1358"/>
      <c r="AWH524" s="1358"/>
      <c r="AWI524" s="1358"/>
      <c r="AWJ524" s="1358"/>
      <c r="AWK524" s="1358"/>
      <c r="AWL524" s="1358"/>
      <c r="AWM524" s="1358"/>
      <c r="AWN524" s="1358"/>
      <c r="AWO524" s="1358"/>
      <c r="AWP524" s="1358"/>
      <c r="AWQ524" s="1358"/>
      <c r="AWR524" s="1358"/>
      <c r="AWS524" s="1358"/>
      <c r="AWT524" s="1358"/>
      <c r="AWU524" s="1358"/>
      <c r="AWV524" s="1358"/>
      <c r="AWW524" s="1358"/>
      <c r="AWX524" s="1358"/>
      <c r="AWY524" s="1358"/>
      <c r="AWZ524" s="1358"/>
      <c r="AXA524" s="1358"/>
      <c r="AXB524" s="1358"/>
      <c r="AXC524" s="1358"/>
      <c r="AXD524" s="1358"/>
      <c r="AXE524" s="1358"/>
      <c r="AXF524" s="1358"/>
      <c r="AXG524" s="1358"/>
      <c r="AXH524" s="1358"/>
      <c r="AXI524" s="1358"/>
      <c r="AXJ524" s="1358"/>
      <c r="AXK524" s="1358"/>
      <c r="AXL524" s="1358"/>
      <c r="AXM524" s="1358"/>
      <c r="AXN524" s="1358"/>
      <c r="AXO524" s="1358"/>
      <c r="AXP524" s="1358"/>
      <c r="AXQ524" s="1358"/>
      <c r="AXR524" s="1358"/>
      <c r="AXS524" s="1358"/>
      <c r="AXT524" s="1358"/>
      <c r="AXU524" s="1358"/>
      <c r="AXV524" s="1358"/>
      <c r="AXW524" s="1358"/>
      <c r="AXX524" s="1358"/>
      <c r="AXY524" s="1358"/>
      <c r="AXZ524" s="1358"/>
      <c r="AYA524" s="1358"/>
      <c r="AYB524" s="1358"/>
      <c r="AYC524" s="1358"/>
      <c r="AYD524" s="1358"/>
      <c r="AYE524" s="1358"/>
      <c r="AYF524" s="1358"/>
      <c r="AYG524" s="1358"/>
      <c r="AYH524" s="1358"/>
      <c r="AYI524" s="1358"/>
      <c r="AYJ524" s="1358"/>
      <c r="AYK524" s="1358"/>
      <c r="AYL524" s="1358"/>
      <c r="AYM524" s="1358"/>
      <c r="AYN524" s="1358"/>
      <c r="AYO524" s="1358"/>
      <c r="AYP524" s="1358"/>
      <c r="AYQ524" s="1358"/>
      <c r="AYR524" s="1358"/>
      <c r="AYS524" s="1358"/>
      <c r="AYT524" s="1358"/>
      <c r="AYU524" s="1358"/>
      <c r="AYV524" s="1358"/>
      <c r="AYW524" s="1358"/>
      <c r="AYX524" s="1358"/>
      <c r="AYY524" s="1358"/>
      <c r="AYZ524" s="1358"/>
      <c r="AZA524" s="1358"/>
      <c r="AZB524" s="1358"/>
      <c r="AZC524" s="1358"/>
      <c r="AZD524" s="1358"/>
      <c r="AZE524" s="1358"/>
      <c r="AZF524" s="1358"/>
      <c r="AZG524" s="1358"/>
      <c r="AZH524" s="1358"/>
      <c r="AZI524" s="1358"/>
      <c r="AZJ524" s="1358"/>
      <c r="AZK524" s="1358"/>
      <c r="AZL524" s="1358"/>
      <c r="AZM524" s="1358"/>
      <c r="AZN524" s="1358"/>
      <c r="AZO524" s="1358"/>
      <c r="AZP524" s="1358"/>
      <c r="AZQ524" s="1358"/>
      <c r="AZR524" s="1358"/>
      <c r="AZS524" s="1358"/>
      <c r="AZT524" s="1358"/>
      <c r="AZU524" s="1358"/>
      <c r="AZV524" s="1358"/>
      <c r="AZW524" s="1358"/>
      <c r="AZX524" s="1358"/>
      <c r="AZY524" s="1358"/>
      <c r="AZZ524" s="1358"/>
      <c r="BAA524" s="1358"/>
      <c r="BAB524" s="1358"/>
      <c r="BAC524" s="1358"/>
      <c r="BAD524" s="1358"/>
      <c r="BAE524" s="1358"/>
      <c r="BAF524" s="1358"/>
      <c r="BAG524" s="1358"/>
      <c r="BAH524" s="1358"/>
      <c r="BAI524" s="1358"/>
      <c r="BAJ524" s="1358"/>
      <c r="BAK524" s="1358"/>
      <c r="BAL524" s="1358"/>
      <c r="BAM524" s="1358"/>
      <c r="BAN524" s="1358"/>
      <c r="BAO524" s="1358"/>
      <c r="BAP524" s="1358"/>
      <c r="BAQ524" s="1358"/>
      <c r="BAR524" s="1358"/>
      <c r="BAS524" s="1358"/>
      <c r="BAT524" s="1358"/>
      <c r="BAU524" s="1358"/>
      <c r="BAV524" s="1358"/>
      <c r="BAW524" s="1358"/>
      <c r="BAX524" s="1358"/>
      <c r="BAY524" s="1358"/>
      <c r="BAZ524" s="1358"/>
      <c r="BBA524" s="1358"/>
      <c r="BBB524" s="1358"/>
      <c r="BBC524" s="1358"/>
      <c r="BBD524" s="1358"/>
      <c r="BBE524" s="1358"/>
      <c r="BBF524" s="1358"/>
      <c r="BBG524" s="1358"/>
      <c r="BBH524" s="1358"/>
      <c r="BBI524" s="1358"/>
      <c r="BBJ524" s="1358"/>
      <c r="BBK524" s="1358"/>
      <c r="BBL524" s="1358"/>
      <c r="BBM524" s="1358"/>
      <c r="BBN524" s="1358"/>
      <c r="BBO524" s="1358"/>
      <c r="BBP524" s="1358"/>
      <c r="BBQ524" s="1358"/>
      <c r="BBR524" s="1358"/>
      <c r="BBS524" s="1358"/>
      <c r="BBT524" s="1358"/>
      <c r="BBU524" s="1358"/>
      <c r="BBV524" s="1358"/>
      <c r="BBW524" s="1358"/>
      <c r="BBX524" s="1358"/>
      <c r="BBY524" s="1358"/>
      <c r="BBZ524" s="1358"/>
      <c r="BCA524" s="1358"/>
      <c r="BCB524" s="1358"/>
      <c r="BCC524" s="1358"/>
      <c r="BCD524" s="1358"/>
      <c r="BCE524" s="1358"/>
      <c r="BCF524" s="1358"/>
      <c r="BCG524" s="1358"/>
      <c r="BCH524" s="1358"/>
      <c r="BCI524" s="1358"/>
      <c r="BCJ524" s="1358"/>
      <c r="BCK524" s="1358"/>
      <c r="BCL524" s="1358"/>
      <c r="BCM524" s="1358"/>
      <c r="BCN524" s="1358"/>
      <c r="BCO524" s="1358"/>
      <c r="BCP524" s="1358"/>
      <c r="BCQ524" s="1358"/>
      <c r="BCR524" s="1358"/>
      <c r="BCS524" s="1358"/>
      <c r="BCT524" s="1358"/>
      <c r="BCU524" s="1358"/>
      <c r="BCV524" s="1358"/>
      <c r="BCW524" s="1358"/>
      <c r="BCX524" s="1358"/>
      <c r="BCY524" s="1358"/>
      <c r="BCZ524" s="1358"/>
      <c r="BDA524" s="1358"/>
      <c r="BDB524" s="1358"/>
      <c r="BDC524" s="1358"/>
      <c r="BDD524" s="1358"/>
      <c r="BDE524" s="1358"/>
      <c r="BDF524" s="1358"/>
      <c r="BDG524" s="1358"/>
      <c r="BDH524" s="1358"/>
      <c r="BDI524" s="1358"/>
      <c r="BDJ524" s="1358"/>
      <c r="BDK524" s="1358"/>
      <c r="BDL524" s="1358"/>
      <c r="BDM524" s="1358"/>
      <c r="BDN524" s="1358"/>
      <c r="BDO524" s="1358"/>
      <c r="BDP524" s="1358"/>
      <c r="BDQ524" s="1358"/>
      <c r="BDR524" s="1358"/>
      <c r="BDS524" s="1358"/>
      <c r="BDT524" s="1358"/>
      <c r="BDU524" s="1358"/>
      <c r="BDV524" s="1358"/>
      <c r="BDW524" s="1358"/>
      <c r="BDX524" s="1358"/>
      <c r="BDY524" s="1358"/>
      <c r="BDZ524" s="1358"/>
      <c r="BEA524" s="1358"/>
      <c r="BEB524" s="1358"/>
      <c r="BEC524" s="1358"/>
      <c r="BED524" s="1358"/>
      <c r="BEE524" s="1358"/>
      <c r="BEF524" s="1358"/>
      <c r="BEG524" s="1358"/>
      <c r="BEH524" s="1358"/>
      <c r="BEI524" s="1358"/>
      <c r="BEJ524" s="1358"/>
      <c r="BEK524" s="1358"/>
      <c r="BEL524" s="1358"/>
      <c r="BEM524" s="1358"/>
      <c r="BEN524" s="1358"/>
      <c r="BEO524" s="1358"/>
      <c r="BEP524" s="1358"/>
      <c r="BEQ524" s="1358"/>
      <c r="BER524" s="1358"/>
      <c r="BES524" s="1358"/>
      <c r="BET524" s="1358"/>
      <c r="BEU524" s="1358"/>
      <c r="BEV524" s="1358"/>
      <c r="BEW524" s="1358"/>
      <c r="BEX524" s="1358"/>
      <c r="BEY524" s="1358"/>
      <c r="BEZ524" s="1358"/>
      <c r="BFA524" s="1358"/>
      <c r="BFB524" s="1358"/>
      <c r="BFC524" s="1358"/>
      <c r="BFD524" s="1358"/>
      <c r="BFE524" s="1358"/>
      <c r="BFF524" s="1358"/>
      <c r="BFG524" s="1358"/>
      <c r="BFH524" s="1358"/>
      <c r="BFI524" s="1358"/>
      <c r="BFJ524" s="1358"/>
      <c r="BFK524" s="1358"/>
      <c r="BFL524" s="1358"/>
      <c r="BFM524" s="1358"/>
      <c r="BFN524" s="1358"/>
      <c r="BFO524" s="1358"/>
      <c r="BFP524" s="1358"/>
      <c r="BFQ524" s="1358"/>
      <c r="BFR524" s="1358"/>
      <c r="BFS524" s="1358"/>
      <c r="BFT524" s="1358"/>
      <c r="BFU524" s="1358"/>
      <c r="BFV524" s="1358"/>
      <c r="BFW524" s="1358"/>
      <c r="BFX524" s="1358"/>
      <c r="BFY524" s="1358"/>
      <c r="BFZ524" s="1358"/>
      <c r="BGA524" s="1358"/>
      <c r="BGB524" s="1358"/>
      <c r="BGC524" s="1358"/>
      <c r="BGD524" s="1358"/>
      <c r="BGE524" s="1358"/>
      <c r="BGF524" s="1358"/>
      <c r="BGG524" s="1358"/>
      <c r="BGH524" s="1358"/>
      <c r="BGI524" s="1358"/>
      <c r="BGJ524" s="1358"/>
      <c r="BGK524" s="1358"/>
      <c r="BGL524" s="1358"/>
      <c r="BGM524" s="1358"/>
      <c r="BGN524" s="1358"/>
      <c r="BGO524" s="1358"/>
      <c r="BGP524" s="1358"/>
      <c r="BGQ524" s="1358"/>
      <c r="BGR524" s="1358"/>
      <c r="BGS524" s="1358"/>
      <c r="BGT524" s="1358"/>
      <c r="BGU524" s="1358"/>
      <c r="BGV524" s="1358"/>
      <c r="BGW524" s="1358"/>
      <c r="BGX524" s="1358"/>
      <c r="BGY524" s="1358"/>
      <c r="BGZ524" s="1358"/>
      <c r="BHA524" s="1358"/>
      <c r="BHB524" s="1358"/>
      <c r="BHC524" s="1358"/>
      <c r="BHD524" s="1358"/>
      <c r="BHE524" s="1358"/>
      <c r="BHF524" s="1358"/>
      <c r="BHG524" s="1358"/>
      <c r="BHH524" s="1358"/>
      <c r="BHI524" s="1358"/>
      <c r="BHJ524" s="1358"/>
      <c r="BHK524" s="1358"/>
      <c r="BHL524" s="1358"/>
      <c r="BHM524" s="1358"/>
      <c r="BHN524" s="1358"/>
      <c r="BHO524" s="1358"/>
      <c r="BHP524" s="1358"/>
      <c r="BHQ524" s="1358"/>
      <c r="BHR524" s="1358"/>
      <c r="BHS524" s="1358"/>
      <c r="BHT524" s="1358"/>
      <c r="BHU524" s="1358"/>
      <c r="BHV524" s="1358"/>
      <c r="BHW524" s="1358"/>
      <c r="BHX524" s="1358"/>
      <c r="BHY524" s="1358"/>
      <c r="BHZ524" s="1358"/>
      <c r="BIA524" s="1358"/>
      <c r="BIB524" s="1358"/>
      <c r="BIC524" s="1358"/>
      <c r="BID524" s="1358"/>
      <c r="BIE524" s="1358"/>
      <c r="BIF524" s="1358"/>
      <c r="BIG524" s="1358"/>
      <c r="BIH524" s="1358"/>
      <c r="BII524" s="1358"/>
      <c r="BIJ524" s="1358"/>
      <c r="BIK524" s="1358"/>
      <c r="BIL524" s="1358"/>
      <c r="BIM524" s="1358"/>
      <c r="BIN524" s="1358"/>
      <c r="BIO524" s="1358"/>
      <c r="BIP524" s="1358"/>
      <c r="BIQ524" s="1358"/>
      <c r="BIR524" s="1358"/>
      <c r="BIS524" s="1358"/>
      <c r="BIT524" s="1358"/>
      <c r="BIU524" s="1358"/>
      <c r="BIV524" s="1358"/>
      <c r="BIW524" s="1358"/>
      <c r="BIX524" s="1358"/>
      <c r="BIY524" s="1358"/>
      <c r="BIZ524" s="1358"/>
      <c r="BJA524" s="1358"/>
      <c r="BJB524" s="1358"/>
      <c r="BJC524" s="1358"/>
      <c r="BJD524" s="1358"/>
      <c r="BJE524" s="1358"/>
      <c r="BJF524" s="1358"/>
      <c r="BJG524" s="1358"/>
      <c r="BJH524" s="1358"/>
      <c r="BJI524" s="1358"/>
      <c r="BJJ524" s="1358"/>
      <c r="BJK524" s="1358"/>
      <c r="BJL524" s="1358"/>
      <c r="BJM524" s="1358"/>
      <c r="BJN524" s="1358"/>
      <c r="BJO524" s="1358"/>
      <c r="BJP524" s="1358"/>
      <c r="BJQ524" s="1358"/>
      <c r="BJR524" s="1358"/>
      <c r="BJS524" s="1358"/>
      <c r="BJT524" s="1358"/>
      <c r="BJU524" s="1358"/>
      <c r="BJV524" s="1358"/>
      <c r="BJW524" s="1358"/>
      <c r="BJX524" s="1358"/>
      <c r="BJY524" s="1358"/>
      <c r="BJZ524" s="1358"/>
      <c r="BKA524" s="1358"/>
      <c r="BKB524" s="1358"/>
      <c r="BKC524" s="1358"/>
      <c r="BKD524" s="1358"/>
      <c r="BKE524" s="1358"/>
      <c r="BKF524" s="1358"/>
      <c r="BKG524" s="1358"/>
      <c r="BKH524" s="1358"/>
      <c r="BKI524" s="1358"/>
      <c r="BKJ524" s="1358"/>
      <c r="BKK524" s="1358"/>
      <c r="BKL524" s="1358"/>
      <c r="BKM524" s="1358"/>
      <c r="BKN524" s="1358"/>
      <c r="BKO524" s="1358"/>
      <c r="BKP524" s="1358"/>
      <c r="BKQ524" s="1358"/>
      <c r="BKR524" s="1358"/>
      <c r="BKS524" s="1358"/>
      <c r="BKT524" s="1358"/>
      <c r="BKU524" s="1358"/>
      <c r="BKV524" s="1358"/>
      <c r="BKW524" s="1358"/>
      <c r="BKX524" s="1358"/>
      <c r="BKY524" s="1358"/>
      <c r="BKZ524" s="1358"/>
      <c r="BLA524" s="1358"/>
      <c r="BLB524" s="1358"/>
      <c r="BLC524" s="1358"/>
      <c r="BLD524" s="1358"/>
      <c r="BLE524" s="1358"/>
      <c r="BLF524" s="1358"/>
      <c r="BLG524" s="1358"/>
      <c r="BLH524" s="1358"/>
      <c r="BLI524" s="1358"/>
      <c r="BLJ524" s="1358"/>
      <c r="BLK524" s="1358"/>
      <c r="BLL524" s="1358"/>
      <c r="BLM524" s="1358"/>
      <c r="BLN524" s="1358"/>
      <c r="BLO524" s="1358"/>
      <c r="BLP524" s="1358"/>
      <c r="BLQ524" s="1358"/>
      <c r="BLR524" s="1358"/>
      <c r="BLS524" s="1358"/>
      <c r="BLT524" s="1358"/>
      <c r="BLU524" s="1358"/>
      <c r="BLV524" s="1358"/>
      <c r="BLW524" s="1358"/>
      <c r="BLX524" s="1358"/>
      <c r="BLY524" s="1358"/>
      <c r="BLZ524" s="1358"/>
      <c r="BMA524" s="1358"/>
      <c r="BMB524" s="1358"/>
      <c r="BMC524" s="1358"/>
      <c r="BMD524" s="1358"/>
      <c r="BME524" s="1358"/>
      <c r="BMF524" s="1358"/>
      <c r="BMG524" s="1358"/>
      <c r="BMH524" s="1358"/>
      <c r="BMI524" s="1358"/>
      <c r="BMJ524" s="1358"/>
      <c r="BMK524" s="1358"/>
      <c r="BML524" s="1358"/>
      <c r="BMM524" s="1358"/>
      <c r="BMN524" s="1358"/>
      <c r="BMO524" s="1358"/>
      <c r="BMP524" s="1358"/>
      <c r="BMQ524" s="1358"/>
      <c r="BMR524" s="1358"/>
      <c r="BMS524" s="1358"/>
      <c r="BMT524" s="1358"/>
      <c r="BMU524" s="1358"/>
      <c r="BMV524" s="1358"/>
      <c r="BMW524" s="1358"/>
      <c r="BMX524" s="1358"/>
      <c r="BMY524" s="1358"/>
      <c r="BMZ524" s="1358"/>
      <c r="BNA524" s="1358"/>
      <c r="BNB524" s="1358"/>
      <c r="BNC524" s="1358"/>
      <c r="BND524" s="1358"/>
      <c r="BNE524" s="1358"/>
      <c r="BNF524" s="1358"/>
      <c r="BNG524" s="1358"/>
      <c r="BNH524" s="1358"/>
      <c r="BNI524" s="1358"/>
      <c r="BNJ524" s="1358"/>
      <c r="BNK524" s="1358"/>
      <c r="BNL524" s="1358"/>
      <c r="BNM524" s="1358"/>
      <c r="BNN524" s="1358"/>
      <c r="BNO524" s="1358"/>
      <c r="BNP524" s="1358"/>
      <c r="BNQ524" s="1358"/>
      <c r="BNR524" s="1358"/>
      <c r="BNS524" s="1358"/>
      <c r="BNT524" s="1358"/>
      <c r="BNU524" s="1358"/>
      <c r="BNV524" s="1358"/>
      <c r="BNW524" s="1358"/>
      <c r="BNX524" s="1358"/>
      <c r="BNY524" s="1358"/>
      <c r="BNZ524" s="1358"/>
      <c r="BOA524" s="1358"/>
      <c r="BOB524" s="1358"/>
      <c r="BOC524" s="1358"/>
      <c r="BOD524" s="1358"/>
      <c r="BOE524" s="1358"/>
      <c r="BOF524" s="1358"/>
      <c r="BOG524" s="1358"/>
      <c r="BOH524" s="1358"/>
      <c r="BOI524" s="1358"/>
      <c r="BOJ524" s="1358"/>
      <c r="BOK524" s="1358"/>
      <c r="BOL524" s="1358"/>
      <c r="BOM524" s="1358"/>
      <c r="BON524" s="1358"/>
      <c r="BOO524" s="1358"/>
      <c r="BOP524" s="1358"/>
      <c r="BOQ524" s="1358"/>
      <c r="BOR524" s="1358"/>
      <c r="BOS524" s="1358"/>
      <c r="BOT524" s="1358"/>
      <c r="BOU524" s="1358"/>
      <c r="BOV524" s="1358"/>
      <c r="BOW524" s="1358"/>
      <c r="BOX524" s="1358"/>
      <c r="BOY524" s="1358"/>
      <c r="BOZ524" s="1358"/>
      <c r="BPA524" s="1358"/>
      <c r="BPB524" s="1358"/>
      <c r="BPC524" s="1358"/>
      <c r="BPD524" s="1358"/>
      <c r="BPE524" s="1358"/>
      <c r="BPF524" s="1358"/>
      <c r="BPG524" s="1358"/>
      <c r="BPH524" s="1358"/>
      <c r="BPI524" s="1358"/>
      <c r="BPJ524" s="1358"/>
      <c r="BPK524" s="1358"/>
      <c r="BPL524" s="1358"/>
      <c r="BPM524" s="1358"/>
      <c r="BPN524" s="1358"/>
      <c r="BPO524" s="1358"/>
      <c r="BPP524" s="1358"/>
      <c r="BPQ524" s="1358"/>
      <c r="BPR524" s="1358"/>
      <c r="BPS524" s="1358"/>
      <c r="BPT524" s="1358"/>
      <c r="BPU524" s="1358"/>
      <c r="BPV524" s="1358"/>
      <c r="BPW524" s="1358"/>
      <c r="BPX524" s="1358"/>
      <c r="BPY524" s="1358"/>
      <c r="BPZ524" s="1358"/>
      <c r="BQA524" s="1358"/>
      <c r="BQB524" s="1358"/>
      <c r="BQC524" s="1358"/>
      <c r="BQD524" s="1358"/>
      <c r="BQE524" s="1358"/>
      <c r="BQF524" s="1358"/>
      <c r="BQG524" s="1358"/>
      <c r="BQH524" s="1358"/>
      <c r="BQI524" s="1358"/>
      <c r="BQJ524" s="1358"/>
      <c r="BQK524" s="1358"/>
      <c r="BQL524" s="1358"/>
      <c r="BQM524" s="1358"/>
      <c r="BQN524" s="1358"/>
      <c r="BQO524" s="1358"/>
      <c r="BQP524" s="1358"/>
      <c r="BQQ524" s="1358"/>
      <c r="BQR524" s="1358"/>
      <c r="BQS524" s="1358"/>
      <c r="BQT524" s="1358"/>
      <c r="BQU524" s="1358"/>
      <c r="BQV524" s="1358"/>
      <c r="BQW524" s="1358"/>
      <c r="BQX524" s="1358"/>
      <c r="BQY524" s="1358"/>
      <c r="BQZ524" s="1358"/>
      <c r="BRA524" s="1358"/>
      <c r="BRB524" s="1358"/>
      <c r="BRC524" s="1358"/>
      <c r="BRD524" s="1358"/>
      <c r="BRE524" s="1358"/>
      <c r="BRF524" s="1358"/>
      <c r="BRG524" s="1358"/>
      <c r="BRH524" s="1358"/>
      <c r="BRI524" s="1358"/>
      <c r="BRJ524" s="1358"/>
      <c r="BRK524" s="1358"/>
      <c r="BRL524" s="1358"/>
      <c r="BRM524" s="1358"/>
      <c r="BRN524" s="1358"/>
      <c r="BRO524" s="1358"/>
      <c r="BRP524" s="1358"/>
      <c r="BRQ524" s="1358"/>
      <c r="BRR524" s="1358"/>
      <c r="BRS524" s="1358"/>
      <c r="BRT524" s="1358"/>
      <c r="BRU524" s="1358"/>
      <c r="BRV524" s="1358"/>
      <c r="BRW524" s="1358"/>
      <c r="BRX524" s="1358"/>
      <c r="BRY524" s="1358"/>
      <c r="BRZ524" s="1358"/>
      <c r="BSA524" s="1358"/>
      <c r="BSB524" s="1358"/>
      <c r="BSC524" s="1358"/>
      <c r="BSD524" s="1358"/>
      <c r="BSE524" s="1358"/>
      <c r="BSF524" s="1358"/>
      <c r="BSG524" s="1358"/>
      <c r="BSH524" s="1358"/>
      <c r="BSI524" s="1358"/>
      <c r="BSJ524" s="1358"/>
      <c r="BSK524" s="1358"/>
      <c r="BSL524" s="1358"/>
      <c r="BSM524" s="1358"/>
      <c r="BSN524" s="1358"/>
      <c r="BSO524" s="1358"/>
      <c r="BSP524" s="1358"/>
      <c r="BSQ524" s="1358"/>
      <c r="BSR524" s="1358"/>
      <c r="BSS524" s="1358"/>
      <c r="BST524" s="1358"/>
      <c r="BSU524" s="1358"/>
      <c r="BSV524" s="1358"/>
      <c r="BSW524" s="1358"/>
      <c r="BSX524" s="1358"/>
      <c r="BSY524" s="1358"/>
      <c r="BSZ524" s="1358"/>
      <c r="BTA524" s="1358"/>
      <c r="BTB524" s="1358"/>
      <c r="BTC524" s="1358"/>
      <c r="BTD524" s="1358"/>
      <c r="BTE524" s="1358"/>
      <c r="BTF524" s="1358"/>
      <c r="BTG524" s="1358"/>
      <c r="BTH524" s="1358"/>
      <c r="BTI524" s="1358"/>
      <c r="BTJ524" s="1358"/>
      <c r="BTK524" s="1358"/>
      <c r="BTL524" s="1358"/>
      <c r="BTM524" s="1358"/>
      <c r="BTN524" s="1358"/>
      <c r="BTO524" s="1358"/>
      <c r="BTP524" s="1358"/>
      <c r="BTQ524" s="1358"/>
      <c r="BTR524" s="1358"/>
      <c r="BTS524" s="1358"/>
      <c r="BTT524" s="1358"/>
      <c r="BTU524" s="1358"/>
      <c r="BTV524" s="1358"/>
      <c r="BTW524" s="1358"/>
      <c r="BTX524" s="1358"/>
      <c r="BTY524" s="1358"/>
      <c r="BTZ524" s="1358"/>
      <c r="BUA524" s="1358"/>
      <c r="BUB524" s="1358"/>
      <c r="BUC524" s="1358"/>
      <c r="BUD524" s="1358"/>
      <c r="BUE524" s="1358"/>
      <c r="BUF524" s="1358"/>
      <c r="BUG524" s="1358"/>
      <c r="BUH524" s="1358"/>
      <c r="BUI524" s="1358"/>
      <c r="BUJ524" s="1358"/>
      <c r="BUK524" s="1358"/>
      <c r="BUL524" s="1358"/>
      <c r="BUM524" s="1358"/>
      <c r="BUN524" s="1358"/>
      <c r="BUO524" s="1358"/>
      <c r="BUP524" s="1358"/>
      <c r="BUQ524" s="1358"/>
      <c r="BUR524" s="1358"/>
      <c r="BUS524" s="1358"/>
      <c r="BUT524" s="1358"/>
      <c r="BUU524" s="1358"/>
      <c r="BUV524" s="1358"/>
      <c r="BUW524" s="1358"/>
      <c r="BUX524" s="1358"/>
      <c r="BUY524" s="1358"/>
      <c r="BUZ524" s="1358"/>
      <c r="BVA524" s="1358"/>
      <c r="BVB524" s="1358"/>
      <c r="BVC524" s="1358"/>
      <c r="BVD524" s="1358"/>
      <c r="BVE524" s="1358"/>
      <c r="BVF524" s="1358"/>
      <c r="BVG524" s="1358"/>
      <c r="BVH524" s="1358"/>
      <c r="BVI524" s="1358"/>
      <c r="BVJ524" s="1358"/>
      <c r="BVK524" s="1358"/>
      <c r="BVL524" s="1358"/>
      <c r="BVM524" s="1358"/>
      <c r="BVN524" s="1358"/>
      <c r="BVO524" s="1358"/>
      <c r="BVP524" s="1358"/>
      <c r="BVQ524" s="1358"/>
      <c r="BVR524" s="1358"/>
      <c r="BVS524" s="1358"/>
      <c r="BVT524" s="1358"/>
      <c r="BVU524" s="1358"/>
      <c r="BVV524" s="1358"/>
      <c r="BVW524" s="1358"/>
      <c r="BVX524" s="1358"/>
      <c r="BVY524" s="1358"/>
      <c r="BVZ524" s="1358"/>
      <c r="BWA524" s="1358"/>
      <c r="BWB524" s="1358"/>
      <c r="BWC524" s="1358"/>
      <c r="BWD524" s="1358"/>
      <c r="BWE524" s="1358"/>
      <c r="BWF524" s="1358"/>
      <c r="BWG524" s="1358"/>
      <c r="BWH524" s="1358"/>
      <c r="BWI524" s="1358"/>
      <c r="BWJ524" s="1358"/>
      <c r="BWK524" s="1358"/>
      <c r="BWL524" s="1358"/>
      <c r="BWM524" s="1358"/>
      <c r="BWN524" s="1358"/>
      <c r="BWO524" s="1358"/>
      <c r="BWP524" s="1358"/>
      <c r="BWQ524" s="1358"/>
      <c r="BWR524" s="1358"/>
      <c r="BWS524" s="1358"/>
      <c r="BWT524" s="1358"/>
      <c r="BWU524" s="1358"/>
      <c r="BWV524" s="1358"/>
      <c r="BWW524" s="1358"/>
      <c r="BWX524" s="1358"/>
      <c r="BWY524" s="1358"/>
      <c r="BWZ524" s="1358"/>
      <c r="BXA524" s="1358"/>
      <c r="BXB524" s="1358"/>
      <c r="BXC524" s="1358"/>
      <c r="BXD524" s="1358"/>
      <c r="BXE524" s="1358"/>
      <c r="BXF524" s="1358"/>
      <c r="BXG524" s="1358"/>
      <c r="BXH524" s="1358"/>
      <c r="BXI524" s="1358"/>
      <c r="BXJ524" s="1358"/>
      <c r="BXK524" s="1358"/>
      <c r="BXL524" s="1358"/>
      <c r="BXM524" s="1358"/>
      <c r="BXN524" s="1358"/>
      <c r="BXO524" s="1358"/>
      <c r="BXP524" s="1358"/>
      <c r="BXQ524" s="1358"/>
      <c r="BXR524" s="1358"/>
      <c r="BXS524" s="1358"/>
      <c r="BXT524" s="1358"/>
      <c r="BXU524" s="1358"/>
      <c r="BXV524" s="1358"/>
      <c r="BXW524" s="1358"/>
      <c r="BXX524" s="1358"/>
      <c r="BXY524" s="1358"/>
      <c r="BXZ524" s="1358"/>
      <c r="BYA524" s="1358"/>
      <c r="BYB524" s="1358"/>
      <c r="BYC524" s="1358"/>
      <c r="BYD524" s="1358"/>
      <c r="BYE524" s="1358"/>
      <c r="BYF524" s="1358"/>
      <c r="BYG524" s="1358"/>
      <c r="BYH524" s="1358"/>
      <c r="BYI524" s="1358"/>
      <c r="BYJ524" s="1358"/>
      <c r="BYK524" s="1358"/>
      <c r="BYL524" s="1358"/>
      <c r="BYM524" s="1358"/>
      <c r="BYN524" s="1358"/>
      <c r="BYO524" s="1358"/>
      <c r="BYP524" s="1358"/>
      <c r="BYQ524" s="1358"/>
      <c r="BYR524" s="1358"/>
      <c r="BYS524" s="1358"/>
      <c r="BYT524" s="1358"/>
      <c r="BYU524" s="1358"/>
      <c r="BYV524" s="1358"/>
      <c r="BYW524" s="1358"/>
      <c r="BYX524" s="1358"/>
      <c r="BYY524" s="1358"/>
      <c r="BYZ524" s="1358"/>
      <c r="BZA524" s="1358"/>
      <c r="BZB524" s="1358"/>
      <c r="BZC524" s="1358"/>
      <c r="BZD524" s="1358"/>
      <c r="BZE524" s="1358"/>
      <c r="BZF524" s="1358"/>
      <c r="BZG524" s="1358"/>
      <c r="BZH524" s="1358"/>
      <c r="BZI524" s="1358"/>
      <c r="BZJ524" s="1358"/>
      <c r="BZK524" s="1358"/>
      <c r="BZL524" s="1358"/>
      <c r="BZM524" s="1358"/>
      <c r="BZN524" s="1358"/>
      <c r="BZO524" s="1358"/>
      <c r="BZP524" s="1358"/>
      <c r="BZQ524" s="1358"/>
      <c r="BZR524" s="1358"/>
      <c r="BZS524" s="1358"/>
      <c r="BZT524" s="1358"/>
      <c r="BZU524" s="1358"/>
      <c r="BZV524" s="1358"/>
      <c r="BZW524" s="1358"/>
      <c r="BZX524" s="1358"/>
      <c r="BZY524" s="1358"/>
      <c r="BZZ524" s="1358"/>
      <c r="CAA524" s="1358"/>
      <c r="CAB524" s="1358"/>
      <c r="CAC524" s="1358"/>
      <c r="CAD524" s="1358"/>
      <c r="CAE524" s="1358"/>
      <c r="CAF524" s="1358"/>
      <c r="CAG524" s="1358"/>
      <c r="CAH524" s="1358"/>
      <c r="CAI524" s="1358"/>
      <c r="CAJ524" s="1358"/>
      <c r="CAK524" s="1358"/>
      <c r="CAL524" s="1358"/>
      <c r="CAM524" s="1358"/>
      <c r="CAN524" s="1358"/>
      <c r="CAO524" s="1358"/>
      <c r="CAP524" s="1358"/>
      <c r="CAQ524" s="1358"/>
      <c r="CAR524" s="1358"/>
      <c r="CAS524" s="1358"/>
      <c r="CAT524" s="1358"/>
      <c r="CAU524" s="1358"/>
      <c r="CAV524" s="1358"/>
      <c r="CAW524" s="1358"/>
      <c r="CAX524" s="1358"/>
      <c r="CAY524" s="1358"/>
      <c r="CAZ524" s="1358"/>
      <c r="CBA524" s="1358"/>
      <c r="CBB524" s="1358"/>
      <c r="CBC524" s="1358"/>
      <c r="CBD524" s="1358"/>
      <c r="CBE524" s="1358"/>
      <c r="CBF524" s="1358"/>
      <c r="CBG524" s="1358"/>
      <c r="CBH524" s="1358"/>
      <c r="CBI524" s="1358"/>
      <c r="CBJ524" s="1358"/>
      <c r="CBK524" s="1358"/>
      <c r="CBL524" s="1358"/>
      <c r="CBM524" s="1358"/>
      <c r="CBN524" s="1358"/>
      <c r="CBO524" s="1358"/>
      <c r="CBP524" s="1358"/>
      <c r="CBQ524" s="1358"/>
      <c r="CBR524" s="1358"/>
      <c r="CBS524" s="1358"/>
      <c r="CBT524" s="1358"/>
      <c r="CBU524" s="1358"/>
      <c r="CBV524" s="1358"/>
      <c r="CBW524" s="1358"/>
      <c r="CBX524" s="1358"/>
      <c r="CBY524" s="1358"/>
      <c r="CBZ524" s="1358"/>
      <c r="CCA524" s="1358"/>
      <c r="CCB524" s="1358"/>
      <c r="CCC524" s="1358"/>
      <c r="CCD524" s="1358"/>
      <c r="CCE524" s="1358"/>
      <c r="CCF524" s="1358"/>
      <c r="CCG524" s="1358"/>
      <c r="CCH524" s="1358"/>
      <c r="CCI524" s="1358"/>
      <c r="CCJ524" s="1358"/>
      <c r="CCK524" s="1358"/>
      <c r="CCL524" s="1358"/>
      <c r="CCM524" s="1358"/>
      <c r="CCN524" s="1358"/>
      <c r="CCO524" s="1358"/>
      <c r="CCP524" s="1358"/>
      <c r="CCQ524" s="1358"/>
      <c r="CCR524" s="1358"/>
      <c r="CCS524" s="1358"/>
      <c r="CCT524" s="1358"/>
      <c r="CCU524" s="1358"/>
      <c r="CCV524" s="1358"/>
      <c r="CCW524" s="1358"/>
      <c r="CCX524" s="1358"/>
      <c r="CCY524" s="1358"/>
      <c r="CCZ524" s="1358"/>
      <c r="CDA524" s="1358"/>
      <c r="CDB524" s="1358"/>
      <c r="CDC524" s="1358"/>
      <c r="CDD524" s="1358"/>
      <c r="CDE524" s="1358"/>
      <c r="CDF524" s="1358"/>
      <c r="CDG524" s="1358"/>
      <c r="CDH524" s="1358"/>
      <c r="CDI524" s="1358"/>
      <c r="CDJ524" s="1358"/>
      <c r="CDK524" s="1358"/>
      <c r="CDL524" s="1358"/>
      <c r="CDM524" s="1358"/>
      <c r="CDN524" s="1358"/>
      <c r="CDO524" s="1358"/>
      <c r="CDP524" s="1358"/>
      <c r="CDQ524" s="1358"/>
      <c r="CDR524" s="1358"/>
      <c r="CDS524" s="1358"/>
      <c r="CDT524" s="1358"/>
      <c r="CDU524" s="1358"/>
      <c r="CDV524" s="1358"/>
      <c r="CDW524" s="1358"/>
      <c r="CDX524" s="1358"/>
      <c r="CDY524" s="1358"/>
      <c r="CDZ524" s="1358"/>
      <c r="CEA524" s="1358"/>
      <c r="CEB524" s="1358"/>
      <c r="CEC524" s="1358"/>
      <c r="CED524" s="1358"/>
      <c r="CEE524" s="1358"/>
      <c r="CEF524" s="1358"/>
      <c r="CEG524" s="1358"/>
      <c r="CEH524" s="1358"/>
      <c r="CEI524" s="1358"/>
      <c r="CEJ524" s="1358"/>
      <c r="CEK524" s="1358"/>
      <c r="CEL524" s="1358"/>
      <c r="CEM524" s="1358"/>
      <c r="CEN524" s="1358"/>
      <c r="CEO524" s="1358"/>
      <c r="CEP524" s="1358"/>
      <c r="CEQ524" s="1358"/>
      <c r="CER524" s="1358"/>
      <c r="CES524" s="1358"/>
      <c r="CET524" s="1358"/>
      <c r="CEU524" s="1358"/>
      <c r="CEV524" s="1358"/>
      <c r="CEW524" s="1358"/>
      <c r="CEX524" s="1358"/>
      <c r="CEY524" s="1358"/>
      <c r="CEZ524" s="1358"/>
      <c r="CFA524" s="1358"/>
      <c r="CFB524" s="1358"/>
      <c r="CFC524" s="1358"/>
      <c r="CFD524" s="1358"/>
      <c r="CFE524" s="1358"/>
      <c r="CFF524" s="1358"/>
      <c r="CFG524" s="1358"/>
      <c r="CFH524" s="1358"/>
      <c r="CFI524" s="1358"/>
      <c r="CFJ524" s="1358"/>
      <c r="CFK524" s="1358"/>
      <c r="CFL524" s="1358"/>
      <c r="CFM524" s="1358"/>
      <c r="CFN524" s="1358"/>
      <c r="CFO524" s="1358"/>
      <c r="CFP524" s="1358"/>
      <c r="CFQ524" s="1358"/>
      <c r="CFR524" s="1358"/>
      <c r="CFS524" s="1358"/>
      <c r="CFT524" s="1358"/>
      <c r="CFU524" s="1358"/>
      <c r="CFV524" s="1358"/>
      <c r="CFW524" s="1358"/>
      <c r="CFX524" s="1358"/>
      <c r="CFY524" s="1358"/>
      <c r="CFZ524" s="1358"/>
      <c r="CGA524" s="1358"/>
      <c r="CGB524" s="1358"/>
      <c r="CGC524" s="1358"/>
      <c r="CGD524" s="1358"/>
      <c r="CGE524" s="1358"/>
      <c r="CGF524" s="1358"/>
      <c r="CGG524" s="1358"/>
      <c r="CGH524" s="1358"/>
      <c r="CGI524" s="1358"/>
      <c r="CGJ524" s="1358"/>
      <c r="CGK524" s="1358"/>
      <c r="CGL524" s="1358"/>
      <c r="CGM524" s="1358"/>
      <c r="CGN524" s="1358"/>
      <c r="CGO524" s="1358"/>
      <c r="CGP524" s="1358"/>
      <c r="CGQ524" s="1358"/>
      <c r="CGR524" s="1358"/>
      <c r="CGS524" s="1358"/>
      <c r="CGT524" s="1358"/>
      <c r="CGU524" s="1358"/>
      <c r="CGV524" s="1358"/>
      <c r="CGW524" s="1358"/>
      <c r="CGX524" s="1358"/>
      <c r="CGY524" s="1358"/>
      <c r="CGZ524" s="1358"/>
      <c r="CHA524" s="1358"/>
      <c r="CHB524" s="1358"/>
      <c r="CHC524" s="1358"/>
      <c r="CHD524" s="1358"/>
      <c r="CHE524" s="1358"/>
      <c r="CHF524" s="1358"/>
      <c r="CHG524" s="1358"/>
      <c r="CHH524" s="1358"/>
      <c r="CHI524" s="1358"/>
      <c r="CHJ524" s="1358"/>
      <c r="CHK524" s="1358"/>
      <c r="CHL524" s="1358"/>
      <c r="CHM524" s="1358"/>
      <c r="CHN524" s="1358"/>
      <c r="CHO524" s="1358"/>
      <c r="CHP524" s="1358"/>
      <c r="CHQ524" s="1358"/>
      <c r="CHR524" s="1358"/>
      <c r="CHS524" s="1358"/>
      <c r="CHT524" s="1358"/>
      <c r="CHU524" s="1358"/>
      <c r="CHV524" s="1358"/>
      <c r="CHW524" s="1358"/>
      <c r="CHX524" s="1358"/>
      <c r="CHY524" s="1358"/>
      <c r="CHZ524" s="1358"/>
      <c r="CIA524" s="1358"/>
      <c r="CIB524" s="1358"/>
      <c r="CIC524" s="1358"/>
      <c r="CID524" s="1358"/>
      <c r="CIE524" s="1358"/>
      <c r="CIF524" s="1358"/>
      <c r="CIG524" s="1358"/>
      <c r="CIH524" s="1358"/>
      <c r="CII524" s="1358"/>
      <c r="CIJ524" s="1358"/>
      <c r="CIK524" s="1358"/>
      <c r="CIL524" s="1358"/>
      <c r="CIM524" s="1358"/>
      <c r="CIN524" s="1358"/>
      <c r="CIO524" s="1358"/>
      <c r="CIP524" s="1358"/>
      <c r="CIQ524" s="1358"/>
      <c r="CIR524" s="1358"/>
      <c r="CIS524" s="1358"/>
      <c r="CIT524" s="1358"/>
      <c r="CIU524" s="1358"/>
      <c r="CIV524" s="1358"/>
      <c r="CIW524" s="1358"/>
      <c r="CIX524" s="1358"/>
      <c r="CIY524" s="1358"/>
      <c r="CIZ524" s="1358"/>
      <c r="CJA524" s="1358"/>
      <c r="CJB524" s="1358"/>
      <c r="CJC524" s="1358"/>
      <c r="CJD524" s="1358"/>
      <c r="CJE524" s="1358"/>
      <c r="CJF524" s="1358"/>
      <c r="CJG524" s="1358"/>
      <c r="CJH524" s="1358"/>
      <c r="CJI524" s="1358"/>
      <c r="CJJ524" s="1358"/>
      <c r="CJK524" s="1358"/>
      <c r="CJL524" s="1358"/>
      <c r="CJM524" s="1358"/>
      <c r="CJN524" s="1358"/>
      <c r="CJO524" s="1358"/>
      <c r="CJP524" s="1358"/>
      <c r="CJQ524" s="1358"/>
      <c r="CJR524" s="1358"/>
      <c r="CJS524" s="1358"/>
      <c r="CJT524" s="1358"/>
      <c r="CJU524" s="1358"/>
      <c r="CJV524" s="1358"/>
      <c r="CJW524" s="1358"/>
      <c r="CJX524" s="1358"/>
      <c r="CJY524" s="1358"/>
      <c r="CJZ524" s="1358"/>
      <c r="CKA524" s="1358"/>
      <c r="CKB524" s="1358"/>
      <c r="CKC524" s="1358"/>
      <c r="CKD524" s="1358"/>
      <c r="CKE524" s="1358"/>
      <c r="CKF524" s="1358"/>
      <c r="CKG524" s="1358"/>
      <c r="CKH524" s="1358"/>
      <c r="CKI524" s="1358"/>
      <c r="CKJ524" s="1358"/>
      <c r="CKK524" s="1358"/>
      <c r="CKL524" s="1358"/>
      <c r="CKM524" s="1358"/>
      <c r="CKN524" s="1358"/>
      <c r="CKO524" s="1358"/>
      <c r="CKP524" s="1358"/>
      <c r="CKQ524" s="1358"/>
      <c r="CKR524" s="1358"/>
      <c r="CKS524" s="1358"/>
      <c r="CKT524" s="1358"/>
      <c r="CKU524" s="1358"/>
      <c r="CKV524" s="1358"/>
      <c r="CKW524" s="1358"/>
      <c r="CKX524" s="1358"/>
      <c r="CKY524" s="1358"/>
      <c r="CKZ524" s="1358"/>
      <c r="CLA524" s="1358"/>
      <c r="CLB524" s="1358"/>
      <c r="CLC524" s="1358"/>
      <c r="CLD524" s="1358"/>
      <c r="CLE524" s="1358"/>
      <c r="CLF524" s="1358"/>
      <c r="CLG524" s="1358"/>
      <c r="CLH524" s="1358"/>
      <c r="CLI524" s="1358"/>
      <c r="CLJ524" s="1358"/>
      <c r="CLK524" s="1358"/>
      <c r="CLL524" s="1358"/>
      <c r="CLM524" s="1358"/>
      <c r="CLN524" s="1358"/>
      <c r="CLO524" s="1358"/>
      <c r="CLP524" s="1358"/>
      <c r="CLQ524" s="1358"/>
      <c r="CLR524" s="1358"/>
      <c r="CLS524" s="1358"/>
      <c r="CLT524" s="1358"/>
      <c r="CLU524" s="1358"/>
      <c r="CLV524" s="1358"/>
      <c r="CLW524" s="1358"/>
      <c r="CLX524" s="1358"/>
      <c r="CLY524" s="1358"/>
      <c r="CLZ524" s="1358"/>
      <c r="CMA524" s="1358"/>
      <c r="CMB524" s="1358"/>
      <c r="CMC524" s="1358"/>
      <c r="CMD524" s="1358"/>
      <c r="CME524" s="1358"/>
      <c r="CMF524" s="1358"/>
      <c r="CMG524" s="1358"/>
      <c r="CMH524" s="1358"/>
      <c r="CMI524" s="1358"/>
      <c r="CMJ524" s="1358"/>
      <c r="CMK524" s="1358"/>
      <c r="CML524" s="1358"/>
      <c r="CMM524" s="1358"/>
      <c r="CMN524" s="1358"/>
      <c r="CMO524" s="1358"/>
      <c r="CMP524" s="1358"/>
      <c r="CMQ524" s="1358"/>
      <c r="CMR524" s="1358"/>
      <c r="CMS524" s="1358"/>
      <c r="CMT524" s="1358"/>
      <c r="CMU524" s="1358"/>
      <c r="CMV524" s="1358"/>
      <c r="CMW524" s="1358"/>
      <c r="CMX524" s="1358"/>
      <c r="CMY524" s="1358"/>
      <c r="CMZ524" s="1358"/>
      <c r="CNA524" s="1358"/>
      <c r="CNB524" s="1358"/>
      <c r="CNC524" s="1358"/>
      <c r="CND524" s="1358"/>
      <c r="CNE524" s="1358"/>
      <c r="CNF524" s="1358"/>
      <c r="CNG524" s="1358"/>
      <c r="CNH524" s="1358"/>
      <c r="CNI524" s="1358"/>
      <c r="CNJ524" s="1358"/>
      <c r="CNK524" s="1358"/>
      <c r="CNL524" s="1358"/>
      <c r="CNM524" s="1358"/>
      <c r="CNN524" s="1358"/>
      <c r="CNO524" s="1358"/>
      <c r="CNP524" s="1358"/>
      <c r="CNQ524" s="1358"/>
      <c r="CNR524" s="1358"/>
      <c r="CNS524" s="1358"/>
      <c r="CNT524" s="1358"/>
      <c r="CNU524" s="1358"/>
      <c r="CNV524" s="1358"/>
      <c r="CNW524" s="1358"/>
      <c r="CNX524" s="1358"/>
      <c r="CNY524" s="1358"/>
      <c r="CNZ524" s="1358"/>
      <c r="COA524" s="1358"/>
      <c r="COB524" s="1358"/>
      <c r="COC524" s="1358"/>
      <c r="COD524" s="1358"/>
      <c r="COE524" s="1358"/>
      <c r="COF524" s="1358"/>
      <c r="COG524" s="1358"/>
      <c r="COH524" s="1358"/>
      <c r="COI524" s="1358"/>
      <c r="COJ524" s="1358"/>
      <c r="COK524" s="1358"/>
      <c r="COL524" s="1358"/>
      <c r="COM524" s="1358"/>
      <c r="CON524" s="1358"/>
      <c r="COO524" s="1358"/>
      <c r="COP524" s="1358"/>
      <c r="COQ524" s="1358"/>
      <c r="COR524" s="1358"/>
      <c r="COS524" s="1358"/>
      <c r="COT524" s="1358"/>
      <c r="COU524" s="1358"/>
      <c r="COV524" s="1358"/>
      <c r="COW524" s="1358"/>
      <c r="COX524" s="1358"/>
      <c r="COY524" s="1358"/>
      <c r="COZ524" s="1358"/>
      <c r="CPA524" s="1358"/>
      <c r="CPB524" s="1358"/>
      <c r="CPC524" s="1358"/>
      <c r="CPD524" s="1358"/>
      <c r="CPE524" s="1358"/>
      <c r="CPF524" s="1358"/>
      <c r="CPG524" s="1358"/>
      <c r="CPH524" s="1358"/>
      <c r="CPI524" s="1358"/>
      <c r="CPJ524" s="1358"/>
      <c r="CPK524" s="1358"/>
      <c r="CPL524" s="1358"/>
      <c r="CPM524" s="1358"/>
      <c r="CPN524" s="1358"/>
      <c r="CPO524" s="1358"/>
      <c r="CPP524" s="1358"/>
      <c r="CPQ524" s="1358"/>
      <c r="CPR524" s="1358"/>
      <c r="CPS524" s="1358"/>
      <c r="CPT524" s="1358"/>
      <c r="CPU524" s="1358"/>
      <c r="CPV524" s="1358"/>
      <c r="CPW524" s="1358"/>
      <c r="CPX524" s="1358"/>
      <c r="CPY524" s="1358"/>
      <c r="CPZ524" s="1358"/>
      <c r="CQA524" s="1358"/>
      <c r="CQB524" s="1358"/>
      <c r="CQC524" s="1358"/>
      <c r="CQD524" s="1358"/>
      <c r="CQE524" s="1358"/>
      <c r="CQF524" s="1358"/>
      <c r="CQG524" s="1358"/>
      <c r="CQH524" s="1358"/>
      <c r="CQI524" s="1358"/>
      <c r="CQJ524" s="1358"/>
      <c r="CQK524" s="1358"/>
      <c r="CQL524" s="1358"/>
      <c r="CQM524" s="1358"/>
      <c r="CQN524" s="1358"/>
      <c r="CQO524" s="1358"/>
      <c r="CQP524" s="1358"/>
      <c r="CQQ524" s="1358"/>
      <c r="CQR524" s="1358"/>
      <c r="CQS524" s="1358"/>
      <c r="CQT524" s="1358"/>
      <c r="CQU524" s="1358"/>
      <c r="CQV524" s="1358"/>
      <c r="CQW524" s="1358"/>
      <c r="CQX524" s="1358"/>
      <c r="CQY524" s="1358"/>
      <c r="CQZ524" s="1358"/>
      <c r="CRA524" s="1358"/>
      <c r="CRB524" s="1358"/>
      <c r="CRC524" s="1358"/>
      <c r="CRD524" s="1358"/>
      <c r="CRE524" s="1358"/>
      <c r="CRF524" s="1358"/>
      <c r="CRG524" s="1358"/>
      <c r="CRH524" s="1358"/>
      <c r="CRI524" s="1358"/>
      <c r="CRJ524" s="1358"/>
      <c r="CRK524" s="1358"/>
      <c r="CRL524" s="1358"/>
      <c r="CRM524" s="1358"/>
      <c r="CRN524" s="1358"/>
      <c r="CRO524" s="1358"/>
      <c r="CRP524" s="1358"/>
      <c r="CRQ524" s="1358"/>
      <c r="CRR524" s="1358"/>
      <c r="CRS524" s="1358"/>
      <c r="CRT524" s="1358"/>
      <c r="CRU524" s="1358"/>
      <c r="CRV524" s="1358"/>
      <c r="CRW524" s="1358"/>
      <c r="CRX524" s="1358"/>
      <c r="CRY524" s="1358"/>
      <c r="CRZ524" s="1358"/>
      <c r="CSA524" s="1358"/>
      <c r="CSB524" s="1358"/>
      <c r="CSC524" s="1358"/>
      <c r="CSD524" s="1358"/>
      <c r="CSE524" s="1358"/>
      <c r="CSF524" s="1358"/>
      <c r="CSG524" s="1358"/>
      <c r="CSH524" s="1358"/>
      <c r="CSI524" s="1358"/>
      <c r="CSJ524" s="1358"/>
      <c r="CSK524" s="1358"/>
      <c r="CSL524" s="1358"/>
      <c r="CSM524" s="1358"/>
      <c r="CSN524" s="1358"/>
      <c r="CSO524" s="1358"/>
      <c r="CSP524" s="1358"/>
      <c r="CSQ524" s="1358"/>
      <c r="CSR524" s="1358"/>
      <c r="CSS524" s="1358"/>
      <c r="CST524" s="1358"/>
      <c r="CSU524" s="1358"/>
      <c r="CSV524" s="1358"/>
      <c r="CSW524" s="1358"/>
      <c r="CSX524" s="1358"/>
      <c r="CSY524" s="1358"/>
      <c r="CSZ524" s="1358"/>
      <c r="CTA524" s="1358"/>
      <c r="CTB524" s="1358"/>
      <c r="CTC524" s="1358"/>
      <c r="CTD524" s="1358"/>
      <c r="CTE524" s="1358"/>
      <c r="CTF524" s="1358"/>
      <c r="CTG524" s="1358"/>
      <c r="CTH524" s="1358"/>
      <c r="CTI524" s="1358"/>
      <c r="CTJ524" s="1358"/>
      <c r="CTK524" s="1358"/>
      <c r="CTL524" s="1358"/>
      <c r="CTM524" s="1358"/>
      <c r="CTN524" s="1358"/>
      <c r="CTO524" s="1358"/>
      <c r="CTP524" s="1358"/>
      <c r="CTQ524" s="1358"/>
      <c r="CTR524" s="1358"/>
      <c r="CTS524" s="1358"/>
      <c r="CTT524" s="1358"/>
      <c r="CTU524" s="1358"/>
      <c r="CTV524" s="1358"/>
      <c r="CTW524" s="1358"/>
      <c r="CTX524" s="1358"/>
      <c r="CTY524" s="1358"/>
      <c r="CTZ524" s="1358"/>
      <c r="CUA524" s="1358"/>
      <c r="CUB524" s="1358"/>
      <c r="CUC524" s="1358"/>
      <c r="CUD524" s="1358"/>
      <c r="CUE524" s="1358"/>
      <c r="CUF524" s="1358"/>
      <c r="CUG524" s="1358"/>
      <c r="CUH524" s="1358"/>
      <c r="CUI524" s="1358"/>
      <c r="CUJ524" s="1358"/>
      <c r="CUK524" s="1358"/>
      <c r="CUL524" s="1358"/>
      <c r="CUM524" s="1358"/>
      <c r="CUN524" s="1358"/>
      <c r="CUO524" s="1358"/>
      <c r="CUP524" s="1358"/>
      <c r="CUQ524" s="1358"/>
      <c r="CUR524" s="1358"/>
      <c r="CUS524" s="1358"/>
      <c r="CUT524" s="1358"/>
      <c r="CUU524" s="1358"/>
      <c r="CUV524" s="1358"/>
      <c r="CUW524" s="1358"/>
      <c r="CUX524" s="1358"/>
      <c r="CUY524" s="1358"/>
      <c r="CUZ524" s="1358"/>
      <c r="CVA524" s="1358"/>
      <c r="CVB524" s="1358"/>
      <c r="CVC524" s="1358"/>
      <c r="CVD524" s="1358"/>
      <c r="CVE524" s="1358"/>
      <c r="CVF524" s="1358"/>
      <c r="CVG524" s="1358"/>
      <c r="CVH524" s="1358"/>
      <c r="CVI524" s="1358"/>
      <c r="CVJ524" s="1358"/>
      <c r="CVK524" s="1358"/>
      <c r="CVL524" s="1358"/>
      <c r="CVM524" s="1358"/>
      <c r="CVN524" s="1358"/>
      <c r="CVO524" s="1358"/>
      <c r="CVP524" s="1358"/>
      <c r="CVQ524" s="1358"/>
      <c r="CVR524" s="1358"/>
      <c r="CVS524" s="1358"/>
      <c r="CVT524" s="1358"/>
      <c r="CVU524" s="1358"/>
      <c r="CVV524" s="1358"/>
      <c r="CVW524" s="1358"/>
      <c r="CVX524" s="1358"/>
      <c r="CVY524" s="1358"/>
      <c r="CVZ524" s="1358"/>
      <c r="CWA524" s="1358"/>
      <c r="CWB524" s="1358"/>
      <c r="CWC524" s="1358"/>
      <c r="CWD524" s="1358"/>
      <c r="CWE524" s="1358"/>
      <c r="CWF524" s="1358"/>
      <c r="CWG524" s="1358"/>
      <c r="CWH524" s="1358"/>
      <c r="CWI524" s="1358"/>
      <c r="CWJ524" s="1358"/>
      <c r="CWK524" s="1358"/>
      <c r="CWL524" s="1358"/>
      <c r="CWM524" s="1358"/>
      <c r="CWN524" s="1358"/>
      <c r="CWO524" s="1358"/>
      <c r="CWP524" s="1358"/>
      <c r="CWQ524" s="1358"/>
      <c r="CWR524" s="1358"/>
      <c r="CWS524" s="1358"/>
      <c r="CWT524" s="1358"/>
      <c r="CWU524" s="1358"/>
      <c r="CWV524" s="1358"/>
      <c r="CWW524" s="1358"/>
      <c r="CWX524" s="1358"/>
      <c r="CWY524" s="1358"/>
      <c r="CWZ524" s="1358"/>
      <c r="CXA524" s="1358"/>
      <c r="CXB524" s="1358"/>
      <c r="CXC524" s="1358"/>
      <c r="CXD524" s="1358"/>
      <c r="CXE524" s="1358"/>
      <c r="CXF524" s="1358"/>
      <c r="CXG524" s="1358"/>
      <c r="CXH524" s="1358"/>
      <c r="CXI524" s="1358"/>
      <c r="CXJ524" s="1358"/>
      <c r="CXK524" s="1358"/>
      <c r="CXL524" s="1358"/>
      <c r="CXM524" s="1358"/>
      <c r="CXN524" s="1358"/>
      <c r="CXO524" s="1358"/>
      <c r="CXP524" s="1358"/>
      <c r="CXQ524" s="1358"/>
      <c r="CXR524" s="1358"/>
      <c r="CXS524" s="1358"/>
      <c r="CXT524" s="1358"/>
      <c r="CXU524" s="1358"/>
      <c r="CXV524" s="1358"/>
      <c r="CXW524" s="1358"/>
      <c r="CXX524" s="1358"/>
      <c r="CXY524" s="1358"/>
      <c r="CXZ524" s="1358"/>
      <c r="CYA524" s="1358"/>
      <c r="CYB524" s="1358"/>
      <c r="CYC524" s="1358"/>
      <c r="CYD524" s="1358"/>
      <c r="CYE524" s="1358"/>
      <c r="CYF524" s="1358"/>
      <c r="CYG524" s="1358"/>
      <c r="CYH524" s="1358"/>
      <c r="CYI524" s="1358"/>
      <c r="CYJ524" s="1358"/>
      <c r="CYK524" s="1358"/>
      <c r="CYL524" s="1358"/>
      <c r="CYM524" s="1358"/>
      <c r="CYN524" s="1358"/>
      <c r="CYO524" s="1358"/>
      <c r="CYP524" s="1358"/>
      <c r="CYQ524" s="1358"/>
      <c r="CYR524" s="1358"/>
      <c r="CYS524" s="1358"/>
      <c r="CYT524" s="1358"/>
      <c r="CYU524" s="1358"/>
      <c r="CYV524" s="1358"/>
      <c r="CYW524" s="1358"/>
      <c r="CYX524" s="1358"/>
      <c r="CYY524" s="1358"/>
      <c r="CYZ524" s="1358"/>
      <c r="CZA524" s="1358"/>
      <c r="CZB524" s="1358"/>
      <c r="CZC524" s="1358"/>
      <c r="CZD524" s="1358"/>
      <c r="CZE524" s="1358"/>
      <c r="CZF524" s="1358"/>
      <c r="CZG524" s="1358"/>
      <c r="CZH524" s="1358"/>
      <c r="CZI524" s="1358"/>
      <c r="CZJ524" s="1358"/>
      <c r="CZK524" s="1358"/>
      <c r="CZL524" s="1358"/>
      <c r="CZM524" s="1358"/>
      <c r="CZN524" s="1358"/>
      <c r="CZO524" s="1358"/>
      <c r="CZP524" s="1358"/>
      <c r="CZQ524" s="1358"/>
      <c r="CZR524" s="1358"/>
      <c r="CZS524" s="1358"/>
      <c r="CZT524" s="1358"/>
      <c r="CZU524" s="1358"/>
      <c r="CZV524" s="1358"/>
      <c r="CZW524" s="1358"/>
      <c r="CZX524" s="1358"/>
      <c r="CZY524" s="1358"/>
      <c r="CZZ524" s="1358"/>
      <c r="DAA524" s="1358"/>
      <c r="DAB524" s="1358"/>
      <c r="DAC524" s="1358"/>
      <c r="DAD524" s="1358"/>
      <c r="DAE524" s="1358"/>
      <c r="DAF524" s="1358"/>
      <c r="DAG524" s="1358"/>
      <c r="DAH524" s="1358"/>
      <c r="DAI524" s="1358"/>
      <c r="DAJ524" s="1358"/>
      <c r="DAK524" s="1358"/>
      <c r="DAL524" s="1358"/>
      <c r="DAM524" s="1358"/>
      <c r="DAN524" s="1358"/>
      <c r="DAO524" s="1358"/>
      <c r="DAP524" s="1358"/>
      <c r="DAQ524" s="1358"/>
      <c r="DAR524" s="1358"/>
      <c r="DAS524" s="1358"/>
      <c r="DAT524" s="1358"/>
      <c r="DAU524" s="1358"/>
      <c r="DAV524" s="1358"/>
      <c r="DAW524" s="1358"/>
      <c r="DAX524" s="1358"/>
      <c r="DAY524" s="1358"/>
      <c r="DAZ524" s="1358"/>
      <c r="DBA524" s="1358"/>
      <c r="DBB524" s="1358"/>
      <c r="DBC524" s="1358"/>
      <c r="DBD524" s="1358"/>
      <c r="DBE524" s="1358"/>
      <c r="DBF524" s="1358"/>
      <c r="DBG524" s="1358"/>
      <c r="DBH524" s="1358"/>
      <c r="DBI524" s="1358"/>
      <c r="DBJ524" s="1358"/>
      <c r="DBK524" s="1358"/>
      <c r="DBL524" s="1358"/>
      <c r="DBM524" s="1358"/>
      <c r="DBN524" s="1358"/>
      <c r="DBO524" s="1358"/>
      <c r="DBP524" s="1358"/>
      <c r="DBQ524" s="1358"/>
      <c r="DBR524" s="1358"/>
      <c r="DBS524" s="1358"/>
      <c r="DBT524" s="1358"/>
      <c r="DBU524" s="1358"/>
      <c r="DBV524" s="1358"/>
      <c r="DBW524" s="1358"/>
      <c r="DBX524" s="1358"/>
      <c r="DBY524" s="1358"/>
      <c r="DBZ524" s="1358"/>
      <c r="DCA524" s="1358"/>
      <c r="DCB524" s="1358"/>
      <c r="DCC524" s="1358"/>
      <c r="DCD524" s="1358"/>
      <c r="DCE524" s="1358"/>
      <c r="DCF524" s="1358"/>
      <c r="DCG524" s="1358"/>
      <c r="DCH524" s="1358"/>
      <c r="DCI524" s="1358"/>
      <c r="DCJ524" s="1358"/>
      <c r="DCK524" s="1358"/>
      <c r="DCL524" s="1358"/>
      <c r="DCM524" s="1358"/>
      <c r="DCN524" s="1358"/>
      <c r="DCO524" s="1358"/>
      <c r="DCP524" s="1358"/>
      <c r="DCQ524" s="1358"/>
      <c r="DCR524" s="1358"/>
      <c r="DCS524" s="1358"/>
      <c r="DCT524" s="1358"/>
      <c r="DCU524" s="1358"/>
      <c r="DCV524" s="1358"/>
      <c r="DCW524" s="1358"/>
      <c r="DCX524" s="1358"/>
      <c r="DCY524" s="1358"/>
      <c r="DCZ524" s="1358"/>
      <c r="DDA524" s="1358"/>
      <c r="DDB524" s="1358"/>
      <c r="DDC524" s="1358"/>
      <c r="DDD524" s="1358"/>
      <c r="DDE524" s="1358"/>
      <c r="DDF524" s="1358"/>
      <c r="DDG524" s="1358"/>
      <c r="DDH524" s="1358"/>
      <c r="DDI524" s="1358"/>
      <c r="DDJ524" s="1358"/>
      <c r="DDK524" s="1358"/>
      <c r="DDL524" s="1358"/>
      <c r="DDM524" s="1358"/>
      <c r="DDN524" s="1358"/>
      <c r="DDO524" s="1358"/>
      <c r="DDP524" s="1358"/>
      <c r="DDQ524" s="1358"/>
      <c r="DDR524" s="1358"/>
      <c r="DDS524" s="1358"/>
      <c r="DDT524" s="1358"/>
      <c r="DDU524" s="1358"/>
      <c r="DDV524" s="1358"/>
      <c r="DDW524" s="1358"/>
      <c r="DDX524" s="1358"/>
      <c r="DDY524" s="1358"/>
      <c r="DDZ524" s="1358"/>
      <c r="DEA524" s="1358"/>
      <c r="DEB524" s="1358"/>
      <c r="DEC524" s="1358"/>
      <c r="DED524" s="1358"/>
      <c r="DEE524" s="1358"/>
      <c r="DEF524" s="1358"/>
      <c r="DEG524" s="1358"/>
      <c r="DEH524" s="1358"/>
      <c r="DEI524" s="1358"/>
      <c r="DEJ524" s="1358"/>
      <c r="DEK524" s="1358"/>
      <c r="DEL524" s="1358"/>
      <c r="DEM524" s="1358"/>
      <c r="DEN524" s="1358"/>
      <c r="DEO524" s="1358"/>
      <c r="DEP524" s="1358"/>
      <c r="DEQ524" s="1358"/>
      <c r="DER524" s="1358"/>
      <c r="DES524" s="1358"/>
      <c r="DET524" s="1358"/>
      <c r="DEU524" s="1358"/>
      <c r="DEV524" s="1358"/>
      <c r="DEW524" s="1358"/>
      <c r="DEX524" s="1358"/>
      <c r="DEY524" s="1358"/>
      <c r="DEZ524" s="1358"/>
      <c r="DFA524" s="1358"/>
      <c r="DFB524" s="1358"/>
      <c r="DFC524" s="1358"/>
      <c r="DFD524" s="1358"/>
      <c r="DFE524" s="1358"/>
      <c r="DFF524" s="1358"/>
      <c r="DFG524" s="1358"/>
      <c r="DFH524" s="1358"/>
      <c r="DFI524" s="1358"/>
      <c r="DFJ524" s="1358"/>
      <c r="DFK524" s="1358"/>
      <c r="DFL524" s="1358"/>
      <c r="DFM524" s="1358"/>
      <c r="DFN524" s="1358"/>
      <c r="DFO524" s="1358"/>
      <c r="DFP524" s="1358"/>
      <c r="DFQ524" s="1358"/>
      <c r="DFR524" s="1358"/>
      <c r="DFS524" s="1358"/>
      <c r="DFT524" s="1358"/>
      <c r="DFU524" s="1358"/>
      <c r="DFV524" s="1358"/>
      <c r="DFW524" s="1358"/>
      <c r="DFX524" s="1358"/>
      <c r="DFY524" s="1358"/>
      <c r="DFZ524" s="1358"/>
      <c r="DGA524" s="1358"/>
      <c r="DGB524" s="1358"/>
      <c r="DGC524" s="1358"/>
      <c r="DGD524" s="1358"/>
      <c r="DGE524" s="1358"/>
      <c r="DGF524" s="1358"/>
      <c r="DGG524" s="1358"/>
      <c r="DGH524" s="1358"/>
      <c r="DGI524" s="1358"/>
      <c r="DGJ524" s="1358"/>
      <c r="DGK524" s="1358"/>
      <c r="DGL524" s="1358"/>
      <c r="DGM524" s="1358"/>
      <c r="DGN524" s="1358"/>
      <c r="DGO524" s="1358"/>
      <c r="DGP524" s="1358"/>
      <c r="DGQ524" s="1358"/>
      <c r="DGR524" s="1358"/>
      <c r="DGS524" s="1358"/>
      <c r="DGT524" s="1358"/>
      <c r="DGU524" s="1358"/>
      <c r="DGV524" s="1358"/>
      <c r="DGW524" s="1358"/>
      <c r="DGX524" s="1358"/>
      <c r="DGY524" s="1358"/>
      <c r="DGZ524" s="1358"/>
      <c r="DHA524" s="1358"/>
      <c r="DHB524" s="1358"/>
      <c r="DHC524" s="1358"/>
      <c r="DHD524" s="1358"/>
      <c r="DHE524" s="1358"/>
      <c r="DHF524" s="1358"/>
      <c r="DHG524" s="1358"/>
      <c r="DHH524" s="1358"/>
      <c r="DHI524" s="1358"/>
      <c r="DHJ524" s="1358"/>
      <c r="DHK524" s="1358"/>
      <c r="DHL524" s="1358"/>
      <c r="DHM524" s="1358"/>
      <c r="DHN524" s="1358"/>
      <c r="DHO524" s="1358"/>
      <c r="DHP524" s="1358"/>
      <c r="DHQ524" s="1358"/>
      <c r="DHR524" s="1358"/>
      <c r="DHS524" s="1358"/>
      <c r="DHT524" s="1358"/>
      <c r="DHU524" s="1358"/>
      <c r="DHV524" s="1358"/>
      <c r="DHW524" s="1358"/>
      <c r="DHX524" s="1358"/>
      <c r="DHY524" s="1358"/>
      <c r="DHZ524" s="1358"/>
      <c r="DIA524" s="1358"/>
      <c r="DIB524" s="1358"/>
      <c r="DIC524" s="1358"/>
      <c r="DID524" s="1358"/>
      <c r="DIE524" s="1358"/>
      <c r="DIF524" s="1358"/>
      <c r="DIG524" s="1358"/>
      <c r="DIH524" s="1358"/>
      <c r="DII524" s="1358"/>
      <c r="DIJ524" s="1358"/>
      <c r="DIK524" s="1358"/>
      <c r="DIL524" s="1358"/>
      <c r="DIM524" s="1358"/>
      <c r="DIN524" s="1358"/>
      <c r="DIO524" s="1358"/>
      <c r="DIP524" s="1358"/>
      <c r="DIQ524" s="1358"/>
      <c r="DIR524" s="1358"/>
      <c r="DIS524" s="1358"/>
      <c r="DIT524" s="1358"/>
      <c r="DIU524" s="1358"/>
      <c r="DIV524" s="1358"/>
      <c r="DIW524" s="1358"/>
      <c r="DIX524" s="1358"/>
      <c r="DIY524" s="1358"/>
      <c r="DIZ524" s="1358"/>
      <c r="DJA524" s="1358"/>
      <c r="DJB524" s="1358"/>
      <c r="DJC524" s="1358"/>
      <c r="DJD524" s="1358"/>
      <c r="DJE524" s="1358"/>
      <c r="DJF524" s="1358"/>
      <c r="DJG524" s="1358"/>
      <c r="DJH524" s="1358"/>
      <c r="DJI524" s="1358"/>
      <c r="DJJ524" s="1358"/>
      <c r="DJK524" s="1358"/>
      <c r="DJL524" s="1358"/>
      <c r="DJM524" s="1358"/>
      <c r="DJN524" s="1358"/>
      <c r="DJO524" s="1358"/>
      <c r="DJP524" s="1358"/>
      <c r="DJQ524" s="1358"/>
      <c r="DJR524" s="1358"/>
      <c r="DJS524" s="1358"/>
      <c r="DJT524" s="1358"/>
      <c r="DJU524" s="1358"/>
      <c r="DJV524" s="1358"/>
      <c r="DJW524" s="1358"/>
      <c r="DJX524" s="1358"/>
      <c r="DJY524" s="1358"/>
      <c r="DJZ524" s="1358"/>
      <c r="DKA524" s="1358"/>
      <c r="DKB524" s="1358"/>
      <c r="DKC524" s="1358"/>
      <c r="DKD524" s="1358"/>
      <c r="DKE524" s="1358"/>
      <c r="DKF524" s="1358"/>
      <c r="DKG524" s="1358"/>
      <c r="DKH524" s="1358"/>
      <c r="DKI524" s="1358"/>
      <c r="DKJ524" s="1358"/>
      <c r="DKK524" s="1358"/>
      <c r="DKL524" s="1358"/>
      <c r="DKM524" s="1358"/>
      <c r="DKN524" s="1358"/>
      <c r="DKO524" s="1358"/>
      <c r="DKP524" s="1358"/>
      <c r="DKQ524" s="1358"/>
      <c r="DKR524" s="1358"/>
      <c r="DKS524" s="1358"/>
      <c r="DKT524" s="1358"/>
      <c r="DKU524" s="1358"/>
      <c r="DKV524" s="1358"/>
      <c r="DKW524" s="1358"/>
      <c r="DKX524" s="1358"/>
      <c r="DKY524" s="1358"/>
      <c r="DKZ524" s="1358"/>
      <c r="DLA524" s="1358"/>
      <c r="DLB524" s="1358"/>
      <c r="DLC524" s="1358"/>
      <c r="DLD524" s="1358"/>
      <c r="DLE524" s="1358"/>
      <c r="DLF524" s="1358"/>
      <c r="DLG524" s="1358"/>
      <c r="DLH524" s="1358"/>
      <c r="DLI524" s="1358"/>
      <c r="DLJ524" s="1358"/>
      <c r="DLK524" s="1358"/>
      <c r="DLL524" s="1358"/>
      <c r="DLM524" s="1358"/>
      <c r="DLN524" s="1358"/>
      <c r="DLO524" s="1358"/>
      <c r="DLP524" s="1358"/>
      <c r="DLQ524" s="1358"/>
      <c r="DLR524" s="1358"/>
      <c r="DLS524" s="1358"/>
      <c r="DLT524" s="1358"/>
      <c r="DLU524" s="1358"/>
      <c r="DLV524" s="1358"/>
      <c r="DLW524" s="1358"/>
      <c r="DLX524" s="1358"/>
      <c r="DLY524" s="1358"/>
      <c r="DLZ524" s="1358"/>
      <c r="DMA524" s="1358"/>
      <c r="DMB524" s="1358"/>
      <c r="DMC524" s="1358"/>
      <c r="DMD524" s="1358"/>
      <c r="DME524" s="1358"/>
      <c r="DMF524" s="1358"/>
      <c r="DMG524" s="1358"/>
      <c r="DMH524" s="1358"/>
      <c r="DMI524" s="1358"/>
      <c r="DMJ524" s="1358"/>
      <c r="DMK524" s="1358"/>
      <c r="DML524" s="1358"/>
      <c r="DMM524" s="1358"/>
      <c r="DMN524" s="1358"/>
      <c r="DMO524" s="1358"/>
      <c r="DMP524" s="1358"/>
      <c r="DMQ524" s="1358"/>
      <c r="DMR524" s="1358"/>
      <c r="DMS524" s="1358"/>
      <c r="DMT524" s="1358"/>
      <c r="DMU524" s="1358"/>
      <c r="DMV524" s="1358"/>
      <c r="DMW524" s="1358"/>
      <c r="DMX524" s="1358"/>
      <c r="DMY524" s="1358"/>
      <c r="DMZ524" s="1358"/>
      <c r="DNA524" s="1358"/>
      <c r="DNB524" s="1358"/>
      <c r="DNC524" s="1358"/>
      <c r="DND524" s="1358"/>
      <c r="DNE524" s="1358"/>
      <c r="DNF524" s="1358"/>
      <c r="DNG524" s="1358"/>
      <c r="DNH524" s="1358"/>
      <c r="DNI524" s="1358"/>
      <c r="DNJ524" s="1358"/>
      <c r="DNK524" s="1358"/>
      <c r="DNL524" s="1358"/>
      <c r="DNM524" s="1358"/>
      <c r="DNN524" s="1358"/>
      <c r="DNO524" s="1358"/>
      <c r="DNP524" s="1358"/>
      <c r="DNQ524" s="1358"/>
      <c r="DNR524" s="1358"/>
      <c r="DNS524" s="1358"/>
      <c r="DNT524" s="1358"/>
      <c r="DNU524" s="1358"/>
      <c r="DNV524" s="1358"/>
      <c r="DNW524" s="1358"/>
      <c r="DNX524" s="1358"/>
      <c r="DNY524" s="1358"/>
      <c r="DNZ524" s="1358"/>
      <c r="DOA524" s="1358"/>
      <c r="DOB524" s="1358"/>
      <c r="DOC524" s="1358"/>
      <c r="DOD524" s="1358"/>
      <c r="DOE524" s="1358"/>
      <c r="DOF524" s="1358"/>
      <c r="DOG524" s="1358"/>
      <c r="DOH524" s="1358"/>
      <c r="DOI524" s="1358"/>
      <c r="DOJ524" s="1358"/>
      <c r="DOK524" s="1358"/>
      <c r="DOL524" s="1358"/>
      <c r="DOM524" s="1358"/>
      <c r="DON524" s="1358"/>
      <c r="DOO524" s="1358"/>
      <c r="DOP524" s="1358"/>
      <c r="DOQ524" s="1358"/>
      <c r="DOR524" s="1358"/>
      <c r="DOS524" s="1358"/>
      <c r="DOT524" s="1358"/>
      <c r="DOU524" s="1358"/>
      <c r="DOV524" s="1358"/>
      <c r="DOW524" s="1358"/>
      <c r="DOX524" s="1358"/>
      <c r="DOY524" s="1358"/>
      <c r="DOZ524" s="1358"/>
      <c r="DPA524" s="1358"/>
      <c r="DPB524" s="1358"/>
      <c r="DPC524" s="1358"/>
      <c r="DPD524" s="1358"/>
      <c r="DPE524" s="1358"/>
      <c r="DPF524" s="1358"/>
      <c r="DPG524" s="1358"/>
      <c r="DPH524" s="1358"/>
      <c r="DPI524" s="1358"/>
      <c r="DPJ524" s="1358"/>
      <c r="DPK524" s="1358"/>
      <c r="DPL524" s="1358"/>
      <c r="DPM524" s="1358"/>
      <c r="DPN524" s="1358"/>
      <c r="DPO524" s="1358"/>
      <c r="DPP524" s="1358"/>
      <c r="DPQ524" s="1358"/>
      <c r="DPR524" s="1358"/>
      <c r="DPS524" s="1358"/>
      <c r="DPT524" s="1358"/>
      <c r="DPU524" s="1358"/>
      <c r="DPV524" s="1358"/>
      <c r="DPW524" s="1358"/>
      <c r="DPX524" s="1358"/>
      <c r="DPY524" s="1358"/>
      <c r="DPZ524" s="1358"/>
      <c r="DQA524" s="1358"/>
      <c r="DQB524" s="1358"/>
      <c r="DQC524" s="1358"/>
      <c r="DQD524" s="1358"/>
      <c r="DQE524" s="1358"/>
      <c r="DQF524" s="1358"/>
      <c r="DQG524" s="1358"/>
      <c r="DQH524" s="1358"/>
      <c r="DQI524" s="1358"/>
      <c r="DQJ524" s="1358"/>
      <c r="DQK524" s="1358"/>
      <c r="DQL524" s="1358"/>
      <c r="DQM524" s="1358"/>
      <c r="DQN524" s="1358"/>
      <c r="DQO524" s="1358"/>
      <c r="DQP524" s="1358"/>
      <c r="DQQ524" s="1358"/>
      <c r="DQR524" s="1358"/>
      <c r="DQS524" s="1358"/>
      <c r="DQT524" s="1358"/>
      <c r="DQU524" s="1358"/>
      <c r="DQV524" s="1358"/>
      <c r="DQW524" s="1358"/>
      <c r="DQX524" s="1358"/>
      <c r="DQY524" s="1358"/>
      <c r="DQZ524" s="1358"/>
      <c r="DRA524" s="1358"/>
      <c r="DRB524" s="1358"/>
      <c r="DRC524" s="1358"/>
      <c r="DRD524" s="1358"/>
      <c r="DRE524" s="1358"/>
      <c r="DRF524" s="1358"/>
      <c r="DRG524" s="1358"/>
      <c r="DRH524" s="1358"/>
      <c r="DRI524" s="1358"/>
      <c r="DRJ524" s="1358"/>
      <c r="DRK524" s="1358"/>
      <c r="DRL524" s="1358"/>
      <c r="DRM524" s="1358"/>
      <c r="DRN524" s="1358"/>
      <c r="DRO524" s="1358"/>
      <c r="DRP524" s="1358"/>
      <c r="DRQ524" s="1358"/>
      <c r="DRR524" s="1358"/>
      <c r="DRS524" s="1358"/>
      <c r="DRT524" s="1358"/>
      <c r="DRU524" s="1358"/>
      <c r="DRV524" s="1358"/>
      <c r="DRW524" s="1358"/>
      <c r="DRX524" s="1358"/>
      <c r="DRY524" s="1358"/>
      <c r="DRZ524" s="1358"/>
      <c r="DSA524" s="1358"/>
      <c r="DSB524" s="1358"/>
      <c r="DSC524" s="1358"/>
      <c r="DSD524" s="1358"/>
      <c r="DSE524" s="1358"/>
      <c r="DSF524" s="1358"/>
      <c r="DSG524" s="1358"/>
      <c r="DSH524" s="1358"/>
      <c r="DSI524" s="1358"/>
      <c r="DSJ524" s="1358"/>
      <c r="DSK524" s="1358"/>
      <c r="DSL524" s="1358"/>
      <c r="DSM524" s="1358"/>
      <c r="DSN524" s="1358"/>
      <c r="DSO524" s="1358"/>
      <c r="DSP524" s="1358"/>
      <c r="DSQ524" s="1358"/>
      <c r="DSR524" s="1358"/>
      <c r="DSS524" s="1358"/>
      <c r="DST524" s="1358"/>
      <c r="DSU524" s="1358"/>
      <c r="DSV524" s="1358"/>
      <c r="DSW524" s="1358"/>
      <c r="DSX524" s="1358"/>
      <c r="DSY524" s="1358"/>
      <c r="DSZ524" s="1358"/>
      <c r="DTA524" s="1358"/>
      <c r="DTB524" s="1358"/>
      <c r="DTC524" s="1358"/>
      <c r="DTD524" s="1358"/>
      <c r="DTE524" s="1358"/>
      <c r="DTF524" s="1358"/>
      <c r="DTG524" s="1358"/>
      <c r="DTH524" s="1358"/>
      <c r="DTI524" s="1358"/>
      <c r="DTJ524" s="1358"/>
      <c r="DTK524" s="1358"/>
      <c r="DTL524" s="1358"/>
      <c r="DTM524" s="1358"/>
      <c r="DTN524" s="1358"/>
      <c r="DTO524" s="1358"/>
      <c r="DTP524" s="1358"/>
      <c r="DTQ524" s="1358"/>
      <c r="DTR524" s="1358"/>
      <c r="DTS524" s="1358"/>
      <c r="DTT524" s="1358"/>
      <c r="DTU524" s="1358"/>
      <c r="DTV524" s="1358"/>
      <c r="DTW524" s="1358"/>
      <c r="DTX524" s="1358"/>
      <c r="DTY524" s="1358"/>
      <c r="DTZ524" s="1358"/>
      <c r="DUA524" s="1358"/>
      <c r="DUB524" s="1358"/>
      <c r="DUC524" s="1358"/>
      <c r="DUD524" s="1358"/>
      <c r="DUE524" s="1358"/>
      <c r="DUF524" s="1358"/>
      <c r="DUG524" s="1358"/>
      <c r="DUH524" s="1358"/>
      <c r="DUI524" s="1358"/>
      <c r="DUJ524" s="1358"/>
      <c r="DUK524" s="1358"/>
      <c r="DUL524" s="1358"/>
      <c r="DUM524" s="1358"/>
      <c r="DUN524" s="1358"/>
      <c r="DUO524" s="1358"/>
      <c r="DUP524" s="1358"/>
      <c r="DUQ524" s="1358"/>
      <c r="DUR524" s="1358"/>
      <c r="DUS524" s="1358"/>
      <c r="DUT524" s="1358"/>
      <c r="DUU524" s="1358"/>
      <c r="DUV524" s="1358"/>
      <c r="DUW524" s="1358"/>
      <c r="DUX524" s="1358"/>
      <c r="DUY524" s="1358"/>
      <c r="DUZ524" s="1358"/>
      <c r="DVA524" s="1358"/>
      <c r="DVB524" s="1358"/>
      <c r="DVC524" s="1358"/>
      <c r="DVD524" s="1358"/>
      <c r="DVE524" s="1358"/>
      <c r="DVF524" s="1358"/>
      <c r="DVG524" s="1358"/>
      <c r="DVH524" s="1358"/>
      <c r="DVI524" s="1358"/>
      <c r="DVJ524" s="1358"/>
      <c r="DVK524" s="1358"/>
      <c r="DVL524" s="1358"/>
      <c r="DVM524" s="1358"/>
      <c r="DVN524" s="1358"/>
      <c r="DVO524" s="1358"/>
      <c r="DVP524" s="1358"/>
      <c r="DVQ524" s="1358"/>
      <c r="DVR524" s="1358"/>
      <c r="DVS524" s="1358"/>
      <c r="DVT524" s="1358"/>
      <c r="DVU524" s="1358"/>
      <c r="DVV524" s="1358"/>
      <c r="DVW524" s="1358"/>
      <c r="DVX524" s="1358"/>
      <c r="DVY524" s="1358"/>
      <c r="DVZ524" s="1358"/>
      <c r="DWA524" s="1358"/>
      <c r="DWB524" s="1358"/>
      <c r="DWC524" s="1358"/>
      <c r="DWD524" s="1358"/>
      <c r="DWE524" s="1358"/>
      <c r="DWF524" s="1358"/>
      <c r="DWG524" s="1358"/>
      <c r="DWH524" s="1358"/>
      <c r="DWI524" s="1358"/>
      <c r="DWJ524" s="1358"/>
      <c r="DWK524" s="1358"/>
      <c r="DWL524" s="1358"/>
      <c r="DWM524" s="1358"/>
      <c r="DWN524" s="1358"/>
      <c r="DWO524" s="1358"/>
      <c r="DWP524" s="1358"/>
      <c r="DWQ524" s="1358"/>
      <c r="DWR524" s="1358"/>
      <c r="DWS524" s="1358"/>
      <c r="DWT524" s="1358"/>
      <c r="DWU524" s="1358"/>
      <c r="DWV524" s="1358"/>
      <c r="DWW524" s="1358"/>
      <c r="DWX524" s="1358"/>
      <c r="DWY524" s="1358"/>
      <c r="DWZ524" s="1358"/>
      <c r="DXA524" s="1358"/>
      <c r="DXB524" s="1358"/>
      <c r="DXC524" s="1358"/>
      <c r="DXD524" s="1358"/>
      <c r="DXE524" s="1358"/>
      <c r="DXF524" s="1358"/>
      <c r="DXG524" s="1358"/>
      <c r="DXH524" s="1358"/>
      <c r="DXI524" s="1358"/>
      <c r="DXJ524" s="1358"/>
      <c r="DXK524" s="1358"/>
      <c r="DXL524" s="1358"/>
      <c r="DXM524" s="1358"/>
      <c r="DXN524" s="1358"/>
      <c r="DXO524" s="1358"/>
      <c r="DXP524" s="1358"/>
      <c r="DXQ524" s="1358"/>
      <c r="DXR524" s="1358"/>
      <c r="DXS524" s="1358"/>
      <c r="DXT524" s="1358"/>
      <c r="DXU524" s="1358"/>
      <c r="DXV524" s="1358"/>
      <c r="DXW524" s="1358"/>
      <c r="DXX524" s="1358"/>
      <c r="DXY524" s="1358"/>
      <c r="DXZ524" s="1358"/>
      <c r="DYA524" s="1358"/>
      <c r="DYB524" s="1358"/>
      <c r="DYC524" s="1358"/>
      <c r="DYD524" s="1358"/>
      <c r="DYE524" s="1358"/>
      <c r="DYF524" s="1358"/>
      <c r="DYG524" s="1358"/>
      <c r="DYH524" s="1358"/>
      <c r="DYI524" s="1358"/>
      <c r="DYJ524" s="1358"/>
      <c r="DYK524" s="1358"/>
      <c r="DYL524" s="1358"/>
      <c r="DYM524" s="1358"/>
      <c r="DYN524" s="1358"/>
      <c r="DYO524" s="1358"/>
      <c r="DYP524" s="1358"/>
      <c r="DYQ524" s="1358"/>
      <c r="DYR524" s="1358"/>
      <c r="DYS524" s="1358"/>
      <c r="DYT524" s="1358"/>
      <c r="DYU524" s="1358"/>
      <c r="DYV524" s="1358"/>
      <c r="DYW524" s="1358"/>
      <c r="DYX524" s="1358"/>
      <c r="DYY524" s="1358"/>
      <c r="DYZ524" s="1358"/>
      <c r="DZA524" s="1358"/>
      <c r="DZB524" s="1358"/>
      <c r="DZC524" s="1358"/>
      <c r="DZD524" s="1358"/>
      <c r="DZE524" s="1358"/>
      <c r="DZF524" s="1358"/>
      <c r="DZG524" s="1358"/>
      <c r="DZH524" s="1358"/>
      <c r="DZI524" s="1358"/>
      <c r="DZJ524" s="1358"/>
      <c r="DZK524" s="1358"/>
      <c r="DZL524" s="1358"/>
      <c r="DZM524" s="1358"/>
      <c r="DZN524" s="1358"/>
      <c r="DZO524" s="1358"/>
      <c r="DZP524" s="1358"/>
      <c r="DZQ524" s="1358"/>
      <c r="DZR524" s="1358"/>
      <c r="DZS524" s="1358"/>
      <c r="DZT524" s="1358"/>
      <c r="DZU524" s="1358"/>
      <c r="DZV524" s="1358"/>
      <c r="DZW524" s="1358"/>
      <c r="DZX524" s="1358"/>
      <c r="DZY524" s="1358"/>
      <c r="DZZ524" s="1358"/>
      <c r="EAA524" s="1358"/>
      <c r="EAB524" s="1358"/>
      <c r="EAC524" s="1358"/>
      <c r="EAD524" s="1358"/>
      <c r="EAE524" s="1358"/>
      <c r="EAF524" s="1358"/>
      <c r="EAG524" s="1358"/>
      <c r="EAH524" s="1358"/>
      <c r="EAI524" s="1358"/>
      <c r="EAJ524" s="1358"/>
      <c r="EAK524" s="1358"/>
      <c r="EAL524" s="1358"/>
      <c r="EAM524" s="1358"/>
      <c r="EAN524" s="1358"/>
      <c r="EAO524" s="1358"/>
      <c r="EAP524" s="1358"/>
      <c r="EAQ524" s="1358"/>
      <c r="EAR524" s="1358"/>
      <c r="EAS524" s="1358"/>
      <c r="EAT524" s="1358"/>
      <c r="EAU524" s="1358"/>
      <c r="EAV524" s="1358"/>
      <c r="EAW524" s="1358"/>
      <c r="EAX524" s="1358"/>
      <c r="EAY524" s="1358"/>
      <c r="EAZ524" s="1358"/>
      <c r="EBA524" s="1358"/>
      <c r="EBB524" s="1358"/>
      <c r="EBC524" s="1358"/>
      <c r="EBD524" s="1358"/>
      <c r="EBE524" s="1358"/>
      <c r="EBF524" s="1358"/>
      <c r="EBG524" s="1358"/>
      <c r="EBH524" s="1358"/>
      <c r="EBI524" s="1358"/>
      <c r="EBJ524" s="1358"/>
      <c r="EBK524" s="1358"/>
      <c r="EBL524" s="1358"/>
      <c r="EBM524" s="1358"/>
      <c r="EBN524" s="1358"/>
      <c r="EBO524" s="1358"/>
      <c r="EBP524" s="1358"/>
      <c r="EBQ524" s="1358"/>
      <c r="EBR524" s="1358"/>
      <c r="EBS524" s="1358"/>
      <c r="EBT524" s="1358"/>
      <c r="EBU524" s="1358"/>
      <c r="EBV524" s="1358"/>
      <c r="EBW524" s="1358"/>
      <c r="EBX524" s="1358"/>
      <c r="EBY524" s="1358"/>
      <c r="EBZ524" s="1358"/>
      <c r="ECA524" s="1358"/>
      <c r="ECB524" s="1358"/>
      <c r="ECC524" s="1358"/>
      <c r="ECD524" s="1358"/>
      <c r="ECE524" s="1358"/>
      <c r="ECF524" s="1358"/>
      <c r="ECG524" s="1358"/>
      <c r="ECH524" s="1358"/>
      <c r="ECI524" s="1358"/>
      <c r="ECJ524" s="1358"/>
      <c r="ECK524" s="1358"/>
      <c r="ECL524" s="1358"/>
      <c r="ECM524" s="1358"/>
      <c r="ECN524" s="1358"/>
      <c r="ECO524" s="1358"/>
      <c r="ECP524" s="1358"/>
      <c r="ECQ524" s="1358"/>
      <c r="ECR524" s="1358"/>
      <c r="ECS524" s="1358"/>
      <c r="ECT524" s="1358"/>
      <c r="ECU524" s="1358"/>
      <c r="ECV524" s="1358"/>
      <c r="ECW524" s="1358"/>
      <c r="ECX524" s="1358"/>
      <c r="ECY524" s="1358"/>
      <c r="ECZ524" s="1358"/>
      <c r="EDA524" s="1358"/>
      <c r="EDB524" s="1358"/>
      <c r="EDC524" s="1358"/>
      <c r="EDD524" s="1358"/>
      <c r="EDE524" s="1358"/>
      <c r="EDF524" s="1358"/>
      <c r="EDG524" s="1358"/>
      <c r="EDH524" s="1358"/>
      <c r="EDI524" s="1358"/>
      <c r="EDJ524" s="1358"/>
      <c r="EDK524" s="1358"/>
      <c r="EDL524" s="1358"/>
      <c r="EDM524" s="1358"/>
      <c r="EDN524" s="1358"/>
      <c r="EDO524" s="1358"/>
      <c r="EDP524" s="1358"/>
      <c r="EDQ524" s="1358"/>
      <c r="EDR524" s="1358"/>
      <c r="EDS524" s="1358"/>
      <c r="EDT524" s="1358"/>
      <c r="EDU524" s="1358"/>
      <c r="EDV524" s="1358"/>
      <c r="EDW524" s="1358"/>
      <c r="EDX524" s="1358"/>
      <c r="EDY524" s="1358"/>
      <c r="EDZ524" s="1358"/>
      <c r="EEA524" s="1358"/>
      <c r="EEB524" s="1358"/>
      <c r="EEC524" s="1358"/>
      <c r="EED524" s="1358"/>
      <c r="EEE524" s="1358"/>
      <c r="EEF524" s="1358"/>
      <c r="EEG524" s="1358"/>
      <c r="EEH524" s="1358"/>
      <c r="EEI524" s="1358"/>
      <c r="EEJ524" s="1358"/>
      <c r="EEK524" s="1358"/>
      <c r="EEL524" s="1358"/>
      <c r="EEM524" s="1358"/>
      <c r="EEN524" s="1358"/>
      <c r="EEO524" s="1358"/>
      <c r="EEP524" s="1358"/>
      <c r="EEQ524" s="1358"/>
      <c r="EER524" s="1358"/>
      <c r="EES524" s="1358"/>
      <c r="EET524" s="1358"/>
      <c r="EEU524" s="1358"/>
      <c r="EEV524" s="1358"/>
      <c r="EEW524" s="1358"/>
      <c r="EEX524" s="1358"/>
      <c r="EEY524" s="1358"/>
      <c r="EEZ524" s="1358"/>
      <c r="EFA524" s="1358"/>
      <c r="EFB524" s="1358"/>
      <c r="EFC524" s="1358"/>
      <c r="EFD524" s="1358"/>
      <c r="EFE524" s="1358"/>
      <c r="EFF524" s="1358"/>
      <c r="EFG524" s="1358"/>
      <c r="EFH524" s="1358"/>
      <c r="EFI524" s="1358"/>
      <c r="EFJ524" s="1358"/>
      <c r="EFK524" s="1358"/>
      <c r="EFL524" s="1358"/>
      <c r="EFM524" s="1358"/>
      <c r="EFN524" s="1358"/>
      <c r="EFO524" s="1358"/>
      <c r="EFP524" s="1358"/>
      <c r="EFQ524" s="1358"/>
      <c r="EFR524" s="1358"/>
      <c r="EFS524" s="1358"/>
      <c r="EFT524" s="1358"/>
      <c r="EFU524" s="1358"/>
      <c r="EFV524" s="1358"/>
      <c r="EFW524" s="1358"/>
      <c r="EFX524" s="1358"/>
      <c r="EFY524" s="1358"/>
      <c r="EFZ524" s="1358"/>
      <c r="EGA524" s="1358"/>
      <c r="EGB524" s="1358"/>
      <c r="EGC524" s="1358"/>
      <c r="EGD524" s="1358"/>
      <c r="EGE524" s="1358"/>
      <c r="EGF524" s="1358"/>
      <c r="EGG524" s="1358"/>
      <c r="EGH524" s="1358"/>
      <c r="EGI524" s="1358"/>
      <c r="EGJ524" s="1358"/>
      <c r="EGK524" s="1358"/>
      <c r="EGL524" s="1358"/>
      <c r="EGM524" s="1358"/>
      <c r="EGN524" s="1358"/>
      <c r="EGO524" s="1358"/>
      <c r="EGP524" s="1358"/>
      <c r="EGQ524" s="1358"/>
      <c r="EGR524" s="1358"/>
      <c r="EGS524" s="1358"/>
      <c r="EGT524" s="1358"/>
      <c r="EGU524" s="1358"/>
      <c r="EGV524" s="1358"/>
      <c r="EGW524" s="1358"/>
      <c r="EGX524" s="1358"/>
      <c r="EGY524" s="1358"/>
      <c r="EGZ524" s="1358"/>
      <c r="EHA524" s="1358"/>
      <c r="EHB524" s="1358"/>
      <c r="EHC524" s="1358"/>
      <c r="EHD524" s="1358"/>
      <c r="EHE524" s="1358"/>
      <c r="EHF524" s="1358"/>
      <c r="EHG524" s="1358"/>
      <c r="EHH524" s="1358"/>
      <c r="EHI524" s="1358"/>
      <c r="EHJ524" s="1358"/>
      <c r="EHK524" s="1358"/>
      <c r="EHL524" s="1358"/>
      <c r="EHM524" s="1358"/>
      <c r="EHN524" s="1358"/>
      <c r="EHO524" s="1358"/>
      <c r="EHP524" s="1358"/>
      <c r="EHQ524" s="1358"/>
      <c r="EHR524" s="1358"/>
      <c r="EHS524" s="1358"/>
      <c r="EHT524" s="1358"/>
      <c r="EHU524" s="1358"/>
      <c r="EHV524" s="1358"/>
      <c r="EHW524" s="1358"/>
      <c r="EHX524" s="1358"/>
      <c r="EHY524" s="1358"/>
      <c r="EHZ524" s="1358"/>
      <c r="EIA524" s="1358"/>
      <c r="EIB524" s="1358"/>
      <c r="EIC524" s="1358"/>
      <c r="EID524" s="1358"/>
      <c r="EIE524" s="1358"/>
      <c r="EIF524" s="1358"/>
      <c r="EIG524" s="1358"/>
      <c r="EIH524" s="1358"/>
      <c r="EII524" s="1358"/>
      <c r="EIJ524" s="1358"/>
      <c r="EIK524" s="1358"/>
      <c r="EIL524" s="1358"/>
      <c r="EIM524" s="1358"/>
      <c r="EIN524" s="1358"/>
      <c r="EIO524" s="1358"/>
      <c r="EIP524" s="1358"/>
      <c r="EIQ524" s="1358"/>
      <c r="EIR524" s="1358"/>
      <c r="EIS524" s="1358"/>
      <c r="EIT524" s="1358"/>
      <c r="EIU524" s="1358"/>
      <c r="EIV524" s="1358"/>
      <c r="EIW524" s="1358"/>
      <c r="EIX524" s="1358"/>
      <c r="EIY524" s="1358"/>
      <c r="EIZ524" s="1358"/>
      <c r="EJA524" s="1358"/>
      <c r="EJB524" s="1358"/>
      <c r="EJC524" s="1358"/>
      <c r="EJD524" s="1358"/>
      <c r="EJE524" s="1358"/>
      <c r="EJF524" s="1358"/>
      <c r="EJG524" s="1358"/>
      <c r="EJH524" s="1358"/>
      <c r="EJI524" s="1358"/>
      <c r="EJJ524" s="1358"/>
      <c r="EJK524" s="1358"/>
      <c r="EJL524" s="1358"/>
      <c r="EJM524" s="1358"/>
      <c r="EJN524" s="1358"/>
      <c r="EJO524" s="1358"/>
      <c r="EJP524" s="1358"/>
      <c r="EJQ524" s="1358"/>
      <c r="EJR524" s="1358"/>
      <c r="EJS524" s="1358"/>
      <c r="EJT524" s="1358"/>
      <c r="EJU524" s="1358"/>
      <c r="EJV524" s="1358"/>
      <c r="EJW524" s="1358"/>
      <c r="EJX524" s="1358"/>
      <c r="EJY524" s="1358"/>
      <c r="EJZ524" s="1358"/>
      <c r="EKA524" s="1358"/>
      <c r="EKB524" s="1358"/>
      <c r="EKC524" s="1358"/>
      <c r="EKD524" s="1358"/>
      <c r="EKE524" s="1358"/>
      <c r="EKF524" s="1358"/>
      <c r="EKG524" s="1358"/>
      <c r="EKH524" s="1358"/>
      <c r="EKI524" s="1358"/>
      <c r="EKJ524" s="1358"/>
      <c r="EKK524" s="1358"/>
      <c r="EKL524" s="1358"/>
      <c r="EKM524" s="1358"/>
      <c r="EKN524" s="1358"/>
      <c r="EKO524" s="1358"/>
      <c r="EKP524" s="1358"/>
      <c r="EKQ524" s="1358"/>
      <c r="EKR524" s="1358"/>
      <c r="EKS524" s="1358"/>
      <c r="EKT524" s="1358"/>
      <c r="EKU524" s="1358"/>
      <c r="EKV524" s="1358"/>
      <c r="EKW524" s="1358"/>
      <c r="EKX524" s="1358"/>
      <c r="EKY524" s="1358"/>
      <c r="EKZ524" s="1358"/>
      <c r="ELA524" s="1358"/>
      <c r="ELB524" s="1358"/>
      <c r="ELC524" s="1358"/>
      <c r="ELD524" s="1358"/>
      <c r="ELE524" s="1358"/>
      <c r="ELF524" s="1358"/>
      <c r="ELG524" s="1358"/>
      <c r="ELH524" s="1358"/>
      <c r="ELI524" s="1358"/>
      <c r="ELJ524" s="1358"/>
      <c r="ELK524" s="1358"/>
      <c r="ELL524" s="1358"/>
      <c r="ELM524" s="1358"/>
      <c r="ELN524" s="1358"/>
      <c r="ELO524" s="1358"/>
      <c r="ELP524" s="1358"/>
      <c r="ELQ524" s="1358"/>
      <c r="ELR524" s="1358"/>
      <c r="ELS524" s="1358"/>
      <c r="ELT524" s="1358"/>
      <c r="ELU524" s="1358"/>
      <c r="ELV524" s="1358"/>
      <c r="ELW524" s="1358"/>
      <c r="ELX524" s="1358"/>
      <c r="ELY524" s="1358"/>
      <c r="ELZ524" s="1358"/>
      <c r="EMA524" s="1358"/>
      <c r="EMB524" s="1358"/>
      <c r="EMC524" s="1358"/>
      <c r="EMD524" s="1358"/>
      <c r="EME524" s="1358"/>
      <c r="EMF524" s="1358"/>
      <c r="EMG524" s="1358"/>
      <c r="EMH524" s="1358"/>
      <c r="EMI524" s="1358"/>
      <c r="EMJ524" s="1358"/>
      <c r="EMK524" s="1358"/>
      <c r="EML524" s="1358"/>
      <c r="EMM524" s="1358"/>
      <c r="EMN524" s="1358"/>
      <c r="EMO524" s="1358"/>
      <c r="EMP524" s="1358"/>
      <c r="EMQ524" s="1358"/>
      <c r="EMR524" s="1358"/>
      <c r="EMS524" s="1358"/>
      <c r="EMT524" s="1358"/>
      <c r="EMU524" s="1358"/>
      <c r="EMV524" s="1358"/>
      <c r="EMW524" s="1358"/>
      <c r="EMX524" s="1358"/>
      <c r="EMY524" s="1358"/>
      <c r="EMZ524" s="1358"/>
      <c r="ENA524" s="1358"/>
      <c r="ENB524" s="1358"/>
      <c r="ENC524" s="1358"/>
      <c r="END524" s="1358"/>
      <c r="ENE524" s="1358"/>
      <c r="ENF524" s="1358"/>
      <c r="ENG524" s="1358"/>
      <c r="ENH524" s="1358"/>
      <c r="ENI524" s="1358"/>
      <c r="ENJ524" s="1358"/>
      <c r="ENK524" s="1358"/>
      <c r="ENL524" s="1358"/>
      <c r="ENM524" s="1358"/>
      <c r="ENN524" s="1358"/>
      <c r="ENO524" s="1358"/>
      <c r="ENP524" s="1358"/>
      <c r="ENQ524" s="1358"/>
      <c r="ENR524" s="1358"/>
      <c r="ENS524" s="1358"/>
      <c r="ENT524" s="1358"/>
      <c r="ENU524" s="1358"/>
      <c r="ENV524" s="1358"/>
      <c r="ENW524" s="1358"/>
      <c r="ENX524" s="1358"/>
      <c r="ENY524" s="1358"/>
      <c r="ENZ524" s="1358"/>
      <c r="EOA524" s="1358"/>
      <c r="EOB524" s="1358"/>
      <c r="EOC524" s="1358"/>
      <c r="EOD524" s="1358"/>
      <c r="EOE524" s="1358"/>
      <c r="EOF524" s="1358"/>
      <c r="EOG524" s="1358"/>
      <c r="EOH524" s="1358"/>
      <c r="EOI524" s="1358"/>
      <c r="EOJ524" s="1358"/>
      <c r="EOK524" s="1358"/>
      <c r="EOL524" s="1358"/>
      <c r="EOM524" s="1358"/>
      <c r="EON524" s="1358"/>
      <c r="EOO524" s="1358"/>
      <c r="EOP524" s="1358"/>
      <c r="EOQ524" s="1358"/>
      <c r="EOR524" s="1358"/>
      <c r="EOS524" s="1358"/>
      <c r="EOT524" s="1358"/>
      <c r="EOU524" s="1358"/>
      <c r="EOV524" s="1358"/>
      <c r="EOW524" s="1358"/>
      <c r="EOX524" s="1358"/>
      <c r="EOY524" s="1358"/>
      <c r="EOZ524" s="1358"/>
      <c r="EPA524" s="1358"/>
      <c r="EPB524" s="1358"/>
      <c r="EPC524" s="1358"/>
      <c r="EPD524" s="1358"/>
      <c r="EPE524" s="1358"/>
      <c r="EPF524" s="1358"/>
      <c r="EPG524" s="1358"/>
      <c r="EPH524" s="1358"/>
      <c r="EPI524" s="1358"/>
      <c r="EPJ524" s="1358"/>
      <c r="EPK524" s="1358"/>
      <c r="EPL524" s="1358"/>
      <c r="EPM524" s="1358"/>
      <c r="EPN524" s="1358"/>
      <c r="EPO524" s="1358"/>
      <c r="EPP524" s="1358"/>
      <c r="EPQ524" s="1358"/>
      <c r="EPR524" s="1358"/>
      <c r="EPS524" s="1358"/>
      <c r="EPT524" s="1358"/>
      <c r="EPU524" s="1358"/>
      <c r="EPV524" s="1358"/>
      <c r="EPW524" s="1358"/>
      <c r="EPX524" s="1358"/>
      <c r="EPY524" s="1358"/>
      <c r="EPZ524" s="1358"/>
      <c r="EQA524" s="1358"/>
      <c r="EQB524" s="1358"/>
      <c r="EQC524" s="1358"/>
      <c r="EQD524" s="1358"/>
      <c r="EQE524" s="1358"/>
      <c r="EQF524" s="1358"/>
      <c r="EQG524" s="1358"/>
      <c r="EQH524" s="1358"/>
      <c r="EQI524" s="1358"/>
      <c r="EQJ524" s="1358"/>
      <c r="EQK524" s="1358"/>
      <c r="EQL524" s="1358"/>
      <c r="EQM524" s="1358"/>
      <c r="EQN524" s="1358"/>
      <c r="EQO524" s="1358"/>
      <c r="EQP524" s="1358"/>
      <c r="EQQ524" s="1358"/>
      <c r="EQR524" s="1358"/>
      <c r="EQS524" s="1358"/>
      <c r="EQT524" s="1358"/>
      <c r="EQU524" s="1358"/>
      <c r="EQV524" s="1358"/>
      <c r="EQW524" s="1358"/>
      <c r="EQX524" s="1358"/>
      <c r="EQY524" s="1358"/>
      <c r="EQZ524" s="1358"/>
      <c r="ERA524" s="1358"/>
      <c r="ERB524" s="1358"/>
      <c r="ERC524" s="1358"/>
      <c r="ERD524" s="1358"/>
      <c r="ERE524" s="1358"/>
      <c r="ERF524" s="1358"/>
      <c r="ERG524" s="1358"/>
      <c r="ERH524" s="1358"/>
      <c r="ERI524" s="1358"/>
      <c r="ERJ524" s="1358"/>
      <c r="ERK524" s="1358"/>
      <c r="ERL524" s="1358"/>
      <c r="ERM524" s="1358"/>
      <c r="ERN524" s="1358"/>
      <c r="ERO524" s="1358"/>
      <c r="ERP524" s="1358"/>
      <c r="ERQ524" s="1358"/>
      <c r="ERR524" s="1358"/>
      <c r="ERS524" s="1358"/>
      <c r="ERT524" s="1358"/>
      <c r="ERU524" s="1358"/>
      <c r="ERV524" s="1358"/>
      <c r="ERW524" s="1358"/>
      <c r="ERX524" s="1358"/>
      <c r="ERY524" s="1358"/>
      <c r="ERZ524" s="1358"/>
      <c r="ESA524" s="1358"/>
      <c r="ESB524" s="1358"/>
      <c r="ESC524" s="1358"/>
      <c r="ESD524" s="1358"/>
      <c r="ESE524" s="1358"/>
      <c r="ESF524" s="1358"/>
      <c r="ESG524" s="1358"/>
      <c r="ESH524" s="1358"/>
      <c r="ESI524" s="1358"/>
      <c r="ESJ524" s="1358"/>
      <c r="ESK524" s="1358"/>
      <c r="ESL524" s="1358"/>
      <c r="ESM524" s="1358"/>
      <c r="ESN524" s="1358"/>
      <c r="ESO524" s="1358"/>
      <c r="ESP524" s="1358"/>
      <c r="ESQ524" s="1358"/>
      <c r="ESR524" s="1358"/>
      <c r="ESS524" s="1358"/>
      <c r="EST524" s="1358"/>
      <c r="ESU524" s="1358"/>
      <c r="ESV524" s="1358"/>
      <c r="ESW524" s="1358"/>
      <c r="ESX524" s="1358"/>
      <c r="ESY524" s="1358"/>
      <c r="ESZ524" s="1358"/>
      <c r="ETA524" s="1358"/>
      <c r="ETB524" s="1358"/>
      <c r="ETC524" s="1358"/>
      <c r="ETD524" s="1358"/>
      <c r="ETE524" s="1358"/>
      <c r="ETF524" s="1358"/>
      <c r="ETG524" s="1358"/>
      <c r="ETH524" s="1358"/>
      <c r="ETI524" s="1358"/>
      <c r="ETJ524" s="1358"/>
      <c r="ETK524" s="1358"/>
      <c r="ETL524" s="1358"/>
      <c r="ETM524" s="1358"/>
      <c r="ETN524" s="1358"/>
      <c r="ETO524" s="1358"/>
      <c r="ETP524" s="1358"/>
      <c r="ETQ524" s="1358"/>
      <c r="ETR524" s="1358"/>
      <c r="ETS524" s="1358"/>
      <c r="ETT524" s="1358"/>
      <c r="ETU524" s="1358"/>
      <c r="ETV524" s="1358"/>
      <c r="ETW524" s="1358"/>
      <c r="ETX524" s="1358"/>
      <c r="ETY524" s="1358"/>
      <c r="ETZ524" s="1358"/>
      <c r="EUA524" s="1358"/>
      <c r="EUB524" s="1358"/>
      <c r="EUC524" s="1358"/>
      <c r="EUD524" s="1358"/>
      <c r="EUE524" s="1358"/>
      <c r="EUF524" s="1358"/>
      <c r="EUG524" s="1358"/>
      <c r="EUH524" s="1358"/>
      <c r="EUI524" s="1358"/>
      <c r="EUJ524" s="1358"/>
      <c r="EUK524" s="1358"/>
      <c r="EUL524" s="1358"/>
      <c r="EUM524" s="1358"/>
      <c r="EUN524" s="1358"/>
      <c r="EUO524" s="1358"/>
      <c r="EUP524" s="1358"/>
      <c r="EUQ524" s="1358"/>
      <c r="EUR524" s="1358"/>
      <c r="EUS524" s="1358"/>
      <c r="EUT524" s="1358"/>
      <c r="EUU524" s="1358"/>
      <c r="EUV524" s="1358"/>
      <c r="EUW524" s="1358"/>
      <c r="EUX524" s="1358"/>
      <c r="EUY524" s="1358"/>
      <c r="EUZ524" s="1358"/>
      <c r="EVA524" s="1358"/>
      <c r="EVB524" s="1358"/>
      <c r="EVC524" s="1358"/>
      <c r="EVD524" s="1358"/>
      <c r="EVE524" s="1358"/>
      <c r="EVF524" s="1358"/>
      <c r="EVG524" s="1358"/>
      <c r="EVH524" s="1358"/>
      <c r="EVI524" s="1358"/>
      <c r="EVJ524" s="1358"/>
      <c r="EVK524" s="1358"/>
      <c r="EVL524" s="1358"/>
      <c r="EVM524" s="1358"/>
      <c r="EVN524" s="1358"/>
      <c r="EVO524" s="1358"/>
      <c r="EVP524" s="1358"/>
      <c r="EVQ524" s="1358"/>
      <c r="EVR524" s="1358"/>
      <c r="EVS524" s="1358"/>
      <c r="EVT524" s="1358"/>
      <c r="EVU524" s="1358"/>
      <c r="EVV524" s="1358"/>
      <c r="EVW524" s="1358"/>
      <c r="EVX524" s="1358"/>
      <c r="EVY524" s="1358"/>
      <c r="EVZ524" s="1358"/>
      <c r="EWA524" s="1358"/>
      <c r="EWB524" s="1358"/>
      <c r="EWC524" s="1358"/>
      <c r="EWD524" s="1358"/>
      <c r="EWE524" s="1358"/>
      <c r="EWF524" s="1358"/>
      <c r="EWG524" s="1358"/>
      <c r="EWH524" s="1358"/>
      <c r="EWI524" s="1358"/>
      <c r="EWJ524" s="1358"/>
      <c r="EWK524" s="1358"/>
      <c r="EWL524" s="1358"/>
      <c r="EWM524" s="1358"/>
      <c r="EWN524" s="1358"/>
      <c r="EWO524" s="1358"/>
      <c r="EWP524" s="1358"/>
      <c r="EWQ524" s="1358"/>
      <c r="EWR524" s="1358"/>
      <c r="EWS524" s="1358"/>
      <c r="EWT524" s="1358"/>
      <c r="EWU524" s="1358"/>
      <c r="EWV524" s="1358"/>
      <c r="EWW524" s="1358"/>
      <c r="EWX524" s="1358"/>
      <c r="EWY524" s="1358"/>
      <c r="EWZ524" s="1358"/>
      <c r="EXA524" s="1358"/>
      <c r="EXB524" s="1358"/>
      <c r="EXC524" s="1358"/>
      <c r="EXD524" s="1358"/>
      <c r="EXE524" s="1358"/>
      <c r="EXF524" s="1358"/>
      <c r="EXG524" s="1358"/>
      <c r="EXH524" s="1358"/>
      <c r="EXI524" s="1358"/>
      <c r="EXJ524" s="1358"/>
      <c r="EXK524" s="1358"/>
      <c r="EXL524" s="1358"/>
      <c r="EXM524" s="1358"/>
      <c r="EXN524" s="1358"/>
      <c r="EXO524" s="1358"/>
      <c r="EXP524" s="1358"/>
      <c r="EXQ524" s="1358"/>
      <c r="EXR524" s="1358"/>
      <c r="EXS524" s="1358"/>
      <c r="EXT524" s="1358"/>
      <c r="EXU524" s="1358"/>
      <c r="EXV524" s="1358"/>
      <c r="EXW524" s="1358"/>
      <c r="EXX524" s="1358"/>
      <c r="EXY524" s="1358"/>
      <c r="EXZ524" s="1358"/>
      <c r="EYA524" s="1358"/>
      <c r="EYB524" s="1358"/>
      <c r="EYC524" s="1358"/>
      <c r="EYD524" s="1358"/>
      <c r="EYE524" s="1358"/>
      <c r="EYF524" s="1358"/>
      <c r="EYG524" s="1358"/>
      <c r="EYH524" s="1358"/>
      <c r="EYI524" s="1358"/>
      <c r="EYJ524" s="1358"/>
      <c r="EYK524" s="1358"/>
      <c r="EYL524" s="1358"/>
      <c r="EYM524" s="1358"/>
      <c r="EYN524" s="1358"/>
      <c r="EYO524" s="1358"/>
      <c r="EYP524" s="1358"/>
      <c r="EYQ524" s="1358"/>
      <c r="EYR524" s="1358"/>
      <c r="EYS524" s="1358"/>
      <c r="EYT524" s="1358"/>
      <c r="EYU524" s="1358"/>
      <c r="EYV524" s="1358"/>
      <c r="EYW524" s="1358"/>
      <c r="EYX524" s="1358"/>
      <c r="EYY524" s="1358"/>
      <c r="EYZ524" s="1358"/>
      <c r="EZA524" s="1358"/>
      <c r="EZB524" s="1358"/>
      <c r="EZC524" s="1358"/>
      <c r="EZD524" s="1358"/>
      <c r="EZE524" s="1358"/>
      <c r="EZF524" s="1358"/>
      <c r="EZG524" s="1358"/>
      <c r="EZH524" s="1358"/>
      <c r="EZI524" s="1358"/>
      <c r="EZJ524" s="1358"/>
      <c r="EZK524" s="1358"/>
      <c r="EZL524" s="1358"/>
      <c r="EZM524" s="1358"/>
      <c r="EZN524" s="1358"/>
      <c r="EZO524" s="1358"/>
      <c r="EZP524" s="1358"/>
      <c r="EZQ524" s="1358"/>
      <c r="EZR524" s="1358"/>
      <c r="EZS524" s="1358"/>
      <c r="EZT524" s="1358"/>
      <c r="EZU524" s="1358"/>
      <c r="EZV524" s="1358"/>
      <c r="EZW524" s="1358"/>
      <c r="EZX524" s="1358"/>
      <c r="EZY524" s="1358"/>
      <c r="EZZ524" s="1358"/>
      <c r="FAA524" s="1358"/>
      <c r="FAB524" s="1358"/>
      <c r="FAC524" s="1358"/>
      <c r="FAD524" s="1358"/>
      <c r="FAE524" s="1358"/>
      <c r="FAF524" s="1358"/>
      <c r="FAG524" s="1358"/>
      <c r="FAH524" s="1358"/>
      <c r="FAI524" s="1358"/>
      <c r="FAJ524" s="1358"/>
      <c r="FAK524" s="1358"/>
      <c r="FAL524" s="1358"/>
      <c r="FAM524" s="1358"/>
      <c r="FAN524" s="1358"/>
      <c r="FAO524" s="1358"/>
      <c r="FAP524" s="1358"/>
      <c r="FAQ524" s="1358"/>
      <c r="FAR524" s="1358"/>
      <c r="FAS524" s="1358"/>
      <c r="FAT524" s="1358"/>
      <c r="FAU524" s="1358"/>
      <c r="FAV524" s="1358"/>
      <c r="FAW524" s="1358"/>
      <c r="FAX524" s="1358"/>
      <c r="FAY524" s="1358"/>
      <c r="FAZ524" s="1358"/>
      <c r="FBA524" s="1358"/>
      <c r="FBB524" s="1358"/>
      <c r="FBC524" s="1358"/>
      <c r="FBD524" s="1358"/>
      <c r="FBE524" s="1358"/>
      <c r="FBF524" s="1358"/>
      <c r="FBG524" s="1358"/>
      <c r="FBH524" s="1358"/>
      <c r="FBI524" s="1358"/>
      <c r="FBJ524" s="1358"/>
      <c r="FBK524" s="1358"/>
      <c r="FBL524" s="1358"/>
      <c r="FBM524" s="1358"/>
      <c r="FBN524" s="1358"/>
      <c r="FBO524" s="1358"/>
      <c r="FBP524" s="1358"/>
      <c r="FBQ524" s="1358"/>
      <c r="FBR524" s="1358"/>
      <c r="FBS524" s="1358"/>
      <c r="FBT524" s="1358"/>
      <c r="FBU524" s="1358"/>
      <c r="FBV524" s="1358"/>
      <c r="FBW524" s="1358"/>
      <c r="FBX524" s="1358"/>
      <c r="FBY524" s="1358"/>
      <c r="FBZ524" s="1358"/>
      <c r="FCA524" s="1358"/>
      <c r="FCB524" s="1358"/>
      <c r="FCC524" s="1358"/>
      <c r="FCD524" s="1358"/>
      <c r="FCE524" s="1358"/>
      <c r="FCF524" s="1358"/>
      <c r="FCG524" s="1358"/>
      <c r="FCH524" s="1358"/>
      <c r="FCI524" s="1358"/>
      <c r="FCJ524" s="1358"/>
      <c r="FCK524" s="1358"/>
      <c r="FCL524" s="1358"/>
      <c r="FCM524" s="1358"/>
      <c r="FCN524" s="1358"/>
      <c r="FCO524" s="1358"/>
      <c r="FCP524" s="1358"/>
      <c r="FCQ524" s="1358"/>
      <c r="FCR524" s="1358"/>
      <c r="FCS524" s="1358"/>
      <c r="FCT524" s="1358"/>
      <c r="FCU524" s="1358"/>
      <c r="FCV524" s="1358"/>
      <c r="FCW524" s="1358"/>
      <c r="FCX524" s="1358"/>
      <c r="FCY524" s="1358"/>
      <c r="FCZ524" s="1358"/>
      <c r="FDA524" s="1358"/>
      <c r="FDB524" s="1358"/>
      <c r="FDC524" s="1358"/>
      <c r="FDD524" s="1358"/>
      <c r="FDE524" s="1358"/>
      <c r="FDF524" s="1358"/>
      <c r="FDG524" s="1358"/>
      <c r="FDH524" s="1358"/>
      <c r="FDI524" s="1358"/>
      <c r="FDJ524" s="1358"/>
      <c r="FDK524" s="1358"/>
      <c r="FDL524" s="1358"/>
      <c r="FDM524" s="1358"/>
      <c r="FDN524" s="1358"/>
      <c r="FDO524" s="1358"/>
      <c r="FDP524" s="1358"/>
      <c r="FDQ524" s="1358"/>
      <c r="FDR524" s="1358"/>
      <c r="FDS524" s="1358"/>
      <c r="FDT524" s="1358"/>
      <c r="FDU524" s="1358"/>
      <c r="FDV524" s="1358"/>
      <c r="FDW524" s="1358"/>
      <c r="FDX524" s="1358"/>
      <c r="FDY524" s="1358"/>
      <c r="FDZ524" s="1358"/>
      <c r="FEA524" s="1358"/>
      <c r="FEB524" s="1358"/>
      <c r="FEC524" s="1358"/>
      <c r="FED524" s="1358"/>
      <c r="FEE524" s="1358"/>
      <c r="FEF524" s="1358"/>
      <c r="FEG524" s="1358"/>
      <c r="FEH524" s="1358"/>
      <c r="FEI524" s="1358"/>
      <c r="FEJ524" s="1358"/>
      <c r="FEK524" s="1358"/>
      <c r="FEL524" s="1358"/>
      <c r="FEM524" s="1358"/>
      <c r="FEN524" s="1358"/>
      <c r="FEO524" s="1358"/>
      <c r="FEP524" s="1358"/>
      <c r="FEQ524" s="1358"/>
      <c r="FER524" s="1358"/>
      <c r="FES524" s="1358"/>
      <c r="FET524" s="1358"/>
      <c r="FEU524" s="1358"/>
      <c r="FEV524" s="1358"/>
      <c r="FEW524" s="1358"/>
      <c r="FEX524" s="1358"/>
      <c r="FEY524" s="1358"/>
      <c r="FEZ524" s="1358"/>
      <c r="FFA524" s="1358"/>
      <c r="FFB524" s="1358"/>
      <c r="FFC524" s="1358"/>
      <c r="FFD524" s="1358"/>
      <c r="FFE524" s="1358"/>
      <c r="FFF524" s="1358"/>
      <c r="FFG524" s="1358"/>
      <c r="FFH524" s="1358"/>
      <c r="FFI524" s="1358"/>
      <c r="FFJ524" s="1358"/>
      <c r="FFK524" s="1358"/>
      <c r="FFL524" s="1358"/>
      <c r="FFM524" s="1358"/>
      <c r="FFN524" s="1358"/>
      <c r="FFO524" s="1358"/>
      <c r="FFP524" s="1358"/>
      <c r="FFQ524" s="1358"/>
      <c r="FFR524" s="1358"/>
      <c r="FFS524" s="1358"/>
      <c r="FFT524" s="1358"/>
      <c r="FFU524" s="1358"/>
      <c r="FFV524" s="1358"/>
      <c r="FFW524" s="1358"/>
      <c r="FFX524" s="1358"/>
      <c r="FFY524" s="1358"/>
      <c r="FFZ524" s="1358"/>
      <c r="FGA524" s="1358"/>
      <c r="FGB524" s="1358"/>
      <c r="FGC524" s="1358"/>
      <c r="FGD524" s="1358"/>
      <c r="FGE524" s="1358"/>
      <c r="FGF524" s="1358"/>
      <c r="FGG524" s="1358"/>
      <c r="FGH524" s="1358"/>
      <c r="FGI524" s="1358"/>
      <c r="FGJ524" s="1358"/>
      <c r="FGK524" s="1358"/>
      <c r="FGL524" s="1358"/>
      <c r="FGM524" s="1358"/>
      <c r="FGN524" s="1358"/>
      <c r="FGO524" s="1358"/>
      <c r="FGP524" s="1358"/>
      <c r="FGQ524" s="1358"/>
      <c r="FGR524" s="1358"/>
      <c r="FGS524" s="1358"/>
      <c r="FGT524" s="1358"/>
      <c r="FGU524" s="1358"/>
      <c r="FGV524" s="1358"/>
      <c r="FGW524" s="1358"/>
      <c r="FGX524" s="1358"/>
      <c r="FGY524" s="1358"/>
      <c r="FGZ524" s="1358"/>
      <c r="FHA524" s="1358"/>
      <c r="FHB524" s="1358"/>
      <c r="FHC524" s="1358"/>
      <c r="FHD524" s="1358"/>
      <c r="FHE524" s="1358"/>
      <c r="FHF524" s="1358"/>
      <c r="FHG524" s="1358"/>
      <c r="FHH524" s="1358"/>
      <c r="FHI524" s="1358"/>
      <c r="FHJ524" s="1358"/>
      <c r="FHK524" s="1358"/>
      <c r="FHL524" s="1358"/>
      <c r="FHM524" s="1358"/>
      <c r="FHN524" s="1358"/>
      <c r="FHO524" s="1358"/>
      <c r="FHP524" s="1358"/>
      <c r="FHQ524" s="1358"/>
      <c r="FHR524" s="1358"/>
      <c r="FHS524" s="1358"/>
      <c r="FHT524" s="1358"/>
      <c r="FHU524" s="1358"/>
      <c r="FHV524" s="1358"/>
      <c r="FHW524" s="1358"/>
      <c r="FHX524" s="1358"/>
      <c r="FHY524" s="1358"/>
      <c r="FHZ524" s="1358"/>
      <c r="FIA524" s="1358"/>
      <c r="FIB524" s="1358"/>
      <c r="FIC524" s="1358"/>
      <c r="FID524" s="1358"/>
      <c r="FIE524" s="1358"/>
      <c r="FIF524" s="1358"/>
      <c r="FIG524" s="1358"/>
      <c r="FIH524" s="1358"/>
      <c r="FII524" s="1358"/>
      <c r="FIJ524" s="1358"/>
      <c r="FIK524" s="1358"/>
      <c r="FIL524" s="1358"/>
      <c r="FIM524" s="1358"/>
      <c r="FIN524" s="1358"/>
      <c r="FIO524" s="1358"/>
      <c r="FIP524" s="1358"/>
      <c r="FIQ524" s="1358"/>
      <c r="FIR524" s="1358"/>
      <c r="FIS524" s="1358"/>
      <c r="FIT524" s="1358"/>
      <c r="FIU524" s="1358"/>
      <c r="FIV524" s="1358"/>
      <c r="FIW524" s="1358"/>
      <c r="FIX524" s="1358"/>
      <c r="FIY524" s="1358"/>
      <c r="FIZ524" s="1358"/>
      <c r="FJA524" s="1358"/>
      <c r="FJB524" s="1358"/>
      <c r="FJC524" s="1358"/>
      <c r="FJD524" s="1358"/>
      <c r="FJE524" s="1358"/>
      <c r="FJF524" s="1358"/>
      <c r="FJG524" s="1358"/>
      <c r="FJH524" s="1358"/>
      <c r="FJI524" s="1358"/>
      <c r="FJJ524" s="1358"/>
      <c r="FJK524" s="1358"/>
      <c r="FJL524" s="1358"/>
      <c r="FJM524" s="1358"/>
      <c r="FJN524" s="1358"/>
      <c r="FJO524" s="1358"/>
      <c r="FJP524" s="1358"/>
      <c r="FJQ524" s="1358"/>
      <c r="FJR524" s="1358"/>
      <c r="FJS524" s="1358"/>
      <c r="FJT524" s="1358"/>
      <c r="FJU524" s="1358"/>
      <c r="FJV524" s="1358"/>
      <c r="FJW524" s="1358"/>
      <c r="FJX524" s="1358"/>
      <c r="FJY524" s="1358"/>
      <c r="FJZ524" s="1358"/>
      <c r="FKA524" s="1358"/>
      <c r="FKB524" s="1358"/>
      <c r="FKC524" s="1358"/>
      <c r="FKD524" s="1358"/>
      <c r="FKE524" s="1358"/>
      <c r="FKF524" s="1358"/>
      <c r="FKG524" s="1358"/>
      <c r="FKH524" s="1358"/>
      <c r="FKI524" s="1358"/>
      <c r="FKJ524" s="1358"/>
      <c r="FKK524" s="1358"/>
      <c r="FKL524" s="1358"/>
      <c r="FKM524" s="1358"/>
      <c r="FKN524" s="1358"/>
      <c r="FKO524" s="1358"/>
      <c r="FKP524" s="1358"/>
      <c r="FKQ524" s="1358"/>
      <c r="FKR524" s="1358"/>
      <c r="FKS524" s="1358"/>
      <c r="FKT524" s="1358"/>
      <c r="FKU524" s="1358"/>
      <c r="FKV524" s="1358"/>
      <c r="FKW524" s="1358"/>
      <c r="FKX524" s="1358"/>
      <c r="FKY524" s="1358"/>
      <c r="FKZ524" s="1358"/>
      <c r="FLA524" s="1358"/>
      <c r="FLB524" s="1358"/>
      <c r="FLC524" s="1358"/>
      <c r="FLD524" s="1358"/>
      <c r="FLE524" s="1358"/>
      <c r="FLF524" s="1358"/>
      <c r="FLG524" s="1358"/>
      <c r="FLH524" s="1358"/>
      <c r="FLI524" s="1358"/>
      <c r="FLJ524" s="1358"/>
      <c r="FLK524" s="1358"/>
      <c r="FLL524" s="1358"/>
      <c r="FLM524" s="1358"/>
      <c r="FLN524" s="1358"/>
      <c r="FLO524" s="1358"/>
      <c r="FLP524" s="1358"/>
      <c r="FLQ524" s="1358"/>
      <c r="FLR524" s="1358"/>
      <c r="FLS524" s="1358"/>
      <c r="FLT524" s="1358"/>
      <c r="FLU524" s="1358"/>
      <c r="FLV524" s="1358"/>
      <c r="FLW524" s="1358"/>
      <c r="FLX524" s="1358"/>
      <c r="FLY524" s="1358"/>
      <c r="FLZ524" s="1358"/>
      <c r="FMA524" s="1358"/>
      <c r="FMB524" s="1358"/>
      <c r="FMC524" s="1358"/>
      <c r="FMD524" s="1358"/>
      <c r="FME524" s="1358"/>
      <c r="FMF524" s="1358"/>
      <c r="FMG524" s="1358"/>
      <c r="FMH524" s="1358"/>
      <c r="FMI524" s="1358"/>
      <c r="FMJ524" s="1358"/>
      <c r="FMK524" s="1358"/>
      <c r="FML524" s="1358"/>
      <c r="FMM524" s="1358"/>
      <c r="FMN524" s="1358"/>
      <c r="FMO524" s="1358"/>
      <c r="FMP524" s="1358"/>
      <c r="FMQ524" s="1358"/>
      <c r="FMR524" s="1358"/>
      <c r="FMS524" s="1358"/>
      <c r="FMT524" s="1358"/>
      <c r="FMU524" s="1358"/>
      <c r="FMV524" s="1358"/>
      <c r="FMW524" s="1358"/>
      <c r="FMX524" s="1358"/>
      <c r="FMY524" s="1358"/>
      <c r="FMZ524" s="1358"/>
      <c r="FNA524" s="1358"/>
      <c r="FNB524" s="1358"/>
      <c r="FNC524" s="1358"/>
      <c r="FND524" s="1358"/>
      <c r="FNE524" s="1358"/>
      <c r="FNF524" s="1358"/>
      <c r="FNG524" s="1358"/>
      <c r="FNH524" s="1358"/>
      <c r="FNI524" s="1358"/>
      <c r="FNJ524" s="1358"/>
      <c r="FNK524" s="1358"/>
      <c r="FNL524" s="1358"/>
      <c r="FNM524" s="1358"/>
      <c r="FNN524" s="1358"/>
      <c r="FNO524" s="1358"/>
      <c r="FNP524" s="1358"/>
      <c r="FNQ524" s="1358"/>
      <c r="FNR524" s="1358"/>
      <c r="FNS524" s="1358"/>
      <c r="FNT524" s="1358"/>
      <c r="FNU524" s="1358"/>
      <c r="FNV524" s="1358"/>
      <c r="FNW524" s="1358"/>
      <c r="FNX524" s="1358"/>
      <c r="FNY524" s="1358"/>
      <c r="FNZ524" s="1358"/>
      <c r="FOA524" s="1358"/>
      <c r="FOB524" s="1358"/>
      <c r="FOC524" s="1358"/>
      <c r="FOD524" s="1358"/>
      <c r="FOE524" s="1358"/>
      <c r="FOF524" s="1358"/>
      <c r="FOG524" s="1358"/>
      <c r="FOH524" s="1358"/>
      <c r="FOI524" s="1358"/>
      <c r="FOJ524" s="1358"/>
      <c r="FOK524" s="1358"/>
      <c r="FOL524" s="1358"/>
      <c r="FOM524" s="1358"/>
      <c r="FON524" s="1358"/>
      <c r="FOO524" s="1358"/>
      <c r="FOP524" s="1358"/>
      <c r="FOQ524" s="1358"/>
      <c r="FOR524" s="1358"/>
      <c r="FOS524" s="1358"/>
      <c r="FOT524" s="1358"/>
      <c r="FOU524" s="1358"/>
      <c r="FOV524" s="1358"/>
      <c r="FOW524" s="1358"/>
      <c r="FOX524" s="1358"/>
      <c r="FOY524" s="1358"/>
      <c r="FOZ524" s="1358"/>
      <c r="FPA524" s="1358"/>
      <c r="FPB524" s="1358"/>
      <c r="FPC524" s="1358"/>
      <c r="FPD524" s="1358"/>
      <c r="FPE524" s="1358"/>
      <c r="FPF524" s="1358"/>
      <c r="FPG524" s="1358"/>
      <c r="FPH524" s="1358"/>
      <c r="FPI524" s="1358"/>
      <c r="FPJ524" s="1358"/>
      <c r="FPK524" s="1358"/>
      <c r="FPL524" s="1358"/>
      <c r="FPM524" s="1358"/>
      <c r="FPN524" s="1358"/>
      <c r="FPO524" s="1358"/>
      <c r="FPP524" s="1358"/>
      <c r="FPQ524" s="1358"/>
      <c r="FPR524" s="1358"/>
      <c r="FPS524" s="1358"/>
      <c r="FPT524" s="1358"/>
      <c r="FPU524" s="1358"/>
      <c r="FPV524" s="1358"/>
      <c r="FPW524" s="1358"/>
      <c r="FPX524" s="1358"/>
      <c r="FPY524" s="1358"/>
      <c r="FPZ524" s="1358"/>
      <c r="FQA524" s="1358"/>
      <c r="FQB524" s="1358"/>
      <c r="FQC524" s="1358"/>
      <c r="FQD524" s="1358"/>
      <c r="FQE524" s="1358"/>
      <c r="FQF524" s="1358"/>
      <c r="FQG524" s="1358"/>
      <c r="FQH524" s="1358"/>
      <c r="FQI524" s="1358"/>
      <c r="FQJ524" s="1358"/>
      <c r="FQK524" s="1358"/>
      <c r="FQL524" s="1358"/>
      <c r="FQM524" s="1358"/>
      <c r="FQN524" s="1358"/>
      <c r="FQO524" s="1358"/>
      <c r="FQP524" s="1358"/>
      <c r="FQQ524" s="1358"/>
      <c r="FQR524" s="1358"/>
      <c r="FQS524" s="1358"/>
      <c r="FQT524" s="1358"/>
      <c r="FQU524" s="1358"/>
      <c r="FQV524" s="1358"/>
      <c r="FQW524" s="1358"/>
      <c r="FQX524" s="1358"/>
      <c r="FQY524" s="1358"/>
      <c r="FQZ524" s="1358"/>
      <c r="FRA524" s="1358"/>
      <c r="FRB524" s="1358"/>
      <c r="FRC524" s="1358"/>
      <c r="FRD524" s="1358"/>
      <c r="FRE524" s="1358"/>
      <c r="FRF524" s="1358"/>
      <c r="FRG524" s="1358"/>
      <c r="FRH524" s="1358"/>
      <c r="FRI524" s="1358"/>
      <c r="FRJ524" s="1358"/>
      <c r="FRK524" s="1358"/>
      <c r="FRL524" s="1358"/>
      <c r="FRM524" s="1358"/>
      <c r="FRN524" s="1358"/>
      <c r="FRO524" s="1358"/>
      <c r="FRP524" s="1358"/>
      <c r="FRQ524" s="1358"/>
      <c r="FRR524" s="1358"/>
      <c r="FRS524" s="1358"/>
      <c r="FRT524" s="1358"/>
      <c r="FRU524" s="1358"/>
      <c r="FRV524" s="1358"/>
      <c r="FRW524" s="1358"/>
      <c r="FRX524" s="1358"/>
      <c r="FRY524" s="1358"/>
      <c r="FRZ524" s="1358"/>
      <c r="FSA524" s="1358"/>
      <c r="FSB524" s="1358"/>
      <c r="FSC524" s="1358"/>
      <c r="FSD524" s="1358"/>
      <c r="FSE524" s="1358"/>
      <c r="FSF524" s="1358"/>
      <c r="FSG524" s="1358"/>
      <c r="FSH524" s="1358"/>
      <c r="FSI524" s="1358"/>
      <c r="FSJ524" s="1358"/>
      <c r="FSK524" s="1358"/>
      <c r="FSL524" s="1358"/>
      <c r="FSM524" s="1358"/>
      <c r="FSN524" s="1358"/>
      <c r="FSO524" s="1358"/>
      <c r="FSP524" s="1358"/>
      <c r="FSQ524" s="1358"/>
      <c r="FSR524" s="1358"/>
      <c r="FSS524" s="1358"/>
      <c r="FST524" s="1358"/>
      <c r="FSU524" s="1358"/>
      <c r="FSV524" s="1358"/>
      <c r="FSW524" s="1358"/>
      <c r="FSX524" s="1358"/>
      <c r="FSY524" s="1358"/>
      <c r="FSZ524" s="1358"/>
      <c r="FTA524" s="1358"/>
      <c r="FTB524" s="1358"/>
      <c r="FTC524" s="1358"/>
      <c r="FTD524" s="1358"/>
      <c r="FTE524" s="1358"/>
      <c r="FTF524" s="1358"/>
      <c r="FTG524" s="1358"/>
      <c r="FTH524" s="1358"/>
      <c r="FTI524" s="1358"/>
      <c r="FTJ524" s="1358"/>
      <c r="FTK524" s="1358"/>
      <c r="FTL524" s="1358"/>
      <c r="FTM524" s="1358"/>
      <c r="FTN524" s="1358"/>
      <c r="FTO524" s="1358"/>
      <c r="FTP524" s="1358"/>
      <c r="FTQ524" s="1358"/>
      <c r="FTR524" s="1358"/>
      <c r="FTS524" s="1358"/>
      <c r="FTT524" s="1358"/>
      <c r="FTU524" s="1358"/>
      <c r="FTV524" s="1358"/>
      <c r="FTW524" s="1358"/>
      <c r="FTX524" s="1358"/>
      <c r="FTY524" s="1358"/>
      <c r="FTZ524" s="1358"/>
      <c r="FUA524" s="1358"/>
      <c r="FUB524" s="1358"/>
      <c r="FUC524" s="1358"/>
      <c r="FUD524" s="1358"/>
      <c r="FUE524" s="1358"/>
      <c r="FUF524" s="1358"/>
      <c r="FUG524" s="1358"/>
      <c r="FUH524" s="1358"/>
      <c r="FUI524" s="1358"/>
      <c r="FUJ524" s="1358"/>
      <c r="FUK524" s="1358"/>
      <c r="FUL524" s="1358"/>
      <c r="FUM524" s="1358"/>
      <c r="FUN524" s="1358"/>
      <c r="FUO524" s="1358"/>
      <c r="FUP524" s="1358"/>
      <c r="FUQ524" s="1358"/>
      <c r="FUR524" s="1358"/>
      <c r="FUS524" s="1358"/>
      <c r="FUT524" s="1358"/>
      <c r="FUU524" s="1358"/>
      <c r="FUV524" s="1358"/>
      <c r="FUW524" s="1358"/>
      <c r="FUX524" s="1358"/>
      <c r="FUY524" s="1358"/>
      <c r="FUZ524" s="1358"/>
      <c r="FVA524" s="1358"/>
      <c r="FVB524" s="1358"/>
      <c r="FVC524" s="1358"/>
      <c r="FVD524" s="1358"/>
      <c r="FVE524" s="1358"/>
      <c r="FVF524" s="1358"/>
      <c r="FVG524" s="1358"/>
      <c r="FVH524" s="1358"/>
      <c r="FVI524" s="1358"/>
      <c r="FVJ524" s="1358"/>
      <c r="FVK524" s="1358"/>
      <c r="FVL524" s="1358"/>
      <c r="FVM524" s="1358"/>
      <c r="FVN524" s="1358"/>
      <c r="FVO524" s="1358"/>
      <c r="FVP524" s="1358"/>
      <c r="FVQ524" s="1358"/>
      <c r="FVR524" s="1358"/>
      <c r="FVS524" s="1358"/>
      <c r="FVT524" s="1358"/>
      <c r="FVU524" s="1358"/>
      <c r="FVV524" s="1358"/>
      <c r="FVW524" s="1358"/>
      <c r="FVX524" s="1358"/>
      <c r="FVY524" s="1358"/>
      <c r="FVZ524" s="1358"/>
      <c r="FWA524" s="1358"/>
      <c r="FWB524" s="1358"/>
      <c r="FWC524" s="1358"/>
      <c r="FWD524" s="1358"/>
      <c r="FWE524" s="1358"/>
      <c r="FWF524" s="1358"/>
      <c r="FWG524" s="1358"/>
      <c r="FWH524" s="1358"/>
      <c r="FWI524" s="1358"/>
      <c r="FWJ524" s="1358"/>
      <c r="FWK524" s="1358"/>
      <c r="FWL524" s="1358"/>
      <c r="FWM524" s="1358"/>
      <c r="FWN524" s="1358"/>
      <c r="FWO524" s="1358"/>
      <c r="FWP524" s="1358"/>
      <c r="FWQ524" s="1358"/>
      <c r="FWR524" s="1358"/>
      <c r="FWS524" s="1358"/>
      <c r="FWT524" s="1358"/>
      <c r="FWU524" s="1358"/>
      <c r="FWV524" s="1358"/>
      <c r="FWW524" s="1358"/>
      <c r="FWX524" s="1358"/>
      <c r="FWY524" s="1358"/>
      <c r="FWZ524" s="1358"/>
      <c r="FXA524" s="1358"/>
      <c r="FXB524" s="1358"/>
      <c r="FXC524" s="1358"/>
      <c r="FXD524" s="1358"/>
      <c r="FXE524" s="1358"/>
      <c r="FXF524" s="1358"/>
      <c r="FXG524" s="1358"/>
      <c r="FXH524" s="1358"/>
      <c r="FXI524" s="1358"/>
      <c r="FXJ524" s="1358"/>
      <c r="FXK524" s="1358"/>
      <c r="FXL524" s="1358"/>
      <c r="FXM524" s="1358"/>
      <c r="FXN524" s="1358"/>
      <c r="FXO524" s="1358"/>
      <c r="FXP524" s="1358"/>
      <c r="FXQ524" s="1358"/>
      <c r="FXR524" s="1358"/>
      <c r="FXS524" s="1358"/>
      <c r="FXT524" s="1358"/>
      <c r="FXU524" s="1358"/>
      <c r="FXV524" s="1358"/>
      <c r="FXW524" s="1358"/>
      <c r="FXX524" s="1358"/>
      <c r="FXY524" s="1358"/>
      <c r="FXZ524" s="1358"/>
      <c r="FYA524" s="1358"/>
      <c r="FYB524" s="1358"/>
      <c r="FYC524" s="1358"/>
      <c r="FYD524" s="1358"/>
      <c r="FYE524" s="1358"/>
      <c r="FYF524" s="1358"/>
      <c r="FYG524" s="1358"/>
      <c r="FYH524" s="1358"/>
      <c r="FYI524" s="1358"/>
      <c r="FYJ524" s="1358"/>
      <c r="FYK524" s="1358"/>
      <c r="FYL524" s="1358"/>
      <c r="FYM524" s="1358"/>
      <c r="FYN524" s="1358"/>
      <c r="FYO524" s="1358"/>
      <c r="FYP524" s="1358"/>
      <c r="FYQ524" s="1358"/>
      <c r="FYR524" s="1358"/>
      <c r="FYS524" s="1358"/>
      <c r="FYT524" s="1358"/>
      <c r="FYU524" s="1358"/>
      <c r="FYV524" s="1358"/>
      <c r="FYW524" s="1358"/>
      <c r="FYX524" s="1358"/>
      <c r="FYY524" s="1358"/>
      <c r="FYZ524" s="1358"/>
      <c r="FZA524" s="1358"/>
      <c r="FZB524" s="1358"/>
      <c r="FZC524" s="1358"/>
      <c r="FZD524" s="1358"/>
      <c r="FZE524" s="1358"/>
      <c r="FZF524" s="1358"/>
      <c r="FZG524" s="1358"/>
      <c r="FZH524" s="1358"/>
      <c r="FZI524" s="1358"/>
      <c r="FZJ524" s="1358"/>
      <c r="FZK524" s="1358"/>
      <c r="FZL524" s="1358"/>
      <c r="FZM524" s="1358"/>
      <c r="FZN524" s="1358"/>
      <c r="FZO524" s="1358"/>
      <c r="FZP524" s="1358"/>
      <c r="FZQ524" s="1358"/>
      <c r="FZR524" s="1358"/>
      <c r="FZS524" s="1358"/>
      <c r="FZT524" s="1358"/>
      <c r="FZU524" s="1358"/>
      <c r="FZV524" s="1358"/>
      <c r="FZW524" s="1358"/>
      <c r="FZX524" s="1358"/>
      <c r="FZY524" s="1358"/>
      <c r="FZZ524" s="1358"/>
      <c r="GAA524" s="1358"/>
      <c r="GAB524" s="1358"/>
      <c r="GAC524" s="1358"/>
      <c r="GAD524" s="1358"/>
      <c r="GAE524" s="1358"/>
      <c r="GAF524" s="1358"/>
      <c r="GAG524" s="1358"/>
      <c r="GAH524" s="1358"/>
      <c r="GAI524" s="1358"/>
      <c r="GAJ524" s="1358"/>
      <c r="GAK524" s="1358"/>
      <c r="GAL524" s="1358"/>
      <c r="GAM524" s="1358"/>
      <c r="GAN524" s="1358"/>
      <c r="GAO524" s="1358"/>
      <c r="GAP524" s="1358"/>
      <c r="GAQ524" s="1358"/>
      <c r="GAR524" s="1358"/>
      <c r="GAS524" s="1358"/>
      <c r="GAT524" s="1358"/>
      <c r="GAU524" s="1358"/>
      <c r="GAV524" s="1358"/>
      <c r="GAW524" s="1358"/>
      <c r="GAX524" s="1358"/>
      <c r="GAY524" s="1358"/>
      <c r="GAZ524" s="1358"/>
      <c r="GBA524" s="1358"/>
      <c r="GBB524" s="1358"/>
      <c r="GBC524" s="1358"/>
      <c r="GBD524" s="1358"/>
      <c r="GBE524" s="1358"/>
      <c r="GBF524" s="1358"/>
      <c r="GBG524" s="1358"/>
      <c r="GBH524" s="1358"/>
      <c r="GBI524" s="1358"/>
      <c r="GBJ524" s="1358"/>
      <c r="GBK524" s="1358"/>
      <c r="GBL524" s="1358"/>
      <c r="GBM524" s="1358"/>
      <c r="GBN524" s="1358"/>
      <c r="GBO524" s="1358"/>
      <c r="GBP524" s="1358"/>
      <c r="GBQ524" s="1358"/>
      <c r="GBR524" s="1358"/>
      <c r="GBS524" s="1358"/>
      <c r="GBT524" s="1358"/>
      <c r="GBU524" s="1358"/>
      <c r="GBV524" s="1358"/>
      <c r="GBW524" s="1358"/>
      <c r="GBX524" s="1358"/>
      <c r="GBY524" s="1358"/>
      <c r="GBZ524" s="1358"/>
      <c r="GCA524" s="1358"/>
      <c r="GCB524" s="1358"/>
      <c r="GCC524" s="1358"/>
      <c r="GCD524" s="1358"/>
      <c r="GCE524" s="1358"/>
      <c r="GCF524" s="1358"/>
      <c r="GCG524" s="1358"/>
      <c r="GCH524" s="1358"/>
      <c r="GCI524" s="1358"/>
      <c r="GCJ524" s="1358"/>
      <c r="GCK524" s="1358"/>
      <c r="GCL524" s="1358"/>
      <c r="GCM524" s="1358"/>
      <c r="GCN524" s="1358"/>
      <c r="GCO524" s="1358"/>
      <c r="GCP524" s="1358"/>
      <c r="GCQ524" s="1358"/>
      <c r="GCR524" s="1358"/>
      <c r="GCS524" s="1358"/>
      <c r="GCT524" s="1358"/>
      <c r="GCU524" s="1358"/>
      <c r="GCV524" s="1358"/>
      <c r="GCW524" s="1358"/>
      <c r="GCX524" s="1358"/>
      <c r="GCY524" s="1358"/>
      <c r="GCZ524" s="1358"/>
      <c r="GDA524" s="1358"/>
      <c r="GDB524" s="1358"/>
      <c r="GDC524" s="1358"/>
      <c r="GDD524" s="1358"/>
      <c r="GDE524" s="1358"/>
      <c r="GDF524" s="1358"/>
      <c r="GDG524" s="1358"/>
      <c r="GDH524" s="1358"/>
      <c r="GDI524" s="1358"/>
      <c r="GDJ524" s="1358"/>
      <c r="GDK524" s="1358"/>
      <c r="GDL524" s="1358"/>
      <c r="GDM524" s="1358"/>
      <c r="GDN524" s="1358"/>
      <c r="GDO524" s="1358"/>
      <c r="GDP524" s="1358"/>
      <c r="GDQ524" s="1358"/>
      <c r="GDR524" s="1358"/>
      <c r="GDS524" s="1358"/>
      <c r="GDT524" s="1358"/>
      <c r="GDU524" s="1358"/>
      <c r="GDV524" s="1358"/>
      <c r="GDW524" s="1358"/>
      <c r="GDX524" s="1358"/>
      <c r="GDY524" s="1358"/>
      <c r="GDZ524" s="1358"/>
      <c r="GEA524" s="1358"/>
      <c r="GEB524" s="1358"/>
      <c r="GEC524" s="1358"/>
      <c r="GED524" s="1358"/>
      <c r="GEE524" s="1358"/>
      <c r="GEF524" s="1358"/>
      <c r="GEG524" s="1358"/>
      <c r="GEH524" s="1358"/>
      <c r="GEI524" s="1358"/>
      <c r="GEJ524" s="1358"/>
      <c r="GEK524" s="1358"/>
      <c r="GEL524" s="1358"/>
      <c r="GEM524" s="1358"/>
      <c r="GEN524" s="1358"/>
      <c r="GEO524" s="1358"/>
      <c r="GEP524" s="1358"/>
      <c r="GEQ524" s="1358"/>
      <c r="GER524" s="1358"/>
      <c r="GES524" s="1358"/>
      <c r="GET524" s="1358"/>
      <c r="GEU524" s="1358"/>
      <c r="GEV524" s="1358"/>
      <c r="GEW524" s="1358"/>
      <c r="GEX524" s="1358"/>
      <c r="GEY524" s="1358"/>
      <c r="GEZ524" s="1358"/>
      <c r="GFA524" s="1358"/>
      <c r="GFB524" s="1358"/>
      <c r="GFC524" s="1358"/>
      <c r="GFD524" s="1358"/>
      <c r="GFE524" s="1358"/>
      <c r="GFF524" s="1358"/>
      <c r="GFG524" s="1358"/>
      <c r="GFH524" s="1358"/>
      <c r="GFI524" s="1358"/>
      <c r="GFJ524" s="1358"/>
      <c r="GFK524" s="1358"/>
      <c r="GFL524" s="1358"/>
      <c r="GFM524" s="1358"/>
      <c r="GFN524" s="1358"/>
      <c r="GFO524" s="1358"/>
      <c r="GFP524" s="1358"/>
      <c r="GFQ524" s="1358"/>
      <c r="GFR524" s="1358"/>
      <c r="GFS524" s="1358"/>
      <c r="GFT524" s="1358"/>
      <c r="GFU524" s="1358"/>
      <c r="GFV524" s="1358"/>
      <c r="GFW524" s="1358"/>
      <c r="GFX524" s="1358"/>
      <c r="GFY524" s="1358"/>
      <c r="GFZ524" s="1358"/>
      <c r="GGA524" s="1358"/>
      <c r="GGB524" s="1358"/>
      <c r="GGC524" s="1358"/>
      <c r="GGD524" s="1358"/>
      <c r="GGE524" s="1358"/>
      <c r="GGF524" s="1358"/>
      <c r="GGG524" s="1358"/>
      <c r="GGH524" s="1358"/>
      <c r="GGI524" s="1358"/>
      <c r="GGJ524" s="1358"/>
      <c r="GGK524" s="1358"/>
      <c r="GGL524" s="1358"/>
      <c r="GGM524" s="1358"/>
      <c r="GGN524" s="1358"/>
      <c r="GGO524" s="1358"/>
      <c r="GGP524" s="1358"/>
      <c r="GGQ524" s="1358"/>
      <c r="GGR524" s="1358"/>
      <c r="GGS524" s="1358"/>
      <c r="GGT524" s="1358"/>
      <c r="GGU524" s="1358"/>
      <c r="GGV524" s="1358"/>
      <c r="GGW524" s="1358"/>
      <c r="GGX524" s="1358"/>
      <c r="GGY524" s="1358"/>
      <c r="GGZ524" s="1358"/>
      <c r="GHA524" s="1358"/>
      <c r="GHB524" s="1358"/>
      <c r="GHC524" s="1358"/>
      <c r="GHD524" s="1358"/>
      <c r="GHE524" s="1358"/>
      <c r="GHF524" s="1358"/>
      <c r="GHG524" s="1358"/>
      <c r="GHH524" s="1358"/>
      <c r="GHI524" s="1358"/>
      <c r="GHJ524" s="1358"/>
      <c r="GHK524" s="1358"/>
      <c r="GHL524" s="1358"/>
      <c r="GHM524" s="1358"/>
      <c r="GHN524" s="1358"/>
      <c r="GHO524" s="1358"/>
      <c r="GHP524" s="1358"/>
      <c r="GHQ524" s="1358"/>
      <c r="GHR524" s="1358"/>
      <c r="GHS524" s="1358"/>
      <c r="GHT524" s="1358"/>
      <c r="GHU524" s="1358"/>
      <c r="GHV524" s="1358"/>
      <c r="GHW524" s="1358"/>
      <c r="GHX524" s="1358"/>
      <c r="GHY524" s="1358"/>
      <c r="GHZ524" s="1358"/>
      <c r="GIA524" s="1358"/>
      <c r="GIB524" s="1358"/>
      <c r="GIC524" s="1358"/>
      <c r="GID524" s="1358"/>
      <c r="GIE524" s="1358"/>
      <c r="GIF524" s="1358"/>
      <c r="GIG524" s="1358"/>
      <c r="GIH524" s="1358"/>
      <c r="GII524" s="1358"/>
      <c r="GIJ524" s="1358"/>
      <c r="GIK524" s="1358"/>
      <c r="GIL524" s="1358"/>
      <c r="GIM524" s="1358"/>
      <c r="GIN524" s="1358"/>
      <c r="GIO524" s="1358"/>
      <c r="GIP524" s="1358"/>
      <c r="GIQ524" s="1358"/>
      <c r="GIR524" s="1358"/>
      <c r="GIS524" s="1358"/>
      <c r="GIT524" s="1358"/>
      <c r="GIU524" s="1358"/>
      <c r="GIV524" s="1358"/>
      <c r="GIW524" s="1358"/>
      <c r="GIX524" s="1358"/>
      <c r="GIY524" s="1358"/>
      <c r="GIZ524" s="1358"/>
      <c r="GJA524" s="1358"/>
      <c r="GJB524" s="1358"/>
      <c r="GJC524" s="1358"/>
      <c r="GJD524" s="1358"/>
      <c r="GJE524" s="1358"/>
      <c r="GJF524" s="1358"/>
      <c r="GJG524" s="1358"/>
      <c r="GJH524" s="1358"/>
      <c r="GJI524" s="1358"/>
      <c r="GJJ524" s="1358"/>
      <c r="GJK524" s="1358"/>
      <c r="GJL524" s="1358"/>
      <c r="GJM524" s="1358"/>
      <c r="GJN524" s="1358"/>
      <c r="GJO524" s="1358"/>
      <c r="GJP524" s="1358"/>
      <c r="GJQ524" s="1358"/>
      <c r="GJR524" s="1358"/>
      <c r="GJS524" s="1358"/>
      <c r="GJT524" s="1358"/>
      <c r="GJU524" s="1358"/>
      <c r="GJV524" s="1358"/>
      <c r="GJW524" s="1358"/>
      <c r="GJX524" s="1358"/>
      <c r="GJY524" s="1358"/>
      <c r="GJZ524" s="1358"/>
      <c r="GKA524" s="1358"/>
      <c r="GKB524" s="1358"/>
      <c r="GKC524" s="1358"/>
      <c r="GKD524" s="1358"/>
      <c r="GKE524" s="1358"/>
      <c r="GKF524" s="1358"/>
      <c r="GKG524" s="1358"/>
      <c r="GKH524" s="1358"/>
      <c r="GKI524" s="1358"/>
      <c r="GKJ524" s="1358"/>
      <c r="GKK524" s="1358"/>
      <c r="GKL524" s="1358"/>
      <c r="GKM524" s="1358"/>
      <c r="GKN524" s="1358"/>
      <c r="GKO524" s="1358"/>
      <c r="GKP524" s="1358"/>
      <c r="GKQ524" s="1358"/>
      <c r="GKR524" s="1358"/>
      <c r="GKS524" s="1358"/>
      <c r="GKT524" s="1358"/>
      <c r="GKU524" s="1358"/>
      <c r="GKV524" s="1358"/>
      <c r="GKW524" s="1358"/>
      <c r="GKX524" s="1358"/>
      <c r="GKY524" s="1358"/>
      <c r="GKZ524" s="1358"/>
      <c r="GLA524" s="1358"/>
      <c r="GLB524" s="1358"/>
      <c r="GLC524" s="1358"/>
      <c r="GLD524" s="1358"/>
      <c r="GLE524" s="1358"/>
      <c r="GLF524" s="1358"/>
      <c r="GLG524" s="1358"/>
      <c r="GLH524" s="1358"/>
      <c r="GLI524" s="1358"/>
      <c r="GLJ524" s="1358"/>
      <c r="GLK524" s="1358"/>
      <c r="GLL524" s="1358"/>
      <c r="GLM524" s="1358"/>
      <c r="GLN524" s="1358"/>
      <c r="GLO524" s="1358"/>
      <c r="GLP524" s="1358"/>
      <c r="GLQ524" s="1358"/>
      <c r="GLR524" s="1358"/>
      <c r="GLS524" s="1358"/>
      <c r="GLT524" s="1358"/>
      <c r="GLU524" s="1358"/>
      <c r="GLV524" s="1358"/>
      <c r="GLW524" s="1358"/>
      <c r="GLX524" s="1358"/>
      <c r="GLY524" s="1358"/>
      <c r="GLZ524" s="1358"/>
      <c r="GMA524" s="1358"/>
      <c r="GMB524" s="1358"/>
      <c r="GMC524" s="1358"/>
      <c r="GMD524" s="1358"/>
      <c r="GME524" s="1358"/>
      <c r="GMF524" s="1358"/>
      <c r="GMG524" s="1358"/>
      <c r="GMH524" s="1358"/>
      <c r="GMI524" s="1358"/>
      <c r="GMJ524" s="1358"/>
      <c r="GMK524" s="1358"/>
      <c r="GML524" s="1358"/>
      <c r="GMM524" s="1358"/>
      <c r="GMN524" s="1358"/>
      <c r="GMO524" s="1358"/>
      <c r="GMP524" s="1358"/>
      <c r="GMQ524" s="1358"/>
      <c r="GMR524" s="1358"/>
      <c r="GMS524" s="1358"/>
      <c r="GMT524" s="1358"/>
      <c r="GMU524" s="1358"/>
      <c r="GMV524" s="1358"/>
      <c r="GMW524" s="1358"/>
      <c r="GMX524" s="1358"/>
      <c r="GMY524" s="1358"/>
      <c r="GMZ524" s="1358"/>
      <c r="GNA524" s="1358"/>
      <c r="GNB524" s="1358"/>
      <c r="GNC524" s="1358"/>
      <c r="GND524" s="1358"/>
      <c r="GNE524" s="1358"/>
      <c r="GNF524" s="1358"/>
      <c r="GNG524" s="1358"/>
      <c r="GNH524" s="1358"/>
      <c r="GNI524" s="1358"/>
      <c r="GNJ524" s="1358"/>
      <c r="GNK524" s="1358"/>
      <c r="GNL524" s="1358"/>
      <c r="GNM524" s="1358"/>
      <c r="GNN524" s="1358"/>
      <c r="GNO524" s="1358"/>
      <c r="GNP524" s="1358"/>
      <c r="GNQ524" s="1358"/>
      <c r="GNR524" s="1358"/>
      <c r="GNS524" s="1358"/>
      <c r="GNT524" s="1358"/>
      <c r="GNU524" s="1358"/>
      <c r="GNV524" s="1358"/>
      <c r="GNW524" s="1358"/>
      <c r="GNX524" s="1358"/>
      <c r="GNY524" s="1358"/>
      <c r="GNZ524" s="1358"/>
      <c r="GOA524" s="1358"/>
      <c r="GOB524" s="1358"/>
      <c r="GOC524" s="1358"/>
      <c r="GOD524" s="1358"/>
      <c r="GOE524" s="1358"/>
      <c r="GOF524" s="1358"/>
      <c r="GOG524" s="1358"/>
      <c r="GOH524" s="1358"/>
      <c r="GOI524" s="1358"/>
      <c r="GOJ524" s="1358"/>
      <c r="GOK524" s="1358"/>
      <c r="GOL524" s="1358"/>
      <c r="GOM524" s="1358"/>
      <c r="GON524" s="1358"/>
      <c r="GOO524" s="1358"/>
      <c r="GOP524" s="1358"/>
      <c r="GOQ524" s="1358"/>
      <c r="GOR524" s="1358"/>
      <c r="GOS524" s="1358"/>
      <c r="GOT524" s="1358"/>
      <c r="GOU524" s="1358"/>
      <c r="GOV524" s="1358"/>
      <c r="GOW524" s="1358"/>
      <c r="GOX524" s="1358"/>
      <c r="GOY524" s="1358"/>
      <c r="GOZ524" s="1358"/>
      <c r="GPA524" s="1358"/>
      <c r="GPB524" s="1358"/>
      <c r="GPC524" s="1358"/>
      <c r="GPD524" s="1358"/>
      <c r="GPE524" s="1358"/>
      <c r="GPF524" s="1358"/>
      <c r="GPG524" s="1358"/>
      <c r="GPH524" s="1358"/>
      <c r="GPI524" s="1358"/>
      <c r="GPJ524" s="1358"/>
      <c r="GPK524" s="1358"/>
      <c r="GPL524" s="1358"/>
      <c r="GPM524" s="1358"/>
      <c r="GPN524" s="1358"/>
      <c r="GPO524" s="1358"/>
      <c r="GPP524" s="1358"/>
      <c r="GPQ524" s="1358"/>
      <c r="GPR524" s="1358"/>
      <c r="GPS524" s="1358"/>
      <c r="GPT524" s="1358"/>
      <c r="GPU524" s="1358"/>
      <c r="GPV524" s="1358"/>
      <c r="GPW524" s="1358"/>
      <c r="GPX524" s="1358"/>
      <c r="GPY524" s="1358"/>
      <c r="GPZ524" s="1358"/>
      <c r="GQA524" s="1358"/>
      <c r="GQB524" s="1358"/>
      <c r="GQC524" s="1358"/>
      <c r="GQD524" s="1358"/>
      <c r="GQE524" s="1358"/>
      <c r="GQF524" s="1358"/>
      <c r="GQG524" s="1358"/>
      <c r="GQH524" s="1358"/>
      <c r="GQI524" s="1358"/>
      <c r="GQJ524" s="1358"/>
      <c r="GQK524" s="1358"/>
      <c r="GQL524" s="1358"/>
      <c r="GQM524" s="1358"/>
      <c r="GQN524" s="1358"/>
      <c r="GQO524" s="1358"/>
      <c r="GQP524" s="1358"/>
      <c r="GQQ524" s="1358"/>
      <c r="GQR524" s="1358"/>
      <c r="GQS524" s="1358"/>
      <c r="GQT524" s="1358"/>
      <c r="GQU524" s="1358"/>
      <c r="GQV524" s="1358"/>
      <c r="GQW524" s="1358"/>
      <c r="GQX524" s="1358"/>
      <c r="GQY524" s="1358"/>
      <c r="GQZ524" s="1358"/>
      <c r="GRA524" s="1358"/>
      <c r="GRB524" s="1358"/>
      <c r="GRC524" s="1358"/>
      <c r="GRD524" s="1358"/>
      <c r="GRE524" s="1358"/>
      <c r="GRF524" s="1358"/>
      <c r="GRG524" s="1358"/>
      <c r="GRH524" s="1358"/>
      <c r="GRI524" s="1358"/>
      <c r="GRJ524" s="1358"/>
      <c r="GRK524" s="1358"/>
      <c r="GRL524" s="1358"/>
      <c r="GRM524" s="1358"/>
      <c r="GRN524" s="1358"/>
      <c r="GRO524" s="1358"/>
      <c r="GRP524" s="1358"/>
      <c r="GRQ524" s="1358"/>
      <c r="GRR524" s="1358"/>
      <c r="GRS524" s="1358"/>
      <c r="GRT524" s="1358"/>
      <c r="GRU524" s="1358"/>
      <c r="GRV524" s="1358"/>
      <c r="GRW524" s="1358"/>
      <c r="GRX524" s="1358"/>
      <c r="GRY524" s="1358"/>
      <c r="GRZ524" s="1358"/>
      <c r="GSA524" s="1358"/>
      <c r="GSB524" s="1358"/>
      <c r="GSC524" s="1358"/>
      <c r="GSD524" s="1358"/>
      <c r="GSE524" s="1358"/>
      <c r="GSF524" s="1358"/>
      <c r="GSG524" s="1358"/>
      <c r="GSH524" s="1358"/>
      <c r="GSI524" s="1358"/>
      <c r="GSJ524" s="1358"/>
      <c r="GSK524" s="1358"/>
      <c r="GSL524" s="1358"/>
      <c r="GSM524" s="1358"/>
      <c r="GSN524" s="1358"/>
      <c r="GSO524" s="1358"/>
      <c r="GSP524" s="1358"/>
      <c r="GSQ524" s="1358"/>
      <c r="GSR524" s="1358"/>
      <c r="GSS524" s="1358"/>
      <c r="GST524" s="1358"/>
      <c r="GSU524" s="1358"/>
      <c r="GSV524" s="1358"/>
      <c r="GSW524" s="1358"/>
      <c r="GSX524" s="1358"/>
      <c r="GSY524" s="1358"/>
      <c r="GSZ524" s="1358"/>
      <c r="GTA524" s="1358"/>
      <c r="GTB524" s="1358"/>
      <c r="GTC524" s="1358"/>
      <c r="GTD524" s="1358"/>
      <c r="GTE524" s="1358"/>
      <c r="GTF524" s="1358"/>
      <c r="GTG524" s="1358"/>
      <c r="GTH524" s="1358"/>
      <c r="GTI524" s="1358"/>
      <c r="GTJ524" s="1358"/>
      <c r="GTK524" s="1358"/>
      <c r="GTL524" s="1358"/>
      <c r="GTM524" s="1358"/>
      <c r="GTN524" s="1358"/>
      <c r="GTO524" s="1358"/>
      <c r="GTP524" s="1358"/>
      <c r="GTQ524" s="1358"/>
      <c r="GTR524" s="1358"/>
      <c r="GTS524" s="1358"/>
      <c r="GTT524" s="1358"/>
      <c r="GTU524" s="1358"/>
      <c r="GTV524" s="1358"/>
      <c r="GTW524" s="1358"/>
      <c r="GTX524" s="1358"/>
      <c r="GTY524" s="1358"/>
      <c r="GTZ524" s="1358"/>
      <c r="GUA524" s="1358"/>
      <c r="GUB524" s="1358"/>
      <c r="GUC524" s="1358"/>
      <c r="GUD524" s="1358"/>
      <c r="GUE524" s="1358"/>
      <c r="GUF524" s="1358"/>
      <c r="GUG524" s="1358"/>
      <c r="GUH524" s="1358"/>
      <c r="GUI524" s="1358"/>
      <c r="GUJ524" s="1358"/>
      <c r="GUK524" s="1358"/>
      <c r="GUL524" s="1358"/>
      <c r="GUM524" s="1358"/>
      <c r="GUN524" s="1358"/>
      <c r="GUO524" s="1358"/>
      <c r="GUP524" s="1358"/>
      <c r="GUQ524" s="1358"/>
      <c r="GUR524" s="1358"/>
      <c r="GUS524" s="1358"/>
      <c r="GUT524" s="1358"/>
      <c r="GUU524" s="1358"/>
      <c r="GUV524" s="1358"/>
      <c r="GUW524" s="1358"/>
      <c r="GUX524" s="1358"/>
      <c r="GUY524" s="1358"/>
      <c r="GUZ524" s="1358"/>
      <c r="GVA524" s="1358"/>
      <c r="GVB524" s="1358"/>
      <c r="GVC524" s="1358"/>
      <c r="GVD524" s="1358"/>
      <c r="GVE524" s="1358"/>
      <c r="GVF524" s="1358"/>
      <c r="GVG524" s="1358"/>
      <c r="GVH524" s="1358"/>
      <c r="GVI524" s="1358"/>
      <c r="GVJ524" s="1358"/>
      <c r="GVK524" s="1358"/>
      <c r="GVL524" s="1358"/>
      <c r="GVM524" s="1358"/>
      <c r="GVN524" s="1358"/>
      <c r="GVO524" s="1358"/>
      <c r="GVP524" s="1358"/>
      <c r="GVQ524" s="1358"/>
      <c r="GVR524" s="1358"/>
      <c r="GVS524" s="1358"/>
      <c r="GVT524" s="1358"/>
      <c r="GVU524" s="1358"/>
      <c r="GVV524" s="1358"/>
      <c r="GVW524" s="1358"/>
      <c r="GVX524" s="1358"/>
      <c r="GVY524" s="1358"/>
      <c r="GVZ524" s="1358"/>
      <c r="GWA524" s="1358"/>
      <c r="GWB524" s="1358"/>
      <c r="GWC524" s="1358"/>
      <c r="GWD524" s="1358"/>
      <c r="GWE524" s="1358"/>
      <c r="GWF524" s="1358"/>
      <c r="GWG524" s="1358"/>
      <c r="GWH524" s="1358"/>
      <c r="GWI524" s="1358"/>
      <c r="GWJ524" s="1358"/>
      <c r="GWK524" s="1358"/>
      <c r="GWL524" s="1358"/>
      <c r="GWM524" s="1358"/>
      <c r="GWN524" s="1358"/>
      <c r="GWO524" s="1358"/>
      <c r="GWP524" s="1358"/>
      <c r="GWQ524" s="1358"/>
      <c r="GWR524" s="1358"/>
      <c r="GWS524" s="1358"/>
      <c r="GWT524" s="1358"/>
      <c r="GWU524" s="1358"/>
      <c r="GWV524" s="1358"/>
      <c r="GWW524" s="1358"/>
      <c r="GWX524" s="1358"/>
      <c r="GWY524" s="1358"/>
      <c r="GWZ524" s="1358"/>
      <c r="GXA524" s="1358"/>
      <c r="GXB524" s="1358"/>
      <c r="GXC524" s="1358"/>
      <c r="GXD524" s="1358"/>
      <c r="GXE524" s="1358"/>
      <c r="GXF524" s="1358"/>
      <c r="GXG524" s="1358"/>
      <c r="GXH524" s="1358"/>
      <c r="GXI524" s="1358"/>
      <c r="GXJ524" s="1358"/>
      <c r="GXK524" s="1358"/>
      <c r="GXL524" s="1358"/>
      <c r="GXM524" s="1358"/>
      <c r="GXN524" s="1358"/>
      <c r="GXO524" s="1358"/>
      <c r="GXP524" s="1358"/>
      <c r="GXQ524" s="1358"/>
      <c r="GXR524" s="1358"/>
      <c r="GXS524" s="1358"/>
      <c r="GXT524" s="1358"/>
      <c r="GXU524" s="1358"/>
      <c r="GXV524" s="1358"/>
      <c r="GXW524" s="1358"/>
      <c r="GXX524" s="1358"/>
      <c r="GXY524" s="1358"/>
      <c r="GXZ524" s="1358"/>
      <c r="GYA524" s="1358"/>
      <c r="GYB524" s="1358"/>
      <c r="GYC524" s="1358"/>
      <c r="GYD524" s="1358"/>
      <c r="GYE524" s="1358"/>
      <c r="GYF524" s="1358"/>
      <c r="GYG524" s="1358"/>
      <c r="GYH524" s="1358"/>
      <c r="GYI524" s="1358"/>
      <c r="GYJ524" s="1358"/>
      <c r="GYK524" s="1358"/>
      <c r="GYL524" s="1358"/>
      <c r="GYM524" s="1358"/>
      <c r="GYN524" s="1358"/>
      <c r="GYO524" s="1358"/>
      <c r="GYP524" s="1358"/>
      <c r="GYQ524" s="1358"/>
      <c r="GYR524" s="1358"/>
      <c r="GYS524" s="1358"/>
      <c r="GYT524" s="1358"/>
      <c r="GYU524" s="1358"/>
      <c r="GYV524" s="1358"/>
      <c r="GYW524" s="1358"/>
      <c r="GYX524" s="1358"/>
      <c r="GYY524" s="1358"/>
      <c r="GYZ524" s="1358"/>
      <c r="GZA524" s="1358"/>
      <c r="GZB524" s="1358"/>
      <c r="GZC524" s="1358"/>
      <c r="GZD524" s="1358"/>
      <c r="GZE524" s="1358"/>
      <c r="GZF524" s="1358"/>
      <c r="GZG524" s="1358"/>
      <c r="GZH524" s="1358"/>
      <c r="GZI524" s="1358"/>
      <c r="GZJ524" s="1358"/>
      <c r="GZK524" s="1358"/>
      <c r="GZL524" s="1358"/>
      <c r="GZM524" s="1358"/>
      <c r="GZN524" s="1358"/>
      <c r="GZO524" s="1358"/>
      <c r="GZP524" s="1358"/>
      <c r="GZQ524" s="1358"/>
      <c r="GZR524" s="1358"/>
      <c r="GZS524" s="1358"/>
      <c r="GZT524" s="1358"/>
      <c r="GZU524" s="1358"/>
      <c r="GZV524" s="1358"/>
      <c r="GZW524" s="1358"/>
      <c r="GZX524" s="1358"/>
      <c r="GZY524" s="1358"/>
      <c r="GZZ524" s="1358"/>
      <c r="HAA524" s="1358"/>
      <c r="HAB524" s="1358"/>
      <c r="HAC524" s="1358"/>
      <c r="HAD524" s="1358"/>
      <c r="HAE524" s="1358"/>
      <c r="HAF524" s="1358"/>
      <c r="HAG524" s="1358"/>
      <c r="HAH524" s="1358"/>
      <c r="HAI524" s="1358"/>
      <c r="HAJ524" s="1358"/>
      <c r="HAK524" s="1358"/>
      <c r="HAL524" s="1358"/>
      <c r="HAM524" s="1358"/>
      <c r="HAN524" s="1358"/>
      <c r="HAO524" s="1358"/>
      <c r="HAP524" s="1358"/>
      <c r="HAQ524" s="1358"/>
      <c r="HAR524" s="1358"/>
      <c r="HAS524" s="1358"/>
      <c r="HAT524" s="1358"/>
      <c r="HAU524" s="1358"/>
      <c r="HAV524" s="1358"/>
      <c r="HAW524" s="1358"/>
      <c r="HAX524" s="1358"/>
      <c r="HAY524" s="1358"/>
      <c r="HAZ524" s="1358"/>
      <c r="HBA524" s="1358"/>
      <c r="HBB524" s="1358"/>
      <c r="HBC524" s="1358"/>
      <c r="HBD524" s="1358"/>
      <c r="HBE524" s="1358"/>
      <c r="HBF524" s="1358"/>
      <c r="HBG524" s="1358"/>
      <c r="HBH524" s="1358"/>
      <c r="HBI524" s="1358"/>
      <c r="HBJ524" s="1358"/>
      <c r="HBK524" s="1358"/>
      <c r="HBL524" s="1358"/>
      <c r="HBM524" s="1358"/>
      <c r="HBN524" s="1358"/>
      <c r="HBO524" s="1358"/>
      <c r="HBP524" s="1358"/>
      <c r="HBQ524" s="1358"/>
      <c r="HBR524" s="1358"/>
      <c r="HBS524" s="1358"/>
      <c r="HBT524" s="1358"/>
      <c r="HBU524" s="1358"/>
      <c r="HBV524" s="1358"/>
      <c r="HBW524" s="1358"/>
      <c r="HBX524" s="1358"/>
      <c r="HBY524" s="1358"/>
      <c r="HBZ524" s="1358"/>
      <c r="HCA524" s="1358"/>
      <c r="HCB524" s="1358"/>
      <c r="HCC524" s="1358"/>
      <c r="HCD524" s="1358"/>
      <c r="HCE524" s="1358"/>
      <c r="HCF524" s="1358"/>
      <c r="HCG524" s="1358"/>
      <c r="HCH524" s="1358"/>
      <c r="HCI524" s="1358"/>
      <c r="HCJ524" s="1358"/>
      <c r="HCK524" s="1358"/>
      <c r="HCL524" s="1358"/>
      <c r="HCM524" s="1358"/>
      <c r="HCN524" s="1358"/>
      <c r="HCO524" s="1358"/>
      <c r="HCP524" s="1358"/>
      <c r="HCQ524" s="1358"/>
      <c r="HCR524" s="1358"/>
      <c r="HCS524" s="1358"/>
      <c r="HCT524" s="1358"/>
      <c r="HCU524" s="1358"/>
      <c r="HCV524" s="1358"/>
      <c r="HCW524" s="1358"/>
      <c r="HCX524" s="1358"/>
      <c r="HCY524" s="1358"/>
      <c r="HCZ524" s="1358"/>
      <c r="HDA524" s="1358"/>
      <c r="HDB524" s="1358"/>
      <c r="HDC524" s="1358"/>
      <c r="HDD524" s="1358"/>
      <c r="HDE524" s="1358"/>
      <c r="HDF524" s="1358"/>
      <c r="HDG524" s="1358"/>
      <c r="HDH524" s="1358"/>
      <c r="HDI524" s="1358"/>
      <c r="HDJ524" s="1358"/>
      <c r="HDK524" s="1358"/>
      <c r="HDL524" s="1358"/>
      <c r="HDM524" s="1358"/>
      <c r="HDN524" s="1358"/>
      <c r="HDO524" s="1358"/>
      <c r="HDP524" s="1358"/>
      <c r="HDQ524" s="1358"/>
      <c r="HDR524" s="1358"/>
      <c r="HDS524" s="1358"/>
      <c r="HDT524" s="1358"/>
      <c r="HDU524" s="1358"/>
      <c r="HDV524" s="1358"/>
      <c r="HDW524" s="1358"/>
      <c r="HDX524" s="1358"/>
      <c r="HDY524" s="1358"/>
      <c r="HDZ524" s="1358"/>
      <c r="HEA524" s="1358"/>
      <c r="HEB524" s="1358"/>
      <c r="HEC524" s="1358"/>
      <c r="HED524" s="1358"/>
      <c r="HEE524" s="1358"/>
      <c r="HEF524" s="1358"/>
      <c r="HEG524" s="1358"/>
      <c r="HEH524" s="1358"/>
      <c r="HEI524" s="1358"/>
      <c r="HEJ524" s="1358"/>
      <c r="HEK524" s="1358"/>
      <c r="HEL524" s="1358"/>
      <c r="HEM524" s="1358"/>
      <c r="HEN524" s="1358"/>
      <c r="HEO524" s="1358"/>
      <c r="HEP524" s="1358"/>
      <c r="HEQ524" s="1358"/>
      <c r="HER524" s="1358"/>
      <c r="HES524" s="1358"/>
      <c r="HET524" s="1358"/>
      <c r="HEU524" s="1358"/>
      <c r="HEV524" s="1358"/>
      <c r="HEW524" s="1358"/>
      <c r="HEX524" s="1358"/>
      <c r="HEY524" s="1358"/>
      <c r="HEZ524" s="1358"/>
      <c r="HFA524" s="1358"/>
      <c r="HFB524" s="1358"/>
      <c r="HFC524" s="1358"/>
      <c r="HFD524" s="1358"/>
      <c r="HFE524" s="1358"/>
      <c r="HFF524" s="1358"/>
      <c r="HFG524" s="1358"/>
      <c r="HFH524" s="1358"/>
      <c r="HFI524" s="1358"/>
      <c r="HFJ524" s="1358"/>
      <c r="HFK524" s="1358"/>
      <c r="HFL524" s="1358"/>
      <c r="HFM524" s="1358"/>
      <c r="HFN524" s="1358"/>
      <c r="HFO524" s="1358"/>
      <c r="HFP524" s="1358"/>
      <c r="HFQ524" s="1358"/>
      <c r="HFR524" s="1358"/>
      <c r="HFS524" s="1358"/>
      <c r="HFT524" s="1358"/>
      <c r="HFU524" s="1358"/>
      <c r="HFV524" s="1358"/>
      <c r="HFW524" s="1358"/>
      <c r="HFX524" s="1358"/>
      <c r="HFY524" s="1358"/>
      <c r="HFZ524" s="1358"/>
      <c r="HGA524" s="1358"/>
      <c r="HGB524" s="1358"/>
      <c r="HGC524" s="1358"/>
      <c r="HGD524" s="1358"/>
      <c r="HGE524" s="1358"/>
      <c r="HGF524" s="1358"/>
      <c r="HGG524" s="1358"/>
      <c r="HGH524" s="1358"/>
      <c r="HGI524" s="1358"/>
      <c r="HGJ524" s="1358"/>
      <c r="HGK524" s="1358"/>
      <c r="HGL524" s="1358"/>
      <c r="HGM524" s="1358"/>
      <c r="HGN524" s="1358"/>
      <c r="HGO524" s="1358"/>
      <c r="HGP524" s="1358"/>
      <c r="HGQ524" s="1358"/>
      <c r="HGR524" s="1358"/>
      <c r="HGS524" s="1358"/>
      <c r="HGT524" s="1358"/>
      <c r="HGU524" s="1358"/>
      <c r="HGV524" s="1358"/>
      <c r="HGW524" s="1358"/>
      <c r="HGX524" s="1358"/>
      <c r="HGY524" s="1358"/>
      <c r="HGZ524" s="1358"/>
      <c r="HHA524" s="1358"/>
      <c r="HHB524" s="1358"/>
      <c r="HHC524" s="1358"/>
      <c r="HHD524" s="1358"/>
      <c r="HHE524" s="1358"/>
      <c r="HHF524" s="1358"/>
      <c r="HHG524" s="1358"/>
      <c r="HHH524" s="1358"/>
      <c r="HHI524" s="1358"/>
      <c r="HHJ524" s="1358"/>
      <c r="HHK524" s="1358"/>
      <c r="HHL524" s="1358"/>
      <c r="HHM524" s="1358"/>
      <c r="HHN524" s="1358"/>
      <c r="HHO524" s="1358"/>
      <c r="HHP524" s="1358"/>
      <c r="HHQ524" s="1358"/>
      <c r="HHR524" s="1358"/>
      <c r="HHS524" s="1358"/>
      <c r="HHT524" s="1358"/>
      <c r="HHU524" s="1358"/>
      <c r="HHV524" s="1358"/>
      <c r="HHW524" s="1358"/>
      <c r="HHX524" s="1358"/>
      <c r="HHY524" s="1358"/>
      <c r="HHZ524" s="1358"/>
      <c r="HIA524" s="1358"/>
      <c r="HIB524" s="1358"/>
      <c r="HIC524" s="1358"/>
      <c r="HID524" s="1358"/>
      <c r="HIE524" s="1358"/>
      <c r="HIF524" s="1358"/>
      <c r="HIG524" s="1358"/>
      <c r="HIH524" s="1358"/>
      <c r="HII524" s="1358"/>
      <c r="HIJ524" s="1358"/>
      <c r="HIK524" s="1358"/>
      <c r="HIL524" s="1358"/>
      <c r="HIM524" s="1358"/>
      <c r="HIN524" s="1358"/>
      <c r="HIO524" s="1358"/>
      <c r="HIP524" s="1358"/>
      <c r="HIQ524" s="1358"/>
      <c r="HIR524" s="1358"/>
      <c r="HIS524" s="1358"/>
      <c r="HIT524" s="1358"/>
      <c r="HIU524" s="1358"/>
      <c r="HIV524" s="1358"/>
      <c r="HIW524" s="1358"/>
      <c r="HIX524" s="1358"/>
      <c r="HIY524" s="1358"/>
      <c r="HIZ524" s="1358"/>
      <c r="HJA524" s="1358"/>
      <c r="HJB524" s="1358"/>
      <c r="HJC524" s="1358"/>
      <c r="HJD524" s="1358"/>
      <c r="HJE524" s="1358"/>
      <c r="HJF524" s="1358"/>
      <c r="HJG524" s="1358"/>
      <c r="HJH524" s="1358"/>
      <c r="HJI524" s="1358"/>
      <c r="HJJ524" s="1358"/>
      <c r="HJK524" s="1358"/>
      <c r="HJL524" s="1358"/>
      <c r="HJM524" s="1358"/>
      <c r="HJN524" s="1358"/>
      <c r="HJO524" s="1358"/>
      <c r="HJP524" s="1358"/>
      <c r="HJQ524" s="1358"/>
      <c r="HJR524" s="1358"/>
      <c r="HJS524" s="1358"/>
      <c r="HJT524" s="1358"/>
      <c r="HJU524" s="1358"/>
      <c r="HJV524" s="1358"/>
      <c r="HJW524" s="1358"/>
      <c r="HJX524" s="1358"/>
      <c r="HJY524" s="1358"/>
      <c r="HJZ524" s="1358"/>
      <c r="HKA524" s="1358"/>
      <c r="HKB524" s="1358"/>
      <c r="HKC524" s="1358"/>
      <c r="HKD524" s="1358"/>
      <c r="HKE524" s="1358"/>
      <c r="HKF524" s="1358"/>
      <c r="HKG524" s="1358"/>
      <c r="HKH524" s="1358"/>
      <c r="HKI524" s="1358"/>
      <c r="HKJ524" s="1358"/>
      <c r="HKK524" s="1358"/>
      <c r="HKL524" s="1358"/>
      <c r="HKM524" s="1358"/>
      <c r="HKN524" s="1358"/>
      <c r="HKO524" s="1358"/>
      <c r="HKP524" s="1358"/>
      <c r="HKQ524" s="1358"/>
      <c r="HKR524" s="1358"/>
      <c r="HKS524" s="1358"/>
      <c r="HKT524" s="1358"/>
      <c r="HKU524" s="1358"/>
      <c r="HKV524" s="1358"/>
      <c r="HKW524" s="1358"/>
      <c r="HKX524" s="1358"/>
      <c r="HKY524" s="1358"/>
      <c r="HKZ524" s="1358"/>
      <c r="HLA524" s="1358"/>
      <c r="HLB524" s="1358"/>
      <c r="HLC524" s="1358"/>
      <c r="HLD524" s="1358"/>
      <c r="HLE524" s="1358"/>
      <c r="HLF524" s="1358"/>
      <c r="HLG524" s="1358"/>
      <c r="HLH524" s="1358"/>
      <c r="HLI524" s="1358"/>
      <c r="HLJ524" s="1358"/>
      <c r="HLK524" s="1358"/>
      <c r="HLL524" s="1358"/>
      <c r="HLM524" s="1358"/>
      <c r="HLN524" s="1358"/>
      <c r="HLO524" s="1358"/>
      <c r="HLP524" s="1358"/>
      <c r="HLQ524" s="1358"/>
      <c r="HLR524" s="1358"/>
      <c r="HLS524" s="1358"/>
      <c r="HLT524" s="1358"/>
      <c r="HLU524" s="1358"/>
      <c r="HLV524" s="1358"/>
      <c r="HLW524" s="1358"/>
      <c r="HLX524" s="1358"/>
      <c r="HLY524" s="1358"/>
      <c r="HLZ524" s="1358"/>
      <c r="HMA524" s="1358"/>
      <c r="HMB524" s="1358"/>
      <c r="HMC524" s="1358"/>
      <c r="HMD524" s="1358"/>
      <c r="HME524" s="1358"/>
      <c r="HMF524" s="1358"/>
      <c r="HMG524" s="1358"/>
      <c r="HMH524" s="1358"/>
      <c r="HMI524" s="1358"/>
      <c r="HMJ524" s="1358"/>
      <c r="HMK524" s="1358"/>
      <c r="HML524" s="1358"/>
      <c r="HMM524" s="1358"/>
      <c r="HMN524" s="1358"/>
      <c r="HMO524" s="1358"/>
      <c r="HMP524" s="1358"/>
      <c r="HMQ524" s="1358"/>
      <c r="HMR524" s="1358"/>
      <c r="HMS524" s="1358"/>
      <c r="HMT524" s="1358"/>
      <c r="HMU524" s="1358"/>
      <c r="HMV524" s="1358"/>
      <c r="HMW524" s="1358"/>
      <c r="HMX524" s="1358"/>
      <c r="HMY524" s="1358"/>
      <c r="HMZ524" s="1358"/>
      <c r="HNA524" s="1358"/>
      <c r="HNB524" s="1358"/>
      <c r="HNC524" s="1358"/>
      <c r="HND524" s="1358"/>
      <c r="HNE524" s="1358"/>
      <c r="HNF524" s="1358"/>
      <c r="HNG524" s="1358"/>
      <c r="HNH524" s="1358"/>
      <c r="HNI524" s="1358"/>
      <c r="HNJ524" s="1358"/>
      <c r="HNK524" s="1358"/>
      <c r="HNL524" s="1358"/>
      <c r="HNM524" s="1358"/>
      <c r="HNN524" s="1358"/>
      <c r="HNO524" s="1358"/>
      <c r="HNP524" s="1358"/>
      <c r="HNQ524" s="1358"/>
      <c r="HNR524" s="1358"/>
      <c r="HNS524" s="1358"/>
      <c r="HNT524" s="1358"/>
      <c r="HNU524" s="1358"/>
      <c r="HNV524" s="1358"/>
      <c r="HNW524" s="1358"/>
      <c r="HNX524" s="1358"/>
      <c r="HNY524" s="1358"/>
      <c r="HNZ524" s="1358"/>
      <c r="HOA524" s="1358"/>
      <c r="HOB524" s="1358"/>
      <c r="HOC524" s="1358"/>
      <c r="HOD524" s="1358"/>
      <c r="HOE524" s="1358"/>
      <c r="HOF524" s="1358"/>
      <c r="HOG524" s="1358"/>
      <c r="HOH524" s="1358"/>
      <c r="HOI524" s="1358"/>
      <c r="HOJ524" s="1358"/>
      <c r="HOK524" s="1358"/>
      <c r="HOL524" s="1358"/>
      <c r="HOM524" s="1358"/>
      <c r="HON524" s="1358"/>
      <c r="HOO524" s="1358"/>
      <c r="HOP524" s="1358"/>
      <c r="HOQ524" s="1358"/>
      <c r="HOR524" s="1358"/>
      <c r="HOS524" s="1358"/>
      <c r="HOT524" s="1358"/>
      <c r="HOU524" s="1358"/>
      <c r="HOV524" s="1358"/>
      <c r="HOW524" s="1358"/>
      <c r="HOX524" s="1358"/>
      <c r="HOY524" s="1358"/>
      <c r="HOZ524" s="1358"/>
      <c r="HPA524" s="1358"/>
      <c r="HPB524" s="1358"/>
      <c r="HPC524" s="1358"/>
      <c r="HPD524" s="1358"/>
      <c r="HPE524" s="1358"/>
      <c r="HPF524" s="1358"/>
      <c r="HPG524" s="1358"/>
      <c r="HPH524" s="1358"/>
      <c r="HPI524" s="1358"/>
      <c r="HPJ524" s="1358"/>
      <c r="HPK524" s="1358"/>
      <c r="HPL524" s="1358"/>
      <c r="HPM524" s="1358"/>
      <c r="HPN524" s="1358"/>
      <c r="HPO524" s="1358"/>
      <c r="HPP524" s="1358"/>
      <c r="HPQ524" s="1358"/>
      <c r="HPR524" s="1358"/>
      <c r="HPS524" s="1358"/>
      <c r="HPT524" s="1358"/>
      <c r="HPU524" s="1358"/>
      <c r="HPV524" s="1358"/>
      <c r="HPW524" s="1358"/>
      <c r="HPX524" s="1358"/>
      <c r="HPY524" s="1358"/>
      <c r="HPZ524" s="1358"/>
      <c r="HQA524" s="1358"/>
      <c r="HQB524" s="1358"/>
      <c r="HQC524" s="1358"/>
      <c r="HQD524" s="1358"/>
      <c r="HQE524" s="1358"/>
      <c r="HQF524" s="1358"/>
      <c r="HQG524" s="1358"/>
      <c r="HQH524" s="1358"/>
      <c r="HQI524" s="1358"/>
      <c r="HQJ524" s="1358"/>
      <c r="HQK524" s="1358"/>
      <c r="HQL524" s="1358"/>
      <c r="HQM524" s="1358"/>
      <c r="HQN524" s="1358"/>
      <c r="HQO524" s="1358"/>
      <c r="HQP524" s="1358"/>
      <c r="HQQ524" s="1358"/>
      <c r="HQR524" s="1358"/>
      <c r="HQS524" s="1358"/>
      <c r="HQT524" s="1358"/>
      <c r="HQU524" s="1358"/>
      <c r="HQV524" s="1358"/>
      <c r="HQW524" s="1358"/>
      <c r="HQX524" s="1358"/>
      <c r="HQY524" s="1358"/>
      <c r="HQZ524" s="1358"/>
      <c r="HRA524" s="1358"/>
      <c r="HRB524" s="1358"/>
      <c r="HRC524" s="1358"/>
      <c r="HRD524" s="1358"/>
      <c r="HRE524" s="1358"/>
      <c r="HRF524" s="1358"/>
      <c r="HRG524" s="1358"/>
      <c r="HRH524" s="1358"/>
      <c r="HRI524" s="1358"/>
      <c r="HRJ524" s="1358"/>
      <c r="HRK524" s="1358"/>
      <c r="HRL524" s="1358"/>
      <c r="HRM524" s="1358"/>
      <c r="HRN524" s="1358"/>
      <c r="HRO524" s="1358"/>
      <c r="HRP524" s="1358"/>
      <c r="HRQ524" s="1358"/>
      <c r="HRR524" s="1358"/>
      <c r="HRS524" s="1358"/>
      <c r="HRT524" s="1358"/>
      <c r="HRU524" s="1358"/>
      <c r="HRV524" s="1358"/>
      <c r="HRW524" s="1358"/>
      <c r="HRX524" s="1358"/>
      <c r="HRY524" s="1358"/>
      <c r="HRZ524" s="1358"/>
      <c r="HSA524" s="1358"/>
      <c r="HSB524" s="1358"/>
      <c r="HSC524" s="1358"/>
      <c r="HSD524" s="1358"/>
      <c r="HSE524" s="1358"/>
      <c r="HSF524" s="1358"/>
      <c r="HSG524" s="1358"/>
      <c r="HSH524" s="1358"/>
      <c r="HSI524" s="1358"/>
      <c r="HSJ524" s="1358"/>
      <c r="HSK524" s="1358"/>
      <c r="HSL524" s="1358"/>
      <c r="HSM524" s="1358"/>
      <c r="HSN524" s="1358"/>
      <c r="HSO524" s="1358"/>
      <c r="HSP524" s="1358"/>
      <c r="HSQ524" s="1358"/>
      <c r="HSR524" s="1358"/>
      <c r="HSS524" s="1358"/>
      <c r="HST524" s="1358"/>
      <c r="HSU524" s="1358"/>
      <c r="HSV524" s="1358"/>
      <c r="HSW524" s="1358"/>
      <c r="HSX524" s="1358"/>
      <c r="HSY524" s="1358"/>
      <c r="HSZ524" s="1358"/>
      <c r="HTA524" s="1358"/>
      <c r="HTB524" s="1358"/>
      <c r="HTC524" s="1358"/>
      <c r="HTD524" s="1358"/>
      <c r="HTE524" s="1358"/>
      <c r="HTF524" s="1358"/>
      <c r="HTG524" s="1358"/>
      <c r="HTH524" s="1358"/>
      <c r="HTI524" s="1358"/>
      <c r="HTJ524" s="1358"/>
      <c r="HTK524" s="1358"/>
      <c r="HTL524" s="1358"/>
      <c r="HTM524" s="1358"/>
      <c r="HTN524" s="1358"/>
      <c r="HTO524" s="1358"/>
      <c r="HTP524" s="1358"/>
      <c r="HTQ524" s="1358"/>
      <c r="HTR524" s="1358"/>
      <c r="HTS524" s="1358"/>
      <c r="HTT524" s="1358"/>
      <c r="HTU524" s="1358"/>
      <c r="HTV524" s="1358"/>
      <c r="HTW524" s="1358"/>
      <c r="HTX524" s="1358"/>
      <c r="HTY524" s="1358"/>
      <c r="HTZ524" s="1358"/>
      <c r="HUA524" s="1358"/>
      <c r="HUB524" s="1358"/>
      <c r="HUC524" s="1358"/>
      <c r="HUD524" s="1358"/>
      <c r="HUE524" s="1358"/>
      <c r="HUF524" s="1358"/>
      <c r="HUG524" s="1358"/>
      <c r="HUH524" s="1358"/>
      <c r="HUI524" s="1358"/>
      <c r="HUJ524" s="1358"/>
      <c r="HUK524" s="1358"/>
      <c r="HUL524" s="1358"/>
      <c r="HUM524" s="1358"/>
      <c r="HUN524" s="1358"/>
      <c r="HUO524" s="1358"/>
      <c r="HUP524" s="1358"/>
      <c r="HUQ524" s="1358"/>
      <c r="HUR524" s="1358"/>
      <c r="HUS524" s="1358"/>
      <c r="HUT524" s="1358"/>
      <c r="HUU524" s="1358"/>
      <c r="HUV524" s="1358"/>
      <c r="HUW524" s="1358"/>
      <c r="HUX524" s="1358"/>
      <c r="HUY524" s="1358"/>
      <c r="HUZ524" s="1358"/>
      <c r="HVA524" s="1358"/>
      <c r="HVB524" s="1358"/>
      <c r="HVC524" s="1358"/>
      <c r="HVD524" s="1358"/>
      <c r="HVE524" s="1358"/>
      <c r="HVF524" s="1358"/>
      <c r="HVG524" s="1358"/>
      <c r="HVH524" s="1358"/>
      <c r="HVI524" s="1358"/>
      <c r="HVJ524" s="1358"/>
      <c r="HVK524" s="1358"/>
      <c r="HVL524" s="1358"/>
      <c r="HVM524" s="1358"/>
      <c r="HVN524" s="1358"/>
      <c r="HVO524" s="1358"/>
      <c r="HVP524" s="1358"/>
      <c r="HVQ524" s="1358"/>
      <c r="HVR524" s="1358"/>
      <c r="HVS524" s="1358"/>
      <c r="HVT524" s="1358"/>
      <c r="HVU524" s="1358"/>
      <c r="HVV524" s="1358"/>
      <c r="HVW524" s="1358"/>
      <c r="HVX524" s="1358"/>
      <c r="HVY524" s="1358"/>
      <c r="HVZ524" s="1358"/>
      <c r="HWA524" s="1358"/>
      <c r="HWB524" s="1358"/>
      <c r="HWC524" s="1358"/>
      <c r="HWD524" s="1358"/>
      <c r="HWE524" s="1358"/>
      <c r="HWF524" s="1358"/>
      <c r="HWG524" s="1358"/>
      <c r="HWH524" s="1358"/>
      <c r="HWI524" s="1358"/>
      <c r="HWJ524" s="1358"/>
      <c r="HWK524" s="1358"/>
      <c r="HWL524" s="1358"/>
      <c r="HWM524" s="1358"/>
      <c r="HWN524" s="1358"/>
      <c r="HWO524" s="1358"/>
      <c r="HWP524" s="1358"/>
      <c r="HWQ524" s="1358"/>
      <c r="HWR524" s="1358"/>
      <c r="HWS524" s="1358"/>
      <c r="HWT524" s="1358"/>
      <c r="HWU524" s="1358"/>
      <c r="HWV524" s="1358"/>
      <c r="HWW524" s="1358"/>
      <c r="HWX524" s="1358"/>
      <c r="HWY524" s="1358"/>
      <c r="HWZ524" s="1358"/>
      <c r="HXA524" s="1358"/>
      <c r="HXB524" s="1358"/>
      <c r="HXC524" s="1358"/>
      <c r="HXD524" s="1358"/>
      <c r="HXE524" s="1358"/>
      <c r="HXF524" s="1358"/>
      <c r="HXG524" s="1358"/>
      <c r="HXH524" s="1358"/>
      <c r="HXI524" s="1358"/>
      <c r="HXJ524" s="1358"/>
      <c r="HXK524" s="1358"/>
      <c r="HXL524" s="1358"/>
      <c r="HXM524" s="1358"/>
      <c r="HXN524" s="1358"/>
      <c r="HXO524" s="1358"/>
      <c r="HXP524" s="1358"/>
      <c r="HXQ524" s="1358"/>
      <c r="HXR524" s="1358"/>
      <c r="HXS524" s="1358"/>
      <c r="HXT524" s="1358"/>
      <c r="HXU524" s="1358"/>
      <c r="HXV524" s="1358"/>
      <c r="HXW524" s="1358"/>
      <c r="HXX524" s="1358"/>
      <c r="HXY524" s="1358"/>
      <c r="HXZ524" s="1358"/>
      <c r="HYA524" s="1358"/>
      <c r="HYB524" s="1358"/>
      <c r="HYC524" s="1358"/>
      <c r="HYD524" s="1358"/>
      <c r="HYE524" s="1358"/>
      <c r="HYF524" s="1358"/>
      <c r="HYG524" s="1358"/>
      <c r="HYH524" s="1358"/>
      <c r="HYI524" s="1358"/>
      <c r="HYJ524" s="1358"/>
      <c r="HYK524" s="1358"/>
      <c r="HYL524" s="1358"/>
      <c r="HYM524" s="1358"/>
      <c r="HYN524" s="1358"/>
      <c r="HYO524" s="1358"/>
      <c r="HYP524" s="1358"/>
      <c r="HYQ524" s="1358"/>
      <c r="HYR524" s="1358"/>
      <c r="HYS524" s="1358"/>
      <c r="HYT524" s="1358"/>
      <c r="HYU524" s="1358"/>
      <c r="HYV524" s="1358"/>
      <c r="HYW524" s="1358"/>
      <c r="HYX524" s="1358"/>
      <c r="HYY524" s="1358"/>
      <c r="HYZ524" s="1358"/>
      <c r="HZA524" s="1358"/>
      <c r="HZB524" s="1358"/>
      <c r="HZC524" s="1358"/>
      <c r="HZD524" s="1358"/>
      <c r="HZE524" s="1358"/>
      <c r="HZF524" s="1358"/>
      <c r="HZG524" s="1358"/>
      <c r="HZH524" s="1358"/>
      <c r="HZI524" s="1358"/>
      <c r="HZJ524" s="1358"/>
      <c r="HZK524" s="1358"/>
      <c r="HZL524" s="1358"/>
      <c r="HZM524" s="1358"/>
      <c r="HZN524" s="1358"/>
      <c r="HZO524" s="1358"/>
      <c r="HZP524" s="1358"/>
      <c r="HZQ524" s="1358"/>
      <c r="HZR524" s="1358"/>
      <c r="HZS524" s="1358"/>
      <c r="HZT524" s="1358"/>
      <c r="HZU524" s="1358"/>
      <c r="HZV524" s="1358"/>
      <c r="HZW524" s="1358"/>
      <c r="HZX524" s="1358"/>
      <c r="HZY524" s="1358"/>
      <c r="HZZ524" s="1358"/>
      <c r="IAA524" s="1358"/>
      <c r="IAB524" s="1358"/>
      <c r="IAC524" s="1358"/>
      <c r="IAD524" s="1358"/>
      <c r="IAE524" s="1358"/>
      <c r="IAF524" s="1358"/>
      <c r="IAG524" s="1358"/>
      <c r="IAH524" s="1358"/>
      <c r="IAI524" s="1358"/>
      <c r="IAJ524" s="1358"/>
      <c r="IAK524" s="1358"/>
      <c r="IAL524" s="1358"/>
      <c r="IAM524" s="1358"/>
      <c r="IAN524" s="1358"/>
      <c r="IAO524" s="1358"/>
      <c r="IAP524" s="1358"/>
      <c r="IAQ524" s="1358"/>
      <c r="IAR524" s="1358"/>
      <c r="IAS524" s="1358"/>
      <c r="IAT524" s="1358"/>
      <c r="IAU524" s="1358"/>
      <c r="IAV524" s="1358"/>
      <c r="IAW524" s="1358"/>
      <c r="IAX524" s="1358"/>
      <c r="IAY524" s="1358"/>
      <c r="IAZ524" s="1358"/>
      <c r="IBA524" s="1358"/>
      <c r="IBB524" s="1358"/>
      <c r="IBC524" s="1358"/>
      <c r="IBD524" s="1358"/>
      <c r="IBE524" s="1358"/>
      <c r="IBF524" s="1358"/>
      <c r="IBG524" s="1358"/>
      <c r="IBH524" s="1358"/>
      <c r="IBI524" s="1358"/>
      <c r="IBJ524" s="1358"/>
      <c r="IBK524" s="1358"/>
      <c r="IBL524" s="1358"/>
      <c r="IBM524" s="1358"/>
      <c r="IBN524" s="1358"/>
      <c r="IBO524" s="1358"/>
      <c r="IBP524" s="1358"/>
      <c r="IBQ524" s="1358"/>
      <c r="IBR524" s="1358"/>
      <c r="IBS524" s="1358"/>
      <c r="IBT524" s="1358"/>
      <c r="IBU524" s="1358"/>
      <c r="IBV524" s="1358"/>
      <c r="IBW524" s="1358"/>
      <c r="IBX524" s="1358"/>
      <c r="IBY524" s="1358"/>
      <c r="IBZ524" s="1358"/>
      <c r="ICA524" s="1358"/>
      <c r="ICB524" s="1358"/>
      <c r="ICC524" s="1358"/>
      <c r="ICD524" s="1358"/>
      <c r="ICE524" s="1358"/>
      <c r="ICF524" s="1358"/>
      <c r="ICG524" s="1358"/>
      <c r="ICH524" s="1358"/>
      <c r="ICI524" s="1358"/>
      <c r="ICJ524" s="1358"/>
      <c r="ICK524" s="1358"/>
      <c r="ICL524" s="1358"/>
      <c r="ICM524" s="1358"/>
      <c r="ICN524" s="1358"/>
      <c r="ICO524" s="1358"/>
      <c r="ICP524" s="1358"/>
      <c r="ICQ524" s="1358"/>
      <c r="ICR524" s="1358"/>
      <c r="ICS524" s="1358"/>
      <c r="ICT524" s="1358"/>
      <c r="ICU524" s="1358"/>
      <c r="ICV524" s="1358"/>
      <c r="ICW524" s="1358"/>
      <c r="ICX524" s="1358"/>
      <c r="ICY524" s="1358"/>
      <c r="ICZ524" s="1358"/>
      <c r="IDA524" s="1358"/>
      <c r="IDB524" s="1358"/>
      <c r="IDC524" s="1358"/>
      <c r="IDD524" s="1358"/>
      <c r="IDE524" s="1358"/>
      <c r="IDF524" s="1358"/>
      <c r="IDG524" s="1358"/>
      <c r="IDH524" s="1358"/>
      <c r="IDI524" s="1358"/>
      <c r="IDJ524" s="1358"/>
      <c r="IDK524" s="1358"/>
      <c r="IDL524" s="1358"/>
      <c r="IDM524" s="1358"/>
      <c r="IDN524" s="1358"/>
      <c r="IDO524" s="1358"/>
      <c r="IDP524" s="1358"/>
      <c r="IDQ524" s="1358"/>
      <c r="IDR524" s="1358"/>
      <c r="IDS524" s="1358"/>
      <c r="IDT524" s="1358"/>
      <c r="IDU524" s="1358"/>
      <c r="IDV524" s="1358"/>
      <c r="IDW524" s="1358"/>
      <c r="IDX524" s="1358"/>
      <c r="IDY524" s="1358"/>
      <c r="IDZ524" s="1358"/>
      <c r="IEA524" s="1358"/>
      <c r="IEB524" s="1358"/>
      <c r="IEC524" s="1358"/>
      <c r="IED524" s="1358"/>
      <c r="IEE524" s="1358"/>
      <c r="IEF524" s="1358"/>
      <c r="IEG524" s="1358"/>
      <c r="IEH524" s="1358"/>
      <c r="IEI524" s="1358"/>
      <c r="IEJ524" s="1358"/>
      <c r="IEK524" s="1358"/>
      <c r="IEL524" s="1358"/>
      <c r="IEM524" s="1358"/>
      <c r="IEN524" s="1358"/>
      <c r="IEO524" s="1358"/>
      <c r="IEP524" s="1358"/>
      <c r="IEQ524" s="1358"/>
      <c r="IER524" s="1358"/>
      <c r="IES524" s="1358"/>
      <c r="IET524" s="1358"/>
      <c r="IEU524" s="1358"/>
      <c r="IEV524" s="1358"/>
      <c r="IEW524" s="1358"/>
      <c r="IEX524" s="1358"/>
      <c r="IEY524" s="1358"/>
      <c r="IEZ524" s="1358"/>
      <c r="IFA524" s="1358"/>
      <c r="IFB524" s="1358"/>
      <c r="IFC524" s="1358"/>
      <c r="IFD524" s="1358"/>
      <c r="IFE524" s="1358"/>
      <c r="IFF524" s="1358"/>
      <c r="IFG524" s="1358"/>
      <c r="IFH524" s="1358"/>
      <c r="IFI524" s="1358"/>
      <c r="IFJ524" s="1358"/>
      <c r="IFK524" s="1358"/>
      <c r="IFL524" s="1358"/>
      <c r="IFM524" s="1358"/>
      <c r="IFN524" s="1358"/>
      <c r="IFO524" s="1358"/>
      <c r="IFP524" s="1358"/>
      <c r="IFQ524" s="1358"/>
      <c r="IFR524" s="1358"/>
      <c r="IFS524" s="1358"/>
      <c r="IFT524" s="1358"/>
      <c r="IFU524" s="1358"/>
      <c r="IFV524" s="1358"/>
      <c r="IFW524" s="1358"/>
      <c r="IFX524" s="1358"/>
      <c r="IFY524" s="1358"/>
      <c r="IFZ524" s="1358"/>
      <c r="IGA524" s="1358"/>
      <c r="IGB524" s="1358"/>
      <c r="IGC524" s="1358"/>
      <c r="IGD524" s="1358"/>
      <c r="IGE524" s="1358"/>
      <c r="IGF524" s="1358"/>
      <c r="IGG524" s="1358"/>
      <c r="IGH524" s="1358"/>
      <c r="IGI524" s="1358"/>
      <c r="IGJ524" s="1358"/>
      <c r="IGK524" s="1358"/>
      <c r="IGL524" s="1358"/>
      <c r="IGM524" s="1358"/>
      <c r="IGN524" s="1358"/>
      <c r="IGO524" s="1358"/>
      <c r="IGP524" s="1358"/>
      <c r="IGQ524" s="1358"/>
      <c r="IGR524" s="1358"/>
      <c r="IGS524" s="1358"/>
      <c r="IGT524" s="1358"/>
      <c r="IGU524" s="1358"/>
      <c r="IGV524" s="1358"/>
      <c r="IGW524" s="1358"/>
      <c r="IGX524" s="1358"/>
      <c r="IGY524" s="1358"/>
      <c r="IGZ524" s="1358"/>
      <c r="IHA524" s="1358"/>
      <c r="IHB524" s="1358"/>
      <c r="IHC524" s="1358"/>
      <c r="IHD524" s="1358"/>
      <c r="IHE524" s="1358"/>
      <c r="IHF524" s="1358"/>
      <c r="IHG524" s="1358"/>
      <c r="IHH524" s="1358"/>
      <c r="IHI524" s="1358"/>
      <c r="IHJ524" s="1358"/>
      <c r="IHK524" s="1358"/>
      <c r="IHL524" s="1358"/>
      <c r="IHM524" s="1358"/>
      <c r="IHN524" s="1358"/>
      <c r="IHO524" s="1358"/>
      <c r="IHP524" s="1358"/>
      <c r="IHQ524" s="1358"/>
      <c r="IHR524" s="1358"/>
      <c r="IHS524" s="1358"/>
      <c r="IHT524" s="1358"/>
      <c r="IHU524" s="1358"/>
      <c r="IHV524" s="1358"/>
      <c r="IHW524" s="1358"/>
      <c r="IHX524" s="1358"/>
      <c r="IHY524" s="1358"/>
      <c r="IHZ524" s="1358"/>
      <c r="IIA524" s="1358"/>
      <c r="IIB524" s="1358"/>
      <c r="IIC524" s="1358"/>
      <c r="IID524" s="1358"/>
      <c r="IIE524" s="1358"/>
      <c r="IIF524" s="1358"/>
      <c r="IIG524" s="1358"/>
      <c r="IIH524" s="1358"/>
      <c r="III524" s="1358"/>
      <c r="IIJ524" s="1358"/>
      <c r="IIK524" s="1358"/>
      <c r="IIL524" s="1358"/>
      <c r="IIM524" s="1358"/>
      <c r="IIN524" s="1358"/>
      <c r="IIO524" s="1358"/>
      <c r="IIP524" s="1358"/>
      <c r="IIQ524" s="1358"/>
      <c r="IIR524" s="1358"/>
      <c r="IIS524" s="1358"/>
      <c r="IIT524" s="1358"/>
      <c r="IIU524" s="1358"/>
      <c r="IIV524" s="1358"/>
      <c r="IIW524" s="1358"/>
      <c r="IIX524" s="1358"/>
      <c r="IIY524" s="1358"/>
      <c r="IIZ524" s="1358"/>
      <c r="IJA524" s="1358"/>
      <c r="IJB524" s="1358"/>
      <c r="IJC524" s="1358"/>
      <c r="IJD524" s="1358"/>
      <c r="IJE524" s="1358"/>
      <c r="IJF524" s="1358"/>
      <c r="IJG524" s="1358"/>
      <c r="IJH524" s="1358"/>
      <c r="IJI524" s="1358"/>
      <c r="IJJ524" s="1358"/>
      <c r="IJK524" s="1358"/>
      <c r="IJL524" s="1358"/>
      <c r="IJM524" s="1358"/>
      <c r="IJN524" s="1358"/>
      <c r="IJO524" s="1358"/>
      <c r="IJP524" s="1358"/>
      <c r="IJQ524" s="1358"/>
      <c r="IJR524" s="1358"/>
      <c r="IJS524" s="1358"/>
      <c r="IJT524" s="1358"/>
      <c r="IJU524" s="1358"/>
      <c r="IJV524" s="1358"/>
      <c r="IJW524" s="1358"/>
      <c r="IJX524" s="1358"/>
      <c r="IJY524" s="1358"/>
      <c r="IJZ524" s="1358"/>
      <c r="IKA524" s="1358"/>
      <c r="IKB524" s="1358"/>
      <c r="IKC524" s="1358"/>
      <c r="IKD524" s="1358"/>
      <c r="IKE524" s="1358"/>
      <c r="IKF524" s="1358"/>
      <c r="IKG524" s="1358"/>
      <c r="IKH524" s="1358"/>
      <c r="IKI524" s="1358"/>
      <c r="IKJ524" s="1358"/>
      <c r="IKK524" s="1358"/>
      <c r="IKL524" s="1358"/>
      <c r="IKM524" s="1358"/>
      <c r="IKN524" s="1358"/>
      <c r="IKO524" s="1358"/>
      <c r="IKP524" s="1358"/>
      <c r="IKQ524" s="1358"/>
      <c r="IKR524" s="1358"/>
      <c r="IKS524" s="1358"/>
      <c r="IKT524" s="1358"/>
      <c r="IKU524" s="1358"/>
      <c r="IKV524" s="1358"/>
      <c r="IKW524" s="1358"/>
      <c r="IKX524" s="1358"/>
      <c r="IKY524" s="1358"/>
      <c r="IKZ524" s="1358"/>
      <c r="ILA524" s="1358"/>
      <c r="ILB524" s="1358"/>
      <c r="ILC524" s="1358"/>
      <c r="ILD524" s="1358"/>
      <c r="ILE524" s="1358"/>
      <c r="ILF524" s="1358"/>
      <c r="ILG524" s="1358"/>
      <c r="ILH524" s="1358"/>
      <c r="ILI524" s="1358"/>
      <c r="ILJ524" s="1358"/>
      <c r="ILK524" s="1358"/>
      <c r="ILL524" s="1358"/>
      <c r="ILM524" s="1358"/>
      <c r="ILN524" s="1358"/>
      <c r="ILO524" s="1358"/>
      <c r="ILP524" s="1358"/>
      <c r="ILQ524" s="1358"/>
      <c r="ILR524" s="1358"/>
      <c r="ILS524" s="1358"/>
      <c r="ILT524" s="1358"/>
      <c r="ILU524" s="1358"/>
      <c r="ILV524" s="1358"/>
      <c r="ILW524" s="1358"/>
      <c r="ILX524" s="1358"/>
      <c r="ILY524" s="1358"/>
      <c r="ILZ524" s="1358"/>
      <c r="IMA524" s="1358"/>
      <c r="IMB524" s="1358"/>
      <c r="IMC524" s="1358"/>
      <c r="IMD524" s="1358"/>
      <c r="IME524" s="1358"/>
      <c r="IMF524" s="1358"/>
      <c r="IMG524" s="1358"/>
      <c r="IMH524" s="1358"/>
      <c r="IMI524" s="1358"/>
      <c r="IMJ524" s="1358"/>
      <c r="IMK524" s="1358"/>
      <c r="IML524" s="1358"/>
      <c r="IMM524" s="1358"/>
      <c r="IMN524" s="1358"/>
      <c r="IMO524" s="1358"/>
      <c r="IMP524" s="1358"/>
      <c r="IMQ524" s="1358"/>
      <c r="IMR524" s="1358"/>
      <c r="IMS524" s="1358"/>
      <c r="IMT524" s="1358"/>
      <c r="IMU524" s="1358"/>
      <c r="IMV524" s="1358"/>
      <c r="IMW524" s="1358"/>
      <c r="IMX524" s="1358"/>
      <c r="IMY524" s="1358"/>
      <c r="IMZ524" s="1358"/>
      <c r="INA524" s="1358"/>
      <c r="INB524" s="1358"/>
      <c r="INC524" s="1358"/>
      <c r="IND524" s="1358"/>
      <c r="INE524" s="1358"/>
      <c r="INF524" s="1358"/>
      <c r="ING524" s="1358"/>
      <c r="INH524" s="1358"/>
      <c r="INI524" s="1358"/>
      <c r="INJ524" s="1358"/>
      <c r="INK524" s="1358"/>
      <c r="INL524" s="1358"/>
      <c r="INM524" s="1358"/>
      <c r="INN524" s="1358"/>
      <c r="INO524" s="1358"/>
      <c r="INP524" s="1358"/>
      <c r="INQ524" s="1358"/>
      <c r="INR524" s="1358"/>
      <c r="INS524" s="1358"/>
      <c r="INT524" s="1358"/>
      <c r="INU524" s="1358"/>
      <c r="INV524" s="1358"/>
      <c r="INW524" s="1358"/>
      <c r="INX524" s="1358"/>
      <c r="INY524" s="1358"/>
      <c r="INZ524" s="1358"/>
      <c r="IOA524" s="1358"/>
      <c r="IOB524" s="1358"/>
      <c r="IOC524" s="1358"/>
      <c r="IOD524" s="1358"/>
      <c r="IOE524" s="1358"/>
      <c r="IOF524" s="1358"/>
      <c r="IOG524" s="1358"/>
      <c r="IOH524" s="1358"/>
      <c r="IOI524" s="1358"/>
      <c r="IOJ524" s="1358"/>
      <c r="IOK524" s="1358"/>
      <c r="IOL524" s="1358"/>
      <c r="IOM524" s="1358"/>
      <c r="ION524" s="1358"/>
      <c r="IOO524" s="1358"/>
      <c r="IOP524" s="1358"/>
      <c r="IOQ524" s="1358"/>
      <c r="IOR524" s="1358"/>
      <c r="IOS524" s="1358"/>
      <c r="IOT524" s="1358"/>
      <c r="IOU524" s="1358"/>
      <c r="IOV524" s="1358"/>
      <c r="IOW524" s="1358"/>
      <c r="IOX524" s="1358"/>
      <c r="IOY524" s="1358"/>
      <c r="IOZ524" s="1358"/>
      <c r="IPA524" s="1358"/>
      <c r="IPB524" s="1358"/>
      <c r="IPC524" s="1358"/>
      <c r="IPD524" s="1358"/>
      <c r="IPE524" s="1358"/>
      <c r="IPF524" s="1358"/>
      <c r="IPG524" s="1358"/>
      <c r="IPH524" s="1358"/>
      <c r="IPI524" s="1358"/>
      <c r="IPJ524" s="1358"/>
      <c r="IPK524" s="1358"/>
      <c r="IPL524" s="1358"/>
      <c r="IPM524" s="1358"/>
      <c r="IPN524" s="1358"/>
      <c r="IPO524" s="1358"/>
      <c r="IPP524" s="1358"/>
      <c r="IPQ524" s="1358"/>
      <c r="IPR524" s="1358"/>
      <c r="IPS524" s="1358"/>
      <c r="IPT524" s="1358"/>
      <c r="IPU524" s="1358"/>
      <c r="IPV524" s="1358"/>
      <c r="IPW524" s="1358"/>
      <c r="IPX524" s="1358"/>
      <c r="IPY524" s="1358"/>
      <c r="IPZ524" s="1358"/>
      <c r="IQA524" s="1358"/>
      <c r="IQB524" s="1358"/>
      <c r="IQC524" s="1358"/>
      <c r="IQD524" s="1358"/>
      <c r="IQE524" s="1358"/>
      <c r="IQF524" s="1358"/>
      <c r="IQG524" s="1358"/>
      <c r="IQH524" s="1358"/>
      <c r="IQI524" s="1358"/>
      <c r="IQJ524" s="1358"/>
      <c r="IQK524" s="1358"/>
      <c r="IQL524" s="1358"/>
      <c r="IQM524" s="1358"/>
      <c r="IQN524" s="1358"/>
      <c r="IQO524" s="1358"/>
      <c r="IQP524" s="1358"/>
      <c r="IQQ524" s="1358"/>
      <c r="IQR524" s="1358"/>
      <c r="IQS524" s="1358"/>
      <c r="IQT524" s="1358"/>
      <c r="IQU524" s="1358"/>
      <c r="IQV524" s="1358"/>
      <c r="IQW524" s="1358"/>
      <c r="IQX524" s="1358"/>
      <c r="IQY524" s="1358"/>
      <c r="IQZ524" s="1358"/>
      <c r="IRA524" s="1358"/>
      <c r="IRB524" s="1358"/>
      <c r="IRC524" s="1358"/>
      <c r="IRD524" s="1358"/>
      <c r="IRE524" s="1358"/>
      <c r="IRF524" s="1358"/>
      <c r="IRG524" s="1358"/>
      <c r="IRH524" s="1358"/>
      <c r="IRI524" s="1358"/>
      <c r="IRJ524" s="1358"/>
      <c r="IRK524" s="1358"/>
      <c r="IRL524" s="1358"/>
      <c r="IRM524" s="1358"/>
      <c r="IRN524" s="1358"/>
      <c r="IRO524" s="1358"/>
      <c r="IRP524" s="1358"/>
      <c r="IRQ524" s="1358"/>
      <c r="IRR524" s="1358"/>
      <c r="IRS524" s="1358"/>
      <c r="IRT524" s="1358"/>
      <c r="IRU524" s="1358"/>
      <c r="IRV524" s="1358"/>
      <c r="IRW524" s="1358"/>
      <c r="IRX524" s="1358"/>
      <c r="IRY524" s="1358"/>
      <c r="IRZ524" s="1358"/>
      <c r="ISA524" s="1358"/>
      <c r="ISB524" s="1358"/>
      <c r="ISC524" s="1358"/>
      <c r="ISD524" s="1358"/>
      <c r="ISE524" s="1358"/>
      <c r="ISF524" s="1358"/>
      <c r="ISG524" s="1358"/>
      <c r="ISH524" s="1358"/>
      <c r="ISI524" s="1358"/>
      <c r="ISJ524" s="1358"/>
      <c r="ISK524" s="1358"/>
      <c r="ISL524" s="1358"/>
      <c r="ISM524" s="1358"/>
      <c r="ISN524" s="1358"/>
      <c r="ISO524" s="1358"/>
      <c r="ISP524" s="1358"/>
      <c r="ISQ524" s="1358"/>
      <c r="ISR524" s="1358"/>
      <c r="ISS524" s="1358"/>
      <c r="IST524" s="1358"/>
      <c r="ISU524" s="1358"/>
      <c r="ISV524" s="1358"/>
      <c r="ISW524" s="1358"/>
      <c r="ISX524" s="1358"/>
      <c r="ISY524" s="1358"/>
      <c r="ISZ524" s="1358"/>
      <c r="ITA524" s="1358"/>
      <c r="ITB524" s="1358"/>
      <c r="ITC524" s="1358"/>
      <c r="ITD524" s="1358"/>
      <c r="ITE524" s="1358"/>
      <c r="ITF524" s="1358"/>
      <c r="ITG524" s="1358"/>
      <c r="ITH524" s="1358"/>
      <c r="ITI524" s="1358"/>
      <c r="ITJ524" s="1358"/>
      <c r="ITK524" s="1358"/>
      <c r="ITL524" s="1358"/>
      <c r="ITM524" s="1358"/>
      <c r="ITN524" s="1358"/>
      <c r="ITO524" s="1358"/>
      <c r="ITP524" s="1358"/>
      <c r="ITQ524" s="1358"/>
      <c r="ITR524" s="1358"/>
      <c r="ITS524" s="1358"/>
      <c r="ITT524" s="1358"/>
      <c r="ITU524" s="1358"/>
      <c r="ITV524" s="1358"/>
      <c r="ITW524" s="1358"/>
      <c r="ITX524" s="1358"/>
      <c r="ITY524" s="1358"/>
      <c r="ITZ524" s="1358"/>
      <c r="IUA524" s="1358"/>
      <c r="IUB524" s="1358"/>
      <c r="IUC524" s="1358"/>
      <c r="IUD524" s="1358"/>
      <c r="IUE524" s="1358"/>
      <c r="IUF524" s="1358"/>
      <c r="IUG524" s="1358"/>
      <c r="IUH524" s="1358"/>
      <c r="IUI524" s="1358"/>
      <c r="IUJ524" s="1358"/>
      <c r="IUK524" s="1358"/>
      <c r="IUL524" s="1358"/>
      <c r="IUM524" s="1358"/>
      <c r="IUN524" s="1358"/>
      <c r="IUO524" s="1358"/>
      <c r="IUP524" s="1358"/>
      <c r="IUQ524" s="1358"/>
      <c r="IUR524" s="1358"/>
      <c r="IUS524" s="1358"/>
      <c r="IUT524" s="1358"/>
      <c r="IUU524" s="1358"/>
      <c r="IUV524" s="1358"/>
      <c r="IUW524" s="1358"/>
      <c r="IUX524" s="1358"/>
      <c r="IUY524" s="1358"/>
      <c r="IUZ524" s="1358"/>
      <c r="IVA524" s="1358"/>
      <c r="IVB524" s="1358"/>
      <c r="IVC524" s="1358"/>
      <c r="IVD524" s="1358"/>
      <c r="IVE524" s="1358"/>
      <c r="IVF524" s="1358"/>
      <c r="IVG524" s="1358"/>
      <c r="IVH524" s="1358"/>
      <c r="IVI524" s="1358"/>
      <c r="IVJ524" s="1358"/>
      <c r="IVK524" s="1358"/>
      <c r="IVL524" s="1358"/>
      <c r="IVM524" s="1358"/>
      <c r="IVN524" s="1358"/>
      <c r="IVO524" s="1358"/>
      <c r="IVP524" s="1358"/>
      <c r="IVQ524" s="1358"/>
      <c r="IVR524" s="1358"/>
      <c r="IVS524" s="1358"/>
      <c r="IVT524" s="1358"/>
      <c r="IVU524" s="1358"/>
      <c r="IVV524" s="1358"/>
      <c r="IVW524" s="1358"/>
      <c r="IVX524" s="1358"/>
      <c r="IVY524" s="1358"/>
      <c r="IVZ524" s="1358"/>
      <c r="IWA524" s="1358"/>
      <c r="IWB524" s="1358"/>
      <c r="IWC524" s="1358"/>
      <c r="IWD524" s="1358"/>
      <c r="IWE524" s="1358"/>
      <c r="IWF524" s="1358"/>
      <c r="IWG524" s="1358"/>
      <c r="IWH524" s="1358"/>
      <c r="IWI524" s="1358"/>
      <c r="IWJ524" s="1358"/>
      <c r="IWK524" s="1358"/>
      <c r="IWL524" s="1358"/>
      <c r="IWM524" s="1358"/>
      <c r="IWN524" s="1358"/>
      <c r="IWO524" s="1358"/>
      <c r="IWP524" s="1358"/>
      <c r="IWQ524" s="1358"/>
      <c r="IWR524" s="1358"/>
      <c r="IWS524" s="1358"/>
      <c r="IWT524" s="1358"/>
      <c r="IWU524" s="1358"/>
      <c r="IWV524" s="1358"/>
      <c r="IWW524" s="1358"/>
      <c r="IWX524" s="1358"/>
      <c r="IWY524" s="1358"/>
      <c r="IWZ524" s="1358"/>
      <c r="IXA524" s="1358"/>
      <c r="IXB524" s="1358"/>
      <c r="IXC524" s="1358"/>
      <c r="IXD524" s="1358"/>
      <c r="IXE524" s="1358"/>
      <c r="IXF524" s="1358"/>
      <c r="IXG524" s="1358"/>
      <c r="IXH524" s="1358"/>
      <c r="IXI524" s="1358"/>
      <c r="IXJ524" s="1358"/>
      <c r="IXK524" s="1358"/>
      <c r="IXL524" s="1358"/>
      <c r="IXM524" s="1358"/>
      <c r="IXN524" s="1358"/>
      <c r="IXO524" s="1358"/>
      <c r="IXP524" s="1358"/>
      <c r="IXQ524" s="1358"/>
      <c r="IXR524" s="1358"/>
      <c r="IXS524" s="1358"/>
      <c r="IXT524" s="1358"/>
      <c r="IXU524" s="1358"/>
      <c r="IXV524" s="1358"/>
      <c r="IXW524" s="1358"/>
      <c r="IXX524" s="1358"/>
      <c r="IXY524" s="1358"/>
      <c r="IXZ524" s="1358"/>
      <c r="IYA524" s="1358"/>
      <c r="IYB524" s="1358"/>
      <c r="IYC524" s="1358"/>
      <c r="IYD524" s="1358"/>
      <c r="IYE524" s="1358"/>
      <c r="IYF524" s="1358"/>
      <c r="IYG524" s="1358"/>
      <c r="IYH524" s="1358"/>
      <c r="IYI524" s="1358"/>
      <c r="IYJ524" s="1358"/>
      <c r="IYK524" s="1358"/>
      <c r="IYL524" s="1358"/>
      <c r="IYM524" s="1358"/>
      <c r="IYN524" s="1358"/>
      <c r="IYO524" s="1358"/>
      <c r="IYP524" s="1358"/>
      <c r="IYQ524" s="1358"/>
      <c r="IYR524" s="1358"/>
      <c r="IYS524" s="1358"/>
      <c r="IYT524" s="1358"/>
      <c r="IYU524" s="1358"/>
      <c r="IYV524" s="1358"/>
      <c r="IYW524" s="1358"/>
      <c r="IYX524" s="1358"/>
      <c r="IYY524" s="1358"/>
      <c r="IYZ524" s="1358"/>
      <c r="IZA524" s="1358"/>
      <c r="IZB524" s="1358"/>
      <c r="IZC524" s="1358"/>
      <c r="IZD524" s="1358"/>
      <c r="IZE524" s="1358"/>
      <c r="IZF524" s="1358"/>
      <c r="IZG524" s="1358"/>
      <c r="IZH524" s="1358"/>
      <c r="IZI524" s="1358"/>
      <c r="IZJ524" s="1358"/>
      <c r="IZK524" s="1358"/>
      <c r="IZL524" s="1358"/>
      <c r="IZM524" s="1358"/>
      <c r="IZN524" s="1358"/>
      <c r="IZO524" s="1358"/>
      <c r="IZP524" s="1358"/>
      <c r="IZQ524" s="1358"/>
      <c r="IZR524" s="1358"/>
      <c r="IZS524" s="1358"/>
      <c r="IZT524" s="1358"/>
      <c r="IZU524" s="1358"/>
      <c r="IZV524" s="1358"/>
      <c r="IZW524" s="1358"/>
      <c r="IZX524" s="1358"/>
      <c r="IZY524" s="1358"/>
      <c r="IZZ524" s="1358"/>
      <c r="JAA524" s="1358"/>
      <c r="JAB524" s="1358"/>
      <c r="JAC524" s="1358"/>
      <c r="JAD524" s="1358"/>
      <c r="JAE524" s="1358"/>
      <c r="JAF524" s="1358"/>
      <c r="JAG524" s="1358"/>
      <c r="JAH524" s="1358"/>
      <c r="JAI524" s="1358"/>
      <c r="JAJ524" s="1358"/>
      <c r="JAK524" s="1358"/>
      <c r="JAL524" s="1358"/>
      <c r="JAM524" s="1358"/>
      <c r="JAN524" s="1358"/>
      <c r="JAO524" s="1358"/>
      <c r="JAP524" s="1358"/>
      <c r="JAQ524" s="1358"/>
      <c r="JAR524" s="1358"/>
      <c r="JAS524" s="1358"/>
      <c r="JAT524" s="1358"/>
      <c r="JAU524" s="1358"/>
      <c r="JAV524" s="1358"/>
      <c r="JAW524" s="1358"/>
      <c r="JAX524" s="1358"/>
      <c r="JAY524" s="1358"/>
      <c r="JAZ524" s="1358"/>
      <c r="JBA524" s="1358"/>
      <c r="JBB524" s="1358"/>
      <c r="JBC524" s="1358"/>
      <c r="JBD524" s="1358"/>
      <c r="JBE524" s="1358"/>
      <c r="JBF524" s="1358"/>
      <c r="JBG524" s="1358"/>
      <c r="JBH524" s="1358"/>
      <c r="JBI524" s="1358"/>
      <c r="JBJ524" s="1358"/>
      <c r="JBK524" s="1358"/>
      <c r="JBL524" s="1358"/>
      <c r="JBM524" s="1358"/>
      <c r="JBN524" s="1358"/>
      <c r="JBO524" s="1358"/>
      <c r="JBP524" s="1358"/>
      <c r="JBQ524" s="1358"/>
      <c r="JBR524" s="1358"/>
      <c r="JBS524" s="1358"/>
      <c r="JBT524" s="1358"/>
      <c r="JBU524" s="1358"/>
      <c r="JBV524" s="1358"/>
      <c r="JBW524" s="1358"/>
      <c r="JBX524" s="1358"/>
      <c r="JBY524" s="1358"/>
      <c r="JBZ524" s="1358"/>
      <c r="JCA524" s="1358"/>
      <c r="JCB524" s="1358"/>
      <c r="JCC524" s="1358"/>
      <c r="JCD524" s="1358"/>
      <c r="JCE524" s="1358"/>
      <c r="JCF524" s="1358"/>
      <c r="JCG524" s="1358"/>
      <c r="JCH524" s="1358"/>
      <c r="JCI524" s="1358"/>
      <c r="JCJ524" s="1358"/>
      <c r="JCK524" s="1358"/>
      <c r="JCL524" s="1358"/>
      <c r="JCM524" s="1358"/>
      <c r="JCN524" s="1358"/>
      <c r="JCO524" s="1358"/>
      <c r="JCP524" s="1358"/>
      <c r="JCQ524" s="1358"/>
      <c r="JCR524" s="1358"/>
      <c r="JCS524" s="1358"/>
      <c r="JCT524" s="1358"/>
      <c r="JCU524" s="1358"/>
      <c r="JCV524" s="1358"/>
      <c r="JCW524" s="1358"/>
      <c r="JCX524" s="1358"/>
      <c r="JCY524" s="1358"/>
      <c r="JCZ524" s="1358"/>
      <c r="JDA524" s="1358"/>
      <c r="JDB524" s="1358"/>
      <c r="JDC524" s="1358"/>
      <c r="JDD524" s="1358"/>
      <c r="JDE524" s="1358"/>
      <c r="JDF524" s="1358"/>
      <c r="JDG524" s="1358"/>
      <c r="JDH524" s="1358"/>
      <c r="JDI524" s="1358"/>
      <c r="JDJ524" s="1358"/>
      <c r="JDK524" s="1358"/>
      <c r="JDL524" s="1358"/>
      <c r="JDM524" s="1358"/>
      <c r="JDN524" s="1358"/>
      <c r="JDO524" s="1358"/>
      <c r="JDP524" s="1358"/>
      <c r="JDQ524" s="1358"/>
      <c r="JDR524" s="1358"/>
      <c r="JDS524" s="1358"/>
      <c r="JDT524" s="1358"/>
      <c r="JDU524" s="1358"/>
      <c r="JDV524" s="1358"/>
      <c r="JDW524" s="1358"/>
      <c r="JDX524" s="1358"/>
      <c r="JDY524" s="1358"/>
      <c r="JDZ524" s="1358"/>
      <c r="JEA524" s="1358"/>
      <c r="JEB524" s="1358"/>
      <c r="JEC524" s="1358"/>
      <c r="JED524" s="1358"/>
      <c r="JEE524" s="1358"/>
      <c r="JEF524" s="1358"/>
      <c r="JEG524" s="1358"/>
      <c r="JEH524" s="1358"/>
      <c r="JEI524" s="1358"/>
      <c r="JEJ524" s="1358"/>
      <c r="JEK524" s="1358"/>
      <c r="JEL524" s="1358"/>
      <c r="JEM524" s="1358"/>
      <c r="JEN524" s="1358"/>
      <c r="JEO524" s="1358"/>
      <c r="JEP524" s="1358"/>
      <c r="JEQ524" s="1358"/>
      <c r="JER524" s="1358"/>
      <c r="JES524" s="1358"/>
      <c r="JET524" s="1358"/>
      <c r="JEU524" s="1358"/>
      <c r="JEV524" s="1358"/>
      <c r="JEW524" s="1358"/>
      <c r="JEX524" s="1358"/>
      <c r="JEY524" s="1358"/>
      <c r="JEZ524" s="1358"/>
      <c r="JFA524" s="1358"/>
      <c r="JFB524" s="1358"/>
      <c r="JFC524" s="1358"/>
      <c r="JFD524" s="1358"/>
      <c r="JFE524" s="1358"/>
      <c r="JFF524" s="1358"/>
      <c r="JFG524" s="1358"/>
      <c r="JFH524" s="1358"/>
      <c r="JFI524" s="1358"/>
      <c r="JFJ524" s="1358"/>
      <c r="JFK524" s="1358"/>
      <c r="JFL524" s="1358"/>
      <c r="JFM524" s="1358"/>
      <c r="JFN524" s="1358"/>
      <c r="JFO524" s="1358"/>
      <c r="JFP524" s="1358"/>
      <c r="JFQ524" s="1358"/>
      <c r="JFR524" s="1358"/>
      <c r="JFS524" s="1358"/>
      <c r="JFT524" s="1358"/>
      <c r="JFU524" s="1358"/>
      <c r="JFV524" s="1358"/>
      <c r="JFW524" s="1358"/>
      <c r="JFX524" s="1358"/>
      <c r="JFY524" s="1358"/>
      <c r="JFZ524" s="1358"/>
      <c r="JGA524" s="1358"/>
      <c r="JGB524" s="1358"/>
      <c r="JGC524" s="1358"/>
      <c r="JGD524" s="1358"/>
      <c r="JGE524" s="1358"/>
      <c r="JGF524" s="1358"/>
      <c r="JGG524" s="1358"/>
      <c r="JGH524" s="1358"/>
      <c r="JGI524" s="1358"/>
      <c r="JGJ524" s="1358"/>
      <c r="JGK524" s="1358"/>
      <c r="JGL524" s="1358"/>
      <c r="JGM524" s="1358"/>
      <c r="JGN524" s="1358"/>
      <c r="JGO524" s="1358"/>
      <c r="JGP524" s="1358"/>
      <c r="JGQ524" s="1358"/>
      <c r="JGR524" s="1358"/>
      <c r="JGS524" s="1358"/>
      <c r="JGT524" s="1358"/>
      <c r="JGU524" s="1358"/>
      <c r="JGV524" s="1358"/>
      <c r="JGW524" s="1358"/>
      <c r="JGX524" s="1358"/>
      <c r="JGY524" s="1358"/>
      <c r="JGZ524" s="1358"/>
      <c r="JHA524" s="1358"/>
      <c r="JHB524" s="1358"/>
      <c r="JHC524" s="1358"/>
      <c r="JHD524" s="1358"/>
      <c r="JHE524" s="1358"/>
      <c r="JHF524" s="1358"/>
      <c r="JHG524" s="1358"/>
      <c r="JHH524" s="1358"/>
      <c r="JHI524" s="1358"/>
      <c r="JHJ524" s="1358"/>
      <c r="JHK524" s="1358"/>
      <c r="JHL524" s="1358"/>
      <c r="JHM524" s="1358"/>
      <c r="JHN524" s="1358"/>
      <c r="JHO524" s="1358"/>
      <c r="JHP524" s="1358"/>
      <c r="JHQ524" s="1358"/>
      <c r="JHR524" s="1358"/>
      <c r="JHS524" s="1358"/>
      <c r="JHT524" s="1358"/>
      <c r="JHU524" s="1358"/>
      <c r="JHV524" s="1358"/>
      <c r="JHW524" s="1358"/>
      <c r="JHX524" s="1358"/>
      <c r="JHY524" s="1358"/>
      <c r="JHZ524" s="1358"/>
      <c r="JIA524" s="1358"/>
      <c r="JIB524" s="1358"/>
      <c r="JIC524" s="1358"/>
      <c r="JID524" s="1358"/>
      <c r="JIE524" s="1358"/>
      <c r="JIF524" s="1358"/>
      <c r="JIG524" s="1358"/>
      <c r="JIH524" s="1358"/>
      <c r="JII524" s="1358"/>
      <c r="JIJ524" s="1358"/>
      <c r="JIK524" s="1358"/>
      <c r="JIL524" s="1358"/>
      <c r="JIM524" s="1358"/>
      <c r="JIN524" s="1358"/>
      <c r="JIO524" s="1358"/>
      <c r="JIP524" s="1358"/>
      <c r="JIQ524" s="1358"/>
      <c r="JIR524" s="1358"/>
      <c r="JIS524" s="1358"/>
      <c r="JIT524" s="1358"/>
      <c r="JIU524" s="1358"/>
      <c r="JIV524" s="1358"/>
      <c r="JIW524" s="1358"/>
      <c r="JIX524" s="1358"/>
      <c r="JIY524" s="1358"/>
      <c r="JIZ524" s="1358"/>
      <c r="JJA524" s="1358"/>
      <c r="JJB524" s="1358"/>
      <c r="JJC524" s="1358"/>
      <c r="JJD524" s="1358"/>
      <c r="JJE524" s="1358"/>
      <c r="JJF524" s="1358"/>
      <c r="JJG524" s="1358"/>
      <c r="JJH524" s="1358"/>
      <c r="JJI524" s="1358"/>
      <c r="JJJ524" s="1358"/>
      <c r="JJK524" s="1358"/>
      <c r="JJL524" s="1358"/>
      <c r="JJM524" s="1358"/>
      <c r="JJN524" s="1358"/>
      <c r="JJO524" s="1358"/>
      <c r="JJP524" s="1358"/>
      <c r="JJQ524" s="1358"/>
      <c r="JJR524" s="1358"/>
      <c r="JJS524" s="1358"/>
      <c r="JJT524" s="1358"/>
      <c r="JJU524" s="1358"/>
      <c r="JJV524" s="1358"/>
      <c r="JJW524" s="1358"/>
      <c r="JJX524" s="1358"/>
      <c r="JJY524" s="1358"/>
      <c r="JJZ524" s="1358"/>
      <c r="JKA524" s="1358"/>
      <c r="JKB524" s="1358"/>
      <c r="JKC524" s="1358"/>
      <c r="JKD524" s="1358"/>
      <c r="JKE524" s="1358"/>
      <c r="JKF524" s="1358"/>
      <c r="JKG524" s="1358"/>
      <c r="JKH524" s="1358"/>
      <c r="JKI524" s="1358"/>
      <c r="JKJ524" s="1358"/>
      <c r="JKK524" s="1358"/>
      <c r="JKL524" s="1358"/>
      <c r="JKM524" s="1358"/>
      <c r="JKN524" s="1358"/>
      <c r="JKO524" s="1358"/>
      <c r="JKP524" s="1358"/>
      <c r="JKQ524" s="1358"/>
      <c r="JKR524" s="1358"/>
      <c r="JKS524" s="1358"/>
      <c r="JKT524" s="1358"/>
      <c r="JKU524" s="1358"/>
      <c r="JKV524" s="1358"/>
      <c r="JKW524" s="1358"/>
      <c r="JKX524" s="1358"/>
      <c r="JKY524" s="1358"/>
      <c r="JKZ524" s="1358"/>
      <c r="JLA524" s="1358"/>
      <c r="JLB524" s="1358"/>
      <c r="JLC524" s="1358"/>
      <c r="JLD524" s="1358"/>
      <c r="JLE524" s="1358"/>
      <c r="JLF524" s="1358"/>
      <c r="JLG524" s="1358"/>
      <c r="JLH524" s="1358"/>
      <c r="JLI524" s="1358"/>
      <c r="JLJ524" s="1358"/>
      <c r="JLK524" s="1358"/>
      <c r="JLL524" s="1358"/>
      <c r="JLM524" s="1358"/>
      <c r="JLN524" s="1358"/>
      <c r="JLO524" s="1358"/>
      <c r="JLP524" s="1358"/>
      <c r="JLQ524" s="1358"/>
      <c r="JLR524" s="1358"/>
      <c r="JLS524" s="1358"/>
      <c r="JLT524" s="1358"/>
      <c r="JLU524" s="1358"/>
      <c r="JLV524" s="1358"/>
      <c r="JLW524" s="1358"/>
      <c r="JLX524" s="1358"/>
      <c r="JLY524" s="1358"/>
      <c r="JLZ524" s="1358"/>
      <c r="JMA524" s="1358"/>
      <c r="JMB524" s="1358"/>
      <c r="JMC524" s="1358"/>
      <c r="JMD524" s="1358"/>
      <c r="JME524" s="1358"/>
      <c r="JMF524" s="1358"/>
      <c r="JMG524" s="1358"/>
      <c r="JMH524" s="1358"/>
      <c r="JMI524" s="1358"/>
      <c r="JMJ524" s="1358"/>
      <c r="JMK524" s="1358"/>
      <c r="JML524" s="1358"/>
      <c r="JMM524" s="1358"/>
      <c r="JMN524" s="1358"/>
      <c r="JMO524" s="1358"/>
      <c r="JMP524" s="1358"/>
      <c r="JMQ524" s="1358"/>
      <c r="JMR524" s="1358"/>
      <c r="JMS524" s="1358"/>
      <c r="JMT524" s="1358"/>
      <c r="JMU524" s="1358"/>
      <c r="JMV524" s="1358"/>
      <c r="JMW524" s="1358"/>
      <c r="JMX524" s="1358"/>
      <c r="JMY524" s="1358"/>
      <c r="JMZ524" s="1358"/>
      <c r="JNA524" s="1358"/>
      <c r="JNB524" s="1358"/>
      <c r="JNC524" s="1358"/>
      <c r="JND524" s="1358"/>
      <c r="JNE524" s="1358"/>
      <c r="JNF524" s="1358"/>
      <c r="JNG524" s="1358"/>
      <c r="JNH524" s="1358"/>
      <c r="JNI524" s="1358"/>
      <c r="JNJ524" s="1358"/>
      <c r="JNK524" s="1358"/>
      <c r="JNL524" s="1358"/>
      <c r="JNM524" s="1358"/>
      <c r="JNN524" s="1358"/>
      <c r="JNO524" s="1358"/>
      <c r="JNP524" s="1358"/>
      <c r="JNQ524" s="1358"/>
      <c r="JNR524" s="1358"/>
      <c r="JNS524" s="1358"/>
      <c r="JNT524" s="1358"/>
      <c r="JNU524" s="1358"/>
      <c r="JNV524" s="1358"/>
      <c r="JNW524" s="1358"/>
      <c r="JNX524" s="1358"/>
      <c r="JNY524" s="1358"/>
      <c r="JNZ524" s="1358"/>
      <c r="JOA524" s="1358"/>
      <c r="JOB524" s="1358"/>
      <c r="JOC524" s="1358"/>
      <c r="JOD524" s="1358"/>
      <c r="JOE524" s="1358"/>
      <c r="JOF524" s="1358"/>
      <c r="JOG524" s="1358"/>
      <c r="JOH524" s="1358"/>
      <c r="JOI524" s="1358"/>
      <c r="JOJ524" s="1358"/>
      <c r="JOK524" s="1358"/>
      <c r="JOL524" s="1358"/>
      <c r="JOM524" s="1358"/>
      <c r="JON524" s="1358"/>
      <c r="JOO524" s="1358"/>
      <c r="JOP524" s="1358"/>
      <c r="JOQ524" s="1358"/>
      <c r="JOR524" s="1358"/>
      <c r="JOS524" s="1358"/>
      <c r="JOT524" s="1358"/>
      <c r="JOU524" s="1358"/>
      <c r="JOV524" s="1358"/>
      <c r="JOW524" s="1358"/>
      <c r="JOX524" s="1358"/>
      <c r="JOY524" s="1358"/>
      <c r="JOZ524" s="1358"/>
      <c r="JPA524" s="1358"/>
      <c r="JPB524" s="1358"/>
      <c r="JPC524" s="1358"/>
      <c r="JPD524" s="1358"/>
      <c r="JPE524" s="1358"/>
      <c r="JPF524" s="1358"/>
      <c r="JPG524" s="1358"/>
      <c r="JPH524" s="1358"/>
      <c r="JPI524" s="1358"/>
      <c r="JPJ524" s="1358"/>
      <c r="JPK524" s="1358"/>
      <c r="JPL524" s="1358"/>
      <c r="JPM524" s="1358"/>
      <c r="JPN524" s="1358"/>
      <c r="JPO524" s="1358"/>
      <c r="JPP524" s="1358"/>
      <c r="JPQ524" s="1358"/>
      <c r="JPR524" s="1358"/>
      <c r="JPS524" s="1358"/>
      <c r="JPT524" s="1358"/>
      <c r="JPU524" s="1358"/>
      <c r="JPV524" s="1358"/>
      <c r="JPW524" s="1358"/>
      <c r="JPX524" s="1358"/>
      <c r="JPY524" s="1358"/>
      <c r="JPZ524" s="1358"/>
      <c r="JQA524" s="1358"/>
      <c r="JQB524" s="1358"/>
      <c r="JQC524" s="1358"/>
      <c r="JQD524" s="1358"/>
      <c r="JQE524" s="1358"/>
      <c r="JQF524" s="1358"/>
      <c r="JQG524" s="1358"/>
      <c r="JQH524" s="1358"/>
      <c r="JQI524" s="1358"/>
      <c r="JQJ524" s="1358"/>
      <c r="JQK524" s="1358"/>
      <c r="JQL524" s="1358"/>
      <c r="JQM524" s="1358"/>
      <c r="JQN524" s="1358"/>
      <c r="JQO524" s="1358"/>
      <c r="JQP524" s="1358"/>
      <c r="JQQ524" s="1358"/>
      <c r="JQR524" s="1358"/>
      <c r="JQS524" s="1358"/>
      <c r="JQT524" s="1358"/>
      <c r="JQU524" s="1358"/>
      <c r="JQV524" s="1358"/>
      <c r="JQW524" s="1358"/>
      <c r="JQX524" s="1358"/>
      <c r="JQY524" s="1358"/>
      <c r="JQZ524" s="1358"/>
      <c r="JRA524" s="1358"/>
      <c r="JRB524" s="1358"/>
      <c r="JRC524" s="1358"/>
      <c r="JRD524" s="1358"/>
      <c r="JRE524" s="1358"/>
      <c r="JRF524" s="1358"/>
      <c r="JRG524" s="1358"/>
      <c r="JRH524" s="1358"/>
      <c r="JRI524" s="1358"/>
      <c r="JRJ524" s="1358"/>
      <c r="JRK524" s="1358"/>
      <c r="JRL524" s="1358"/>
      <c r="JRM524" s="1358"/>
      <c r="JRN524" s="1358"/>
      <c r="JRO524" s="1358"/>
      <c r="JRP524" s="1358"/>
      <c r="JRQ524" s="1358"/>
      <c r="JRR524" s="1358"/>
      <c r="JRS524" s="1358"/>
      <c r="JRT524" s="1358"/>
      <c r="JRU524" s="1358"/>
      <c r="JRV524" s="1358"/>
      <c r="JRW524" s="1358"/>
      <c r="JRX524" s="1358"/>
      <c r="JRY524" s="1358"/>
      <c r="JRZ524" s="1358"/>
      <c r="JSA524" s="1358"/>
      <c r="JSB524" s="1358"/>
      <c r="JSC524" s="1358"/>
      <c r="JSD524" s="1358"/>
      <c r="JSE524" s="1358"/>
      <c r="JSF524" s="1358"/>
      <c r="JSG524" s="1358"/>
      <c r="JSH524" s="1358"/>
      <c r="JSI524" s="1358"/>
      <c r="JSJ524" s="1358"/>
      <c r="JSK524" s="1358"/>
      <c r="JSL524" s="1358"/>
      <c r="JSM524" s="1358"/>
      <c r="JSN524" s="1358"/>
      <c r="JSO524" s="1358"/>
      <c r="JSP524" s="1358"/>
      <c r="JSQ524" s="1358"/>
      <c r="JSR524" s="1358"/>
      <c r="JSS524" s="1358"/>
      <c r="JST524" s="1358"/>
      <c r="JSU524" s="1358"/>
      <c r="JSV524" s="1358"/>
      <c r="JSW524" s="1358"/>
      <c r="JSX524" s="1358"/>
      <c r="JSY524" s="1358"/>
      <c r="JSZ524" s="1358"/>
      <c r="JTA524" s="1358"/>
      <c r="JTB524" s="1358"/>
      <c r="JTC524" s="1358"/>
      <c r="JTD524" s="1358"/>
      <c r="JTE524" s="1358"/>
      <c r="JTF524" s="1358"/>
      <c r="JTG524" s="1358"/>
      <c r="JTH524" s="1358"/>
      <c r="JTI524" s="1358"/>
      <c r="JTJ524" s="1358"/>
      <c r="JTK524" s="1358"/>
      <c r="JTL524" s="1358"/>
      <c r="JTM524" s="1358"/>
      <c r="JTN524" s="1358"/>
      <c r="JTO524" s="1358"/>
      <c r="JTP524" s="1358"/>
      <c r="JTQ524" s="1358"/>
      <c r="JTR524" s="1358"/>
      <c r="JTS524" s="1358"/>
      <c r="JTT524" s="1358"/>
      <c r="JTU524" s="1358"/>
      <c r="JTV524" s="1358"/>
      <c r="JTW524" s="1358"/>
      <c r="JTX524" s="1358"/>
      <c r="JTY524" s="1358"/>
      <c r="JTZ524" s="1358"/>
      <c r="JUA524" s="1358"/>
      <c r="JUB524" s="1358"/>
      <c r="JUC524" s="1358"/>
      <c r="JUD524" s="1358"/>
      <c r="JUE524" s="1358"/>
      <c r="JUF524" s="1358"/>
      <c r="JUG524" s="1358"/>
      <c r="JUH524" s="1358"/>
      <c r="JUI524" s="1358"/>
      <c r="JUJ524" s="1358"/>
      <c r="JUK524" s="1358"/>
      <c r="JUL524" s="1358"/>
      <c r="JUM524" s="1358"/>
      <c r="JUN524" s="1358"/>
      <c r="JUO524" s="1358"/>
      <c r="JUP524" s="1358"/>
      <c r="JUQ524" s="1358"/>
      <c r="JUR524" s="1358"/>
      <c r="JUS524" s="1358"/>
      <c r="JUT524" s="1358"/>
      <c r="JUU524" s="1358"/>
      <c r="JUV524" s="1358"/>
      <c r="JUW524" s="1358"/>
      <c r="JUX524" s="1358"/>
      <c r="JUY524" s="1358"/>
      <c r="JUZ524" s="1358"/>
      <c r="JVA524" s="1358"/>
      <c r="JVB524" s="1358"/>
      <c r="JVC524" s="1358"/>
      <c r="JVD524" s="1358"/>
      <c r="JVE524" s="1358"/>
      <c r="JVF524" s="1358"/>
      <c r="JVG524" s="1358"/>
      <c r="JVH524" s="1358"/>
      <c r="JVI524" s="1358"/>
      <c r="JVJ524" s="1358"/>
      <c r="JVK524" s="1358"/>
      <c r="JVL524" s="1358"/>
      <c r="JVM524" s="1358"/>
      <c r="JVN524" s="1358"/>
      <c r="JVO524" s="1358"/>
      <c r="JVP524" s="1358"/>
      <c r="JVQ524" s="1358"/>
      <c r="JVR524" s="1358"/>
      <c r="JVS524" s="1358"/>
      <c r="JVT524" s="1358"/>
      <c r="JVU524" s="1358"/>
      <c r="JVV524" s="1358"/>
      <c r="JVW524" s="1358"/>
      <c r="JVX524" s="1358"/>
      <c r="JVY524" s="1358"/>
      <c r="JVZ524" s="1358"/>
      <c r="JWA524" s="1358"/>
      <c r="JWB524" s="1358"/>
      <c r="JWC524" s="1358"/>
      <c r="JWD524" s="1358"/>
      <c r="JWE524" s="1358"/>
      <c r="JWF524" s="1358"/>
      <c r="JWG524" s="1358"/>
      <c r="JWH524" s="1358"/>
      <c r="JWI524" s="1358"/>
      <c r="JWJ524" s="1358"/>
      <c r="JWK524" s="1358"/>
      <c r="JWL524" s="1358"/>
      <c r="JWM524" s="1358"/>
      <c r="JWN524" s="1358"/>
      <c r="JWO524" s="1358"/>
      <c r="JWP524" s="1358"/>
      <c r="JWQ524" s="1358"/>
      <c r="JWR524" s="1358"/>
      <c r="JWS524" s="1358"/>
      <c r="JWT524" s="1358"/>
      <c r="JWU524" s="1358"/>
      <c r="JWV524" s="1358"/>
      <c r="JWW524" s="1358"/>
      <c r="JWX524" s="1358"/>
      <c r="JWY524" s="1358"/>
      <c r="JWZ524" s="1358"/>
      <c r="JXA524" s="1358"/>
      <c r="JXB524" s="1358"/>
      <c r="JXC524" s="1358"/>
      <c r="JXD524" s="1358"/>
      <c r="JXE524" s="1358"/>
      <c r="JXF524" s="1358"/>
      <c r="JXG524" s="1358"/>
      <c r="JXH524" s="1358"/>
      <c r="JXI524" s="1358"/>
      <c r="JXJ524" s="1358"/>
      <c r="JXK524" s="1358"/>
      <c r="JXL524" s="1358"/>
      <c r="JXM524" s="1358"/>
      <c r="JXN524" s="1358"/>
      <c r="JXO524" s="1358"/>
      <c r="JXP524" s="1358"/>
      <c r="JXQ524" s="1358"/>
      <c r="JXR524" s="1358"/>
      <c r="JXS524" s="1358"/>
      <c r="JXT524" s="1358"/>
      <c r="JXU524" s="1358"/>
      <c r="JXV524" s="1358"/>
      <c r="JXW524" s="1358"/>
      <c r="JXX524" s="1358"/>
      <c r="JXY524" s="1358"/>
      <c r="JXZ524" s="1358"/>
      <c r="JYA524" s="1358"/>
      <c r="JYB524" s="1358"/>
      <c r="JYC524" s="1358"/>
      <c r="JYD524" s="1358"/>
      <c r="JYE524" s="1358"/>
      <c r="JYF524" s="1358"/>
      <c r="JYG524" s="1358"/>
      <c r="JYH524" s="1358"/>
      <c r="JYI524" s="1358"/>
      <c r="JYJ524" s="1358"/>
      <c r="JYK524" s="1358"/>
      <c r="JYL524" s="1358"/>
      <c r="JYM524" s="1358"/>
      <c r="JYN524" s="1358"/>
      <c r="JYO524" s="1358"/>
      <c r="JYP524" s="1358"/>
      <c r="JYQ524" s="1358"/>
      <c r="JYR524" s="1358"/>
      <c r="JYS524" s="1358"/>
      <c r="JYT524" s="1358"/>
      <c r="JYU524" s="1358"/>
      <c r="JYV524" s="1358"/>
      <c r="JYW524" s="1358"/>
      <c r="JYX524" s="1358"/>
      <c r="JYY524" s="1358"/>
      <c r="JYZ524" s="1358"/>
      <c r="JZA524" s="1358"/>
      <c r="JZB524" s="1358"/>
      <c r="JZC524" s="1358"/>
      <c r="JZD524" s="1358"/>
      <c r="JZE524" s="1358"/>
      <c r="JZF524" s="1358"/>
      <c r="JZG524" s="1358"/>
      <c r="JZH524" s="1358"/>
      <c r="JZI524" s="1358"/>
      <c r="JZJ524" s="1358"/>
      <c r="JZK524" s="1358"/>
      <c r="JZL524" s="1358"/>
      <c r="JZM524" s="1358"/>
      <c r="JZN524" s="1358"/>
      <c r="JZO524" s="1358"/>
      <c r="JZP524" s="1358"/>
      <c r="JZQ524" s="1358"/>
      <c r="JZR524" s="1358"/>
      <c r="JZS524" s="1358"/>
      <c r="JZT524" s="1358"/>
      <c r="JZU524" s="1358"/>
      <c r="JZV524" s="1358"/>
      <c r="JZW524" s="1358"/>
      <c r="JZX524" s="1358"/>
      <c r="JZY524" s="1358"/>
      <c r="JZZ524" s="1358"/>
      <c r="KAA524" s="1358"/>
      <c r="KAB524" s="1358"/>
      <c r="KAC524" s="1358"/>
      <c r="KAD524" s="1358"/>
      <c r="KAE524" s="1358"/>
      <c r="KAF524" s="1358"/>
      <c r="KAG524" s="1358"/>
      <c r="KAH524" s="1358"/>
      <c r="KAI524" s="1358"/>
      <c r="KAJ524" s="1358"/>
      <c r="KAK524" s="1358"/>
      <c r="KAL524" s="1358"/>
      <c r="KAM524" s="1358"/>
      <c r="KAN524" s="1358"/>
      <c r="KAO524" s="1358"/>
      <c r="KAP524" s="1358"/>
      <c r="KAQ524" s="1358"/>
      <c r="KAR524" s="1358"/>
      <c r="KAS524" s="1358"/>
      <c r="KAT524" s="1358"/>
      <c r="KAU524" s="1358"/>
      <c r="KAV524" s="1358"/>
      <c r="KAW524" s="1358"/>
      <c r="KAX524" s="1358"/>
      <c r="KAY524" s="1358"/>
      <c r="KAZ524" s="1358"/>
      <c r="KBA524" s="1358"/>
      <c r="KBB524" s="1358"/>
      <c r="KBC524" s="1358"/>
      <c r="KBD524" s="1358"/>
      <c r="KBE524" s="1358"/>
      <c r="KBF524" s="1358"/>
      <c r="KBG524" s="1358"/>
      <c r="KBH524" s="1358"/>
      <c r="KBI524" s="1358"/>
      <c r="KBJ524" s="1358"/>
      <c r="KBK524" s="1358"/>
      <c r="KBL524" s="1358"/>
      <c r="KBM524" s="1358"/>
      <c r="KBN524" s="1358"/>
      <c r="KBO524" s="1358"/>
      <c r="KBP524" s="1358"/>
      <c r="KBQ524" s="1358"/>
      <c r="KBR524" s="1358"/>
      <c r="KBS524" s="1358"/>
      <c r="KBT524" s="1358"/>
      <c r="KBU524" s="1358"/>
      <c r="KBV524" s="1358"/>
      <c r="KBW524" s="1358"/>
      <c r="KBX524" s="1358"/>
      <c r="KBY524" s="1358"/>
      <c r="KBZ524" s="1358"/>
      <c r="KCA524" s="1358"/>
      <c r="KCB524" s="1358"/>
      <c r="KCC524" s="1358"/>
      <c r="KCD524" s="1358"/>
      <c r="KCE524" s="1358"/>
      <c r="KCF524" s="1358"/>
      <c r="KCG524" s="1358"/>
      <c r="KCH524" s="1358"/>
      <c r="KCI524" s="1358"/>
      <c r="KCJ524" s="1358"/>
      <c r="KCK524" s="1358"/>
      <c r="KCL524" s="1358"/>
      <c r="KCM524" s="1358"/>
      <c r="KCN524" s="1358"/>
      <c r="KCO524" s="1358"/>
      <c r="KCP524" s="1358"/>
      <c r="KCQ524" s="1358"/>
      <c r="KCR524" s="1358"/>
      <c r="KCS524" s="1358"/>
      <c r="KCT524" s="1358"/>
      <c r="KCU524" s="1358"/>
      <c r="KCV524" s="1358"/>
      <c r="KCW524" s="1358"/>
      <c r="KCX524" s="1358"/>
      <c r="KCY524" s="1358"/>
      <c r="KCZ524" s="1358"/>
      <c r="KDA524" s="1358"/>
      <c r="KDB524" s="1358"/>
      <c r="KDC524" s="1358"/>
      <c r="KDD524" s="1358"/>
      <c r="KDE524" s="1358"/>
      <c r="KDF524" s="1358"/>
      <c r="KDG524" s="1358"/>
      <c r="KDH524" s="1358"/>
      <c r="KDI524" s="1358"/>
      <c r="KDJ524" s="1358"/>
      <c r="KDK524" s="1358"/>
      <c r="KDL524" s="1358"/>
      <c r="KDM524" s="1358"/>
      <c r="KDN524" s="1358"/>
      <c r="KDO524" s="1358"/>
      <c r="KDP524" s="1358"/>
      <c r="KDQ524" s="1358"/>
      <c r="KDR524" s="1358"/>
      <c r="KDS524" s="1358"/>
      <c r="KDT524" s="1358"/>
      <c r="KDU524" s="1358"/>
      <c r="KDV524" s="1358"/>
      <c r="KDW524" s="1358"/>
      <c r="KDX524" s="1358"/>
      <c r="KDY524" s="1358"/>
      <c r="KDZ524" s="1358"/>
      <c r="KEA524" s="1358"/>
      <c r="KEB524" s="1358"/>
      <c r="KEC524" s="1358"/>
      <c r="KED524" s="1358"/>
      <c r="KEE524" s="1358"/>
      <c r="KEF524" s="1358"/>
      <c r="KEG524" s="1358"/>
      <c r="KEH524" s="1358"/>
      <c r="KEI524" s="1358"/>
      <c r="KEJ524" s="1358"/>
      <c r="KEK524" s="1358"/>
      <c r="KEL524" s="1358"/>
      <c r="KEM524" s="1358"/>
      <c r="KEN524" s="1358"/>
      <c r="KEO524" s="1358"/>
      <c r="KEP524" s="1358"/>
      <c r="KEQ524" s="1358"/>
      <c r="KER524" s="1358"/>
      <c r="KES524" s="1358"/>
      <c r="KET524" s="1358"/>
      <c r="KEU524" s="1358"/>
      <c r="KEV524" s="1358"/>
      <c r="KEW524" s="1358"/>
      <c r="KEX524" s="1358"/>
      <c r="KEY524" s="1358"/>
      <c r="KEZ524" s="1358"/>
      <c r="KFA524" s="1358"/>
      <c r="KFB524" s="1358"/>
      <c r="KFC524" s="1358"/>
      <c r="KFD524" s="1358"/>
      <c r="KFE524" s="1358"/>
      <c r="KFF524" s="1358"/>
      <c r="KFG524" s="1358"/>
      <c r="KFH524" s="1358"/>
      <c r="KFI524" s="1358"/>
      <c r="KFJ524" s="1358"/>
      <c r="KFK524" s="1358"/>
      <c r="KFL524" s="1358"/>
      <c r="KFM524" s="1358"/>
      <c r="KFN524" s="1358"/>
      <c r="KFO524" s="1358"/>
      <c r="KFP524" s="1358"/>
      <c r="KFQ524" s="1358"/>
      <c r="KFR524" s="1358"/>
      <c r="KFS524" s="1358"/>
      <c r="KFT524" s="1358"/>
      <c r="KFU524" s="1358"/>
      <c r="KFV524" s="1358"/>
      <c r="KFW524" s="1358"/>
      <c r="KFX524" s="1358"/>
      <c r="KFY524" s="1358"/>
      <c r="KFZ524" s="1358"/>
      <c r="KGA524" s="1358"/>
      <c r="KGB524" s="1358"/>
      <c r="KGC524" s="1358"/>
      <c r="KGD524" s="1358"/>
      <c r="KGE524" s="1358"/>
      <c r="KGF524" s="1358"/>
      <c r="KGG524" s="1358"/>
      <c r="KGH524" s="1358"/>
      <c r="KGI524" s="1358"/>
      <c r="KGJ524" s="1358"/>
      <c r="KGK524" s="1358"/>
      <c r="KGL524" s="1358"/>
      <c r="KGM524" s="1358"/>
      <c r="KGN524" s="1358"/>
      <c r="KGO524" s="1358"/>
      <c r="KGP524" s="1358"/>
      <c r="KGQ524" s="1358"/>
      <c r="KGR524" s="1358"/>
      <c r="KGS524" s="1358"/>
      <c r="KGT524" s="1358"/>
      <c r="KGU524" s="1358"/>
      <c r="KGV524" s="1358"/>
      <c r="KGW524" s="1358"/>
      <c r="KGX524" s="1358"/>
      <c r="KGY524" s="1358"/>
      <c r="KGZ524" s="1358"/>
      <c r="KHA524" s="1358"/>
      <c r="KHB524" s="1358"/>
      <c r="KHC524" s="1358"/>
      <c r="KHD524" s="1358"/>
      <c r="KHE524" s="1358"/>
      <c r="KHF524" s="1358"/>
      <c r="KHG524" s="1358"/>
      <c r="KHH524" s="1358"/>
      <c r="KHI524" s="1358"/>
      <c r="KHJ524" s="1358"/>
      <c r="KHK524" s="1358"/>
      <c r="KHL524" s="1358"/>
      <c r="KHM524" s="1358"/>
      <c r="KHN524" s="1358"/>
      <c r="KHO524" s="1358"/>
      <c r="KHP524" s="1358"/>
      <c r="KHQ524" s="1358"/>
      <c r="KHR524" s="1358"/>
      <c r="KHS524" s="1358"/>
      <c r="KHT524" s="1358"/>
      <c r="KHU524" s="1358"/>
      <c r="KHV524" s="1358"/>
      <c r="KHW524" s="1358"/>
      <c r="KHX524" s="1358"/>
      <c r="KHY524" s="1358"/>
      <c r="KHZ524" s="1358"/>
      <c r="KIA524" s="1358"/>
      <c r="KIB524" s="1358"/>
      <c r="KIC524" s="1358"/>
      <c r="KID524" s="1358"/>
      <c r="KIE524" s="1358"/>
      <c r="KIF524" s="1358"/>
      <c r="KIG524" s="1358"/>
      <c r="KIH524" s="1358"/>
      <c r="KII524" s="1358"/>
      <c r="KIJ524" s="1358"/>
      <c r="KIK524" s="1358"/>
      <c r="KIL524" s="1358"/>
      <c r="KIM524" s="1358"/>
      <c r="KIN524" s="1358"/>
      <c r="KIO524" s="1358"/>
      <c r="KIP524" s="1358"/>
      <c r="KIQ524" s="1358"/>
      <c r="KIR524" s="1358"/>
      <c r="KIS524" s="1358"/>
      <c r="KIT524" s="1358"/>
      <c r="KIU524" s="1358"/>
      <c r="KIV524" s="1358"/>
      <c r="KIW524" s="1358"/>
      <c r="KIX524" s="1358"/>
      <c r="KIY524" s="1358"/>
      <c r="KIZ524" s="1358"/>
      <c r="KJA524" s="1358"/>
      <c r="KJB524" s="1358"/>
      <c r="KJC524" s="1358"/>
      <c r="KJD524" s="1358"/>
      <c r="KJE524" s="1358"/>
      <c r="KJF524" s="1358"/>
      <c r="KJG524" s="1358"/>
      <c r="KJH524" s="1358"/>
      <c r="KJI524" s="1358"/>
      <c r="KJJ524" s="1358"/>
      <c r="KJK524" s="1358"/>
      <c r="KJL524" s="1358"/>
      <c r="KJM524" s="1358"/>
      <c r="KJN524" s="1358"/>
      <c r="KJO524" s="1358"/>
      <c r="KJP524" s="1358"/>
      <c r="KJQ524" s="1358"/>
      <c r="KJR524" s="1358"/>
      <c r="KJS524" s="1358"/>
      <c r="KJT524" s="1358"/>
      <c r="KJU524" s="1358"/>
      <c r="KJV524" s="1358"/>
      <c r="KJW524" s="1358"/>
      <c r="KJX524" s="1358"/>
      <c r="KJY524" s="1358"/>
      <c r="KJZ524" s="1358"/>
      <c r="KKA524" s="1358"/>
      <c r="KKB524" s="1358"/>
      <c r="KKC524" s="1358"/>
      <c r="KKD524" s="1358"/>
      <c r="KKE524" s="1358"/>
      <c r="KKF524" s="1358"/>
      <c r="KKG524" s="1358"/>
      <c r="KKH524" s="1358"/>
      <c r="KKI524" s="1358"/>
      <c r="KKJ524" s="1358"/>
      <c r="KKK524" s="1358"/>
      <c r="KKL524" s="1358"/>
      <c r="KKM524" s="1358"/>
      <c r="KKN524" s="1358"/>
      <c r="KKO524" s="1358"/>
      <c r="KKP524" s="1358"/>
      <c r="KKQ524" s="1358"/>
      <c r="KKR524" s="1358"/>
      <c r="KKS524" s="1358"/>
      <c r="KKT524" s="1358"/>
      <c r="KKU524" s="1358"/>
      <c r="KKV524" s="1358"/>
      <c r="KKW524" s="1358"/>
      <c r="KKX524" s="1358"/>
      <c r="KKY524" s="1358"/>
      <c r="KKZ524" s="1358"/>
      <c r="KLA524" s="1358"/>
      <c r="KLB524" s="1358"/>
      <c r="KLC524" s="1358"/>
      <c r="KLD524" s="1358"/>
      <c r="KLE524" s="1358"/>
      <c r="KLF524" s="1358"/>
      <c r="KLG524" s="1358"/>
      <c r="KLH524" s="1358"/>
      <c r="KLI524" s="1358"/>
      <c r="KLJ524" s="1358"/>
      <c r="KLK524" s="1358"/>
      <c r="KLL524" s="1358"/>
      <c r="KLM524" s="1358"/>
      <c r="KLN524" s="1358"/>
      <c r="KLO524" s="1358"/>
      <c r="KLP524" s="1358"/>
      <c r="KLQ524" s="1358"/>
      <c r="KLR524" s="1358"/>
      <c r="KLS524" s="1358"/>
      <c r="KLT524" s="1358"/>
      <c r="KLU524" s="1358"/>
      <c r="KLV524" s="1358"/>
      <c r="KLW524" s="1358"/>
      <c r="KLX524" s="1358"/>
      <c r="KLY524" s="1358"/>
      <c r="KLZ524" s="1358"/>
      <c r="KMA524" s="1358"/>
      <c r="KMB524" s="1358"/>
      <c r="KMC524" s="1358"/>
      <c r="KMD524" s="1358"/>
      <c r="KME524" s="1358"/>
      <c r="KMF524" s="1358"/>
      <c r="KMG524" s="1358"/>
      <c r="KMH524" s="1358"/>
      <c r="KMI524" s="1358"/>
      <c r="KMJ524" s="1358"/>
      <c r="KMK524" s="1358"/>
      <c r="KML524" s="1358"/>
      <c r="KMM524" s="1358"/>
      <c r="KMN524" s="1358"/>
      <c r="KMO524" s="1358"/>
      <c r="KMP524" s="1358"/>
      <c r="KMQ524" s="1358"/>
      <c r="KMR524" s="1358"/>
      <c r="KMS524" s="1358"/>
      <c r="KMT524" s="1358"/>
      <c r="KMU524" s="1358"/>
      <c r="KMV524" s="1358"/>
      <c r="KMW524" s="1358"/>
      <c r="KMX524" s="1358"/>
      <c r="KMY524" s="1358"/>
      <c r="KMZ524" s="1358"/>
      <c r="KNA524" s="1358"/>
      <c r="KNB524" s="1358"/>
      <c r="KNC524" s="1358"/>
      <c r="KND524" s="1358"/>
      <c r="KNE524" s="1358"/>
      <c r="KNF524" s="1358"/>
      <c r="KNG524" s="1358"/>
      <c r="KNH524" s="1358"/>
      <c r="KNI524" s="1358"/>
      <c r="KNJ524" s="1358"/>
      <c r="KNK524" s="1358"/>
      <c r="KNL524" s="1358"/>
      <c r="KNM524" s="1358"/>
      <c r="KNN524" s="1358"/>
      <c r="KNO524" s="1358"/>
      <c r="KNP524" s="1358"/>
      <c r="KNQ524" s="1358"/>
      <c r="KNR524" s="1358"/>
      <c r="KNS524" s="1358"/>
      <c r="KNT524" s="1358"/>
      <c r="KNU524" s="1358"/>
      <c r="KNV524" s="1358"/>
      <c r="KNW524" s="1358"/>
      <c r="KNX524" s="1358"/>
      <c r="KNY524" s="1358"/>
      <c r="KNZ524" s="1358"/>
      <c r="KOA524" s="1358"/>
      <c r="KOB524" s="1358"/>
      <c r="KOC524" s="1358"/>
      <c r="KOD524" s="1358"/>
      <c r="KOE524" s="1358"/>
      <c r="KOF524" s="1358"/>
      <c r="KOG524" s="1358"/>
      <c r="KOH524" s="1358"/>
      <c r="KOI524" s="1358"/>
      <c r="KOJ524" s="1358"/>
      <c r="KOK524" s="1358"/>
      <c r="KOL524" s="1358"/>
      <c r="KOM524" s="1358"/>
      <c r="KON524" s="1358"/>
      <c r="KOO524" s="1358"/>
      <c r="KOP524" s="1358"/>
      <c r="KOQ524" s="1358"/>
      <c r="KOR524" s="1358"/>
      <c r="KOS524" s="1358"/>
      <c r="KOT524" s="1358"/>
      <c r="KOU524" s="1358"/>
      <c r="KOV524" s="1358"/>
      <c r="KOW524" s="1358"/>
      <c r="KOX524" s="1358"/>
      <c r="KOY524" s="1358"/>
      <c r="KOZ524" s="1358"/>
      <c r="KPA524" s="1358"/>
      <c r="KPB524" s="1358"/>
      <c r="KPC524" s="1358"/>
      <c r="KPD524" s="1358"/>
      <c r="KPE524" s="1358"/>
      <c r="KPF524" s="1358"/>
      <c r="KPG524" s="1358"/>
      <c r="KPH524" s="1358"/>
      <c r="KPI524" s="1358"/>
      <c r="KPJ524" s="1358"/>
      <c r="KPK524" s="1358"/>
      <c r="KPL524" s="1358"/>
      <c r="KPM524" s="1358"/>
      <c r="KPN524" s="1358"/>
      <c r="KPO524" s="1358"/>
      <c r="KPP524" s="1358"/>
      <c r="KPQ524" s="1358"/>
      <c r="KPR524" s="1358"/>
      <c r="KPS524" s="1358"/>
      <c r="KPT524" s="1358"/>
      <c r="KPU524" s="1358"/>
      <c r="KPV524" s="1358"/>
      <c r="KPW524" s="1358"/>
      <c r="KPX524" s="1358"/>
      <c r="KPY524" s="1358"/>
      <c r="KPZ524" s="1358"/>
      <c r="KQA524" s="1358"/>
      <c r="KQB524" s="1358"/>
      <c r="KQC524" s="1358"/>
      <c r="KQD524" s="1358"/>
      <c r="KQE524" s="1358"/>
      <c r="KQF524" s="1358"/>
      <c r="KQG524" s="1358"/>
      <c r="KQH524" s="1358"/>
      <c r="KQI524" s="1358"/>
      <c r="KQJ524" s="1358"/>
      <c r="KQK524" s="1358"/>
      <c r="KQL524" s="1358"/>
      <c r="KQM524" s="1358"/>
      <c r="KQN524" s="1358"/>
      <c r="KQO524" s="1358"/>
      <c r="KQP524" s="1358"/>
      <c r="KQQ524" s="1358"/>
      <c r="KQR524" s="1358"/>
      <c r="KQS524" s="1358"/>
      <c r="KQT524" s="1358"/>
      <c r="KQU524" s="1358"/>
      <c r="KQV524" s="1358"/>
      <c r="KQW524" s="1358"/>
      <c r="KQX524" s="1358"/>
      <c r="KQY524" s="1358"/>
      <c r="KQZ524" s="1358"/>
      <c r="KRA524" s="1358"/>
      <c r="KRB524" s="1358"/>
      <c r="KRC524" s="1358"/>
      <c r="KRD524" s="1358"/>
      <c r="KRE524" s="1358"/>
      <c r="KRF524" s="1358"/>
      <c r="KRG524" s="1358"/>
      <c r="KRH524" s="1358"/>
      <c r="KRI524" s="1358"/>
      <c r="KRJ524" s="1358"/>
      <c r="KRK524" s="1358"/>
      <c r="KRL524" s="1358"/>
      <c r="KRM524" s="1358"/>
      <c r="KRN524" s="1358"/>
      <c r="KRO524" s="1358"/>
      <c r="KRP524" s="1358"/>
      <c r="KRQ524" s="1358"/>
      <c r="KRR524" s="1358"/>
      <c r="KRS524" s="1358"/>
      <c r="KRT524" s="1358"/>
      <c r="KRU524" s="1358"/>
      <c r="KRV524" s="1358"/>
      <c r="KRW524" s="1358"/>
      <c r="KRX524" s="1358"/>
      <c r="KRY524" s="1358"/>
      <c r="KRZ524" s="1358"/>
      <c r="KSA524" s="1358"/>
      <c r="KSB524" s="1358"/>
      <c r="KSC524" s="1358"/>
      <c r="KSD524" s="1358"/>
      <c r="KSE524" s="1358"/>
      <c r="KSF524" s="1358"/>
      <c r="KSG524" s="1358"/>
      <c r="KSH524" s="1358"/>
      <c r="KSI524" s="1358"/>
      <c r="KSJ524" s="1358"/>
      <c r="KSK524" s="1358"/>
      <c r="KSL524" s="1358"/>
      <c r="KSM524" s="1358"/>
      <c r="KSN524" s="1358"/>
      <c r="KSO524" s="1358"/>
      <c r="KSP524" s="1358"/>
      <c r="KSQ524" s="1358"/>
      <c r="KSR524" s="1358"/>
      <c r="KSS524" s="1358"/>
      <c r="KST524" s="1358"/>
      <c r="KSU524" s="1358"/>
      <c r="KSV524" s="1358"/>
      <c r="KSW524" s="1358"/>
      <c r="KSX524" s="1358"/>
      <c r="KSY524" s="1358"/>
      <c r="KSZ524" s="1358"/>
      <c r="KTA524" s="1358"/>
      <c r="KTB524" s="1358"/>
      <c r="KTC524" s="1358"/>
      <c r="KTD524" s="1358"/>
      <c r="KTE524" s="1358"/>
      <c r="KTF524" s="1358"/>
      <c r="KTG524" s="1358"/>
      <c r="KTH524" s="1358"/>
      <c r="KTI524" s="1358"/>
      <c r="KTJ524" s="1358"/>
      <c r="KTK524" s="1358"/>
      <c r="KTL524" s="1358"/>
      <c r="KTM524" s="1358"/>
      <c r="KTN524" s="1358"/>
      <c r="KTO524" s="1358"/>
      <c r="KTP524" s="1358"/>
      <c r="KTQ524" s="1358"/>
      <c r="KTR524" s="1358"/>
      <c r="KTS524" s="1358"/>
      <c r="KTT524" s="1358"/>
      <c r="KTU524" s="1358"/>
      <c r="KTV524" s="1358"/>
      <c r="KTW524" s="1358"/>
      <c r="KTX524" s="1358"/>
      <c r="KTY524" s="1358"/>
      <c r="KTZ524" s="1358"/>
      <c r="KUA524" s="1358"/>
      <c r="KUB524" s="1358"/>
      <c r="KUC524" s="1358"/>
      <c r="KUD524" s="1358"/>
      <c r="KUE524" s="1358"/>
      <c r="KUF524" s="1358"/>
      <c r="KUG524" s="1358"/>
      <c r="KUH524" s="1358"/>
      <c r="KUI524" s="1358"/>
      <c r="KUJ524" s="1358"/>
      <c r="KUK524" s="1358"/>
      <c r="KUL524" s="1358"/>
      <c r="KUM524" s="1358"/>
      <c r="KUN524" s="1358"/>
      <c r="KUO524" s="1358"/>
      <c r="KUP524" s="1358"/>
      <c r="KUQ524" s="1358"/>
      <c r="KUR524" s="1358"/>
      <c r="KUS524" s="1358"/>
      <c r="KUT524" s="1358"/>
      <c r="KUU524" s="1358"/>
      <c r="KUV524" s="1358"/>
      <c r="KUW524" s="1358"/>
      <c r="KUX524" s="1358"/>
      <c r="KUY524" s="1358"/>
      <c r="KUZ524" s="1358"/>
      <c r="KVA524" s="1358"/>
      <c r="KVB524" s="1358"/>
      <c r="KVC524" s="1358"/>
      <c r="KVD524" s="1358"/>
      <c r="KVE524" s="1358"/>
      <c r="KVF524" s="1358"/>
      <c r="KVG524" s="1358"/>
      <c r="KVH524" s="1358"/>
      <c r="KVI524" s="1358"/>
      <c r="KVJ524" s="1358"/>
      <c r="KVK524" s="1358"/>
      <c r="KVL524" s="1358"/>
      <c r="KVM524" s="1358"/>
      <c r="KVN524" s="1358"/>
      <c r="KVO524" s="1358"/>
      <c r="KVP524" s="1358"/>
      <c r="KVQ524" s="1358"/>
      <c r="KVR524" s="1358"/>
      <c r="KVS524" s="1358"/>
      <c r="KVT524" s="1358"/>
      <c r="KVU524" s="1358"/>
      <c r="KVV524" s="1358"/>
      <c r="KVW524" s="1358"/>
      <c r="KVX524" s="1358"/>
      <c r="KVY524" s="1358"/>
      <c r="KVZ524" s="1358"/>
      <c r="KWA524" s="1358"/>
      <c r="KWB524" s="1358"/>
      <c r="KWC524" s="1358"/>
      <c r="KWD524" s="1358"/>
      <c r="KWE524" s="1358"/>
      <c r="KWF524" s="1358"/>
      <c r="KWG524" s="1358"/>
      <c r="KWH524" s="1358"/>
      <c r="KWI524" s="1358"/>
      <c r="KWJ524" s="1358"/>
      <c r="KWK524" s="1358"/>
      <c r="KWL524" s="1358"/>
      <c r="KWM524" s="1358"/>
      <c r="KWN524" s="1358"/>
      <c r="KWO524" s="1358"/>
      <c r="KWP524" s="1358"/>
      <c r="KWQ524" s="1358"/>
      <c r="KWR524" s="1358"/>
      <c r="KWS524" s="1358"/>
      <c r="KWT524" s="1358"/>
      <c r="KWU524" s="1358"/>
      <c r="KWV524" s="1358"/>
      <c r="KWW524" s="1358"/>
      <c r="KWX524" s="1358"/>
      <c r="KWY524" s="1358"/>
      <c r="KWZ524" s="1358"/>
      <c r="KXA524" s="1358"/>
      <c r="KXB524" s="1358"/>
      <c r="KXC524" s="1358"/>
      <c r="KXD524" s="1358"/>
      <c r="KXE524" s="1358"/>
      <c r="KXF524" s="1358"/>
      <c r="KXG524" s="1358"/>
      <c r="KXH524" s="1358"/>
      <c r="KXI524" s="1358"/>
      <c r="KXJ524" s="1358"/>
      <c r="KXK524" s="1358"/>
      <c r="KXL524" s="1358"/>
      <c r="KXM524" s="1358"/>
      <c r="KXN524" s="1358"/>
      <c r="KXO524" s="1358"/>
      <c r="KXP524" s="1358"/>
      <c r="KXQ524" s="1358"/>
      <c r="KXR524" s="1358"/>
      <c r="KXS524" s="1358"/>
      <c r="KXT524" s="1358"/>
      <c r="KXU524" s="1358"/>
      <c r="KXV524" s="1358"/>
      <c r="KXW524" s="1358"/>
      <c r="KXX524" s="1358"/>
      <c r="KXY524" s="1358"/>
      <c r="KXZ524" s="1358"/>
      <c r="KYA524" s="1358"/>
      <c r="KYB524" s="1358"/>
      <c r="KYC524" s="1358"/>
      <c r="KYD524" s="1358"/>
      <c r="KYE524" s="1358"/>
      <c r="KYF524" s="1358"/>
      <c r="KYG524" s="1358"/>
      <c r="KYH524" s="1358"/>
      <c r="KYI524" s="1358"/>
      <c r="KYJ524" s="1358"/>
      <c r="KYK524" s="1358"/>
      <c r="KYL524" s="1358"/>
      <c r="KYM524" s="1358"/>
      <c r="KYN524" s="1358"/>
      <c r="KYO524" s="1358"/>
      <c r="KYP524" s="1358"/>
      <c r="KYQ524" s="1358"/>
      <c r="KYR524" s="1358"/>
      <c r="KYS524" s="1358"/>
      <c r="KYT524" s="1358"/>
      <c r="KYU524" s="1358"/>
      <c r="KYV524" s="1358"/>
      <c r="KYW524" s="1358"/>
      <c r="KYX524" s="1358"/>
      <c r="KYY524" s="1358"/>
      <c r="KYZ524" s="1358"/>
      <c r="KZA524" s="1358"/>
      <c r="KZB524" s="1358"/>
      <c r="KZC524" s="1358"/>
      <c r="KZD524" s="1358"/>
      <c r="KZE524" s="1358"/>
      <c r="KZF524" s="1358"/>
      <c r="KZG524" s="1358"/>
      <c r="KZH524" s="1358"/>
      <c r="KZI524" s="1358"/>
      <c r="KZJ524" s="1358"/>
      <c r="KZK524" s="1358"/>
      <c r="KZL524" s="1358"/>
      <c r="KZM524" s="1358"/>
      <c r="KZN524" s="1358"/>
      <c r="KZO524" s="1358"/>
      <c r="KZP524" s="1358"/>
      <c r="KZQ524" s="1358"/>
      <c r="KZR524" s="1358"/>
      <c r="KZS524" s="1358"/>
      <c r="KZT524" s="1358"/>
      <c r="KZU524" s="1358"/>
      <c r="KZV524" s="1358"/>
      <c r="KZW524" s="1358"/>
      <c r="KZX524" s="1358"/>
      <c r="KZY524" s="1358"/>
      <c r="KZZ524" s="1358"/>
      <c r="LAA524" s="1358"/>
      <c r="LAB524" s="1358"/>
      <c r="LAC524" s="1358"/>
      <c r="LAD524" s="1358"/>
      <c r="LAE524" s="1358"/>
      <c r="LAF524" s="1358"/>
      <c r="LAG524" s="1358"/>
      <c r="LAH524" s="1358"/>
      <c r="LAI524" s="1358"/>
      <c r="LAJ524" s="1358"/>
      <c r="LAK524" s="1358"/>
      <c r="LAL524" s="1358"/>
      <c r="LAM524" s="1358"/>
      <c r="LAN524" s="1358"/>
      <c r="LAO524" s="1358"/>
      <c r="LAP524" s="1358"/>
      <c r="LAQ524" s="1358"/>
      <c r="LAR524" s="1358"/>
      <c r="LAS524" s="1358"/>
      <c r="LAT524" s="1358"/>
      <c r="LAU524" s="1358"/>
      <c r="LAV524" s="1358"/>
      <c r="LAW524" s="1358"/>
      <c r="LAX524" s="1358"/>
      <c r="LAY524" s="1358"/>
      <c r="LAZ524" s="1358"/>
      <c r="LBA524" s="1358"/>
      <c r="LBB524" s="1358"/>
      <c r="LBC524" s="1358"/>
      <c r="LBD524" s="1358"/>
      <c r="LBE524" s="1358"/>
      <c r="LBF524" s="1358"/>
      <c r="LBG524" s="1358"/>
      <c r="LBH524" s="1358"/>
      <c r="LBI524" s="1358"/>
      <c r="LBJ524" s="1358"/>
      <c r="LBK524" s="1358"/>
      <c r="LBL524" s="1358"/>
      <c r="LBM524" s="1358"/>
      <c r="LBN524" s="1358"/>
      <c r="LBO524" s="1358"/>
      <c r="LBP524" s="1358"/>
      <c r="LBQ524" s="1358"/>
      <c r="LBR524" s="1358"/>
      <c r="LBS524" s="1358"/>
      <c r="LBT524" s="1358"/>
      <c r="LBU524" s="1358"/>
      <c r="LBV524" s="1358"/>
      <c r="LBW524" s="1358"/>
      <c r="LBX524" s="1358"/>
      <c r="LBY524" s="1358"/>
      <c r="LBZ524" s="1358"/>
      <c r="LCA524" s="1358"/>
      <c r="LCB524" s="1358"/>
      <c r="LCC524" s="1358"/>
      <c r="LCD524" s="1358"/>
      <c r="LCE524" s="1358"/>
      <c r="LCF524" s="1358"/>
      <c r="LCG524" s="1358"/>
      <c r="LCH524" s="1358"/>
      <c r="LCI524" s="1358"/>
      <c r="LCJ524" s="1358"/>
      <c r="LCK524" s="1358"/>
      <c r="LCL524" s="1358"/>
      <c r="LCM524" s="1358"/>
      <c r="LCN524" s="1358"/>
      <c r="LCO524" s="1358"/>
      <c r="LCP524" s="1358"/>
      <c r="LCQ524" s="1358"/>
      <c r="LCR524" s="1358"/>
      <c r="LCS524" s="1358"/>
      <c r="LCT524" s="1358"/>
      <c r="LCU524" s="1358"/>
      <c r="LCV524" s="1358"/>
      <c r="LCW524" s="1358"/>
      <c r="LCX524" s="1358"/>
      <c r="LCY524" s="1358"/>
      <c r="LCZ524" s="1358"/>
      <c r="LDA524" s="1358"/>
      <c r="LDB524" s="1358"/>
      <c r="LDC524" s="1358"/>
      <c r="LDD524" s="1358"/>
      <c r="LDE524" s="1358"/>
      <c r="LDF524" s="1358"/>
      <c r="LDG524" s="1358"/>
      <c r="LDH524" s="1358"/>
      <c r="LDI524" s="1358"/>
      <c r="LDJ524" s="1358"/>
      <c r="LDK524" s="1358"/>
      <c r="LDL524" s="1358"/>
      <c r="LDM524" s="1358"/>
      <c r="LDN524" s="1358"/>
      <c r="LDO524" s="1358"/>
      <c r="LDP524" s="1358"/>
      <c r="LDQ524" s="1358"/>
      <c r="LDR524" s="1358"/>
      <c r="LDS524" s="1358"/>
      <c r="LDT524" s="1358"/>
      <c r="LDU524" s="1358"/>
      <c r="LDV524" s="1358"/>
      <c r="LDW524" s="1358"/>
      <c r="LDX524" s="1358"/>
      <c r="LDY524" s="1358"/>
      <c r="LDZ524" s="1358"/>
      <c r="LEA524" s="1358"/>
      <c r="LEB524" s="1358"/>
      <c r="LEC524" s="1358"/>
      <c r="LED524" s="1358"/>
      <c r="LEE524" s="1358"/>
      <c r="LEF524" s="1358"/>
      <c r="LEG524" s="1358"/>
      <c r="LEH524" s="1358"/>
      <c r="LEI524" s="1358"/>
      <c r="LEJ524" s="1358"/>
      <c r="LEK524" s="1358"/>
      <c r="LEL524" s="1358"/>
      <c r="LEM524" s="1358"/>
      <c r="LEN524" s="1358"/>
      <c r="LEO524" s="1358"/>
      <c r="LEP524" s="1358"/>
      <c r="LEQ524" s="1358"/>
      <c r="LER524" s="1358"/>
      <c r="LES524" s="1358"/>
      <c r="LET524" s="1358"/>
      <c r="LEU524" s="1358"/>
      <c r="LEV524" s="1358"/>
      <c r="LEW524" s="1358"/>
      <c r="LEX524" s="1358"/>
      <c r="LEY524" s="1358"/>
      <c r="LEZ524" s="1358"/>
      <c r="LFA524" s="1358"/>
      <c r="LFB524" s="1358"/>
      <c r="LFC524" s="1358"/>
      <c r="LFD524" s="1358"/>
      <c r="LFE524" s="1358"/>
      <c r="LFF524" s="1358"/>
      <c r="LFG524" s="1358"/>
      <c r="LFH524" s="1358"/>
      <c r="LFI524" s="1358"/>
      <c r="LFJ524" s="1358"/>
      <c r="LFK524" s="1358"/>
      <c r="LFL524" s="1358"/>
      <c r="LFM524" s="1358"/>
      <c r="LFN524" s="1358"/>
      <c r="LFO524" s="1358"/>
      <c r="LFP524" s="1358"/>
      <c r="LFQ524" s="1358"/>
      <c r="LFR524" s="1358"/>
      <c r="LFS524" s="1358"/>
      <c r="LFT524" s="1358"/>
      <c r="LFU524" s="1358"/>
      <c r="LFV524" s="1358"/>
      <c r="LFW524" s="1358"/>
      <c r="LFX524" s="1358"/>
      <c r="LFY524" s="1358"/>
      <c r="LFZ524" s="1358"/>
      <c r="LGA524" s="1358"/>
      <c r="LGB524" s="1358"/>
      <c r="LGC524" s="1358"/>
      <c r="LGD524" s="1358"/>
      <c r="LGE524" s="1358"/>
      <c r="LGF524" s="1358"/>
      <c r="LGG524" s="1358"/>
      <c r="LGH524" s="1358"/>
      <c r="LGI524" s="1358"/>
      <c r="LGJ524" s="1358"/>
      <c r="LGK524" s="1358"/>
      <c r="LGL524" s="1358"/>
      <c r="LGM524" s="1358"/>
      <c r="LGN524" s="1358"/>
      <c r="LGO524" s="1358"/>
      <c r="LGP524" s="1358"/>
      <c r="LGQ524" s="1358"/>
      <c r="LGR524" s="1358"/>
      <c r="LGS524" s="1358"/>
      <c r="LGT524" s="1358"/>
      <c r="LGU524" s="1358"/>
      <c r="LGV524" s="1358"/>
      <c r="LGW524" s="1358"/>
      <c r="LGX524" s="1358"/>
      <c r="LGY524" s="1358"/>
      <c r="LGZ524" s="1358"/>
      <c r="LHA524" s="1358"/>
      <c r="LHB524" s="1358"/>
      <c r="LHC524" s="1358"/>
      <c r="LHD524" s="1358"/>
      <c r="LHE524" s="1358"/>
      <c r="LHF524" s="1358"/>
      <c r="LHG524" s="1358"/>
      <c r="LHH524" s="1358"/>
      <c r="LHI524" s="1358"/>
      <c r="LHJ524" s="1358"/>
      <c r="LHK524" s="1358"/>
      <c r="LHL524" s="1358"/>
      <c r="LHM524" s="1358"/>
      <c r="LHN524" s="1358"/>
      <c r="LHO524" s="1358"/>
      <c r="LHP524" s="1358"/>
      <c r="LHQ524" s="1358"/>
      <c r="LHR524" s="1358"/>
      <c r="LHS524" s="1358"/>
      <c r="LHT524" s="1358"/>
      <c r="LHU524" s="1358"/>
      <c r="LHV524" s="1358"/>
      <c r="LHW524" s="1358"/>
      <c r="LHX524" s="1358"/>
      <c r="LHY524" s="1358"/>
      <c r="LHZ524" s="1358"/>
      <c r="LIA524" s="1358"/>
      <c r="LIB524" s="1358"/>
      <c r="LIC524" s="1358"/>
      <c r="LID524" s="1358"/>
      <c r="LIE524" s="1358"/>
      <c r="LIF524" s="1358"/>
      <c r="LIG524" s="1358"/>
      <c r="LIH524" s="1358"/>
      <c r="LII524" s="1358"/>
      <c r="LIJ524" s="1358"/>
      <c r="LIK524" s="1358"/>
      <c r="LIL524" s="1358"/>
      <c r="LIM524" s="1358"/>
      <c r="LIN524" s="1358"/>
      <c r="LIO524" s="1358"/>
      <c r="LIP524" s="1358"/>
      <c r="LIQ524" s="1358"/>
      <c r="LIR524" s="1358"/>
      <c r="LIS524" s="1358"/>
      <c r="LIT524" s="1358"/>
      <c r="LIU524" s="1358"/>
      <c r="LIV524" s="1358"/>
      <c r="LIW524" s="1358"/>
      <c r="LIX524" s="1358"/>
      <c r="LIY524" s="1358"/>
      <c r="LIZ524" s="1358"/>
      <c r="LJA524" s="1358"/>
      <c r="LJB524" s="1358"/>
      <c r="LJC524" s="1358"/>
      <c r="LJD524" s="1358"/>
      <c r="LJE524" s="1358"/>
      <c r="LJF524" s="1358"/>
      <c r="LJG524" s="1358"/>
      <c r="LJH524" s="1358"/>
      <c r="LJI524" s="1358"/>
      <c r="LJJ524" s="1358"/>
      <c r="LJK524" s="1358"/>
      <c r="LJL524" s="1358"/>
      <c r="LJM524" s="1358"/>
      <c r="LJN524" s="1358"/>
      <c r="LJO524" s="1358"/>
      <c r="LJP524" s="1358"/>
      <c r="LJQ524" s="1358"/>
      <c r="LJR524" s="1358"/>
      <c r="LJS524" s="1358"/>
      <c r="LJT524" s="1358"/>
      <c r="LJU524" s="1358"/>
      <c r="LJV524" s="1358"/>
      <c r="LJW524" s="1358"/>
      <c r="LJX524" s="1358"/>
      <c r="LJY524" s="1358"/>
      <c r="LJZ524" s="1358"/>
      <c r="LKA524" s="1358"/>
      <c r="LKB524" s="1358"/>
      <c r="LKC524" s="1358"/>
      <c r="LKD524" s="1358"/>
      <c r="LKE524" s="1358"/>
      <c r="LKF524" s="1358"/>
      <c r="LKG524" s="1358"/>
      <c r="LKH524" s="1358"/>
      <c r="LKI524" s="1358"/>
      <c r="LKJ524" s="1358"/>
      <c r="LKK524" s="1358"/>
      <c r="LKL524" s="1358"/>
      <c r="LKM524" s="1358"/>
      <c r="LKN524" s="1358"/>
      <c r="LKO524" s="1358"/>
      <c r="LKP524" s="1358"/>
      <c r="LKQ524" s="1358"/>
      <c r="LKR524" s="1358"/>
      <c r="LKS524" s="1358"/>
      <c r="LKT524" s="1358"/>
      <c r="LKU524" s="1358"/>
      <c r="LKV524" s="1358"/>
      <c r="LKW524" s="1358"/>
      <c r="LKX524" s="1358"/>
      <c r="LKY524" s="1358"/>
      <c r="LKZ524" s="1358"/>
      <c r="LLA524" s="1358"/>
      <c r="LLB524" s="1358"/>
      <c r="LLC524" s="1358"/>
      <c r="LLD524" s="1358"/>
      <c r="LLE524" s="1358"/>
      <c r="LLF524" s="1358"/>
      <c r="LLG524" s="1358"/>
      <c r="LLH524" s="1358"/>
      <c r="LLI524" s="1358"/>
      <c r="LLJ524" s="1358"/>
      <c r="LLK524" s="1358"/>
      <c r="LLL524" s="1358"/>
      <c r="LLM524" s="1358"/>
      <c r="LLN524" s="1358"/>
      <c r="LLO524" s="1358"/>
      <c r="LLP524" s="1358"/>
      <c r="LLQ524" s="1358"/>
      <c r="LLR524" s="1358"/>
      <c r="LLS524" s="1358"/>
      <c r="LLT524" s="1358"/>
      <c r="LLU524" s="1358"/>
      <c r="LLV524" s="1358"/>
      <c r="LLW524" s="1358"/>
      <c r="LLX524" s="1358"/>
      <c r="LLY524" s="1358"/>
      <c r="LLZ524" s="1358"/>
      <c r="LMA524" s="1358"/>
      <c r="LMB524" s="1358"/>
      <c r="LMC524" s="1358"/>
      <c r="LMD524" s="1358"/>
      <c r="LME524" s="1358"/>
      <c r="LMF524" s="1358"/>
      <c r="LMG524" s="1358"/>
      <c r="LMH524" s="1358"/>
      <c r="LMI524" s="1358"/>
      <c r="LMJ524" s="1358"/>
      <c r="LMK524" s="1358"/>
      <c r="LML524" s="1358"/>
      <c r="LMM524" s="1358"/>
      <c r="LMN524" s="1358"/>
      <c r="LMO524" s="1358"/>
      <c r="LMP524" s="1358"/>
      <c r="LMQ524" s="1358"/>
      <c r="LMR524" s="1358"/>
      <c r="LMS524" s="1358"/>
      <c r="LMT524" s="1358"/>
      <c r="LMU524" s="1358"/>
      <c r="LMV524" s="1358"/>
      <c r="LMW524" s="1358"/>
      <c r="LMX524" s="1358"/>
      <c r="LMY524" s="1358"/>
      <c r="LMZ524" s="1358"/>
      <c r="LNA524" s="1358"/>
      <c r="LNB524" s="1358"/>
      <c r="LNC524" s="1358"/>
      <c r="LND524" s="1358"/>
      <c r="LNE524" s="1358"/>
      <c r="LNF524" s="1358"/>
      <c r="LNG524" s="1358"/>
      <c r="LNH524" s="1358"/>
      <c r="LNI524" s="1358"/>
      <c r="LNJ524" s="1358"/>
      <c r="LNK524" s="1358"/>
      <c r="LNL524" s="1358"/>
      <c r="LNM524" s="1358"/>
      <c r="LNN524" s="1358"/>
      <c r="LNO524" s="1358"/>
      <c r="LNP524" s="1358"/>
      <c r="LNQ524" s="1358"/>
      <c r="LNR524" s="1358"/>
      <c r="LNS524" s="1358"/>
      <c r="LNT524" s="1358"/>
      <c r="LNU524" s="1358"/>
      <c r="LNV524" s="1358"/>
      <c r="LNW524" s="1358"/>
      <c r="LNX524" s="1358"/>
      <c r="LNY524" s="1358"/>
      <c r="LNZ524" s="1358"/>
      <c r="LOA524" s="1358"/>
      <c r="LOB524" s="1358"/>
      <c r="LOC524" s="1358"/>
      <c r="LOD524" s="1358"/>
      <c r="LOE524" s="1358"/>
      <c r="LOF524" s="1358"/>
      <c r="LOG524" s="1358"/>
      <c r="LOH524" s="1358"/>
      <c r="LOI524" s="1358"/>
      <c r="LOJ524" s="1358"/>
      <c r="LOK524" s="1358"/>
      <c r="LOL524" s="1358"/>
      <c r="LOM524" s="1358"/>
      <c r="LON524" s="1358"/>
      <c r="LOO524" s="1358"/>
      <c r="LOP524" s="1358"/>
      <c r="LOQ524" s="1358"/>
      <c r="LOR524" s="1358"/>
      <c r="LOS524" s="1358"/>
      <c r="LOT524" s="1358"/>
      <c r="LOU524" s="1358"/>
      <c r="LOV524" s="1358"/>
      <c r="LOW524" s="1358"/>
      <c r="LOX524" s="1358"/>
      <c r="LOY524" s="1358"/>
      <c r="LOZ524" s="1358"/>
      <c r="LPA524" s="1358"/>
      <c r="LPB524" s="1358"/>
      <c r="LPC524" s="1358"/>
      <c r="LPD524" s="1358"/>
      <c r="LPE524" s="1358"/>
      <c r="LPF524" s="1358"/>
      <c r="LPG524" s="1358"/>
      <c r="LPH524" s="1358"/>
      <c r="LPI524" s="1358"/>
      <c r="LPJ524" s="1358"/>
      <c r="LPK524" s="1358"/>
      <c r="LPL524" s="1358"/>
      <c r="LPM524" s="1358"/>
      <c r="LPN524" s="1358"/>
      <c r="LPO524" s="1358"/>
      <c r="LPP524" s="1358"/>
      <c r="LPQ524" s="1358"/>
      <c r="LPR524" s="1358"/>
      <c r="LPS524" s="1358"/>
      <c r="LPT524" s="1358"/>
      <c r="LPU524" s="1358"/>
      <c r="LPV524" s="1358"/>
      <c r="LPW524" s="1358"/>
      <c r="LPX524" s="1358"/>
      <c r="LPY524" s="1358"/>
      <c r="LPZ524" s="1358"/>
      <c r="LQA524" s="1358"/>
      <c r="LQB524" s="1358"/>
      <c r="LQC524" s="1358"/>
      <c r="LQD524" s="1358"/>
      <c r="LQE524" s="1358"/>
      <c r="LQF524" s="1358"/>
      <c r="LQG524" s="1358"/>
      <c r="LQH524" s="1358"/>
      <c r="LQI524" s="1358"/>
      <c r="LQJ524" s="1358"/>
      <c r="LQK524" s="1358"/>
      <c r="LQL524" s="1358"/>
      <c r="LQM524" s="1358"/>
      <c r="LQN524" s="1358"/>
      <c r="LQO524" s="1358"/>
      <c r="LQP524" s="1358"/>
      <c r="LQQ524" s="1358"/>
      <c r="LQR524" s="1358"/>
      <c r="LQS524" s="1358"/>
      <c r="LQT524" s="1358"/>
      <c r="LQU524" s="1358"/>
      <c r="LQV524" s="1358"/>
      <c r="LQW524" s="1358"/>
      <c r="LQX524" s="1358"/>
      <c r="LQY524" s="1358"/>
      <c r="LQZ524" s="1358"/>
      <c r="LRA524" s="1358"/>
      <c r="LRB524" s="1358"/>
      <c r="LRC524" s="1358"/>
      <c r="LRD524" s="1358"/>
      <c r="LRE524" s="1358"/>
      <c r="LRF524" s="1358"/>
      <c r="LRG524" s="1358"/>
      <c r="LRH524" s="1358"/>
      <c r="LRI524" s="1358"/>
      <c r="LRJ524" s="1358"/>
      <c r="LRK524" s="1358"/>
      <c r="LRL524" s="1358"/>
      <c r="LRM524" s="1358"/>
      <c r="LRN524" s="1358"/>
      <c r="LRO524" s="1358"/>
      <c r="LRP524" s="1358"/>
      <c r="LRQ524" s="1358"/>
      <c r="LRR524" s="1358"/>
      <c r="LRS524" s="1358"/>
      <c r="LRT524" s="1358"/>
      <c r="LRU524" s="1358"/>
      <c r="LRV524" s="1358"/>
      <c r="LRW524" s="1358"/>
      <c r="LRX524" s="1358"/>
      <c r="LRY524" s="1358"/>
      <c r="LRZ524" s="1358"/>
      <c r="LSA524" s="1358"/>
      <c r="LSB524" s="1358"/>
      <c r="LSC524" s="1358"/>
      <c r="LSD524" s="1358"/>
      <c r="LSE524" s="1358"/>
      <c r="LSF524" s="1358"/>
      <c r="LSG524" s="1358"/>
      <c r="LSH524" s="1358"/>
      <c r="LSI524" s="1358"/>
      <c r="LSJ524" s="1358"/>
      <c r="LSK524" s="1358"/>
      <c r="LSL524" s="1358"/>
      <c r="LSM524" s="1358"/>
      <c r="LSN524" s="1358"/>
      <c r="LSO524" s="1358"/>
      <c r="LSP524" s="1358"/>
      <c r="LSQ524" s="1358"/>
      <c r="LSR524" s="1358"/>
      <c r="LSS524" s="1358"/>
      <c r="LST524" s="1358"/>
      <c r="LSU524" s="1358"/>
      <c r="LSV524" s="1358"/>
      <c r="LSW524" s="1358"/>
      <c r="LSX524" s="1358"/>
      <c r="LSY524" s="1358"/>
      <c r="LSZ524" s="1358"/>
      <c r="LTA524" s="1358"/>
      <c r="LTB524" s="1358"/>
      <c r="LTC524" s="1358"/>
      <c r="LTD524" s="1358"/>
      <c r="LTE524" s="1358"/>
      <c r="LTF524" s="1358"/>
      <c r="LTG524" s="1358"/>
      <c r="LTH524" s="1358"/>
      <c r="LTI524" s="1358"/>
      <c r="LTJ524" s="1358"/>
      <c r="LTK524" s="1358"/>
      <c r="LTL524" s="1358"/>
      <c r="LTM524" s="1358"/>
      <c r="LTN524" s="1358"/>
      <c r="LTO524" s="1358"/>
      <c r="LTP524" s="1358"/>
      <c r="LTQ524" s="1358"/>
      <c r="LTR524" s="1358"/>
      <c r="LTS524" s="1358"/>
      <c r="LTT524" s="1358"/>
      <c r="LTU524" s="1358"/>
      <c r="LTV524" s="1358"/>
      <c r="LTW524" s="1358"/>
      <c r="LTX524" s="1358"/>
      <c r="LTY524" s="1358"/>
      <c r="LTZ524" s="1358"/>
      <c r="LUA524" s="1358"/>
      <c r="LUB524" s="1358"/>
      <c r="LUC524" s="1358"/>
      <c r="LUD524" s="1358"/>
      <c r="LUE524" s="1358"/>
      <c r="LUF524" s="1358"/>
      <c r="LUG524" s="1358"/>
      <c r="LUH524" s="1358"/>
      <c r="LUI524" s="1358"/>
      <c r="LUJ524" s="1358"/>
      <c r="LUK524" s="1358"/>
      <c r="LUL524" s="1358"/>
      <c r="LUM524" s="1358"/>
      <c r="LUN524" s="1358"/>
      <c r="LUO524" s="1358"/>
      <c r="LUP524" s="1358"/>
      <c r="LUQ524" s="1358"/>
      <c r="LUR524" s="1358"/>
      <c r="LUS524" s="1358"/>
      <c r="LUT524" s="1358"/>
      <c r="LUU524" s="1358"/>
      <c r="LUV524" s="1358"/>
      <c r="LUW524" s="1358"/>
      <c r="LUX524" s="1358"/>
      <c r="LUY524" s="1358"/>
      <c r="LUZ524" s="1358"/>
      <c r="LVA524" s="1358"/>
      <c r="LVB524" s="1358"/>
      <c r="LVC524" s="1358"/>
      <c r="LVD524" s="1358"/>
      <c r="LVE524" s="1358"/>
      <c r="LVF524" s="1358"/>
      <c r="LVG524" s="1358"/>
      <c r="LVH524" s="1358"/>
      <c r="LVI524" s="1358"/>
      <c r="LVJ524" s="1358"/>
      <c r="LVK524" s="1358"/>
      <c r="LVL524" s="1358"/>
      <c r="LVM524" s="1358"/>
      <c r="LVN524" s="1358"/>
      <c r="LVO524" s="1358"/>
      <c r="LVP524" s="1358"/>
      <c r="LVQ524" s="1358"/>
      <c r="LVR524" s="1358"/>
      <c r="LVS524" s="1358"/>
      <c r="LVT524" s="1358"/>
      <c r="LVU524" s="1358"/>
      <c r="LVV524" s="1358"/>
      <c r="LVW524" s="1358"/>
      <c r="LVX524" s="1358"/>
      <c r="LVY524" s="1358"/>
      <c r="LVZ524" s="1358"/>
      <c r="LWA524" s="1358"/>
      <c r="LWB524" s="1358"/>
      <c r="LWC524" s="1358"/>
      <c r="LWD524" s="1358"/>
      <c r="LWE524" s="1358"/>
      <c r="LWF524" s="1358"/>
      <c r="LWG524" s="1358"/>
      <c r="LWH524" s="1358"/>
      <c r="LWI524" s="1358"/>
      <c r="LWJ524" s="1358"/>
      <c r="LWK524" s="1358"/>
      <c r="LWL524" s="1358"/>
      <c r="LWM524" s="1358"/>
      <c r="LWN524" s="1358"/>
      <c r="LWO524" s="1358"/>
      <c r="LWP524" s="1358"/>
      <c r="LWQ524" s="1358"/>
      <c r="LWR524" s="1358"/>
      <c r="LWS524" s="1358"/>
      <c r="LWT524" s="1358"/>
      <c r="LWU524" s="1358"/>
      <c r="LWV524" s="1358"/>
      <c r="LWW524" s="1358"/>
      <c r="LWX524" s="1358"/>
      <c r="LWY524" s="1358"/>
      <c r="LWZ524" s="1358"/>
      <c r="LXA524" s="1358"/>
      <c r="LXB524" s="1358"/>
      <c r="LXC524" s="1358"/>
      <c r="LXD524" s="1358"/>
      <c r="LXE524" s="1358"/>
      <c r="LXF524" s="1358"/>
      <c r="LXG524" s="1358"/>
      <c r="LXH524" s="1358"/>
      <c r="LXI524" s="1358"/>
      <c r="LXJ524" s="1358"/>
      <c r="LXK524" s="1358"/>
      <c r="LXL524" s="1358"/>
      <c r="LXM524" s="1358"/>
      <c r="LXN524" s="1358"/>
      <c r="LXO524" s="1358"/>
      <c r="LXP524" s="1358"/>
      <c r="LXQ524" s="1358"/>
      <c r="LXR524" s="1358"/>
      <c r="LXS524" s="1358"/>
      <c r="LXT524" s="1358"/>
      <c r="LXU524" s="1358"/>
      <c r="LXV524" s="1358"/>
      <c r="LXW524" s="1358"/>
      <c r="LXX524" s="1358"/>
      <c r="LXY524" s="1358"/>
      <c r="LXZ524" s="1358"/>
      <c r="LYA524" s="1358"/>
      <c r="LYB524" s="1358"/>
      <c r="LYC524" s="1358"/>
      <c r="LYD524" s="1358"/>
      <c r="LYE524" s="1358"/>
      <c r="LYF524" s="1358"/>
      <c r="LYG524" s="1358"/>
      <c r="LYH524" s="1358"/>
      <c r="LYI524" s="1358"/>
      <c r="LYJ524" s="1358"/>
      <c r="LYK524" s="1358"/>
      <c r="LYL524" s="1358"/>
      <c r="LYM524" s="1358"/>
      <c r="LYN524" s="1358"/>
      <c r="LYO524" s="1358"/>
      <c r="LYP524" s="1358"/>
      <c r="LYQ524" s="1358"/>
      <c r="LYR524" s="1358"/>
      <c r="LYS524" s="1358"/>
      <c r="LYT524" s="1358"/>
      <c r="LYU524" s="1358"/>
      <c r="LYV524" s="1358"/>
      <c r="LYW524" s="1358"/>
      <c r="LYX524" s="1358"/>
      <c r="LYY524" s="1358"/>
      <c r="LYZ524" s="1358"/>
      <c r="LZA524" s="1358"/>
      <c r="LZB524" s="1358"/>
      <c r="LZC524" s="1358"/>
      <c r="LZD524" s="1358"/>
      <c r="LZE524" s="1358"/>
      <c r="LZF524" s="1358"/>
      <c r="LZG524" s="1358"/>
      <c r="LZH524" s="1358"/>
      <c r="LZI524" s="1358"/>
      <c r="LZJ524" s="1358"/>
      <c r="LZK524" s="1358"/>
      <c r="LZL524" s="1358"/>
      <c r="LZM524" s="1358"/>
      <c r="LZN524" s="1358"/>
      <c r="LZO524" s="1358"/>
      <c r="LZP524" s="1358"/>
      <c r="LZQ524" s="1358"/>
      <c r="LZR524" s="1358"/>
      <c r="LZS524" s="1358"/>
      <c r="LZT524" s="1358"/>
      <c r="LZU524" s="1358"/>
      <c r="LZV524" s="1358"/>
      <c r="LZW524" s="1358"/>
      <c r="LZX524" s="1358"/>
      <c r="LZY524" s="1358"/>
      <c r="LZZ524" s="1358"/>
      <c r="MAA524" s="1358"/>
      <c r="MAB524" s="1358"/>
      <c r="MAC524" s="1358"/>
      <c r="MAD524" s="1358"/>
      <c r="MAE524" s="1358"/>
      <c r="MAF524" s="1358"/>
      <c r="MAG524" s="1358"/>
      <c r="MAH524" s="1358"/>
      <c r="MAI524" s="1358"/>
      <c r="MAJ524" s="1358"/>
      <c r="MAK524" s="1358"/>
      <c r="MAL524" s="1358"/>
      <c r="MAM524" s="1358"/>
      <c r="MAN524" s="1358"/>
      <c r="MAO524" s="1358"/>
      <c r="MAP524" s="1358"/>
      <c r="MAQ524" s="1358"/>
      <c r="MAR524" s="1358"/>
      <c r="MAS524" s="1358"/>
      <c r="MAT524" s="1358"/>
      <c r="MAU524" s="1358"/>
      <c r="MAV524" s="1358"/>
      <c r="MAW524" s="1358"/>
      <c r="MAX524" s="1358"/>
      <c r="MAY524" s="1358"/>
      <c r="MAZ524" s="1358"/>
      <c r="MBA524" s="1358"/>
      <c r="MBB524" s="1358"/>
      <c r="MBC524" s="1358"/>
      <c r="MBD524" s="1358"/>
      <c r="MBE524" s="1358"/>
      <c r="MBF524" s="1358"/>
      <c r="MBG524" s="1358"/>
      <c r="MBH524" s="1358"/>
      <c r="MBI524" s="1358"/>
      <c r="MBJ524" s="1358"/>
      <c r="MBK524" s="1358"/>
      <c r="MBL524" s="1358"/>
      <c r="MBM524" s="1358"/>
      <c r="MBN524" s="1358"/>
      <c r="MBO524" s="1358"/>
      <c r="MBP524" s="1358"/>
      <c r="MBQ524" s="1358"/>
      <c r="MBR524" s="1358"/>
      <c r="MBS524" s="1358"/>
      <c r="MBT524" s="1358"/>
      <c r="MBU524" s="1358"/>
      <c r="MBV524" s="1358"/>
      <c r="MBW524" s="1358"/>
      <c r="MBX524" s="1358"/>
      <c r="MBY524" s="1358"/>
      <c r="MBZ524" s="1358"/>
      <c r="MCA524" s="1358"/>
      <c r="MCB524" s="1358"/>
      <c r="MCC524" s="1358"/>
      <c r="MCD524" s="1358"/>
      <c r="MCE524" s="1358"/>
      <c r="MCF524" s="1358"/>
      <c r="MCG524" s="1358"/>
      <c r="MCH524" s="1358"/>
      <c r="MCI524" s="1358"/>
      <c r="MCJ524" s="1358"/>
      <c r="MCK524" s="1358"/>
      <c r="MCL524" s="1358"/>
      <c r="MCM524" s="1358"/>
      <c r="MCN524" s="1358"/>
      <c r="MCO524" s="1358"/>
      <c r="MCP524" s="1358"/>
      <c r="MCQ524" s="1358"/>
      <c r="MCR524" s="1358"/>
      <c r="MCS524" s="1358"/>
      <c r="MCT524" s="1358"/>
      <c r="MCU524" s="1358"/>
      <c r="MCV524" s="1358"/>
      <c r="MCW524" s="1358"/>
      <c r="MCX524" s="1358"/>
      <c r="MCY524" s="1358"/>
      <c r="MCZ524" s="1358"/>
      <c r="MDA524" s="1358"/>
      <c r="MDB524" s="1358"/>
      <c r="MDC524" s="1358"/>
      <c r="MDD524" s="1358"/>
      <c r="MDE524" s="1358"/>
      <c r="MDF524" s="1358"/>
      <c r="MDG524" s="1358"/>
      <c r="MDH524" s="1358"/>
      <c r="MDI524" s="1358"/>
      <c r="MDJ524" s="1358"/>
      <c r="MDK524" s="1358"/>
      <c r="MDL524" s="1358"/>
      <c r="MDM524" s="1358"/>
      <c r="MDN524" s="1358"/>
      <c r="MDO524" s="1358"/>
      <c r="MDP524" s="1358"/>
      <c r="MDQ524" s="1358"/>
      <c r="MDR524" s="1358"/>
      <c r="MDS524" s="1358"/>
      <c r="MDT524" s="1358"/>
      <c r="MDU524" s="1358"/>
      <c r="MDV524" s="1358"/>
      <c r="MDW524" s="1358"/>
      <c r="MDX524" s="1358"/>
      <c r="MDY524" s="1358"/>
      <c r="MDZ524" s="1358"/>
      <c r="MEA524" s="1358"/>
      <c r="MEB524" s="1358"/>
      <c r="MEC524" s="1358"/>
      <c r="MED524" s="1358"/>
      <c r="MEE524" s="1358"/>
      <c r="MEF524" s="1358"/>
      <c r="MEG524" s="1358"/>
      <c r="MEH524" s="1358"/>
      <c r="MEI524" s="1358"/>
      <c r="MEJ524" s="1358"/>
      <c r="MEK524" s="1358"/>
      <c r="MEL524" s="1358"/>
      <c r="MEM524" s="1358"/>
      <c r="MEN524" s="1358"/>
      <c r="MEO524" s="1358"/>
      <c r="MEP524" s="1358"/>
      <c r="MEQ524" s="1358"/>
      <c r="MER524" s="1358"/>
      <c r="MES524" s="1358"/>
      <c r="MET524" s="1358"/>
      <c r="MEU524" s="1358"/>
      <c r="MEV524" s="1358"/>
      <c r="MEW524" s="1358"/>
      <c r="MEX524" s="1358"/>
      <c r="MEY524" s="1358"/>
      <c r="MEZ524" s="1358"/>
      <c r="MFA524" s="1358"/>
      <c r="MFB524" s="1358"/>
      <c r="MFC524" s="1358"/>
      <c r="MFD524" s="1358"/>
      <c r="MFE524" s="1358"/>
      <c r="MFF524" s="1358"/>
      <c r="MFG524" s="1358"/>
      <c r="MFH524" s="1358"/>
      <c r="MFI524" s="1358"/>
      <c r="MFJ524" s="1358"/>
      <c r="MFK524" s="1358"/>
      <c r="MFL524" s="1358"/>
      <c r="MFM524" s="1358"/>
      <c r="MFN524" s="1358"/>
      <c r="MFO524" s="1358"/>
      <c r="MFP524" s="1358"/>
      <c r="MFQ524" s="1358"/>
      <c r="MFR524" s="1358"/>
      <c r="MFS524" s="1358"/>
      <c r="MFT524" s="1358"/>
      <c r="MFU524" s="1358"/>
      <c r="MFV524" s="1358"/>
      <c r="MFW524" s="1358"/>
      <c r="MFX524" s="1358"/>
      <c r="MFY524" s="1358"/>
      <c r="MFZ524" s="1358"/>
      <c r="MGA524" s="1358"/>
      <c r="MGB524" s="1358"/>
      <c r="MGC524" s="1358"/>
      <c r="MGD524" s="1358"/>
      <c r="MGE524" s="1358"/>
      <c r="MGF524" s="1358"/>
      <c r="MGG524" s="1358"/>
      <c r="MGH524" s="1358"/>
      <c r="MGI524" s="1358"/>
      <c r="MGJ524" s="1358"/>
      <c r="MGK524" s="1358"/>
      <c r="MGL524" s="1358"/>
      <c r="MGM524" s="1358"/>
      <c r="MGN524" s="1358"/>
      <c r="MGO524" s="1358"/>
      <c r="MGP524" s="1358"/>
      <c r="MGQ524" s="1358"/>
      <c r="MGR524" s="1358"/>
      <c r="MGS524" s="1358"/>
      <c r="MGT524" s="1358"/>
      <c r="MGU524" s="1358"/>
      <c r="MGV524" s="1358"/>
      <c r="MGW524" s="1358"/>
      <c r="MGX524" s="1358"/>
      <c r="MGY524" s="1358"/>
      <c r="MGZ524" s="1358"/>
      <c r="MHA524" s="1358"/>
      <c r="MHB524" s="1358"/>
      <c r="MHC524" s="1358"/>
      <c r="MHD524" s="1358"/>
      <c r="MHE524" s="1358"/>
      <c r="MHF524" s="1358"/>
      <c r="MHG524" s="1358"/>
      <c r="MHH524" s="1358"/>
      <c r="MHI524" s="1358"/>
      <c r="MHJ524" s="1358"/>
      <c r="MHK524" s="1358"/>
      <c r="MHL524" s="1358"/>
      <c r="MHM524" s="1358"/>
      <c r="MHN524" s="1358"/>
      <c r="MHO524" s="1358"/>
      <c r="MHP524" s="1358"/>
      <c r="MHQ524" s="1358"/>
      <c r="MHR524" s="1358"/>
      <c r="MHS524" s="1358"/>
      <c r="MHT524" s="1358"/>
      <c r="MHU524" s="1358"/>
      <c r="MHV524" s="1358"/>
      <c r="MHW524" s="1358"/>
      <c r="MHX524" s="1358"/>
      <c r="MHY524" s="1358"/>
      <c r="MHZ524" s="1358"/>
      <c r="MIA524" s="1358"/>
      <c r="MIB524" s="1358"/>
      <c r="MIC524" s="1358"/>
      <c r="MID524" s="1358"/>
      <c r="MIE524" s="1358"/>
      <c r="MIF524" s="1358"/>
      <c r="MIG524" s="1358"/>
      <c r="MIH524" s="1358"/>
      <c r="MII524" s="1358"/>
      <c r="MIJ524" s="1358"/>
      <c r="MIK524" s="1358"/>
      <c r="MIL524" s="1358"/>
      <c r="MIM524" s="1358"/>
      <c r="MIN524" s="1358"/>
      <c r="MIO524" s="1358"/>
      <c r="MIP524" s="1358"/>
      <c r="MIQ524" s="1358"/>
      <c r="MIR524" s="1358"/>
      <c r="MIS524" s="1358"/>
      <c r="MIT524" s="1358"/>
      <c r="MIU524" s="1358"/>
      <c r="MIV524" s="1358"/>
      <c r="MIW524" s="1358"/>
      <c r="MIX524" s="1358"/>
      <c r="MIY524" s="1358"/>
      <c r="MIZ524" s="1358"/>
      <c r="MJA524" s="1358"/>
      <c r="MJB524" s="1358"/>
      <c r="MJC524" s="1358"/>
      <c r="MJD524" s="1358"/>
      <c r="MJE524" s="1358"/>
      <c r="MJF524" s="1358"/>
      <c r="MJG524" s="1358"/>
      <c r="MJH524" s="1358"/>
      <c r="MJI524" s="1358"/>
      <c r="MJJ524" s="1358"/>
      <c r="MJK524" s="1358"/>
      <c r="MJL524" s="1358"/>
      <c r="MJM524" s="1358"/>
      <c r="MJN524" s="1358"/>
      <c r="MJO524" s="1358"/>
      <c r="MJP524" s="1358"/>
      <c r="MJQ524" s="1358"/>
      <c r="MJR524" s="1358"/>
      <c r="MJS524" s="1358"/>
      <c r="MJT524" s="1358"/>
      <c r="MJU524" s="1358"/>
      <c r="MJV524" s="1358"/>
      <c r="MJW524" s="1358"/>
      <c r="MJX524" s="1358"/>
      <c r="MJY524" s="1358"/>
      <c r="MJZ524" s="1358"/>
      <c r="MKA524" s="1358"/>
      <c r="MKB524" s="1358"/>
      <c r="MKC524" s="1358"/>
      <c r="MKD524" s="1358"/>
      <c r="MKE524" s="1358"/>
      <c r="MKF524" s="1358"/>
      <c r="MKG524" s="1358"/>
      <c r="MKH524" s="1358"/>
      <c r="MKI524" s="1358"/>
      <c r="MKJ524" s="1358"/>
      <c r="MKK524" s="1358"/>
      <c r="MKL524" s="1358"/>
      <c r="MKM524" s="1358"/>
      <c r="MKN524" s="1358"/>
      <c r="MKO524" s="1358"/>
      <c r="MKP524" s="1358"/>
      <c r="MKQ524" s="1358"/>
      <c r="MKR524" s="1358"/>
      <c r="MKS524" s="1358"/>
      <c r="MKT524" s="1358"/>
      <c r="MKU524" s="1358"/>
      <c r="MKV524" s="1358"/>
      <c r="MKW524" s="1358"/>
      <c r="MKX524" s="1358"/>
      <c r="MKY524" s="1358"/>
      <c r="MKZ524" s="1358"/>
      <c r="MLA524" s="1358"/>
      <c r="MLB524" s="1358"/>
      <c r="MLC524" s="1358"/>
      <c r="MLD524" s="1358"/>
      <c r="MLE524" s="1358"/>
      <c r="MLF524" s="1358"/>
      <c r="MLG524" s="1358"/>
      <c r="MLH524" s="1358"/>
      <c r="MLI524" s="1358"/>
      <c r="MLJ524" s="1358"/>
      <c r="MLK524" s="1358"/>
      <c r="MLL524" s="1358"/>
      <c r="MLM524" s="1358"/>
      <c r="MLN524" s="1358"/>
      <c r="MLO524" s="1358"/>
      <c r="MLP524" s="1358"/>
      <c r="MLQ524" s="1358"/>
      <c r="MLR524" s="1358"/>
      <c r="MLS524" s="1358"/>
      <c r="MLT524" s="1358"/>
      <c r="MLU524" s="1358"/>
      <c r="MLV524" s="1358"/>
      <c r="MLW524" s="1358"/>
      <c r="MLX524" s="1358"/>
      <c r="MLY524" s="1358"/>
      <c r="MLZ524" s="1358"/>
      <c r="MMA524" s="1358"/>
      <c r="MMB524" s="1358"/>
      <c r="MMC524" s="1358"/>
      <c r="MMD524" s="1358"/>
      <c r="MME524" s="1358"/>
      <c r="MMF524" s="1358"/>
      <c r="MMG524" s="1358"/>
      <c r="MMH524" s="1358"/>
      <c r="MMI524" s="1358"/>
      <c r="MMJ524" s="1358"/>
      <c r="MMK524" s="1358"/>
      <c r="MML524" s="1358"/>
      <c r="MMM524" s="1358"/>
      <c r="MMN524" s="1358"/>
      <c r="MMO524" s="1358"/>
      <c r="MMP524" s="1358"/>
      <c r="MMQ524" s="1358"/>
      <c r="MMR524" s="1358"/>
      <c r="MMS524" s="1358"/>
      <c r="MMT524" s="1358"/>
      <c r="MMU524" s="1358"/>
      <c r="MMV524" s="1358"/>
      <c r="MMW524" s="1358"/>
      <c r="MMX524" s="1358"/>
      <c r="MMY524" s="1358"/>
      <c r="MMZ524" s="1358"/>
      <c r="MNA524" s="1358"/>
      <c r="MNB524" s="1358"/>
      <c r="MNC524" s="1358"/>
      <c r="MND524" s="1358"/>
      <c r="MNE524" s="1358"/>
      <c r="MNF524" s="1358"/>
      <c r="MNG524" s="1358"/>
      <c r="MNH524" s="1358"/>
      <c r="MNI524" s="1358"/>
      <c r="MNJ524" s="1358"/>
      <c r="MNK524" s="1358"/>
      <c r="MNL524" s="1358"/>
      <c r="MNM524" s="1358"/>
      <c r="MNN524" s="1358"/>
      <c r="MNO524" s="1358"/>
      <c r="MNP524" s="1358"/>
      <c r="MNQ524" s="1358"/>
      <c r="MNR524" s="1358"/>
      <c r="MNS524" s="1358"/>
      <c r="MNT524" s="1358"/>
      <c r="MNU524" s="1358"/>
      <c r="MNV524" s="1358"/>
      <c r="MNW524" s="1358"/>
      <c r="MNX524" s="1358"/>
      <c r="MNY524" s="1358"/>
      <c r="MNZ524" s="1358"/>
      <c r="MOA524" s="1358"/>
      <c r="MOB524" s="1358"/>
      <c r="MOC524" s="1358"/>
      <c r="MOD524" s="1358"/>
      <c r="MOE524" s="1358"/>
      <c r="MOF524" s="1358"/>
      <c r="MOG524" s="1358"/>
      <c r="MOH524" s="1358"/>
      <c r="MOI524" s="1358"/>
      <c r="MOJ524" s="1358"/>
      <c r="MOK524" s="1358"/>
      <c r="MOL524" s="1358"/>
      <c r="MOM524" s="1358"/>
      <c r="MON524" s="1358"/>
      <c r="MOO524" s="1358"/>
      <c r="MOP524" s="1358"/>
      <c r="MOQ524" s="1358"/>
      <c r="MOR524" s="1358"/>
      <c r="MOS524" s="1358"/>
      <c r="MOT524" s="1358"/>
      <c r="MOU524" s="1358"/>
      <c r="MOV524" s="1358"/>
      <c r="MOW524" s="1358"/>
      <c r="MOX524" s="1358"/>
      <c r="MOY524" s="1358"/>
      <c r="MOZ524" s="1358"/>
      <c r="MPA524" s="1358"/>
      <c r="MPB524" s="1358"/>
      <c r="MPC524" s="1358"/>
      <c r="MPD524" s="1358"/>
      <c r="MPE524" s="1358"/>
      <c r="MPF524" s="1358"/>
      <c r="MPG524" s="1358"/>
      <c r="MPH524" s="1358"/>
      <c r="MPI524" s="1358"/>
      <c r="MPJ524" s="1358"/>
      <c r="MPK524" s="1358"/>
      <c r="MPL524" s="1358"/>
      <c r="MPM524" s="1358"/>
      <c r="MPN524" s="1358"/>
      <c r="MPO524" s="1358"/>
      <c r="MPP524" s="1358"/>
      <c r="MPQ524" s="1358"/>
      <c r="MPR524" s="1358"/>
      <c r="MPS524" s="1358"/>
      <c r="MPT524" s="1358"/>
      <c r="MPU524" s="1358"/>
      <c r="MPV524" s="1358"/>
      <c r="MPW524" s="1358"/>
      <c r="MPX524" s="1358"/>
      <c r="MPY524" s="1358"/>
      <c r="MPZ524" s="1358"/>
      <c r="MQA524" s="1358"/>
      <c r="MQB524" s="1358"/>
      <c r="MQC524" s="1358"/>
      <c r="MQD524" s="1358"/>
      <c r="MQE524" s="1358"/>
      <c r="MQF524" s="1358"/>
      <c r="MQG524" s="1358"/>
      <c r="MQH524" s="1358"/>
      <c r="MQI524" s="1358"/>
      <c r="MQJ524" s="1358"/>
      <c r="MQK524" s="1358"/>
      <c r="MQL524" s="1358"/>
      <c r="MQM524" s="1358"/>
      <c r="MQN524" s="1358"/>
      <c r="MQO524" s="1358"/>
      <c r="MQP524" s="1358"/>
      <c r="MQQ524" s="1358"/>
      <c r="MQR524" s="1358"/>
      <c r="MQS524" s="1358"/>
      <c r="MQT524" s="1358"/>
      <c r="MQU524" s="1358"/>
      <c r="MQV524" s="1358"/>
      <c r="MQW524" s="1358"/>
      <c r="MQX524" s="1358"/>
      <c r="MQY524" s="1358"/>
      <c r="MQZ524" s="1358"/>
      <c r="MRA524" s="1358"/>
      <c r="MRB524" s="1358"/>
      <c r="MRC524" s="1358"/>
      <c r="MRD524" s="1358"/>
      <c r="MRE524" s="1358"/>
      <c r="MRF524" s="1358"/>
      <c r="MRG524" s="1358"/>
      <c r="MRH524" s="1358"/>
      <c r="MRI524" s="1358"/>
      <c r="MRJ524" s="1358"/>
      <c r="MRK524" s="1358"/>
      <c r="MRL524" s="1358"/>
      <c r="MRM524" s="1358"/>
      <c r="MRN524" s="1358"/>
      <c r="MRO524" s="1358"/>
      <c r="MRP524" s="1358"/>
      <c r="MRQ524" s="1358"/>
      <c r="MRR524" s="1358"/>
      <c r="MRS524" s="1358"/>
      <c r="MRT524" s="1358"/>
      <c r="MRU524" s="1358"/>
      <c r="MRV524" s="1358"/>
      <c r="MRW524" s="1358"/>
      <c r="MRX524" s="1358"/>
      <c r="MRY524" s="1358"/>
      <c r="MRZ524" s="1358"/>
      <c r="MSA524" s="1358"/>
      <c r="MSB524" s="1358"/>
      <c r="MSC524" s="1358"/>
      <c r="MSD524" s="1358"/>
      <c r="MSE524" s="1358"/>
      <c r="MSF524" s="1358"/>
      <c r="MSG524" s="1358"/>
      <c r="MSH524" s="1358"/>
      <c r="MSI524" s="1358"/>
      <c r="MSJ524" s="1358"/>
      <c r="MSK524" s="1358"/>
      <c r="MSL524" s="1358"/>
      <c r="MSM524" s="1358"/>
      <c r="MSN524" s="1358"/>
      <c r="MSO524" s="1358"/>
      <c r="MSP524" s="1358"/>
      <c r="MSQ524" s="1358"/>
      <c r="MSR524" s="1358"/>
      <c r="MSS524" s="1358"/>
      <c r="MST524" s="1358"/>
      <c r="MSU524" s="1358"/>
      <c r="MSV524" s="1358"/>
      <c r="MSW524" s="1358"/>
      <c r="MSX524" s="1358"/>
      <c r="MSY524" s="1358"/>
      <c r="MSZ524" s="1358"/>
      <c r="MTA524" s="1358"/>
      <c r="MTB524" s="1358"/>
      <c r="MTC524" s="1358"/>
      <c r="MTD524" s="1358"/>
      <c r="MTE524" s="1358"/>
      <c r="MTF524" s="1358"/>
      <c r="MTG524" s="1358"/>
      <c r="MTH524" s="1358"/>
      <c r="MTI524" s="1358"/>
      <c r="MTJ524" s="1358"/>
      <c r="MTK524" s="1358"/>
      <c r="MTL524" s="1358"/>
      <c r="MTM524" s="1358"/>
      <c r="MTN524" s="1358"/>
      <c r="MTO524" s="1358"/>
      <c r="MTP524" s="1358"/>
      <c r="MTQ524" s="1358"/>
      <c r="MTR524" s="1358"/>
      <c r="MTS524" s="1358"/>
      <c r="MTT524" s="1358"/>
      <c r="MTU524" s="1358"/>
      <c r="MTV524" s="1358"/>
      <c r="MTW524" s="1358"/>
      <c r="MTX524" s="1358"/>
      <c r="MTY524" s="1358"/>
      <c r="MTZ524" s="1358"/>
      <c r="MUA524" s="1358"/>
      <c r="MUB524" s="1358"/>
      <c r="MUC524" s="1358"/>
      <c r="MUD524" s="1358"/>
      <c r="MUE524" s="1358"/>
      <c r="MUF524" s="1358"/>
      <c r="MUG524" s="1358"/>
      <c r="MUH524" s="1358"/>
      <c r="MUI524" s="1358"/>
      <c r="MUJ524" s="1358"/>
      <c r="MUK524" s="1358"/>
      <c r="MUL524" s="1358"/>
      <c r="MUM524" s="1358"/>
      <c r="MUN524" s="1358"/>
      <c r="MUO524" s="1358"/>
      <c r="MUP524" s="1358"/>
      <c r="MUQ524" s="1358"/>
      <c r="MUR524" s="1358"/>
      <c r="MUS524" s="1358"/>
      <c r="MUT524" s="1358"/>
      <c r="MUU524" s="1358"/>
      <c r="MUV524" s="1358"/>
      <c r="MUW524" s="1358"/>
      <c r="MUX524" s="1358"/>
      <c r="MUY524" s="1358"/>
      <c r="MUZ524" s="1358"/>
      <c r="MVA524" s="1358"/>
      <c r="MVB524" s="1358"/>
      <c r="MVC524" s="1358"/>
      <c r="MVD524" s="1358"/>
      <c r="MVE524" s="1358"/>
      <c r="MVF524" s="1358"/>
      <c r="MVG524" s="1358"/>
      <c r="MVH524" s="1358"/>
      <c r="MVI524" s="1358"/>
      <c r="MVJ524" s="1358"/>
      <c r="MVK524" s="1358"/>
      <c r="MVL524" s="1358"/>
      <c r="MVM524" s="1358"/>
      <c r="MVN524" s="1358"/>
      <c r="MVO524" s="1358"/>
      <c r="MVP524" s="1358"/>
      <c r="MVQ524" s="1358"/>
      <c r="MVR524" s="1358"/>
      <c r="MVS524" s="1358"/>
      <c r="MVT524" s="1358"/>
      <c r="MVU524" s="1358"/>
      <c r="MVV524" s="1358"/>
      <c r="MVW524" s="1358"/>
      <c r="MVX524" s="1358"/>
      <c r="MVY524" s="1358"/>
      <c r="MVZ524" s="1358"/>
      <c r="MWA524" s="1358"/>
      <c r="MWB524" s="1358"/>
      <c r="MWC524" s="1358"/>
      <c r="MWD524" s="1358"/>
      <c r="MWE524" s="1358"/>
      <c r="MWF524" s="1358"/>
      <c r="MWG524" s="1358"/>
      <c r="MWH524" s="1358"/>
      <c r="MWI524" s="1358"/>
      <c r="MWJ524" s="1358"/>
      <c r="MWK524" s="1358"/>
      <c r="MWL524" s="1358"/>
      <c r="MWM524" s="1358"/>
      <c r="MWN524" s="1358"/>
      <c r="MWO524" s="1358"/>
      <c r="MWP524" s="1358"/>
      <c r="MWQ524" s="1358"/>
      <c r="MWR524" s="1358"/>
      <c r="MWS524" s="1358"/>
      <c r="MWT524" s="1358"/>
      <c r="MWU524" s="1358"/>
      <c r="MWV524" s="1358"/>
      <c r="MWW524" s="1358"/>
      <c r="MWX524" s="1358"/>
      <c r="MWY524" s="1358"/>
      <c r="MWZ524" s="1358"/>
      <c r="MXA524" s="1358"/>
      <c r="MXB524" s="1358"/>
      <c r="MXC524" s="1358"/>
      <c r="MXD524" s="1358"/>
      <c r="MXE524" s="1358"/>
      <c r="MXF524" s="1358"/>
      <c r="MXG524" s="1358"/>
      <c r="MXH524" s="1358"/>
      <c r="MXI524" s="1358"/>
      <c r="MXJ524" s="1358"/>
      <c r="MXK524" s="1358"/>
      <c r="MXL524" s="1358"/>
      <c r="MXM524" s="1358"/>
      <c r="MXN524" s="1358"/>
      <c r="MXO524" s="1358"/>
      <c r="MXP524" s="1358"/>
      <c r="MXQ524" s="1358"/>
      <c r="MXR524" s="1358"/>
      <c r="MXS524" s="1358"/>
      <c r="MXT524" s="1358"/>
      <c r="MXU524" s="1358"/>
      <c r="MXV524" s="1358"/>
      <c r="MXW524" s="1358"/>
      <c r="MXX524" s="1358"/>
      <c r="MXY524" s="1358"/>
      <c r="MXZ524" s="1358"/>
      <c r="MYA524" s="1358"/>
      <c r="MYB524" s="1358"/>
      <c r="MYC524" s="1358"/>
      <c r="MYD524" s="1358"/>
      <c r="MYE524" s="1358"/>
      <c r="MYF524" s="1358"/>
      <c r="MYG524" s="1358"/>
      <c r="MYH524" s="1358"/>
      <c r="MYI524" s="1358"/>
      <c r="MYJ524" s="1358"/>
      <c r="MYK524" s="1358"/>
      <c r="MYL524" s="1358"/>
      <c r="MYM524" s="1358"/>
      <c r="MYN524" s="1358"/>
      <c r="MYO524" s="1358"/>
      <c r="MYP524" s="1358"/>
      <c r="MYQ524" s="1358"/>
      <c r="MYR524" s="1358"/>
      <c r="MYS524" s="1358"/>
      <c r="MYT524" s="1358"/>
      <c r="MYU524" s="1358"/>
      <c r="MYV524" s="1358"/>
      <c r="MYW524" s="1358"/>
      <c r="MYX524" s="1358"/>
      <c r="MYY524" s="1358"/>
      <c r="MYZ524" s="1358"/>
      <c r="MZA524" s="1358"/>
      <c r="MZB524" s="1358"/>
      <c r="MZC524" s="1358"/>
      <c r="MZD524" s="1358"/>
      <c r="MZE524" s="1358"/>
      <c r="MZF524" s="1358"/>
      <c r="MZG524" s="1358"/>
      <c r="MZH524" s="1358"/>
      <c r="MZI524" s="1358"/>
      <c r="MZJ524" s="1358"/>
      <c r="MZK524" s="1358"/>
      <c r="MZL524" s="1358"/>
      <c r="MZM524" s="1358"/>
      <c r="MZN524" s="1358"/>
      <c r="MZO524" s="1358"/>
      <c r="MZP524" s="1358"/>
      <c r="MZQ524" s="1358"/>
      <c r="MZR524" s="1358"/>
      <c r="MZS524" s="1358"/>
      <c r="MZT524" s="1358"/>
      <c r="MZU524" s="1358"/>
      <c r="MZV524" s="1358"/>
      <c r="MZW524" s="1358"/>
      <c r="MZX524" s="1358"/>
      <c r="MZY524" s="1358"/>
      <c r="MZZ524" s="1358"/>
      <c r="NAA524" s="1358"/>
      <c r="NAB524" s="1358"/>
      <c r="NAC524" s="1358"/>
      <c r="NAD524" s="1358"/>
      <c r="NAE524" s="1358"/>
      <c r="NAF524" s="1358"/>
      <c r="NAG524" s="1358"/>
      <c r="NAH524" s="1358"/>
      <c r="NAI524" s="1358"/>
      <c r="NAJ524" s="1358"/>
      <c r="NAK524" s="1358"/>
      <c r="NAL524" s="1358"/>
      <c r="NAM524" s="1358"/>
      <c r="NAN524" s="1358"/>
      <c r="NAO524" s="1358"/>
      <c r="NAP524" s="1358"/>
      <c r="NAQ524" s="1358"/>
      <c r="NAR524" s="1358"/>
      <c r="NAS524" s="1358"/>
      <c r="NAT524" s="1358"/>
      <c r="NAU524" s="1358"/>
      <c r="NAV524" s="1358"/>
      <c r="NAW524" s="1358"/>
      <c r="NAX524" s="1358"/>
      <c r="NAY524" s="1358"/>
      <c r="NAZ524" s="1358"/>
      <c r="NBA524" s="1358"/>
      <c r="NBB524" s="1358"/>
      <c r="NBC524" s="1358"/>
      <c r="NBD524" s="1358"/>
      <c r="NBE524" s="1358"/>
      <c r="NBF524" s="1358"/>
      <c r="NBG524" s="1358"/>
      <c r="NBH524" s="1358"/>
      <c r="NBI524" s="1358"/>
      <c r="NBJ524" s="1358"/>
      <c r="NBK524" s="1358"/>
      <c r="NBL524" s="1358"/>
      <c r="NBM524" s="1358"/>
      <c r="NBN524" s="1358"/>
      <c r="NBO524" s="1358"/>
      <c r="NBP524" s="1358"/>
      <c r="NBQ524" s="1358"/>
      <c r="NBR524" s="1358"/>
      <c r="NBS524" s="1358"/>
      <c r="NBT524" s="1358"/>
      <c r="NBU524" s="1358"/>
      <c r="NBV524" s="1358"/>
      <c r="NBW524" s="1358"/>
      <c r="NBX524" s="1358"/>
      <c r="NBY524" s="1358"/>
      <c r="NBZ524" s="1358"/>
      <c r="NCA524" s="1358"/>
      <c r="NCB524" s="1358"/>
      <c r="NCC524" s="1358"/>
      <c r="NCD524" s="1358"/>
      <c r="NCE524" s="1358"/>
      <c r="NCF524" s="1358"/>
      <c r="NCG524" s="1358"/>
      <c r="NCH524" s="1358"/>
      <c r="NCI524" s="1358"/>
      <c r="NCJ524" s="1358"/>
      <c r="NCK524" s="1358"/>
      <c r="NCL524" s="1358"/>
      <c r="NCM524" s="1358"/>
      <c r="NCN524" s="1358"/>
      <c r="NCO524" s="1358"/>
      <c r="NCP524" s="1358"/>
      <c r="NCQ524" s="1358"/>
      <c r="NCR524" s="1358"/>
      <c r="NCS524" s="1358"/>
      <c r="NCT524" s="1358"/>
      <c r="NCU524" s="1358"/>
      <c r="NCV524" s="1358"/>
      <c r="NCW524" s="1358"/>
      <c r="NCX524" s="1358"/>
      <c r="NCY524" s="1358"/>
      <c r="NCZ524" s="1358"/>
      <c r="NDA524" s="1358"/>
      <c r="NDB524" s="1358"/>
      <c r="NDC524" s="1358"/>
      <c r="NDD524" s="1358"/>
      <c r="NDE524" s="1358"/>
      <c r="NDF524" s="1358"/>
      <c r="NDG524" s="1358"/>
      <c r="NDH524" s="1358"/>
      <c r="NDI524" s="1358"/>
      <c r="NDJ524" s="1358"/>
      <c r="NDK524" s="1358"/>
      <c r="NDL524" s="1358"/>
      <c r="NDM524" s="1358"/>
      <c r="NDN524" s="1358"/>
      <c r="NDO524" s="1358"/>
      <c r="NDP524" s="1358"/>
      <c r="NDQ524" s="1358"/>
      <c r="NDR524" s="1358"/>
      <c r="NDS524" s="1358"/>
      <c r="NDT524" s="1358"/>
      <c r="NDU524" s="1358"/>
      <c r="NDV524" s="1358"/>
      <c r="NDW524" s="1358"/>
      <c r="NDX524" s="1358"/>
      <c r="NDY524" s="1358"/>
      <c r="NDZ524" s="1358"/>
      <c r="NEA524" s="1358"/>
      <c r="NEB524" s="1358"/>
      <c r="NEC524" s="1358"/>
      <c r="NED524" s="1358"/>
      <c r="NEE524" s="1358"/>
      <c r="NEF524" s="1358"/>
      <c r="NEG524" s="1358"/>
      <c r="NEH524" s="1358"/>
      <c r="NEI524" s="1358"/>
      <c r="NEJ524" s="1358"/>
      <c r="NEK524" s="1358"/>
      <c r="NEL524" s="1358"/>
      <c r="NEM524" s="1358"/>
      <c r="NEN524" s="1358"/>
      <c r="NEO524" s="1358"/>
      <c r="NEP524" s="1358"/>
      <c r="NEQ524" s="1358"/>
      <c r="NER524" s="1358"/>
      <c r="NES524" s="1358"/>
      <c r="NET524" s="1358"/>
      <c r="NEU524" s="1358"/>
      <c r="NEV524" s="1358"/>
      <c r="NEW524" s="1358"/>
      <c r="NEX524" s="1358"/>
      <c r="NEY524" s="1358"/>
      <c r="NEZ524" s="1358"/>
      <c r="NFA524" s="1358"/>
      <c r="NFB524" s="1358"/>
      <c r="NFC524" s="1358"/>
      <c r="NFD524" s="1358"/>
      <c r="NFE524" s="1358"/>
      <c r="NFF524" s="1358"/>
      <c r="NFG524" s="1358"/>
      <c r="NFH524" s="1358"/>
      <c r="NFI524" s="1358"/>
      <c r="NFJ524" s="1358"/>
      <c r="NFK524" s="1358"/>
      <c r="NFL524" s="1358"/>
      <c r="NFM524" s="1358"/>
      <c r="NFN524" s="1358"/>
      <c r="NFO524" s="1358"/>
      <c r="NFP524" s="1358"/>
      <c r="NFQ524" s="1358"/>
      <c r="NFR524" s="1358"/>
      <c r="NFS524" s="1358"/>
      <c r="NFT524" s="1358"/>
      <c r="NFU524" s="1358"/>
      <c r="NFV524" s="1358"/>
      <c r="NFW524" s="1358"/>
      <c r="NFX524" s="1358"/>
      <c r="NFY524" s="1358"/>
      <c r="NFZ524" s="1358"/>
      <c r="NGA524" s="1358"/>
      <c r="NGB524" s="1358"/>
      <c r="NGC524" s="1358"/>
      <c r="NGD524" s="1358"/>
      <c r="NGE524" s="1358"/>
      <c r="NGF524" s="1358"/>
      <c r="NGG524" s="1358"/>
      <c r="NGH524" s="1358"/>
      <c r="NGI524" s="1358"/>
      <c r="NGJ524" s="1358"/>
      <c r="NGK524" s="1358"/>
      <c r="NGL524" s="1358"/>
      <c r="NGM524" s="1358"/>
      <c r="NGN524" s="1358"/>
      <c r="NGO524" s="1358"/>
      <c r="NGP524" s="1358"/>
      <c r="NGQ524" s="1358"/>
      <c r="NGR524" s="1358"/>
      <c r="NGS524" s="1358"/>
      <c r="NGT524" s="1358"/>
      <c r="NGU524" s="1358"/>
      <c r="NGV524" s="1358"/>
      <c r="NGW524" s="1358"/>
      <c r="NGX524" s="1358"/>
      <c r="NGY524" s="1358"/>
      <c r="NGZ524" s="1358"/>
      <c r="NHA524" s="1358"/>
      <c r="NHB524" s="1358"/>
      <c r="NHC524" s="1358"/>
      <c r="NHD524" s="1358"/>
      <c r="NHE524" s="1358"/>
      <c r="NHF524" s="1358"/>
      <c r="NHG524" s="1358"/>
      <c r="NHH524" s="1358"/>
      <c r="NHI524" s="1358"/>
      <c r="NHJ524" s="1358"/>
      <c r="NHK524" s="1358"/>
      <c r="NHL524" s="1358"/>
      <c r="NHM524" s="1358"/>
      <c r="NHN524" s="1358"/>
      <c r="NHO524" s="1358"/>
      <c r="NHP524" s="1358"/>
      <c r="NHQ524" s="1358"/>
      <c r="NHR524" s="1358"/>
      <c r="NHS524" s="1358"/>
      <c r="NHT524" s="1358"/>
      <c r="NHU524" s="1358"/>
      <c r="NHV524" s="1358"/>
      <c r="NHW524" s="1358"/>
      <c r="NHX524" s="1358"/>
      <c r="NHY524" s="1358"/>
      <c r="NHZ524" s="1358"/>
      <c r="NIA524" s="1358"/>
      <c r="NIB524" s="1358"/>
      <c r="NIC524" s="1358"/>
      <c r="NID524" s="1358"/>
      <c r="NIE524" s="1358"/>
      <c r="NIF524" s="1358"/>
      <c r="NIG524" s="1358"/>
      <c r="NIH524" s="1358"/>
      <c r="NII524" s="1358"/>
      <c r="NIJ524" s="1358"/>
      <c r="NIK524" s="1358"/>
      <c r="NIL524" s="1358"/>
      <c r="NIM524" s="1358"/>
      <c r="NIN524" s="1358"/>
      <c r="NIO524" s="1358"/>
      <c r="NIP524" s="1358"/>
      <c r="NIQ524" s="1358"/>
      <c r="NIR524" s="1358"/>
      <c r="NIS524" s="1358"/>
      <c r="NIT524" s="1358"/>
      <c r="NIU524" s="1358"/>
      <c r="NIV524" s="1358"/>
      <c r="NIW524" s="1358"/>
      <c r="NIX524" s="1358"/>
      <c r="NIY524" s="1358"/>
      <c r="NIZ524" s="1358"/>
      <c r="NJA524" s="1358"/>
      <c r="NJB524" s="1358"/>
      <c r="NJC524" s="1358"/>
      <c r="NJD524" s="1358"/>
      <c r="NJE524" s="1358"/>
      <c r="NJF524" s="1358"/>
      <c r="NJG524" s="1358"/>
      <c r="NJH524" s="1358"/>
      <c r="NJI524" s="1358"/>
      <c r="NJJ524" s="1358"/>
      <c r="NJK524" s="1358"/>
      <c r="NJL524" s="1358"/>
      <c r="NJM524" s="1358"/>
      <c r="NJN524" s="1358"/>
      <c r="NJO524" s="1358"/>
      <c r="NJP524" s="1358"/>
      <c r="NJQ524" s="1358"/>
      <c r="NJR524" s="1358"/>
      <c r="NJS524" s="1358"/>
      <c r="NJT524" s="1358"/>
      <c r="NJU524" s="1358"/>
      <c r="NJV524" s="1358"/>
      <c r="NJW524" s="1358"/>
      <c r="NJX524" s="1358"/>
      <c r="NJY524" s="1358"/>
      <c r="NJZ524" s="1358"/>
      <c r="NKA524" s="1358"/>
      <c r="NKB524" s="1358"/>
      <c r="NKC524" s="1358"/>
      <c r="NKD524" s="1358"/>
      <c r="NKE524" s="1358"/>
      <c r="NKF524" s="1358"/>
      <c r="NKG524" s="1358"/>
      <c r="NKH524" s="1358"/>
      <c r="NKI524" s="1358"/>
      <c r="NKJ524" s="1358"/>
      <c r="NKK524" s="1358"/>
      <c r="NKL524" s="1358"/>
      <c r="NKM524" s="1358"/>
      <c r="NKN524" s="1358"/>
      <c r="NKO524" s="1358"/>
      <c r="NKP524" s="1358"/>
      <c r="NKQ524" s="1358"/>
      <c r="NKR524" s="1358"/>
      <c r="NKS524" s="1358"/>
      <c r="NKT524" s="1358"/>
      <c r="NKU524" s="1358"/>
      <c r="NKV524" s="1358"/>
      <c r="NKW524" s="1358"/>
      <c r="NKX524" s="1358"/>
      <c r="NKY524" s="1358"/>
      <c r="NKZ524" s="1358"/>
      <c r="NLA524" s="1358"/>
      <c r="NLB524" s="1358"/>
      <c r="NLC524" s="1358"/>
      <c r="NLD524" s="1358"/>
      <c r="NLE524" s="1358"/>
      <c r="NLF524" s="1358"/>
      <c r="NLG524" s="1358"/>
      <c r="NLH524" s="1358"/>
      <c r="NLI524" s="1358"/>
      <c r="NLJ524" s="1358"/>
      <c r="NLK524" s="1358"/>
      <c r="NLL524" s="1358"/>
      <c r="NLM524" s="1358"/>
      <c r="NLN524" s="1358"/>
      <c r="NLO524" s="1358"/>
      <c r="NLP524" s="1358"/>
      <c r="NLQ524" s="1358"/>
      <c r="NLR524" s="1358"/>
      <c r="NLS524" s="1358"/>
      <c r="NLT524" s="1358"/>
      <c r="NLU524" s="1358"/>
      <c r="NLV524" s="1358"/>
      <c r="NLW524" s="1358"/>
      <c r="NLX524" s="1358"/>
      <c r="NLY524" s="1358"/>
      <c r="NLZ524" s="1358"/>
      <c r="NMA524" s="1358"/>
      <c r="NMB524" s="1358"/>
      <c r="NMC524" s="1358"/>
      <c r="NMD524" s="1358"/>
      <c r="NME524" s="1358"/>
      <c r="NMF524" s="1358"/>
      <c r="NMG524" s="1358"/>
      <c r="NMH524" s="1358"/>
      <c r="NMI524" s="1358"/>
      <c r="NMJ524" s="1358"/>
      <c r="NMK524" s="1358"/>
      <c r="NML524" s="1358"/>
      <c r="NMM524" s="1358"/>
      <c r="NMN524" s="1358"/>
      <c r="NMO524" s="1358"/>
      <c r="NMP524" s="1358"/>
      <c r="NMQ524" s="1358"/>
      <c r="NMR524" s="1358"/>
      <c r="NMS524" s="1358"/>
      <c r="NMT524" s="1358"/>
      <c r="NMU524" s="1358"/>
      <c r="NMV524" s="1358"/>
      <c r="NMW524" s="1358"/>
      <c r="NMX524" s="1358"/>
      <c r="NMY524" s="1358"/>
      <c r="NMZ524" s="1358"/>
      <c r="NNA524" s="1358"/>
      <c r="NNB524" s="1358"/>
      <c r="NNC524" s="1358"/>
      <c r="NND524" s="1358"/>
      <c r="NNE524" s="1358"/>
      <c r="NNF524" s="1358"/>
      <c r="NNG524" s="1358"/>
      <c r="NNH524" s="1358"/>
      <c r="NNI524" s="1358"/>
      <c r="NNJ524" s="1358"/>
      <c r="NNK524" s="1358"/>
      <c r="NNL524" s="1358"/>
      <c r="NNM524" s="1358"/>
      <c r="NNN524" s="1358"/>
      <c r="NNO524" s="1358"/>
      <c r="NNP524" s="1358"/>
      <c r="NNQ524" s="1358"/>
      <c r="NNR524" s="1358"/>
      <c r="NNS524" s="1358"/>
      <c r="NNT524" s="1358"/>
      <c r="NNU524" s="1358"/>
      <c r="NNV524" s="1358"/>
      <c r="NNW524" s="1358"/>
      <c r="NNX524" s="1358"/>
      <c r="NNY524" s="1358"/>
      <c r="NNZ524" s="1358"/>
      <c r="NOA524" s="1358"/>
      <c r="NOB524" s="1358"/>
      <c r="NOC524" s="1358"/>
      <c r="NOD524" s="1358"/>
      <c r="NOE524" s="1358"/>
      <c r="NOF524" s="1358"/>
      <c r="NOG524" s="1358"/>
      <c r="NOH524" s="1358"/>
      <c r="NOI524" s="1358"/>
      <c r="NOJ524" s="1358"/>
      <c r="NOK524" s="1358"/>
      <c r="NOL524" s="1358"/>
      <c r="NOM524" s="1358"/>
      <c r="NON524" s="1358"/>
      <c r="NOO524" s="1358"/>
      <c r="NOP524" s="1358"/>
      <c r="NOQ524" s="1358"/>
      <c r="NOR524" s="1358"/>
      <c r="NOS524" s="1358"/>
      <c r="NOT524" s="1358"/>
      <c r="NOU524" s="1358"/>
      <c r="NOV524" s="1358"/>
      <c r="NOW524" s="1358"/>
      <c r="NOX524" s="1358"/>
      <c r="NOY524" s="1358"/>
      <c r="NOZ524" s="1358"/>
      <c r="NPA524" s="1358"/>
      <c r="NPB524" s="1358"/>
      <c r="NPC524" s="1358"/>
      <c r="NPD524" s="1358"/>
      <c r="NPE524" s="1358"/>
      <c r="NPF524" s="1358"/>
      <c r="NPG524" s="1358"/>
      <c r="NPH524" s="1358"/>
      <c r="NPI524" s="1358"/>
      <c r="NPJ524" s="1358"/>
      <c r="NPK524" s="1358"/>
      <c r="NPL524" s="1358"/>
      <c r="NPM524" s="1358"/>
      <c r="NPN524" s="1358"/>
      <c r="NPO524" s="1358"/>
      <c r="NPP524" s="1358"/>
      <c r="NPQ524" s="1358"/>
      <c r="NPR524" s="1358"/>
      <c r="NPS524" s="1358"/>
      <c r="NPT524" s="1358"/>
      <c r="NPU524" s="1358"/>
      <c r="NPV524" s="1358"/>
      <c r="NPW524" s="1358"/>
      <c r="NPX524" s="1358"/>
      <c r="NPY524" s="1358"/>
      <c r="NPZ524" s="1358"/>
      <c r="NQA524" s="1358"/>
      <c r="NQB524" s="1358"/>
      <c r="NQC524" s="1358"/>
      <c r="NQD524" s="1358"/>
      <c r="NQE524" s="1358"/>
      <c r="NQF524" s="1358"/>
      <c r="NQG524" s="1358"/>
      <c r="NQH524" s="1358"/>
      <c r="NQI524" s="1358"/>
      <c r="NQJ524" s="1358"/>
      <c r="NQK524" s="1358"/>
      <c r="NQL524" s="1358"/>
      <c r="NQM524" s="1358"/>
      <c r="NQN524" s="1358"/>
      <c r="NQO524" s="1358"/>
      <c r="NQP524" s="1358"/>
      <c r="NQQ524" s="1358"/>
      <c r="NQR524" s="1358"/>
      <c r="NQS524" s="1358"/>
      <c r="NQT524" s="1358"/>
      <c r="NQU524" s="1358"/>
      <c r="NQV524" s="1358"/>
      <c r="NQW524" s="1358"/>
      <c r="NQX524" s="1358"/>
      <c r="NQY524" s="1358"/>
      <c r="NQZ524" s="1358"/>
      <c r="NRA524" s="1358"/>
      <c r="NRB524" s="1358"/>
      <c r="NRC524" s="1358"/>
      <c r="NRD524" s="1358"/>
      <c r="NRE524" s="1358"/>
      <c r="NRF524" s="1358"/>
      <c r="NRG524" s="1358"/>
      <c r="NRH524" s="1358"/>
      <c r="NRI524" s="1358"/>
      <c r="NRJ524" s="1358"/>
      <c r="NRK524" s="1358"/>
      <c r="NRL524" s="1358"/>
      <c r="NRM524" s="1358"/>
      <c r="NRN524" s="1358"/>
      <c r="NRO524" s="1358"/>
      <c r="NRP524" s="1358"/>
      <c r="NRQ524" s="1358"/>
      <c r="NRR524" s="1358"/>
      <c r="NRS524" s="1358"/>
      <c r="NRT524" s="1358"/>
      <c r="NRU524" s="1358"/>
      <c r="NRV524" s="1358"/>
      <c r="NRW524" s="1358"/>
      <c r="NRX524" s="1358"/>
      <c r="NRY524" s="1358"/>
      <c r="NRZ524" s="1358"/>
      <c r="NSA524" s="1358"/>
      <c r="NSB524" s="1358"/>
      <c r="NSC524" s="1358"/>
      <c r="NSD524" s="1358"/>
      <c r="NSE524" s="1358"/>
      <c r="NSF524" s="1358"/>
      <c r="NSG524" s="1358"/>
      <c r="NSH524" s="1358"/>
      <c r="NSI524" s="1358"/>
      <c r="NSJ524" s="1358"/>
      <c r="NSK524" s="1358"/>
      <c r="NSL524" s="1358"/>
      <c r="NSM524" s="1358"/>
      <c r="NSN524" s="1358"/>
      <c r="NSO524" s="1358"/>
      <c r="NSP524" s="1358"/>
      <c r="NSQ524" s="1358"/>
      <c r="NSR524" s="1358"/>
      <c r="NSS524" s="1358"/>
      <c r="NST524" s="1358"/>
      <c r="NSU524" s="1358"/>
      <c r="NSV524" s="1358"/>
      <c r="NSW524" s="1358"/>
      <c r="NSX524" s="1358"/>
      <c r="NSY524" s="1358"/>
      <c r="NSZ524" s="1358"/>
      <c r="NTA524" s="1358"/>
      <c r="NTB524" s="1358"/>
      <c r="NTC524" s="1358"/>
      <c r="NTD524" s="1358"/>
      <c r="NTE524" s="1358"/>
      <c r="NTF524" s="1358"/>
      <c r="NTG524" s="1358"/>
      <c r="NTH524" s="1358"/>
      <c r="NTI524" s="1358"/>
      <c r="NTJ524" s="1358"/>
      <c r="NTK524" s="1358"/>
      <c r="NTL524" s="1358"/>
      <c r="NTM524" s="1358"/>
      <c r="NTN524" s="1358"/>
      <c r="NTO524" s="1358"/>
      <c r="NTP524" s="1358"/>
      <c r="NTQ524" s="1358"/>
      <c r="NTR524" s="1358"/>
      <c r="NTS524" s="1358"/>
      <c r="NTT524" s="1358"/>
      <c r="NTU524" s="1358"/>
      <c r="NTV524" s="1358"/>
      <c r="NTW524" s="1358"/>
      <c r="NTX524" s="1358"/>
      <c r="NTY524" s="1358"/>
      <c r="NTZ524" s="1358"/>
      <c r="NUA524" s="1358"/>
      <c r="NUB524" s="1358"/>
      <c r="NUC524" s="1358"/>
      <c r="NUD524" s="1358"/>
      <c r="NUE524" s="1358"/>
      <c r="NUF524" s="1358"/>
      <c r="NUG524" s="1358"/>
      <c r="NUH524" s="1358"/>
      <c r="NUI524" s="1358"/>
      <c r="NUJ524" s="1358"/>
      <c r="NUK524" s="1358"/>
      <c r="NUL524" s="1358"/>
      <c r="NUM524" s="1358"/>
      <c r="NUN524" s="1358"/>
      <c r="NUO524" s="1358"/>
      <c r="NUP524" s="1358"/>
      <c r="NUQ524" s="1358"/>
      <c r="NUR524" s="1358"/>
      <c r="NUS524" s="1358"/>
      <c r="NUT524" s="1358"/>
      <c r="NUU524" s="1358"/>
      <c r="NUV524" s="1358"/>
      <c r="NUW524" s="1358"/>
      <c r="NUX524" s="1358"/>
      <c r="NUY524" s="1358"/>
      <c r="NUZ524" s="1358"/>
      <c r="NVA524" s="1358"/>
      <c r="NVB524" s="1358"/>
      <c r="NVC524" s="1358"/>
      <c r="NVD524" s="1358"/>
      <c r="NVE524" s="1358"/>
      <c r="NVF524" s="1358"/>
      <c r="NVG524" s="1358"/>
      <c r="NVH524" s="1358"/>
      <c r="NVI524" s="1358"/>
      <c r="NVJ524" s="1358"/>
      <c r="NVK524" s="1358"/>
      <c r="NVL524" s="1358"/>
      <c r="NVM524" s="1358"/>
      <c r="NVN524" s="1358"/>
      <c r="NVO524" s="1358"/>
      <c r="NVP524" s="1358"/>
      <c r="NVQ524" s="1358"/>
      <c r="NVR524" s="1358"/>
      <c r="NVS524" s="1358"/>
      <c r="NVT524" s="1358"/>
      <c r="NVU524" s="1358"/>
      <c r="NVV524" s="1358"/>
      <c r="NVW524" s="1358"/>
      <c r="NVX524" s="1358"/>
      <c r="NVY524" s="1358"/>
      <c r="NVZ524" s="1358"/>
      <c r="NWA524" s="1358"/>
      <c r="NWB524" s="1358"/>
      <c r="NWC524" s="1358"/>
      <c r="NWD524" s="1358"/>
      <c r="NWE524" s="1358"/>
      <c r="NWF524" s="1358"/>
      <c r="NWG524" s="1358"/>
      <c r="NWH524" s="1358"/>
      <c r="NWI524" s="1358"/>
      <c r="NWJ524" s="1358"/>
      <c r="NWK524" s="1358"/>
      <c r="NWL524" s="1358"/>
      <c r="NWM524" s="1358"/>
      <c r="NWN524" s="1358"/>
      <c r="NWO524" s="1358"/>
      <c r="NWP524" s="1358"/>
      <c r="NWQ524" s="1358"/>
      <c r="NWR524" s="1358"/>
      <c r="NWS524" s="1358"/>
      <c r="NWT524" s="1358"/>
      <c r="NWU524" s="1358"/>
      <c r="NWV524" s="1358"/>
      <c r="NWW524" s="1358"/>
      <c r="NWX524" s="1358"/>
      <c r="NWY524" s="1358"/>
      <c r="NWZ524" s="1358"/>
      <c r="NXA524" s="1358"/>
      <c r="NXB524" s="1358"/>
      <c r="NXC524" s="1358"/>
      <c r="NXD524" s="1358"/>
      <c r="NXE524" s="1358"/>
      <c r="NXF524" s="1358"/>
      <c r="NXG524" s="1358"/>
      <c r="NXH524" s="1358"/>
      <c r="NXI524" s="1358"/>
      <c r="NXJ524" s="1358"/>
      <c r="NXK524" s="1358"/>
      <c r="NXL524" s="1358"/>
      <c r="NXM524" s="1358"/>
      <c r="NXN524" s="1358"/>
      <c r="NXO524" s="1358"/>
      <c r="NXP524" s="1358"/>
      <c r="NXQ524" s="1358"/>
      <c r="NXR524" s="1358"/>
      <c r="NXS524" s="1358"/>
      <c r="NXT524" s="1358"/>
      <c r="NXU524" s="1358"/>
      <c r="NXV524" s="1358"/>
      <c r="NXW524" s="1358"/>
      <c r="NXX524" s="1358"/>
      <c r="NXY524" s="1358"/>
      <c r="NXZ524" s="1358"/>
      <c r="NYA524" s="1358"/>
      <c r="NYB524" s="1358"/>
      <c r="NYC524" s="1358"/>
      <c r="NYD524" s="1358"/>
      <c r="NYE524" s="1358"/>
      <c r="NYF524" s="1358"/>
      <c r="NYG524" s="1358"/>
      <c r="NYH524" s="1358"/>
      <c r="NYI524" s="1358"/>
      <c r="NYJ524" s="1358"/>
      <c r="NYK524" s="1358"/>
      <c r="NYL524" s="1358"/>
      <c r="NYM524" s="1358"/>
      <c r="NYN524" s="1358"/>
      <c r="NYO524" s="1358"/>
      <c r="NYP524" s="1358"/>
      <c r="NYQ524" s="1358"/>
      <c r="NYR524" s="1358"/>
      <c r="NYS524" s="1358"/>
      <c r="NYT524" s="1358"/>
      <c r="NYU524" s="1358"/>
      <c r="NYV524" s="1358"/>
      <c r="NYW524" s="1358"/>
      <c r="NYX524" s="1358"/>
      <c r="NYY524" s="1358"/>
      <c r="NYZ524" s="1358"/>
      <c r="NZA524" s="1358"/>
      <c r="NZB524" s="1358"/>
      <c r="NZC524" s="1358"/>
      <c r="NZD524" s="1358"/>
      <c r="NZE524" s="1358"/>
      <c r="NZF524" s="1358"/>
      <c r="NZG524" s="1358"/>
      <c r="NZH524" s="1358"/>
      <c r="NZI524" s="1358"/>
      <c r="NZJ524" s="1358"/>
      <c r="NZK524" s="1358"/>
      <c r="NZL524" s="1358"/>
      <c r="NZM524" s="1358"/>
      <c r="NZN524" s="1358"/>
      <c r="NZO524" s="1358"/>
      <c r="NZP524" s="1358"/>
      <c r="NZQ524" s="1358"/>
      <c r="NZR524" s="1358"/>
      <c r="NZS524" s="1358"/>
      <c r="NZT524" s="1358"/>
      <c r="NZU524" s="1358"/>
      <c r="NZV524" s="1358"/>
      <c r="NZW524" s="1358"/>
      <c r="NZX524" s="1358"/>
      <c r="NZY524" s="1358"/>
      <c r="NZZ524" s="1358"/>
      <c r="OAA524" s="1358"/>
      <c r="OAB524" s="1358"/>
      <c r="OAC524" s="1358"/>
      <c r="OAD524" s="1358"/>
      <c r="OAE524" s="1358"/>
      <c r="OAF524" s="1358"/>
      <c r="OAG524" s="1358"/>
      <c r="OAH524" s="1358"/>
      <c r="OAI524" s="1358"/>
      <c r="OAJ524" s="1358"/>
      <c r="OAK524" s="1358"/>
      <c r="OAL524" s="1358"/>
      <c r="OAM524" s="1358"/>
      <c r="OAN524" s="1358"/>
      <c r="OAO524" s="1358"/>
      <c r="OAP524" s="1358"/>
      <c r="OAQ524" s="1358"/>
      <c r="OAR524" s="1358"/>
      <c r="OAS524" s="1358"/>
      <c r="OAT524" s="1358"/>
      <c r="OAU524" s="1358"/>
      <c r="OAV524" s="1358"/>
      <c r="OAW524" s="1358"/>
      <c r="OAX524" s="1358"/>
      <c r="OAY524" s="1358"/>
      <c r="OAZ524" s="1358"/>
      <c r="OBA524" s="1358"/>
      <c r="OBB524" s="1358"/>
      <c r="OBC524" s="1358"/>
      <c r="OBD524" s="1358"/>
      <c r="OBE524" s="1358"/>
      <c r="OBF524" s="1358"/>
      <c r="OBG524" s="1358"/>
      <c r="OBH524" s="1358"/>
      <c r="OBI524" s="1358"/>
      <c r="OBJ524" s="1358"/>
      <c r="OBK524" s="1358"/>
      <c r="OBL524" s="1358"/>
      <c r="OBM524" s="1358"/>
      <c r="OBN524" s="1358"/>
      <c r="OBO524" s="1358"/>
      <c r="OBP524" s="1358"/>
      <c r="OBQ524" s="1358"/>
      <c r="OBR524" s="1358"/>
      <c r="OBS524" s="1358"/>
      <c r="OBT524" s="1358"/>
      <c r="OBU524" s="1358"/>
      <c r="OBV524" s="1358"/>
      <c r="OBW524" s="1358"/>
      <c r="OBX524" s="1358"/>
      <c r="OBY524" s="1358"/>
      <c r="OBZ524" s="1358"/>
      <c r="OCA524" s="1358"/>
      <c r="OCB524" s="1358"/>
      <c r="OCC524" s="1358"/>
      <c r="OCD524" s="1358"/>
      <c r="OCE524" s="1358"/>
      <c r="OCF524" s="1358"/>
      <c r="OCG524" s="1358"/>
      <c r="OCH524" s="1358"/>
      <c r="OCI524" s="1358"/>
      <c r="OCJ524" s="1358"/>
      <c r="OCK524" s="1358"/>
      <c r="OCL524" s="1358"/>
      <c r="OCM524" s="1358"/>
      <c r="OCN524" s="1358"/>
      <c r="OCO524" s="1358"/>
      <c r="OCP524" s="1358"/>
      <c r="OCQ524" s="1358"/>
      <c r="OCR524" s="1358"/>
      <c r="OCS524" s="1358"/>
      <c r="OCT524" s="1358"/>
      <c r="OCU524" s="1358"/>
      <c r="OCV524" s="1358"/>
      <c r="OCW524" s="1358"/>
      <c r="OCX524" s="1358"/>
      <c r="OCY524" s="1358"/>
      <c r="OCZ524" s="1358"/>
      <c r="ODA524" s="1358"/>
      <c r="ODB524" s="1358"/>
      <c r="ODC524" s="1358"/>
      <c r="ODD524" s="1358"/>
      <c r="ODE524" s="1358"/>
      <c r="ODF524" s="1358"/>
      <c r="ODG524" s="1358"/>
      <c r="ODH524" s="1358"/>
      <c r="ODI524" s="1358"/>
      <c r="ODJ524" s="1358"/>
      <c r="ODK524" s="1358"/>
      <c r="ODL524" s="1358"/>
      <c r="ODM524" s="1358"/>
      <c r="ODN524" s="1358"/>
      <c r="ODO524" s="1358"/>
      <c r="ODP524" s="1358"/>
      <c r="ODQ524" s="1358"/>
      <c r="ODR524" s="1358"/>
      <c r="ODS524" s="1358"/>
      <c r="ODT524" s="1358"/>
      <c r="ODU524" s="1358"/>
      <c r="ODV524" s="1358"/>
      <c r="ODW524" s="1358"/>
      <c r="ODX524" s="1358"/>
      <c r="ODY524" s="1358"/>
      <c r="ODZ524" s="1358"/>
      <c r="OEA524" s="1358"/>
      <c r="OEB524" s="1358"/>
      <c r="OEC524" s="1358"/>
      <c r="OED524" s="1358"/>
      <c r="OEE524" s="1358"/>
      <c r="OEF524" s="1358"/>
      <c r="OEG524" s="1358"/>
      <c r="OEH524" s="1358"/>
      <c r="OEI524" s="1358"/>
      <c r="OEJ524" s="1358"/>
      <c r="OEK524" s="1358"/>
      <c r="OEL524" s="1358"/>
      <c r="OEM524" s="1358"/>
      <c r="OEN524" s="1358"/>
      <c r="OEO524" s="1358"/>
      <c r="OEP524" s="1358"/>
      <c r="OEQ524" s="1358"/>
      <c r="OER524" s="1358"/>
      <c r="OES524" s="1358"/>
      <c r="OET524" s="1358"/>
      <c r="OEU524" s="1358"/>
      <c r="OEV524" s="1358"/>
      <c r="OEW524" s="1358"/>
      <c r="OEX524" s="1358"/>
      <c r="OEY524" s="1358"/>
      <c r="OEZ524" s="1358"/>
      <c r="OFA524" s="1358"/>
      <c r="OFB524" s="1358"/>
      <c r="OFC524" s="1358"/>
      <c r="OFD524" s="1358"/>
      <c r="OFE524" s="1358"/>
      <c r="OFF524" s="1358"/>
      <c r="OFG524" s="1358"/>
      <c r="OFH524" s="1358"/>
      <c r="OFI524" s="1358"/>
      <c r="OFJ524" s="1358"/>
      <c r="OFK524" s="1358"/>
      <c r="OFL524" s="1358"/>
      <c r="OFM524" s="1358"/>
      <c r="OFN524" s="1358"/>
      <c r="OFO524" s="1358"/>
      <c r="OFP524" s="1358"/>
      <c r="OFQ524" s="1358"/>
      <c r="OFR524" s="1358"/>
      <c r="OFS524" s="1358"/>
      <c r="OFT524" s="1358"/>
      <c r="OFU524" s="1358"/>
      <c r="OFV524" s="1358"/>
      <c r="OFW524" s="1358"/>
      <c r="OFX524" s="1358"/>
      <c r="OFY524" s="1358"/>
      <c r="OFZ524" s="1358"/>
      <c r="OGA524" s="1358"/>
      <c r="OGB524" s="1358"/>
      <c r="OGC524" s="1358"/>
      <c r="OGD524" s="1358"/>
      <c r="OGE524" s="1358"/>
      <c r="OGF524" s="1358"/>
      <c r="OGG524" s="1358"/>
      <c r="OGH524" s="1358"/>
      <c r="OGI524" s="1358"/>
      <c r="OGJ524" s="1358"/>
      <c r="OGK524" s="1358"/>
      <c r="OGL524" s="1358"/>
      <c r="OGM524" s="1358"/>
      <c r="OGN524" s="1358"/>
      <c r="OGO524" s="1358"/>
      <c r="OGP524" s="1358"/>
      <c r="OGQ524" s="1358"/>
      <c r="OGR524" s="1358"/>
      <c r="OGS524" s="1358"/>
      <c r="OGT524" s="1358"/>
      <c r="OGU524" s="1358"/>
      <c r="OGV524" s="1358"/>
      <c r="OGW524" s="1358"/>
      <c r="OGX524" s="1358"/>
      <c r="OGY524" s="1358"/>
      <c r="OGZ524" s="1358"/>
      <c r="OHA524" s="1358"/>
      <c r="OHB524" s="1358"/>
      <c r="OHC524" s="1358"/>
      <c r="OHD524" s="1358"/>
      <c r="OHE524" s="1358"/>
      <c r="OHF524" s="1358"/>
      <c r="OHG524" s="1358"/>
      <c r="OHH524" s="1358"/>
      <c r="OHI524" s="1358"/>
      <c r="OHJ524" s="1358"/>
      <c r="OHK524" s="1358"/>
      <c r="OHL524" s="1358"/>
      <c r="OHM524" s="1358"/>
      <c r="OHN524" s="1358"/>
      <c r="OHO524" s="1358"/>
      <c r="OHP524" s="1358"/>
      <c r="OHQ524" s="1358"/>
      <c r="OHR524" s="1358"/>
      <c r="OHS524" s="1358"/>
      <c r="OHT524" s="1358"/>
      <c r="OHU524" s="1358"/>
      <c r="OHV524" s="1358"/>
      <c r="OHW524" s="1358"/>
      <c r="OHX524" s="1358"/>
      <c r="OHY524" s="1358"/>
      <c r="OHZ524" s="1358"/>
      <c r="OIA524" s="1358"/>
      <c r="OIB524" s="1358"/>
      <c r="OIC524" s="1358"/>
      <c r="OID524" s="1358"/>
      <c r="OIE524" s="1358"/>
      <c r="OIF524" s="1358"/>
      <c r="OIG524" s="1358"/>
      <c r="OIH524" s="1358"/>
      <c r="OII524" s="1358"/>
      <c r="OIJ524" s="1358"/>
      <c r="OIK524" s="1358"/>
      <c r="OIL524" s="1358"/>
      <c r="OIM524" s="1358"/>
      <c r="OIN524" s="1358"/>
      <c r="OIO524" s="1358"/>
      <c r="OIP524" s="1358"/>
      <c r="OIQ524" s="1358"/>
      <c r="OIR524" s="1358"/>
      <c r="OIS524" s="1358"/>
      <c r="OIT524" s="1358"/>
      <c r="OIU524" s="1358"/>
      <c r="OIV524" s="1358"/>
      <c r="OIW524" s="1358"/>
      <c r="OIX524" s="1358"/>
      <c r="OIY524" s="1358"/>
      <c r="OIZ524" s="1358"/>
      <c r="OJA524" s="1358"/>
      <c r="OJB524" s="1358"/>
      <c r="OJC524" s="1358"/>
      <c r="OJD524" s="1358"/>
      <c r="OJE524" s="1358"/>
      <c r="OJF524" s="1358"/>
      <c r="OJG524" s="1358"/>
      <c r="OJH524" s="1358"/>
      <c r="OJI524" s="1358"/>
      <c r="OJJ524" s="1358"/>
      <c r="OJK524" s="1358"/>
      <c r="OJL524" s="1358"/>
      <c r="OJM524" s="1358"/>
      <c r="OJN524" s="1358"/>
      <c r="OJO524" s="1358"/>
      <c r="OJP524" s="1358"/>
      <c r="OJQ524" s="1358"/>
      <c r="OJR524" s="1358"/>
      <c r="OJS524" s="1358"/>
      <c r="OJT524" s="1358"/>
      <c r="OJU524" s="1358"/>
      <c r="OJV524" s="1358"/>
      <c r="OJW524" s="1358"/>
      <c r="OJX524" s="1358"/>
      <c r="OJY524" s="1358"/>
      <c r="OJZ524" s="1358"/>
      <c r="OKA524" s="1358"/>
      <c r="OKB524" s="1358"/>
      <c r="OKC524" s="1358"/>
      <c r="OKD524" s="1358"/>
      <c r="OKE524" s="1358"/>
      <c r="OKF524" s="1358"/>
      <c r="OKG524" s="1358"/>
      <c r="OKH524" s="1358"/>
      <c r="OKI524" s="1358"/>
      <c r="OKJ524" s="1358"/>
      <c r="OKK524" s="1358"/>
      <c r="OKL524" s="1358"/>
      <c r="OKM524" s="1358"/>
      <c r="OKN524" s="1358"/>
      <c r="OKO524" s="1358"/>
      <c r="OKP524" s="1358"/>
      <c r="OKQ524" s="1358"/>
      <c r="OKR524" s="1358"/>
      <c r="OKS524" s="1358"/>
      <c r="OKT524" s="1358"/>
      <c r="OKU524" s="1358"/>
      <c r="OKV524" s="1358"/>
      <c r="OKW524" s="1358"/>
      <c r="OKX524" s="1358"/>
      <c r="OKY524" s="1358"/>
      <c r="OKZ524" s="1358"/>
      <c r="OLA524" s="1358"/>
      <c r="OLB524" s="1358"/>
      <c r="OLC524" s="1358"/>
      <c r="OLD524" s="1358"/>
      <c r="OLE524" s="1358"/>
      <c r="OLF524" s="1358"/>
      <c r="OLG524" s="1358"/>
      <c r="OLH524" s="1358"/>
      <c r="OLI524" s="1358"/>
      <c r="OLJ524" s="1358"/>
      <c r="OLK524" s="1358"/>
      <c r="OLL524" s="1358"/>
      <c r="OLM524" s="1358"/>
      <c r="OLN524" s="1358"/>
      <c r="OLO524" s="1358"/>
      <c r="OLP524" s="1358"/>
      <c r="OLQ524" s="1358"/>
      <c r="OLR524" s="1358"/>
      <c r="OLS524" s="1358"/>
      <c r="OLT524" s="1358"/>
      <c r="OLU524" s="1358"/>
      <c r="OLV524" s="1358"/>
      <c r="OLW524" s="1358"/>
      <c r="OLX524" s="1358"/>
      <c r="OLY524" s="1358"/>
      <c r="OLZ524" s="1358"/>
      <c r="OMA524" s="1358"/>
      <c r="OMB524" s="1358"/>
      <c r="OMC524" s="1358"/>
      <c r="OMD524" s="1358"/>
      <c r="OME524" s="1358"/>
      <c r="OMF524" s="1358"/>
      <c r="OMG524" s="1358"/>
      <c r="OMH524" s="1358"/>
      <c r="OMI524" s="1358"/>
      <c r="OMJ524" s="1358"/>
      <c r="OMK524" s="1358"/>
      <c r="OML524" s="1358"/>
      <c r="OMM524" s="1358"/>
      <c r="OMN524" s="1358"/>
      <c r="OMO524" s="1358"/>
      <c r="OMP524" s="1358"/>
      <c r="OMQ524" s="1358"/>
      <c r="OMR524" s="1358"/>
      <c r="OMS524" s="1358"/>
      <c r="OMT524" s="1358"/>
      <c r="OMU524" s="1358"/>
      <c r="OMV524" s="1358"/>
      <c r="OMW524" s="1358"/>
      <c r="OMX524" s="1358"/>
      <c r="OMY524" s="1358"/>
      <c r="OMZ524" s="1358"/>
      <c r="ONA524" s="1358"/>
      <c r="ONB524" s="1358"/>
      <c r="ONC524" s="1358"/>
      <c r="OND524" s="1358"/>
      <c r="ONE524" s="1358"/>
      <c r="ONF524" s="1358"/>
      <c r="ONG524" s="1358"/>
      <c r="ONH524" s="1358"/>
      <c r="ONI524" s="1358"/>
      <c r="ONJ524" s="1358"/>
      <c r="ONK524" s="1358"/>
      <c r="ONL524" s="1358"/>
      <c r="ONM524" s="1358"/>
      <c r="ONN524" s="1358"/>
      <c r="ONO524" s="1358"/>
      <c r="ONP524" s="1358"/>
      <c r="ONQ524" s="1358"/>
      <c r="ONR524" s="1358"/>
      <c r="ONS524" s="1358"/>
      <c r="ONT524" s="1358"/>
      <c r="ONU524" s="1358"/>
      <c r="ONV524" s="1358"/>
      <c r="ONW524" s="1358"/>
      <c r="ONX524" s="1358"/>
      <c r="ONY524" s="1358"/>
      <c r="ONZ524" s="1358"/>
      <c r="OOA524" s="1358"/>
      <c r="OOB524" s="1358"/>
      <c r="OOC524" s="1358"/>
      <c r="OOD524" s="1358"/>
      <c r="OOE524" s="1358"/>
      <c r="OOF524" s="1358"/>
      <c r="OOG524" s="1358"/>
      <c r="OOH524" s="1358"/>
      <c r="OOI524" s="1358"/>
      <c r="OOJ524" s="1358"/>
      <c r="OOK524" s="1358"/>
      <c r="OOL524" s="1358"/>
      <c r="OOM524" s="1358"/>
      <c r="OON524" s="1358"/>
      <c r="OOO524" s="1358"/>
      <c r="OOP524" s="1358"/>
      <c r="OOQ524" s="1358"/>
      <c r="OOR524" s="1358"/>
      <c r="OOS524" s="1358"/>
      <c r="OOT524" s="1358"/>
      <c r="OOU524" s="1358"/>
      <c r="OOV524" s="1358"/>
      <c r="OOW524" s="1358"/>
      <c r="OOX524" s="1358"/>
      <c r="OOY524" s="1358"/>
      <c r="OOZ524" s="1358"/>
      <c r="OPA524" s="1358"/>
      <c r="OPB524" s="1358"/>
      <c r="OPC524" s="1358"/>
      <c r="OPD524" s="1358"/>
      <c r="OPE524" s="1358"/>
      <c r="OPF524" s="1358"/>
      <c r="OPG524" s="1358"/>
      <c r="OPH524" s="1358"/>
      <c r="OPI524" s="1358"/>
      <c r="OPJ524" s="1358"/>
      <c r="OPK524" s="1358"/>
      <c r="OPL524" s="1358"/>
      <c r="OPM524" s="1358"/>
      <c r="OPN524" s="1358"/>
      <c r="OPO524" s="1358"/>
      <c r="OPP524" s="1358"/>
      <c r="OPQ524" s="1358"/>
      <c r="OPR524" s="1358"/>
      <c r="OPS524" s="1358"/>
      <c r="OPT524" s="1358"/>
      <c r="OPU524" s="1358"/>
      <c r="OPV524" s="1358"/>
      <c r="OPW524" s="1358"/>
      <c r="OPX524" s="1358"/>
      <c r="OPY524" s="1358"/>
      <c r="OPZ524" s="1358"/>
      <c r="OQA524" s="1358"/>
      <c r="OQB524" s="1358"/>
      <c r="OQC524" s="1358"/>
      <c r="OQD524" s="1358"/>
      <c r="OQE524" s="1358"/>
      <c r="OQF524" s="1358"/>
      <c r="OQG524" s="1358"/>
      <c r="OQH524" s="1358"/>
      <c r="OQI524" s="1358"/>
      <c r="OQJ524" s="1358"/>
      <c r="OQK524" s="1358"/>
      <c r="OQL524" s="1358"/>
      <c r="OQM524" s="1358"/>
      <c r="OQN524" s="1358"/>
      <c r="OQO524" s="1358"/>
      <c r="OQP524" s="1358"/>
      <c r="OQQ524" s="1358"/>
      <c r="OQR524" s="1358"/>
      <c r="OQS524" s="1358"/>
      <c r="OQT524" s="1358"/>
      <c r="OQU524" s="1358"/>
      <c r="OQV524" s="1358"/>
      <c r="OQW524" s="1358"/>
      <c r="OQX524" s="1358"/>
      <c r="OQY524" s="1358"/>
      <c r="OQZ524" s="1358"/>
      <c r="ORA524" s="1358"/>
      <c r="ORB524" s="1358"/>
      <c r="ORC524" s="1358"/>
      <c r="ORD524" s="1358"/>
      <c r="ORE524" s="1358"/>
      <c r="ORF524" s="1358"/>
      <c r="ORG524" s="1358"/>
      <c r="ORH524" s="1358"/>
      <c r="ORI524" s="1358"/>
      <c r="ORJ524" s="1358"/>
      <c r="ORK524" s="1358"/>
      <c r="ORL524" s="1358"/>
      <c r="ORM524" s="1358"/>
      <c r="ORN524" s="1358"/>
      <c r="ORO524" s="1358"/>
      <c r="ORP524" s="1358"/>
      <c r="ORQ524" s="1358"/>
      <c r="ORR524" s="1358"/>
      <c r="ORS524" s="1358"/>
      <c r="ORT524" s="1358"/>
      <c r="ORU524" s="1358"/>
      <c r="ORV524" s="1358"/>
      <c r="ORW524" s="1358"/>
      <c r="ORX524" s="1358"/>
      <c r="ORY524" s="1358"/>
      <c r="ORZ524" s="1358"/>
      <c r="OSA524" s="1358"/>
      <c r="OSB524" s="1358"/>
      <c r="OSC524" s="1358"/>
      <c r="OSD524" s="1358"/>
      <c r="OSE524" s="1358"/>
      <c r="OSF524" s="1358"/>
      <c r="OSG524" s="1358"/>
      <c r="OSH524" s="1358"/>
      <c r="OSI524" s="1358"/>
      <c r="OSJ524" s="1358"/>
      <c r="OSK524" s="1358"/>
      <c r="OSL524" s="1358"/>
      <c r="OSM524" s="1358"/>
      <c r="OSN524" s="1358"/>
      <c r="OSO524" s="1358"/>
      <c r="OSP524" s="1358"/>
      <c r="OSQ524" s="1358"/>
      <c r="OSR524" s="1358"/>
      <c r="OSS524" s="1358"/>
      <c r="OST524" s="1358"/>
      <c r="OSU524" s="1358"/>
      <c r="OSV524" s="1358"/>
      <c r="OSW524" s="1358"/>
      <c r="OSX524" s="1358"/>
      <c r="OSY524" s="1358"/>
      <c r="OSZ524" s="1358"/>
      <c r="OTA524" s="1358"/>
      <c r="OTB524" s="1358"/>
      <c r="OTC524" s="1358"/>
      <c r="OTD524" s="1358"/>
      <c r="OTE524" s="1358"/>
      <c r="OTF524" s="1358"/>
      <c r="OTG524" s="1358"/>
      <c r="OTH524" s="1358"/>
      <c r="OTI524" s="1358"/>
      <c r="OTJ524" s="1358"/>
      <c r="OTK524" s="1358"/>
      <c r="OTL524" s="1358"/>
      <c r="OTM524" s="1358"/>
      <c r="OTN524" s="1358"/>
      <c r="OTO524" s="1358"/>
      <c r="OTP524" s="1358"/>
      <c r="OTQ524" s="1358"/>
      <c r="OTR524" s="1358"/>
      <c r="OTS524" s="1358"/>
      <c r="OTT524" s="1358"/>
      <c r="OTU524" s="1358"/>
      <c r="OTV524" s="1358"/>
      <c r="OTW524" s="1358"/>
      <c r="OTX524" s="1358"/>
      <c r="OTY524" s="1358"/>
      <c r="OTZ524" s="1358"/>
      <c r="OUA524" s="1358"/>
      <c r="OUB524" s="1358"/>
      <c r="OUC524" s="1358"/>
      <c r="OUD524" s="1358"/>
      <c r="OUE524" s="1358"/>
      <c r="OUF524" s="1358"/>
      <c r="OUG524" s="1358"/>
      <c r="OUH524" s="1358"/>
      <c r="OUI524" s="1358"/>
      <c r="OUJ524" s="1358"/>
      <c r="OUK524" s="1358"/>
      <c r="OUL524" s="1358"/>
      <c r="OUM524" s="1358"/>
      <c r="OUN524" s="1358"/>
      <c r="OUO524" s="1358"/>
      <c r="OUP524" s="1358"/>
      <c r="OUQ524" s="1358"/>
      <c r="OUR524" s="1358"/>
      <c r="OUS524" s="1358"/>
      <c r="OUT524" s="1358"/>
      <c r="OUU524" s="1358"/>
      <c r="OUV524" s="1358"/>
      <c r="OUW524" s="1358"/>
      <c r="OUX524" s="1358"/>
      <c r="OUY524" s="1358"/>
      <c r="OUZ524" s="1358"/>
      <c r="OVA524" s="1358"/>
      <c r="OVB524" s="1358"/>
      <c r="OVC524" s="1358"/>
      <c r="OVD524" s="1358"/>
      <c r="OVE524" s="1358"/>
      <c r="OVF524" s="1358"/>
      <c r="OVG524" s="1358"/>
      <c r="OVH524" s="1358"/>
      <c r="OVI524" s="1358"/>
      <c r="OVJ524" s="1358"/>
      <c r="OVK524" s="1358"/>
      <c r="OVL524" s="1358"/>
      <c r="OVM524" s="1358"/>
      <c r="OVN524" s="1358"/>
      <c r="OVO524" s="1358"/>
      <c r="OVP524" s="1358"/>
      <c r="OVQ524" s="1358"/>
      <c r="OVR524" s="1358"/>
      <c r="OVS524" s="1358"/>
      <c r="OVT524" s="1358"/>
      <c r="OVU524" s="1358"/>
      <c r="OVV524" s="1358"/>
      <c r="OVW524" s="1358"/>
      <c r="OVX524" s="1358"/>
      <c r="OVY524" s="1358"/>
      <c r="OVZ524" s="1358"/>
      <c r="OWA524" s="1358"/>
      <c r="OWB524" s="1358"/>
      <c r="OWC524" s="1358"/>
      <c r="OWD524" s="1358"/>
      <c r="OWE524" s="1358"/>
      <c r="OWF524" s="1358"/>
      <c r="OWG524" s="1358"/>
      <c r="OWH524" s="1358"/>
      <c r="OWI524" s="1358"/>
      <c r="OWJ524" s="1358"/>
      <c r="OWK524" s="1358"/>
      <c r="OWL524" s="1358"/>
      <c r="OWM524" s="1358"/>
      <c r="OWN524" s="1358"/>
      <c r="OWO524" s="1358"/>
      <c r="OWP524" s="1358"/>
      <c r="OWQ524" s="1358"/>
      <c r="OWR524" s="1358"/>
      <c r="OWS524" s="1358"/>
      <c r="OWT524" s="1358"/>
      <c r="OWU524" s="1358"/>
      <c r="OWV524" s="1358"/>
      <c r="OWW524" s="1358"/>
      <c r="OWX524" s="1358"/>
      <c r="OWY524" s="1358"/>
      <c r="OWZ524" s="1358"/>
      <c r="OXA524" s="1358"/>
      <c r="OXB524" s="1358"/>
      <c r="OXC524" s="1358"/>
      <c r="OXD524" s="1358"/>
      <c r="OXE524" s="1358"/>
      <c r="OXF524" s="1358"/>
      <c r="OXG524" s="1358"/>
      <c r="OXH524" s="1358"/>
      <c r="OXI524" s="1358"/>
      <c r="OXJ524" s="1358"/>
      <c r="OXK524" s="1358"/>
      <c r="OXL524" s="1358"/>
      <c r="OXM524" s="1358"/>
      <c r="OXN524" s="1358"/>
      <c r="OXO524" s="1358"/>
      <c r="OXP524" s="1358"/>
      <c r="OXQ524" s="1358"/>
      <c r="OXR524" s="1358"/>
      <c r="OXS524" s="1358"/>
      <c r="OXT524" s="1358"/>
      <c r="OXU524" s="1358"/>
      <c r="OXV524" s="1358"/>
      <c r="OXW524" s="1358"/>
      <c r="OXX524" s="1358"/>
      <c r="OXY524" s="1358"/>
      <c r="OXZ524" s="1358"/>
      <c r="OYA524" s="1358"/>
      <c r="OYB524" s="1358"/>
      <c r="OYC524" s="1358"/>
      <c r="OYD524" s="1358"/>
      <c r="OYE524" s="1358"/>
      <c r="OYF524" s="1358"/>
      <c r="OYG524" s="1358"/>
      <c r="OYH524" s="1358"/>
      <c r="OYI524" s="1358"/>
      <c r="OYJ524" s="1358"/>
      <c r="OYK524" s="1358"/>
      <c r="OYL524" s="1358"/>
      <c r="OYM524" s="1358"/>
      <c r="OYN524" s="1358"/>
      <c r="OYO524" s="1358"/>
      <c r="OYP524" s="1358"/>
      <c r="OYQ524" s="1358"/>
      <c r="OYR524" s="1358"/>
      <c r="OYS524" s="1358"/>
      <c r="OYT524" s="1358"/>
      <c r="OYU524" s="1358"/>
      <c r="OYV524" s="1358"/>
      <c r="OYW524" s="1358"/>
      <c r="OYX524" s="1358"/>
      <c r="OYY524" s="1358"/>
      <c r="OYZ524" s="1358"/>
      <c r="OZA524" s="1358"/>
      <c r="OZB524" s="1358"/>
      <c r="OZC524" s="1358"/>
      <c r="OZD524" s="1358"/>
      <c r="OZE524" s="1358"/>
      <c r="OZF524" s="1358"/>
      <c r="OZG524" s="1358"/>
      <c r="OZH524" s="1358"/>
      <c r="OZI524" s="1358"/>
      <c r="OZJ524" s="1358"/>
      <c r="OZK524" s="1358"/>
      <c r="OZL524" s="1358"/>
      <c r="OZM524" s="1358"/>
      <c r="OZN524" s="1358"/>
      <c r="OZO524" s="1358"/>
      <c r="OZP524" s="1358"/>
      <c r="OZQ524" s="1358"/>
      <c r="OZR524" s="1358"/>
      <c r="OZS524" s="1358"/>
      <c r="OZT524" s="1358"/>
      <c r="OZU524" s="1358"/>
      <c r="OZV524" s="1358"/>
      <c r="OZW524" s="1358"/>
      <c r="OZX524" s="1358"/>
      <c r="OZY524" s="1358"/>
      <c r="OZZ524" s="1358"/>
      <c r="PAA524" s="1358"/>
      <c r="PAB524" s="1358"/>
      <c r="PAC524" s="1358"/>
      <c r="PAD524" s="1358"/>
      <c r="PAE524" s="1358"/>
      <c r="PAF524" s="1358"/>
      <c r="PAG524" s="1358"/>
      <c r="PAH524" s="1358"/>
      <c r="PAI524" s="1358"/>
      <c r="PAJ524" s="1358"/>
      <c r="PAK524" s="1358"/>
      <c r="PAL524" s="1358"/>
      <c r="PAM524" s="1358"/>
      <c r="PAN524" s="1358"/>
      <c r="PAO524" s="1358"/>
      <c r="PAP524" s="1358"/>
      <c r="PAQ524" s="1358"/>
      <c r="PAR524" s="1358"/>
      <c r="PAS524" s="1358"/>
      <c r="PAT524" s="1358"/>
      <c r="PAU524" s="1358"/>
      <c r="PAV524" s="1358"/>
      <c r="PAW524" s="1358"/>
      <c r="PAX524" s="1358"/>
      <c r="PAY524" s="1358"/>
      <c r="PAZ524" s="1358"/>
      <c r="PBA524" s="1358"/>
      <c r="PBB524" s="1358"/>
      <c r="PBC524" s="1358"/>
      <c r="PBD524" s="1358"/>
      <c r="PBE524" s="1358"/>
      <c r="PBF524" s="1358"/>
      <c r="PBG524" s="1358"/>
      <c r="PBH524" s="1358"/>
      <c r="PBI524" s="1358"/>
      <c r="PBJ524" s="1358"/>
      <c r="PBK524" s="1358"/>
      <c r="PBL524" s="1358"/>
      <c r="PBM524" s="1358"/>
      <c r="PBN524" s="1358"/>
      <c r="PBO524" s="1358"/>
      <c r="PBP524" s="1358"/>
      <c r="PBQ524" s="1358"/>
      <c r="PBR524" s="1358"/>
      <c r="PBS524" s="1358"/>
      <c r="PBT524" s="1358"/>
      <c r="PBU524" s="1358"/>
      <c r="PBV524" s="1358"/>
      <c r="PBW524" s="1358"/>
      <c r="PBX524" s="1358"/>
      <c r="PBY524" s="1358"/>
      <c r="PBZ524" s="1358"/>
      <c r="PCA524" s="1358"/>
      <c r="PCB524" s="1358"/>
      <c r="PCC524" s="1358"/>
      <c r="PCD524" s="1358"/>
      <c r="PCE524" s="1358"/>
      <c r="PCF524" s="1358"/>
      <c r="PCG524" s="1358"/>
      <c r="PCH524" s="1358"/>
      <c r="PCI524" s="1358"/>
      <c r="PCJ524" s="1358"/>
      <c r="PCK524" s="1358"/>
      <c r="PCL524" s="1358"/>
      <c r="PCM524" s="1358"/>
      <c r="PCN524" s="1358"/>
      <c r="PCO524" s="1358"/>
      <c r="PCP524" s="1358"/>
      <c r="PCQ524" s="1358"/>
      <c r="PCR524" s="1358"/>
      <c r="PCS524" s="1358"/>
      <c r="PCT524" s="1358"/>
      <c r="PCU524" s="1358"/>
      <c r="PCV524" s="1358"/>
      <c r="PCW524" s="1358"/>
      <c r="PCX524" s="1358"/>
      <c r="PCY524" s="1358"/>
      <c r="PCZ524" s="1358"/>
      <c r="PDA524" s="1358"/>
      <c r="PDB524" s="1358"/>
      <c r="PDC524" s="1358"/>
      <c r="PDD524" s="1358"/>
      <c r="PDE524" s="1358"/>
      <c r="PDF524" s="1358"/>
      <c r="PDG524" s="1358"/>
      <c r="PDH524" s="1358"/>
      <c r="PDI524" s="1358"/>
      <c r="PDJ524" s="1358"/>
      <c r="PDK524" s="1358"/>
      <c r="PDL524" s="1358"/>
      <c r="PDM524" s="1358"/>
      <c r="PDN524" s="1358"/>
      <c r="PDO524" s="1358"/>
      <c r="PDP524" s="1358"/>
      <c r="PDQ524" s="1358"/>
      <c r="PDR524" s="1358"/>
      <c r="PDS524" s="1358"/>
      <c r="PDT524" s="1358"/>
      <c r="PDU524" s="1358"/>
      <c r="PDV524" s="1358"/>
      <c r="PDW524" s="1358"/>
      <c r="PDX524" s="1358"/>
      <c r="PDY524" s="1358"/>
      <c r="PDZ524" s="1358"/>
      <c r="PEA524" s="1358"/>
      <c r="PEB524" s="1358"/>
      <c r="PEC524" s="1358"/>
      <c r="PED524" s="1358"/>
      <c r="PEE524" s="1358"/>
      <c r="PEF524" s="1358"/>
      <c r="PEG524" s="1358"/>
      <c r="PEH524" s="1358"/>
      <c r="PEI524" s="1358"/>
      <c r="PEJ524" s="1358"/>
      <c r="PEK524" s="1358"/>
      <c r="PEL524" s="1358"/>
      <c r="PEM524" s="1358"/>
      <c r="PEN524" s="1358"/>
      <c r="PEO524" s="1358"/>
      <c r="PEP524" s="1358"/>
      <c r="PEQ524" s="1358"/>
      <c r="PER524" s="1358"/>
      <c r="PES524" s="1358"/>
      <c r="PET524" s="1358"/>
      <c r="PEU524" s="1358"/>
      <c r="PEV524" s="1358"/>
      <c r="PEW524" s="1358"/>
      <c r="PEX524" s="1358"/>
      <c r="PEY524" s="1358"/>
      <c r="PEZ524" s="1358"/>
      <c r="PFA524" s="1358"/>
      <c r="PFB524" s="1358"/>
      <c r="PFC524" s="1358"/>
      <c r="PFD524" s="1358"/>
      <c r="PFE524" s="1358"/>
      <c r="PFF524" s="1358"/>
      <c r="PFG524" s="1358"/>
      <c r="PFH524" s="1358"/>
      <c r="PFI524" s="1358"/>
      <c r="PFJ524" s="1358"/>
      <c r="PFK524" s="1358"/>
      <c r="PFL524" s="1358"/>
      <c r="PFM524" s="1358"/>
      <c r="PFN524" s="1358"/>
      <c r="PFO524" s="1358"/>
      <c r="PFP524" s="1358"/>
      <c r="PFQ524" s="1358"/>
      <c r="PFR524" s="1358"/>
      <c r="PFS524" s="1358"/>
      <c r="PFT524" s="1358"/>
      <c r="PFU524" s="1358"/>
      <c r="PFV524" s="1358"/>
      <c r="PFW524" s="1358"/>
      <c r="PFX524" s="1358"/>
      <c r="PFY524" s="1358"/>
      <c r="PFZ524" s="1358"/>
      <c r="PGA524" s="1358"/>
      <c r="PGB524" s="1358"/>
      <c r="PGC524" s="1358"/>
      <c r="PGD524" s="1358"/>
      <c r="PGE524" s="1358"/>
      <c r="PGF524" s="1358"/>
      <c r="PGG524" s="1358"/>
      <c r="PGH524" s="1358"/>
      <c r="PGI524" s="1358"/>
      <c r="PGJ524" s="1358"/>
      <c r="PGK524" s="1358"/>
      <c r="PGL524" s="1358"/>
      <c r="PGM524" s="1358"/>
      <c r="PGN524" s="1358"/>
      <c r="PGO524" s="1358"/>
      <c r="PGP524" s="1358"/>
      <c r="PGQ524" s="1358"/>
      <c r="PGR524" s="1358"/>
      <c r="PGS524" s="1358"/>
      <c r="PGT524" s="1358"/>
      <c r="PGU524" s="1358"/>
      <c r="PGV524" s="1358"/>
      <c r="PGW524" s="1358"/>
      <c r="PGX524" s="1358"/>
      <c r="PGY524" s="1358"/>
      <c r="PGZ524" s="1358"/>
      <c r="PHA524" s="1358"/>
      <c r="PHB524" s="1358"/>
      <c r="PHC524" s="1358"/>
      <c r="PHD524" s="1358"/>
      <c r="PHE524" s="1358"/>
      <c r="PHF524" s="1358"/>
      <c r="PHG524" s="1358"/>
      <c r="PHH524" s="1358"/>
      <c r="PHI524" s="1358"/>
      <c r="PHJ524" s="1358"/>
      <c r="PHK524" s="1358"/>
      <c r="PHL524" s="1358"/>
      <c r="PHM524" s="1358"/>
      <c r="PHN524" s="1358"/>
      <c r="PHO524" s="1358"/>
      <c r="PHP524" s="1358"/>
      <c r="PHQ524" s="1358"/>
      <c r="PHR524" s="1358"/>
      <c r="PHS524" s="1358"/>
      <c r="PHT524" s="1358"/>
      <c r="PHU524" s="1358"/>
      <c r="PHV524" s="1358"/>
      <c r="PHW524" s="1358"/>
      <c r="PHX524" s="1358"/>
      <c r="PHY524" s="1358"/>
      <c r="PHZ524" s="1358"/>
      <c r="PIA524" s="1358"/>
      <c r="PIB524" s="1358"/>
      <c r="PIC524" s="1358"/>
      <c r="PID524" s="1358"/>
      <c r="PIE524" s="1358"/>
      <c r="PIF524" s="1358"/>
      <c r="PIG524" s="1358"/>
      <c r="PIH524" s="1358"/>
      <c r="PII524" s="1358"/>
      <c r="PIJ524" s="1358"/>
      <c r="PIK524" s="1358"/>
      <c r="PIL524" s="1358"/>
      <c r="PIM524" s="1358"/>
      <c r="PIN524" s="1358"/>
      <c r="PIO524" s="1358"/>
      <c r="PIP524" s="1358"/>
      <c r="PIQ524" s="1358"/>
      <c r="PIR524" s="1358"/>
      <c r="PIS524" s="1358"/>
      <c r="PIT524" s="1358"/>
      <c r="PIU524" s="1358"/>
      <c r="PIV524" s="1358"/>
      <c r="PIW524" s="1358"/>
      <c r="PIX524" s="1358"/>
      <c r="PIY524" s="1358"/>
      <c r="PIZ524" s="1358"/>
      <c r="PJA524" s="1358"/>
      <c r="PJB524" s="1358"/>
      <c r="PJC524" s="1358"/>
      <c r="PJD524" s="1358"/>
      <c r="PJE524" s="1358"/>
      <c r="PJF524" s="1358"/>
      <c r="PJG524" s="1358"/>
      <c r="PJH524" s="1358"/>
      <c r="PJI524" s="1358"/>
      <c r="PJJ524" s="1358"/>
      <c r="PJK524" s="1358"/>
      <c r="PJL524" s="1358"/>
      <c r="PJM524" s="1358"/>
      <c r="PJN524" s="1358"/>
      <c r="PJO524" s="1358"/>
      <c r="PJP524" s="1358"/>
      <c r="PJQ524" s="1358"/>
      <c r="PJR524" s="1358"/>
      <c r="PJS524" s="1358"/>
      <c r="PJT524" s="1358"/>
      <c r="PJU524" s="1358"/>
      <c r="PJV524" s="1358"/>
      <c r="PJW524" s="1358"/>
      <c r="PJX524" s="1358"/>
      <c r="PJY524" s="1358"/>
      <c r="PJZ524" s="1358"/>
      <c r="PKA524" s="1358"/>
      <c r="PKB524" s="1358"/>
      <c r="PKC524" s="1358"/>
      <c r="PKD524" s="1358"/>
      <c r="PKE524" s="1358"/>
      <c r="PKF524" s="1358"/>
      <c r="PKG524" s="1358"/>
      <c r="PKH524" s="1358"/>
      <c r="PKI524" s="1358"/>
      <c r="PKJ524" s="1358"/>
      <c r="PKK524" s="1358"/>
      <c r="PKL524" s="1358"/>
      <c r="PKM524" s="1358"/>
      <c r="PKN524" s="1358"/>
      <c r="PKO524" s="1358"/>
      <c r="PKP524" s="1358"/>
      <c r="PKQ524" s="1358"/>
      <c r="PKR524" s="1358"/>
      <c r="PKS524" s="1358"/>
      <c r="PKT524" s="1358"/>
      <c r="PKU524" s="1358"/>
      <c r="PKV524" s="1358"/>
      <c r="PKW524" s="1358"/>
      <c r="PKX524" s="1358"/>
      <c r="PKY524" s="1358"/>
      <c r="PKZ524" s="1358"/>
      <c r="PLA524" s="1358"/>
      <c r="PLB524" s="1358"/>
      <c r="PLC524" s="1358"/>
      <c r="PLD524" s="1358"/>
      <c r="PLE524" s="1358"/>
      <c r="PLF524" s="1358"/>
      <c r="PLG524" s="1358"/>
      <c r="PLH524" s="1358"/>
      <c r="PLI524" s="1358"/>
      <c r="PLJ524" s="1358"/>
      <c r="PLK524" s="1358"/>
      <c r="PLL524" s="1358"/>
      <c r="PLM524" s="1358"/>
      <c r="PLN524" s="1358"/>
      <c r="PLO524" s="1358"/>
      <c r="PLP524" s="1358"/>
      <c r="PLQ524" s="1358"/>
      <c r="PLR524" s="1358"/>
      <c r="PLS524" s="1358"/>
      <c r="PLT524" s="1358"/>
      <c r="PLU524" s="1358"/>
      <c r="PLV524" s="1358"/>
      <c r="PLW524" s="1358"/>
      <c r="PLX524" s="1358"/>
      <c r="PLY524" s="1358"/>
      <c r="PLZ524" s="1358"/>
      <c r="PMA524" s="1358"/>
      <c r="PMB524" s="1358"/>
      <c r="PMC524" s="1358"/>
      <c r="PMD524" s="1358"/>
      <c r="PME524" s="1358"/>
      <c r="PMF524" s="1358"/>
      <c r="PMG524" s="1358"/>
      <c r="PMH524" s="1358"/>
      <c r="PMI524" s="1358"/>
      <c r="PMJ524" s="1358"/>
      <c r="PMK524" s="1358"/>
      <c r="PML524" s="1358"/>
      <c r="PMM524" s="1358"/>
      <c r="PMN524" s="1358"/>
      <c r="PMO524" s="1358"/>
      <c r="PMP524" s="1358"/>
      <c r="PMQ524" s="1358"/>
      <c r="PMR524" s="1358"/>
      <c r="PMS524" s="1358"/>
      <c r="PMT524" s="1358"/>
      <c r="PMU524" s="1358"/>
      <c r="PMV524" s="1358"/>
      <c r="PMW524" s="1358"/>
      <c r="PMX524" s="1358"/>
      <c r="PMY524" s="1358"/>
      <c r="PMZ524" s="1358"/>
      <c r="PNA524" s="1358"/>
      <c r="PNB524" s="1358"/>
      <c r="PNC524" s="1358"/>
      <c r="PND524" s="1358"/>
      <c r="PNE524" s="1358"/>
      <c r="PNF524" s="1358"/>
      <c r="PNG524" s="1358"/>
      <c r="PNH524" s="1358"/>
      <c r="PNI524" s="1358"/>
      <c r="PNJ524" s="1358"/>
      <c r="PNK524" s="1358"/>
      <c r="PNL524" s="1358"/>
      <c r="PNM524" s="1358"/>
      <c r="PNN524" s="1358"/>
      <c r="PNO524" s="1358"/>
      <c r="PNP524" s="1358"/>
      <c r="PNQ524" s="1358"/>
      <c r="PNR524" s="1358"/>
      <c r="PNS524" s="1358"/>
      <c r="PNT524" s="1358"/>
      <c r="PNU524" s="1358"/>
      <c r="PNV524" s="1358"/>
      <c r="PNW524" s="1358"/>
      <c r="PNX524" s="1358"/>
      <c r="PNY524" s="1358"/>
      <c r="PNZ524" s="1358"/>
      <c r="POA524" s="1358"/>
      <c r="POB524" s="1358"/>
      <c r="POC524" s="1358"/>
      <c r="POD524" s="1358"/>
      <c r="POE524" s="1358"/>
      <c r="POF524" s="1358"/>
      <c r="POG524" s="1358"/>
      <c r="POH524" s="1358"/>
      <c r="POI524" s="1358"/>
      <c r="POJ524" s="1358"/>
      <c r="POK524" s="1358"/>
      <c r="POL524" s="1358"/>
      <c r="POM524" s="1358"/>
      <c r="PON524" s="1358"/>
      <c r="POO524" s="1358"/>
      <c r="POP524" s="1358"/>
      <c r="POQ524" s="1358"/>
      <c r="POR524" s="1358"/>
      <c r="POS524" s="1358"/>
      <c r="POT524" s="1358"/>
      <c r="POU524" s="1358"/>
      <c r="POV524" s="1358"/>
      <c r="POW524" s="1358"/>
      <c r="POX524" s="1358"/>
      <c r="POY524" s="1358"/>
      <c r="POZ524" s="1358"/>
      <c r="PPA524" s="1358"/>
      <c r="PPB524" s="1358"/>
      <c r="PPC524" s="1358"/>
      <c r="PPD524" s="1358"/>
      <c r="PPE524" s="1358"/>
      <c r="PPF524" s="1358"/>
      <c r="PPG524" s="1358"/>
      <c r="PPH524" s="1358"/>
      <c r="PPI524" s="1358"/>
      <c r="PPJ524" s="1358"/>
      <c r="PPK524" s="1358"/>
      <c r="PPL524" s="1358"/>
      <c r="PPM524" s="1358"/>
      <c r="PPN524" s="1358"/>
      <c r="PPO524" s="1358"/>
      <c r="PPP524" s="1358"/>
      <c r="PPQ524" s="1358"/>
      <c r="PPR524" s="1358"/>
      <c r="PPS524" s="1358"/>
      <c r="PPT524" s="1358"/>
      <c r="PPU524" s="1358"/>
      <c r="PPV524" s="1358"/>
      <c r="PPW524" s="1358"/>
      <c r="PPX524" s="1358"/>
      <c r="PPY524" s="1358"/>
      <c r="PPZ524" s="1358"/>
      <c r="PQA524" s="1358"/>
      <c r="PQB524" s="1358"/>
      <c r="PQC524" s="1358"/>
      <c r="PQD524" s="1358"/>
      <c r="PQE524" s="1358"/>
      <c r="PQF524" s="1358"/>
      <c r="PQG524" s="1358"/>
      <c r="PQH524" s="1358"/>
      <c r="PQI524" s="1358"/>
      <c r="PQJ524" s="1358"/>
      <c r="PQK524" s="1358"/>
      <c r="PQL524" s="1358"/>
      <c r="PQM524" s="1358"/>
      <c r="PQN524" s="1358"/>
      <c r="PQO524" s="1358"/>
      <c r="PQP524" s="1358"/>
      <c r="PQQ524" s="1358"/>
      <c r="PQR524" s="1358"/>
      <c r="PQS524" s="1358"/>
      <c r="PQT524" s="1358"/>
      <c r="PQU524" s="1358"/>
      <c r="PQV524" s="1358"/>
      <c r="PQW524" s="1358"/>
      <c r="PQX524" s="1358"/>
      <c r="PQY524" s="1358"/>
      <c r="PQZ524" s="1358"/>
      <c r="PRA524" s="1358"/>
      <c r="PRB524" s="1358"/>
      <c r="PRC524" s="1358"/>
      <c r="PRD524" s="1358"/>
      <c r="PRE524" s="1358"/>
      <c r="PRF524" s="1358"/>
      <c r="PRG524" s="1358"/>
      <c r="PRH524" s="1358"/>
      <c r="PRI524" s="1358"/>
      <c r="PRJ524" s="1358"/>
      <c r="PRK524" s="1358"/>
      <c r="PRL524" s="1358"/>
      <c r="PRM524" s="1358"/>
      <c r="PRN524" s="1358"/>
      <c r="PRO524" s="1358"/>
      <c r="PRP524" s="1358"/>
      <c r="PRQ524" s="1358"/>
      <c r="PRR524" s="1358"/>
      <c r="PRS524" s="1358"/>
      <c r="PRT524" s="1358"/>
      <c r="PRU524" s="1358"/>
      <c r="PRV524" s="1358"/>
      <c r="PRW524" s="1358"/>
      <c r="PRX524" s="1358"/>
      <c r="PRY524" s="1358"/>
      <c r="PRZ524" s="1358"/>
      <c r="PSA524" s="1358"/>
      <c r="PSB524" s="1358"/>
      <c r="PSC524" s="1358"/>
      <c r="PSD524" s="1358"/>
      <c r="PSE524" s="1358"/>
      <c r="PSF524" s="1358"/>
      <c r="PSG524" s="1358"/>
      <c r="PSH524" s="1358"/>
      <c r="PSI524" s="1358"/>
      <c r="PSJ524" s="1358"/>
      <c r="PSK524" s="1358"/>
      <c r="PSL524" s="1358"/>
      <c r="PSM524" s="1358"/>
      <c r="PSN524" s="1358"/>
      <c r="PSO524" s="1358"/>
      <c r="PSP524" s="1358"/>
      <c r="PSQ524" s="1358"/>
      <c r="PSR524" s="1358"/>
      <c r="PSS524" s="1358"/>
      <c r="PST524" s="1358"/>
      <c r="PSU524" s="1358"/>
      <c r="PSV524" s="1358"/>
      <c r="PSW524" s="1358"/>
      <c r="PSX524" s="1358"/>
      <c r="PSY524" s="1358"/>
      <c r="PSZ524" s="1358"/>
      <c r="PTA524" s="1358"/>
      <c r="PTB524" s="1358"/>
      <c r="PTC524" s="1358"/>
      <c r="PTD524" s="1358"/>
      <c r="PTE524" s="1358"/>
      <c r="PTF524" s="1358"/>
      <c r="PTG524" s="1358"/>
      <c r="PTH524" s="1358"/>
      <c r="PTI524" s="1358"/>
      <c r="PTJ524" s="1358"/>
      <c r="PTK524" s="1358"/>
      <c r="PTL524" s="1358"/>
      <c r="PTM524" s="1358"/>
      <c r="PTN524" s="1358"/>
      <c r="PTO524" s="1358"/>
      <c r="PTP524" s="1358"/>
      <c r="PTQ524" s="1358"/>
      <c r="PTR524" s="1358"/>
      <c r="PTS524" s="1358"/>
      <c r="PTT524" s="1358"/>
      <c r="PTU524" s="1358"/>
      <c r="PTV524" s="1358"/>
      <c r="PTW524" s="1358"/>
      <c r="PTX524" s="1358"/>
      <c r="PTY524" s="1358"/>
      <c r="PTZ524" s="1358"/>
      <c r="PUA524" s="1358"/>
      <c r="PUB524" s="1358"/>
      <c r="PUC524" s="1358"/>
      <c r="PUD524" s="1358"/>
      <c r="PUE524" s="1358"/>
      <c r="PUF524" s="1358"/>
      <c r="PUG524" s="1358"/>
      <c r="PUH524" s="1358"/>
      <c r="PUI524" s="1358"/>
      <c r="PUJ524" s="1358"/>
      <c r="PUK524" s="1358"/>
      <c r="PUL524" s="1358"/>
      <c r="PUM524" s="1358"/>
      <c r="PUN524" s="1358"/>
      <c r="PUO524" s="1358"/>
      <c r="PUP524" s="1358"/>
      <c r="PUQ524" s="1358"/>
      <c r="PUR524" s="1358"/>
      <c r="PUS524" s="1358"/>
      <c r="PUT524" s="1358"/>
      <c r="PUU524" s="1358"/>
      <c r="PUV524" s="1358"/>
      <c r="PUW524" s="1358"/>
      <c r="PUX524" s="1358"/>
      <c r="PUY524" s="1358"/>
      <c r="PUZ524" s="1358"/>
      <c r="PVA524" s="1358"/>
      <c r="PVB524" s="1358"/>
      <c r="PVC524" s="1358"/>
      <c r="PVD524" s="1358"/>
      <c r="PVE524" s="1358"/>
      <c r="PVF524" s="1358"/>
      <c r="PVG524" s="1358"/>
      <c r="PVH524" s="1358"/>
      <c r="PVI524" s="1358"/>
      <c r="PVJ524" s="1358"/>
      <c r="PVK524" s="1358"/>
      <c r="PVL524" s="1358"/>
      <c r="PVM524" s="1358"/>
      <c r="PVN524" s="1358"/>
      <c r="PVO524" s="1358"/>
      <c r="PVP524" s="1358"/>
      <c r="PVQ524" s="1358"/>
      <c r="PVR524" s="1358"/>
      <c r="PVS524" s="1358"/>
      <c r="PVT524" s="1358"/>
      <c r="PVU524" s="1358"/>
      <c r="PVV524" s="1358"/>
      <c r="PVW524" s="1358"/>
      <c r="PVX524" s="1358"/>
      <c r="PVY524" s="1358"/>
      <c r="PVZ524" s="1358"/>
      <c r="PWA524" s="1358"/>
      <c r="PWB524" s="1358"/>
      <c r="PWC524" s="1358"/>
      <c r="PWD524" s="1358"/>
      <c r="PWE524" s="1358"/>
      <c r="PWF524" s="1358"/>
      <c r="PWG524" s="1358"/>
      <c r="PWH524" s="1358"/>
      <c r="PWI524" s="1358"/>
      <c r="PWJ524" s="1358"/>
      <c r="PWK524" s="1358"/>
      <c r="PWL524" s="1358"/>
      <c r="PWM524" s="1358"/>
      <c r="PWN524" s="1358"/>
      <c r="PWO524" s="1358"/>
      <c r="PWP524" s="1358"/>
      <c r="PWQ524" s="1358"/>
      <c r="PWR524" s="1358"/>
      <c r="PWS524" s="1358"/>
      <c r="PWT524" s="1358"/>
      <c r="PWU524" s="1358"/>
      <c r="PWV524" s="1358"/>
      <c r="PWW524" s="1358"/>
      <c r="PWX524" s="1358"/>
      <c r="PWY524" s="1358"/>
      <c r="PWZ524" s="1358"/>
      <c r="PXA524" s="1358"/>
      <c r="PXB524" s="1358"/>
      <c r="PXC524" s="1358"/>
      <c r="PXD524" s="1358"/>
      <c r="PXE524" s="1358"/>
      <c r="PXF524" s="1358"/>
      <c r="PXG524" s="1358"/>
      <c r="PXH524" s="1358"/>
      <c r="PXI524" s="1358"/>
      <c r="PXJ524" s="1358"/>
      <c r="PXK524" s="1358"/>
      <c r="PXL524" s="1358"/>
      <c r="PXM524" s="1358"/>
      <c r="PXN524" s="1358"/>
      <c r="PXO524" s="1358"/>
      <c r="PXP524" s="1358"/>
      <c r="PXQ524" s="1358"/>
      <c r="PXR524" s="1358"/>
      <c r="PXS524" s="1358"/>
      <c r="PXT524" s="1358"/>
      <c r="PXU524" s="1358"/>
      <c r="PXV524" s="1358"/>
      <c r="PXW524" s="1358"/>
      <c r="PXX524" s="1358"/>
      <c r="PXY524" s="1358"/>
      <c r="PXZ524" s="1358"/>
      <c r="PYA524" s="1358"/>
      <c r="PYB524" s="1358"/>
      <c r="PYC524" s="1358"/>
      <c r="PYD524" s="1358"/>
      <c r="PYE524" s="1358"/>
      <c r="PYF524" s="1358"/>
      <c r="PYG524" s="1358"/>
      <c r="PYH524" s="1358"/>
      <c r="PYI524" s="1358"/>
      <c r="PYJ524" s="1358"/>
      <c r="PYK524" s="1358"/>
      <c r="PYL524" s="1358"/>
      <c r="PYM524" s="1358"/>
      <c r="PYN524" s="1358"/>
      <c r="PYO524" s="1358"/>
      <c r="PYP524" s="1358"/>
      <c r="PYQ524" s="1358"/>
      <c r="PYR524" s="1358"/>
      <c r="PYS524" s="1358"/>
      <c r="PYT524" s="1358"/>
      <c r="PYU524" s="1358"/>
      <c r="PYV524" s="1358"/>
      <c r="PYW524" s="1358"/>
      <c r="PYX524" s="1358"/>
      <c r="PYY524" s="1358"/>
      <c r="PYZ524" s="1358"/>
      <c r="PZA524" s="1358"/>
      <c r="PZB524" s="1358"/>
      <c r="PZC524" s="1358"/>
      <c r="PZD524" s="1358"/>
      <c r="PZE524" s="1358"/>
      <c r="PZF524" s="1358"/>
      <c r="PZG524" s="1358"/>
      <c r="PZH524" s="1358"/>
      <c r="PZI524" s="1358"/>
      <c r="PZJ524" s="1358"/>
      <c r="PZK524" s="1358"/>
      <c r="PZL524" s="1358"/>
      <c r="PZM524" s="1358"/>
      <c r="PZN524" s="1358"/>
      <c r="PZO524" s="1358"/>
      <c r="PZP524" s="1358"/>
      <c r="PZQ524" s="1358"/>
      <c r="PZR524" s="1358"/>
      <c r="PZS524" s="1358"/>
      <c r="PZT524" s="1358"/>
      <c r="PZU524" s="1358"/>
      <c r="PZV524" s="1358"/>
      <c r="PZW524" s="1358"/>
      <c r="PZX524" s="1358"/>
      <c r="PZY524" s="1358"/>
      <c r="PZZ524" s="1358"/>
      <c r="QAA524" s="1358"/>
      <c r="QAB524" s="1358"/>
      <c r="QAC524" s="1358"/>
      <c r="QAD524" s="1358"/>
      <c r="QAE524" s="1358"/>
      <c r="QAF524" s="1358"/>
      <c r="QAG524" s="1358"/>
      <c r="QAH524" s="1358"/>
      <c r="QAI524" s="1358"/>
      <c r="QAJ524" s="1358"/>
      <c r="QAK524" s="1358"/>
      <c r="QAL524" s="1358"/>
      <c r="QAM524" s="1358"/>
      <c r="QAN524" s="1358"/>
      <c r="QAO524" s="1358"/>
      <c r="QAP524" s="1358"/>
      <c r="QAQ524" s="1358"/>
      <c r="QAR524" s="1358"/>
      <c r="QAS524" s="1358"/>
      <c r="QAT524" s="1358"/>
      <c r="QAU524" s="1358"/>
      <c r="QAV524" s="1358"/>
      <c r="QAW524" s="1358"/>
      <c r="QAX524" s="1358"/>
      <c r="QAY524" s="1358"/>
      <c r="QAZ524" s="1358"/>
      <c r="QBA524" s="1358"/>
      <c r="QBB524" s="1358"/>
      <c r="QBC524" s="1358"/>
      <c r="QBD524" s="1358"/>
      <c r="QBE524" s="1358"/>
      <c r="QBF524" s="1358"/>
      <c r="QBG524" s="1358"/>
      <c r="QBH524" s="1358"/>
      <c r="QBI524" s="1358"/>
      <c r="QBJ524" s="1358"/>
      <c r="QBK524" s="1358"/>
      <c r="QBL524" s="1358"/>
      <c r="QBM524" s="1358"/>
      <c r="QBN524" s="1358"/>
      <c r="QBO524" s="1358"/>
      <c r="QBP524" s="1358"/>
      <c r="QBQ524" s="1358"/>
      <c r="QBR524" s="1358"/>
      <c r="QBS524" s="1358"/>
      <c r="QBT524" s="1358"/>
      <c r="QBU524" s="1358"/>
      <c r="QBV524" s="1358"/>
      <c r="QBW524" s="1358"/>
      <c r="QBX524" s="1358"/>
      <c r="QBY524" s="1358"/>
      <c r="QBZ524" s="1358"/>
      <c r="QCA524" s="1358"/>
      <c r="QCB524" s="1358"/>
      <c r="QCC524" s="1358"/>
      <c r="QCD524" s="1358"/>
      <c r="QCE524" s="1358"/>
      <c r="QCF524" s="1358"/>
      <c r="QCG524" s="1358"/>
      <c r="QCH524" s="1358"/>
      <c r="QCI524" s="1358"/>
      <c r="QCJ524" s="1358"/>
      <c r="QCK524" s="1358"/>
      <c r="QCL524" s="1358"/>
      <c r="QCM524" s="1358"/>
      <c r="QCN524" s="1358"/>
      <c r="QCO524" s="1358"/>
      <c r="QCP524" s="1358"/>
      <c r="QCQ524" s="1358"/>
      <c r="QCR524" s="1358"/>
      <c r="QCS524" s="1358"/>
      <c r="QCT524" s="1358"/>
      <c r="QCU524" s="1358"/>
      <c r="QCV524" s="1358"/>
      <c r="QCW524" s="1358"/>
      <c r="QCX524" s="1358"/>
      <c r="QCY524" s="1358"/>
      <c r="QCZ524" s="1358"/>
      <c r="QDA524" s="1358"/>
      <c r="QDB524" s="1358"/>
      <c r="QDC524" s="1358"/>
      <c r="QDD524" s="1358"/>
      <c r="QDE524" s="1358"/>
      <c r="QDF524" s="1358"/>
      <c r="QDG524" s="1358"/>
      <c r="QDH524" s="1358"/>
      <c r="QDI524" s="1358"/>
      <c r="QDJ524" s="1358"/>
      <c r="QDK524" s="1358"/>
      <c r="QDL524" s="1358"/>
      <c r="QDM524" s="1358"/>
      <c r="QDN524" s="1358"/>
      <c r="QDO524" s="1358"/>
      <c r="QDP524" s="1358"/>
      <c r="QDQ524" s="1358"/>
      <c r="QDR524" s="1358"/>
      <c r="QDS524" s="1358"/>
      <c r="QDT524" s="1358"/>
      <c r="QDU524" s="1358"/>
      <c r="QDV524" s="1358"/>
      <c r="QDW524" s="1358"/>
      <c r="QDX524" s="1358"/>
      <c r="QDY524" s="1358"/>
      <c r="QDZ524" s="1358"/>
      <c r="QEA524" s="1358"/>
      <c r="QEB524" s="1358"/>
      <c r="QEC524" s="1358"/>
      <c r="QED524" s="1358"/>
      <c r="QEE524" s="1358"/>
      <c r="QEF524" s="1358"/>
      <c r="QEG524" s="1358"/>
      <c r="QEH524" s="1358"/>
      <c r="QEI524" s="1358"/>
      <c r="QEJ524" s="1358"/>
      <c r="QEK524" s="1358"/>
      <c r="QEL524" s="1358"/>
      <c r="QEM524" s="1358"/>
      <c r="QEN524" s="1358"/>
      <c r="QEO524" s="1358"/>
      <c r="QEP524" s="1358"/>
      <c r="QEQ524" s="1358"/>
      <c r="QER524" s="1358"/>
      <c r="QES524" s="1358"/>
      <c r="QET524" s="1358"/>
      <c r="QEU524" s="1358"/>
      <c r="QEV524" s="1358"/>
      <c r="QEW524" s="1358"/>
      <c r="QEX524" s="1358"/>
      <c r="QEY524" s="1358"/>
      <c r="QEZ524" s="1358"/>
      <c r="QFA524" s="1358"/>
      <c r="QFB524" s="1358"/>
      <c r="QFC524" s="1358"/>
      <c r="QFD524" s="1358"/>
      <c r="QFE524" s="1358"/>
      <c r="QFF524" s="1358"/>
      <c r="QFG524" s="1358"/>
      <c r="QFH524" s="1358"/>
      <c r="QFI524" s="1358"/>
      <c r="QFJ524" s="1358"/>
      <c r="QFK524" s="1358"/>
      <c r="QFL524" s="1358"/>
      <c r="QFM524" s="1358"/>
      <c r="QFN524" s="1358"/>
      <c r="QFO524" s="1358"/>
      <c r="QFP524" s="1358"/>
      <c r="QFQ524" s="1358"/>
      <c r="QFR524" s="1358"/>
      <c r="QFS524" s="1358"/>
      <c r="QFT524" s="1358"/>
      <c r="QFU524" s="1358"/>
      <c r="QFV524" s="1358"/>
      <c r="QFW524" s="1358"/>
      <c r="QFX524" s="1358"/>
      <c r="QFY524" s="1358"/>
      <c r="QFZ524" s="1358"/>
      <c r="QGA524" s="1358"/>
      <c r="QGB524" s="1358"/>
      <c r="QGC524" s="1358"/>
      <c r="QGD524" s="1358"/>
      <c r="QGE524" s="1358"/>
      <c r="QGF524" s="1358"/>
      <c r="QGG524" s="1358"/>
      <c r="QGH524" s="1358"/>
      <c r="QGI524" s="1358"/>
      <c r="QGJ524" s="1358"/>
      <c r="QGK524" s="1358"/>
      <c r="QGL524" s="1358"/>
      <c r="QGM524" s="1358"/>
      <c r="QGN524" s="1358"/>
      <c r="QGO524" s="1358"/>
      <c r="QGP524" s="1358"/>
      <c r="QGQ524" s="1358"/>
      <c r="QGR524" s="1358"/>
      <c r="QGS524" s="1358"/>
      <c r="QGT524" s="1358"/>
      <c r="QGU524" s="1358"/>
      <c r="QGV524" s="1358"/>
      <c r="QGW524" s="1358"/>
      <c r="QGX524" s="1358"/>
      <c r="QGY524" s="1358"/>
      <c r="QGZ524" s="1358"/>
      <c r="QHA524" s="1358"/>
      <c r="QHB524" s="1358"/>
      <c r="QHC524" s="1358"/>
      <c r="QHD524" s="1358"/>
      <c r="QHE524" s="1358"/>
      <c r="QHF524" s="1358"/>
      <c r="QHG524" s="1358"/>
      <c r="QHH524" s="1358"/>
      <c r="QHI524" s="1358"/>
      <c r="QHJ524" s="1358"/>
      <c r="QHK524" s="1358"/>
      <c r="QHL524" s="1358"/>
      <c r="QHM524" s="1358"/>
      <c r="QHN524" s="1358"/>
      <c r="QHO524" s="1358"/>
      <c r="QHP524" s="1358"/>
      <c r="QHQ524" s="1358"/>
      <c r="QHR524" s="1358"/>
      <c r="QHS524" s="1358"/>
      <c r="QHT524" s="1358"/>
      <c r="QHU524" s="1358"/>
      <c r="QHV524" s="1358"/>
      <c r="QHW524" s="1358"/>
      <c r="QHX524" s="1358"/>
      <c r="QHY524" s="1358"/>
      <c r="QHZ524" s="1358"/>
      <c r="QIA524" s="1358"/>
      <c r="QIB524" s="1358"/>
      <c r="QIC524" s="1358"/>
      <c r="QID524" s="1358"/>
      <c r="QIE524" s="1358"/>
      <c r="QIF524" s="1358"/>
      <c r="QIG524" s="1358"/>
      <c r="QIH524" s="1358"/>
      <c r="QII524" s="1358"/>
      <c r="QIJ524" s="1358"/>
      <c r="QIK524" s="1358"/>
      <c r="QIL524" s="1358"/>
      <c r="QIM524" s="1358"/>
      <c r="QIN524" s="1358"/>
      <c r="QIO524" s="1358"/>
      <c r="QIP524" s="1358"/>
      <c r="QIQ524" s="1358"/>
      <c r="QIR524" s="1358"/>
      <c r="QIS524" s="1358"/>
      <c r="QIT524" s="1358"/>
      <c r="QIU524" s="1358"/>
      <c r="QIV524" s="1358"/>
      <c r="QIW524" s="1358"/>
      <c r="QIX524" s="1358"/>
      <c r="QIY524" s="1358"/>
      <c r="QIZ524" s="1358"/>
      <c r="QJA524" s="1358"/>
      <c r="QJB524" s="1358"/>
      <c r="QJC524" s="1358"/>
      <c r="QJD524" s="1358"/>
      <c r="QJE524" s="1358"/>
      <c r="QJF524" s="1358"/>
      <c r="QJG524" s="1358"/>
      <c r="QJH524" s="1358"/>
      <c r="QJI524" s="1358"/>
      <c r="QJJ524" s="1358"/>
      <c r="QJK524" s="1358"/>
      <c r="QJL524" s="1358"/>
      <c r="QJM524" s="1358"/>
      <c r="QJN524" s="1358"/>
      <c r="QJO524" s="1358"/>
      <c r="QJP524" s="1358"/>
      <c r="QJQ524" s="1358"/>
      <c r="QJR524" s="1358"/>
      <c r="QJS524" s="1358"/>
      <c r="QJT524" s="1358"/>
      <c r="QJU524" s="1358"/>
      <c r="QJV524" s="1358"/>
      <c r="QJW524" s="1358"/>
      <c r="QJX524" s="1358"/>
      <c r="QJY524" s="1358"/>
      <c r="QJZ524" s="1358"/>
      <c r="QKA524" s="1358"/>
      <c r="QKB524" s="1358"/>
      <c r="QKC524" s="1358"/>
      <c r="QKD524" s="1358"/>
      <c r="QKE524" s="1358"/>
      <c r="QKF524" s="1358"/>
      <c r="QKG524" s="1358"/>
      <c r="QKH524" s="1358"/>
      <c r="QKI524" s="1358"/>
      <c r="QKJ524" s="1358"/>
      <c r="QKK524" s="1358"/>
      <c r="QKL524" s="1358"/>
      <c r="QKM524" s="1358"/>
      <c r="QKN524" s="1358"/>
      <c r="QKO524" s="1358"/>
      <c r="QKP524" s="1358"/>
      <c r="QKQ524" s="1358"/>
      <c r="QKR524" s="1358"/>
      <c r="QKS524" s="1358"/>
      <c r="QKT524" s="1358"/>
      <c r="QKU524" s="1358"/>
      <c r="QKV524" s="1358"/>
      <c r="QKW524" s="1358"/>
      <c r="QKX524" s="1358"/>
      <c r="QKY524" s="1358"/>
      <c r="QKZ524" s="1358"/>
      <c r="QLA524" s="1358"/>
      <c r="QLB524" s="1358"/>
      <c r="QLC524" s="1358"/>
      <c r="QLD524" s="1358"/>
      <c r="QLE524" s="1358"/>
      <c r="QLF524" s="1358"/>
      <c r="QLG524" s="1358"/>
      <c r="QLH524" s="1358"/>
      <c r="QLI524" s="1358"/>
      <c r="QLJ524" s="1358"/>
      <c r="QLK524" s="1358"/>
      <c r="QLL524" s="1358"/>
      <c r="QLM524" s="1358"/>
      <c r="QLN524" s="1358"/>
      <c r="QLO524" s="1358"/>
      <c r="QLP524" s="1358"/>
      <c r="QLQ524" s="1358"/>
      <c r="QLR524" s="1358"/>
      <c r="QLS524" s="1358"/>
      <c r="QLT524" s="1358"/>
      <c r="QLU524" s="1358"/>
      <c r="QLV524" s="1358"/>
      <c r="QLW524" s="1358"/>
      <c r="QLX524" s="1358"/>
      <c r="QLY524" s="1358"/>
      <c r="QLZ524" s="1358"/>
      <c r="QMA524" s="1358"/>
      <c r="QMB524" s="1358"/>
      <c r="QMC524" s="1358"/>
      <c r="QMD524" s="1358"/>
      <c r="QME524" s="1358"/>
      <c r="QMF524" s="1358"/>
      <c r="QMG524" s="1358"/>
      <c r="QMH524" s="1358"/>
      <c r="QMI524" s="1358"/>
      <c r="QMJ524" s="1358"/>
      <c r="QMK524" s="1358"/>
      <c r="QML524" s="1358"/>
      <c r="QMM524" s="1358"/>
      <c r="QMN524" s="1358"/>
      <c r="QMO524" s="1358"/>
      <c r="QMP524" s="1358"/>
      <c r="QMQ524" s="1358"/>
      <c r="QMR524" s="1358"/>
      <c r="QMS524" s="1358"/>
      <c r="QMT524" s="1358"/>
      <c r="QMU524" s="1358"/>
      <c r="QMV524" s="1358"/>
      <c r="QMW524" s="1358"/>
      <c r="QMX524" s="1358"/>
      <c r="QMY524" s="1358"/>
      <c r="QMZ524" s="1358"/>
      <c r="QNA524" s="1358"/>
      <c r="QNB524" s="1358"/>
      <c r="QNC524" s="1358"/>
      <c r="QND524" s="1358"/>
      <c r="QNE524" s="1358"/>
      <c r="QNF524" s="1358"/>
      <c r="QNG524" s="1358"/>
      <c r="QNH524" s="1358"/>
      <c r="QNI524" s="1358"/>
      <c r="QNJ524" s="1358"/>
      <c r="QNK524" s="1358"/>
      <c r="QNL524" s="1358"/>
      <c r="QNM524" s="1358"/>
      <c r="QNN524" s="1358"/>
      <c r="QNO524" s="1358"/>
      <c r="QNP524" s="1358"/>
      <c r="QNQ524" s="1358"/>
      <c r="QNR524" s="1358"/>
      <c r="QNS524" s="1358"/>
      <c r="QNT524" s="1358"/>
      <c r="QNU524" s="1358"/>
      <c r="QNV524" s="1358"/>
      <c r="QNW524" s="1358"/>
      <c r="QNX524" s="1358"/>
      <c r="QNY524" s="1358"/>
      <c r="QNZ524" s="1358"/>
      <c r="QOA524" s="1358"/>
      <c r="QOB524" s="1358"/>
      <c r="QOC524" s="1358"/>
      <c r="QOD524" s="1358"/>
      <c r="QOE524" s="1358"/>
      <c r="QOF524" s="1358"/>
      <c r="QOG524" s="1358"/>
      <c r="QOH524" s="1358"/>
      <c r="QOI524" s="1358"/>
      <c r="QOJ524" s="1358"/>
      <c r="QOK524" s="1358"/>
      <c r="QOL524" s="1358"/>
      <c r="QOM524" s="1358"/>
      <c r="QON524" s="1358"/>
      <c r="QOO524" s="1358"/>
      <c r="QOP524" s="1358"/>
      <c r="QOQ524" s="1358"/>
      <c r="QOR524" s="1358"/>
      <c r="QOS524" s="1358"/>
      <c r="QOT524" s="1358"/>
      <c r="QOU524" s="1358"/>
      <c r="QOV524" s="1358"/>
      <c r="QOW524" s="1358"/>
      <c r="QOX524" s="1358"/>
      <c r="QOY524" s="1358"/>
      <c r="QOZ524" s="1358"/>
      <c r="QPA524" s="1358"/>
      <c r="QPB524" s="1358"/>
      <c r="QPC524" s="1358"/>
      <c r="QPD524" s="1358"/>
      <c r="QPE524" s="1358"/>
      <c r="QPF524" s="1358"/>
      <c r="QPG524" s="1358"/>
      <c r="QPH524" s="1358"/>
      <c r="QPI524" s="1358"/>
      <c r="QPJ524" s="1358"/>
      <c r="QPK524" s="1358"/>
      <c r="QPL524" s="1358"/>
      <c r="QPM524" s="1358"/>
      <c r="QPN524" s="1358"/>
      <c r="QPO524" s="1358"/>
      <c r="QPP524" s="1358"/>
      <c r="QPQ524" s="1358"/>
      <c r="QPR524" s="1358"/>
      <c r="QPS524" s="1358"/>
      <c r="QPT524" s="1358"/>
      <c r="QPU524" s="1358"/>
      <c r="QPV524" s="1358"/>
      <c r="QPW524" s="1358"/>
      <c r="QPX524" s="1358"/>
      <c r="QPY524" s="1358"/>
      <c r="QPZ524" s="1358"/>
      <c r="QQA524" s="1358"/>
      <c r="QQB524" s="1358"/>
      <c r="QQC524" s="1358"/>
      <c r="QQD524" s="1358"/>
      <c r="QQE524" s="1358"/>
      <c r="QQF524" s="1358"/>
      <c r="QQG524" s="1358"/>
      <c r="QQH524" s="1358"/>
      <c r="QQI524" s="1358"/>
      <c r="QQJ524" s="1358"/>
      <c r="QQK524" s="1358"/>
      <c r="QQL524" s="1358"/>
      <c r="QQM524" s="1358"/>
      <c r="QQN524" s="1358"/>
      <c r="QQO524" s="1358"/>
      <c r="QQP524" s="1358"/>
      <c r="QQQ524" s="1358"/>
      <c r="QQR524" s="1358"/>
      <c r="QQS524" s="1358"/>
      <c r="QQT524" s="1358"/>
      <c r="QQU524" s="1358"/>
      <c r="QQV524" s="1358"/>
      <c r="QQW524" s="1358"/>
      <c r="QQX524" s="1358"/>
      <c r="QQY524" s="1358"/>
      <c r="QQZ524" s="1358"/>
      <c r="QRA524" s="1358"/>
      <c r="QRB524" s="1358"/>
      <c r="QRC524" s="1358"/>
      <c r="QRD524" s="1358"/>
      <c r="QRE524" s="1358"/>
      <c r="QRF524" s="1358"/>
      <c r="QRG524" s="1358"/>
      <c r="QRH524" s="1358"/>
      <c r="QRI524" s="1358"/>
      <c r="QRJ524" s="1358"/>
      <c r="QRK524" s="1358"/>
      <c r="QRL524" s="1358"/>
      <c r="QRM524" s="1358"/>
      <c r="QRN524" s="1358"/>
      <c r="QRO524" s="1358"/>
      <c r="QRP524" s="1358"/>
      <c r="QRQ524" s="1358"/>
      <c r="QRR524" s="1358"/>
      <c r="QRS524" s="1358"/>
      <c r="QRT524" s="1358"/>
      <c r="QRU524" s="1358"/>
      <c r="QRV524" s="1358"/>
      <c r="QRW524" s="1358"/>
      <c r="QRX524" s="1358"/>
      <c r="QRY524" s="1358"/>
      <c r="QRZ524" s="1358"/>
      <c r="QSA524" s="1358"/>
      <c r="QSB524" s="1358"/>
      <c r="QSC524" s="1358"/>
      <c r="QSD524" s="1358"/>
      <c r="QSE524" s="1358"/>
      <c r="QSF524" s="1358"/>
      <c r="QSG524" s="1358"/>
      <c r="QSH524" s="1358"/>
      <c r="QSI524" s="1358"/>
      <c r="QSJ524" s="1358"/>
      <c r="QSK524" s="1358"/>
      <c r="QSL524" s="1358"/>
      <c r="QSM524" s="1358"/>
      <c r="QSN524" s="1358"/>
      <c r="QSO524" s="1358"/>
      <c r="QSP524" s="1358"/>
      <c r="QSQ524" s="1358"/>
      <c r="QSR524" s="1358"/>
      <c r="QSS524" s="1358"/>
      <c r="QST524" s="1358"/>
      <c r="QSU524" s="1358"/>
      <c r="QSV524" s="1358"/>
      <c r="QSW524" s="1358"/>
      <c r="QSX524" s="1358"/>
      <c r="QSY524" s="1358"/>
      <c r="QSZ524" s="1358"/>
      <c r="QTA524" s="1358"/>
      <c r="QTB524" s="1358"/>
      <c r="QTC524" s="1358"/>
      <c r="QTD524" s="1358"/>
      <c r="QTE524" s="1358"/>
      <c r="QTF524" s="1358"/>
      <c r="QTG524" s="1358"/>
      <c r="QTH524" s="1358"/>
      <c r="QTI524" s="1358"/>
      <c r="QTJ524" s="1358"/>
      <c r="QTK524" s="1358"/>
      <c r="QTL524" s="1358"/>
      <c r="QTM524" s="1358"/>
      <c r="QTN524" s="1358"/>
      <c r="QTO524" s="1358"/>
      <c r="QTP524" s="1358"/>
      <c r="QTQ524" s="1358"/>
      <c r="QTR524" s="1358"/>
      <c r="QTS524" s="1358"/>
      <c r="QTT524" s="1358"/>
      <c r="QTU524" s="1358"/>
      <c r="QTV524" s="1358"/>
      <c r="QTW524" s="1358"/>
      <c r="QTX524" s="1358"/>
      <c r="QTY524" s="1358"/>
      <c r="QTZ524" s="1358"/>
      <c r="QUA524" s="1358"/>
      <c r="QUB524" s="1358"/>
      <c r="QUC524" s="1358"/>
      <c r="QUD524" s="1358"/>
      <c r="QUE524" s="1358"/>
      <c r="QUF524" s="1358"/>
      <c r="QUG524" s="1358"/>
      <c r="QUH524" s="1358"/>
      <c r="QUI524" s="1358"/>
      <c r="QUJ524" s="1358"/>
      <c r="QUK524" s="1358"/>
      <c r="QUL524" s="1358"/>
      <c r="QUM524" s="1358"/>
      <c r="QUN524" s="1358"/>
      <c r="QUO524" s="1358"/>
      <c r="QUP524" s="1358"/>
      <c r="QUQ524" s="1358"/>
      <c r="QUR524" s="1358"/>
      <c r="QUS524" s="1358"/>
      <c r="QUT524" s="1358"/>
      <c r="QUU524" s="1358"/>
      <c r="QUV524" s="1358"/>
      <c r="QUW524" s="1358"/>
      <c r="QUX524" s="1358"/>
      <c r="QUY524" s="1358"/>
      <c r="QUZ524" s="1358"/>
      <c r="QVA524" s="1358"/>
      <c r="QVB524" s="1358"/>
      <c r="QVC524" s="1358"/>
      <c r="QVD524" s="1358"/>
      <c r="QVE524" s="1358"/>
      <c r="QVF524" s="1358"/>
      <c r="QVG524" s="1358"/>
      <c r="QVH524" s="1358"/>
      <c r="QVI524" s="1358"/>
      <c r="QVJ524" s="1358"/>
      <c r="QVK524" s="1358"/>
      <c r="QVL524" s="1358"/>
      <c r="QVM524" s="1358"/>
      <c r="QVN524" s="1358"/>
      <c r="QVO524" s="1358"/>
      <c r="QVP524" s="1358"/>
      <c r="QVQ524" s="1358"/>
      <c r="QVR524" s="1358"/>
      <c r="QVS524" s="1358"/>
      <c r="QVT524" s="1358"/>
      <c r="QVU524" s="1358"/>
      <c r="QVV524" s="1358"/>
      <c r="QVW524" s="1358"/>
      <c r="QVX524" s="1358"/>
      <c r="QVY524" s="1358"/>
      <c r="QVZ524" s="1358"/>
      <c r="QWA524" s="1358"/>
      <c r="QWB524" s="1358"/>
      <c r="QWC524" s="1358"/>
      <c r="QWD524" s="1358"/>
      <c r="QWE524" s="1358"/>
      <c r="QWF524" s="1358"/>
      <c r="QWG524" s="1358"/>
      <c r="QWH524" s="1358"/>
      <c r="QWI524" s="1358"/>
      <c r="QWJ524" s="1358"/>
      <c r="QWK524" s="1358"/>
      <c r="QWL524" s="1358"/>
      <c r="QWM524" s="1358"/>
      <c r="QWN524" s="1358"/>
      <c r="QWO524" s="1358"/>
      <c r="QWP524" s="1358"/>
      <c r="QWQ524" s="1358"/>
      <c r="QWR524" s="1358"/>
      <c r="QWS524" s="1358"/>
      <c r="QWT524" s="1358"/>
      <c r="QWU524" s="1358"/>
      <c r="QWV524" s="1358"/>
      <c r="QWW524" s="1358"/>
      <c r="QWX524" s="1358"/>
      <c r="QWY524" s="1358"/>
      <c r="QWZ524" s="1358"/>
      <c r="QXA524" s="1358"/>
      <c r="QXB524" s="1358"/>
      <c r="QXC524" s="1358"/>
      <c r="QXD524" s="1358"/>
      <c r="QXE524" s="1358"/>
      <c r="QXF524" s="1358"/>
      <c r="QXG524" s="1358"/>
      <c r="QXH524" s="1358"/>
      <c r="QXI524" s="1358"/>
      <c r="QXJ524" s="1358"/>
      <c r="QXK524" s="1358"/>
      <c r="QXL524" s="1358"/>
      <c r="QXM524" s="1358"/>
      <c r="QXN524" s="1358"/>
      <c r="QXO524" s="1358"/>
      <c r="QXP524" s="1358"/>
      <c r="QXQ524" s="1358"/>
      <c r="QXR524" s="1358"/>
      <c r="QXS524" s="1358"/>
      <c r="QXT524" s="1358"/>
      <c r="QXU524" s="1358"/>
      <c r="QXV524" s="1358"/>
      <c r="QXW524" s="1358"/>
      <c r="QXX524" s="1358"/>
      <c r="QXY524" s="1358"/>
      <c r="QXZ524" s="1358"/>
      <c r="QYA524" s="1358"/>
      <c r="QYB524" s="1358"/>
      <c r="QYC524" s="1358"/>
      <c r="QYD524" s="1358"/>
      <c r="QYE524" s="1358"/>
      <c r="QYF524" s="1358"/>
      <c r="QYG524" s="1358"/>
      <c r="QYH524" s="1358"/>
      <c r="QYI524" s="1358"/>
      <c r="QYJ524" s="1358"/>
      <c r="QYK524" s="1358"/>
      <c r="QYL524" s="1358"/>
      <c r="QYM524" s="1358"/>
      <c r="QYN524" s="1358"/>
      <c r="QYO524" s="1358"/>
      <c r="QYP524" s="1358"/>
      <c r="QYQ524" s="1358"/>
      <c r="QYR524" s="1358"/>
      <c r="QYS524" s="1358"/>
      <c r="QYT524" s="1358"/>
      <c r="QYU524" s="1358"/>
      <c r="QYV524" s="1358"/>
      <c r="QYW524" s="1358"/>
      <c r="QYX524" s="1358"/>
      <c r="QYY524" s="1358"/>
      <c r="QYZ524" s="1358"/>
      <c r="QZA524" s="1358"/>
      <c r="QZB524" s="1358"/>
      <c r="QZC524" s="1358"/>
      <c r="QZD524" s="1358"/>
      <c r="QZE524" s="1358"/>
      <c r="QZF524" s="1358"/>
      <c r="QZG524" s="1358"/>
      <c r="QZH524" s="1358"/>
      <c r="QZI524" s="1358"/>
      <c r="QZJ524" s="1358"/>
      <c r="QZK524" s="1358"/>
      <c r="QZL524" s="1358"/>
      <c r="QZM524" s="1358"/>
      <c r="QZN524" s="1358"/>
      <c r="QZO524" s="1358"/>
      <c r="QZP524" s="1358"/>
      <c r="QZQ524" s="1358"/>
      <c r="QZR524" s="1358"/>
      <c r="QZS524" s="1358"/>
      <c r="QZT524" s="1358"/>
      <c r="QZU524" s="1358"/>
      <c r="QZV524" s="1358"/>
      <c r="QZW524" s="1358"/>
      <c r="QZX524" s="1358"/>
      <c r="QZY524" s="1358"/>
      <c r="QZZ524" s="1358"/>
      <c r="RAA524" s="1358"/>
      <c r="RAB524" s="1358"/>
      <c r="RAC524" s="1358"/>
      <c r="RAD524" s="1358"/>
      <c r="RAE524" s="1358"/>
      <c r="RAF524" s="1358"/>
      <c r="RAG524" s="1358"/>
      <c r="RAH524" s="1358"/>
      <c r="RAI524" s="1358"/>
      <c r="RAJ524" s="1358"/>
      <c r="RAK524" s="1358"/>
      <c r="RAL524" s="1358"/>
      <c r="RAM524" s="1358"/>
      <c r="RAN524" s="1358"/>
      <c r="RAO524" s="1358"/>
      <c r="RAP524" s="1358"/>
      <c r="RAQ524" s="1358"/>
      <c r="RAR524" s="1358"/>
      <c r="RAS524" s="1358"/>
      <c r="RAT524" s="1358"/>
      <c r="RAU524" s="1358"/>
      <c r="RAV524" s="1358"/>
      <c r="RAW524" s="1358"/>
      <c r="RAX524" s="1358"/>
      <c r="RAY524" s="1358"/>
      <c r="RAZ524" s="1358"/>
      <c r="RBA524" s="1358"/>
      <c r="RBB524" s="1358"/>
      <c r="RBC524" s="1358"/>
      <c r="RBD524" s="1358"/>
      <c r="RBE524" s="1358"/>
      <c r="RBF524" s="1358"/>
      <c r="RBG524" s="1358"/>
      <c r="RBH524" s="1358"/>
      <c r="RBI524" s="1358"/>
      <c r="RBJ524" s="1358"/>
      <c r="RBK524" s="1358"/>
      <c r="RBL524" s="1358"/>
      <c r="RBM524" s="1358"/>
      <c r="RBN524" s="1358"/>
      <c r="RBO524" s="1358"/>
      <c r="RBP524" s="1358"/>
      <c r="RBQ524" s="1358"/>
      <c r="RBR524" s="1358"/>
      <c r="RBS524" s="1358"/>
      <c r="RBT524" s="1358"/>
      <c r="RBU524" s="1358"/>
      <c r="RBV524" s="1358"/>
      <c r="RBW524" s="1358"/>
      <c r="RBX524" s="1358"/>
      <c r="RBY524" s="1358"/>
      <c r="RBZ524" s="1358"/>
      <c r="RCA524" s="1358"/>
      <c r="RCB524" s="1358"/>
      <c r="RCC524" s="1358"/>
      <c r="RCD524" s="1358"/>
      <c r="RCE524" s="1358"/>
      <c r="RCF524" s="1358"/>
      <c r="RCG524" s="1358"/>
      <c r="RCH524" s="1358"/>
      <c r="RCI524" s="1358"/>
      <c r="RCJ524" s="1358"/>
      <c r="RCK524" s="1358"/>
      <c r="RCL524" s="1358"/>
      <c r="RCM524" s="1358"/>
      <c r="RCN524" s="1358"/>
      <c r="RCO524" s="1358"/>
      <c r="RCP524" s="1358"/>
      <c r="RCQ524" s="1358"/>
      <c r="RCR524" s="1358"/>
      <c r="RCS524" s="1358"/>
      <c r="RCT524" s="1358"/>
      <c r="RCU524" s="1358"/>
      <c r="RCV524" s="1358"/>
      <c r="RCW524" s="1358"/>
      <c r="RCX524" s="1358"/>
      <c r="RCY524" s="1358"/>
      <c r="RCZ524" s="1358"/>
      <c r="RDA524" s="1358"/>
      <c r="RDB524" s="1358"/>
      <c r="RDC524" s="1358"/>
      <c r="RDD524" s="1358"/>
      <c r="RDE524" s="1358"/>
      <c r="RDF524" s="1358"/>
      <c r="RDG524" s="1358"/>
      <c r="RDH524" s="1358"/>
      <c r="RDI524" s="1358"/>
      <c r="RDJ524" s="1358"/>
      <c r="RDK524" s="1358"/>
      <c r="RDL524" s="1358"/>
      <c r="RDM524" s="1358"/>
      <c r="RDN524" s="1358"/>
      <c r="RDO524" s="1358"/>
      <c r="RDP524" s="1358"/>
      <c r="RDQ524" s="1358"/>
      <c r="RDR524" s="1358"/>
      <c r="RDS524" s="1358"/>
      <c r="RDT524" s="1358"/>
      <c r="RDU524" s="1358"/>
      <c r="RDV524" s="1358"/>
      <c r="RDW524" s="1358"/>
      <c r="RDX524" s="1358"/>
      <c r="RDY524" s="1358"/>
      <c r="RDZ524" s="1358"/>
      <c r="REA524" s="1358"/>
      <c r="REB524" s="1358"/>
      <c r="REC524" s="1358"/>
      <c r="RED524" s="1358"/>
      <c r="REE524" s="1358"/>
      <c r="REF524" s="1358"/>
      <c r="REG524" s="1358"/>
      <c r="REH524" s="1358"/>
      <c r="REI524" s="1358"/>
      <c r="REJ524" s="1358"/>
      <c r="REK524" s="1358"/>
      <c r="REL524" s="1358"/>
      <c r="REM524" s="1358"/>
      <c r="REN524" s="1358"/>
      <c r="REO524" s="1358"/>
      <c r="REP524" s="1358"/>
      <c r="REQ524" s="1358"/>
      <c r="RER524" s="1358"/>
      <c r="RES524" s="1358"/>
      <c r="RET524" s="1358"/>
      <c r="REU524" s="1358"/>
      <c r="REV524" s="1358"/>
      <c r="REW524" s="1358"/>
      <c r="REX524" s="1358"/>
      <c r="REY524" s="1358"/>
      <c r="REZ524" s="1358"/>
      <c r="RFA524" s="1358"/>
      <c r="RFB524" s="1358"/>
      <c r="RFC524" s="1358"/>
      <c r="RFD524" s="1358"/>
      <c r="RFE524" s="1358"/>
      <c r="RFF524" s="1358"/>
      <c r="RFG524" s="1358"/>
      <c r="RFH524" s="1358"/>
      <c r="RFI524" s="1358"/>
      <c r="RFJ524" s="1358"/>
      <c r="RFK524" s="1358"/>
      <c r="RFL524" s="1358"/>
      <c r="RFM524" s="1358"/>
      <c r="RFN524" s="1358"/>
      <c r="RFO524" s="1358"/>
      <c r="RFP524" s="1358"/>
      <c r="RFQ524" s="1358"/>
      <c r="RFR524" s="1358"/>
      <c r="RFS524" s="1358"/>
      <c r="RFT524" s="1358"/>
      <c r="RFU524" s="1358"/>
      <c r="RFV524" s="1358"/>
      <c r="RFW524" s="1358"/>
      <c r="RFX524" s="1358"/>
      <c r="RFY524" s="1358"/>
      <c r="RFZ524" s="1358"/>
      <c r="RGA524" s="1358"/>
      <c r="RGB524" s="1358"/>
      <c r="RGC524" s="1358"/>
      <c r="RGD524" s="1358"/>
      <c r="RGE524" s="1358"/>
      <c r="RGF524" s="1358"/>
      <c r="RGG524" s="1358"/>
      <c r="RGH524" s="1358"/>
      <c r="RGI524" s="1358"/>
      <c r="RGJ524" s="1358"/>
      <c r="RGK524" s="1358"/>
      <c r="RGL524" s="1358"/>
      <c r="RGM524" s="1358"/>
      <c r="RGN524" s="1358"/>
      <c r="RGO524" s="1358"/>
      <c r="RGP524" s="1358"/>
      <c r="RGQ524" s="1358"/>
      <c r="RGR524" s="1358"/>
      <c r="RGS524" s="1358"/>
      <c r="RGT524" s="1358"/>
      <c r="RGU524" s="1358"/>
      <c r="RGV524" s="1358"/>
      <c r="RGW524" s="1358"/>
      <c r="RGX524" s="1358"/>
      <c r="RGY524" s="1358"/>
      <c r="RGZ524" s="1358"/>
      <c r="RHA524" s="1358"/>
      <c r="RHB524" s="1358"/>
      <c r="RHC524" s="1358"/>
      <c r="RHD524" s="1358"/>
      <c r="RHE524" s="1358"/>
      <c r="RHF524" s="1358"/>
      <c r="RHG524" s="1358"/>
      <c r="RHH524" s="1358"/>
      <c r="RHI524" s="1358"/>
      <c r="RHJ524" s="1358"/>
      <c r="RHK524" s="1358"/>
      <c r="RHL524" s="1358"/>
      <c r="RHM524" s="1358"/>
      <c r="RHN524" s="1358"/>
      <c r="RHO524" s="1358"/>
      <c r="RHP524" s="1358"/>
      <c r="RHQ524" s="1358"/>
      <c r="RHR524" s="1358"/>
      <c r="RHS524" s="1358"/>
      <c r="RHT524" s="1358"/>
      <c r="RHU524" s="1358"/>
      <c r="RHV524" s="1358"/>
      <c r="RHW524" s="1358"/>
      <c r="RHX524" s="1358"/>
      <c r="RHY524" s="1358"/>
      <c r="RHZ524" s="1358"/>
      <c r="RIA524" s="1358"/>
      <c r="RIB524" s="1358"/>
      <c r="RIC524" s="1358"/>
      <c r="RID524" s="1358"/>
      <c r="RIE524" s="1358"/>
      <c r="RIF524" s="1358"/>
      <c r="RIG524" s="1358"/>
      <c r="RIH524" s="1358"/>
      <c r="RII524" s="1358"/>
      <c r="RIJ524" s="1358"/>
      <c r="RIK524" s="1358"/>
      <c r="RIL524" s="1358"/>
      <c r="RIM524" s="1358"/>
      <c r="RIN524" s="1358"/>
      <c r="RIO524" s="1358"/>
      <c r="RIP524" s="1358"/>
      <c r="RIQ524" s="1358"/>
      <c r="RIR524" s="1358"/>
      <c r="RIS524" s="1358"/>
      <c r="RIT524" s="1358"/>
      <c r="RIU524" s="1358"/>
      <c r="RIV524" s="1358"/>
      <c r="RIW524" s="1358"/>
      <c r="RIX524" s="1358"/>
      <c r="RIY524" s="1358"/>
      <c r="RIZ524" s="1358"/>
      <c r="RJA524" s="1358"/>
      <c r="RJB524" s="1358"/>
      <c r="RJC524" s="1358"/>
      <c r="RJD524" s="1358"/>
      <c r="RJE524" s="1358"/>
      <c r="RJF524" s="1358"/>
      <c r="RJG524" s="1358"/>
      <c r="RJH524" s="1358"/>
      <c r="RJI524" s="1358"/>
      <c r="RJJ524" s="1358"/>
      <c r="RJK524" s="1358"/>
      <c r="RJL524" s="1358"/>
      <c r="RJM524" s="1358"/>
      <c r="RJN524" s="1358"/>
      <c r="RJO524" s="1358"/>
      <c r="RJP524" s="1358"/>
      <c r="RJQ524" s="1358"/>
      <c r="RJR524" s="1358"/>
      <c r="RJS524" s="1358"/>
      <c r="RJT524" s="1358"/>
      <c r="RJU524" s="1358"/>
      <c r="RJV524" s="1358"/>
      <c r="RJW524" s="1358"/>
      <c r="RJX524" s="1358"/>
      <c r="RJY524" s="1358"/>
      <c r="RJZ524" s="1358"/>
      <c r="RKA524" s="1358"/>
      <c r="RKB524" s="1358"/>
      <c r="RKC524" s="1358"/>
      <c r="RKD524" s="1358"/>
      <c r="RKE524" s="1358"/>
      <c r="RKF524" s="1358"/>
      <c r="RKG524" s="1358"/>
      <c r="RKH524" s="1358"/>
      <c r="RKI524" s="1358"/>
      <c r="RKJ524" s="1358"/>
      <c r="RKK524" s="1358"/>
      <c r="RKL524" s="1358"/>
      <c r="RKM524" s="1358"/>
      <c r="RKN524" s="1358"/>
      <c r="RKO524" s="1358"/>
      <c r="RKP524" s="1358"/>
      <c r="RKQ524" s="1358"/>
      <c r="RKR524" s="1358"/>
      <c r="RKS524" s="1358"/>
      <c r="RKT524" s="1358"/>
      <c r="RKU524" s="1358"/>
      <c r="RKV524" s="1358"/>
      <c r="RKW524" s="1358"/>
      <c r="RKX524" s="1358"/>
      <c r="RKY524" s="1358"/>
      <c r="RKZ524" s="1358"/>
      <c r="RLA524" s="1358"/>
      <c r="RLB524" s="1358"/>
      <c r="RLC524" s="1358"/>
      <c r="RLD524" s="1358"/>
      <c r="RLE524" s="1358"/>
      <c r="RLF524" s="1358"/>
      <c r="RLG524" s="1358"/>
      <c r="RLH524" s="1358"/>
      <c r="RLI524" s="1358"/>
      <c r="RLJ524" s="1358"/>
      <c r="RLK524" s="1358"/>
      <c r="RLL524" s="1358"/>
      <c r="RLM524" s="1358"/>
      <c r="RLN524" s="1358"/>
      <c r="RLO524" s="1358"/>
      <c r="RLP524" s="1358"/>
      <c r="RLQ524" s="1358"/>
      <c r="RLR524" s="1358"/>
      <c r="RLS524" s="1358"/>
      <c r="RLT524" s="1358"/>
      <c r="RLU524" s="1358"/>
      <c r="RLV524" s="1358"/>
      <c r="RLW524" s="1358"/>
      <c r="RLX524" s="1358"/>
      <c r="RLY524" s="1358"/>
      <c r="RLZ524" s="1358"/>
      <c r="RMA524" s="1358"/>
      <c r="RMB524" s="1358"/>
      <c r="RMC524" s="1358"/>
      <c r="RMD524" s="1358"/>
      <c r="RME524" s="1358"/>
      <c r="RMF524" s="1358"/>
      <c r="RMG524" s="1358"/>
      <c r="RMH524" s="1358"/>
      <c r="RMI524" s="1358"/>
      <c r="RMJ524" s="1358"/>
      <c r="RMK524" s="1358"/>
      <c r="RML524" s="1358"/>
      <c r="RMM524" s="1358"/>
      <c r="RMN524" s="1358"/>
      <c r="RMO524" s="1358"/>
      <c r="RMP524" s="1358"/>
      <c r="RMQ524" s="1358"/>
      <c r="RMR524" s="1358"/>
      <c r="RMS524" s="1358"/>
      <c r="RMT524" s="1358"/>
      <c r="RMU524" s="1358"/>
      <c r="RMV524" s="1358"/>
      <c r="RMW524" s="1358"/>
      <c r="RMX524" s="1358"/>
      <c r="RMY524" s="1358"/>
      <c r="RMZ524" s="1358"/>
      <c r="RNA524" s="1358"/>
      <c r="RNB524" s="1358"/>
      <c r="RNC524" s="1358"/>
      <c r="RND524" s="1358"/>
      <c r="RNE524" s="1358"/>
      <c r="RNF524" s="1358"/>
      <c r="RNG524" s="1358"/>
      <c r="RNH524" s="1358"/>
      <c r="RNI524" s="1358"/>
      <c r="RNJ524" s="1358"/>
      <c r="RNK524" s="1358"/>
      <c r="RNL524" s="1358"/>
      <c r="RNM524" s="1358"/>
      <c r="RNN524" s="1358"/>
      <c r="RNO524" s="1358"/>
      <c r="RNP524" s="1358"/>
      <c r="RNQ524" s="1358"/>
      <c r="RNR524" s="1358"/>
      <c r="RNS524" s="1358"/>
      <c r="RNT524" s="1358"/>
      <c r="RNU524" s="1358"/>
      <c r="RNV524" s="1358"/>
      <c r="RNW524" s="1358"/>
      <c r="RNX524" s="1358"/>
      <c r="RNY524" s="1358"/>
      <c r="RNZ524" s="1358"/>
      <c r="ROA524" s="1358"/>
      <c r="ROB524" s="1358"/>
      <c r="ROC524" s="1358"/>
      <c r="ROD524" s="1358"/>
      <c r="ROE524" s="1358"/>
      <c r="ROF524" s="1358"/>
      <c r="ROG524" s="1358"/>
      <c r="ROH524" s="1358"/>
      <c r="ROI524" s="1358"/>
      <c r="ROJ524" s="1358"/>
      <c r="ROK524" s="1358"/>
      <c r="ROL524" s="1358"/>
      <c r="ROM524" s="1358"/>
      <c r="RON524" s="1358"/>
      <c r="ROO524" s="1358"/>
      <c r="ROP524" s="1358"/>
      <c r="ROQ524" s="1358"/>
      <c r="ROR524" s="1358"/>
      <c r="ROS524" s="1358"/>
      <c r="ROT524" s="1358"/>
      <c r="ROU524" s="1358"/>
      <c r="ROV524" s="1358"/>
      <c r="ROW524" s="1358"/>
      <c r="ROX524" s="1358"/>
      <c r="ROY524" s="1358"/>
      <c r="ROZ524" s="1358"/>
      <c r="RPA524" s="1358"/>
      <c r="RPB524" s="1358"/>
      <c r="RPC524" s="1358"/>
      <c r="RPD524" s="1358"/>
      <c r="RPE524" s="1358"/>
      <c r="RPF524" s="1358"/>
      <c r="RPG524" s="1358"/>
      <c r="RPH524" s="1358"/>
      <c r="RPI524" s="1358"/>
      <c r="RPJ524" s="1358"/>
      <c r="RPK524" s="1358"/>
      <c r="RPL524" s="1358"/>
      <c r="RPM524" s="1358"/>
      <c r="RPN524" s="1358"/>
      <c r="RPO524" s="1358"/>
      <c r="RPP524" s="1358"/>
      <c r="RPQ524" s="1358"/>
      <c r="RPR524" s="1358"/>
      <c r="RPS524" s="1358"/>
      <c r="RPT524" s="1358"/>
      <c r="RPU524" s="1358"/>
      <c r="RPV524" s="1358"/>
      <c r="RPW524" s="1358"/>
      <c r="RPX524" s="1358"/>
      <c r="RPY524" s="1358"/>
      <c r="RPZ524" s="1358"/>
      <c r="RQA524" s="1358"/>
      <c r="RQB524" s="1358"/>
      <c r="RQC524" s="1358"/>
      <c r="RQD524" s="1358"/>
      <c r="RQE524" s="1358"/>
      <c r="RQF524" s="1358"/>
      <c r="RQG524" s="1358"/>
      <c r="RQH524" s="1358"/>
      <c r="RQI524" s="1358"/>
      <c r="RQJ524" s="1358"/>
      <c r="RQK524" s="1358"/>
      <c r="RQL524" s="1358"/>
      <c r="RQM524" s="1358"/>
      <c r="RQN524" s="1358"/>
      <c r="RQO524" s="1358"/>
      <c r="RQP524" s="1358"/>
      <c r="RQQ524" s="1358"/>
      <c r="RQR524" s="1358"/>
      <c r="RQS524" s="1358"/>
      <c r="RQT524" s="1358"/>
      <c r="RQU524" s="1358"/>
      <c r="RQV524" s="1358"/>
      <c r="RQW524" s="1358"/>
      <c r="RQX524" s="1358"/>
      <c r="RQY524" s="1358"/>
      <c r="RQZ524" s="1358"/>
      <c r="RRA524" s="1358"/>
      <c r="RRB524" s="1358"/>
      <c r="RRC524" s="1358"/>
      <c r="RRD524" s="1358"/>
      <c r="RRE524" s="1358"/>
      <c r="RRF524" s="1358"/>
      <c r="RRG524" s="1358"/>
      <c r="RRH524" s="1358"/>
      <c r="RRI524" s="1358"/>
      <c r="RRJ524" s="1358"/>
      <c r="RRK524" s="1358"/>
      <c r="RRL524" s="1358"/>
      <c r="RRM524" s="1358"/>
      <c r="RRN524" s="1358"/>
      <c r="RRO524" s="1358"/>
      <c r="RRP524" s="1358"/>
      <c r="RRQ524" s="1358"/>
      <c r="RRR524" s="1358"/>
      <c r="RRS524" s="1358"/>
      <c r="RRT524" s="1358"/>
      <c r="RRU524" s="1358"/>
      <c r="RRV524" s="1358"/>
      <c r="RRW524" s="1358"/>
      <c r="RRX524" s="1358"/>
      <c r="RRY524" s="1358"/>
      <c r="RRZ524" s="1358"/>
      <c r="RSA524" s="1358"/>
      <c r="RSB524" s="1358"/>
      <c r="RSC524" s="1358"/>
      <c r="RSD524" s="1358"/>
      <c r="RSE524" s="1358"/>
      <c r="RSF524" s="1358"/>
      <c r="RSG524" s="1358"/>
      <c r="RSH524" s="1358"/>
      <c r="RSI524" s="1358"/>
      <c r="RSJ524" s="1358"/>
      <c r="RSK524" s="1358"/>
      <c r="RSL524" s="1358"/>
      <c r="RSM524" s="1358"/>
      <c r="RSN524" s="1358"/>
      <c r="RSO524" s="1358"/>
      <c r="RSP524" s="1358"/>
      <c r="RSQ524" s="1358"/>
      <c r="RSR524" s="1358"/>
      <c r="RSS524" s="1358"/>
      <c r="RST524" s="1358"/>
      <c r="RSU524" s="1358"/>
      <c r="RSV524" s="1358"/>
      <c r="RSW524" s="1358"/>
      <c r="RSX524" s="1358"/>
      <c r="RSY524" s="1358"/>
      <c r="RSZ524" s="1358"/>
      <c r="RTA524" s="1358"/>
      <c r="RTB524" s="1358"/>
      <c r="RTC524" s="1358"/>
      <c r="RTD524" s="1358"/>
      <c r="RTE524" s="1358"/>
      <c r="RTF524" s="1358"/>
      <c r="RTG524" s="1358"/>
      <c r="RTH524" s="1358"/>
      <c r="RTI524" s="1358"/>
      <c r="RTJ524" s="1358"/>
      <c r="RTK524" s="1358"/>
      <c r="RTL524" s="1358"/>
      <c r="RTM524" s="1358"/>
      <c r="RTN524" s="1358"/>
      <c r="RTO524" s="1358"/>
      <c r="RTP524" s="1358"/>
      <c r="RTQ524" s="1358"/>
      <c r="RTR524" s="1358"/>
      <c r="RTS524" s="1358"/>
      <c r="RTT524" s="1358"/>
      <c r="RTU524" s="1358"/>
      <c r="RTV524" s="1358"/>
      <c r="RTW524" s="1358"/>
      <c r="RTX524" s="1358"/>
      <c r="RTY524" s="1358"/>
      <c r="RTZ524" s="1358"/>
      <c r="RUA524" s="1358"/>
      <c r="RUB524" s="1358"/>
      <c r="RUC524" s="1358"/>
      <c r="RUD524" s="1358"/>
      <c r="RUE524" s="1358"/>
      <c r="RUF524" s="1358"/>
      <c r="RUG524" s="1358"/>
      <c r="RUH524" s="1358"/>
      <c r="RUI524" s="1358"/>
      <c r="RUJ524" s="1358"/>
      <c r="RUK524" s="1358"/>
      <c r="RUL524" s="1358"/>
      <c r="RUM524" s="1358"/>
      <c r="RUN524" s="1358"/>
      <c r="RUO524" s="1358"/>
      <c r="RUP524" s="1358"/>
      <c r="RUQ524" s="1358"/>
      <c r="RUR524" s="1358"/>
      <c r="RUS524" s="1358"/>
      <c r="RUT524" s="1358"/>
      <c r="RUU524" s="1358"/>
      <c r="RUV524" s="1358"/>
      <c r="RUW524" s="1358"/>
      <c r="RUX524" s="1358"/>
      <c r="RUY524" s="1358"/>
      <c r="RUZ524" s="1358"/>
      <c r="RVA524" s="1358"/>
      <c r="RVB524" s="1358"/>
      <c r="RVC524" s="1358"/>
      <c r="RVD524" s="1358"/>
      <c r="RVE524" s="1358"/>
      <c r="RVF524" s="1358"/>
      <c r="RVG524" s="1358"/>
      <c r="RVH524" s="1358"/>
      <c r="RVI524" s="1358"/>
      <c r="RVJ524" s="1358"/>
      <c r="RVK524" s="1358"/>
      <c r="RVL524" s="1358"/>
      <c r="RVM524" s="1358"/>
      <c r="RVN524" s="1358"/>
      <c r="RVO524" s="1358"/>
      <c r="RVP524" s="1358"/>
      <c r="RVQ524" s="1358"/>
      <c r="RVR524" s="1358"/>
      <c r="RVS524" s="1358"/>
      <c r="RVT524" s="1358"/>
      <c r="RVU524" s="1358"/>
      <c r="RVV524" s="1358"/>
      <c r="RVW524" s="1358"/>
      <c r="RVX524" s="1358"/>
      <c r="RVY524" s="1358"/>
      <c r="RVZ524" s="1358"/>
      <c r="RWA524" s="1358"/>
      <c r="RWB524" s="1358"/>
      <c r="RWC524" s="1358"/>
      <c r="RWD524" s="1358"/>
      <c r="RWE524" s="1358"/>
      <c r="RWF524" s="1358"/>
      <c r="RWG524" s="1358"/>
      <c r="RWH524" s="1358"/>
      <c r="RWI524" s="1358"/>
      <c r="RWJ524" s="1358"/>
      <c r="RWK524" s="1358"/>
      <c r="RWL524" s="1358"/>
      <c r="RWM524" s="1358"/>
      <c r="RWN524" s="1358"/>
      <c r="RWO524" s="1358"/>
      <c r="RWP524" s="1358"/>
      <c r="RWQ524" s="1358"/>
      <c r="RWR524" s="1358"/>
      <c r="RWS524" s="1358"/>
      <c r="RWT524" s="1358"/>
      <c r="RWU524" s="1358"/>
      <c r="RWV524" s="1358"/>
      <c r="RWW524" s="1358"/>
      <c r="RWX524" s="1358"/>
      <c r="RWY524" s="1358"/>
      <c r="RWZ524" s="1358"/>
      <c r="RXA524" s="1358"/>
      <c r="RXB524" s="1358"/>
      <c r="RXC524" s="1358"/>
      <c r="RXD524" s="1358"/>
      <c r="RXE524" s="1358"/>
      <c r="RXF524" s="1358"/>
      <c r="RXG524" s="1358"/>
      <c r="RXH524" s="1358"/>
      <c r="RXI524" s="1358"/>
      <c r="RXJ524" s="1358"/>
      <c r="RXK524" s="1358"/>
      <c r="RXL524" s="1358"/>
      <c r="RXM524" s="1358"/>
      <c r="RXN524" s="1358"/>
      <c r="RXO524" s="1358"/>
      <c r="RXP524" s="1358"/>
      <c r="RXQ524" s="1358"/>
      <c r="RXR524" s="1358"/>
      <c r="RXS524" s="1358"/>
      <c r="RXT524" s="1358"/>
      <c r="RXU524" s="1358"/>
      <c r="RXV524" s="1358"/>
      <c r="RXW524" s="1358"/>
      <c r="RXX524" s="1358"/>
      <c r="RXY524" s="1358"/>
      <c r="RXZ524" s="1358"/>
      <c r="RYA524" s="1358"/>
      <c r="RYB524" s="1358"/>
      <c r="RYC524" s="1358"/>
      <c r="RYD524" s="1358"/>
      <c r="RYE524" s="1358"/>
      <c r="RYF524" s="1358"/>
      <c r="RYG524" s="1358"/>
      <c r="RYH524" s="1358"/>
      <c r="RYI524" s="1358"/>
      <c r="RYJ524" s="1358"/>
      <c r="RYK524" s="1358"/>
      <c r="RYL524" s="1358"/>
      <c r="RYM524" s="1358"/>
      <c r="RYN524" s="1358"/>
      <c r="RYO524" s="1358"/>
      <c r="RYP524" s="1358"/>
      <c r="RYQ524" s="1358"/>
      <c r="RYR524" s="1358"/>
      <c r="RYS524" s="1358"/>
      <c r="RYT524" s="1358"/>
      <c r="RYU524" s="1358"/>
      <c r="RYV524" s="1358"/>
      <c r="RYW524" s="1358"/>
      <c r="RYX524" s="1358"/>
      <c r="RYY524" s="1358"/>
      <c r="RYZ524" s="1358"/>
      <c r="RZA524" s="1358"/>
      <c r="RZB524" s="1358"/>
      <c r="RZC524" s="1358"/>
      <c r="RZD524" s="1358"/>
      <c r="RZE524" s="1358"/>
      <c r="RZF524" s="1358"/>
      <c r="RZG524" s="1358"/>
      <c r="RZH524" s="1358"/>
      <c r="RZI524" s="1358"/>
      <c r="RZJ524" s="1358"/>
      <c r="RZK524" s="1358"/>
      <c r="RZL524" s="1358"/>
      <c r="RZM524" s="1358"/>
      <c r="RZN524" s="1358"/>
      <c r="RZO524" s="1358"/>
      <c r="RZP524" s="1358"/>
      <c r="RZQ524" s="1358"/>
      <c r="RZR524" s="1358"/>
      <c r="RZS524" s="1358"/>
      <c r="RZT524" s="1358"/>
      <c r="RZU524" s="1358"/>
      <c r="RZV524" s="1358"/>
      <c r="RZW524" s="1358"/>
      <c r="RZX524" s="1358"/>
      <c r="RZY524" s="1358"/>
      <c r="RZZ524" s="1358"/>
      <c r="SAA524" s="1358"/>
      <c r="SAB524" s="1358"/>
      <c r="SAC524" s="1358"/>
      <c r="SAD524" s="1358"/>
      <c r="SAE524" s="1358"/>
      <c r="SAF524" s="1358"/>
      <c r="SAG524" s="1358"/>
      <c r="SAH524" s="1358"/>
      <c r="SAI524" s="1358"/>
      <c r="SAJ524" s="1358"/>
      <c r="SAK524" s="1358"/>
      <c r="SAL524" s="1358"/>
      <c r="SAM524" s="1358"/>
      <c r="SAN524" s="1358"/>
      <c r="SAO524" s="1358"/>
      <c r="SAP524" s="1358"/>
      <c r="SAQ524" s="1358"/>
      <c r="SAR524" s="1358"/>
      <c r="SAS524" s="1358"/>
      <c r="SAT524" s="1358"/>
      <c r="SAU524" s="1358"/>
      <c r="SAV524" s="1358"/>
      <c r="SAW524" s="1358"/>
      <c r="SAX524" s="1358"/>
      <c r="SAY524" s="1358"/>
      <c r="SAZ524" s="1358"/>
      <c r="SBA524" s="1358"/>
      <c r="SBB524" s="1358"/>
      <c r="SBC524" s="1358"/>
      <c r="SBD524" s="1358"/>
      <c r="SBE524" s="1358"/>
      <c r="SBF524" s="1358"/>
      <c r="SBG524" s="1358"/>
      <c r="SBH524" s="1358"/>
      <c r="SBI524" s="1358"/>
      <c r="SBJ524" s="1358"/>
      <c r="SBK524" s="1358"/>
      <c r="SBL524" s="1358"/>
      <c r="SBM524" s="1358"/>
      <c r="SBN524" s="1358"/>
      <c r="SBO524" s="1358"/>
      <c r="SBP524" s="1358"/>
      <c r="SBQ524" s="1358"/>
      <c r="SBR524" s="1358"/>
      <c r="SBS524" s="1358"/>
      <c r="SBT524" s="1358"/>
      <c r="SBU524" s="1358"/>
      <c r="SBV524" s="1358"/>
      <c r="SBW524" s="1358"/>
      <c r="SBX524" s="1358"/>
      <c r="SBY524" s="1358"/>
      <c r="SBZ524" s="1358"/>
      <c r="SCA524" s="1358"/>
      <c r="SCB524" s="1358"/>
      <c r="SCC524" s="1358"/>
      <c r="SCD524" s="1358"/>
      <c r="SCE524" s="1358"/>
      <c r="SCF524" s="1358"/>
      <c r="SCG524" s="1358"/>
      <c r="SCH524" s="1358"/>
      <c r="SCI524" s="1358"/>
      <c r="SCJ524" s="1358"/>
      <c r="SCK524" s="1358"/>
      <c r="SCL524" s="1358"/>
      <c r="SCM524" s="1358"/>
      <c r="SCN524" s="1358"/>
      <c r="SCO524" s="1358"/>
      <c r="SCP524" s="1358"/>
      <c r="SCQ524" s="1358"/>
      <c r="SCR524" s="1358"/>
      <c r="SCS524" s="1358"/>
      <c r="SCT524" s="1358"/>
      <c r="SCU524" s="1358"/>
      <c r="SCV524" s="1358"/>
      <c r="SCW524" s="1358"/>
      <c r="SCX524" s="1358"/>
      <c r="SCY524" s="1358"/>
      <c r="SCZ524" s="1358"/>
      <c r="SDA524" s="1358"/>
      <c r="SDB524" s="1358"/>
      <c r="SDC524" s="1358"/>
      <c r="SDD524" s="1358"/>
      <c r="SDE524" s="1358"/>
      <c r="SDF524" s="1358"/>
      <c r="SDG524" s="1358"/>
      <c r="SDH524" s="1358"/>
      <c r="SDI524" s="1358"/>
      <c r="SDJ524" s="1358"/>
      <c r="SDK524" s="1358"/>
      <c r="SDL524" s="1358"/>
      <c r="SDM524" s="1358"/>
      <c r="SDN524" s="1358"/>
      <c r="SDO524" s="1358"/>
      <c r="SDP524" s="1358"/>
      <c r="SDQ524" s="1358"/>
      <c r="SDR524" s="1358"/>
      <c r="SDS524" s="1358"/>
      <c r="SDT524" s="1358"/>
      <c r="SDU524" s="1358"/>
      <c r="SDV524" s="1358"/>
      <c r="SDW524" s="1358"/>
      <c r="SDX524" s="1358"/>
      <c r="SDY524" s="1358"/>
      <c r="SDZ524" s="1358"/>
      <c r="SEA524" s="1358"/>
      <c r="SEB524" s="1358"/>
      <c r="SEC524" s="1358"/>
      <c r="SED524" s="1358"/>
      <c r="SEE524" s="1358"/>
      <c r="SEF524" s="1358"/>
      <c r="SEG524" s="1358"/>
      <c r="SEH524" s="1358"/>
      <c r="SEI524" s="1358"/>
      <c r="SEJ524" s="1358"/>
      <c r="SEK524" s="1358"/>
      <c r="SEL524" s="1358"/>
      <c r="SEM524" s="1358"/>
      <c r="SEN524" s="1358"/>
      <c r="SEO524" s="1358"/>
      <c r="SEP524" s="1358"/>
      <c r="SEQ524" s="1358"/>
      <c r="SER524" s="1358"/>
      <c r="SES524" s="1358"/>
      <c r="SET524" s="1358"/>
      <c r="SEU524" s="1358"/>
      <c r="SEV524" s="1358"/>
      <c r="SEW524" s="1358"/>
      <c r="SEX524" s="1358"/>
      <c r="SEY524" s="1358"/>
      <c r="SEZ524" s="1358"/>
      <c r="SFA524" s="1358"/>
      <c r="SFB524" s="1358"/>
      <c r="SFC524" s="1358"/>
      <c r="SFD524" s="1358"/>
      <c r="SFE524" s="1358"/>
      <c r="SFF524" s="1358"/>
      <c r="SFG524" s="1358"/>
      <c r="SFH524" s="1358"/>
      <c r="SFI524" s="1358"/>
      <c r="SFJ524" s="1358"/>
      <c r="SFK524" s="1358"/>
      <c r="SFL524" s="1358"/>
      <c r="SFM524" s="1358"/>
      <c r="SFN524" s="1358"/>
      <c r="SFO524" s="1358"/>
      <c r="SFP524" s="1358"/>
      <c r="SFQ524" s="1358"/>
      <c r="SFR524" s="1358"/>
      <c r="SFS524" s="1358"/>
      <c r="SFT524" s="1358"/>
      <c r="SFU524" s="1358"/>
      <c r="SFV524" s="1358"/>
      <c r="SFW524" s="1358"/>
      <c r="SFX524" s="1358"/>
      <c r="SFY524" s="1358"/>
      <c r="SFZ524" s="1358"/>
      <c r="SGA524" s="1358"/>
      <c r="SGB524" s="1358"/>
      <c r="SGC524" s="1358"/>
      <c r="SGD524" s="1358"/>
      <c r="SGE524" s="1358"/>
      <c r="SGF524" s="1358"/>
      <c r="SGG524" s="1358"/>
      <c r="SGH524" s="1358"/>
      <c r="SGI524" s="1358"/>
      <c r="SGJ524" s="1358"/>
      <c r="SGK524" s="1358"/>
      <c r="SGL524" s="1358"/>
      <c r="SGM524" s="1358"/>
      <c r="SGN524" s="1358"/>
      <c r="SGO524" s="1358"/>
      <c r="SGP524" s="1358"/>
      <c r="SGQ524" s="1358"/>
      <c r="SGR524" s="1358"/>
      <c r="SGS524" s="1358"/>
      <c r="SGT524" s="1358"/>
      <c r="SGU524" s="1358"/>
      <c r="SGV524" s="1358"/>
      <c r="SGW524" s="1358"/>
      <c r="SGX524" s="1358"/>
      <c r="SGY524" s="1358"/>
      <c r="SGZ524" s="1358"/>
      <c r="SHA524" s="1358"/>
      <c r="SHB524" s="1358"/>
      <c r="SHC524" s="1358"/>
      <c r="SHD524" s="1358"/>
      <c r="SHE524" s="1358"/>
      <c r="SHF524" s="1358"/>
      <c r="SHG524" s="1358"/>
      <c r="SHH524" s="1358"/>
      <c r="SHI524" s="1358"/>
      <c r="SHJ524" s="1358"/>
      <c r="SHK524" s="1358"/>
      <c r="SHL524" s="1358"/>
      <c r="SHM524" s="1358"/>
      <c r="SHN524" s="1358"/>
      <c r="SHO524" s="1358"/>
      <c r="SHP524" s="1358"/>
      <c r="SHQ524" s="1358"/>
      <c r="SHR524" s="1358"/>
      <c r="SHS524" s="1358"/>
      <c r="SHT524" s="1358"/>
      <c r="SHU524" s="1358"/>
      <c r="SHV524" s="1358"/>
      <c r="SHW524" s="1358"/>
      <c r="SHX524" s="1358"/>
      <c r="SHY524" s="1358"/>
      <c r="SHZ524" s="1358"/>
      <c r="SIA524" s="1358"/>
      <c r="SIB524" s="1358"/>
      <c r="SIC524" s="1358"/>
      <c r="SID524" s="1358"/>
      <c r="SIE524" s="1358"/>
      <c r="SIF524" s="1358"/>
      <c r="SIG524" s="1358"/>
      <c r="SIH524" s="1358"/>
      <c r="SII524" s="1358"/>
      <c r="SIJ524" s="1358"/>
      <c r="SIK524" s="1358"/>
      <c r="SIL524" s="1358"/>
      <c r="SIM524" s="1358"/>
      <c r="SIN524" s="1358"/>
      <c r="SIO524" s="1358"/>
      <c r="SIP524" s="1358"/>
      <c r="SIQ524" s="1358"/>
      <c r="SIR524" s="1358"/>
      <c r="SIS524" s="1358"/>
      <c r="SIT524" s="1358"/>
      <c r="SIU524" s="1358"/>
      <c r="SIV524" s="1358"/>
      <c r="SIW524" s="1358"/>
      <c r="SIX524" s="1358"/>
      <c r="SIY524" s="1358"/>
      <c r="SIZ524" s="1358"/>
      <c r="SJA524" s="1358"/>
      <c r="SJB524" s="1358"/>
      <c r="SJC524" s="1358"/>
      <c r="SJD524" s="1358"/>
      <c r="SJE524" s="1358"/>
      <c r="SJF524" s="1358"/>
      <c r="SJG524" s="1358"/>
      <c r="SJH524" s="1358"/>
      <c r="SJI524" s="1358"/>
      <c r="SJJ524" s="1358"/>
      <c r="SJK524" s="1358"/>
      <c r="SJL524" s="1358"/>
      <c r="SJM524" s="1358"/>
      <c r="SJN524" s="1358"/>
      <c r="SJO524" s="1358"/>
      <c r="SJP524" s="1358"/>
      <c r="SJQ524" s="1358"/>
      <c r="SJR524" s="1358"/>
      <c r="SJS524" s="1358"/>
      <c r="SJT524" s="1358"/>
      <c r="SJU524" s="1358"/>
      <c r="SJV524" s="1358"/>
      <c r="SJW524" s="1358"/>
      <c r="SJX524" s="1358"/>
      <c r="SJY524" s="1358"/>
      <c r="SJZ524" s="1358"/>
      <c r="SKA524" s="1358"/>
      <c r="SKB524" s="1358"/>
      <c r="SKC524" s="1358"/>
      <c r="SKD524" s="1358"/>
      <c r="SKE524" s="1358"/>
      <c r="SKF524" s="1358"/>
      <c r="SKG524" s="1358"/>
      <c r="SKH524" s="1358"/>
      <c r="SKI524" s="1358"/>
      <c r="SKJ524" s="1358"/>
      <c r="SKK524" s="1358"/>
      <c r="SKL524" s="1358"/>
      <c r="SKM524" s="1358"/>
      <c r="SKN524" s="1358"/>
      <c r="SKO524" s="1358"/>
      <c r="SKP524" s="1358"/>
      <c r="SKQ524" s="1358"/>
      <c r="SKR524" s="1358"/>
      <c r="SKS524" s="1358"/>
      <c r="SKT524" s="1358"/>
      <c r="SKU524" s="1358"/>
      <c r="SKV524" s="1358"/>
      <c r="SKW524" s="1358"/>
      <c r="SKX524" s="1358"/>
      <c r="SKY524" s="1358"/>
      <c r="SKZ524" s="1358"/>
      <c r="SLA524" s="1358"/>
      <c r="SLB524" s="1358"/>
      <c r="SLC524" s="1358"/>
      <c r="SLD524" s="1358"/>
      <c r="SLE524" s="1358"/>
      <c r="SLF524" s="1358"/>
      <c r="SLG524" s="1358"/>
      <c r="SLH524" s="1358"/>
      <c r="SLI524" s="1358"/>
      <c r="SLJ524" s="1358"/>
      <c r="SLK524" s="1358"/>
      <c r="SLL524" s="1358"/>
      <c r="SLM524" s="1358"/>
      <c r="SLN524" s="1358"/>
      <c r="SLO524" s="1358"/>
      <c r="SLP524" s="1358"/>
      <c r="SLQ524" s="1358"/>
      <c r="SLR524" s="1358"/>
      <c r="SLS524" s="1358"/>
      <c r="SLT524" s="1358"/>
      <c r="SLU524" s="1358"/>
      <c r="SLV524" s="1358"/>
      <c r="SLW524" s="1358"/>
      <c r="SLX524" s="1358"/>
      <c r="SLY524" s="1358"/>
      <c r="SLZ524" s="1358"/>
      <c r="SMA524" s="1358"/>
      <c r="SMB524" s="1358"/>
      <c r="SMC524" s="1358"/>
      <c r="SMD524" s="1358"/>
      <c r="SME524" s="1358"/>
      <c r="SMF524" s="1358"/>
      <c r="SMG524" s="1358"/>
      <c r="SMH524" s="1358"/>
      <c r="SMI524" s="1358"/>
      <c r="SMJ524" s="1358"/>
      <c r="SMK524" s="1358"/>
      <c r="SML524" s="1358"/>
      <c r="SMM524" s="1358"/>
      <c r="SMN524" s="1358"/>
      <c r="SMO524" s="1358"/>
      <c r="SMP524" s="1358"/>
      <c r="SMQ524" s="1358"/>
      <c r="SMR524" s="1358"/>
      <c r="SMS524" s="1358"/>
      <c r="SMT524" s="1358"/>
      <c r="SMU524" s="1358"/>
      <c r="SMV524" s="1358"/>
      <c r="SMW524" s="1358"/>
      <c r="SMX524" s="1358"/>
      <c r="SMY524" s="1358"/>
      <c r="SMZ524" s="1358"/>
      <c r="SNA524" s="1358"/>
      <c r="SNB524" s="1358"/>
      <c r="SNC524" s="1358"/>
      <c r="SND524" s="1358"/>
      <c r="SNE524" s="1358"/>
      <c r="SNF524" s="1358"/>
      <c r="SNG524" s="1358"/>
      <c r="SNH524" s="1358"/>
      <c r="SNI524" s="1358"/>
      <c r="SNJ524" s="1358"/>
      <c r="SNK524" s="1358"/>
      <c r="SNL524" s="1358"/>
      <c r="SNM524" s="1358"/>
      <c r="SNN524" s="1358"/>
      <c r="SNO524" s="1358"/>
      <c r="SNP524" s="1358"/>
      <c r="SNQ524" s="1358"/>
      <c r="SNR524" s="1358"/>
      <c r="SNS524" s="1358"/>
      <c r="SNT524" s="1358"/>
      <c r="SNU524" s="1358"/>
      <c r="SNV524" s="1358"/>
      <c r="SNW524" s="1358"/>
      <c r="SNX524" s="1358"/>
      <c r="SNY524" s="1358"/>
      <c r="SNZ524" s="1358"/>
      <c r="SOA524" s="1358"/>
      <c r="SOB524" s="1358"/>
      <c r="SOC524" s="1358"/>
      <c r="SOD524" s="1358"/>
      <c r="SOE524" s="1358"/>
      <c r="SOF524" s="1358"/>
      <c r="SOG524" s="1358"/>
      <c r="SOH524" s="1358"/>
      <c r="SOI524" s="1358"/>
      <c r="SOJ524" s="1358"/>
      <c r="SOK524" s="1358"/>
      <c r="SOL524" s="1358"/>
      <c r="SOM524" s="1358"/>
      <c r="SON524" s="1358"/>
      <c r="SOO524" s="1358"/>
      <c r="SOP524" s="1358"/>
      <c r="SOQ524" s="1358"/>
      <c r="SOR524" s="1358"/>
      <c r="SOS524" s="1358"/>
      <c r="SOT524" s="1358"/>
      <c r="SOU524" s="1358"/>
      <c r="SOV524" s="1358"/>
      <c r="SOW524" s="1358"/>
      <c r="SOX524" s="1358"/>
      <c r="SOY524" s="1358"/>
      <c r="SOZ524" s="1358"/>
      <c r="SPA524" s="1358"/>
      <c r="SPB524" s="1358"/>
      <c r="SPC524" s="1358"/>
      <c r="SPD524" s="1358"/>
      <c r="SPE524" s="1358"/>
      <c r="SPF524" s="1358"/>
      <c r="SPG524" s="1358"/>
      <c r="SPH524" s="1358"/>
      <c r="SPI524" s="1358"/>
      <c r="SPJ524" s="1358"/>
      <c r="SPK524" s="1358"/>
      <c r="SPL524" s="1358"/>
      <c r="SPM524" s="1358"/>
      <c r="SPN524" s="1358"/>
      <c r="SPO524" s="1358"/>
      <c r="SPP524" s="1358"/>
      <c r="SPQ524" s="1358"/>
      <c r="SPR524" s="1358"/>
      <c r="SPS524" s="1358"/>
      <c r="SPT524" s="1358"/>
      <c r="SPU524" s="1358"/>
      <c r="SPV524" s="1358"/>
      <c r="SPW524" s="1358"/>
      <c r="SPX524" s="1358"/>
      <c r="SPY524" s="1358"/>
      <c r="SPZ524" s="1358"/>
      <c r="SQA524" s="1358"/>
      <c r="SQB524" s="1358"/>
      <c r="SQC524" s="1358"/>
      <c r="SQD524" s="1358"/>
      <c r="SQE524" s="1358"/>
      <c r="SQF524" s="1358"/>
      <c r="SQG524" s="1358"/>
      <c r="SQH524" s="1358"/>
      <c r="SQI524" s="1358"/>
      <c r="SQJ524" s="1358"/>
      <c r="SQK524" s="1358"/>
      <c r="SQL524" s="1358"/>
      <c r="SQM524" s="1358"/>
      <c r="SQN524" s="1358"/>
      <c r="SQO524" s="1358"/>
      <c r="SQP524" s="1358"/>
      <c r="SQQ524" s="1358"/>
      <c r="SQR524" s="1358"/>
      <c r="SQS524" s="1358"/>
      <c r="SQT524" s="1358"/>
      <c r="SQU524" s="1358"/>
      <c r="SQV524" s="1358"/>
      <c r="SQW524" s="1358"/>
      <c r="SQX524" s="1358"/>
      <c r="SQY524" s="1358"/>
      <c r="SQZ524" s="1358"/>
      <c r="SRA524" s="1358"/>
      <c r="SRB524" s="1358"/>
      <c r="SRC524" s="1358"/>
      <c r="SRD524" s="1358"/>
      <c r="SRE524" s="1358"/>
      <c r="SRF524" s="1358"/>
      <c r="SRG524" s="1358"/>
      <c r="SRH524" s="1358"/>
      <c r="SRI524" s="1358"/>
      <c r="SRJ524" s="1358"/>
      <c r="SRK524" s="1358"/>
      <c r="SRL524" s="1358"/>
      <c r="SRM524" s="1358"/>
      <c r="SRN524" s="1358"/>
      <c r="SRO524" s="1358"/>
      <c r="SRP524" s="1358"/>
      <c r="SRQ524" s="1358"/>
      <c r="SRR524" s="1358"/>
      <c r="SRS524" s="1358"/>
      <c r="SRT524" s="1358"/>
      <c r="SRU524" s="1358"/>
      <c r="SRV524" s="1358"/>
      <c r="SRW524" s="1358"/>
      <c r="SRX524" s="1358"/>
      <c r="SRY524" s="1358"/>
      <c r="SRZ524" s="1358"/>
      <c r="SSA524" s="1358"/>
      <c r="SSB524" s="1358"/>
      <c r="SSC524" s="1358"/>
      <c r="SSD524" s="1358"/>
      <c r="SSE524" s="1358"/>
      <c r="SSF524" s="1358"/>
      <c r="SSG524" s="1358"/>
      <c r="SSH524" s="1358"/>
      <c r="SSI524" s="1358"/>
      <c r="SSJ524" s="1358"/>
      <c r="SSK524" s="1358"/>
      <c r="SSL524" s="1358"/>
      <c r="SSM524" s="1358"/>
      <c r="SSN524" s="1358"/>
      <c r="SSO524" s="1358"/>
      <c r="SSP524" s="1358"/>
      <c r="SSQ524" s="1358"/>
      <c r="SSR524" s="1358"/>
      <c r="SSS524" s="1358"/>
      <c r="SST524" s="1358"/>
      <c r="SSU524" s="1358"/>
      <c r="SSV524" s="1358"/>
      <c r="SSW524" s="1358"/>
      <c r="SSX524" s="1358"/>
      <c r="SSY524" s="1358"/>
      <c r="SSZ524" s="1358"/>
      <c r="STA524" s="1358"/>
      <c r="STB524" s="1358"/>
      <c r="STC524" s="1358"/>
      <c r="STD524" s="1358"/>
      <c r="STE524" s="1358"/>
      <c r="STF524" s="1358"/>
      <c r="STG524" s="1358"/>
      <c r="STH524" s="1358"/>
      <c r="STI524" s="1358"/>
      <c r="STJ524" s="1358"/>
      <c r="STK524" s="1358"/>
      <c r="STL524" s="1358"/>
      <c r="STM524" s="1358"/>
      <c r="STN524" s="1358"/>
      <c r="STO524" s="1358"/>
      <c r="STP524" s="1358"/>
      <c r="STQ524" s="1358"/>
      <c r="STR524" s="1358"/>
      <c r="STS524" s="1358"/>
      <c r="STT524" s="1358"/>
      <c r="STU524" s="1358"/>
      <c r="STV524" s="1358"/>
      <c r="STW524" s="1358"/>
      <c r="STX524" s="1358"/>
      <c r="STY524" s="1358"/>
      <c r="STZ524" s="1358"/>
      <c r="SUA524" s="1358"/>
      <c r="SUB524" s="1358"/>
      <c r="SUC524" s="1358"/>
      <c r="SUD524" s="1358"/>
      <c r="SUE524" s="1358"/>
      <c r="SUF524" s="1358"/>
      <c r="SUG524" s="1358"/>
      <c r="SUH524" s="1358"/>
      <c r="SUI524" s="1358"/>
      <c r="SUJ524" s="1358"/>
      <c r="SUK524" s="1358"/>
      <c r="SUL524" s="1358"/>
      <c r="SUM524" s="1358"/>
      <c r="SUN524" s="1358"/>
      <c r="SUO524" s="1358"/>
      <c r="SUP524" s="1358"/>
      <c r="SUQ524" s="1358"/>
      <c r="SUR524" s="1358"/>
      <c r="SUS524" s="1358"/>
      <c r="SUT524" s="1358"/>
      <c r="SUU524" s="1358"/>
      <c r="SUV524" s="1358"/>
      <c r="SUW524" s="1358"/>
      <c r="SUX524" s="1358"/>
      <c r="SUY524" s="1358"/>
      <c r="SUZ524" s="1358"/>
      <c r="SVA524" s="1358"/>
      <c r="SVB524" s="1358"/>
      <c r="SVC524" s="1358"/>
      <c r="SVD524" s="1358"/>
      <c r="SVE524" s="1358"/>
      <c r="SVF524" s="1358"/>
      <c r="SVG524" s="1358"/>
      <c r="SVH524" s="1358"/>
      <c r="SVI524" s="1358"/>
      <c r="SVJ524" s="1358"/>
      <c r="SVK524" s="1358"/>
      <c r="SVL524" s="1358"/>
      <c r="SVM524" s="1358"/>
      <c r="SVN524" s="1358"/>
      <c r="SVO524" s="1358"/>
      <c r="SVP524" s="1358"/>
      <c r="SVQ524" s="1358"/>
      <c r="SVR524" s="1358"/>
      <c r="SVS524" s="1358"/>
      <c r="SVT524" s="1358"/>
      <c r="SVU524" s="1358"/>
      <c r="SVV524" s="1358"/>
      <c r="SVW524" s="1358"/>
      <c r="SVX524" s="1358"/>
      <c r="SVY524" s="1358"/>
      <c r="SVZ524" s="1358"/>
      <c r="SWA524" s="1358"/>
      <c r="SWB524" s="1358"/>
      <c r="SWC524" s="1358"/>
      <c r="SWD524" s="1358"/>
      <c r="SWE524" s="1358"/>
      <c r="SWF524" s="1358"/>
      <c r="SWG524" s="1358"/>
      <c r="SWH524" s="1358"/>
      <c r="SWI524" s="1358"/>
      <c r="SWJ524" s="1358"/>
      <c r="SWK524" s="1358"/>
      <c r="SWL524" s="1358"/>
      <c r="SWM524" s="1358"/>
      <c r="SWN524" s="1358"/>
      <c r="SWO524" s="1358"/>
      <c r="SWP524" s="1358"/>
      <c r="SWQ524" s="1358"/>
      <c r="SWR524" s="1358"/>
      <c r="SWS524" s="1358"/>
      <c r="SWT524" s="1358"/>
      <c r="SWU524" s="1358"/>
      <c r="SWV524" s="1358"/>
      <c r="SWW524" s="1358"/>
      <c r="SWX524" s="1358"/>
      <c r="SWY524" s="1358"/>
      <c r="SWZ524" s="1358"/>
      <c r="SXA524" s="1358"/>
      <c r="SXB524" s="1358"/>
      <c r="SXC524" s="1358"/>
      <c r="SXD524" s="1358"/>
      <c r="SXE524" s="1358"/>
      <c r="SXF524" s="1358"/>
      <c r="SXG524" s="1358"/>
      <c r="SXH524" s="1358"/>
      <c r="SXI524" s="1358"/>
      <c r="SXJ524" s="1358"/>
      <c r="SXK524" s="1358"/>
      <c r="SXL524" s="1358"/>
      <c r="SXM524" s="1358"/>
      <c r="SXN524" s="1358"/>
      <c r="SXO524" s="1358"/>
      <c r="SXP524" s="1358"/>
      <c r="SXQ524" s="1358"/>
      <c r="SXR524" s="1358"/>
      <c r="SXS524" s="1358"/>
      <c r="SXT524" s="1358"/>
      <c r="SXU524" s="1358"/>
      <c r="SXV524" s="1358"/>
      <c r="SXW524" s="1358"/>
      <c r="SXX524" s="1358"/>
      <c r="SXY524" s="1358"/>
      <c r="SXZ524" s="1358"/>
      <c r="SYA524" s="1358"/>
      <c r="SYB524" s="1358"/>
      <c r="SYC524" s="1358"/>
      <c r="SYD524" s="1358"/>
      <c r="SYE524" s="1358"/>
      <c r="SYF524" s="1358"/>
      <c r="SYG524" s="1358"/>
      <c r="SYH524" s="1358"/>
      <c r="SYI524" s="1358"/>
      <c r="SYJ524" s="1358"/>
      <c r="SYK524" s="1358"/>
      <c r="SYL524" s="1358"/>
      <c r="SYM524" s="1358"/>
      <c r="SYN524" s="1358"/>
      <c r="SYO524" s="1358"/>
      <c r="SYP524" s="1358"/>
      <c r="SYQ524" s="1358"/>
      <c r="SYR524" s="1358"/>
      <c r="SYS524" s="1358"/>
      <c r="SYT524" s="1358"/>
      <c r="SYU524" s="1358"/>
      <c r="SYV524" s="1358"/>
      <c r="SYW524" s="1358"/>
      <c r="SYX524" s="1358"/>
      <c r="SYY524" s="1358"/>
      <c r="SYZ524" s="1358"/>
      <c r="SZA524" s="1358"/>
      <c r="SZB524" s="1358"/>
      <c r="SZC524" s="1358"/>
      <c r="SZD524" s="1358"/>
      <c r="SZE524" s="1358"/>
      <c r="SZF524" s="1358"/>
      <c r="SZG524" s="1358"/>
      <c r="SZH524" s="1358"/>
      <c r="SZI524" s="1358"/>
      <c r="SZJ524" s="1358"/>
      <c r="SZK524" s="1358"/>
      <c r="SZL524" s="1358"/>
      <c r="SZM524" s="1358"/>
      <c r="SZN524" s="1358"/>
      <c r="SZO524" s="1358"/>
      <c r="SZP524" s="1358"/>
      <c r="SZQ524" s="1358"/>
      <c r="SZR524" s="1358"/>
      <c r="SZS524" s="1358"/>
      <c r="SZT524" s="1358"/>
      <c r="SZU524" s="1358"/>
      <c r="SZV524" s="1358"/>
      <c r="SZW524" s="1358"/>
      <c r="SZX524" s="1358"/>
      <c r="SZY524" s="1358"/>
      <c r="SZZ524" s="1358"/>
      <c r="TAA524" s="1358"/>
      <c r="TAB524" s="1358"/>
      <c r="TAC524" s="1358"/>
      <c r="TAD524" s="1358"/>
      <c r="TAE524" s="1358"/>
      <c r="TAF524" s="1358"/>
      <c r="TAG524" s="1358"/>
      <c r="TAH524" s="1358"/>
      <c r="TAI524" s="1358"/>
      <c r="TAJ524" s="1358"/>
      <c r="TAK524" s="1358"/>
      <c r="TAL524" s="1358"/>
      <c r="TAM524" s="1358"/>
      <c r="TAN524" s="1358"/>
      <c r="TAO524" s="1358"/>
      <c r="TAP524" s="1358"/>
      <c r="TAQ524" s="1358"/>
      <c r="TAR524" s="1358"/>
      <c r="TAS524" s="1358"/>
      <c r="TAT524" s="1358"/>
      <c r="TAU524" s="1358"/>
      <c r="TAV524" s="1358"/>
      <c r="TAW524" s="1358"/>
      <c r="TAX524" s="1358"/>
      <c r="TAY524" s="1358"/>
      <c r="TAZ524" s="1358"/>
      <c r="TBA524" s="1358"/>
      <c r="TBB524" s="1358"/>
      <c r="TBC524" s="1358"/>
      <c r="TBD524" s="1358"/>
      <c r="TBE524" s="1358"/>
      <c r="TBF524" s="1358"/>
      <c r="TBG524" s="1358"/>
      <c r="TBH524" s="1358"/>
      <c r="TBI524" s="1358"/>
      <c r="TBJ524" s="1358"/>
      <c r="TBK524" s="1358"/>
      <c r="TBL524" s="1358"/>
      <c r="TBM524" s="1358"/>
      <c r="TBN524" s="1358"/>
      <c r="TBO524" s="1358"/>
      <c r="TBP524" s="1358"/>
      <c r="TBQ524" s="1358"/>
      <c r="TBR524" s="1358"/>
      <c r="TBS524" s="1358"/>
      <c r="TBT524" s="1358"/>
      <c r="TBU524" s="1358"/>
      <c r="TBV524" s="1358"/>
      <c r="TBW524" s="1358"/>
      <c r="TBX524" s="1358"/>
      <c r="TBY524" s="1358"/>
      <c r="TBZ524" s="1358"/>
      <c r="TCA524" s="1358"/>
      <c r="TCB524" s="1358"/>
      <c r="TCC524" s="1358"/>
      <c r="TCD524" s="1358"/>
      <c r="TCE524" s="1358"/>
      <c r="TCF524" s="1358"/>
      <c r="TCG524" s="1358"/>
      <c r="TCH524" s="1358"/>
      <c r="TCI524" s="1358"/>
      <c r="TCJ524" s="1358"/>
      <c r="TCK524" s="1358"/>
      <c r="TCL524" s="1358"/>
      <c r="TCM524" s="1358"/>
      <c r="TCN524" s="1358"/>
      <c r="TCO524" s="1358"/>
      <c r="TCP524" s="1358"/>
      <c r="TCQ524" s="1358"/>
      <c r="TCR524" s="1358"/>
      <c r="TCS524" s="1358"/>
      <c r="TCT524" s="1358"/>
      <c r="TCU524" s="1358"/>
      <c r="TCV524" s="1358"/>
      <c r="TCW524" s="1358"/>
      <c r="TCX524" s="1358"/>
      <c r="TCY524" s="1358"/>
      <c r="TCZ524" s="1358"/>
      <c r="TDA524" s="1358"/>
      <c r="TDB524" s="1358"/>
      <c r="TDC524" s="1358"/>
      <c r="TDD524" s="1358"/>
      <c r="TDE524" s="1358"/>
      <c r="TDF524" s="1358"/>
      <c r="TDG524" s="1358"/>
      <c r="TDH524" s="1358"/>
      <c r="TDI524" s="1358"/>
      <c r="TDJ524" s="1358"/>
      <c r="TDK524" s="1358"/>
      <c r="TDL524" s="1358"/>
      <c r="TDM524" s="1358"/>
      <c r="TDN524" s="1358"/>
      <c r="TDO524" s="1358"/>
      <c r="TDP524" s="1358"/>
      <c r="TDQ524" s="1358"/>
      <c r="TDR524" s="1358"/>
      <c r="TDS524" s="1358"/>
      <c r="TDT524" s="1358"/>
      <c r="TDU524" s="1358"/>
      <c r="TDV524" s="1358"/>
      <c r="TDW524" s="1358"/>
      <c r="TDX524" s="1358"/>
      <c r="TDY524" s="1358"/>
      <c r="TDZ524" s="1358"/>
      <c r="TEA524" s="1358"/>
      <c r="TEB524" s="1358"/>
      <c r="TEC524" s="1358"/>
      <c r="TED524" s="1358"/>
      <c r="TEE524" s="1358"/>
      <c r="TEF524" s="1358"/>
      <c r="TEG524" s="1358"/>
      <c r="TEH524" s="1358"/>
      <c r="TEI524" s="1358"/>
      <c r="TEJ524" s="1358"/>
      <c r="TEK524" s="1358"/>
      <c r="TEL524" s="1358"/>
      <c r="TEM524" s="1358"/>
      <c r="TEN524" s="1358"/>
      <c r="TEO524" s="1358"/>
      <c r="TEP524" s="1358"/>
      <c r="TEQ524" s="1358"/>
      <c r="TER524" s="1358"/>
      <c r="TES524" s="1358"/>
      <c r="TET524" s="1358"/>
      <c r="TEU524" s="1358"/>
      <c r="TEV524" s="1358"/>
      <c r="TEW524" s="1358"/>
      <c r="TEX524" s="1358"/>
      <c r="TEY524" s="1358"/>
      <c r="TEZ524" s="1358"/>
      <c r="TFA524" s="1358"/>
      <c r="TFB524" s="1358"/>
      <c r="TFC524" s="1358"/>
      <c r="TFD524" s="1358"/>
      <c r="TFE524" s="1358"/>
      <c r="TFF524" s="1358"/>
      <c r="TFG524" s="1358"/>
      <c r="TFH524" s="1358"/>
      <c r="TFI524" s="1358"/>
      <c r="TFJ524" s="1358"/>
      <c r="TFK524" s="1358"/>
      <c r="TFL524" s="1358"/>
      <c r="TFM524" s="1358"/>
      <c r="TFN524" s="1358"/>
      <c r="TFO524" s="1358"/>
      <c r="TFP524" s="1358"/>
      <c r="TFQ524" s="1358"/>
      <c r="TFR524" s="1358"/>
      <c r="TFS524" s="1358"/>
      <c r="TFT524" s="1358"/>
      <c r="TFU524" s="1358"/>
      <c r="TFV524" s="1358"/>
      <c r="TFW524" s="1358"/>
      <c r="TFX524" s="1358"/>
      <c r="TFY524" s="1358"/>
      <c r="TFZ524" s="1358"/>
      <c r="TGA524" s="1358"/>
      <c r="TGB524" s="1358"/>
      <c r="TGC524" s="1358"/>
      <c r="TGD524" s="1358"/>
      <c r="TGE524" s="1358"/>
      <c r="TGF524" s="1358"/>
      <c r="TGG524" s="1358"/>
      <c r="TGH524" s="1358"/>
      <c r="TGI524" s="1358"/>
      <c r="TGJ524" s="1358"/>
      <c r="TGK524" s="1358"/>
      <c r="TGL524" s="1358"/>
      <c r="TGM524" s="1358"/>
      <c r="TGN524" s="1358"/>
      <c r="TGO524" s="1358"/>
      <c r="TGP524" s="1358"/>
      <c r="TGQ524" s="1358"/>
      <c r="TGR524" s="1358"/>
      <c r="TGS524" s="1358"/>
      <c r="TGT524" s="1358"/>
      <c r="TGU524" s="1358"/>
      <c r="TGV524" s="1358"/>
      <c r="TGW524" s="1358"/>
      <c r="TGX524" s="1358"/>
      <c r="TGY524" s="1358"/>
      <c r="TGZ524" s="1358"/>
      <c r="THA524" s="1358"/>
      <c r="THB524" s="1358"/>
      <c r="THC524" s="1358"/>
      <c r="THD524" s="1358"/>
      <c r="THE524" s="1358"/>
      <c r="THF524" s="1358"/>
      <c r="THG524" s="1358"/>
      <c r="THH524" s="1358"/>
      <c r="THI524" s="1358"/>
      <c r="THJ524" s="1358"/>
      <c r="THK524" s="1358"/>
      <c r="THL524" s="1358"/>
      <c r="THM524" s="1358"/>
      <c r="THN524" s="1358"/>
      <c r="THO524" s="1358"/>
      <c r="THP524" s="1358"/>
      <c r="THQ524" s="1358"/>
      <c r="THR524" s="1358"/>
      <c r="THS524" s="1358"/>
      <c r="THT524" s="1358"/>
      <c r="THU524" s="1358"/>
      <c r="THV524" s="1358"/>
      <c r="THW524" s="1358"/>
      <c r="THX524" s="1358"/>
      <c r="THY524" s="1358"/>
      <c r="THZ524" s="1358"/>
      <c r="TIA524" s="1358"/>
      <c r="TIB524" s="1358"/>
      <c r="TIC524" s="1358"/>
      <c r="TID524" s="1358"/>
      <c r="TIE524" s="1358"/>
      <c r="TIF524" s="1358"/>
      <c r="TIG524" s="1358"/>
      <c r="TIH524" s="1358"/>
      <c r="TII524" s="1358"/>
      <c r="TIJ524" s="1358"/>
      <c r="TIK524" s="1358"/>
      <c r="TIL524" s="1358"/>
      <c r="TIM524" s="1358"/>
      <c r="TIN524" s="1358"/>
      <c r="TIO524" s="1358"/>
      <c r="TIP524" s="1358"/>
      <c r="TIQ524" s="1358"/>
      <c r="TIR524" s="1358"/>
      <c r="TIS524" s="1358"/>
      <c r="TIT524" s="1358"/>
      <c r="TIU524" s="1358"/>
      <c r="TIV524" s="1358"/>
      <c r="TIW524" s="1358"/>
      <c r="TIX524" s="1358"/>
      <c r="TIY524" s="1358"/>
      <c r="TIZ524" s="1358"/>
      <c r="TJA524" s="1358"/>
      <c r="TJB524" s="1358"/>
      <c r="TJC524" s="1358"/>
      <c r="TJD524" s="1358"/>
      <c r="TJE524" s="1358"/>
      <c r="TJF524" s="1358"/>
      <c r="TJG524" s="1358"/>
      <c r="TJH524" s="1358"/>
      <c r="TJI524" s="1358"/>
      <c r="TJJ524" s="1358"/>
      <c r="TJK524" s="1358"/>
      <c r="TJL524" s="1358"/>
      <c r="TJM524" s="1358"/>
      <c r="TJN524" s="1358"/>
      <c r="TJO524" s="1358"/>
      <c r="TJP524" s="1358"/>
      <c r="TJQ524" s="1358"/>
      <c r="TJR524" s="1358"/>
      <c r="TJS524" s="1358"/>
      <c r="TJT524" s="1358"/>
      <c r="TJU524" s="1358"/>
      <c r="TJV524" s="1358"/>
      <c r="TJW524" s="1358"/>
      <c r="TJX524" s="1358"/>
      <c r="TJY524" s="1358"/>
      <c r="TJZ524" s="1358"/>
      <c r="TKA524" s="1358"/>
      <c r="TKB524" s="1358"/>
      <c r="TKC524" s="1358"/>
      <c r="TKD524" s="1358"/>
      <c r="TKE524" s="1358"/>
      <c r="TKF524" s="1358"/>
      <c r="TKG524" s="1358"/>
      <c r="TKH524" s="1358"/>
      <c r="TKI524" s="1358"/>
      <c r="TKJ524" s="1358"/>
      <c r="TKK524" s="1358"/>
      <c r="TKL524" s="1358"/>
      <c r="TKM524" s="1358"/>
      <c r="TKN524" s="1358"/>
      <c r="TKO524" s="1358"/>
      <c r="TKP524" s="1358"/>
      <c r="TKQ524" s="1358"/>
      <c r="TKR524" s="1358"/>
      <c r="TKS524" s="1358"/>
      <c r="TKT524" s="1358"/>
      <c r="TKU524" s="1358"/>
      <c r="TKV524" s="1358"/>
      <c r="TKW524" s="1358"/>
      <c r="TKX524" s="1358"/>
      <c r="TKY524" s="1358"/>
      <c r="TKZ524" s="1358"/>
      <c r="TLA524" s="1358"/>
      <c r="TLB524" s="1358"/>
      <c r="TLC524" s="1358"/>
      <c r="TLD524" s="1358"/>
      <c r="TLE524" s="1358"/>
      <c r="TLF524" s="1358"/>
      <c r="TLG524" s="1358"/>
      <c r="TLH524" s="1358"/>
      <c r="TLI524" s="1358"/>
      <c r="TLJ524" s="1358"/>
      <c r="TLK524" s="1358"/>
      <c r="TLL524" s="1358"/>
      <c r="TLM524" s="1358"/>
      <c r="TLN524" s="1358"/>
      <c r="TLO524" s="1358"/>
      <c r="TLP524" s="1358"/>
      <c r="TLQ524" s="1358"/>
      <c r="TLR524" s="1358"/>
      <c r="TLS524" s="1358"/>
      <c r="TLT524" s="1358"/>
      <c r="TLU524" s="1358"/>
      <c r="TLV524" s="1358"/>
      <c r="TLW524" s="1358"/>
      <c r="TLX524" s="1358"/>
      <c r="TLY524" s="1358"/>
      <c r="TLZ524" s="1358"/>
      <c r="TMA524" s="1358"/>
      <c r="TMB524" s="1358"/>
      <c r="TMC524" s="1358"/>
      <c r="TMD524" s="1358"/>
      <c r="TME524" s="1358"/>
      <c r="TMF524" s="1358"/>
      <c r="TMG524" s="1358"/>
      <c r="TMH524" s="1358"/>
      <c r="TMI524" s="1358"/>
      <c r="TMJ524" s="1358"/>
      <c r="TMK524" s="1358"/>
      <c r="TML524" s="1358"/>
      <c r="TMM524" s="1358"/>
      <c r="TMN524" s="1358"/>
      <c r="TMO524" s="1358"/>
      <c r="TMP524" s="1358"/>
      <c r="TMQ524" s="1358"/>
      <c r="TMR524" s="1358"/>
      <c r="TMS524" s="1358"/>
      <c r="TMT524" s="1358"/>
      <c r="TMU524" s="1358"/>
      <c r="TMV524" s="1358"/>
      <c r="TMW524" s="1358"/>
      <c r="TMX524" s="1358"/>
      <c r="TMY524" s="1358"/>
      <c r="TMZ524" s="1358"/>
      <c r="TNA524" s="1358"/>
      <c r="TNB524" s="1358"/>
      <c r="TNC524" s="1358"/>
      <c r="TND524" s="1358"/>
      <c r="TNE524" s="1358"/>
      <c r="TNF524" s="1358"/>
      <c r="TNG524" s="1358"/>
      <c r="TNH524" s="1358"/>
      <c r="TNI524" s="1358"/>
      <c r="TNJ524" s="1358"/>
      <c r="TNK524" s="1358"/>
      <c r="TNL524" s="1358"/>
      <c r="TNM524" s="1358"/>
      <c r="TNN524" s="1358"/>
      <c r="TNO524" s="1358"/>
      <c r="TNP524" s="1358"/>
      <c r="TNQ524" s="1358"/>
      <c r="TNR524" s="1358"/>
      <c r="TNS524" s="1358"/>
      <c r="TNT524" s="1358"/>
      <c r="TNU524" s="1358"/>
      <c r="TNV524" s="1358"/>
      <c r="TNW524" s="1358"/>
      <c r="TNX524" s="1358"/>
      <c r="TNY524" s="1358"/>
      <c r="TNZ524" s="1358"/>
      <c r="TOA524" s="1358"/>
      <c r="TOB524" s="1358"/>
      <c r="TOC524" s="1358"/>
      <c r="TOD524" s="1358"/>
      <c r="TOE524" s="1358"/>
      <c r="TOF524" s="1358"/>
      <c r="TOG524" s="1358"/>
      <c r="TOH524" s="1358"/>
      <c r="TOI524" s="1358"/>
      <c r="TOJ524" s="1358"/>
      <c r="TOK524" s="1358"/>
      <c r="TOL524" s="1358"/>
      <c r="TOM524" s="1358"/>
      <c r="TON524" s="1358"/>
      <c r="TOO524" s="1358"/>
      <c r="TOP524" s="1358"/>
      <c r="TOQ524" s="1358"/>
      <c r="TOR524" s="1358"/>
      <c r="TOS524" s="1358"/>
      <c r="TOT524" s="1358"/>
      <c r="TOU524" s="1358"/>
      <c r="TOV524" s="1358"/>
      <c r="TOW524" s="1358"/>
      <c r="TOX524" s="1358"/>
      <c r="TOY524" s="1358"/>
      <c r="TOZ524" s="1358"/>
      <c r="TPA524" s="1358"/>
      <c r="TPB524" s="1358"/>
      <c r="TPC524" s="1358"/>
      <c r="TPD524" s="1358"/>
      <c r="TPE524" s="1358"/>
      <c r="TPF524" s="1358"/>
      <c r="TPG524" s="1358"/>
      <c r="TPH524" s="1358"/>
      <c r="TPI524" s="1358"/>
      <c r="TPJ524" s="1358"/>
      <c r="TPK524" s="1358"/>
      <c r="TPL524" s="1358"/>
      <c r="TPM524" s="1358"/>
      <c r="TPN524" s="1358"/>
      <c r="TPO524" s="1358"/>
      <c r="TPP524" s="1358"/>
      <c r="TPQ524" s="1358"/>
      <c r="TPR524" s="1358"/>
      <c r="TPS524" s="1358"/>
      <c r="TPT524" s="1358"/>
      <c r="TPU524" s="1358"/>
      <c r="TPV524" s="1358"/>
      <c r="TPW524" s="1358"/>
      <c r="TPX524" s="1358"/>
      <c r="TPY524" s="1358"/>
      <c r="TPZ524" s="1358"/>
      <c r="TQA524" s="1358"/>
      <c r="TQB524" s="1358"/>
      <c r="TQC524" s="1358"/>
      <c r="TQD524" s="1358"/>
      <c r="TQE524" s="1358"/>
      <c r="TQF524" s="1358"/>
      <c r="TQG524" s="1358"/>
      <c r="TQH524" s="1358"/>
      <c r="TQI524" s="1358"/>
      <c r="TQJ524" s="1358"/>
      <c r="TQK524" s="1358"/>
      <c r="TQL524" s="1358"/>
      <c r="TQM524" s="1358"/>
      <c r="TQN524" s="1358"/>
      <c r="TQO524" s="1358"/>
      <c r="TQP524" s="1358"/>
      <c r="TQQ524" s="1358"/>
      <c r="TQR524" s="1358"/>
      <c r="TQS524" s="1358"/>
      <c r="TQT524" s="1358"/>
      <c r="TQU524" s="1358"/>
      <c r="TQV524" s="1358"/>
      <c r="TQW524" s="1358"/>
      <c r="TQX524" s="1358"/>
      <c r="TQY524" s="1358"/>
      <c r="TQZ524" s="1358"/>
      <c r="TRA524" s="1358"/>
      <c r="TRB524" s="1358"/>
      <c r="TRC524" s="1358"/>
      <c r="TRD524" s="1358"/>
      <c r="TRE524" s="1358"/>
      <c r="TRF524" s="1358"/>
      <c r="TRG524" s="1358"/>
      <c r="TRH524" s="1358"/>
      <c r="TRI524" s="1358"/>
      <c r="TRJ524" s="1358"/>
      <c r="TRK524" s="1358"/>
      <c r="TRL524" s="1358"/>
      <c r="TRM524" s="1358"/>
      <c r="TRN524" s="1358"/>
      <c r="TRO524" s="1358"/>
      <c r="TRP524" s="1358"/>
      <c r="TRQ524" s="1358"/>
      <c r="TRR524" s="1358"/>
      <c r="TRS524" s="1358"/>
      <c r="TRT524" s="1358"/>
      <c r="TRU524" s="1358"/>
      <c r="TRV524" s="1358"/>
      <c r="TRW524" s="1358"/>
      <c r="TRX524" s="1358"/>
      <c r="TRY524" s="1358"/>
      <c r="TRZ524" s="1358"/>
      <c r="TSA524" s="1358"/>
      <c r="TSB524" s="1358"/>
      <c r="TSC524" s="1358"/>
      <c r="TSD524" s="1358"/>
      <c r="TSE524" s="1358"/>
      <c r="TSF524" s="1358"/>
      <c r="TSG524" s="1358"/>
      <c r="TSH524" s="1358"/>
      <c r="TSI524" s="1358"/>
      <c r="TSJ524" s="1358"/>
      <c r="TSK524" s="1358"/>
      <c r="TSL524" s="1358"/>
      <c r="TSM524" s="1358"/>
      <c r="TSN524" s="1358"/>
      <c r="TSO524" s="1358"/>
      <c r="TSP524" s="1358"/>
      <c r="TSQ524" s="1358"/>
      <c r="TSR524" s="1358"/>
      <c r="TSS524" s="1358"/>
      <c r="TST524" s="1358"/>
      <c r="TSU524" s="1358"/>
      <c r="TSV524" s="1358"/>
      <c r="TSW524" s="1358"/>
      <c r="TSX524" s="1358"/>
      <c r="TSY524" s="1358"/>
      <c r="TSZ524" s="1358"/>
      <c r="TTA524" s="1358"/>
      <c r="TTB524" s="1358"/>
      <c r="TTC524" s="1358"/>
      <c r="TTD524" s="1358"/>
      <c r="TTE524" s="1358"/>
      <c r="TTF524" s="1358"/>
      <c r="TTG524" s="1358"/>
      <c r="TTH524" s="1358"/>
      <c r="TTI524" s="1358"/>
      <c r="TTJ524" s="1358"/>
      <c r="TTK524" s="1358"/>
      <c r="TTL524" s="1358"/>
      <c r="TTM524" s="1358"/>
      <c r="TTN524" s="1358"/>
      <c r="TTO524" s="1358"/>
      <c r="TTP524" s="1358"/>
      <c r="TTQ524" s="1358"/>
      <c r="TTR524" s="1358"/>
      <c r="TTS524" s="1358"/>
      <c r="TTT524" s="1358"/>
      <c r="TTU524" s="1358"/>
      <c r="TTV524" s="1358"/>
      <c r="TTW524" s="1358"/>
      <c r="TTX524" s="1358"/>
      <c r="TTY524" s="1358"/>
      <c r="TTZ524" s="1358"/>
      <c r="TUA524" s="1358"/>
      <c r="TUB524" s="1358"/>
      <c r="TUC524" s="1358"/>
      <c r="TUD524" s="1358"/>
      <c r="TUE524" s="1358"/>
      <c r="TUF524" s="1358"/>
      <c r="TUG524" s="1358"/>
      <c r="TUH524" s="1358"/>
      <c r="TUI524" s="1358"/>
      <c r="TUJ524" s="1358"/>
      <c r="TUK524" s="1358"/>
      <c r="TUL524" s="1358"/>
      <c r="TUM524" s="1358"/>
      <c r="TUN524" s="1358"/>
      <c r="TUO524" s="1358"/>
      <c r="TUP524" s="1358"/>
      <c r="TUQ524" s="1358"/>
      <c r="TUR524" s="1358"/>
      <c r="TUS524" s="1358"/>
      <c r="TUT524" s="1358"/>
      <c r="TUU524" s="1358"/>
      <c r="TUV524" s="1358"/>
      <c r="TUW524" s="1358"/>
      <c r="TUX524" s="1358"/>
      <c r="TUY524" s="1358"/>
      <c r="TUZ524" s="1358"/>
      <c r="TVA524" s="1358"/>
      <c r="TVB524" s="1358"/>
      <c r="TVC524" s="1358"/>
      <c r="TVD524" s="1358"/>
      <c r="TVE524" s="1358"/>
      <c r="TVF524" s="1358"/>
      <c r="TVG524" s="1358"/>
      <c r="TVH524" s="1358"/>
      <c r="TVI524" s="1358"/>
      <c r="TVJ524" s="1358"/>
      <c r="TVK524" s="1358"/>
      <c r="TVL524" s="1358"/>
      <c r="TVM524" s="1358"/>
      <c r="TVN524" s="1358"/>
      <c r="TVO524" s="1358"/>
      <c r="TVP524" s="1358"/>
      <c r="TVQ524" s="1358"/>
      <c r="TVR524" s="1358"/>
      <c r="TVS524" s="1358"/>
      <c r="TVT524" s="1358"/>
      <c r="TVU524" s="1358"/>
      <c r="TVV524" s="1358"/>
      <c r="TVW524" s="1358"/>
      <c r="TVX524" s="1358"/>
      <c r="TVY524" s="1358"/>
      <c r="TVZ524" s="1358"/>
      <c r="TWA524" s="1358"/>
      <c r="TWB524" s="1358"/>
      <c r="TWC524" s="1358"/>
      <c r="TWD524" s="1358"/>
      <c r="TWE524" s="1358"/>
      <c r="TWF524" s="1358"/>
      <c r="TWG524" s="1358"/>
      <c r="TWH524" s="1358"/>
      <c r="TWI524" s="1358"/>
      <c r="TWJ524" s="1358"/>
      <c r="TWK524" s="1358"/>
      <c r="TWL524" s="1358"/>
      <c r="TWM524" s="1358"/>
      <c r="TWN524" s="1358"/>
      <c r="TWO524" s="1358"/>
      <c r="TWP524" s="1358"/>
      <c r="TWQ524" s="1358"/>
      <c r="TWR524" s="1358"/>
      <c r="TWS524" s="1358"/>
      <c r="TWT524" s="1358"/>
      <c r="TWU524" s="1358"/>
      <c r="TWV524" s="1358"/>
      <c r="TWW524" s="1358"/>
      <c r="TWX524" s="1358"/>
      <c r="TWY524" s="1358"/>
      <c r="TWZ524" s="1358"/>
      <c r="TXA524" s="1358"/>
      <c r="TXB524" s="1358"/>
      <c r="TXC524" s="1358"/>
      <c r="TXD524" s="1358"/>
      <c r="TXE524" s="1358"/>
      <c r="TXF524" s="1358"/>
      <c r="TXG524" s="1358"/>
      <c r="TXH524" s="1358"/>
      <c r="TXI524" s="1358"/>
      <c r="TXJ524" s="1358"/>
      <c r="TXK524" s="1358"/>
      <c r="TXL524" s="1358"/>
      <c r="TXM524" s="1358"/>
      <c r="TXN524" s="1358"/>
      <c r="TXO524" s="1358"/>
      <c r="TXP524" s="1358"/>
      <c r="TXQ524" s="1358"/>
      <c r="TXR524" s="1358"/>
      <c r="TXS524" s="1358"/>
      <c r="TXT524" s="1358"/>
      <c r="TXU524" s="1358"/>
      <c r="TXV524" s="1358"/>
      <c r="TXW524" s="1358"/>
      <c r="TXX524" s="1358"/>
      <c r="TXY524" s="1358"/>
      <c r="TXZ524" s="1358"/>
      <c r="TYA524" s="1358"/>
      <c r="TYB524" s="1358"/>
      <c r="TYC524" s="1358"/>
      <c r="TYD524" s="1358"/>
      <c r="TYE524" s="1358"/>
      <c r="TYF524" s="1358"/>
      <c r="TYG524" s="1358"/>
      <c r="TYH524" s="1358"/>
      <c r="TYI524" s="1358"/>
      <c r="TYJ524" s="1358"/>
      <c r="TYK524" s="1358"/>
      <c r="TYL524" s="1358"/>
      <c r="TYM524" s="1358"/>
      <c r="TYN524" s="1358"/>
      <c r="TYO524" s="1358"/>
      <c r="TYP524" s="1358"/>
      <c r="TYQ524" s="1358"/>
      <c r="TYR524" s="1358"/>
      <c r="TYS524" s="1358"/>
      <c r="TYT524" s="1358"/>
      <c r="TYU524" s="1358"/>
      <c r="TYV524" s="1358"/>
      <c r="TYW524" s="1358"/>
      <c r="TYX524" s="1358"/>
      <c r="TYY524" s="1358"/>
      <c r="TYZ524" s="1358"/>
      <c r="TZA524" s="1358"/>
      <c r="TZB524" s="1358"/>
      <c r="TZC524" s="1358"/>
      <c r="TZD524" s="1358"/>
      <c r="TZE524" s="1358"/>
      <c r="TZF524" s="1358"/>
      <c r="TZG524" s="1358"/>
      <c r="TZH524" s="1358"/>
      <c r="TZI524" s="1358"/>
      <c r="TZJ524" s="1358"/>
      <c r="TZK524" s="1358"/>
      <c r="TZL524" s="1358"/>
      <c r="TZM524" s="1358"/>
      <c r="TZN524" s="1358"/>
      <c r="TZO524" s="1358"/>
      <c r="TZP524" s="1358"/>
      <c r="TZQ524" s="1358"/>
      <c r="TZR524" s="1358"/>
      <c r="TZS524" s="1358"/>
      <c r="TZT524" s="1358"/>
      <c r="TZU524" s="1358"/>
      <c r="TZV524" s="1358"/>
      <c r="TZW524" s="1358"/>
      <c r="TZX524" s="1358"/>
      <c r="TZY524" s="1358"/>
      <c r="TZZ524" s="1358"/>
      <c r="UAA524" s="1358"/>
      <c r="UAB524" s="1358"/>
      <c r="UAC524" s="1358"/>
      <c r="UAD524" s="1358"/>
      <c r="UAE524" s="1358"/>
      <c r="UAF524" s="1358"/>
      <c r="UAG524" s="1358"/>
      <c r="UAH524" s="1358"/>
      <c r="UAI524" s="1358"/>
      <c r="UAJ524" s="1358"/>
      <c r="UAK524" s="1358"/>
      <c r="UAL524" s="1358"/>
      <c r="UAM524" s="1358"/>
      <c r="UAN524" s="1358"/>
      <c r="UAO524" s="1358"/>
      <c r="UAP524" s="1358"/>
      <c r="UAQ524" s="1358"/>
      <c r="UAR524" s="1358"/>
      <c r="UAS524" s="1358"/>
      <c r="UAT524" s="1358"/>
      <c r="UAU524" s="1358"/>
      <c r="UAV524" s="1358"/>
      <c r="UAW524" s="1358"/>
      <c r="UAX524" s="1358"/>
      <c r="UAY524" s="1358"/>
      <c r="UAZ524" s="1358"/>
      <c r="UBA524" s="1358"/>
      <c r="UBB524" s="1358"/>
      <c r="UBC524" s="1358"/>
      <c r="UBD524" s="1358"/>
      <c r="UBE524" s="1358"/>
      <c r="UBF524" s="1358"/>
      <c r="UBG524" s="1358"/>
      <c r="UBH524" s="1358"/>
      <c r="UBI524" s="1358"/>
      <c r="UBJ524" s="1358"/>
      <c r="UBK524" s="1358"/>
      <c r="UBL524" s="1358"/>
      <c r="UBM524" s="1358"/>
      <c r="UBN524" s="1358"/>
      <c r="UBO524" s="1358"/>
      <c r="UBP524" s="1358"/>
      <c r="UBQ524" s="1358"/>
      <c r="UBR524" s="1358"/>
      <c r="UBS524" s="1358"/>
      <c r="UBT524" s="1358"/>
      <c r="UBU524" s="1358"/>
      <c r="UBV524" s="1358"/>
      <c r="UBW524" s="1358"/>
      <c r="UBX524" s="1358"/>
      <c r="UBY524" s="1358"/>
      <c r="UBZ524" s="1358"/>
      <c r="UCA524" s="1358"/>
      <c r="UCB524" s="1358"/>
      <c r="UCC524" s="1358"/>
      <c r="UCD524" s="1358"/>
      <c r="UCE524" s="1358"/>
      <c r="UCF524" s="1358"/>
      <c r="UCG524" s="1358"/>
      <c r="UCH524" s="1358"/>
      <c r="UCI524" s="1358"/>
      <c r="UCJ524" s="1358"/>
      <c r="UCK524" s="1358"/>
      <c r="UCL524" s="1358"/>
      <c r="UCM524" s="1358"/>
      <c r="UCN524" s="1358"/>
      <c r="UCO524" s="1358"/>
      <c r="UCP524" s="1358"/>
      <c r="UCQ524" s="1358"/>
      <c r="UCR524" s="1358"/>
      <c r="UCS524" s="1358"/>
      <c r="UCT524" s="1358"/>
      <c r="UCU524" s="1358"/>
      <c r="UCV524" s="1358"/>
      <c r="UCW524" s="1358"/>
      <c r="UCX524" s="1358"/>
      <c r="UCY524" s="1358"/>
      <c r="UCZ524" s="1358"/>
      <c r="UDA524" s="1358"/>
      <c r="UDB524" s="1358"/>
      <c r="UDC524" s="1358"/>
      <c r="UDD524" s="1358"/>
      <c r="UDE524" s="1358"/>
      <c r="UDF524" s="1358"/>
      <c r="UDG524" s="1358"/>
      <c r="UDH524" s="1358"/>
      <c r="UDI524" s="1358"/>
      <c r="UDJ524" s="1358"/>
      <c r="UDK524" s="1358"/>
      <c r="UDL524" s="1358"/>
      <c r="UDM524" s="1358"/>
      <c r="UDN524" s="1358"/>
      <c r="UDO524" s="1358"/>
      <c r="UDP524" s="1358"/>
      <c r="UDQ524" s="1358"/>
      <c r="UDR524" s="1358"/>
      <c r="UDS524" s="1358"/>
      <c r="UDT524" s="1358"/>
      <c r="UDU524" s="1358"/>
      <c r="UDV524" s="1358"/>
      <c r="UDW524" s="1358"/>
      <c r="UDX524" s="1358"/>
      <c r="UDY524" s="1358"/>
      <c r="UDZ524" s="1358"/>
      <c r="UEA524" s="1358"/>
      <c r="UEB524" s="1358"/>
      <c r="UEC524" s="1358"/>
      <c r="UED524" s="1358"/>
      <c r="UEE524" s="1358"/>
      <c r="UEF524" s="1358"/>
      <c r="UEG524" s="1358"/>
      <c r="UEH524" s="1358"/>
      <c r="UEI524" s="1358"/>
      <c r="UEJ524" s="1358"/>
      <c r="UEK524" s="1358"/>
      <c r="UEL524" s="1358"/>
      <c r="UEM524" s="1358"/>
      <c r="UEN524" s="1358"/>
      <c r="UEO524" s="1358"/>
      <c r="UEP524" s="1358"/>
      <c r="UEQ524" s="1358"/>
      <c r="UER524" s="1358"/>
      <c r="UES524" s="1358"/>
      <c r="UET524" s="1358"/>
      <c r="UEU524" s="1358"/>
      <c r="UEV524" s="1358"/>
      <c r="UEW524" s="1358"/>
      <c r="UEX524" s="1358"/>
      <c r="UEY524" s="1358"/>
      <c r="UEZ524" s="1358"/>
      <c r="UFA524" s="1358"/>
      <c r="UFB524" s="1358"/>
      <c r="UFC524" s="1358"/>
      <c r="UFD524" s="1358"/>
      <c r="UFE524" s="1358"/>
      <c r="UFF524" s="1358"/>
      <c r="UFG524" s="1358"/>
      <c r="UFH524" s="1358"/>
      <c r="UFI524" s="1358"/>
      <c r="UFJ524" s="1358"/>
      <c r="UFK524" s="1358"/>
      <c r="UFL524" s="1358"/>
      <c r="UFM524" s="1358"/>
      <c r="UFN524" s="1358"/>
      <c r="UFO524" s="1358"/>
      <c r="UFP524" s="1358"/>
      <c r="UFQ524" s="1358"/>
      <c r="UFR524" s="1358"/>
      <c r="UFS524" s="1358"/>
      <c r="UFT524" s="1358"/>
      <c r="UFU524" s="1358"/>
      <c r="UFV524" s="1358"/>
      <c r="UFW524" s="1358"/>
      <c r="UFX524" s="1358"/>
      <c r="UFY524" s="1358"/>
      <c r="UFZ524" s="1358"/>
      <c r="UGA524" s="1358"/>
      <c r="UGB524" s="1358"/>
      <c r="UGC524" s="1358"/>
      <c r="UGD524" s="1358"/>
      <c r="UGE524" s="1358"/>
      <c r="UGF524" s="1358"/>
      <c r="UGG524" s="1358"/>
      <c r="UGH524" s="1358"/>
      <c r="UGI524" s="1358"/>
      <c r="UGJ524" s="1358"/>
      <c r="UGK524" s="1358"/>
      <c r="UGL524" s="1358"/>
      <c r="UGM524" s="1358"/>
      <c r="UGN524" s="1358"/>
      <c r="UGO524" s="1358"/>
      <c r="UGP524" s="1358"/>
      <c r="UGQ524" s="1358"/>
      <c r="UGR524" s="1358"/>
      <c r="UGS524" s="1358"/>
      <c r="UGT524" s="1358"/>
      <c r="UGU524" s="1358"/>
      <c r="UGV524" s="1358"/>
      <c r="UGW524" s="1358"/>
      <c r="UGX524" s="1358"/>
      <c r="UGY524" s="1358"/>
      <c r="UGZ524" s="1358"/>
      <c r="UHA524" s="1358"/>
      <c r="UHB524" s="1358"/>
      <c r="UHC524" s="1358"/>
      <c r="UHD524" s="1358"/>
      <c r="UHE524" s="1358"/>
      <c r="UHF524" s="1358"/>
      <c r="UHG524" s="1358"/>
      <c r="UHH524" s="1358"/>
      <c r="UHI524" s="1358"/>
      <c r="UHJ524" s="1358"/>
      <c r="UHK524" s="1358"/>
      <c r="UHL524" s="1358"/>
      <c r="UHM524" s="1358"/>
      <c r="UHN524" s="1358"/>
      <c r="UHO524" s="1358"/>
      <c r="UHP524" s="1358"/>
      <c r="UHQ524" s="1358"/>
      <c r="UHR524" s="1358"/>
      <c r="UHS524" s="1358"/>
      <c r="UHT524" s="1358"/>
      <c r="UHU524" s="1358"/>
      <c r="UHV524" s="1358"/>
      <c r="UHW524" s="1358"/>
      <c r="UHX524" s="1358"/>
      <c r="UHY524" s="1358"/>
      <c r="UHZ524" s="1358"/>
      <c r="UIA524" s="1358"/>
      <c r="UIB524" s="1358"/>
      <c r="UIC524" s="1358"/>
      <c r="UID524" s="1358"/>
      <c r="UIE524" s="1358"/>
      <c r="UIF524" s="1358"/>
      <c r="UIG524" s="1358"/>
      <c r="UIH524" s="1358"/>
      <c r="UII524" s="1358"/>
      <c r="UIJ524" s="1358"/>
      <c r="UIK524" s="1358"/>
      <c r="UIL524" s="1358"/>
      <c r="UIM524" s="1358"/>
      <c r="UIN524" s="1358"/>
      <c r="UIO524" s="1358"/>
      <c r="UIP524" s="1358"/>
      <c r="UIQ524" s="1358"/>
      <c r="UIR524" s="1358"/>
      <c r="UIS524" s="1358"/>
      <c r="UIT524" s="1358"/>
      <c r="UIU524" s="1358"/>
      <c r="UIV524" s="1358"/>
      <c r="UIW524" s="1358"/>
      <c r="UIX524" s="1358"/>
      <c r="UIY524" s="1358"/>
      <c r="UIZ524" s="1358"/>
      <c r="UJA524" s="1358"/>
      <c r="UJB524" s="1358"/>
      <c r="UJC524" s="1358"/>
      <c r="UJD524" s="1358"/>
      <c r="UJE524" s="1358"/>
      <c r="UJF524" s="1358"/>
      <c r="UJG524" s="1358"/>
      <c r="UJH524" s="1358"/>
      <c r="UJI524" s="1358"/>
      <c r="UJJ524" s="1358"/>
      <c r="UJK524" s="1358"/>
      <c r="UJL524" s="1358"/>
      <c r="UJM524" s="1358"/>
      <c r="UJN524" s="1358"/>
      <c r="UJO524" s="1358"/>
      <c r="UJP524" s="1358"/>
      <c r="UJQ524" s="1358"/>
      <c r="UJR524" s="1358"/>
      <c r="UJS524" s="1358"/>
      <c r="UJT524" s="1358"/>
      <c r="UJU524" s="1358"/>
      <c r="UJV524" s="1358"/>
      <c r="UJW524" s="1358"/>
      <c r="UJX524" s="1358"/>
      <c r="UJY524" s="1358"/>
      <c r="UJZ524" s="1358"/>
      <c r="UKA524" s="1358"/>
      <c r="UKB524" s="1358"/>
      <c r="UKC524" s="1358"/>
      <c r="UKD524" s="1358"/>
      <c r="UKE524" s="1358"/>
      <c r="UKF524" s="1358"/>
      <c r="UKG524" s="1358"/>
      <c r="UKH524" s="1358"/>
      <c r="UKI524" s="1358"/>
      <c r="UKJ524" s="1358"/>
      <c r="UKK524" s="1358"/>
      <c r="UKL524" s="1358"/>
      <c r="UKM524" s="1358"/>
      <c r="UKN524" s="1358"/>
      <c r="UKO524" s="1358"/>
      <c r="UKP524" s="1358"/>
      <c r="UKQ524" s="1358"/>
      <c r="UKR524" s="1358"/>
      <c r="UKS524" s="1358"/>
      <c r="UKT524" s="1358"/>
      <c r="UKU524" s="1358"/>
      <c r="UKV524" s="1358"/>
      <c r="UKW524" s="1358"/>
      <c r="UKX524" s="1358"/>
      <c r="UKY524" s="1358"/>
      <c r="UKZ524" s="1358"/>
      <c r="ULA524" s="1358"/>
      <c r="ULB524" s="1358"/>
      <c r="ULC524" s="1358"/>
      <c r="ULD524" s="1358"/>
      <c r="ULE524" s="1358"/>
      <c r="ULF524" s="1358"/>
      <c r="ULG524" s="1358"/>
      <c r="ULH524" s="1358"/>
      <c r="ULI524" s="1358"/>
      <c r="ULJ524" s="1358"/>
      <c r="ULK524" s="1358"/>
      <c r="ULL524" s="1358"/>
      <c r="ULM524" s="1358"/>
      <c r="ULN524" s="1358"/>
      <c r="ULO524" s="1358"/>
      <c r="ULP524" s="1358"/>
      <c r="ULQ524" s="1358"/>
      <c r="ULR524" s="1358"/>
      <c r="ULS524" s="1358"/>
      <c r="ULT524" s="1358"/>
      <c r="ULU524" s="1358"/>
      <c r="ULV524" s="1358"/>
      <c r="ULW524" s="1358"/>
      <c r="ULX524" s="1358"/>
      <c r="ULY524" s="1358"/>
      <c r="ULZ524" s="1358"/>
      <c r="UMA524" s="1358"/>
      <c r="UMB524" s="1358"/>
      <c r="UMC524" s="1358"/>
      <c r="UMD524" s="1358"/>
      <c r="UME524" s="1358"/>
      <c r="UMF524" s="1358"/>
      <c r="UMG524" s="1358"/>
      <c r="UMH524" s="1358"/>
      <c r="UMI524" s="1358"/>
      <c r="UMJ524" s="1358"/>
      <c r="UMK524" s="1358"/>
      <c r="UML524" s="1358"/>
      <c r="UMM524" s="1358"/>
      <c r="UMN524" s="1358"/>
      <c r="UMO524" s="1358"/>
      <c r="UMP524" s="1358"/>
      <c r="UMQ524" s="1358"/>
      <c r="UMR524" s="1358"/>
      <c r="UMS524" s="1358"/>
      <c r="UMT524" s="1358"/>
      <c r="UMU524" s="1358"/>
      <c r="UMV524" s="1358"/>
      <c r="UMW524" s="1358"/>
      <c r="UMX524" s="1358"/>
      <c r="UMY524" s="1358"/>
      <c r="UMZ524" s="1358"/>
      <c r="UNA524" s="1358"/>
      <c r="UNB524" s="1358"/>
      <c r="UNC524" s="1358"/>
      <c r="UND524" s="1358"/>
      <c r="UNE524" s="1358"/>
      <c r="UNF524" s="1358"/>
      <c r="UNG524" s="1358"/>
      <c r="UNH524" s="1358"/>
      <c r="UNI524" s="1358"/>
      <c r="UNJ524" s="1358"/>
      <c r="UNK524" s="1358"/>
      <c r="UNL524" s="1358"/>
      <c r="UNM524" s="1358"/>
      <c r="UNN524" s="1358"/>
      <c r="UNO524" s="1358"/>
      <c r="UNP524" s="1358"/>
      <c r="UNQ524" s="1358"/>
      <c r="UNR524" s="1358"/>
      <c r="UNS524" s="1358"/>
      <c r="UNT524" s="1358"/>
      <c r="UNU524" s="1358"/>
      <c r="UNV524" s="1358"/>
      <c r="UNW524" s="1358"/>
      <c r="UNX524" s="1358"/>
      <c r="UNY524" s="1358"/>
      <c r="UNZ524" s="1358"/>
      <c r="UOA524" s="1358"/>
      <c r="UOB524" s="1358"/>
      <c r="UOC524" s="1358"/>
      <c r="UOD524" s="1358"/>
      <c r="UOE524" s="1358"/>
      <c r="UOF524" s="1358"/>
      <c r="UOG524" s="1358"/>
      <c r="UOH524" s="1358"/>
      <c r="UOI524" s="1358"/>
      <c r="UOJ524" s="1358"/>
      <c r="UOK524" s="1358"/>
      <c r="UOL524" s="1358"/>
      <c r="UOM524" s="1358"/>
      <c r="UON524" s="1358"/>
      <c r="UOO524" s="1358"/>
      <c r="UOP524" s="1358"/>
      <c r="UOQ524" s="1358"/>
      <c r="UOR524" s="1358"/>
      <c r="UOS524" s="1358"/>
      <c r="UOT524" s="1358"/>
      <c r="UOU524" s="1358"/>
      <c r="UOV524" s="1358"/>
      <c r="UOW524" s="1358"/>
      <c r="UOX524" s="1358"/>
      <c r="UOY524" s="1358"/>
      <c r="UOZ524" s="1358"/>
      <c r="UPA524" s="1358"/>
      <c r="UPB524" s="1358"/>
      <c r="UPC524" s="1358"/>
      <c r="UPD524" s="1358"/>
      <c r="UPE524" s="1358"/>
      <c r="UPF524" s="1358"/>
      <c r="UPG524" s="1358"/>
      <c r="UPH524" s="1358"/>
      <c r="UPI524" s="1358"/>
      <c r="UPJ524" s="1358"/>
      <c r="UPK524" s="1358"/>
      <c r="UPL524" s="1358"/>
      <c r="UPM524" s="1358"/>
      <c r="UPN524" s="1358"/>
      <c r="UPO524" s="1358"/>
      <c r="UPP524" s="1358"/>
      <c r="UPQ524" s="1358"/>
      <c r="UPR524" s="1358"/>
      <c r="UPS524" s="1358"/>
      <c r="UPT524" s="1358"/>
      <c r="UPU524" s="1358"/>
      <c r="UPV524" s="1358"/>
      <c r="UPW524" s="1358"/>
      <c r="UPX524" s="1358"/>
      <c r="UPY524" s="1358"/>
      <c r="UPZ524" s="1358"/>
      <c r="UQA524" s="1358"/>
      <c r="UQB524" s="1358"/>
      <c r="UQC524" s="1358"/>
      <c r="UQD524" s="1358"/>
      <c r="UQE524" s="1358"/>
      <c r="UQF524" s="1358"/>
      <c r="UQG524" s="1358"/>
      <c r="UQH524" s="1358"/>
      <c r="UQI524" s="1358"/>
      <c r="UQJ524" s="1358"/>
      <c r="UQK524" s="1358"/>
      <c r="UQL524" s="1358"/>
      <c r="UQM524" s="1358"/>
      <c r="UQN524" s="1358"/>
      <c r="UQO524" s="1358"/>
      <c r="UQP524" s="1358"/>
      <c r="UQQ524" s="1358"/>
      <c r="UQR524" s="1358"/>
      <c r="UQS524" s="1358"/>
      <c r="UQT524" s="1358"/>
      <c r="UQU524" s="1358"/>
      <c r="UQV524" s="1358"/>
      <c r="UQW524" s="1358"/>
      <c r="UQX524" s="1358"/>
      <c r="UQY524" s="1358"/>
      <c r="UQZ524" s="1358"/>
      <c r="URA524" s="1358"/>
      <c r="URB524" s="1358"/>
      <c r="URC524" s="1358"/>
      <c r="URD524" s="1358"/>
      <c r="URE524" s="1358"/>
      <c r="URF524" s="1358"/>
      <c r="URG524" s="1358"/>
      <c r="URH524" s="1358"/>
      <c r="URI524" s="1358"/>
      <c r="URJ524" s="1358"/>
      <c r="URK524" s="1358"/>
      <c r="URL524" s="1358"/>
      <c r="URM524" s="1358"/>
      <c r="URN524" s="1358"/>
      <c r="URO524" s="1358"/>
      <c r="URP524" s="1358"/>
      <c r="URQ524" s="1358"/>
      <c r="URR524" s="1358"/>
      <c r="URS524" s="1358"/>
      <c r="URT524" s="1358"/>
      <c r="URU524" s="1358"/>
      <c r="URV524" s="1358"/>
      <c r="URW524" s="1358"/>
      <c r="URX524" s="1358"/>
      <c r="URY524" s="1358"/>
      <c r="URZ524" s="1358"/>
      <c r="USA524" s="1358"/>
      <c r="USB524" s="1358"/>
      <c r="USC524" s="1358"/>
      <c r="USD524" s="1358"/>
      <c r="USE524" s="1358"/>
      <c r="USF524" s="1358"/>
      <c r="USG524" s="1358"/>
      <c r="USH524" s="1358"/>
      <c r="USI524" s="1358"/>
      <c r="USJ524" s="1358"/>
      <c r="USK524" s="1358"/>
      <c r="USL524" s="1358"/>
      <c r="USM524" s="1358"/>
      <c r="USN524" s="1358"/>
      <c r="USO524" s="1358"/>
      <c r="USP524" s="1358"/>
      <c r="USQ524" s="1358"/>
      <c r="USR524" s="1358"/>
      <c r="USS524" s="1358"/>
      <c r="UST524" s="1358"/>
      <c r="USU524" s="1358"/>
      <c r="USV524" s="1358"/>
      <c r="USW524" s="1358"/>
      <c r="USX524" s="1358"/>
      <c r="USY524" s="1358"/>
      <c r="USZ524" s="1358"/>
      <c r="UTA524" s="1358"/>
      <c r="UTB524" s="1358"/>
      <c r="UTC524" s="1358"/>
      <c r="UTD524" s="1358"/>
      <c r="UTE524" s="1358"/>
      <c r="UTF524" s="1358"/>
      <c r="UTG524" s="1358"/>
      <c r="UTH524" s="1358"/>
      <c r="UTI524" s="1358"/>
      <c r="UTJ524" s="1358"/>
      <c r="UTK524" s="1358"/>
      <c r="UTL524" s="1358"/>
      <c r="UTM524" s="1358"/>
      <c r="UTN524" s="1358"/>
      <c r="UTO524" s="1358"/>
      <c r="UTP524" s="1358"/>
      <c r="UTQ524" s="1358"/>
      <c r="UTR524" s="1358"/>
      <c r="UTS524" s="1358"/>
      <c r="UTT524" s="1358"/>
      <c r="UTU524" s="1358"/>
      <c r="UTV524" s="1358"/>
      <c r="UTW524" s="1358"/>
      <c r="UTX524" s="1358"/>
      <c r="UTY524" s="1358"/>
      <c r="UTZ524" s="1358"/>
      <c r="UUA524" s="1358"/>
      <c r="UUB524" s="1358"/>
      <c r="UUC524" s="1358"/>
      <c r="UUD524" s="1358"/>
      <c r="UUE524" s="1358"/>
      <c r="UUF524" s="1358"/>
      <c r="UUG524" s="1358"/>
      <c r="UUH524" s="1358"/>
      <c r="UUI524" s="1358"/>
      <c r="UUJ524" s="1358"/>
      <c r="UUK524" s="1358"/>
      <c r="UUL524" s="1358"/>
      <c r="UUM524" s="1358"/>
      <c r="UUN524" s="1358"/>
      <c r="UUO524" s="1358"/>
      <c r="UUP524" s="1358"/>
      <c r="UUQ524" s="1358"/>
      <c r="UUR524" s="1358"/>
      <c r="UUS524" s="1358"/>
      <c r="UUT524" s="1358"/>
      <c r="UUU524" s="1358"/>
      <c r="UUV524" s="1358"/>
      <c r="UUW524" s="1358"/>
      <c r="UUX524" s="1358"/>
      <c r="UUY524" s="1358"/>
      <c r="UUZ524" s="1358"/>
      <c r="UVA524" s="1358"/>
      <c r="UVB524" s="1358"/>
      <c r="UVC524" s="1358"/>
      <c r="UVD524" s="1358"/>
      <c r="UVE524" s="1358"/>
      <c r="UVF524" s="1358"/>
      <c r="UVG524" s="1358"/>
      <c r="UVH524" s="1358"/>
      <c r="UVI524" s="1358"/>
      <c r="UVJ524" s="1358"/>
      <c r="UVK524" s="1358"/>
      <c r="UVL524" s="1358"/>
      <c r="UVM524" s="1358"/>
      <c r="UVN524" s="1358"/>
      <c r="UVO524" s="1358"/>
      <c r="UVP524" s="1358"/>
      <c r="UVQ524" s="1358"/>
      <c r="UVR524" s="1358"/>
      <c r="UVS524" s="1358"/>
      <c r="UVT524" s="1358"/>
      <c r="UVU524" s="1358"/>
      <c r="UVV524" s="1358"/>
      <c r="UVW524" s="1358"/>
      <c r="UVX524" s="1358"/>
      <c r="UVY524" s="1358"/>
      <c r="UVZ524" s="1358"/>
      <c r="UWA524" s="1358"/>
      <c r="UWB524" s="1358"/>
      <c r="UWC524" s="1358"/>
      <c r="UWD524" s="1358"/>
      <c r="UWE524" s="1358"/>
      <c r="UWF524" s="1358"/>
      <c r="UWG524" s="1358"/>
      <c r="UWH524" s="1358"/>
      <c r="UWI524" s="1358"/>
      <c r="UWJ524" s="1358"/>
      <c r="UWK524" s="1358"/>
      <c r="UWL524" s="1358"/>
      <c r="UWM524" s="1358"/>
      <c r="UWN524" s="1358"/>
      <c r="UWO524" s="1358"/>
      <c r="UWP524" s="1358"/>
      <c r="UWQ524" s="1358"/>
      <c r="UWR524" s="1358"/>
      <c r="UWS524" s="1358"/>
      <c r="UWT524" s="1358"/>
      <c r="UWU524" s="1358"/>
      <c r="UWV524" s="1358"/>
      <c r="UWW524" s="1358"/>
      <c r="UWX524" s="1358"/>
      <c r="UWY524" s="1358"/>
      <c r="UWZ524" s="1358"/>
      <c r="UXA524" s="1358"/>
      <c r="UXB524" s="1358"/>
      <c r="UXC524" s="1358"/>
      <c r="UXD524" s="1358"/>
      <c r="UXE524" s="1358"/>
      <c r="UXF524" s="1358"/>
      <c r="UXG524" s="1358"/>
      <c r="UXH524" s="1358"/>
      <c r="UXI524" s="1358"/>
      <c r="UXJ524" s="1358"/>
      <c r="UXK524" s="1358"/>
      <c r="UXL524" s="1358"/>
      <c r="UXM524" s="1358"/>
      <c r="UXN524" s="1358"/>
      <c r="UXO524" s="1358"/>
      <c r="UXP524" s="1358"/>
      <c r="UXQ524" s="1358"/>
      <c r="UXR524" s="1358"/>
      <c r="UXS524" s="1358"/>
      <c r="UXT524" s="1358"/>
      <c r="UXU524" s="1358"/>
      <c r="UXV524" s="1358"/>
      <c r="UXW524" s="1358"/>
      <c r="UXX524" s="1358"/>
      <c r="UXY524" s="1358"/>
      <c r="UXZ524" s="1358"/>
      <c r="UYA524" s="1358"/>
      <c r="UYB524" s="1358"/>
      <c r="UYC524" s="1358"/>
      <c r="UYD524" s="1358"/>
      <c r="UYE524" s="1358"/>
      <c r="UYF524" s="1358"/>
      <c r="UYG524" s="1358"/>
      <c r="UYH524" s="1358"/>
      <c r="UYI524" s="1358"/>
      <c r="UYJ524" s="1358"/>
      <c r="UYK524" s="1358"/>
      <c r="UYL524" s="1358"/>
      <c r="UYM524" s="1358"/>
      <c r="UYN524" s="1358"/>
      <c r="UYO524" s="1358"/>
      <c r="UYP524" s="1358"/>
      <c r="UYQ524" s="1358"/>
      <c r="UYR524" s="1358"/>
      <c r="UYS524" s="1358"/>
      <c r="UYT524" s="1358"/>
      <c r="UYU524" s="1358"/>
      <c r="UYV524" s="1358"/>
      <c r="UYW524" s="1358"/>
      <c r="UYX524" s="1358"/>
      <c r="UYY524" s="1358"/>
      <c r="UYZ524" s="1358"/>
      <c r="UZA524" s="1358"/>
      <c r="UZB524" s="1358"/>
      <c r="UZC524" s="1358"/>
      <c r="UZD524" s="1358"/>
      <c r="UZE524" s="1358"/>
      <c r="UZF524" s="1358"/>
      <c r="UZG524" s="1358"/>
      <c r="UZH524" s="1358"/>
      <c r="UZI524" s="1358"/>
      <c r="UZJ524" s="1358"/>
      <c r="UZK524" s="1358"/>
      <c r="UZL524" s="1358"/>
      <c r="UZM524" s="1358"/>
      <c r="UZN524" s="1358"/>
      <c r="UZO524" s="1358"/>
      <c r="UZP524" s="1358"/>
      <c r="UZQ524" s="1358"/>
      <c r="UZR524" s="1358"/>
      <c r="UZS524" s="1358"/>
      <c r="UZT524" s="1358"/>
      <c r="UZU524" s="1358"/>
      <c r="UZV524" s="1358"/>
      <c r="UZW524" s="1358"/>
      <c r="UZX524" s="1358"/>
      <c r="UZY524" s="1358"/>
      <c r="UZZ524" s="1358"/>
      <c r="VAA524" s="1358"/>
      <c r="VAB524" s="1358"/>
      <c r="VAC524" s="1358"/>
      <c r="VAD524" s="1358"/>
      <c r="VAE524" s="1358"/>
      <c r="VAF524" s="1358"/>
      <c r="VAG524" s="1358"/>
      <c r="VAH524" s="1358"/>
      <c r="VAI524" s="1358"/>
      <c r="VAJ524" s="1358"/>
      <c r="VAK524" s="1358"/>
      <c r="VAL524" s="1358"/>
      <c r="VAM524" s="1358"/>
      <c r="VAN524" s="1358"/>
      <c r="VAO524" s="1358"/>
      <c r="VAP524" s="1358"/>
      <c r="VAQ524" s="1358"/>
      <c r="VAR524" s="1358"/>
      <c r="VAS524" s="1358"/>
      <c r="VAT524" s="1358"/>
      <c r="VAU524" s="1358"/>
      <c r="VAV524" s="1358"/>
      <c r="VAW524" s="1358"/>
      <c r="VAX524" s="1358"/>
      <c r="VAY524" s="1358"/>
      <c r="VAZ524" s="1358"/>
      <c r="VBA524" s="1358"/>
      <c r="VBB524" s="1358"/>
      <c r="VBC524" s="1358"/>
      <c r="VBD524" s="1358"/>
      <c r="VBE524" s="1358"/>
      <c r="VBF524" s="1358"/>
      <c r="VBG524" s="1358"/>
      <c r="VBH524" s="1358"/>
      <c r="VBI524" s="1358"/>
      <c r="VBJ524" s="1358"/>
      <c r="VBK524" s="1358"/>
      <c r="VBL524" s="1358"/>
      <c r="VBM524" s="1358"/>
      <c r="VBN524" s="1358"/>
      <c r="VBO524" s="1358"/>
      <c r="VBP524" s="1358"/>
      <c r="VBQ524" s="1358"/>
      <c r="VBR524" s="1358"/>
      <c r="VBS524" s="1358"/>
      <c r="VBT524" s="1358"/>
      <c r="VBU524" s="1358"/>
      <c r="VBV524" s="1358"/>
      <c r="VBW524" s="1358"/>
      <c r="VBX524" s="1358"/>
      <c r="VBY524" s="1358"/>
      <c r="VBZ524" s="1358"/>
      <c r="VCA524" s="1358"/>
      <c r="VCB524" s="1358"/>
      <c r="VCC524" s="1358"/>
      <c r="VCD524" s="1358"/>
      <c r="VCE524" s="1358"/>
      <c r="VCF524" s="1358"/>
      <c r="VCG524" s="1358"/>
      <c r="VCH524" s="1358"/>
      <c r="VCI524" s="1358"/>
      <c r="VCJ524" s="1358"/>
      <c r="VCK524" s="1358"/>
      <c r="VCL524" s="1358"/>
      <c r="VCM524" s="1358"/>
      <c r="VCN524" s="1358"/>
      <c r="VCO524" s="1358"/>
      <c r="VCP524" s="1358"/>
      <c r="VCQ524" s="1358"/>
      <c r="VCR524" s="1358"/>
      <c r="VCS524" s="1358"/>
      <c r="VCT524" s="1358"/>
      <c r="VCU524" s="1358"/>
      <c r="VCV524" s="1358"/>
      <c r="VCW524" s="1358"/>
      <c r="VCX524" s="1358"/>
      <c r="VCY524" s="1358"/>
      <c r="VCZ524" s="1358"/>
      <c r="VDA524" s="1358"/>
      <c r="VDB524" s="1358"/>
      <c r="VDC524" s="1358"/>
      <c r="VDD524" s="1358"/>
      <c r="VDE524" s="1358"/>
      <c r="VDF524" s="1358"/>
      <c r="VDG524" s="1358"/>
      <c r="VDH524" s="1358"/>
      <c r="VDI524" s="1358"/>
      <c r="VDJ524" s="1358"/>
      <c r="VDK524" s="1358"/>
      <c r="VDL524" s="1358"/>
      <c r="VDM524" s="1358"/>
      <c r="VDN524" s="1358"/>
      <c r="VDO524" s="1358"/>
      <c r="VDP524" s="1358"/>
      <c r="VDQ524" s="1358"/>
      <c r="VDR524" s="1358"/>
      <c r="VDS524" s="1358"/>
      <c r="VDT524" s="1358"/>
      <c r="VDU524" s="1358"/>
      <c r="VDV524" s="1358"/>
      <c r="VDW524" s="1358"/>
      <c r="VDX524" s="1358"/>
      <c r="VDY524" s="1358"/>
      <c r="VDZ524" s="1358"/>
      <c r="VEA524" s="1358"/>
      <c r="VEB524" s="1358"/>
      <c r="VEC524" s="1358"/>
      <c r="VED524" s="1358"/>
      <c r="VEE524" s="1358"/>
      <c r="VEF524" s="1358"/>
      <c r="VEG524" s="1358"/>
      <c r="VEH524" s="1358"/>
      <c r="VEI524" s="1358"/>
      <c r="VEJ524" s="1358"/>
      <c r="VEK524" s="1358"/>
      <c r="VEL524" s="1358"/>
      <c r="VEM524" s="1358"/>
      <c r="VEN524" s="1358"/>
      <c r="VEO524" s="1358"/>
      <c r="VEP524" s="1358"/>
      <c r="VEQ524" s="1358"/>
      <c r="VER524" s="1358"/>
      <c r="VES524" s="1358"/>
      <c r="VET524" s="1358"/>
      <c r="VEU524" s="1358"/>
      <c r="VEV524" s="1358"/>
      <c r="VEW524" s="1358"/>
      <c r="VEX524" s="1358"/>
      <c r="VEY524" s="1358"/>
      <c r="VEZ524" s="1358"/>
      <c r="VFA524" s="1358"/>
      <c r="VFB524" s="1358"/>
      <c r="VFC524" s="1358"/>
      <c r="VFD524" s="1358"/>
      <c r="VFE524" s="1358"/>
      <c r="VFF524" s="1358"/>
      <c r="VFG524" s="1358"/>
      <c r="VFH524" s="1358"/>
      <c r="VFI524" s="1358"/>
      <c r="VFJ524" s="1358"/>
      <c r="VFK524" s="1358"/>
      <c r="VFL524" s="1358"/>
      <c r="VFM524" s="1358"/>
      <c r="VFN524" s="1358"/>
      <c r="VFO524" s="1358"/>
      <c r="VFP524" s="1358"/>
      <c r="VFQ524" s="1358"/>
      <c r="VFR524" s="1358"/>
      <c r="VFS524" s="1358"/>
      <c r="VFT524" s="1358"/>
      <c r="VFU524" s="1358"/>
      <c r="VFV524" s="1358"/>
      <c r="VFW524" s="1358"/>
      <c r="VFX524" s="1358"/>
      <c r="VFY524" s="1358"/>
      <c r="VFZ524" s="1358"/>
      <c r="VGA524" s="1358"/>
      <c r="VGB524" s="1358"/>
      <c r="VGC524" s="1358"/>
      <c r="VGD524" s="1358"/>
      <c r="VGE524" s="1358"/>
      <c r="VGF524" s="1358"/>
      <c r="VGG524" s="1358"/>
      <c r="VGH524" s="1358"/>
      <c r="VGI524" s="1358"/>
      <c r="VGJ524" s="1358"/>
      <c r="VGK524" s="1358"/>
      <c r="VGL524" s="1358"/>
      <c r="VGM524" s="1358"/>
      <c r="VGN524" s="1358"/>
      <c r="VGO524" s="1358"/>
      <c r="VGP524" s="1358"/>
      <c r="VGQ524" s="1358"/>
      <c r="VGR524" s="1358"/>
      <c r="VGS524" s="1358"/>
      <c r="VGT524" s="1358"/>
      <c r="VGU524" s="1358"/>
      <c r="VGV524" s="1358"/>
      <c r="VGW524" s="1358"/>
      <c r="VGX524" s="1358"/>
      <c r="VGY524" s="1358"/>
      <c r="VGZ524" s="1358"/>
      <c r="VHA524" s="1358"/>
      <c r="VHB524" s="1358"/>
      <c r="VHC524" s="1358"/>
      <c r="VHD524" s="1358"/>
      <c r="VHE524" s="1358"/>
      <c r="VHF524" s="1358"/>
      <c r="VHG524" s="1358"/>
      <c r="VHH524" s="1358"/>
      <c r="VHI524" s="1358"/>
      <c r="VHJ524" s="1358"/>
      <c r="VHK524" s="1358"/>
      <c r="VHL524" s="1358"/>
      <c r="VHM524" s="1358"/>
      <c r="VHN524" s="1358"/>
      <c r="VHO524" s="1358"/>
      <c r="VHP524" s="1358"/>
      <c r="VHQ524" s="1358"/>
      <c r="VHR524" s="1358"/>
      <c r="VHS524" s="1358"/>
      <c r="VHT524" s="1358"/>
      <c r="VHU524" s="1358"/>
      <c r="VHV524" s="1358"/>
      <c r="VHW524" s="1358"/>
      <c r="VHX524" s="1358"/>
      <c r="VHY524" s="1358"/>
      <c r="VHZ524" s="1358"/>
      <c r="VIA524" s="1358"/>
      <c r="VIB524" s="1358"/>
      <c r="VIC524" s="1358"/>
      <c r="VID524" s="1358"/>
      <c r="VIE524" s="1358"/>
      <c r="VIF524" s="1358"/>
      <c r="VIG524" s="1358"/>
      <c r="VIH524" s="1358"/>
      <c r="VII524" s="1358"/>
      <c r="VIJ524" s="1358"/>
      <c r="VIK524" s="1358"/>
      <c r="VIL524" s="1358"/>
      <c r="VIM524" s="1358"/>
      <c r="VIN524" s="1358"/>
      <c r="VIO524" s="1358"/>
      <c r="VIP524" s="1358"/>
      <c r="VIQ524" s="1358"/>
      <c r="VIR524" s="1358"/>
      <c r="VIS524" s="1358"/>
      <c r="VIT524" s="1358"/>
      <c r="VIU524" s="1358"/>
      <c r="VIV524" s="1358"/>
      <c r="VIW524" s="1358"/>
      <c r="VIX524" s="1358"/>
      <c r="VIY524" s="1358"/>
      <c r="VIZ524" s="1358"/>
      <c r="VJA524" s="1358"/>
      <c r="VJB524" s="1358"/>
      <c r="VJC524" s="1358"/>
      <c r="VJD524" s="1358"/>
      <c r="VJE524" s="1358"/>
      <c r="VJF524" s="1358"/>
      <c r="VJG524" s="1358"/>
      <c r="VJH524" s="1358"/>
      <c r="VJI524" s="1358"/>
      <c r="VJJ524" s="1358"/>
      <c r="VJK524" s="1358"/>
      <c r="VJL524" s="1358"/>
      <c r="VJM524" s="1358"/>
      <c r="VJN524" s="1358"/>
      <c r="VJO524" s="1358"/>
      <c r="VJP524" s="1358"/>
      <c r="VJQ524" s="1358"/>
      <c r="VJR524" s="1358"/>
      <c r="VJS524" s="1358"/>
      <c r="VJT524" s="1358"/>
      <c r="VJU524" s="1358"/>
      <c r="VJV524" s="1358"/>
      <c r="VJW524" s="1358"/>
      <c r="VJX524" s="1358"/>
      <c r="VJY524" s="1358"/>
      <c r="VJZ524" s="1358"/>
      <c r="VKA524" s="1358"/>
      <c r="VKB524" s="1358"/>
      <c r="VKC524" s="1358"/>
      <c r="VKD524" s="1358"/>
      <c r="VKE524" s="1358"/>
      <c r="VKF524" s="1358"/>
      <c r="VKG524" s="1358"/>
      <c r="VKH524" s="1358"/>
      <c r="VKI524" s="1358"/>
      <c r="VKJ524" s="1358"/>
      <c r="VKK524" s="1358"/>
      <c r="VKL524" s="1358"/>
      <c r="VKM524" s="1358"/>
      <c r="VKN524" s="1358"/>
      <c r="VKO524" s="1358"/>
      <c r="VKP524" s="1358"/>
      <c r="VKQ524" s="1358"/>
      <c r="VKR524" s="1358"/>
      <c r="VKS524" s="1358"/>
      <c r="VKT524" s="1358"/>
      <c r="VKU524" s="1358"/>
      <c r="VKV524" s="1358"/>
      <c r="VKW524" s="1358"/>
      <c r="VKX524" s="1358"/>
      <c r="VKY524" s="1358"/>
      <c r="VKZ524" s="1358"/>
      <c r="VLA524" s="1358"/>
      <c r="VLB524" s="1358"/>
      <c r="VLC524" s="1358"/>
      <c r="VLD524" s="1358"/>
      <c r="VLE524" s="1358"/>
      <c r="VLF524" s="1358"/>
      <c r="VLG524" s="1358"/>
      <c r="VLH524" s="1358"/>
      <c r="VLI524" s="1358"/>
      <c r="VLJ524" s="1358"/>
      <c r="VLK524" s="1358"/>
      <c r="VLL524" s="1358"/>
      <c r="VLM524" s="1358"/>
      <c r="VLN524" s="1358"/>
      <c r="VLO524" s="1358"/>
      <c r="VLP524" s="1358"/>
      <c r="VLQ524" s="1358"/>
      <c r="VLR524" s="1358"/>
      <c r="VLS524" s="1358"/>
      <c r="VLT524" s="1358"/>
      <c r="VLU524" s="1358"/>
      <c r="VLV524" s="1358"/>
      <c r="VLW524" s="1358"/>
      <c r="VLX524" s="1358"/>
      <c r="VLY524" s="1358"/>
      <c r="VLZ524" s="1358"/>
      <c r="VMA524" s="1358"/>
      <c r="VMB524" s="1358"/>
      <c r="VMC524" s="1358"/>
      <c r="VMD524" s="1358"/>
      <c r="VME524" s="1358"/>
      <c r="VMF524" s="1358"/>
      <c r="VMG524" s="1358"/>
      <c r="VMH524" s="1358"/>
      <c r="VMI524" s="1358"/>
      <c r="VMJ524" s="1358"/>
      <c r="VMK524" s="1358"/>
      <c r="VML524" s="1358"/>
      <c r="VMM524" s="1358"/>
      <c r="VMN524" s="1358"/>
      <c r="VMO524" s="1358"/>
      <c r="VMP524" s="1358"/>
      <c r="VMQ524" s="1358"/>
      <c r="VMR524" s="1358"/>
      <c r="VMS524" s="1358"/>
      <c r="VMT524" s="1358"/>
      <c r="VMU524" s="1358"/>
      <c r="VMV524" s="1358"/>
      <c r="VMW524" s="1358"/>
      <c r="VMX524" s="1358"/>
      <c r="VMY524" s="1358"/>
      <c r="VMZ524" s="1358"/>
      <c r="VNA524" s="1358"/>
      <c r="VNB524" s="1358"/>
      <c r="VNC524" s="1358"/>
      <c r="VND524" s="1358"/>
      <c r="VNE524" s="1358"/>
      <c r="VNF524" s="1358"/>
      <c r="VNG524" s="1358"/>
      <c r="VNH524" s="1358"/>
      <c r="VNI524" s="1358"/>
      <c r="VNJ524" s="1358"/>
      <c r="VNK524" s="1358"/>
      <c r="VNL524" s="1358"/>
      <c r="VNM524" s="1358"/>
      <c r="VNN524" s="1358"/>
      <c r="VNO524" s="1358"/>
      <c r="VNP524" s="1358"/>
      <c r="VNQ524" s="1358"/>
      <c r="VNR524" s="1358"/>
      <c r="VNS524" s="1358"/>
      <c r="VNT524" s="1358"/>
      <c r="VNU524" s="1358"/>
      <c r="VNV524" s="1358"/>
      <c r="VNW524" s="1358"/>
      <c r="VNX524" s="1358"/>
      <c r="VNY524" s="1358"/>
      <c r="VNZ524" s="1358"/>
      <c r="VOA524" s="1358"/>
      <c r="VOB524" s="1358"/>
      <c r="VOC524" s="1358"/>
      <c r="VOD524" s="1358"/>
      <c r="VOE524" s="1358"/>
      <c r="VOF524" s="1358"/>
      <c r="VOG524" s="1358"/>
      <c r="VOH524" s="1358"/>
      <c r="VOI524" s="1358"/>
      <c r="VOJ524" s="1358"/>
      <c r="VOK524" s="1358"/>
      <c r="VOL524" s="1358"/>
      <c r="VOM524" s="1358"/>
      <c r="VON524" s="1358"/>
      <c r="VOO524" s="1358"/>
      <c r="VOP524" s="1358"/>
      <c r="VOQ524" s="1358"/>
      <c r="VOR524" s="1358"/>
      <c r="VOS524" s="1358"/>
      <c r="VOT524" s="1358"/>
      <c r="VOU524" s="1358"/>
      <c r="VOV524" s="1358"/>
      <c r="VOW524" s="1358"/>
      <c r="VOX524" s="1358"/>
      <c r="VOY524" s="1358"/>
      <c r="VOZ524" s="1358"/>
      <c r="VPA524" s="1358"/>
      <c r="VPB524" s="1358"/>
      <c r="VPC524" s="1358"/>
      <c r="VPD524" s="1358"/>
      <c r="VPE524" s="1358"/>
      <c r="VPF524" s="1358"/>
      <c r="VPG524" s="1358"/>
      <c r="VPH524" s="1358"/>
      <c r="VPI524" s="1358"/>
      <c r="VPJ524" s="1358"/>
      <c r="VPK524" s="1358"/>
      <c r="VPL524" s="1358"/>
      <c r="VPM524" s="1358"/>
      <c r="VPN524" s="1358"/>
      <c r="VPO524" s="1358"/>
      <c r="VPP524" s="1358"/>
      <c r="VPQ524" s="1358"/>
      <c r="VPR524" s="1358"/>
      <c r="VPS524" s="1358"/>
      <c r="VPT524" s="1358"/>
      <c r="VPU524" s="1358"/>
      <c r="VPV524" s="1358"/>
      <c r="VPW524" s="1358"/>
      <c r="VPX524" s="1358"/>
      <c r="VPY524" s="1358"/>
      <c r="VPZ524" s="1358"/>
      <c r="VQA524" s="1358"/>
      <c r="VQB524" s="1358"/>
      <c r="VQC524" s="1358"/>
      <c r="VQD524" s="1358"/>
      <c r="VQE524" s="1358"/>
      <c r="VQF524" s="1358"/>
      <c r="VQG524" s="1358"/>
      <c r="VQH524" s="1358"/>
      <c r="VQI524" s="1358"/>
      <c r="VQJ524" s="1358"/>
      <c r="VQK524" s="1358"/>
      <c r="VQL524" s="1358"/>
      <c r="VQM524" s="1358"/>
      <c r="VQN524" s="1358"/>
      <c r="VQO524" s="1358"/>
      <c r="VQP524" s="1358"/>
      <c r="VQQ524" s="1358"/>
      <c r="VQR524" s="1358"/>
      <c r="VQS524" s="1358"/>
      <c r="VQT524" s="1358"/>
      <c r="VQU524" s="1358"/>
      <c r="VQV524" s="1358"/>
      <c r="VQW524" s="1358"/>
      <c r="VQX524" s="1358"/>
      <c r="VQY524" s="1358"/>
      <c r="VQZ524" s="1358"/>
      <c r="VRA524" s="1358"/>
      <c r="VRB524" s="1358"/>
      <c r="VRC524" s="1358"/>
      <c r="VRD524" s="1358"/>
      <c r="VRE524" s="1358"/>
      <c r="VRF524" s="1358"/>
      <c r="VRG524" s="1358"/>
      <c r="VRH524" s="1358"/>
      <c r="VRI524" s="1358"/>
      <c r="VRJ524" s="1358"/>
      <c r="VRK524" s="1358"/>
      <c r="VRL524" s="1358"/>
      <c r="VRM524" s="1358"/>
      <c r="VRN524" s="1358"/>
      <c r="VRO524" s="1358"/>
      <c r="VRP524" s="1358"/>
      <c r="VRQ524" s="1358"/>
      <c r="VRR524" s="1358"/>
      <c r="VRS524" s="1358"/>
      <c r="VRT524" s="1358"/>
      <c r="VRU524" s="1358"/>
      <c r="VRV524" s="1358"/>
      <c r="VRW524" s="1358"/>
      <c r="VRX524" s="1358"/>
      <c r="VRY524" s="1358"/>
      <c r="VRZ524" s="1358"/>
      <c r="VSA524" s="1358"/>
      <c r="VSB524" s="1358"/>
      <c r="VSC524" s="1358"/>
      <c r="VSD524" s="1358"/>
      <c r="VSE524" s="1358"/>
      <c r="VSF524" s="1358"/>
      <c r="VSG524" s="1358"/>
      <c r="VSH524" s="1358"/>
      <c r="VSI524" s="1358"/>
      <c r="VSJ524" s="1358"/>
      <c r="VSK524" s="1358"/>
      <c r="VSL524" s="1358"/>
      <c r="VSM524" s="1358"/>
      <c r="VSN524" s="1358"/>
      <c r="VSO524" s="1358"/>
      <c r="VSP524" s="1358"/>
      <c r="VSQ524" s="1358"/>
      <c r="VSR524" s="1358"/>
      <c r="VSS524" s="1358"/>
      <c r="VST524" s="1358"/>
      <c r="VSU524" s="1358"/>
      <c r="VSV524" s="1358"/>
      <c r="VSW524" s="1358"/>
      <c r="VSX524" s="1358"/>
      <c r="VSY524" s="1358"/>
      <c r="VSZ524" s="1358"/>
      <c r="VTA524" s="1358"/>
      <c r="VTB524" s="1358"/>
      <c r="VTC524" s="1358"/>
      <c r="VTD524" s="1358"/>
      <c r="VTE524" s="1358"/>
      <c r="VTF524" s="1358"/>
      <c r="VTG524" s="1358"/>
      <c r="VTH524" s="1358"/>
      <c r="VTI524" s="1358"/>
      <c r="VTJ524" s="1358"/>
      <c r="VTK524" s="1358"/>
      <c r="VTL524" s="1358"/>
      <c r="VTM524" s="1358"/>
      <c r="VTN524" s="1358"/>
      <c r="VTO524" s="1358"/>
      <c r="VTP524" s="1358"/>
      <c r="VTQ524" s="1358"/>
      <c r="VTR524" s="1358"/>
      <c r="VTS524" s="1358"/>
      <c r="VTT524" s="1358"/>
      <c r="VTU524" s="1358"/>
      <c r="VTV524" s="1358"/>
      <c r="VTW524" s="1358"/>
      <c r="VTX524" s="1358"/>
      <c r="VTY524" s="1358"/>
      <c r="VTZ524" s="1358"/>
      <c r="VUA524" s="1358"/>
      <c r="VUB524" s="1358"/>
      <c r="VUC524" s="1358"/>
      <c r="VUD524" s="1358"/>
      <c r="VUE524" s="1358"/>
      <c r="VUF524" s="1358"/>
      <c r="VUG524" s="1358"/>
      <c r="VUH524" s="1358"/>
      <c r="VUI524" s="1358"/>
      <c r="VUJ524" s="1358"/>
      <c r="VUK524" s="1358"/>
      <c r="VUL524" s="1358"/>
      <c r="VUM524" s="1358"/>
      <c r="VUN524" s="1358"/>
      <c r="VUO524" s="1358"/>
      <c r="VUP524" s="1358"/>
      <c r="VUQ524" s="1358"/>
      <c r="VUR524" s="1358"/>
      <c r="VUS524" s="1358"/>
      <c r="VUT524" s="1358"/>
      <c r="VUU524" s="1358"/>
      <c r="VUV524" s="1358"/>
      <c r="VUW524" s="1358"/>
      <c r="VUX524" s="1358"/>
      <c r="VUY524" s="1358"/>
      <c r="VUZ524" s="1358"/>
      <c r="VVA524" s="1358"/>
      <c r="VVB524" s="1358"/>
      <c r="VVC524" s="1358"/>
      <c r="VVD524" s="1358"/>
      <c r="VVE524" s="1358"/>
      <c r="VVF524" s="1358"/>
      <c r="VVG524" s="1358"/>
      <c r="VVH524" s="1358"/>
      <c r="VVI524" s="1358"/>
      <c r="VVJ524" s="1358"/>
      <c r="VVK524" s="1358"/>
      <c r="VVL524" s="1358"/>
      <c r="VVM524" s="1358"/>
      <c r="VVN524" s="1358"/>
      <c r="VVO524" s="1358"/>
      <c r="VVP524" s="1358"/>
      <c r="VVQ524" s="1358"/>
      <c r="VVR524" s="1358"/>
      <c r="VVS524" s="1358"/>
      <c r="VVT524" s="1358"/>
      <c r="VVU524" s="1358"/>
      <c r="VVV524" s="1358"/>
      <c r="VVW524" s="1358"/>
      <c r="VVX524" s="1358"/>
      <c r="VVY524" s="1358"/>
      <c r="VVZ524" s="1358"/>
      <c r="VWA524" s="1358"/>
      <c r="VWB524" s="1358"/>
      <c r="VWC524" s="1358"/>
      <c r="VWD524" s="1358"/>
      <c r="VWE524" s="1358"/>
      <c r="VWF524" s="1358"/>
      <c r="VWG524" s="1358"/>
      <c r="VWH524" s="1358"/>
      <c r="VWI524" s="1358"/>
      <c r="VWJ524" s="1358"/>
      <c r="VWK524" s="1358"/>
      <c r="VWL524" s="1358"/>
      <c r="VWM524" s="1358"/>
      <c r="VWN524" s="1358"/>
      <c r="VWO524" s="1358"/>
      <c r="VWP524" s="1358"/>
      <c r="VWQ524" s="1358"/>
      <c r="VWR524" s="1358"/>
      <c r="VWS524" s="1358"/>
      <c r="VWT524" s="1358"/>
      <c r="VWU524" s="1358"/>
      <c r="VWV524" s="1358"/>
      <c r="VWW524" s="1358"/>
      <c r="VWX524" s="1358"/>
      <c r="VWY524" s="1358"/>
      <c r="VWZ524" s="1358"/>
      <c r="VXA524" s="1358"/>
      <c r="VXB524" s="1358"/>
      <c r="VXC524" s="1358"/>
      <c r="VXD524" s="1358"/>
      <c r="VXE524" s="1358"/>
      <c r="VXF524" s="1358"/>
      <c r="VXG524" s="1358"/>
      <c r="VXH524" s="1358"/>
      <c r="VXI524" s="1358"/>
      <c r="VXJ524" s="1358"/>
      <c r="VXK524" s="1358"/>
      <c r="VXL524" s="1358"/>
      <c r="VXM524" s="1358"/>
      <c r="VXN524" s="1358"/>
      <c r="VXO524" s="1358"/>
      <c r="VXP524" s="1358"/>
      <c r="VXQ524" s="1358"/>
      <c r="VXR524" s="1358"/>
      <c r="VXS524" s="1358"/>
      <c r="VXT524" s="1358"/>
      <c r="VXU524" s="1358"/>
      <c r="VXV524" s="1358"/>
      <c r="VXW524" s="1358"/>
      <c r="VXX524" s="1358"/>
      <c r="VXY524" s="1358"/>
      <c r="VXZ524" s="1358"/>
      <c r="VYA524" s="1358"/>
      <c r="VYB524" s="1358"/>
      <c r="VYC524" s="1358"/>
      <c r="VYD524" s="1358"/>
      <c r="VYE524" s="1358"/>
      <c r="VYF524" s="1358"/>
      <c r="VYG524" s="1358"/>
      <c r="VYH524" s="1358"/>
      <c r="VYI524" s="1358"/>
      <c r="VYJ524" s="1358"/>
      <c r="VYK524" s="1358"/>
      <c r="VYL524" s="1358"/>
      <c r="VYM524" s="1358"/>
      <c r="VYN524" s="1358"/>
      <c r="VYO524" s="1358"/>
      <c r="VYP524" s="1358"/>
      <c r="VYQ524" s="1358"/>
      <c r="VYR524" s="1358"/>
      <c r="VYS524" s="1358"/>
      <c r="VYT524" s="1358"/>
      <c r="VYU524" s="1358"/>
      <c r="VYV524" s="1358"/>
      <c r="VYW524" s="1358"/>
      <c r="VYX524" s="1358"/>
      <c r="VYY524" s="1358"/>
      <c r="VYZ524" s="1358"/>
      <c r="VZA524" s="1358"/>
      <c r="VZB524" s="1358"/>
      <c r="VZC524" s="1358"/>
      <c r="VZD524" s="1358"/>
      <c r="VZE524" s="1358"/>
      <c r="VZF524" s="1358"/>
      <c r="VZG524" s="1358"/>
      <c r="VZH524" s="1358"/>
      <c r="VZI524" s="1358"/>
      <c r="VZJ524" s="1358"/>
      <c r="VZK524" s="1358"/>
      <c r="VZL524" s="1358"/>
      <c r="VZM524" s="1358"/>
      <c r="VZN524" s="1358"/>
      <c r="VZO524" s="1358"/>
      <c r="VZP524" s="1358"/>
      <c r="VZQ524" s="1358"/>
      <c r="VZR524" s="1358"/>
      <c r="VZS524" s="1358"/>
      <c r="VZT524" s="1358"/>
      <c r="VZU524" s="1358"/>
      <c r="VZV524" s="1358"/>
      <c r="VZW524" s="1358"/>
      <c r="VZX524" s="1358"/>
      <c r="VZY524" s="1358"/>
      <c r="VZZ524" s="1358"/>
      <c r="WAA524" s="1358"/>
      <c r="WAB524" s="1358"/>
      <c r="WAC524" s="1358"/>
      <c r="WAD524" s="1358"/>
      <c r="WAE524" s="1358"/>
      <c r="WAF524" s="1358"/>
      <c r="WAG524" s="1358"/>
      <c r="WAH524" s="1358"/>
      <c r="WAI524" s="1358"/>
      <c r="WAJ524" s="1358"/>
      <c r="WAK524" s="1358"/>
      <c r="WAL524" s="1358"/>
      <c r="WAM524" s="1358"/>
      <c r="WAN524" s="1358"/>
      <c r="WAO524" s="1358"/>
      <c r="WAP524" s="1358"/>
      <c r="WAQ524" s="1358"/>
      <c r="WAR524" s="1358"/>
      <c r="WAS524" s="1358"/>
      <c r="WAT524" s="1358"/>
      <c r="WAU524" s="1358"/>
      <c r="WAV524" s="1358"/>
      <c r="WAW524" s="1358"/>
      <c r="WAX524" s="1358"/>
      <c r="WAY524" s="1358"/>
      <c r="WAZ524" s="1358"/>
      <c r="WBA524" s="1358"/>
      <c r="WBB524" s="1358"/>
      <c r="WBC524" s="1358"/>
      <c r="WBD524" s="1358"/>
      <c r="WBE524" s="1358"/>
      <c r="WBF524" s="1358"/>
      <c r="WBG524" s="1358"/>
      <c r="WBH524" s="1358"/>
      <c r="WBI524" s="1358"/>
      <c r="WBJ524" s="1358"/>
      <c r="WBK524" s="1358"/>
      <c r="WBL524" s="1358"/>
      <c r="WBM524" s="1358"/>
      <c r="WBN524" s="1358"/>
      <c r="WBO524" s="1358"/>
      <c r="WBP524" s="1358"/>
      <c r="WBQ524" s="1358"/>
      <c r="WBR524" s="1358"/>
      <c r="WBS524" s="1358"/>
      <c r="WBT524" s="1358"/>
      <c r="WBU524" s="1358"/>
      <c r="WBV524" s="1358"/>
      <c r="WBW524" s="1358"/>
      <c r="WBX524" s="1358"/>
      <c r="WBY524" s="1358"/>
      <c r="WBZ524" s="1358"/>
      <c r="WCA524" s="1358"/>
      <c r="WCB524" s="1358"/>
      <c r="WCC524" s="1358"/>
      <c r="WCD524" s="1358"/>
      <c r="WCE524" s="1358"/>
      <c r="WCF524" s="1358"/>
      <c r="WCG524" s="1358"/>
      <c r="WCH524" s="1358"/>
      <c r="WCI524" s="1358"/>
      <c r="WCJ524" s="1358"/>
      <c r="WCK524" s="1358"/>
      <c r="WCL524" s="1358"/>
      <c r="WCM524" s="1358"/>
      <c r="WCN524" s="1358"/>
      <c r="WCO524" s="1358"/>
      <c r="WCP524" s="1358"/>
      <c r="WCQ524" s="1358"/>
      <c r="WCR524" s="1358"/>
      <c r="WCS524" s="1358"/>
      <c r="WCT524" s="1358"/>
      <c r="WCU524" s="1358"/>
      <c r="WCV524" s="1358"/>
      <c r="WCW524" s="1358"/>
      <c r="WCX524" s="1358"/>
      <c r="WCY524" s="1358"/>
      <c r="WCZ524" s="1358"/>
      <c r="WDA524" s="1358"/>
      <c r="WDB524" s="1358"/>
      <c r="WDC524" s="1358"/>
      <c r="WDD524" s="1358"/>
      <c r="WDE524" s="1358"/>
      <c r="WDF524" s="1358"/>
      <c r="WDG524" s="1358"/>
      <c r="WDH524" s="1358"/>
      <c r="WDI524" s="1358"/>
      <c r="WDJ524" s="1358"/>
      <c r="WDK524" s="1358"/>
      <c r="WDL524" s="1358"/>
      <c r="WDM524" s="1358"/>
      <c r="WDN524" s="1358"/>
      <c r="WDO524" s="1358"/>
      <c r="WDP524" s="1358"/>
      <c r="WDQ524" s="1358"/>
      <c r="WDR524" s="1358"/>
      <c r="WDS524" s="1358"/>
      <c r="WDT524" s="1358"/>
      <c r="WDU524" s="1358"/>
      <c r="WDV524" s="1358"/>
      <c r="WDW524" s="1358"/>
      <c r="WDX524" s="1358"/>
      <c r="WDY524" s="1358"/>
      <c r="WDZ524" s="1358"/>
      <c r="WEA524" s="1358"/>
      <c r="WEB524" s="1358"/>
      <c r="WEC524" s="1358"/>
      <c r="WED524" s="1358"/>
      <c r="WEE524" s="1358"/>
      <c r="WEF524" s="1358"/>
      <c r="WEG524" s="1358"/>
      <c r="WEH524" s="1358"/>
      <c r="WEI524" s="1358"/>
      <c r="WEJ524" s="1358"/>
      <c r="WEK524" s="1358"/>
      <c r="WEL524" s="1358"/>
      <c r="WEM524" s="1358"/>
      <c r="WEN524" s="1358"/>
      <c r="WEO524" s="1358"/>
      <c r="WEP524" s="1358"/>
      <c r="WEQ524" s="1358"/>
      <c r="WER524" s="1358"/>
      <c r="WES524" s="1358"/>
      <c r="WET524" s="1358"/>
      <c r="WEU524" s="1358"/>
      <c r="WEV524" s="1358"/>
      <c r="WEW524" s="1358"/>
      <c r="WEX524" s="1358"/>
      <c r="WEY524" s="1358"/>
      <c r="WEZ524" s="1358"/>
      <c r="WFA524" s="1358"/>
      <c r="WFB524" s="1358"/>
      <c r="WFC524" s="1358"/>
      <c r="WFD524" s="1358"/>
      <c r="WFE524" s="1358"/>
      <c r="WFF524" s="1358"/>
      <c r="WFG524" s="1358"/>
      <c r="WFH524" s="1358"/>
      <c r="WFI524" s="1358"/>
      <c r="WFJ524" s="1358"/>
      <c r="WFK524" s="1358"/>
      <c r="WFL524" s="1358"/>
      <c r="WFM524" s="1358"/>
      <c r="WFN524" s="1358"/>
      <c r="WFO524" s="1358"/>
      <c r="WFP524" s="1358"/>
      <c r="WFQ524" s="1358"/>
      <c r="WFR524" s="1358"/>
      <c r="WFS524" s="1358"/>
      <c r="WFT524" s="1358"/>
      <c r="WFU524" s="1358"/>
      <c r="WFV524" s="1358"/>
      <c r="WFW524" s="1358"/>
      <c r="WFX524" s="1358"/>
      <c r="WFY524" s="1358"/>
      <c r="WFZ524" s="1358"/>
      <c r="WGA524" s="1358"/>
      <c r="WGB524" s="1358"/>
      <c r="WGC524" s="1358"/>
      <c r="WGD524" s="1358"/>
      <c r="WGE524" s="1358"/>
      <c r="WGF524" s="1358"/>
      <c r="WGG524" s="1358"/>
      <c r="WGH524" s="1358"/>
      <c r="WGI524" s="1358"/>
      <c r="WGJ524" s="1358"/>
      <c r="WGK524" s="1358"/>
      <c r="WGL524" s="1358"/>
      <c r="WGM524" s="1358"/>
      <c r="WGN524" s="1358"/>
      <c r="WGO524" s="1358"/>
      <c r="WGP524" s="1358"/>
      <c r="WGQ524" s="1358"/>
      <c r="WGR524" s="1358"/>
      <c r="WGS524" s="1358"/>
      <c r="WGT524" s="1358"/>
      <c r="WGU524" s="1358"/>
      <c r="WGV524" s="1358"/>
      <c r="WGW524" s="1358"/>
      <c r="WGX524" s="1358"/>
      <c r="WGY524" s="1358"/>
      <c r="WGZ524" s="1358"/>
      <c r="WHA524" s="1358"/>
      <c r="WHB524" s="1358"/>
      <c r="WHC524" s="1358"/>
      <c r="WHD524" s="1358"/>
      <c r="WHE524" s="1358"/>
      <c r="WHF524" s="1358"/>
      <c r="WHG524" s="1358"/>
      <c r="WHH524" s="1358"/>
      <c r="WHI524" s="1358"/>
      <c r="WHJ524" s="1358"/>
      <c r="WHK524" s="1358"/>
      <c r="WHL524" s="1358"/>
      <c r="WHM524" s="1358"/>
      <c r="WHN524" s="1358"/>
      <c r="WHO524" s="1358"/>
      <c r="WHP524" s="1358"/>
      <c r="WHQ524" s="1358"/>
      <c r="WHR524" s="1358"/>
      <c r="WHS524" s="1358"/>
      <c r="WHT524" s="1358"/>
      <c r="WHU524" s="1358"/>
      <c r="WHV524" s="1358"/>
      <c r="WHW524" s="1358"/>
      <c r="WHX524" s="1358"/>
      <c r="WHY524" s="1358"/>
      <c r="WHZ524" s="1358"/>
      <c r="WIA524" s="1358"/>
      <c r="WIB524" s="1358"/>
      <c r="WIC524" s="1358"/>
      <c r="WID524" s="1358"/>
      <c r="WIE524" s="1358"/>
      <c r="WIF524" s="1358"/>
      <c r="WIG524" s="1358"/>
      <c r="WIH524" s="1358"/>
      <c r="WII524" s="1358"/>
      <c r="WIJ524" s="1358"/>
      <c r="WIK524" s="1358"/>
      <c r="WIL524" s="1358"/>
      <c r="WIM524" s="1358"/>
      <c r="WIN524" s="1358"/>
      <c r="WIO524" s="1358"/>
      <c r="WIP524" s="1358"/>
      <c r="WIQ524" s="1358"/>
      <c r="WIR524" s="1358"/>
      <c r="WIS524" s="1358"/>
      <c r="WIT524" s="1358"/>
      <c r="WIU524" s="1358"/>
      <c r="WIV524" s="1358"/>
      <c r="WIW524" s="1358"/>
      <c r="WIX524" s="1358"/>
      <c r="WIY524" s="1358"/>
      <c r="WIZ524" s="1358"/>
      <c r="WJA524" s="1358"/>
      <c r="WJB524" s="1358"/>
      <c r="WJC524" s="1358"/>
      <c r="WJD524" s="1358"/>
      <c r="WJE524" s="1358"/>
      <c r="WJF524" s="1358"/>
      <c r="WJG524" s="1358"/>
      <c r="WJH524" s="1358"/>
      <c r="WJI524" s="1358"/>
      <c r="WJJ524" s="1358"/>
      <c r="WJK524" s="1358"/>
      <c r="WJL524" s="1358"/>
      <c r="WJM524" s="1358"/>
      <c r="WJN524" s="1358"/>
      <c r="WJO524" s="1358"/>
      <c r="WJP524" s="1358"/>
      <c r="WJQ524" s="1358"/>
      <c r="WJR524" s="1358"/>
      <c r="WJS524" s="1358"/>
      <c r="WJT524" s="1358"/>
      <c r="WJU524" s="1358"/>
      <c r="WJV524" s="1358"/>
      <c r="WJW524" s="1358"/>
      <c r="WJX524" s="1358"/>
      <c r="WJY524" s="1358"/>
      <c r="WJZ524" s="1358"/>
      <c r="WKA524" s="1358"/>
      <c r="WKB524" s="1358"/>
      <c r="WKC524" s="1358"/>
      <c r="WKD524" s="1358"/>
      <c r="WKE524" s="1358"/>
      <c r="WKF524" s="1358"/>
      <c r="WKG524" s="1358"/>
      <c r="WKH524" s="1358"/>
      <c r="WKI524" s="1358"/>
      <c r="WKJ524" s="1358"/>
      <c r="WKK524" s="1358"/>
      <c r="WKL524" s="1358"/>
      <c r="WKM524" s="1358"/>
      <c r="WKN524" s="1358"/>
      <c r="WKO524" s="1358"/>
      <c r="WKP524" s="1358"/>
      <c r="WKQ524" s="1358"/>
      <c r="WKR524" s="1358"/>
      <c r="WKS524" s="1358"/>
      <c r="WKT524" s="1358"/>
      <c r="WKU524" s="1358"/>
      <c r="WKV524" s="1358"/>
      <c r="WKW524" s="1358"/>
      <c r="WKX524" s="1358"/>
      <c r="WKY524" s="1358"/>
      <c r="WKZ524" s="1358"/>
      <c r="WLA524" s="1358"/>
      <c r="WLB524" s="1358"/>
      <c r="WLC524" s="1358"/>
      <c r="WLD524" s="1358"/>
      <c r="WLE524" s="1358"/>
      <c r="WLF524" s="1358"/>
      <c r="WLG524" s="1358"/>
      <c r="WLH524" s="1358"/>
      <c r="WLI524" s="1358"/>
      <c r="WLJ524" s="1358"/>
      <c r="WLK524" s="1358"/>
      <c r="WLL524" s="1358"/>
      <c r="WLM524" s="1358"/>
      <c r="WLN524" s="1358"/>
      <c r="WLO524" s="1358"/>
      <c r="WLP524" s="1358"/>
      <c r="WLQ524" s="1358"/>
      <c r="WLR524" s="1358"/>
      <c r="WLS524" s="1358"/>
      <c r="WLT524" s="1358"/>
      <c r="WLU524" s="1358"/>
      <c r="WLV524" s="1358"/>
      <c r="WLW524" s="1358"/>
      <c r="WLX524" s="1358"/>
      <c r="WLY524" s="1358"/>
      <c r="WLZ524" s="1358"/>
      <c r="WMA524" s="1358"/>
      <c r="WMB524" s="1358"/>
      <c r="WMC524" s="1358"/>
      <c r="WMD524" s="1358"/>
      <c r="WME524" s="1358"/>
      <c r="WMF524" s="1358"/>
      <c r="WMG524" s="1358"/>
      <c r="WMH524" s="1358"/>
      <c r="WMI524" s="1358"/>
      <c r="WMJ524" s="1358"/>
      <c r="WMK524" s="1358"/>
      <c r="WML524" s="1358"/>
      <c r="WMM524" s="1358"/>
      <c r="WMN524" s="1358"/>
      <c r="WMO524" s="1358"/>
      <c r="WMP524" s="1358"/>
      <c r="WMQ524" s="1358"/>
      <c r="WMR524" s="1358"/>
      <c r="WMS524" s="1358"/>
      <c r="WMT524" s="1358"/>
      <c r="WMU524" s="1358"/>
      <c r="WMV524" s="1358"/>
      <c r="WMW524" s="1358"/>
      <c r="WMX524" s="1358"/>
      <c r="WMY524" s="1358"/>
      <c r="WMZ524" s="1358"/>
      <c r="WNA524" s="1358"/>
      <c r="WNB524" s="1358"/>
      <c r="WNC524" s="1358"/>
      <c r="WND524" s="1358"/>
      <c r="WNE524" s="1358"/>
      <c r="WNF524" s="1358"/>
      <c r="WNG524" s="1358"/>
      <c r="WNH524" s="1358"/>
      <c r="WNI524" s="1358"/>
      <c r="WNJ524" s="1358"/>
      <c r="WNK524" s="1358"/>
      <c r="WNL524" s="1358"/>
      <c r="WNM524" s="1358"/>
      <c r="WNN524" s="1358"/>
      <c r="WNO524" s="1358"/>
      <c r="WNP524" s="1358"/>
      <c r="WNQ524" s="1358"/>
      <c r="WNR524" s="1358"/>
      <c r="WNS524" s="1358"/>
      <c r="WNT524" s="1358"/>
      <c r="WNU524" s="1358"/>
      <c r="WNV524" s="1358"/>
      <c r="WNW524" s="1358"/>
      <c r="WNX524" s="1358"/>
      <c r="WNY524" s="1358"/>
      <c r="WNZ524" s="1358"/>
      <c r="WOA524" s="1358"/>
      <c r="WOB524" s="1358"/>
      <c r="WOC524" s="1358"/>
      <c r="WOD524" s="1358"/>
      <c r="WOE524" s="1358"/>
      <c r="WOF524" s="1358"/>
      <c r="WOG524" s="1358"/>
      <c r="WOH524" s="1358"/>
      <c r="WOI524" s="1358"/>
      <c r="WOJ524" s="1358"/>
      <c r="WOK524" s="1358"/>
      <c r="WOL524" s="1358"/>
      <c r="WOM524" s="1358"/>
      <c r="WON524" s="1358"/>
      <c r="WOO524" s="1358"/>
      <c r="WOP524" s="1358"/>
      <c r="WOQ524" s="1358"/>
      <c r="WOR524" s="1358"/>
      <c r="WOS524" s="1358"/>
      <c r="WOT524" s="1358"/>
      <c r="WOU524" s="1358"/>
      <c r="WOV524" s="1358"/>
      <c r="WOW524" s="1358"/>
      <c r="WOX524" s="1358"/>
      <c r="WOY524" s="1358"/>
      <c r="WOZ524" s="1358"/>
      <c r="WPA524" s="1358"/>
      <c r="WPB524" s="1358"/>
      <c r="WPC524" s="1358"/>
      <c r="WPD524" s="1358"/>
      <c r="WPE524" s="1358"/>
      <c r="WPF524" s="1358"/>
      <c r="WPG524" s="1358"/>
      <c r="WPH524" s="1358"/>
      <c r="WPI524" s="1358"/>
      <c r="WPJ524" s="1358"/>
      <c r="WPK524" s="1358"/>
      <c r="WPL524" s="1358"/>
      <c r="WPM524" s="1358"/>
      <c r="WPN524" s="1358"/>
      <c r="WPO524" s="1358"/>
      <c r="WPP524" s="1358"/>
      <c r="WPQ524" s="1358"/>
      <c r="WPR524" s="1358"/>
      <c r="WPS524" s="1358"/>
      <c r="WPT524" s="1358"/>
      <c r="WPU524" s="1358"/>
      <c r="WPV524" s="1358"/>
      <c r="WPW524" s="1358"/>
      <c r="WPX524" s="1358"/>
      <c r="WPY524" s="1358"/>
      <c r="WPZ524" s="1358"/>
      <c r="WQA524" s="1358"/>
      <c r="WQB524" s="1358"/>
      <c r="WQC524" s="1358"/>
      <c r="WQD524" s="1358"/>
      <c r="WQE524" s="1358"/>
      <c r="WQF524" s="1358"/>
      <c r="WQG524" s="1358"/>
      <c r="WQH524" s="1358"/>
      <c r="WQI524" s="1358"/>
      <c r="WQJ524" s="1358"/>
      <c r="WQK524" s="1358"/>
      <c r="WQL524" s="1358"/>
      <c r="WQM524" s="1358"/>
      <c r="WQN524" s="1358"/>
      <c r="WQO524" s="1358"/>
      <c r="WQP524" s="1358"/>
      <c r="WQQ524" s="1358"/>
      <c r="WQR524" s="1358"/>
      <c r="WQS524" s="1358"/>
      <c r="WQT524" s="1358"/>
      <c r="WQU524" s="1358"/>
      <c r="WQV524" s="1358"/>
      <c r="WQW524" s="1358"/>
      <c r="WQX524" s="1358"/>
      <c r="WQY524" s="1358"/>
      <c r="WQZ524" s="1358"/>
      <c r="WRA524" s="1358"/>
      <c r="WRB524" s="1358"/>
      <c r="WRC524" s="1358"/>
      <c r="WRD524" s="1358"/>
      <c r="WRE524" s="1358"/>
      <c r="WRF524" s="1358"/>
      <c r="WRG524" s="1358"/>
      <c r="WRH524" s="1358"/>
      <c r="WRI524" s="1358"/>
      <c r="WRJ524" s="1359"/>
      <c r="WRK524" s="1360"/>
      <c r="WRL524" s="1361"/>
      <c r="WRM524" s="1362"/>
      <c r="WRN524" s="1368"/>
      <c r="WRO524" s="1363"/>
      <c r="WRP524" s="1364"/>
      <c r="WRQ524" s="1365"/>
      <c r="WRR524" s="1364"/>
      <c r="WRS524" s="1366"/>
      <c r="WRT524" s="1367"/>
      <c r="WRU524" s="1363"/>
      <c r="WRV524" s="1363"/>
      <c r="WRW524" s="1363"/>
      <c r="WRX524" s="1358"/>
      <c r="WRY524" s="1358"/>
      <c r="WRZ524" s="1358"/>
      <c r="WSA524" s="1358"/>
      <c r="WSB524" s="1359"/>
      <c r="WSC524" s="1360"/>
      <c r="WSD524" s="1361"/>
      <c r="WSE524" s="1362"/>
      <c r="WSF524" s="1368"/>
      <c r="WSG524" s="1363"/>
      <c r="WSH524" s="1364"/>
      <c r="WSI524" s="1365"/>
      <c r="WSJ524" s="1364"/>
      <c r="WSK524" s="1366"/>
      <c r="WSL524" s="1367"/>
      <c r="WSM524" s="1363"/>
      <c r="WSN524" s="1363"/>
      <c r="WSO524" s="1363"/>
      <c r="WSP524" s="1358"/>
      <c r="WSQ524" s="1358"/>
      <c r="WSR524" s="1358"/>
      <c r="WSS524" s="1358"/>
      <c r="WST524" s="1359"/>
      <c r="WSU524" s="1360"/>
      <c r="WSV524" s="1361"/>
      <c r="WSW524" s="1362"/>
      <c r="WSX524" s="1368"/>
      <c r="WSY524" s="1363"/>
      <c r="WSZ524" s="1364"/>
      <c r="WTA524" s="1365"/>
      <c r="WTB524" s="1364"/>
      <c r="WTC524" s="1366"/>
      <c r="WTD524" s="1367"/>
      <c r="WTE524" s="1363"/>
      <c r="WTF524" s="1363"/>
      <c r="WTG524" s="1363"/>
      <c r="WTH524" s="1358"/>
      <c r="WTI524" s="1358"/>
      <c r="WTJ524" s="1358"/>
      <c r="WTK524" s="1358"/>
      <c r="WTL524" s="1359"/>
      <c r="WTM524" s="1360"/>
      <c r="WTN524" s="1361"/>
      <c r="WTO524" s="1362"/>
      <c r="WTP524" s="1368"/>
      <c r="WTQ524" s="1363"/>
      <c r="WTR524" s="1364"/>
      <c r="WTS524" s="1365"/>
      <c r="WTT524" s="1364"/>
      <c r="WTU524" s="1366"/>
      <c r="WTV524" s="1367"/>
      <c r="WTW524" s="1363"/>
      <c r="WTX524" s="1363"/>
      <c r="WTY524" s="1363"/>
      <c r="WTZ524" s="1358"/>
      <c r="WUA524" s="1358"/>
      <c r="WUB524" s="1358"/>
      <c r="WUC524" s="1358"/>
      <c r="WUD524" s="1359"/>
      <c r="WUE524" s="1360"/>
      <c r="WUF524" s="1361"/>
      <c r="WUG524" s="1362"/>
      <c r="WUH524" s="1368"/>
      <c r="WUI524" s="1363"/>
      <c r="WUJ524" s="1364"/>
      <c r="WUK524" s="1365"/>
      <c r="WUL524" s="1364"/>
      <c r="WUM524" s="1366"/>
      <c r="WUN524" s="1367"/>
      <c r="WUO524" s="1363"/>
      <c r="WUP524" s="1363"/>
      <c r="WUQ524" s="1363"/>
      <c r="WUR524" s="1358"/>
      <c r="WUS524" s="1358"/>
      <c r="WUT524" s="1358"/>
      <c r="WUU524" s="1358"/>
      <c r="WUV524" s="1359"/>
      <c r="WUW524" s="1360"/>
      <c r="WUX524" s="1361"/>
      <c r="WUY524" s="1362"/>
      <c r="WUZ524" s="1368"/>
      <c r="WVA524" s="1363"/>
      <c r="WVB524" s="1364"/>
      <c r="WVC524" s="1365"/>
      <c r="WVD524" s="1364"/>
      <c r="WVE524" s="1366"/>
      <c r="WVF524" s="1367"/>
      <c r="WVG524" s="1363"/>
      <c r="WVH524" s="1363"/>
      <c r="WVI524" s="1363"/>
      <c r="WVJ524" s="1358"/>
      <c r="WVK524" s="1358"/>
      <c r="WVL524" s="1358"/>
      <c r="WVM524" s="1358"/>
      <c r="WVN524" s="1359"/>
      <c r="WVO524" s="1360"/>
      <c r="WVP524" s="1361"/>
      <c r="WVQ524" s="1362"/>
      <c r="WVR524" s="1368"/>
      <c r="WVS524" s="1363"/>
      <c r="WVT524" s="1364"/>
      <c r="WVU524" s="1365"/>
      <c r="WVV524" s="1364"/>
      <c r="WVW524" s="1366"/>
      <c r="WVX524" s="1367"/>
      <c r="WVY524" s="1363"/>
      <c r="WVZ524" s="1363"/>
      <c r="WWA524" s="1363"/>
      <c r="WWB524" s="1358"/>
      <c r="WWC524" s="1358"/>
      <c r="WWD524" s="1358"/>
      <c r="WWE524" s="1358"/>
      <c r="WWF524" s="1359"/>
      <c r="WWG524" s="1360"/>
      <c r="WWH524" s="1361"/>
      <c r="WWI524" s="1362"/>
      <c r="WWJ524" s="1368"/>
      <c r="WWK524" s="1363"/>
      <c r="WWL524" s="1364"/>
      <c r="WWM524" s="1365"/>
      <c r="WWN524" s="1364"/>
      <c r="WWO524" s="1366"/>
      <c r="WWP524" s="1367"/>
      <c r="WWQ524" s="1363"/>
      <c r="WWR524" s="1363"/>
      <c r="WWS524" s="1363"/>
      <c r="WWT524" s="1358"/>
      <c r="WWU524" s="1358"/>
      <c r="WWV524" s="1358"/>
      <c r="WWW524" s="1358"/>
      <c r="WWX524" s="1359"/>
      <c r="WWY524" s="1360"/>
      <c r="WWZ524" s="1361"/>
      <c r="WXA524" s="1362"/>
      <c r="WXB524" s="1368"/>
      <c r="WXC524" s="1363"/>
      <c r="WXD524" s="1364"/>
      <c r="WXE524" s="1365"/>
      <c r="WXF524" s="1364"/>
      <c r="WXG524" s="1366"/>
      <c r="WXH524" s="1367"/>
      <c r="WXI524" s="1363"/>
      <c r="WXJ524" s="1363"/>
      <c r="WXK524" s="1363"/>
      <c r="WXL524" s="1358"/>
      <c r="WXM524" s="1358"/>
      <c r="WXN524" s="1358"/>
      <c r="WXO524" s="1358"/>
      <c r="WXP524" s="1359"/>
      <c r="WXQ524" s="1360"/>
      <c r="WXR524" s="1361"/>
      <c r="WXS524" s="1362"/>
      <c r="WXT524" s="1368"/>
      <c r="WXU524" s="1363"/>
      <c r="WXV524" s="1364"/>
      <c r="WXW524" s="1365"/>
      <c r="WXX524" s="1364"/>
      <c r="WXY524" s="1366"/>
      <c r="WXZ524" s="1367"/>
      <c r="WYA524" s="1363"/>
      <c r="WYB524" s="1363"/>
      <c r="WYC524" s="1363"/>
      <c r="WYD524" s="1358"/>
      <c r="WYE524" s="1358"/>
      <c r="WYF524" s="1358"/>
      <c r="WYG524" s="1358"/>
      <c r="WYH524" s="1359"/>
      <c r="WYI524" s="1360"/>
      <c r="WYJ524" s="1361"/>
      <c r="WYK524" s="1362"/>
      <c r="WYL524" s="1368"/>
      <c r="WYM524" s="1363"/>
      <c r="WYN524" s="1364"/>
      <c r="WYO524" s="1365"/>
      <c r="WYP524" s="1364"/>
      <c r="WYQ524" s="1366"/>
      <c r="WYR524" s="1367"/>
      <c r="WYS524" s="1363"/>
      <c r="WYT524" s="1363"/>
      <c r="WYU524" s="1363"/>
      <c r="WYV524" s="1358"/>
      <c r="WYW524" s="1358"/>
      <c r="WYX524" s="1358"/>
      <c r="WYY524" s="1358"/>
      <c r="WYZ524" s="1359"/>
      <c r="WZA524" s="1360"/>
      <c r="WZB524" s="1361"/>
      <c r="WZC524" s="1362"/>
      <c r="WZD524" s="1368"/>
      <c r="WZE524" s="1363"/>
      <c r="WZF524" s="1364"/>
      <c r="WZG524" s="1365"/>
      <c r="WZH524" s="1364"/>
      <c r="WZI524" s="1366"/>
      <c r="WZJ524" s="1367"/>
      <c r="WZK524" s="1363"/>
      <c r="WZL524" s="1363"/>
      <c r="WZM524" s="1363"/>
      <c r="WZN524" s="1358"/>
      <c r="WZO524" s="1358"/>
      <c r="WZP524" s="1358"/>
      <c r="WZQ524" s="1358"/>
      <c r="WZR524" s="1359"/>
      <c r="WZS524" s="1360"/>
      <c r="WZT524" s="1361"/>
      <c r="WZU524" s="1362"/>
      <c r="WZV524" s="1368"/>
      <c r="WZW524" s="1363"/>
      <c r="WZX524" s="1364"/>
      <c r="WZY524" s="1365"/>
      <c r="WZZ524" s="1364"/>
      <c r="XAA524" s="1366"/>
      <c r="XAB524" s="1367"/>
      <c r="XAC524" s="1363"/>
      <c r="XAD524" s="1363"/>
      <c r="XAE524" s="1363"/>
      <c r="XAF524" s="1358"/>
      <c r="XAG524" s="1358"/>
      <c r="XAH524" s="1358"/>
      <c r="XAI524" s="1358"/>
      <c r="XAJ524" s="1359"/>
      <c r="XAK524" s="1360"/>
      <c r="XAL524" s="1361"/>
      <c r="XAM524" s="1362"/>
      <c r="XAN524" s="1368"/>
      <c r="XAO524" s="1363"/>
      <c r="XAP524" s="1364"/>
      <c r="XAQ524" s="1365"/>
      <c r="XAR524" s="1364"/>
      <c r="XAS524" s="1366"/>
      <c r="XAT524" s="1367"/>
      <c r="XAU524" s="1363"/>
      <c r="XAV524" s="1363"/>
      <c r="XAW524" s="1363"/>
      <c r="XAX524" s="1358"/>
      <c r="XAY524" s="1358"/>
      <c r="XAZ524" s="1358"/>
      <c r="XBA524" s="1358"/>
      <c r="XBB524" s="1359"/>
      <c r="XBC524" s="1360"/>
      <c r="XBD524" s="1361"/>
      <c r="XBE524" s="1362"/>
      <c r="XBF524" s="1368"/>
      <c r="XBG524" s="1363"/>
      <c r="XBH524" s="1364"/>
      <c r="XBI524" s="1365"/>
      <c r="XBJ524" s="1364"/>
      <c r="XBK524" s="1366"/>
      <c r="XBL524" s="1367"/>
      <c r="XBM524" s="1363"/>
      <c r="XBN524" s="1363"/>
      <c r="XBO524" s="1363"/>
      <c r="XBP524" s="1358"/>
      <c r="XBQ524" s="1358"/>
      <c r="XBR524" s="1358"/>
      <c r="XBS524" s="1358"/>
      <c r="XBT524" s="1359"/>
      <c r="XBU524" s="1360"/>
      <c r="XBV524" s="1361"/>
      <c r="XBW524" s="1362"/>
      <c r="XBX524" s="1368"/>
      <c r="XBY524" s="1363"/>
      <c r="XBZ524" s="1364"/>
      <c r="XCA524" s="1365"/>
      <c r="XCB524" s="1364"/>
      <c r="XCC524" s="1366"/>
      <c r="XCD524" s="1367"/>
      <c r="XCE524" s="1363"/>
      <c r="XCF524" s="1363"/>
      <c r="XCG524" s="1363"/>
      <c r="XCH524" s="1358"/>
      <c r="XCI524" s="1358"/>
      <c r="XCJ524" s="1358"/>
      <c r="XCK524" s="1358"/>
      <c r="XCL524" s="1359"/>
      <c r="XCM524" s="1360"/>
      <c r="XCN524" s="1361"/>
      <c r="XCO524" s="1362"/>
      <c r="XCP524" s="1368"/>
      <c r="XCQ524" s="1363"/>
      <c r="XCR524" s="1364"/>
      <c r="XCS524" s="1365"/>
      <c r="XCT524" s="1364"/>
      <c r="XCU524" s="1366"/>
      <c r="XCV524" s="1367"/>
      <c r="XCW524" s="1363"/>
      <c r="XCX524" s="1363"/>
      <c r="XCY524" s="1363"/>
      <c r="XCZ524" s="1358"/>
      <c r="XDA524" s="1358"/>
      <c r="XDB524" s="1358"/>
      <c r="XDC524" s="1358"/>
      <c r="XDD524" s="1359"/>
      <c r="XDE524" s="1360"/>
      <c r="XDF524" s="1361"/>
      <c r="XDG524" s="1362"/>
      <c r="XDH524" s="1368"/>
      <c r="XDI524" s="1363"/>
      <c r="XDJ524" s="1364"/>
      <c r="XDK524" s="1365"/>
      <c r="XDL524" s="1364"/>
      <c r="XDM524" s="1366"/>
      <c r="XDN524" s="1367"/>
      <c r="XDO524" s="1363"/>
      <c r="XDP524" s="1363"/>
      <c r="XDQ524" s="1363"/>
      <c r="XDR524" s="1358"/>
      <c r="XDS524" s="1358"/>
      <c r="XDT524" s="1358"/>
      <c r="XDU524" s="1358"/>
      <c r="XDV524" s="1359"/>
      <c r="XDW524" s="1360"/>
      <c r="XDX524" s="1361"/>
      <c r="XDY524" s="1362"/>
      <c r="XDZ524" s="1368"/>
      <c r="XEA524" s="1363"/>
      <c r="XEB524" s="1364"/>
      <c r="XEC524" s="1365"/>
      <c r="XED524" s="1364"/>
      <c r="XEE524" s="1366"/>
      <c r="XEF524" s="1367"/>
      <c r="XEG524" s="1363"/>
      <c r="XEH524" s="1363"/>
      <c r="XEI524" s="1363"/>
      <c r="XEJ524" s="1358"/>
      <c r="XEK524" s="1358"/>
      <c r="XEL524" s="1358"/>
      <c r="XEM524" s="1358"/>
      <c r="XEN524" s="1359"/>
      <c r="XEO524" s="1360"/>
      <c r="XEP524" s="1361"/>
      <c r="XEQ524" s="1362"/>
      <c r="XER524" s="1368"/>
      <c r="XES524" s="1363"/>
      <c r="XET524" s="1364"/>
      <c r="XEU524" s="1365"/>
      <c r="XEV524" s="1364"/>
      <c r="XEW524" s="1366"/>
      <c r="XEX524" s="1367"/>
      <c r="XEY524" s="1363"/>
      <c r="XEZ524" s="1363"/>
      <c r="XFA524" s="1363"/>
    </row>
    <row r="525" spans="1:16381" s="1414" customFormat="1" ht="28.8" x14ac:dyDescent="0.3">
      <c r="A525" s="1358" t="s">
        <v>264</v>
      </c>
      <c r="B525" s="1359" t="s">
        <v>280</v>
      </c>
      <c r="C525" s="1360" t="s">
        <v>3888</v>
      </c>
      <c r="D525" s="1361" t="s">
        <v>34</v>
      </c>
      <c r="E525" s="1362" t="s">
        <v>282</v>
      </c>
      <c r="F525" s="1368" t="s">
        <v>285</v>
      </c>
      <c r="G525" s="1363">
        <v>19.45</v>
      </c>
      <c r="H525" s="1364">
        <v>510104.55</v>
      </c>
      <c r="I525" s="1365" t="s">
        <v>267</v>
      </c>
      <c r="J525" s="1364">
        <v>510104.55</v>
      </c>
      <c r="K525" s="1366">
        <v>0</v>
      </c>
      <c r="L525" s="1367">
        <v>0</v>
      </c>
      <c r="M525" s="1363" t="s">
        <v>1107</v>
      </c>
      <c r="N525" s="1363" t="s">
        <v>3889</v>
      </c>
      <c r="O525" s="1599" t="s">
        <v>3890</v>
      </c>
      <c r="P525" s="1358" t="s">
        <v>40</v>
      </c>
      <c r="Q525" s="1358"/>
      <c r="R525" s="1358" t="s">
        <v>64</v>
      </c>
      <c r="S525" s="1358"/>
      <c r="T525" s="1358"/>
      <c r="U525" s="1358"/>
      <c r="V525" s="1358" t="s">
        <v>40</v>
      </c>
      <c r="W525" s="1358"/>
      <c r="X525" s="1358" t="s">
        <v>40</v>
      </c>
      <c r="Y525" s="1358"/>
      <c r="Z525" s="1358" t="s">
        <v>64</v>
      </c>
      <c r="AA525" s="1358"/>
      <c r="AB525" s="1358" t="s">
        <v>40</v>
      </c>
      <c r="AC525" s="1358"/>
      <c r="AD525" s="1358"/>
      <c r="AE525" s="1598">
        <v>46203</v>
      </c>
      <c r="AF525" s="1358" t="s">
        <v>247</v>
      </c>
      <c r="AG525" s="1358">
        <v>2023</v>
      </c>
      <c r="AH525" s="1364">
        <v>2524048.3238550001</v>
      </c>
      <c r="AI525" s="1600" t="s">
        <v>3891</v>
      </c>
      <c r="AJ525" s="1358"/>
      <c r="AK525" s="1358" t="s">
        <v>43</v>
      </c>
      <c r="AL525" s="1358" t="s">
        <v>41</v>
      </c>
      <c r="AM525" s="1358">
        <v>0</v>
      </c>
      <c r="AN525" s="1358" t="s">
        <v>40</v>
      </c>
      <c r="AO525" s="1358"/>
      <c r="AP525" s="1358"/>
      <c r="AQ525" s="1358"/>
      <c r="AR525" s="1358"/>
      <c r="AS525" s="1358"/>
      <c r="AT525" s="1358"/>
      <c r="AU525" s="1358"/>
      <c r="AV525" s="1358"/>
      <c r="AW525" s="1358"/>
      <c r="AX525" s="1358"/>
      <c r="AY525" s="1358"/>
      <c r="AZ525" s="1358"/>
      <c r="BA525" s="1358"/>
      <c r="BB525" s="1358"/>
      <c r="BC525" s="1358"/>
      <c r="BD525" s="1358"/>
      <c r="BE525" s="1358"/>
      <c r="BF525" s="1358"/>
      <c r="BG525" s="1358"/>
      <c r="BH525" s="1358"/>
      <c r="BI525" s="1358"/>
      <c r="BJ525" s="1358"/>
      <c r="BK525" s="1358"/>
      <c r="BL525" s="1358"/>
      <c r="BM525" s="1358"/>
      <c r="BN525" s="1358"/>
      <c r="BO525" s="1358"/>
      <c r="BP525" s="1358"/>
      <c r="BQ525" s="1358"/>
      <c r="BR525" s="1358"/>
      <c r="BS525" s="1358"/>
      <c r="BT525" s="1358"/>
      <c r="BU525" s="1358"/>
      <c r="BV525" s="1358"/>
      <c r="BW525" s="1358"/>
      <c r="BX525" s="1358"/>
      <c r="BY525" s="1358"/>
      <c r="BZ525" s="1358"/>
      <c r="CA525" s="1358"/>
      <c r="CB525" s="1358"/>
      <c r="CC525" s="1358"/>
      <c r="CD525" s="1358"/>
      <c r="CE525" s="1358"/>
      <c r="CF525" s="1358"/>
      <c r="CG525" s="1358"/>
      <c r="CH525" s="1358"/>
      <c r="CI525" s="1358"/>
      <c r="CJ525" s="1358"/>
      <c r="CK525" s="1358"/>
      <c r="CL525" s="1358"/>
      <c r="CM525" s="1358"/>
      <c r="CN525" s="1358"/>
      <c r="CO525" s="1358"/>
      <c r="CP525" s="1358"/>
      <c r="CQ525" s="1358"/>
      <c r="CR525" s="1358"/>
      <c r="CS525" s="1358"/>
      <c r="CT525" s="1358"/>
      <c r="CU525" s="1358"/>
      <c r="CV525" s="1358"/>
      <c r="CW525" s="1358"/>
      <c r="CX525" s="1358"/>
      <c r="CY525" s="1358"/>
      <c r="CZ525" s="1358"/>
      <c r="DA525" s="1358"/>
      <c r="DB525" s="1358"/>
      <c r="DC525" s="1358"/>
      <c r="DD525" s="1358"/>
      <c r="DE525" s="1358"/>
      <c r="DF525" s="1358"/>
      <c r="DG525" s="1358"/>
      <c r="DH525" s="1358"/>
      <c r="DI525" s="1358"/>
      <c r="DJ525" s="1358"/>
      <c r="DK525" s="1358"/>
      <c r="DL525" s="1358"/>
      <c r="DM525" s="1358"/>
      <c r="DN525" s="1358"/>
      <c r="DO525" s="1358"/>
      <c r="DP525" s="1358"/>
      <c r="DQ525" s="1358"/>
      <c r="DR525" s="1358"/>
      <c r="DS525" s="1358"/>
      <c r="DT525" s="1358"/>
      <c r="DU525" s="1358"/>
      <c r="DV525" s="1358"/>
      <c r="DW525" s="1358"/>
      <c r="DX525" s="1358"/>
      <c r="DY525" s="1358"/>
      <c r="DZ525" s="1358"/>
      <c r="EA525" s="1358"/>
      <c r="EB525" s="1358"/>
      <c r="EC525" s="1358"/>
      <c r="ED525" s="1358"/>
      <c r="EE525" s="1358"/>
      <c r="EF525" s="1358"/>
      <c r="EG525" s="1358"/>
      <c r="EH525" s="1358"/>
      <c r="EI525" s="1358"/>
      <c r="EJ525" s="1358"/>
      <c r="EK525" s="1358"/>
      <c r="EL525" s="1358"/>
      <c r="EM525" s="1358"/>
      <c r="EN525" s="1358"/>
      <c r="EO525" s="1358"/>
      <c r="EP525" s="1358"/>
      <c r="EQ525" s="1358"/>
      <c r="ER525" s="1358"/>
      <c r="ES525" s="1358"/>
      <c r="ET525" s="1358"/>
      <c r="EU525" s="1358"/>
      <c r="EV525" s="1358"/>
      <c r="EW525" s="1358"/>
      <c r="EX525" s="1358"/>
      <c r="EY525" s="1358"/>
      <c r="EZ525" s="1358"/>
      <c r="FA525" s="1358"/>
      <c r="FB525" s="1358"/>
      <c r="FC525" s="1358"/>
      <c r="FD525" s="1358"/>
      <c r="FE525" s="1358"/>
      <c r="FF525" s="1358"/>
      <c r="FG525" s="1358"/>
      <c r="FH525" s="1358"/>
      <c r="FI525" s="1358"/>
      <c r="FJ525" s="1358"/>
      <c r="FK525" s="1358"/>
      <c r="FL525" s="1358"/>
      <c r="FM525" s="1358"/>
      <c r="FN525" s="1358"/>
      <c r="FO525" s="1358"/>
      <c r="FP525" s="1358"/>
      <c r="FQ525" s="1358"/>
      <c r="FR525" s="1358"/>
      <c r="FS525" s="1358"/>
      <c r="FT525" s="1358"/>
      <c r="FU525" s="1358"/>
      <c r="FV525" s="1358"/>
      <c r="FW525" s="1358"/>
      <c r="FX525" s="1358"/>
      <c r="FY525" s="1358"/>
      <c r="FZ525" s="1358"/>
      <c r="GA525" s="1358"/>
      <c r="GB525" s="1358"/>
      <c r="GC525" s="1358"/>
      <c r="GD525" s="1358"/>
      <c r="GE525" s="1358"/>
      <c r="GF525" s="1358"/>
      <c r="GG525" s="1358"/>
      <c r="GH525" s="1358"/>
      <c r="GI525" s="1358"/>
      <c r="GJ525" s="1358"/>
      <c r="GK525" s="1358"/>
      <c r="GL525" s="1358"/>
      <c r="GM525" s="1358"/>
      <c r="GN525" s="1358"/>
      <c r="GO525" s="1358"/>
      <c r="GP525" s="1358"/>
      <c r="GQ525" s="1358"/>
      <c r="GR525" s="1358"/>
      <c r="GS525" s="1358"/>
      <c r="GT525" s="1358"/>
      <c r="GU525" s="1358"/>
      <c r="GV525" s="1358"/>
      <c r="GW525" s="1358"/>
      <c r="GX525" s="1358"/>
      <c r="GY525" s="1358"/>
      <c r="GZ525" s="1358"/>
      <c r="HA525" s="1358"/>
      <c r="HB525" s="1358"/>
      <c r="HC525" s="1358"/>
      <c r="HD525" s="1358"/>
      <c r="HE525" s="1358"/>
      <c r="HF525" s="1358"/>
      <c r="HG525" s="1358"/>
      <c r="HH525" s="1358"/>
      <c r="HI525" s="1358"/>
      <c r="HJ525" s="1358"/>
      <c r="HK525" s="1358"/>
      <c r="HL525" s="1358"/>
      <c r="HM525" s="1358"/>
      <c r="HN525" s="1358"/>
      <c r="HO525" s="1358"/>
      <c r="HP525" s="1358"/>
      <c r="HQ525" s="1358"/>
      <c r="HR525" s="1358"/>
      <c r="HS525" s="1358"/>
      <c r="HT525" s="1358"/>
      <c r="HU525" s="1358"/>
      <c r="HV525" s="1358"/>
      <c r="HW525" s="1358"/>
      <c r="HX525" s="1358"/>
      <c r="HY525" s="1358"/>
      <c r="HZ525" s="1358"/>
      <c r="IA525" s="1358"/>
      <c r="IB525" s="1358"/>
      <c r="IC525" s="1358"/>
      <c r="ID525" s="1358"/>
      <c r="IE525" s="1358"/>
      <c r="IF525" s="1358"/>
      <c r="IG525" s="1358"/>
      <c r="IH525" s="1358"/>
      <c r="II525" s="1358"/>
      <c r="IJ525" s="1358"/>
      <c r="IK525" s="1358"/>
      <c r="IL525" s="1358"/>
      <c r="IM525" s="1358"/>
      <c r="IN525" s="1358"/>
      <c r="IO525" s="1358"/>
      <c r="IP525" s="1358"/>
      <c r="IQ525" s="1358"/>
      <c r="IR525" s="1358"/>
      <c r="IS525" s="1358"/>
      <c r="IT525" s="1358"/>
      <c r="IU525" s="1358"/>
      <c r="IV525" s="1358"/>
      <c r="IW525" s="1358"/>
      <c r="IX525" s="1358"/>
      <c r="IY525" s="1358"/>
      <c r="IZ525" s="1358"/>
      <c r="JA525" s="1358"/>
      <c r="JB525" s="1358"/>
      <c r="JC525" s="1358"/>
      <c r="JD525" s="1358"/>
      <c r="JE525" s="1358"/>
      <c r="JF525" s="1358"/>
      <c r="JG525" s="1358"/>
      <c r="JH525" s="1358"/>
      <c r="JI525" s="1358"/>
      <c r="JJ525" s="1358"/>
      <c r="JK525" s="1358"/>
      <c r="JL525" s="1358"/>
      <c r="JM525" s="1358"/>
      <c r="JN525" s="1358"/>
      <c r="JO525" s="1358"/>
      <c r="JP525" s="1358"/>
      <c r="JQ525" s="1358"/>
      <c r="JR525" s="1358"/>
      <c r="JS525" s="1358"/>
      <c r="JT525" s="1358"/>
      <c r="JU525" s="1358"/>
      <c r="JV525" s="1358"/>
      <c r="JW525" s="1358"/>
      <c r="JX525" s="1358"/>
      <c r="JY525" s="1358"/>
      <c r="JZ525" s="1358"/>
      <c r="KA525" s="1358"/>
      <c r="KB525" s="1358"/>
      <c r="KC525" s="1358"/>
      <c r="KD525" s="1358"/>
      <c r="KE525" s="1358"/>
      <c r="KF525" s="1358"/>
      <c r="KG525" s="1358"/>
      <c r="KH525" s="1358"/>
      <c r="KI525" s="1358"/>
      <c r="KJ525" s="1358"/>
      <c r="KK525" s="1358"/>
      <c r="KL525" s="1358"/>
      <c r="KM525" s="1358"/>
      <c r="KN525" s="1358"/>
      <c r="KO525" s="1358"/>
      <c r="KP525" s="1358"/>
      <c r="KQ525" s="1358"/>
      <c r="KR525" s="1358"/>
      <c r="KS525" s="1358"/>
      <c r="KT525" s="1358"/>
      <c r="KU525" s="1358"/>
      <c r="KV525" s="1358"/>
      <c r="KW525" s="1358"/>
      <c r="KX525" s="1358"/>
      <c r="KY525" s="1358"/>
      <c r="KZ525" s="1358"/>
      <c r="LA525" s="1358"/>
      <c r="LB525" s="1358"/>
      <c r="LC525" s="1358"/>
      <c r="LD525" s="1358"/>
      <c r="LE525" s="1358"/>
      <c r="LF525" s="1358"/>
      <c r="LG525" s="1358"/>
      <c r="LH525" s="1358"/>
      <c r="LI525" s="1358"/>
      <c r="LJ525" s="1358"/>
      <c r="LK525" s="1358"/>
      <c r="LL525" s="1358"/>
      <c r="LM525" s="1358"/>
      <c r="LN525" s="1358"/>
      <c r="LO525" s="1358"/>
      <c r="LP525" s="1358"/>
      <c r="LQ525" s="1358"/>
      <c r="LR525" s="1358"/>
      <c r="LS525" s="1358"/>
      <c r="LT525" s="1358"/>
      <c r="LU525" s="1358"/>
      <c r="LV525" s="1358"/>
      <c r="LW525" s="1358"/>
      <c r="LX525" s="1358"/>
      <c r="LY525" s="1358"/>
      <c r="LZ525" s="1358"/>
      <c r="MA525" s="1358"/>
      <c r="MB525" s="1358"/>
      <c r="MC525" s="1358"/>
      <c r="MD525" s="1358"/>
      <c r="ME525" s="1358"/>
      <c r="MF525" s="1358"/>
      <c r="MG525" s="1358"/>
      <c r="MH525" s="1358"/>
      <c r="MI525" s="1358"/>
      <c r="MJ525" s="1358"/>
      <c r="MK525" s="1358"/>
      <c r="ML525" s="1358"/>
      <c r="MM525" s="1358"/>
      <c r="MN525" s="1358"/>
      <c r="MO525" s="1358"/>
      <c r="MP525" s="1358"/>
      <c r="MQ525" s="1358"/>
      <c r="MR525" s="1358"/>
      <c r="MS525" s="1358"/>
      <c r="MT525" s="1358"/>
      <c r="MU525" s="1358"/>
      <c r="MV525" s="1358"/>
      <c r="MW525" s="1358"/>
      <c r="MX525" s="1358"/>
      <c r="MY525" s="1358"/>
      <c r="MZ525" s="1358"/>
      <c r="NA525" s="1358"/>
      <c r="NB525" s="1358"/>
      <c r="NC525" s="1358"/>
      <c r="ND525" s="1358"/>
      <c r="NE525" s="1358"/>
      <c r="NF525" s="1358"/>
      <c r="NG525" s="1358"/>
      <c r="NH525" s="1358"/>
      <c r="NI525" s="1358"/>
      <c r="NJ525" s="1358"/>
      <c r="NK525" s="1358"/>
      <c r="NL525" s="1358"/>
      <c r="NM525" s="1358"/>
      <c r="NN525" s="1358"/>
      <c r="NO525" s="1358"/>
      <c r="NP525" s="1358"/>
      <c r="NQ525" s="1358"/>
      <c r="NR525" s="1358"/>
      <c r="NS525" s="1358"/>
      <c r="NT525" s="1358"/>
      <c r="NU525" s="1358"/>
      <c r="NV525" s="1358"/>
      <c r="NW525" s="1358"/>
      <c r="NX525" s="1358"/>
      <c r="NY525" s="1358"/>
      <c r="NZ525" s="1358"/>
      <c r="OA525" s="1358"/>
      <c r="OB525" s="1358"/>
      <c r="OC525" s="1358"/>
      <c r="OD525" s="1358"/>
      <c r="OE525" s="1358"/>
      <c r="OF525" s="1358"/>
      <c r="OG525" s="1358"/>
      <c r="OH525" s="1358"/>
      <c r="OI525" s="1358"/>
      <c r="OJ525" s="1358"/>
      <c r="OK525" s="1358"/>
      <c r="OL525" s="1358"/>
      <c r="OM525" s="1358"/>
      <c r="ON525" s="1358"/>
      <c r="OO525" s="1358"/>
      <c r="OP525" s="1358"/>
      <c r="OQ525" s="1358"/>
      <c r="OR525" s="1358"/>
      <c r="OS525" s="1358"/>
      <c r="OT525" s="1358"/>
      <c r="OU525" s="1358"/>
      <c r="OV525" s="1358"/>
      <c r="OW525" s="1358"/>
      <c r="OX525" s="1358"/>
      <c r="OY525" s="1358"/>
      <c r="OZ525" s="1358"/>
      <c r="PA525" s="1358"/>
      <c r="PB525" s="1358"/>
      <c r="PC525" s="1358"/>
      <c r="PD525" s="1358"/>
      <c r="PE525" s="1358"/>
      <c r="PF525" s="1358"/>
      <c r="PG525" s="1358"/>
      <c r="PH525" s="1358"/>
      <c r="PI525" s="1358"/>
      <c r="PJ525" s="1358"/>
      <c r="PK525" s="1358"/>
      <c r="PL525" s="1358"/>
      <c r="PM525" s="1358"/>
      <c r="PN525" s="1358"/>
      <c r="PO525" s="1358"/>
      <c r="PP525" s="1358"/>
      <c r="PQ525" s="1358"/>
      <c r="PR525" s="1358"/>
      <c r="PS525" s="1358"/>
      <c r="PT525" s="1358"/>
      <c r="PU525" s="1358"/>
      <c r="PV525" s="1358"/>
      <c r="PW525" s="1358"/>
      <c r="PX525" s="1358"/>
      <c r="PY525" s="1358"/>
      <c r="PZ525" s="1358"/>
      <c r="QA525" s="1358"/>
      <c r="QB525" s="1358"/>
      <c r="QC525" s="1358"/>
      <c r="QD525" s="1358"/>
      <c r="QE525" s="1358"/>
      <c r="QF525" s="1358"/>
      <c r="QG525" s="1358"/>
      <c r="QH525" s="1358"/>
      <c r="QI525" s="1358"/>
      <c r="QJ525" s="1358"/>
      <c r="QK525" s="1358"/>
      <c r="QL525" s="1358"/>
      <c r="QM525" s="1358"/>
      <c r="QN525" s="1358"/>
      <c r="QO525" s="1358"/>
      <c r="QP525" s="1358"/>
      <c r="QQ525" s="1358"/>
      <c r="QR525" s="1358"/>
      <c r="QS525" s="1358"/>
      <c r="QT525" s="1358"/>
      <c r="QU525" s="1358"/>
      <c r="QV525" s="1358"/>
      <c r="QW525" s="1358"/>
      <c r="QX525" s="1358"/>
      <c r="QY525" s="1358"/>
      <c r="QZ525" s="1358"/>
      <c r="RA525" s="1358"/>
      <c r="RB525" s="1358"/>
      <c r="RC525" s="1358"/>
      <c r="RD525" s="1358"/>
      <c r="RE525" s="1358"/>
      <c r="RF525" s="1358"/>
      <c r="RG525" s="1358"/>
      <c r="RH525" s="1358"/>
      <c r="RI525" s="1358"/>
      <c r="RJ525" s="1358"/>
      <c r="RK525" s="1358"/>
      <c r="RL525" s="1358"/>
      <c r="RM525" s="1358"/>
      <c r="RN525" s="1358"/>
      <c r="RO525" s="1358"/>
      <c r="RP525" s="1358"/>
      <c r="RQ525" s="1358"/>
      <c r="RR525" s="1358"/>
      <c r="RS525" s="1358"/>
      <c r="RT525" s="1358"/>
      <c r="RU525" s="1358"/>
      <c r="RV525" s="1358"/>
      <c r="RW525" s="1358"/>
      <c r="RX525" s="1358"/>
      <c r="RY525" s="1358"/>
      <c r="RZ525" s="1358"/>
      <c r="SA525" s="1358"/>
      <c r="SB525" s="1358"/>
      <c r="SC525" s="1358"/>
      <c r="SD525" s="1358"/>
      <c r="SE525" s="1358"/>
      <c r="SF525" s="1358"/>
      <c r="SG525" s="1358"/>
      <c r="SH525" s="1358"/>
      <c r="SI525" s="1358"/>
      <c r="SJ525" s="1358"/>
      <c r="SK525" s="1358"/>
      <c r="SL525" s="1358"/>
      <c r="SM525" s="1358"/>
      <c r="SN525" s="1358"/>
      <c r="SO525" s="1358"/>
      <c r="SP525" s="1358"/>
      <c r="SQ525" s="1358"/>
      <c r="SR525" s="1358"/>
      <c r="SS525" s="1358"/>
      <c r="ST525" s="1358"/>
      <c r="SU525" s="1358"/>
      <c r="SV525" s="1358"/>
      <c r="SW525" s="1358"/>
      <c r="SX525" s="1358"/>
      <c r="SY525" s="1358"/>
      <c r="SZ525" s="1358"/>
      <c r="TA525" s="1358"/>
      <c r="TB525" s="1358"/>
      <c r="TC525" s="1358"/>
      <c r="TD525" s="1358"/>
      <c r="TE525" s="1358"/>
      <c r="TF525" s="1358"/>
      <c r="TG525" s="1358"/>
      <c r="TH525" s="1358"/>
      <c r="TI525" s="1358"/>
      <c r="TJ525" s="1358"/>
      <c r="TK525" s="1358"/>
      <c r="TL525" s="1358"/>
      <c r="TM525" s="1358"/>
      <c r="TN525" s="1358"/>
      <c r="TO525" s="1358"/>
      <c r="TP525" s="1358"/>
      <c r="TQ525" s="1358"/>
      <c r="TR525" s="1358"/>
      <c r="TS525" s="1358"/>
      <c r="TT525" s="1358"/>
      <c r="TU525" s="1358"/>
      <c r="TV525" s="1358"/>
      <c r="TW525" s="1358"/>
      <c r="TX525" s="1358"/>
      <c r="TY525" s="1358"/>
      <c r="TZ525" s="1358"/>
      <c r="UA525" s="1358"/>
      <c r="UB525" s="1358"/>
      <c r="UC525" s="1358"/>
      <c r="UD525" s="1358"/>
      <c r="UE525" s="1358"/>
      <c r="UF525" s="1358"/>
      <c r="UG525" s="1358"/>
      <c r="UH525" s="1358"/>
      <c r="UI525" s="1358"/>
      <c r="UJ525" s="1358"/>
      <c r="UK525" s="1358"/>
      <c r="UL525" s="1358"/>
      <c r="UM525" s="1358"/>
      <c r="UN525" s="1358"/>
      <c r="UO525" s="1358"/>
      <c r="UP525" s="1358"/>
      <c r="UQ525" s="1358"/>
      <c r="UR525" s="1358"/>
      <c r="US525" s="1358"/>
      <c r="UT525" s="1358"/>
      <c r="UU525" s="1358"/>
      <c r="UV525" s="1358"/>
      <c r="UW525" s="1358"/>
      <c r="UX525" s="1358"/>
      <c r="UY525" s="1358"/>
      <c r="UZ525" s="1358"/>
      <c r="VA525" s="1358"/>
      <c r="VB525" s="1358"/>
      <c r="VC525" s="1358"/>
      <c r="VD525" s="1358"/>
      <c r="VE525" s="1358"/>
      <c r="VF525" s="1358"/>
      <c r="VG525" s="1358"/>
      <c r="VH525" s="1358"/>
      <c r="VI525" s="1358"/>
      <c r="VJ525" s="1358"/>
      <c r="VK525" s="1358"/>
      <c r="VL525" s="1358"/>
      <c r="VM525" s="1358"/>
      <c r="VN525" s="1358"/>
      <c r="VO525" s="1358"/>
      <c r="VP525" s="1358"/>
      <c r="VQ525" s="1358"/>
      <c r="VR525" s="1358"/>
      <c r="VS525" s="1358"/>
      <c r="VT525" s="1358"/>
      <c r="VU525" s="1358"/>
      <c r="VV525" s="1358"/>
      <c r="VW525" s="1358"/>
      <c r="VX525" s="1358"/>
      <c r="VY525" s="1358"/>
      <c r="VZ525" s="1358"/>
      <c r="WA525" s="1358"/>
      <c r="WB525" s="1358"/>
      <c r="WC525" s="1358"/>
      <c r="WD525" s="1358"/>
      <c r="WE525" s="1358"/>
      <c r="WF525" s="1358"/>
      <c r="WG525" s="1358"/>
      <c r="WH525" s="1358"/>
      <c r="WI525" s="1358"/>
      <c r="WJ525" s="1358"/>
      <c r="WK525" s="1358"/>
      <c r="WL525" s="1358"/>
      <c r="WM525" s="1358"/>
      <c r="WN525" s="1358"/>
      <c r="WO525" s="1358"/>
      <c r="WP525" s="1358"/>
      <c r="WQ525" s="1358"/>
      <c r="WR525" s="1358"/>
      <c r="WS525" s="1358"/>
      <c r="WT525" s="1358"/>
      <c r="WU525" s="1358"/>
      <c r="WV525" s="1358"/>
      <c r="WW525" s="1358"/>
      <c r="WX525" s="1358"/>
      <c r="WY525" s="1358"/>
      <c r="WZ525" s="1358"/>
      <c r="XA525" s="1358"/>
      <c r="XB525" s="1358"/>
      <c r="XC525" s="1358"/>
      <c r="XD525" s="1358"/>
      <c r="XE525" s="1358"/>
      <c r="XF525" s="1358"/>
      <c r="XG525" s="1358"/>
      <c r="XH525" s="1358"/>
      <c r="XI525" s="1358"/>
      <c r="XJ525" s="1358"/>
      <c r="XK525" s="1358"/>
      <c r="XL525" s="1358"/>
      <c r="XM525" s="1358"/>
      <c r="XN525" s="1358"/>
      <c r="XO525" s="1358"/>
      <c r="XP525" s="1358"/>
      <c r="XQ525" s="1358"/>
      <c r="XR525" s="1358"/>
      <c r="XS525" s="1358"/>
      <c r="XT525" s="1358"/>
      <c r="XU525" s="1358"/>
      <c r="XV525" s="1358"/>
      <c r="XW525" s="1358"/>
      <c r="XX525" s="1358"/>
      <c r="XY525" s="1358"/>
      <c r="XZ525" s="1358"/>
      <c r="YA525" s="1358"/>
      <c r="YB525" s="1358"/>
      <c r="YC525" s="1358"/>
      <c r="YD525" s="1358"/>
      <c r="YE525" s="1358"/>
      <c r="YF525" s="1358"/>
      <c r="YG525" s="1358"/>
      <c r="YH525" s="1358"/>
      <c r="YI525" s="1358"/>
      <c r="YJ525" s="1358"/>
      <c r="YK525" s="1358"/>
      <c r="YL525" s="1358"/>
      <c r="YM525" s="1358"/>
      <c r="YN525" s="1358"/>
      <c r="YO525" s="1358"/>
      <c r="YP525" s="1358"/>
      <c r="YQ525" s="1358"/>
      <c r="YR525" s="1358"/>
      <c r="YS525" s="1358"/>
      <c r="YT525" s="1358"/>
      <c r="YU525" s="1358"/>
      <c r="YV525" s="1358"/>
      <c r="YW525" s="1358"/>
      <c r="YX525" s="1358"/>
      <c r="YY525" s="1358"/>
      <c r="YZ525" s="1358"/>
      <c r="ZA525" s="1358"/>
      <c r="ZB525" s="1358"/>
      <c r="ZC525" s="1358"/>
      <c r="ZD525" s="1358"/>
      <c r="ZE525" s="1358"/>
      <c r="ZF525" s="1358"/>
      <c r="ZG525" s="1358"/>
      <c r="ZH525" s="1358"/>
      <c r="ZI525" s="1358"/>
      <c r="ZJ525" s="1358"/>
      <c r="ZK525" s="1358"/>
      <c r="ZL525" s="1358"/>
      <c r="ZM525" s="1358"/>
      <c r="ZN525" s="1358"/>
      <c r="ZO525" s="1358"/>
      <c r="ZP525" s="1358"/>
      <c r="ZQ525" s="1358"/>
      <c r="ZR525" s="1358"/>
      <c r="ZS525" s="1358"/>
      <c r="ZT525" s="1358"/>
      <c r="ZU525" s="1358"/>
      <c r="ZV525" s="1358"/>
      <c r="ZW525" s="1358"/>
      <c r="ZX525" s="1358"/>
      <c r="ZY525" s="1358"/>
      <c r="ZZ525" s="1358"/>
      <c r="AAA525" s="1358"/>
      <c r="AAB525" s="1358"/>
      <c r="AAC525" s="1358"/>
      <c r="AAD525" s="1358"/>
      <c r="AAE525" s="1358"/>
      <c r="AAF525" s="1358"/>
      <c r="AAG525" s="1358"/>
      <c r="AAH525" s="1358"/>
      <c r="AAI525" s="1358"/>
      <c r="AAJ525" s="1358"/>
      <c r="AAK525" s="1358"/>
      <c r="AAL525" s="1358"/>
      <c r="AAM525" s="1358"/>
      <c r="AAN525" s="1358"/>
      <c r="AAO525" s="1358"/>
      <c r="AAP525" s="1358"/>
      <c r="AAQ525" s="1358"/>
      <c r="AAR525" s="1358"/>
      <c r="AAS525" s="1358"/>
      <c r="AAT525" s="1358"/>
      <c r="AAU525" s="1358"/>
      <c r="AAV525" s="1358"/>
      <c r="AAW525" s="1358"/>
      <c r="AAX525" s="1358"/>
      <c r="AAY525" s="1358"/>
      <c r="AAZ525" s="1358"/>
      <c r="ABA525" s="1358"/>
      <c r="ABB525" s="1358"/>
      <c r="ABC525" s="1358"/>
      <c r="ABD525" s="1358"/>
      <c r="ABE525" s="1358"/>
      <c r="ABF525" s="1358"/>
      <c r="ABG525" s="1358"/>
      <c r="ABH525" s="1358"/>
      <c r="ABI525" s="1358"/>
      <c r="ABJ525" s="1358"/>
      <c r="ABK525" s="1358"/>
      <c r="ABL525" s="1358"/>
      <c r="ABM525" s="1358"/>
      <c r="ABN525" s="1358"/>
      <c r="ABO525" s="1358"/>
      <c r="ABP525" s="1358"/>
      <c r="ABQ525" s="1358"/>
      <c r="ABR525" s="1358"/>
      <c r="ABS525" s="1358"/>
      <c r="ABT525" s="1358"/>
      <c r="ABU525" s="1358"/>
      <c r="ABV525" s="1358"/>
      <c r="ABW525" s="1358"/>
      <c r="ABX525" s="1358"/>
      <c r="ABY525" s="1358"/>
      <c r="ABZ525" s="1358"/>
      <c r="ACA525" s="1358"/>
      <c r="ACB525" s="1358"/>
      <c r="ACC525" s="1358"/>
      <c r="ACD525" s="1358"/>
      <c r="ACE525" s="1358"/>
      <c r="ACF525" s="1358"/>
      <c r="ACG525" s="1358"/>
      <c r="ACH525" s="1358"/>
      <c r="ACI525" s="1358"/>
      <c r="ACJ525" s="1358"/>
      <c r="ACK525" s="1358"/>
      <c r="ACL525" s="1358"/>
      <c r="ACM525" s="1358"/>
      <c r="ACN525" s="1358"/>
      <c r="ACO525" s="1358"/>
      <c r="ACP525" s="1358"/>
      <c r="ACQ525" s="1358"/>
      <c r="ACR525" s="1358"/>
      <c r="ACS525" s="1358"/>
      <c r="ACT525" s="1358"/>
      <c r="ACU525" s="1358"/>
      <c r="ACV525" s="1358"/>
      <c r="ACW525" s="1358"/>
      <c r="ACX525" s="1358"/>
      <c r="ACY525" s="1358"/>
      <c r="ACZ525" s="1358"/>
      <c r="ADA525" s="1358"/>
      <c r="ADB525" s="1358"/>
      <c r="ADC525" s="1358"/>
      <c r="ADD525" s="1358"/>
      <c r="ADE525" s="1358"/>
      <c r="ADF525" s="1358"/>
      <c r="ADG525" s="1358"/>
      <c r="ADH525" s="1358"/>
      <c r="ADI525" s="1358"/>
      <c r="ADJ525" s="1358"/>
      <c r="ADK525" s="1358"/>
      <c r="ADL525" s="1358"/>
      <c r="ADM525" s="1358"/>
      <c r="ADN525" s="1358"/>
      <c r="ADO525" s="1358"/>
      <c r="ADP525" s="1358"/>
      <c r="ADQ525" s="1358"/>
      <c r="ADR525" s="1358"/>
      <c r="ADS525" s="1358"/>
      <c r="ADT525" s="1358"/>
      <c r="ADU525" s="1358"/>
      <c r="ADV525" s="1358"/>
      <c r="ADW525" s="1358"/>
      <c r="ADX525" s="1358"/>
      <c r="ADY525" s="1358"/>
      <c r="ADZ525" s="1358"/>
      <c r="AEA525" s="1358"/>
      <c r="AEB525" s="1358"/>
      <c r="AEC525" s="1358"/>
      <c r="AED525" s="1358"/>
      <c r="AEE525" s="1358"/>
      <c r="AEF525" s="1358"/>
      <c r="AEG525" s="1358"/>
      <c r="AEH525" s="1358"/>
      <c r="AEI525" s="1358"/>
      <c r="AEJ525" s="1358"/>
      <c r="AEK525" s="1358"/>
      <c r="AEL525" s="1358"/>
      <c r="AEM525" s="1358"/>
      <c r="AEN525" s="1358"/>
      <c r="AEO525" s="1358"/>
      <c r="AEP525" s="1358"/>
      <c r="AEQ525" s="1358"/>
      <c r="AER525" s="1358"/>
      <c r="AES525" s="1358"/>
      <c r="AET525" s="1358"/>
      <c r="AEU525" s="1358"/>
      <c r="AEV525" s="1358"/>
      <c r="AEW525" s="1358"/>
      <c r="AEX525" s="1358"/>
      <c r="AEY525" s="1358"/>
      <c r="AEZ525" s="1358"/>
      <c r="AFA525" s="1358"/>
      <c r="AFB525" s="1358"/>
      <c r="AFC525" s="1358"/>
      <c r="AFD525" s="1358"/>
      <c r="AFE525" s="1358"/>
      <c r="AFF525" s="1358"/>
      <c r="AFG525" s="1358"/>
      <c r="AFH525" s="1358"/>
      <c r="AFI525" s="1358"/>
      <c r="AFJ525" s="1358"/>
      <c r="AFK525" s="1358"/>
      <c r="AFL525" s="1358"/>
      <c r="AFM525" s="1358"/>
      <c r="AFN525" s="1358"/>
      <c r="AFO525" s="1358"/>
      <c r="AFP525" s="1358"/>
      <c r="AFQ525" s="1358"/>
      <c r="AFR525" s="1358"/>
      <c r="AFS525" s="1358"/>
      <c r="AFT525" s="1358"/>
      <c r="AFU525" s="1358"/>
      <c r="AFV525" s="1358"/>
      <c r="AFW525" s="1358"/>
      <c r="AFX525" s="1358"/>
      <c r="AFY525" s="1358"/>
      <c r="AFZ525" s="1358"/>
      <c r="AGA525" s="1358"/>
      <c r="AGB525" s="1358"/>
      <c r="AGC525" s="1358"/>
      <c r="AGD525" s="1358"/>
      <c r="AGE525" s="1358"/>
      <c r="AGF525" s="1358"/>
      <c r="AGG525" s="1358"/>
      <c r="AGH525" s="1358"/>
      <c r="AGI525" s="1358"/>
      <c r="AGJ525" s="1358"/>
      <c r="AGK525" s="1358"/>
      <c r="AGL525" s="1358"/>
      <c r="AGM525" s="1358"/>
      <c r="AGN525" s="1358"/>
      <c r="AGO525" s="1358"/>
      <c r="AGP525" s="1358"/>
      <c r="AGQ525" s="1358"/>
      <c r="AGR525" s="1358"/>
      <c r="AGS525" s="1358"/>
      <c r="AGT525" s="1358"/>
      <c r="AGU525" s="1358"/>
      <c r="AGV525" s="1358"/>
      <c r="AGW525" s="1358"/>
      <c r="AGX525" s="1358"/>
      <c r="AGY525" s="1358"/>
      <c r="AGZ525" s="1358"/>
      <c r="AHA525" s="1358"/>
      <c r="AHB525" s="1358"/>
      <c r="AHC525" s="1358"/>
      <c r="AHD525" s="1358"/>
      <c r="AHE525" s="1358"/>
      <c r="AHF525" s="1358"/>
      <c r="AHG525" s="1358"/>
      <c r="AHH525" s="1358"/>
      <c r="AHI525" s="1358"/>
      <c r="AHJ525" s="1358"/>
      <c r="AHK525" s="1358"/>
      <c r="AHL525" s="1358"/>
      <c r="AHM525" s="1358"/>
      <c r="AHN525" s="1358"/>
      <c r="AHO525" s="1358"/>
      <c r="AHP525" s="1358"/>
      <c r="AHQ525" s="1358"/>
      <c r="AHR525" s="1358"/>
      <c r="AHS525" s="1358"/>
      <c r="AHT525" s="1358"/>
      <c r="AHU525" s="1358"/>
      <c r="AHV525" s="1358"/>
      <c r="AHW525" s="1358"/>
      <c r="AHX525" s="1358"/>
      <c r="AHY525" s="1358"/>
      <c r="AHZ525" s="1358"/>
      <c r="AIA525" s="1358"/>
      <c r="AIB525" s="1358"/>
      <c r="AIC525" s="1358"/>
      <c r="AID525" s="1358"/>
      <c r="AIE525" s="1358"/>
      <c r="AIF525" s="1358"/>
      <c r="AIG525" s="1358"/>
      <c r="AIH525" s="1358"/>
      <c r="AII525" s="1358"/>
      <c r="AIJ525" s="1358"/>
      <c r="AIK525" s="1358"/>
      <c r="AIL525" s="1358"/>
      <c r="AIM525" s="1358"/>
      <c r="AIN525" s="1358"/>
      <c r="AIO525" s="1358"/>
      <c r="AIP525" s="1358"/>
      <c r="AIQ525" s="1358"/>
      <c r="AIR525" s="1358"/>
      <c r="AIS525" s="1358"/>
      <c r="AIT525" s="1358"/>
      <c r="AIU525" s="1358"/>
      <c r="AIV525" s="1358"/>
      <c r="AIW525" s="1358"/>
      <c r="AIX525" s="1358"/>
      <c r="AIY525" s="1358"/>
      <c r="AIZ525" s="1358"/>
      <c r="AJA525" s="1358"/>
      <c r="AJB525" s="1358"/>
      <c r="AJC525" s="1358"/>
      <c r="AJD525" s="1358"/>
      <c r="AJE525" s="1358"/>
      <c r="AJF525" s="1358"/>
      <c r="AJG525" s="1358"/>
      <c r="AJH525" s="1358"/>
      <c r="AJI525" s="1358"/>
      <c r="AJJ525" s="1358"/>
      <c r="AJK525" s="1358"/>
      <c r="AJL525" s="1358"/>
      <c r="AJM525" s="1358"/>
      <c r="AJN525" s="1358"/>
      <c r="AJO525" s="1358"/>
      <c r="AJP525" s="1358"/>
      <c r="AJQ525" s="1358"/>
      <c r="AJR525" s="1358"/>
      <c r="AJS525" s="1358"/>
      <c r="AJT525" s="1358"/>
      <c r="AJU525" s="1358"/>
      <c r="AJV525" s="1358"/>
      <c r="AJW525" s="1358"/>
      <c r="AJX525" s="1358"/>
      <c r="AJY525" s="1358"/>
      <c r="AJZ525" s="1358"/>
      <c r="AKA525" s="1358"/>
      <c r="AKB525" s="1358"/>
      <c r="AKC525" s="1358"/>
      <c r="AKD525" s="1358"/>
      <c r="AKE525" s="1358"/>
      <c r="AKF525" s="1358"/>
      <c r="AKG525" s="1358"/>
      <c r="AKH525" s="1358"/>
      <c r="AKI525" s="1358"/>
      <c r="AKJ525" s="1358"/>
      <c r="AKK525" s="1358"/>
      <c r="AKL525" s="1358"/>
      <c r="AKM525" s="1358"/>
      <c r="AKN525" s="1358"/>
      <c r="AKO525" s="1358"/>
      <c r="AKP525" s="1358"/>
      <c r="AKQ525" s="1358"/>
      <c r="AKR525" s="1358"/>
      <c r="AKS525" s="1358"/>
      <c r="AKT525" s="1358"/>
      <c r="AKU525" s="1358"/>
      <c r="AKV525" s="1358"/>
      <c r="AKW525" s="1358"/>
      <c r="AKX525" s="1358"/>
      <c r="AKY525" s="1358"/>
      <c r="AKZ525" s="1358"/>
      <c r="ALA525" s="1358"/>
      <c r="ALB525" s="1358"/>
      <c r="ALC525" s="1358"/>
      <c r="ALD525" s="1358"/>
      <c r="ALE525" s="1358"/>
      <c r="ALF525" s="1358"/>
      <c r="ALG525" s="1358"/>
      <c r="ALH525" s="1358"/>
      <c r="ALI525" s="1358"/>
      <c r="ALJ525" s="1358"/>
      <c r="ALK525" s="1358"/>
      <c r="ALL525" s="1358"/>
      <c r="ALM525" s="1358"/>
      <c r="ALN525" s="1358"/>
      <c r="ALO525" s="1358"/>
      <c r="ALP525" s="1358"/>
      <c r="ALQ525" s="1358"/>
      <c r="ALR525" s="1358"/>
      <c r="ALS525" s="1358"/>
      <c r="ALT525" s="1358"/>
      <c r="ALU525" s="1358"/>
      <c r="ALV525" s="1358"/>
      <c r="ALW525" s="1358"/>
      <c r="ALX525" s="1358"/>
      <c r="ALY525" s="1358"/>
      <c r="ALZ525" s="1358"/>
      <c r="AMA525" s="1358"/>
      <c r="AMB525" s="1358"/>
      <c r="AMC525" s="1358"/>
      <c r="AMD525" s="1358"/>
      <c r="AME525" s="1358"/>
      <c r="AMF525" s="1358"/>
      <c r="AMG525" s="1358"/>
      <c r="AMH525" s="1358"/>
      <c r="AMI525" s="1358"/>
      <c r="AMJ525" s="1358"/>
      <c r="AMK525" s="1358"/>
      <c r="AML525" s="1358"/>
      <c r="AMM525" s="1358"/>
      <c r="AMN525" s="1358"/>
      <c r="AMO525" s="1358"/>
      <c r="AMP525" s="1358"/>
      <c r="AMQ525" s="1358"/>
      <c r="AMR525" s="1358"/>
      <c r="AMS525" s="1358"/>
      <c r="AMT525" s="1358"/>
      <c r="AMU525" s="1358"/>
      <c r="AMV525" s="1358"/>
      <c r="AMW525" s="1358"/>
      <c r="AMX525" s="1358"/>
      <c r="AMY525" s="1358"/>
      <c r="AMZ525" s="1358"/>
      <c r="ANA525" s="1358"/>
      <c r="ANB525" s="1358"/>
      <c r="ANC525" s="1358"/>
      <c r="AND525" s="1358"/>
      <c r="ANE525" s="1358"/>
      <c r="ANF525" s="1358"/>
      <c r="ANG525" s="1358"/>
      <c r="ANH525" s="1358"/>
      <c r="ANI525" s="1358"/>
      <c r="ANJ525" s="1358"/>
      <c r="ANK525" s="1358"/>
      <c r="ANL525" s="1358"/>
      <c r="ANM525" s="1358"/>
      <c r="ANN525" s="1358"/>
      <c r="ANO525" s="1358"/>
      <c r="ANP525" s="1358"/>
      <c r="ANQ525" s="1358"/>
      <c r="ANR525" s="1358"/>
      <c r="ANS525" s="1358"/>
      <c r="ANT525" s="1358"/>
      <c r="ANU525" s="1358"/>
      <c r="ANV525" s="1358"/>
      <c r="ANW525" s="1358"/>
      <c r="ANX525" s="1358"/>
      <c r="ANY525" s="1358"/>
      <c r="ANZ525" s="1358"/>
      <c r="AOA525" s="1358"/>
      <c r="AOB525" s="1358"/>
      <c r="AOC525" s="1358"/>
      <c r="AOD525" s="1358"/>
      <c r="AOE525" s="1358"/>
      <c r="AOF525" s="1358"/>
      <c r="AOG525" s="1358"/>
      <c r="AOH525" s="1358"/>
      <c r="AOI525" s="1358"/>
      <c r="AOJ525" s="1358"/>
      <c r="AOK525" s="1358"/>
      <c r="AOL525" s="1358"/>
      <c r="AOM525" s="1358"/>
      <c r="AON525" s="1358"/>
      <c r="AOO525" s="1358"/>
      <c r="AOP525" s="1358"/>
      <c r="AOQ525" s="1358"/>
      <c r="AOR525" s="1358"/>
      <c r="AOS525" s="1358"/>
      <c r="AOT525" s="1358"/>
      <c r="AOU525" s="1358"/>
      <c r="AOV525" s="1358"/>
      <c r="AOW525" s="1358"/>
      <c r="AOX525" s="1358"/>
      <c r="AOY525" s="1358"/>
      <c r="AOZ525" s="1358"/>
      <c r="APA525" s="1358"/>
      <c r="APB525" s="1358"/>
      <c r="APC525" s="1358"/>
      <c r="APD525" s="1358"/>
      <c r="APE525" s="1358"/>
      <c r="APF525" s="1358"/>
      <c r="APG525" s="1358"/>
      <c r="APH525" s="1358"/>
      <c r="API525" s="1358"/>
      <c r="APJ525" s="1358"/>
      <c r="APK525" s="1358"/>
      <c r="APL525" s="1358"/>
      <c r="APM525" s="1358"/>
      <c r="APN525" s="1358"/>
      <c r="APO525" s="1358"/>
      <c r="APP525" s="1358"/>
      <c r="APQ525" s="1358"/>
      <c r="APR525" s="1358"/>
      <c r="APS525" s="1358"/>
      <c r="APT525" s="1358"/>
      <c r="APU525" s="1358"/>
      <c r="APV525" s="1358"/>
      <c r="APW525" s="1358"/>
      <c r="APX525" s="1358"/>
      <c r="APY525" s="1358"/>
      <c r="APZ525" s="1358"/>
      <c r="AQA525" s="1358"/>
      <c r="AQB525" s="1358"/>
      <c r="AQC525" s="1358"/>
      <c r="AQD525" s="1358"/>
      <c r="AQE525" s="1358"/>
      <c r="AQF525" s="1358"/>
      <c r="AQG525" s="1358"/>
      <c r="AQH525" s="1358"/>
      <c r="AQI525" s="1358"/>
      <c r="AQJ525" s="1358"/>
      <c r="AQK525" s="1358"/>
      <c r="AQL525" s="1358"/>
      <c r="AQM525" s="1358"/>
      <c r="AQN525" s="1358"/>
      <c r="AQO525" s="1358"/>
      <c r="AQP525" s="1358"/>
      <c r="AQQ525" s="1358"/>
      <c r="AQR525" s="1358"/>
      <c r="AQS525" s="1358"/>
      <c r="AQT525" s="1358"/>
      <c r="AQU525" s="1358"/>
      <c r="AQV525" s="1358"/>
      <c r="AQW525" s="1358"/>
      <c r="AQX525" s="1358"/>
      <c r="AQY525" s="1358"/>
      <c r="AQZ525" s="1358"/>
      <c r="ARA525" s="1358"/>
      <c r="ARB525" s="1358"/>
      <c r="ARC525" s="1358"/>
      <c r="ARD525" s="1358"/>
      <c r="ARE525" s="1358"/>
      <c r="ARF525" s="1358"/>
      <c r="ARG525" s="1358"/>
      <c r="ARH525" s="1358"/>
      <c r="ARI525" s="1358"/>
      <c r="ARJ525" s="1358"/>
      <c r="ARK525" s="1358"/>
      <c r="ARL525" s="1358"/>
      <c r="ARM525" s="1358"/>
      <c r="ARN525" s="1358"/>
      <c r="ARO525" s="1358"/>
      <c r="ARP525" s="1358"/>
      <c r="ARQ525" s="1358"/>
      <c r="ARR525" s="1358"/>
      <c r="ARS525" s="1358"/>
      <c r="ART525" s="1358"/>
      <c r="ARU525" s="1358"/>
      <c r="ARV525" s="1358"/>
      <c r="ARW525" s="1358"/>
      <c r="ARX525" s="1358"/>
      <c r="ARY525" s="1358"/>
      <c r="ARZ525" s="1358"/>
      <c r="ASA525" s="1358"/>
      <c r="ASB525" s="1358"/>
      <c r="ASC525" s="1358"/>
      <c r="ASD525" s="1358"/>
      <c r="ASE525" s="1358"/>
      <c r="ASF525" s="1358"/>
      <c r="ASG525" s="1358"/>
      <c r="ASH525" s="1358"/>
      <c r="ASI525" s="1358"/>
      <c r="ASJ525" s="1358"/>
      <c r="ASK525" s="1358"/>
      <c r="ASL525" s="1358"/>
      <c r="ASM525" s="1358"/>
      <c r="ASN525" s="1358"/>
      <c r="ASO525" s="1358"/>
      <c r="ASP525" s="1358"/>
      <c r="ASQ525" s="1358"/>
      <c r="ASR525" s="1358"/>
      <c r="ASS525" s="1358"/>
      <c r="AST525" s="1358"/>
      <c r="ASU525" s="1358"/>
      <c r="ASV525" s="1358"/>
      <c r="ASW525" s="1358"/>
      <c r="ASX525" s="1358"/>
      <c r="ASY525" s="1358"/>
      <c r="ASZ525" s="1358"/>
      <c r="ATA525" s="1358"/>
      <c r="ATB525" s="1358"/>
      <c r="ATC525" s="1358"/>
      <c r="ATD525" s="1358"/>
      <c r="ATE525" s="1358"/>
      <c r="ATF525" s="1358"/>
      <c r="ATG525" s="1358"/>
      <c r="ATH525" s="1358"/>
      <c r="ATI525" s="1358"/>
      <c r="ATJ525" s="1358"/>
      <c r="ATK525" s="1358"/>
      <c r="ATL525" s="1358"/>
      <c r="ATM525" s="1358"/>
      <c r="ATN525" s="1358"/>
      <c r="ATO525" s="1358"/>
      <c r="ATP525" s="1358"/>
      <c r="ATQ525" s="1358"/>
      <c r="ATR525" s="1358"/>
      <c r="ATS525" s="1358"/>
      <c r="ATT525" s="1358"/>
      <c r="ATU525" s="1358"/>
      <c r="ATV525" s="1358"/>
      <c r="ATW525" s="1358"/>
      <c r="ATX525" s="1358"/>
      <c r="ATY525" s="1358"/>
      <c r="ATZ525" s="1358"/>
      <c r="AUA525" s="1358"/>
      <c r="AUB525" s="1358"/>
      <c r="AUC525" s="1358"/>
      <c r="AUD525" s="1358"/>
      <c r="AUE525" s="1358"/>
      <c r="AUF525" s="1358"/>
      <c r="AUG525" s="1358"/>
      <c r="AUH525" s="1358"/>
      <c r="AUI525" s="1358"/>
      <c r="AUJ525" s="1358"/>
      <c r="AUK525" s="1358"/>
      <c r="AUL525" s="1358"/>
      <c r="AUM525" s="1358"/>
      <c r="AUN525" s="1358"/>
      <c r="AUO525" s="1358"/>
      <c r="AUP525" s="1358"/>
      <c r="AUQ525" s="1358"/>
      <c r="AUR525" s="1358"/>
      <c r="AUS525" s="1358"/>
      <c r="AUT525" s="1358"/>
      <c r="AUU525" s="1358"/>
      <c r="AUV525" s="1358"/>
      <c r="AUW525" s="1358"/>
      <c r="AUX525" s="1358"/>
      <c r="AUY525" s="1358"/>
      <c r="AUZ525" s="1358"/>
      <c r="AVA525" s="1358"/>
      <c r="AVB525" s="1358"/>
      <c r="AVC525" s="1358"/>
      <c r="AVD525" s="1358"/>
      <c r="AVE525" s="1358"/>
      <c r="AVF525" s="1358"/>
      <c r="AVG525" s="1358"/>
      <c r="AVH525" s="1358"/>
      <c r="AVI525" s="1358"/>
      <c r="AVJ525" s="1358"/>
      <c r="AVK525" s="1358"/>
      <c r="AVL525" s="1358"/>
      <c r="AVM525" s="1358"/>
      <c r="AVN525" s="1358"/>
      <c r="AVO525" s="1358"/>
      <c r="AVP525" s="1358"/>
      <c r="AVQ525" s="1358"/>
      <c r="AVR525" s="1358"/>
      <c r="AVS525" s="1358"/>
      <c r="AVT525" s="1358"/>
      <c r="AVU525" s="1358"/>
      <c r="AVV525" s="1358"/>
      <c r="AVW525" s="1358"/>
      <c r="AVX525" s="1358"/>
      <c r="AVY525" s="1358"/>
      <c r="AVZ525" s="1358"/>
      <c r="AWA525" s="1358"/>
      <c r="AWB525" s="1358"/>
      <c r="AWC525" s="1358"/>
      <c r="AWD525" s="1358"/>
      <c r="AWE525" s="1358"/>
      <c r="AWF525" s="1358"/>
      <c r="AWG525" s="1358"/>
      <c r="AWH525" s="1358"/>
      <c r="AWI525" s="1358"/>
      <c r="AWJ525" s="1358"/>
      <c r="AWK525" s="1358"/>
      <c r="AWL525" s="1358"/>
      <c r="AWM525" s="1358"/>
      <c r="AWN525" s="1358"/>
      <c r="AWO525" s="1358"/>
      <c r="AWP525" s="1358"/>
      <c r="AWQ525" s="1358"/>
      <c r="AWR525" s="1358"/>
      <c r="AWS525" s="1358"/>
      <c r="AWT525" s="1358"/>
      <c r="AWU525" s="1358"/>
      <c r="AWV525" s="1358"/>
      <c r="AWW525" s="1358"/>
      <c r="AWX525" s="1358"/>
      <c r="AWY525" s="1358"/>
      <c r="AWZ525" s="1358"/>
      <c r="AXA525" s="1358"/>
      <c r="AXB525" s="1358"/>
      <c r="AXC525" s="1358"/>
      <c r="AXD525" s="1358"/>
      <c r="AXE525" s="1358"/>
      <c r="AXF525" s="1358"/>
      <c r="AXG525" s="1358"/>
      <c r="AXH525" s="1358"/>
      <c r="AXI525" s="1358"/>
      <c r="AXJ525" s="1358"/>
      <c r="AXK525" s="1358"/>
      <c r="AXL525" s="1358"/>
      <c r="AXM525" s="1358"/>
      <c r="AXN525" s="1358"/>
      <c r="AXO525" s="1358"/>
      <c r="AXP525" s="1358"/>
      <c r="AXQ525" s="1358"/>
      <c r="AXR525" s="1358"/>
      <c r="AXS525" s="1358"/>
      <c r="AXT525" s="1358"/>
      <c r="AXU525" s="1358"/>
      <c r="AXV525" s="1358"/>
      <c r="AXW525" s="1358"/>
      <c r="AXX525" s="1358"/>
      <c r="AXY525" s="1358"/>
      <c r="AXZ525" s="1358"/>
      <c r="AYA525" s="1358"/>
      <c r="AYB525" s="1358"/>
      <c r="AYC525" s="1358"/>
      <c r="AYD525" s="1358"/>
      <c r="AYE525" s="1358"/>
      <c r="AYF525" s="1358"/>
      <c r="AYG525" s="1358"/>
      <c r="AYH525" s="1358"/>
      <c r="AYI525" s="1358"/>
      <c r="AYJ525" s="1358"/>
      <c r="AYK525" s="1358"/>
      <c r="AYL525" s="1358"/>
      <c r="AYM525" s="1358"/>
      <c r="AYN525" s="1358"/>
      <c r="AYO525" s="1358"/>
      <c r="AYP525" s="1358"/>
      <c r="AYQ525" s="1358"/>
      <c r="AYR525" s="1358"/>
      <c r="AYS525" s="1358"/>
      <c r="AYT525" s="1358"/>
      <c r="AYU525" s="1358"/>
      <c r="AYV525" s="1358"/>
      <c r="AYW525" s="1358"/>
      <c r="AYX525" s="1358"/>
      <c r="AYY525" s="1358"/>
      <c r="AYZ525" s="1358"/>
      <c r="AZA525" s="1358"/>
      <c r="AZB525" s="1358"/>
      <c r="AZC525" s="1358"/>
      <c r="AZD525" s="1358"/>
      <c r="AZE525" s="1358"/>
      <c r="AZF525" s="1358"/>
      <c r="AZG525" s="1358"/>
      <c r="AZH525" s="1358"/>
      <c r="AZI525" s="1358"/>
      <c r="AZJ525" s="1358"/>
      <c r="AZK525" s="1358"/>
      <c r="AZL525" s="1358"/>
      <c r="AZM525" s="1358"/>
      <c r="AZN525" s="1358"/>
      <c r="AZO525" s="1358"/>
      <c r="AZP525" s="1358"/>
      <c r="AZQ525" s="1358"/>
      <c r="AZR525" s="1358"/>
      <c r="AZS525" s="1358"/>
      <c r="AZT525" s="1358"/>
      <c r="AZU525" s="1358"/>
      <c r="AZV525" s="1358"/>
      <c r="AZW525" s="1358"/>
      <c r="AZX525" s="1358"/>
      <c r="AZY525" s="1358"/>
      <c r="AZZ525" s="1358"/>
      <c r="BAA525" s="1358"/>
      <c r="BAB525" s="1358"/>
      <c r="BAC525" s="1358"/>
      <c r="BAD525" s="1358"/>
      <c r="BAE525" s="1358"/>
      <c r="BAF525" s="1358"/>
      <c r="BAG525" s="1358"/>
      <c r="BAH525" s="1358"/>
      <c r="BAI525" s="1358"/>
      <c r="BAJ525" s="1358"/>
      <c r="BAK525" s="1358"/>
      <c r="BAL525" s="1358"/>
      <c r="BAM525" s="1358"/>
      <c r="BAN525" s="1358"/>
      <c r="BAO525" s="1358"/>
      <c r="BAP525" s="1358"/>
      <c r="BAQ525" s="1358"/>
      <c r="BAR525" s="1358"/>
      <c r="BAS525" s="1358"/>
      <c r="BAT525" s="1358"/>
      <c r="BAU525" s="1358"/>
      <c r="BAV525" s="1358"/>
      <c r="BAW525" s="1358"/>
      <c r="BAX525" s="1358"/>
      <c r="BAY525" s="1358"/>
      <c r="BAZ525" s="1358"/>
      <c r="BBA525" s="1358"/>
      <c r="BBB525" s="1358"/>
      <c r="BBC525" s="1358"/>
      <c r="BBD525" s="1358"/>
      <c r="BBE525" s="1358"/>
      <c r="BBF525" s="1358"/>
      <c r="BBG525" s="1358"/>
      <c r="BBH525" s="1358"/>
      <c r="BBI525" s="1358"/>
      <c r="BBJ525" s="1358"/>
      <c r="BBK525" s="1358"/>
      <c r="BBL525" s="1358"/>
      <c r="BBM525" s="1358"/>
      <c r="BBN525" s="1358"/>
      <c r="BBO525" s="1358"/>
      <c r="BBP525" s="1358"/>
      <c r="BBQ525" s="1358"/>
      <c r="BBR525" s="1358"/>
      <c r="BBS525" s="1358"/>
      <c r="BBT525" s="1358"/>
      <c r="BBU525" s="1358"/>
      <c r="BBV525" s="1358"/>
      <c r="BBW525" s="1358"/>
      <c r="BBX525" s="1358"/>
      <c r="BBY525" s="1358"/>
      <c r="BBZ525" s="1358"/>
      <c r="BCA525" s="1358"/>
      <c r="BCB525" s="1358"/>
      <c r="BCC525" s="1358"/>
      <c r="BCD525" s="1358"/>
      <c r="BCE525" s="1358"/>
      <c r="BCF525" s="1358"/>
      <c r="BCG525" s="1358"/>
      <c r="BCH525" s="1358"/>
      <c r="BCI525" s="1358"/>
      <c r="BCJ525" s="1358"/>
      <c r="BCK525" s="1358"/>
      <c r="BCL525" s="1358"/>
      <c r="BCM525" s="1358"/>
      <c r="BCN525" s="1358"/>
      <c r="BCO525" s="1358"/>
      <c r="BCP525" s="1358"/>
      <c r="BCQ525" s="1358"/>
      <c r="BCR525" s="1358"/>
      <c r="BCS525" s="1358"/>
      <c r="BCT525" s="1358"/>
      <c r="BCU525" s="1358"/>
      <c r="BCV525" s="1358"/>
      <c r="BCW525" s="1358"/>
      <c r="BCX525" s="1358"/>
      <c r="BCY525" s="1358"/>
      <c r="BCZ525" s="1358"/>
      <c r="BDA525" s="1358"/>
      <c r="BDB525" s="1358"/>
      <c r="BDC525" s="1358"/>
      <c r="BDD525" s="1358"/>
      <c r="BDE525" s="1358"/>
      <c r="BDF525" s="1358"/>
      <c r="BDG525" s="1358"/>
      <c r="BDH525" s="1358"/>
      <c r="BDI525" s="1358"/>
      <c r="BDJ525" s="1358"/>
      <c r="BDK525" s="1358"/>
      <c r="BDL525" s="1358"/>
      <c r="BDM525" s="1358"/>
      <c r="BDN525" s="1358"/>
      <c r="BDO525" s="1358"/>
      <c r="BDP525" s="1358"/>
      <c r="BDQ525" s="1358"/>
      <c r="BDR525" s="1358"/>
      <c r="BDS525" s="1358"/>
      <c r="BDT525" s="1358"/>
      <c r="BDU525" s="1358"/>
      <c r="BDV525" s="1358"/>
      <c r="BDW525" s="1358"/>
      <c r="BDX525" s="1358"/>
      <c r="BDY525" s="1358"/>
      <c r="BDZ525" s="1358"/>
      <c r="BEA525" s="1358"/>
      <c r="BEB525" s="1358"/>
      <c r="BEC525" s="1358"/>
      <c r="BED525" s="1358"/>
      <c r="BEE525" s="1358"/>
      <c r="BEF525" s="1358"/>
      <c r="BEG525" s="1358"/>
      <c r="BEH525" s="1358"/>
      <c r="BEI525" s="1358"/>
      <c r="BEJ525" s="1358"/>
      <c r="BEK525" s="1358"/>
      <c r="BEL525" s="1358"/>
      <c r="BEM525" s="1358"/>
      <c r="BEN525" s="1358"/>
      <c r="BEO525" s="1358"/>
      <c r="BEP525" s="1358"/>
      <c r="BEQ525" s="1358"/>
      <c r="BER525" s="1358"/>
      <c r="BES525" s="1358"/>
      <c r="BET525" s="1358"/>
      <c r="BEU525" s="1358"/>
      <c r="BEV525" s="1358"/>
      <c r="BEW525" s="1358"/>
      <c r="BEX525" s="1358"/>
      <c r="BEY525" s="1358"/>
      <c r="BEZ525" s="1358"/>
      <c r="BFA525" s="1358"/>
      <c r="BFB525" s="1358"/>
      <c r="BFC525" s="1358"/>
      <c r="BFD525" s="1358"/>
      <c r="BFE525" s="1358"/>
      <c r="BFF525" s="1358"/>
      <c r="BFG525" s="1358"/>
      <c r="BFH525" s="1358"/>
      <c r="BFI525" s="1358"/>
      <c r="BFJ525" s="1358"/>
      <c r="BFK525" s="1358"/>
      <c r="BFL525" s="1358"/>
      <c r="BFM525" s="1358"/>
      <c r="BFN525" s="1358"/>
      <c r="BFO525" s="1358"/>
      <c r="BFP525" s="1358"/>
      <c r="BFQ525" s="1358"/>
      <c r="BFR525" s="1358"/>
      <c r="BFS525" s="1358"/>
      <c r="BFT525" s="1358"/>
      <c r="BFU525" s="1358"/>
      <c r="BFV525" s="1358"/>
      <c r="BFW525" s="1358"/>
      <c r="BFX525" s="1358"/>
      <c r="BFY525" s="1358"/>
      <c r="BFZ525" s="1358"/>
      <c r="BGA525" s="1358"/>
      <c r="BGB525" s="1358"/>
      <c r="BGC525" s="1358"/>
      <c r="BGD525" s="1358"/>
      <c r="BGE525" s="1358"/>
      <c r="BGF525" s="1358"/>
      <c r="BGG525" s="1358"/>
      <c r="BGH525" s="1358"/>
      <c r="BGI525" s="1358"/>
      <c r="BGJ525" s="1358"/>
      <c r="BGK525" s="1358"/>
      <c r="BGL525" s="1358"/>
      <c r="BGM525" s="1358"/>
      <c r="BGN525" s="1358"/>
      <c r="BGO525" s="1358"/>
      <c r="BGP525" s="1358"/>
      <c r="BGQ525" s="1358"/>
      <c r="BGR525" s="1358"/>
      <c r="BGS525" s="1358"/>
      <c r="BGT525" s="1358"/>
      <c r="BGU525" s="1358"/>
      <c r="BGV525" s="1358"/>
      <c r="BGW525" s="1358"/>
      <c r="BGX525" s="1358"/>
      <c r="BGY525" s="1358"/>
      <c r="BGZ525" s="1358"/>
      <c r="BHA525" s="1358"/>
      <c r="BHB525" s="1358"/>
      <c r="BHC525" s="1358"/>
      <c r="BHD525" s="1358"/>
      <c r="BHE525" s="1358"/>
      <c r="BHF525" s="1358"/>
      <c r="BHG525" s="1358"/>
      <c r="BHH525" s="1358"/>
      <c r="BHI525" s="1358"/>
      <c r="BHJ525" s="1358"/>
      <c r="BHK525" s="1358"/>
      <c r="BHL525" s="1358"/>
      <c r="BHM525" s="1358"/>
      <c r="BHN525" s="1358"/>
      <c r="BHO525" s="1358"/>
      <c r="BHP525" s="1358"/>
      <c r="BHQ525" s="1358"/>
      <c r="BHR525" s="1358"/>
      <c r="BHS525" s="1358"/>
      <c r="BHT525" s="1358"/>
      <c r="BHU525" s="1358"/>
      <c r="BHV525" s="1358"/>
      <c r="BHW525" s="1358"/>
      <c r="BHX525" s="1358"/>
      <c r="BHY525" s="1358"/>
      <c r="BHZ525" s="1358"/>
      <c r="BIA525" s="1358"/>
      <c r="BIB525" s="1358"/>
      <c r="BIC525" s="1358"/>
      <c r="BID525" s="1358"/>
      <c r="BIE525" s="1358"/>
      <c r="BIF525" s="1358"/>
      <c r="BIG525" s="1358"/>
      <c r="BIH525" s="1358"/>
      <c r="BII525" s="1358"/>
      <c r="BIJ525" s="1358"/>
      <c r="BIK525" s="1358"/>
      <c r="BIL525" s="1358"/>
      <c r="BIM525" s="1358"/>
      <c r="BIN525" s="1358"/>
      <c r="BIO525" s="1358"/>
      <c r="BIP525" s="1358"/>
      <c r="BIQ525" s="1358"/>
      <c r="BIR525" s="1358"/>
      <c r="BIS525" s="1358"/>
      <c r="BIT525" s="1358"/>
      <c r="BIU525" s="1358"/>
      <c r="BIV525" s="1358"/>
      <c r="BIW525" s="1358"/>
      <c r="BIX525" s="1358"/>
      <c r="BIY525" s="1358"/>
      <c r="BIZ525" s="1358"/>
      <c r="BJA525" s="1358"/>
      <c r="BJB525" s="1358"/>
      <c r="BJC525" s="1358"/>
      <c r="BJD525" s="1358"/>
      <c r="BJE525" s="1358"/>
      <c r="BJF525" s="1358"/>
      <c r="BJG525" s="1358"/>
      <c r="BJH525" s="1358"/>
      <c r="BJI525" s="1358"/>
      <c r="BJJ525" s="1358"/>
      <c r="BJK525" s="1358"/>
      <c r="BJL525" s="1358"/>
      <c r="BJM525" s="1358"/>
      <c r="BJN525" s="1358"/>
      <c r="BJO525" s="1358"/>
      <c r="BJP525" s="1358"/>
      <c r="BJQ525" s="1358"/>
      <c r="BJR525" s="1358"/>
      <c r="BJS525" s="1358"/>
      <c r="BJT525" s="1358"/>
      <c r="BJU525" s="1358"/>
      <c r="BJV525" s="1358"/>
      <c r="BJW525" s="1358"/>
      <c r="BJX525" s="1358"/>
      <c r="BJY525" s="1358"/>
      <c r="BJZ525" s="1358"/>
      <c r="BKA525" s="1358"/>
      <c r="BKB525" s="1358"/>
      <c r="BKC525" s="1358"/>
      <c r="BKD525" s="1358"/>
      <c r="BKE525" s="1358"/>
      <c r="BKF525" s="1358"/>
      <c r="BKG525" s="1358"/>
      <c r="BKH525" s="1358"/>
      <c r="BKI525" s="1358"/>
      <c r="BKJ525" s="1358"/>
      <c r="BKK525" s="1358"/>
      <c r="BKL525" s="1358"/>
      <c r="BKM525" s="1358"/>
      <c r="BKN525" s="1358"/>
      <c r="BKO525" s="1358"/>
      <c r="BKP525" s="1358"/>
      <c r="BKQ525" s="1358"/>
      <c r="BKR525" s="1358"/>
      <c r="BKS525" s="1358"/>
      <c r="BKT525" s="1358"/>
      <c r="BKU525" s="1358"/>
      <c r="BKV525" s="1358"/>
      <c r="BKW525" s="1358"/>
      <c r="BKX525" s="1358"/>
      <c r="BKY525" s="1358"/>
      <c r="BKZ525" s="1358"/>
      <c r="BLA525" s="1358"/>
      <c r="BLB525" s="1358"/>
      <c r="BLC525" s="1358"/>
      <c r="BLD525" s="1358"/>
      <c r="BLE525" s="1358"/>
      <c r="BLF525" s="1358"/>
      <c r="BLG525" s="1358"/>
      <c r="BLH525" s="1358"/>
      <c r="BLI525" s="1358"/>
      <c r="BLJ525" s="1358"/>
      <c r="BLK525" s="1358"/>
      <c r="BLL525" s="1358"/>
      <c r="BLM525" s="1358"/>
      <c r="BLN525" s="1358"/>
      <c r="BLO525" s="1358"/>
      <c r="BLP525" s="1358"/>
      <c r="BLQ525" s="1358"/>
      <c r="BLR525" s="1358"/>
      <c r="BLS525" s="1358"/>
      <c r="BLT525" s="1358"/>
      <c r="BLU525" s="1358"/>
      <c r="BLV525" s="1358"/>
      <c r="BLW525" s="1358"/>
      <c r="BLX525" s="1358"/>
      <c r="BLY525" s="1358"/>
      <c r="BLZ525" s="1358"/>
      <c r="BMA525" s="1358"/>
      <c r="BMB525" s="1358"/>
      <c r="BMC525" s="1358"/>
      <c r="BMD525" s="1358"/>
      <c r="BME525" s="1358"/>
      <c r="BMF525" s="1358"/>
      <c r="BMG525" s="1358"/>
      <c r="BMH525" s="1358"/>
      <c r="BMI525" s="1358"/>
      <c r="BMJ525" s="1358"/>
      <c r="BMK525" s="1358"/>
      <c r="BML525" s="1358"/>
      <c r="BMM525" s="1358"/>
      <c r="BMN525" s="1358"/>
      <c r="BMO525" s="1358"/>
      <c r="BMP525" s="1358"/>
      <c r="BMQ525" s="1358"/>
      <c r="BMR525" s="1358"/>
      <c r="BMS525" s="1358"/>
      <c r="BMT525" s="1358"/>
      <c r="BMU525" s="1358"/>
      <c r="BMV525" s="1358"/>
      <c r="BMW525" s="1358"/>
      <c r="BMX525" s="1358"/>
      <c r="BMY525" s="1358"/>
      <c r="BMZ525" s="1358"/>
      <c r="BNA525" s="1358"/>
      <c r="BNB525" s="1358"/>
      <c r="BNC525" s="1358"/>
      <c r="BND525" s="1358"/>
      <c r="BNE525" s="1358"/>
      <c r="BNF525" s="1358"/>
      <c r="BNG525" s="1358"/>
      <c r="BNH525" s="1358"/>
      <c r="BNI525" s="1358"/>
      <c r="BNJ525" s="1358"/>
      <c r="BNK525" s="1358"/>
      <c r="BNL525" s="1358"/>
      <c r="BNM525" s="1358"/>
      <c r="BNN525" s="1358"/>
      <c r="BNO525" s="1358"/>
      <c r="BNP525" s="1358"/>
      <c r="BNQ525" s="1358"/>
      <c r="BNR525" s="1358"/>
      <c r="BNS525" s="1358"/>
      <c r="BNT525" s="1358"/>
      <c r="BNU525" s="1358"/>
      <c r="BNV525" s="1358"/>
      <c r="BNW525" s="1358"/>
      <c r="BNX525" s="1358"/>
      <c r="BNY525" s="1358"/>
      <c r="BNZ525" s="1358"/>
      <c r="BOA525" s="1358"/>
      <c r="BOB525" s="1358"/>
      <c r="BOC525" s="1358"/>
      <c r="BOD525" s="1358"/>
      <c r="BOE525" s="1358"/>
      <c r="BOF525" s="1358"/>
      <c r="BOG525" s="1358"/>
      <c r="BOH525" s="1358"/>
      <c r="BOI525" s="1358"/>
      <c r="BOJ525" s="1358"/>
      <c r="BOK525" s="1358"/>
      <c r="BOL525" s="1358"/>
      <c r="BOM525" s="1358"/>
      <c r="BON525" s="1358"/>
      <c r="BOO525" s="1358"/>
      <c r="BOP525" s="1358"/>
      <c r="BOQ525" s="1358"/>
      <c r="BOR525" s="1358"/>
      <c r="BOS525" s="1358"/>
      <c r="BOT525" s="1358"/>
      <c r="BOU525" s="1358"/>
      <c r="BOV525" s="1358"/>
      <c r="BOW525" s="1358"/>
      <c r="BOX525" s="1358"/>
      <c r="BOY525" s="1358"/>
      <c r="BOZ525" s="1358"/>
      <c r="BPA525" s="1358"/>
      <c r="BPB525" s="1358"/>
      <c r="BPC525" s="1358"/>
      <c r="BPD525" s="1358"/>
      <c r="BPE525" s="1358"/>
      <c r="BPF525" s="1358"/>
      <c r="BPG525" s="1358"/>
      <c r="BPH525" s="1358"/>
      <c r="BPI525" s="1358"/>
      <c r="BPJ525" s="1358"/>
      <c r="BPK525" s="1358"/>
      <c r="BPL525" s="1358"/>
      <c r="BPM525" s="1358"/>
      <c r="BPN525" s="1358"/>
      <c r="BPO525" s="1358"/>
      <c r="BPP525" s="1358"/>
      <c r="BPQ525" s="1358"/>
      <c r="BPR525" s="1358"/>
      <c r="BPS525" s="1358"/>
      <c r="BPT525" s="1358"/>
      <c r="BPU525" s="1358"/>
      <c r="BPV525" s="1358"/>
      <c r="BPW525" s="1358"/>
      <c r="BPX525" s="1358"/>
      <c r="BPY525" s="1358"/>
      <c r="BPZ525" s="1358"/>
      <c r="BQA525" s="1358"/>
      <c r="BQB525" s="1358"/>
      <c r="BQC525" s="1358"/>
      <c r="BQD525" s="1358"/>
      <c r="BQE525" s="1358"/>
      <c r="BQF525" s="1358"/>
      <c r="BQG525" s="1358"/>
      <c r="BQH525" s="1358"/>
      <c r="BQI525" s="1358"/>
      <c r="BQJ525" s="1358"/>
      <c r="BQK525" s="1358"/>
      <c r="BQL525" s="1358"/>
      <c r="BQM525" s="1358"/>
      <c r="BQN525" s="1358"/>
      <c r="BQO525" s="1358"/>
      <c r="BQP525" s="1358"/>
      <c r="BQQ525" s="1358"/>
      <c r="BQR525" s="1358"/>
      <c r="BQS525" s="1358"/>
      <c r="BQT525" s="1358"/>
      <c r="BQU525" s="1358"/>
      <c r="BQV525" s="1358"/>
      <c r="BQW525" s="1358"/>
      <c r="BQX525" s="1358"/>
      <c r="BQY525" s="1358"/>
      <c r="BQZ525" s="1358"/>
      <c r="BRA525" s="1358"/>
      <c r="BRB525" s="1358"/>
      <c r="BRC525" s="1358"/>
      <c r="BRD525" s="1358"/>
      <c r="BRE525" s="1358"/>
      <c r="BRF525" s="1358"/>
      <c r="BRG525" s="1358"/>
      <c r="BRH525" s="1358"/>
      <c r="BRI525" s="1358"/>
      <c r="BRJ525" s="1358"/>
      <c r="BRK525" s="1358"/>
      <c r="BRL525" s="1358"/>
      <c r="BRM525" s="1358"/>
      <c r="BRN525" s="1358"/>
      <c r="BRO525" s="1358"/>
      <c r="BRP525" s="1358"/>
      <c r="BRQ525" s="1358"/>
      <c r="BRR525" s="1358"/>
      <c r="BRS525" s="1358"/>
      <c r="BRT525" s="1358"/>
      <c r="BRU525" s="1358"/>
      <c r="BRV525" s="1358"/>
      <c r="BRW525" s="1358"/>
      <c r="BRX525" s="1358"/>
      <c r="BRY525" s="1358"/>
      <c r="BRZ525" s="1358"/>
      <c r="BSA525" s="1358"/>
      <c r="BSB525" s="1358"/>
      <c r="BSC525" s="1358"/>
      <c r="BSD525" s="1358"/>
      <c r="BSE525" s="1358"/>
      <c r="BSF525" s="1358"/>
      <c r="BSG525" s="1358"/>
      <c r="BSH525" s="1358"/>
      <c r="BSI525" s="1358"/>
      <c r="BSJ525" s="1358"/>
      <c r="BSK525" s="1358"/>
      <c r="BSL525" s="1358"/>
      <c r="BSM525" s="1358"/>
      <c r="BSN525" s="1358"/>
      <c r="BSO525" s="1358"/>
      <c r="BSP525" s="1358"/>
      <c r="BSQ525" s="1358"/>
      <c r="BSR525" s="1358"/>
      <c r="BSS525" s="1358"/>
      <c r="BST525" s="1358"/>
      <c r="BSU525" s="1358"/>
      <c r="BSV525" s="1358"/>
      <c r="BSW525" s="1358"/>
      <c r="BSX525" s="1358"/>
      <c r="BSY525" s="1358"/>
      <c r="BSZ525" s="1358"/>
      <c r="BTA525" s="1358"/>
      <c r="BTB525" s="1358"/>
      <c r="BTC525" s="1358"/>
      <c r="BTD525" s="1358"/>
      <c r="BTE525" s="1358"/>
      <c r="BTF525" s="1358"/>
      <c r="BTG525" s="1358"/>
      <c r="BTH525" s="1358"/>
      <c r="BTI525" s="1358"/>
      <c r="BTJ525" s="1358"/>
      <c r="BTK525" s="1358"/>
      <c r="BTL525" s="1358"/>
      <c r="BTM525" s="1358"/>
      <c r="BTN525" s="1358"/>
      <c r="BTO525" s="1358"/>
      <c r="BTP525" s="1358"/>
      <c r="BTQ525" s="1358"/>
      <c r="BTR525" s="1358"/>
      <c r="BTS525" s="1358"/>
      <c r="BTT525" s="1358"/>
      <c r="BTU525" s="1358"/>
      <c r="BTV525" s="1358"/>
      <c r="BTW525" s="1358"/>
      <c r="BTX525" s="1358"/>
      <c r="BTY525" s="1358"/>
      <c r="BTZ525" s="1358"/>
      <c r="BUA525" s="1358"/>
      <c r="BUB525" s="1358"/>
      <c r="BUC525" s="1358"/>
      <c r="BUD525" s="1358"/>
      <c r="BUE525" s="1358"/>
      <c r="BUF525" s="1358"/>
      <c r="BUG525" s="1358"/>
      <c r="BUH525" s="1358"/>
      <c r="BUI525" s="1358"/>
      <c r="BUJ525" s="1358"/>
      <c r="BUK525" s="1358"/>
      <c r="BUL525" s="1358"/>
      <c r="BUM525" s="1358"/>
      <c r="BUN525" s="1358"/>
      <c r="BUO525" s="1358"/>
      <c r="BUP525" s="1358"/>
      <c r="BUQ525" s="1358"/>
      <c r="BUR525" s="1358"/>
      <c r="BUS525" s="1358"/>
      <c r="BUT525" s="1358"/>
      <c r="BUU525" s="1358"/>
      <c r="BUV525" s="1358"/>
      <c r="BUW525" s="1358"/>
      <c r="BUX525" s="1358"/>
      <c r="BUY525" s="1358"/>
      <c r="BUZ525" s="1358"/>
      <c r="BVA525" s="1358"/>
      <c r="BVB525" s="1358"/>
      <c r="BVC525" s="1358"/>
      <c r="BVD525" s="1358"/>
      <c r="BVE525" s="1358"/>
      <c r="BVF525" s="1358"/>
      <c r="BVG525" s="1358"/>
      <c r="BVH525" s="1358"/>
      <c r="BVI525" s="1358"/>
      <c r="BVJ525" s="1358"/>
      <c r="BVK525" s="1358"/>
      <c r="BVL525" s="1358"/>
      <c r="BVM525" s="1358"/>
      <c r="BVN525" s="1358"/>
      <c r="BVO525" s="1358"/>
      <c r="BVP525" s="1358"/>
      <c r="BVQ525" s="1358"/>
      <c r="BVR525" s="1358"/>
      <c r="BVS525" s="1358"/>
      <c r="BVT525" s="1358"/>
      <c r="BVU525" s="1358"/>
      <c r="BVV525" s="1358"/>
      <c r="BVW525" s="1358"/>
      <c r="BVX525" s="1358"/>
      <c r="BVY525" s="1358"/>
      <c r="BVZ525" s="1358"/>
      <c r="BWA525" s="1358"/>
      <c r="BWB525" s="1358"/>
      <c r="BWC525" s="1358"/>
      <c r="BWD525" s="1358"/>
      <c r="BWE525" s="1358"/>
      <c r="BWF525" s="1358"/>
      <c r="BWG525" s="1358"/>
      <c r="BWH525" s="1358"/>
      <c r="BWI525" s="1358"/>
      <c r="BWJ525" s="1358"/>
      <c r="BWK525" s="1358"/>
      <c r="BWL525" s="1358"/>
      <c r="BWM525" s="1358"/>
      <c r="BWN525" s="1358"/>
      <c r="BWO525" s="1358"/>
      <c r="BWP525" s="1358"/>
      <c r="BWQ525" s="1358"/>
      <c r="BWR525" s="1358"/>
      <c r="BWS525" s="1358"/>
      <c r="BWT525" s="1358"/>
      <c r="BWU525" s="1358"/>
      <c r="BWV525" s="1358"/>
      <c r="BWW525" s="1358"/>
      <c r="BWX525" s="1358"/>
      <c r="BWY525" s="1358"/>
      <c r="BWZ525" s="1358"/>
      <c r="BXA525" s="1358"/>
      <c r="BXB525" s="1358"/>
      <c r="BXC525" s="1358"/>
      <c r="BXD525" s="1358"/>
      <c r="BXE525" s="1358"/>
      <c r="BXF525" s="1358"/>
      <c r="BXG525" s="1358"/>
      <c r="BXH525" s="1358"/>
      <c r="BXI525" s="1358"/>
      <c r="BXJ525" s="1358"/>
      <c r="BXK525" s="1358"/>
      <c r="BXL525" s="1358"/>
      <c r="BXM525" s="1358"/>
      <c r="BXN525" s="1358"/>
      <c r="BXO525" s="1358"/>
      <c r="BXP525" s="1358"/>
      <c r="BXQ525" s="1358"/>
      <c r="BXR525" s="1358"/>
      <c r="BXS525" s="1358"/>
      <c r="BXT525" s="1358"/>
      <c r="BXU525" s="1358"/>
      <c r="BXV525" s="1358"/>
      <c r="BXW525" s="1358"/>
      <c r="BXX525" s="1358"/>
      <c r="BXY525" s="1358"/>
      <c r="BXZ525" s="1358"/>
      <c r="BYA525" s="1358"/>
      <c r="BYB525" s="1358"/>
      <c r="BYC525" s="1358"/>
      <c r="BYD525" s="1358"/>
      <c r="BYE525" s="1358"/>
      <c r="BYF525" s="1358"/>
      <c r="BYG525" s="1358"/>
      <c r="BYH525" s="1358"/>
      <c r="BYI525" s="1358"/>
      <c r="BYJ525" s="1358"/>
      <c r="BYK525" s="1358"/>
      <c r="BYL525" s="1358"/>
      <c r="BYM525" s="1358"/>
      <c r="BYN525" s="1358"/>
      <c r="BYO525" s="1358"/>
      <c r="BYP525" s="1358"/>
      <c r="BYQ525" s="1358"/>
      <c r="BYR525" s="1358"/>
      <c r="BYS525" s="1358"/>
      <c r="BYT525" s="1358"/>
      <c r="BYU525" s="1358"/>
      <c r="BYV525" s="1358"/>
      <c r="BYW525" s="1358"/>
      <c r="BYX525" s="1358"/>
      <c r="BYY525" s="1358"/>
      <c r="BYZ525" s="1358"/>
      <c r="BZA525" s="1358"/>
      <c r="BZB525" s="1358"/>
      <c r="BZC525" s="1358"/>
      <c r="BZD525" s="1358"/>
      <c r="BZE525" s="1358"/>
      <c r="BZF525" s="1358"/>
      <c r="BZG525" s="1358"/>
      <c r="BZH525" s="1358"/>
      <c r="BZI525" s="1358"/>
      <c r="BZJ525" s="1358"/>
      <c r="BZK525" s="1358"/>
      <c r="BZL525" s="1358"/>
      <c r="BZM525" s="1358"/>
      <c r="BZN525" s="1358"/>
      <c r="BZO525" s="1358"/>
      <c r="BZP525" s="1358"/>
      <c r="BZQ525" s="1358"/>
      <c r="BZR525" s="1358"/>
      <c r="BZS525" s="1358"/>
      <c r="BZT525" s="1358"/>
      <c r="BZU525" s="1358"/>
      <c r="BZV525" s="1358"/>
      <c r="BZW525" s="1358"/>
      <c r="BZX525" s="1358"/>
      <c r="BZY525" s="1358"/>
      <c r="BZZ525" s="1358"/>
      <c r="CAA525" s="1358"/>
      <c r="CAB525" s="1358"/>
      <c r="CAC525" s="1358"/>
      <c r="CAD525" s="1358"/>
      <c r="CAE525" s="1358"/>
      <c r="CAF525" s="1358"/>
      <c r="CAG525" s="1358"/>
      <c r="CAH525" s="1358"/>
      <c r="CAI525" s="1358"/>
      <c r="CAJ525" s="1358"/>
      <c r="CAK525" s="1358"/>
      <c r="CAL525" s="1358"/>
      <c r="CAM525" s="1358"/>
      <c r="CAN525" s="1358"/>
      <c r="CAO525" s="1358"/>
      <c r="CAP525" s="1358"/>
      <c r="CAQ525" s="1358"/>
      <c r="CAR525" s="1358"/>
      <c r="CAS525" s="1358"/>
      <c r="CAT525" s="1358"/>
      <c r="CAU525" s="1358"/>
      <c r="CAV525" s="1358"/>
      <c r="CAW525" s="1358"/>
      <c r="CAX525" s="1358"/>
      <c r="CAY525" s="1358"/>
      <c r="CAZ525" s="1358"/>
      <c r="CBA525" s="1358"/>
      <c r="CBB525" s="1358"/>
      <c r="CBC525" s="1358"/>
      <c r="CBD525" s="1358"/>
      <c r="CBE525" s="1358"/>
      <c r="CBF525" s="1358"/>
      <c r="CBG525" s="1358"/>
      <c r="CBH525" s="1358"/>
      <c r="CBI525" s="1358"/>
      <c r="CBJ525" s="1358"/>
      <c r="CBK525" s="1358"/>
      <c r="CBL525" s="1358"/>
      <c r="CBM525" s="1358"/>
      <c r="CBN525" s="1358"/>
      <c r="CBO525" s="1358"/>
      <c r="CBP525" s="1358"/>
      <c r="CBQ525" s="1358"/>
      <c r="CBR525" s="1358"/>
      <c r="CBS525" s="1358"/>
      <c r="CBT525" s="1358"/>
      <c r="CBU525" s="1358"/>
      <c r="CBV525" s="1358"/>
      <c r="CBW525" s="1358"/>
      <c r="CBX525" s="1358"/>
      <c r="CBY525" s="1358"/>
      <c r="CBZ525" s="1358"/>
      <c r="CCA525" s="1358"/>
      <c r="CCB525" s="1358"/>
      <c r="CCC525" s="1358"/>
      <c r="CCD525" s="1358"/>
      <c r="CCE525" s="1358"/>
      <c r="CCF525" s="1358"/>
      <c r="CCG525" s="1358"/>
      <c r="CCH525" s="1358"/>
      <c r="CCI525" s="1358"/>
      <c r="CCJ525" s="1358"/>
      <c r="CCK525" s="1358"/>
      <c r="CCL525" s="1358"/>
      <c r="CCM525" s="1358"/>
      <c r="CCN525" s="1358"/>
      <c r="CCO525" s="1358"/>
      <c r="CCP525" s="1358"/>
      <c r="CCQ525" s="1358"/>
      <c r="CCR525" s="1358"/>
      <c r="CCS525" s="1358"/>
      <c r="CCT525" s="1358"/>
      <c r="CCU525" s="1358"/>
      <c r="CCV525" s="1358"/>
      <c r="CCW525" s="1358"/>
      <c r="CCX525" s="1358"/>
      <c r="CCY525" s="1358"/>
      <c r="CCZ525" s="1358"/>
      <c r="CDA525" s="1358"/>
      <c r="CDB525" s="1358"/>
      <c r="CDC525" s="1358"/>
      <c r="CDD525" s="1358"/>
      <c r="CDE525" s="1358"/>
      <c r="CDF525" s="1358"/>
      <c r="CDG525" s="1358"/>
      <c r="CDH525" s="1358"/>
      <c r="CDI525" s="1358"/>
      <c r="CDJ525" s="1358"/>
      <c r="CDK525" s="1358"/>
      <c r="CDL525" s="1358"/>
      <c r="CDM525" s="1358"/>
      <c r="CDN525" s="1358"/>
      <c r="CDO525" s="1358"/>
      <c r="CDP525" s="1358"/>
      <c r="CDQ525" s="1358"/>
      <c r="CDR525" s="1358"/>
      <c r="CDS525" s="1358"/>
      <c r="CDT525" s="1358"/>
      <c r="CDU525" s="1358"/>
      <c r="CDV525" s="1358"/>
      <c r="CDW525" s="1358"/>
      <c r="CDX525" s="1358"/>
      <c r="CDY525" s="1358"/>
      <c r="CDZ525" s="1358"/>
      <c r="CEA525" s="1358"/>
      <c r="CEB525" s="1358"/>
      <c r="CEC525" s="1358"/>
      <c r="CED525" s="1358"/>
      <c r="CEE525" s="1358"/>
      <c r="CEF525" s="1358"/>
      <c r="CEG525" s="1358"/>
      <c r="CEH525" s="1358"/>
      <c r="CEI525" s="1358"/>
      <c r="CEJ525" s="1358"/>
      <c r="CEK525" s="1358"/>
      <c r="CEL525" s="1358"/>
      <c r="CEM525" s="1358"/>
      <c r="CEN525" s="1358"/>
      <c r="CEO525" s="1358"/>
      <c r="CEP525" s="1358"/>
      <c r="CEQ525" s="1358"/>
      <c r="CER525" s="1358"/>
      <c r="CES525" s="1358"/>
      <c r="CET525" s="1358"/>
      <c r="CEU525" s="1358"/>
      <c r="CEV525" s="1358"/>
      <c r="CEW525" s="1358"/>
      <c r="CEX525" s="1358"/>
      <c r="CEY525" s="1358"/>
      <c r="CEZ525" s="1358"/>
      <c r="CFA525" s="1358"/>
      <c r="CFB525" s="1358"/>
      <c r="CFC525" s="1358"/>
      <c r="CFD525" s="1358"/>
      <c r="CFE525" s="1358"/>
      <c r="CFF525" s="1358"/>
      <c r="CFG525" s="1358"/>
      <c r="CFH525" s="1358"/>
      <c r="CFI525" s="1358"/>
      <c r="CFJ525" s="1358"/>
      <c r="CFK525" s="1358"/>
      <c r="CFL525" s="1358"/>
      <c r="CFM525" s="1358"/>
      <c r="CFN525" s="1358"/>
      <c r="CFO525" s="1358"/>
      <c r="CFP525" s="1358"/>
      <c r="CFQ525" s="1358"/>
      <c r="CFR525" s="1358"/>
      <c r="CFS525" s="1358"/>
      <c r="CFT525" s="1358"/>
      <c r="CFU525" s="1358"/>
      <c r="CFV525" s="1358"/>
      <c r="CFW525" s="1358"/>
      <c r="CFX525" s="1358"/>
      <c r="CFY525" s="1358"/>
      <c r="CFZ525" s="1358"/>
      <c r="CGA525" s="1358"/>
      <c r="CGB525" s="1358"/>
      <c r="CGC525" s="1358"/>
      <c r="CGD525" s="1358"/>
      <c r="CGE525" s="1358"/>
      <c r="CGF525" s="1358"/>
      <c r="CGG525" s="1358"/>
      <c r="CGH525" s="1358"/>
      <c r="CGI525" s="1358"/>
      <c r="CGJ525" s="1358"/>
      <c r="CGK525" s="1358"/>
      <c r="CGL525" s="1358"/>
      <c r="CGM525" s="1358"/>
      <c r="CGN525" s="1358"/>
      <c r="CGO525" s="1358"/>
      <c r="CGP525" s="1358"/>
      <c r="CGQ525" s="1358"/>
      <c r="CGR525" s="1358"/>
      <c r="CGS525" s="1358"/>
      <c r="CGT525" s="1358"/>
      <c r="CGU525" s="1358"/>
      <c r="CGV525" s="1358"/>
      <c r="CGW525" s="1358"/>
      <c r="CGX525" s="1358"/>
      <c r="CGY525" s="1358"/>
      <c r="CGZ525" s="1358"/>
      <c r="CHA525" s="1358"/>
      <c r="CHB525" s="1358"/>
      <c r="CHC525" s="1358"/>
      <c r="CHD525" s="1358"/>
      <c r="CHE525" s="1358"/>
      <c r="CHF525" s="1358"/>
      <c r="CHG525" s="1358"/>
      <c r="CHH525" s="1358"/>
      <c r="CHI525" s="1358"/>
      <c r="CHJ525" s="1358"/>
      <c r="CHK525" s="1358"/>
      <c r="CHL525" s="1358"/>
      <c r="CHM525" s="1358"/>
      <c r="CHN525" s="1358"/>
      <c r="CHO525" s="1358"/>
      <c r="CHP525" s="1358"/>
      <c r="CHQ525" s="1358"/>
      <c r="CHR525" s="1358"/>
      <c r="CHS525" s="1358"/>
      <c r="CHT525" s="1358"/>
      <c r="CHU525" s="1358"/>
      <c r="CHV525" s="1358"/>
      <c r="CHW525" s="1358"/>
      <c r="CHX525" s="1358"/>
      <c r="CHY525" s="1358"/>
      <c r="CHZ525" s="1358"/>
      <c r="CIA525" s="1358"/>
      <c r="CIB525" s="1358"/>
      <c r="CIC525" s="1358"/>
      <c r="CID525" s="1358"/>
      <c r="CIE525" s="1358"/>
      <c r="CIF525" s="1358"/>
      <c r="CIG525" s="1358"/>
      <c r="CIH525" s="1358"/>
      <c r="CII525" s="1358"/>
      <c r="CIJ525" s="1358"/>
      <c r="CIK525" s="1358"/>
      <c r="CIL525" s="1358"/>
      <c r="CIM525" s="1358"/>
      <c r="CIN525" s="1358"/>
      <c r="CIO525" s="1358"/>
      <c r="CIP525" s="1358"/>
      <c r="CIQ525" s="1358"/>
      <c r="CIR525" s="1358"/>
      <c r="CIS525" s="1358"/>
      <c r="CIT525" s="1358"/>
      <c r="CIU525" s="1358"/>
      <c r="CIV525" s="1358"/>
      <c r="CIW525" s="1358"/>
      <c r="CIX525" s="1358"/>
      <c r="CIY525" s="1358"/>
      <c r="CIZ525" s="1358"/>
      <c r="CJA525" s="1358"/>
      <c r="CJB525" s="1358"/>
      <c r="CJC525" s="1358"/>
      <c r="CJD525" s="1358"/>
      <c r="CJE525" s="1358"/>
      <c r="CJF525" s="1358"/>
      <c r="CJG525" s="1358"/>
      <c r="CJH525" s="1358"/>
      <c r="CJI525" s="1358"/>
      <c r="CJJ525" s="1358"/>
      <c r="CJK525" s="1358"/>
      <c r="CJL525" s="1358"/>
      <c r="CJM525" s="1358"/>
      <c r="CJN525" s="1358"/>
      <c r="CJO525" s="1358"/>
      <c r="CJP525" s="1358"/>
      <c r="CJQ525" s="1358"/>
      <c r="CJR525" s="1358"/>
      <c r="CJS525" s="1358"/>
      <c r="CJT525" s="1358"/>
      <c r="CJU525" s="1358"/>
      <c r="CJV525" s="1358"/>
      <c r="CJW525" s="1358"/>
      <c r="CJX525" s="1358"/>
      <c r="CJY525" s="1358"/>
      <c r="CJZ525" s="1358"/>
      <c r="CKA525" s="1358"/>
      <c r="CKB525" s="1358"/>
      <c r="CKC525" s="1358"/>
      <c r="CKD525" s="1358"/>
      <c r="CKE525" s="1358"/>
      <c r="CKF525" s="1358"/>
      <c r="CKG525" s="1358"/>
      <c r="CKH525" s="1358"/>
      <c r="CKI525" s="1358"/>
      <c r="CKJ525" s="1358"/>
      <c r="CKK525" s="1358"/>
      <c r="CKL525" s="1358"/>
      <c r="CKM525" s="1358"/>
      <c r="CKN525" s="1358"/>
      <c r="CKO525" s="1358"/>
      <c r="CKP525" s="1358"/>
      <c r="CKQ525" s="1358"/>
      <c r="CKR525" s="1358"/>
      <c r="CKS525" s="1358"/>
      <c r="CKT525" s="1358"/>
      <c r="CKU525" s="1358"/>
      <c r="CKV525" s="1358"/>
      <c r="CKW525" s="1358"/>
      <c r="CKX525" s="1358"/>
      <c r="CKY525" s="1358"/>
      <c r="CKZ525" s="1358"/>
      <c r="CLA525" s="1358"/>
      <c r="CLB525" s="1358"/>
      <c r="CLC525" s="1358"/>
      <c r="CLD525" s="1358"/>
      <c r="CLE525" s="1358"/>
      <c r="CLF525" s="1358"/>
      <c r="CLG525" s="1358"/>
      <c r="CLH525" s="1358"/>
      <c r="CLI525" s="1358"/>
      <c r="CLJ525" s="1358"/>
      <c r="CLK525" s="1358"/>
      <c r="CLL525" s="1358"/>
      <c r="CLM525" s="1358"/>
      <c r="CLN525" s="1358"/>
      <c r="CLO525" s="1358"/>
      <c r="CLP525" s="1358"/>
      <c r="CLQ525" s="1358"/>
      <c r="CLR525" s="1358"/>
      <c r="CLS525" s="1358"/>
      <c r="CLT525" s="1358"/>
      <c r="CLU525" s="1358"/>
      <c r="CLV525" s="1358"/>
      <c r="CLW525" s="1358"/>
      <c r="CLX525" s="1358"/>
      <c r="CLY525" s="1358"/>
      <c r="CLZ525" s="1358"/>
      <c r="CMA525" s="1358"/>
      <c r="CMB525" s="1358"/>
      <c r="CMC525" s="1358"/>
      <c r="CMD525" s="1358"/>
      <c r="CME525" s="1358"/>
      <c r="CMF525" s="1358"/>
      <c r="CMG525" s="1358"/>
      <c r="CMH525" s="1358"/>
      <c r="CMI525" s="1358"/>
      <c r="CMJ525" s="1358"/>
      <c r="CMK525" s="1358"/>
      <c r="CML525" s="1358"/>
      <c r="CMM525" s="1358"/>
      <c r="CMN525" s="1358"/>
      <c r="CMO525" s="1358"/>
      <c r="CMP525" s="1358"/>
      <c r="CMQ525" s="1358"/>
      <c r="CMR525" s="1358"/>
      <c r="CMS525" s="1358"/>
      <c r="CMT525" s="1358"/>
      <c r="CMU525" s="1358"/>
      <c r="CMV525" s="1358"/>
      <c r="CMW525" s="1358"/>
      <c r="CMX525" s="1358"/>
      <c r="CMY525" s="1358"/>
      <c r="CMZ525" s="1358"/>
      <c r="CNA525" s="1358"/>
      <c r="CNB525" s="1358"/>
      <c r="CNC525" s="1358"/>
      <c r="CND525" s="1358"/>
      <c r="CNE525" s="1358"/>
      <c r="CNF525" s="1358"/>
      <c r="CNG525" s="1358"/>
      <c r="CNH525" s="1358"/>
      <c r="CNI525" s="1358"/>
      <c r="CNJ525" s="1358"/>
      <c r="CNK525" s="1358"/>
      <c r="CNL525" s="1358"/>
      <c r="CNM525" s="1358"/>
      <c r="CNN525" s="1358"/>
      <c r="CNO525" s="1358"/>
      <c r="CNP525" s="1358"/>
      <c r="CNQ525" s="1358"/>
      <c r="CNR525" s="1358"/>
      <c r="CNS525" s="1358"/>
      <c r="CNT525" s="1358"/>
      <c r="CNU525" s="1358"/>
      <c r="CNV525" s="1358"/>
      <c r="CNW525" s="1358"/>
      <c r="CNX525" s="1358"/>
      <c r="CNY525" s="1358"/>
      <c r="CNZ525" s="1358"/>
      <c r="COA525" s="1358"/>
      <c r="COB525" s="1358"/>
      <c r="COC525" s="1358"/>
      <c r="COD525" s="1358"/>
      <c r="COE525" s="1358"/>
      <c r="COF525" s="1358"/>
      <c r="COG525" s="1358"/>
      <c r="COH525" s="1358"/>
      <c r="COI525" s="1358"/>
      <c r="COJ525" s="1358"/>
      <c r="COK525" s="1358"/>
      <c r="COL525" s="1358"/>
      <c r="COM525" s="1358"/>
      <c r="CON525" s="1358"/>
      <c r="COO525" s="1358"/>
      <c r="COP525" s="1358"/>
      <c r="COQ525" s="1358"/>
      <c r="COR525" s="1358"/>
      <c r="COS525" s="1358"/>
      <c r="COT525" s="1358"/>
      <c r="COU525" s="1358"/>
      <c r="COV525" s="1358"/>
      <c r="COW525" s="1358"/>
      <c r="COX525" s="1358"/>
      <c r="COY525" s="1358"/>
      <c r="COZ525" s="1358"/>
      <c r="CPA525" s="1358"/>
      <c r="CPB525" s="1358"/>
      <c r="CPC525" s="1358"/>
      <c r="CPD525" s="1358"/>
      <c r="CPE525" s="1358"/>
      <c r="CPF525" s="1358"/>
      <c r="CPG525" s="1358"/>
      <c r="CPH525" s="1358"/>
      <c r="CPI525" s="1358"/>
      <c r="CPJ525" s="1358"/>
      <c r="CPK525" s="1358"/>
      <c r="CPL525" s="1358"/>
      <c r="CPM525" s="1358"/>
      <c r="CPN525" s="1358"/>
      <c r="CPO525" s="1358"/>
      <c r="CPP525" s="1358"/>
      <c r="CPQ525" s="1358"/>
      <c r="CPR525" s="1358"/>
      <c r="CPS525" s="1358"/>
      <c r="CPT525" s="1358"/>
      <c r="CPU525" s="1358"/>
      <c r="CPV525" s="1358"/>
      <c r="CPW525" s="1358"/>
      <c r="CPX525" s="1358"/>
      <c r="CPY525" s="1358"/>
      <c r="CPZ525" s="1358"/>
      <c r="CQA525" s="1358"/>
      <c r="CQB525" s="1358"/>
      <c r="CQC525" s="1358"/>
      <c r="CQD525" s="1358"/>
      <c r="CQE525" s="1358"/>
      <c r="CQF525" s="1358"/>
      <c r="CQG525" s="1358"/>
      <c r="CQH525" s="1358"/>
      <c r="CQI525" s="1358"/>
      <c r="CQJ525" s="1358"/>
      <c r="CQK525" s="1358"/>
      <c r="CQL525" s="1358"/>
      <c r="CQM525" s="1358"/>
      <c r="CQN525" s="1358"/>
      <c r="CQO525" s="1358"/>
      <c r="CQP525" s="1358"/>
      <c r="CQQ525" s="1358"/>
      <c r="CQR525" s="1358"/>
      <c r="CQS525" s="1358"/>
      <c r="CQT525" s="1358"/>
      <c r="CQU525" s="1358"/>
      <c r="CQV525" s="1358"/>
      <c r="CQW525" s="1358"/>
      <c r="CQX525" s="1358"/>
      <c r="CQY525" s="1358"/>
      <c r="CQZ525" s="1358"/>
      <c r="CRA525" s="1358"/>
      <c r="CRB525" s="1358"/>
      <c r="CRC525" s="1358"/>
      <c r="CRD525" s="1358"/>
      <c r="CRE525" s="1358"/>
      <c r="CRF525" s="1358"/>
      <c r="CRG525" s="1358"/>
      <c r="CRH525" s="1358"/>
      <c r="CRI525" s="1358"/>
      <c r="CRJ525" s="1358"/>
      <c r="CRK525" s="1358"/>
      <c r="CRL525" s="1358"/>
      <c r="CRM525" s="1358"/>
      <c r="CRN525" s="1358"/>
      <c r="CRO525" s="1358"/>
      <c r="CRP525" s="1358"/>
      <c r="CRQ525" s="1358"/>
      <c r="CRR525" s="1358"/>
      <c r="CRS525" s="1358"/>
      <c r="CRT525" s="1358"/>
      <c r="CRU525" s="1358"/>
      <c r="CRV525" s="1358"/>
      <c r="CRW525" s="1358"/>
      <c r="CRX525" s="1358"/>
      <c r="CRY525" s="1358"/>
      <c r="CRZ525" s="1358"/>
      <c r="CSA525" s="1358"/>
      <c r="CSB525" s="1358"/>
      <c r="CSC525" s="1358"/>
      <c r="CSD525" s="1358"/>
      <c r="CSE525" s="1358"/>
      <c r="CSF525" s="1358"/>
      <c r="CSG525" s="1358"/>
      <c r="CSH525" s="1358"/>
      <c r="CSI525" s="1358"/>
      <c r="CSJ525" s="1358"/>
      <c r="CSK525" s="1358"/>
      <c r="CSL525" s="1358"/>
      <c r="CSM525" s="1358"/>
      <c r="CSN525" s="1358"/>
      <c r="CSO525" s="1358"/>
      <c r="CSP525" s="1358"/>
      <c r="CSQ525" s="1358"/>
      <c r="CSR525" s="1358"/>
      <c r="CSS525" s="1358"/>
      <c r="CST525" s="1358"/>
      <c r="CSU525" s="1358"/>
      <c r="CSV525" s="1358"/>
      <c r="CSW525" s="1358"/>
      <c r="CSX525" s="1358"/>
      <c r="CSY525" s="1358"/>
      <c r="CSZ525" s="1358"/>
      <c r="CTA525" s="1358"/>
      <c r="CTB525" s="1358"/>
      <c r="CTC525" s="1358"/>
      <c r="CTD525" s="1358"/>
      <c r="CTE525" s="1358"/>
      <c r="CTF525" s="1358"/>
      <c r="CTG525" s="1358"/>
      <c r="CTH525" s="1358"/>
      <c r="CTI525" s="1358"/>
      <c r="CTJ525" s="1358"/>
      <c r="CTK525" s="1358"/>
      <c r="CTL525" s="1358"/>
      <c r="CTM525" s="1358"/>
      <c r="CTN525" s="1358"/>
      <c r="CTO525" s="1358"/>
      <c r="CTP525" s="1358"/>
      <c r="CTQ525" s="1358"/>
      <c r="CTR525" s="1358"/>
      <c r="CTS525" s="1358"/>
      <c r="CTT525" s="1358"/>
      <c r="CTU525" s="1358"/>
      <c r="CTV525" s="1358"/>
      <c r="CTW525" s="1358"/>
      <c r="CTX525" s="1358"/>
      <c r="CTY525" s="1358"/>
      <c r="CTZ525" s="1358"/>
      <c r="CUA525" s="1358"/>
      <c r="CUB525" s="1358"/>
      <c r="CUC525" s="1358"/>
      <c r="CUD525" s="1358"/>
      <c r="CUE525" s="1358"/>
      <c r="CUF525" s="1358"/>
      <c r="CUG525" s="1358"/>
      <c r="CUH525" s="1358"/>
      <c r="CUI525" s="1358"/>
      <c r="CUJ525" s="1358"/>
      <c r="CUK525" s="1358"/>
      <c r="CUL525" s="1358"/>
      <c r="CUM525" s="1358"/>
      <c r="CUN525" s="1358"/>
      <c r="CUO525" s="1358"/>
      <c r="CUP525" s="1358"/>
      <c r="CUQ525" s="1358"/>
      <c r="CUR525" s="1358"/>
      <c r="CUS525" s="1358"/>
      <c r="CUT525" s="1358"/>
      <c r="CUU525" s="1358"/>
      <c r="CUV525" s="1358"/>
      <c r="CUW525" s="1358"/>
      <c r="CUX525" s="1358"/>
      <c r="CUY525" s="1358"/>
      <c r="CUZ525" s="1358"/>
      <c r="CVA525" s="1358"/>
      <c r="CVB525" s="1358"/>
      <c r="CVC525" s="1358"/>
      <c r="CVD525" s="1358"/>
      <c r="CVE525" s="1358"/>
      <c r="CVF525" s="1358"/>
      <c r="CVG525" s="1358"/>
      <c r="CVH525" s="1358"/>
      <c r="CVI525" s="1358"/>
      <c r="CVJ525" s="1358"/>
      <c r="CVK525" s="1358"/>
      <c r="CVL525" s="1358"/>
      <c r="CVM525" s="1358"/>
      <c r="CVN525" s="1358"/>
      <c r="CVO525" s="1358"/>
      <c r="CVP525" s="1358"/>
      <c r="CVQ525" s="1358"/>
      <c r="CVR525" s="1358"/>
      <c r="CVS525" s="1358"/>
      <c r="CVT525" s="1358"/>
      <c r="CVU525" s="1358"/>
      <c r="CVV525" s="1358"/>
      <c r="CVW525" s="1358"/>
      <c r="CVX525" s="1358"/>
      <c r="CVY525" s="1358"/>
      <c r="CVZ525" s="1358"/>
      <c r="CWA525" s="1358"/>
      <c r="CWB525" s="1358"/>
      <c r="CWC525" s="1358"/>
      <c r="CWD525" s="1358"/>
      <c r="CWE525" s="1358"/>
      <c r="CWF525" s="1358"/>
      <c r="CWG525" s="1358"/>
      <c r="CWH525" s="1358"/>
      <c r="CWI525" s="1358"/>
      <c r="CWJ525" s="1358"/>
      <c r="CWK525" s="1358"/>
      <c r="CWL525" s="1358"/>
      <c r="CWM525" s="1358"/>
      <c r="CWN525" s="1358"/>
      <c r="CWO525" s="1358"/>
      <c r="CWP525" s="1358"/>
      <c r="CWQ525" s="1358"/>
      <c r="CWR525" s="1358"/>
      <c r="CWS525" s="1358"/>
      <c r="CWT525" s="1358"/>
      <c r="CWU525" s="1358"/>
      <c r="CWV525" s="1358"/>
      <c r="CWW525" s="1358"/>
      <c r="CWX525" s="1358"/>
      <c r="CWY525" s="1358"/>
      <c r="CWZ525" s="1358"/>
      <c r="CXA525" s="1358"/>
      <c r="CXB525" s="1358"/>
      <c r="CXC525" s="1358"/>
      <c r="CXD525" s="1358"/>
      <c r="CXE525" s="1358"/>
      <c r="CXF525" s="1358"/>
      <c r="CXG525" s="1358"/>
      <c r="CXH525" s="1358"/>
      <c r="CXI525" s="1358"/>
      <c r="CXJ525" s="1358"/>
      <c r="CXK525" s="1358"/>
      <c r="CXL525" s="1358"/>
      <c r="CXM525" s="1358"/>
      <c r="CXN525" s="1358"/>
      <c r="CXO525" s="1358"/>
      <c r="CXP525" s="1358"/>
      <c r="CXQ525" s="1358"/>
      <c r="CXR525" s="1358"/>
      <c r="CXS525" s="1358"/>
      <c r="CXT525" s="1358"/>
      <c r="CXU525" s="1358"/>
      <c r="CXV525" s="1358"/>
      <c r="CXW525" s="1358"/>
      <c r="CXX525" s="1358"/>
      <c r="CXY525" s="1358"/>
      <c r="CXZ525" s="1358"/>
      <c r="CYA525" s="1358"/>
      <c r="CYB525" s="1358"/>
      <c r="CYC525" s="1358"/>
      <c r="CYD525" s="1358"/>
      <c r="CYE525" s="1358"/>
      <c r="CYF525" s="1358"/>
      <c r="CYG525" s="1358"/>
      <c r="CYH525" s="1358"/>
      <c r="CYI525" s="1358"/>
      <c r="CYJ525" s="1358"/>
      <c r="CYK525" s="1358"/>
      <c r="CYL525" s="1358"/>
      <c r="CYM525" s="1358"/>
      <c r="CYN525" s="1358"/>
      <c r="CYO525" s="1358"/>
      <c r="CYP525" s="1358"/>
      <c r="CYQ525" s="1358"/>
      <c r="CYR525" s="1358"/>
      <c r="CYS525" s="1358"/>
      <c r="CYT525" s="1358"/>
      <c r="CYU525" s="1358"/>
      <c r="CYV525" s="1358"/>
      <c r="CYW525" s="1358"/>
      <c r="CYX525" s="1358"/>
      <c r="CYY525" s="1358"/>
      <c r="CYZ525" s="1358"/>
      <c r="CZA525" s="1358"/>
      <c r="CZB525" s="1358"/>
      <c r="CZC525" s="1358"/>
      <c r="CZD525" s="1358"/>
      <c r="CZE525" s="1358"/>
      <c r="CZF525" s="1358"/>
      <c r="CZG525" s="1358"/>
      <c r="CZH525" s="1358"/>
      <c r="CZI525" s="1358"/>
      <c r="CZJ525" s="1358"/>
      <c r="CZK525" s="1358"/>
      <c r="CZL525" s="1358"/>
      <c r="CZM525" s="1358"/>
      <c r="CZN525" s="1358"/>
      <c r="CZO525" s="1358"/>
      <c r="CZP525" s="1358"/>
      <c r="CZQ525" s="1358"/>
      <c r="CZR525" s="1358"/>
      <c r="CZS525" s="1358"/>
      <c r="CZT525" s="1358"/>
      <c r="CZU525" s="1358"/>
      <c r="CZV525" s="1358"/>
      <c r="CZW525" s="1358"/>
      <c r="CZX525" s="1358"/>
      <c r="CZY525" s="1358"/>
      <c r="CZZ525" s="1358"/>
      <c r="DAA525" s="1358"/>
      <c r="DAB525" s="1358"/>
      <c r="DAC525" s="1358"/>
      <c r="DAD525" s="1358"/>
      <c r="DAE525" s="1358"/>
      <c r="DAF525" s="1358"/>
      <c r="DAG525" s="1358"/>
      <c r="DAH525" s="1358"/>
      <c r="DAI525" s="1358"/>
      <c r="DAJ525" s="1358"/>
      <c r="DAK525" s="1358"/>
      <c r="DAL525" s="1358"/>
      <c r="DAM525" s="1358"/>
      <c r="DAN525" s="1358"/>
      <c r="DAO525" s="1358"/>
      <c r="DAP525" s="1358"/>
      <c r="DAQ525" s="1358"/>
      <c r="DAR525" s="1358"/>
      <c r="DAS525" s="1358"/>
      <c r="DAT525" s="1358"/>
      <c r="DAU525" s="1358"/>
      <c r="DAV525" s="1358"/>
      <c r="DAW525" s="1358"/>
      <c r="DAX525" s="1358"/>
      <c r="DAY525" s="1358"/>
      <c r="DAZ525" s="1358"/>
      <c r="DBA525" s="1358"/>
      <c r="DBB525" s="1358"/>
      <c r="DBC525" s="1358"/>
      <c r="DBD525" s="1358"/>
      <c r="DBE525" s="1358"/>
      <c r="DBF525" s="1358"/>
      <c r="DBG525" s="1358"/>
      <c r="DBH525" s="1358"/>
      <c r="DBI525" s="1358"/>
      <c r="DBJ525" s="1358"/>
      <c r="DBK525" s="1358"/>
      <c r="DBL525" s="1358"/>
      <c r="DBM525" s="1358"/>
      <c r="DBN525" s="1358"/>
      <c r="DBO525" s="1358"/>
      <c r="DBP525" s="1358"/>
      <c r="DBQ525" s="1358"/>
      <c r="DBR525" s="1358"/>
      <c r="DBS525" s="1358"/>
      <c r="DBT525" s="1358"/>
      <c r="DBU525" s="1358"/>
      <c r="DBV525" s="1358"/>
      <c r="DBW525" s="1358"/>
      <c r="DBX525" s="1358"/>
      <c r="DBY525" s="1358"/>
      <c r="DBZ525" s="1358"/>
      <c r="DCA525" s="1358"/>
      <c r="DCB525" s="1358"/>
      <c r="DCC525" s="1358"/>
      <c r="DCD525" s="1358"/>
      <c r="DCE525" s="1358"/>
      <c r="DCF525" s="1358"/>
      <c r="DCG525" s="1358"/>
      <c r="DCH525" s="1358"/>
      <c r="DCI525" s="1358"/>
      <c r="DCJ525" s="1358"/>
      <c r="DCK525" s="1358"/>
      <c r="DCL525" s="1358"/>
      <c r="DCM525" s="1358"/>
      <c r="DCN525" s="1358"/>
      <c r="DCO525" s="1358"/>
      <c r="DCP525" s="1358"/>
      <c r="DCQ525" s="1358"/>
      <c r="DCR525" s="1358"/>
      <c r="DCS525" s="1358"/>
      <c r="DCT525" s="1358"/>
      <c r="DCU525" s="1358"/>
      <c r="DCV525" s="1358"/>
      <c r="DCW525" s="1358"/>
      <c r="DCX525" s="1358"/>
      <c r="DCY525" s="1358"/>
      <c r="DCZ525" s="1358"/>
      <c r="DDA525" s="1358"/>
      <c r="DDB525" s="1358"/>
      <c r="DDC525" s="1358"/>
      <c r="DDD525" s="1358"/>
      <c r="DDE525" s="1358"/>
      <c r="DDF525" s="1358"/>
      <c r="DDG525" s="1358"/>
      <c r="DDH525" s="1358"/>
      <c r="DDI525" s="1358"/>
      <c r="DDJ525" s="1358"/>
      <c r="DDK525" s="1358"/>
      <c r="DDL525" s="1358"/>
      <c r="DDM525" s="1358"/>
      <c r="DDN525" s="1358"/>
      <c r="DDO525" s="1358"/>
      <c r="DDP525" s="1358"/>
      <c r="DDQ525" s="1358"/>
      <c r="DDR525" s="1358"/>
      <c r="DDS525" s="1358"/>
      <c r="DDT525" s="1358"/>
      <c r="DDU525" s="1358"/>
      <c r="DDV525" s="1358"/>
      <c r="DDW525" s="1358"/>
      <c r="DDX525" s="1358"/>
      <c r="DDY525" s="1358"/>
      <c r="DDZ525" s="1358"/>
      <c r="DEA525" s="1358"/>
      <c r="DEB525" s="1358"/>
      <c r="DEC525" s="1358"/>
      <c r="DED525" s="1358"/>
      <c r="DEE525" s="1358"/>
      <c r="DEF525" s="1358"/>
      <c r="DEG525" s="1358"/>
      <c r="DEH525" s="1358"/>
      <c r="DEI525" s="1358"/>
      <c r="DEJ525" s="1358"/>
      <c r="DEK525" s="1358"/>
      <c r="DEL525" s="1358"/>
      <c r="DEM525" s="1358"/>
      <c r="DEN525" s="1358"/>
      <c r="DEO525" s="1358"/>
      <c r="DEP525" s="1358"/>
      <c r="DEQ525" s="1358"/>
      <c r="DER525" s="1358"/>
      <c r="DES525" s="1358"/>
      <c r="DET525" s="1358"/>
      <c r="DEU525" s="1358"/>
      <c r="DEV525" s="1358"/>
      <c r="DEW525" s="1358"/>
      <c r="DEX525" s="1358"/>
      <c r="DEY525" s="1358"/>
      <c r="DEZ525" s="1358"/>
      <c r="DFA525" s="1358"/>
      <c r="DFB525" s="1358"/>
      <c r="DFC525" s="1358"/>
      <c r="DFD525" s="1358"/>
      <c r="DFE525" s="1358"/>
      <c r="DFF525" s="1358"/>
      <c r="DFG525" s="1358"/>
      <c r="DFH525" s="1358"/>
      <c r="DFI525" s="1358"/>
      <c r="DFJ525" s="1358"/>
      <c r="DFK525" s="1358"/>
      <c r="DFL525" s="1358"/>
      <c r="DFM525" s="1358"/>
      <c r="DFN525" s="1358"/>
      <c r="DFO525" s="1358"/>
      <c r="DFP525" s="1358"/>
      <c r="DFQ525" s="1358"/>
      <c r="DFR525" s="1358"/>
      <c r="DFS525" s="1358"/>
      <c r="DFT525" s="1358"/>
      <c r="DFU525" s="1358"/>
      <c r="DFV525" s="1358"/>
      <c r="DFW525" s="1358"/>
      <c r="DFX525" s="1358"/>
      <c r="DFY525" s="1358"/>
      <c r="DFZ525" s="1358"/>
      <c r="DGA525" s="1358"/>
      <c r="DGB525" s="1358"/>
      <c r="DGC525" s="1358"/>
      <c r="DGD525" s="1358"/>
      <c r="DGE525" s="1358"/>
      <c r="DGF525" s="1358"/>
      <c r="DGG525" s="1358"/>
      <c r="DGH525" s="1358"/>
      <c r="DGI525" s="1358"/>
      <c r="DGJ525" s="1358"/>
      <c r="DGK525" s="1358"/>
      <c r="DGL525" s="1358"/>
      <c r="DGM525" s="1358"/>
      <c r="DGN525" s="1358"/>
      <c r="DGO525" s="1358"/>
      <c r="DGP525" s="1358"/>
      <c r="DGQ525" s="1358"/>
      <c r="DGR525" s="1358"/>
      <c r="DGS525" s="1358"/>
      <c r="DGT525" s="1358"/>
      <c r="DGU525" s="1358"/>
      <c r="DGV525" s="1358"/>
      <c r="DGW525" s="1358"/>
      <c r="DGX525" s="1358"/>
      <c r="DGY525" s="1358"/>
      <c r="DGZ525" s="1358"/>
      <c r="DHA525" s="1358"/>
      <c r="DHB525" s="1358"/>
      <c r="DHC525" s="1358"/>
      <c r="DHD525" s="1358"/>
      <c r="DHE525" s="1358"/>
      <c r="DHF525" s="1358"/>
      <c r="DHG525" s="1358"/>
      <c r="DHH525" s="1358"/>
      <c r="DHI525" s="1358"/>
      <c r="DHJ525" s="1358"/>
      <c r="DHK525" s="1358"/>
      <c r="DHL525" s="1358"/>
      <c r="DHM525" s="1358"/>
      <c r="DHN525" s="1358"/>
      <c r="DHO525" s="1358"/>
      <c r="DHP525" s="1358"/>
      <c r="DHQ525" s="1358"/>
      <c r="DHR525" s="1358"/>
      <c r="DHS525" s="1358"/>
      <c r="DHT525" s="1358"/>
      <c r="DHU525" s="1358"/>
      <c r="DHV525" s="1358"/>
      <c r="DHW525" s="1358"/>
      <c r="DHX525" s="1358"/>
      <c r="DHY525" s="1358"/>
      <c r="DHZ525" s="1358"/>
      <c r="DIA525" s="1358"/>
      <c r="DIB525" s="1358"/>
      <c r="DIC525" s="1358"/>
      <c r="DID525" s="1358"/>
      <c r="DIE525" s="1358"/>
      <c r="DIF525" s="1358"/>
      <c r="DIG525" s="1358"/>
      <c r="DIH525" s="1358"/>
      <c r="DII525" s="1358"/>
      <c r="DIJ525" s="1358"/>
      <c r="DIK525" s="1358"/>
      <c r="DIL525" s="1358"/>
      <c r="DIM525" s="1358"/>
      <c r="DIN525" s="1358"/>
      <c r="DIO525" s="1358"/>
      <c r="DIP525" s="1358"/>
      <c r="DIQ525" s="1358"/>
      <c r="DIR525" s="1358"/>
      <c r="DIS525" s="1358"/>
      <c r="DIT525" s="1358"/>
      <c r="DIU525" s="1358"/>
      <c r="DIV525" s="1358"/>
      <c r="DIW525" s="1358"/>
      <c r="DIX525" s="1358"/>
      <c r="DIY525" s="1358"/>
      <c r="DIZ525" s="1358"/>
      <c r="DJA525" s="1358"/>
      <c r="DJB525" s="1358"/>
      <c r="DJC525" s="1358"/>
      <c r="DJD525" s="1358"/>
      <c r="DJE525" s="1358"/>
      <c r="DJF525" s="1358"/>
      <c r="DJG525" s="1358"/>
      <c r="DJH525" s="1358"/>
      <c r="DJI525" s="1358"/>
      <c r="DJJ525" s="1358"/>
      <c r="DJK525" s="1358"/>
      <c r="DJL525" s="1358"/>
      <c r="DJM525" s="1358"/>
      <c r="DJN525" s="1358"/>
      <c r="DJO525" s="1358"/>
      <c r="DJP525" s="1358"/>
      <c r="DJQ525" s="1358"/>
      <c r="DJR525" s="1358"/>
      <c r="DJS525" s="1358"/>
      <c r="DJT525" s="1358"/>
      <c r="DJU525" s="1358"/>
      <c r="DJV525" s="1358"/>
      <c r="DJW525" s="1358"/>
      <c r="DJX525" s="1358"/>
      <c r="DJY525" s="1358"/>
      <c r="DJZ525" s="1358"/>
      <c r="DKA525" s="1358"/>
      <c r="DKB525" s="1358"/>
      <c r="DKC525" s="1358"/>
      <c r="DKD525" s="1358"/>
      <c r="DKE525" s="1358"/>
      <c r="DKF525" s="1358"/>
      <c r="DKG525" s="1358"/>
      <c r="DKH525" s="1358"/>
      <c r="DKI525" s="1358"/>
      <c r="DKJ525" s="1358"/>
      <c r="DKK525" s="1358"/>
      <c r="DKL525" s="1358"/>
      <c r="DKM525" s="1358"/>
      <c r="DKN525" s="1358"/>
      <c r="DKO525" s="1358"/>
      <c r="DKP525" s="1358"/>
      <c r="DKQ525" s="1358"/>
      <c r="DKR525" s="1358"/>
      <c r="DKS525" s="1358"/>
      <c r="DKT525" s="1358"/>
      <c r="DKU525" s="1358"/>
      <c r="DKV525" s="1358"/>
      <c r="DKW525" s="1358"/>
      <c r="DKX525" s="1358"/>
      <c r="DKY525" s="1358"/>
      <c r="DKZ525" s="1358"/>
      <c r="DLA525" s="1358"/>
      <c r="DLB525" s="1358"/>
      <c r="DLC525" s="1358"/>
      <c r="DLD525" s="1358"/>
      <c r="DLE525" s="1358"/>
      <c r="DLF525" s="1358"/>
      <c r="DLG525" s="1358"/>
      <c r="DLH525" s="1358"/>
      <c r="DLI525" s="1358"/>
      <c r="DLJ525" s="1358"/>
      <c r="DLK525" s="1358"/>
      <c r="DLL525" s="1358"/>
      <c r="DLM525" s="1358"/>
      <c r="DLN525" s="1358"/>
      <c r="DLO525" s="1358"/>
      <c r="DLP525" s="1358"/>
      <c r="DLQ525" s="1358"/>
      <c r="DLR525" s="1358"/>
      <c r="DLS525" s="1358"/>
      <c r="DLT525" s="1358"/>
      <c r="DLU525" s="1358"/>
      <c r="DLV525" s="1358"/>
      <c r="DLW525" s="1358"/>
      <c r="DLX525" s="1358"/>
      <c r="DLY525" s="1358"/>
      <c r="DLZ525" s="1358"/>
      <c r="DMA525" s="1358"/>
      <c r="DMB525" s="1358"/>
      <c r="DMC525" s="1358"/>
      <c r="DMD525" s="1358"/>
      <c r="DME525" s="1358"/>
      <c r="DMF525" s="1358"/>
      <c r="DMG525" s="1358"/>
      <c r="DMH525" s="1358"/>
      <c r="DMI525" s="1358"/>
      <c r="DMJ525" s="1358"/>
      <c r="DMK525" s="1358"/>
      <c r="DML525" s="1358"/>
      <c r="DMM525" s="1358"/>
      <c r="DMN525" s="1358"/>
      <c r="DMO525" s="1358"/>
      <c r="DMP525" s="1358"/>
      <c r="DMQ525" s="1358"/>
      <c r="DMR525" s="1358"/>
      <c r="DMS525" s="1358"/>
      <c r="DMT525" s="1358"/>
      <c r="DMU525" s="1358"/>
      <c r="DMV525" s="1358"/>
      <c r="DMW525" s="1358"/>
      <c r="DMX525" s="1358"/>
      <c r="DMY525" s="1358"/>
      <c r="DMZ525" s="1358"/>
      <c r="DNA525" s="1358"/>
      <c r="DNB525" s="1358"/>
      <c r="DNC525" s="1358"/>
      <c r="DND525" s="1358"/>
      <c r="DNE525" s="1358"/>
      <c r="DNF525" s="1358"/>
      <c r="DNG525" s="1358"/>
      <c r="DNH525" s="1358"/>
      <c r="DNI525" s="1358"/>
      <c r="DNJ525" s="1358"/>
      <c r="DNK525" s="1358"/>
      <c r="DNL525" s="1358"/>
      <c r="DNM525" s="1358"/>
      <c r="DNN525" s="1358"/>
      <c r="DNO525" s="1358"/>
      <c r="DNP525" s="1358"/>
      <c r="DNQ525" s="1358"/>
      <c r="DNR525" s="1358"/>
      <c r="DNS525" s="1358"/>
      <c r="DNT525" s="1358"/>
      <c r="DNU525" s="1358"/>
      <c r="DNV525" s="1358"/>
      <c r="DNW525" s="1358"/>
      <c r="DNX525" s="1358"/>
      <c r="DNY525" s="1358"/>
      <c r="DNZ525" s="1358"/>
      <c r="DOA525" s="1358"/>
      <c r="DOB525" s="1358"/>
      <c r="DOC525" s="1358"/>
      <c r="DOD525" s="1358"/>
      <c r="DOE525" s="1358"/>
      <c r="DOF525" s="1358"/>
      <c r="DOG525" s="1358"/>
      <c r="DOH525" s="1358"/>
      <c r="DOI525" s="1358"/>
      <c r="DOJ525" s="1358"/>
      <c r="DOK525" s="1358"/>
      <c r="DOL525" s="1358"/>
      <c r="DOM525" s="1358"/>
      <c r="DON525" s="1358"/>
      <c r="DOO525" s="1358"/>
      <c r="DOP525" s="1358"/>
      <c r="DOQ525" s="1358"/>
      <c r="DOR525" s="1358"/>
      <c r="DOS525" s="1358"/>
      <c r="DOT525" s="1358"/>
      <c r="DOU525" s="1358"/>
      <c r="DOV525" s="1358"/>
      <c r="DOW525" s="1358"/>
      <c r="DOX525" s="1358"/>
      <c r="DOY525" s="1358"/>
      <c r="DOZ525" s="1358"/>
      <c r="DPA525" s="1358"/>
      <c r="DPB525" s="1358"/>
      <c r="DPC525" s="1358"/>
      <c r="DPD525" s="1358"/>
      <c r="DPE525" s="1358"/>
      <c r="DPF525" s="1358"/>
      <c r="DPG525" s="1358"/>
      <c r="DPH525" s="1358"/>
      <c r="DPI525" s="1358"/>
      <c r="DPJ525" s="1358"/>
      <c r="DPK525" s="1358"/>
      <c r="DPL525" s="1358"/>
      <c r="DPM525" s="1358"/>
      <c r="DPN525" s="1358"/>
      <c r="DPO525" s="1358"/>
      <c r="DPP525" s="1358"/>
      <c r="DPQ525" s="1358"/>
      <c r="DPR525" s="1358"/>
      <c r="DPS525" s="1358"/>
      <c r="DPT525" s="1358"/>
      <c r="DPU525" s="1358"/>
      <c r="DPV525" s="1358"/>
      <c r="DPW525" s="1358"/>
      <c r="DPX525" s="1358"/>
      <c r="DPY525" s="1358"/>
      <c r="DPZ525" s="1358"/>
      <c r="DQA525" s="1358"/>
      <c r="DQB525" s="1358"/>
      <c r="DQC525" s="1358"/>
      <c r="DQD525" s="1358"/>
      <c r="DQE525" s="1358"/>
      <c r="DQF525" s="1358"/>
      <c r="DQG525" s="1358"/>
      <c r="DQH525" s="1358"/>
      <c r="DQI525" s="1358"/>
      <c r="DQJ525" s="1358"/>
      <c r="DQK525" s="1358"/>
      <c r="DQL525" s="1358"/>
      <c r="DQM525" s="1358"/>
      <c r="DQN525" s="1358"/>
      <c r="DQO525" s="1358"/>
      <c r="DQP525" s="1358"/>
      <c r="DQQ525" s="1358"/>
      <c r="DQR525" s="1358"/>
      <c r="DQS525" s="1358"/>
      <c r="DQT525" s="1358"/>
      <c r="DQU525" s="1358"/>
      <c r="DQV525" s="1358"/>
      <c r="DQW525" s="1358"/>
      <c r="DQX525" s="1358"/>
      <c r="DQY525" s="1358"/>
      <c r="DQZ525" s="1358"/>
      <c r="DRA525" s="1358"/>
      <c r="DRB525" s="1358"/>
      <c r="DRC525" s="1358"/>
      <c r="DRD525" s="1358"/>
      <c r="DRE525" s="1358"/>
      <c r="DRF525" s="1358"/>
      <c r="DRG525" s="1358"/>
      <c r="DRH525" s="1358"/>
      <c r="DRI525" s="1358"/>
      <c r="DRJ525" s="1358"/>
      <c r="DRK525" s="1358"/>
      <c r="DRL525" s="1358"/>
      <c r="DRM525" s="1358"/>
      <c r="DRN525" s="1358"/>
      <c r="DRO525" s="1358"/>
      <c r="DRP525" s="1358"/>
      <c r="DRQ525" s="1358"/>
      <c r="DRR525" s="1358"/>
      <c r="DRS525" s="1358"/>
      <c r="DRT525" s="1358"/>
      <c r="DRU525" s="1358"/>
      <c r="DRV525" s="1358"/>
      <c r="DRW525" s="1358"/>
      <c r="DRX525" s="1358"/>
      <c r="DRY525" s="1358"/>
      <c r="DRZ525" s="1358"/>
      <c r="DSA525" s="1358"/>
      <c r="DSB525" s="1358"/>
      <c r="DSC525" s="1358"/>
      <c r="DSD525" s="1358"/>
      <c r="DSE525" s="1358"/>
      <c r="DSF525" s="1358"/>
      <c r="DSG525" s="1358"/>
      <c r="DSH525" s="1358"/>
      <c r="DSI525" s="1358"/>
      <c r="DSJ525" s="1358"/>
      <c r="DSK525" s="1358"/>
      <c r="DSL525" s="1358"/>
      <c r="DSM525" s="1358"/>
      <c r="DSN525" s="1358"/>
      <c r="DSO525" s="1358"/>
      <c r="DSP525" s="1358"/>
      <c r="DSQ525" s="1358"/>
      <c r="DSR525" s="1358"/>
      <c r="DSS525" s="1358"/>
      <c r="DST525" s="1358"/>
      <c r="DSU525" s="1358"/>
      <c r="DSV525" s="1358"/>
      <c r="DSW525" s="1358"/>
      <c r="DSX525" s="1358"/>
      <c r="DSY525" s="1358"/>
      <c r="DSZ525" s="1358"/>
      <c r="DTA525" s="1358"/>
      <c r="DTB525" s="1358"/>
      <c r="DTC525" s="1358"/>
      <c r="DTD525" s="1358"/>
      <c r="DTE525" s="1358"/>
      <c r="DTF525" s="1358"/>
      <c r="DTG525" s="1358"/>
      <c r="DTH525" s="1358"/>
      <c r="DTI525" s="1358"/>
      <c r="DTJ525" s="1358"/>
      <c r="DTK525" s="1358"/>
      <c r="DTL525" s="1358"/>
      <c r="DTM525" s="1358"/>
      <c r="DTN525" s="1358"/>
      <c r="DTO525" s="1358"/>
      <c r="DTP525" s="1358"/>
      <c r="DTQ525" s="1358"/>
      <c r="DTR525" s="1358"/>
      <c r="DTS525" s="1358"/>
      <c r="DTT525" s="1358"/>
      <c r="DTU525" s="1358"/>
      <c r="DTV525" s="1358"/>
      <c r="DTW525" s="1358"/>
      <c r="DTX525" s="1358"/>
      <c r="DTY525" s="1358"/>
      <c r="DTZ525" s="1358"/>
      <c r="DUA525" s="1358"/>
      <c r="DUB525" s="1358"/>
      <c r="DUC525" s="1358"/>
      <c r="DUD525" s="1358"/>
      <c r="DUE525" s="1358"/>
      <c r="DUF525" s="1358"/>
      <c r="DUG525" s="1358"/>
      <c r="DUH525" s="1358"/>
      <c r="DUI525" s="1358"/>
      <c r="DUJ525" s="1358"/>
      <c r="DUK525" s="1358"/>
      <c r="DUL525" s="1358"/>
      <c r="DUM525" s="1358"/>
      <c r="DUN525" s="1358"/>
      <c r="DUO525" s="1358"/>
      <c r="DUP525" s="1358"/>
      <c r="DUQ525" s="1358"/>
      <c r="DUR525" s="1358"/>
      <c r="DUS525" s="1358"/>
      <c r="DUT525" s="1358"/>
      <c r="DUU525" s="1358"/>
      <c r="DUV525" s="1358"/>
      <c r="DUW525" s="1358"/>
      <c r="DUX525" s="1358"/>
      <c r="DUY525" s="1358"/>
      <c r="DUZ525" s="1358"/>
      <c r="DVA525" s="1358"/>
      <c r="DVB525" s="1358"/>
      <c r="DVC525" s="1358"/>
      <c r="DVD525" s="1358"/>
      <c r="DVE525" s="1358"/>
      <c r="DVF525" s="1358"/>
      <c r="DVG525" s="1358"/>
      <c r="DVH525" s="1358"/>
      <c r="DVI525" s="1358"/>
      <c r="DVJ525" s="1358"/>
      <c r="DVK525" s="1358"/>
      <c r="DVL525" s="1358"/>
      <c r="DVM525" s="1358"/>
      <c r="DVN525" s="1358"/>
      <c r="DVO525" s="1358"/>
      <c r="DVP525" s="1358"/>
      <c r="DVQ525" s="1358"/>
      <c r="DVR525" s="1358"/>
      <c r="DVS525" s="1358"/>
      <c r="DVT525" s="1358"/>
      <c r="DVU525" s="1358"/>
      <c r="DVV525" s="1358"/>
      <c r="DVW525" s="1358"/>
      <c r="DVX525" s="1358"/>
      <c r="DVY525" s="1358"/>
      <c r="DVZ525" s="1358"/>
      <c r="DWA525" s="1358"/>
      <c r="DWB525" s="1358"/>
      <c r="DWC525" s="1358"/>
      <c r="DWD525" s="1358"/>
      <c r="DWE525" s="1358"/>
      <c r="DWF525" s="1358"/>
      <c r="DWG525" s="1358"/>
      <c r="DWH525" s="1358"/>
      <c r="DWI525" s="1358"/>
      <c r="DWJ525" s="1358"/>
      <c r="DWK525" s="1358"/>
      <c r="DWL525" s="1358"/>
      <c r="DWM525" s="1358"/>
      <c r="DWN525" s="1358"/>
      <c r="DWO525" s="1358"/>
      <c r="DWP525" s="1358"/>
      <c r="DWQ525" s="1358"/>
      <c r="DWR525" s="1358"/>
      <c r="DWS525" s="1358"/>
      <c r="DWT525" s="1358"/>
      <c r="DWU525" s="1358"/>
      <c r="DWV525" s="1358"/>
      <c r="DWW525" s="1358"/>
      <c r="DWX525" s="1358"/>
      <c r="DWY525" s="1358"/>
      <c r="DWZ525" s="1358"/>
      <c r="DXA525" s="1358"/>
      <c r="DXB525" s="1358"/>
      <c r="DXC525" s="1358"/>
      <c r="DXD525" s="1358"/>
      <c r="DXE525" s="1358"/>
      <c r="DXF525" s="1358"/>
      <c r="DXG525" s="1358"/>
      <c r="DXH525" s="1358"/>
      <c r="DXI525" s="1358"/>
      <c r="DXJ525" s="1358"/>
      <c r="DXK525" s="1358"/>
      <c r="DXL525" s="1358"/>
      <c r="DXM525" s="1358"/>
      <c r="DXN525" s="1358"/>
      <c r="DXO525" s="1358"/>
      <c r="DXP525" s="1358"/>
      <c r="DXQ525" s="1358"/>
      <c r="DXR525" s="1358"/>
      <c r="DXS525" s="1358"/>
      <c r="DXT525" s="1358"/>
      <c r="DXU525" s="1358"/>
      <c r="DXV525" s="1358"/>
      <c r="DXW525" s="1358"/>
      <c r="DXX525" s="1358"/>
      <c r="DXY525" s="1358"/>
      <c r="DXZ525" s="1358"/>
      <c r="DYA525" s="1358"/>
      <c r="DYB525" s="1358"/>
      <c r="DYC525" s="1358"/>
      <c r="DYD525" s="1358"/>
      <c r="DYE525" s="1358"/>
      <c r="DYF525" s="1358"/>
      <c r="DYG525" s="1358"/>
      <c r="DYH525" s="1358"/>
      <c r="DYI525" s="1358"/>
      <c r="DYJ525" s="1358"/>
      <c r="DYK525" s="1358"/>
      <c r="DYL525" s="1358"/>
      <c r="DYM525" s="1358"/>
      <c r="DYN525" s="1358"/>
      <c r="DYO525" s="1358"/>
      <c r="DYP525" s="1358"/>
      <c r="DYQ525" s="1358"/>
      <c r="DYR525" s="1358"/>
      <c r="DYS525" s="1358"/>
      <c r="DYT525" s="1358"/>
      <c r="DYU525" s="1358"/>
      <c r="DYV525" s="1358"/>
      <c r="DYW525" s="1358"/>
      <c r="DYX525" s="1358"/>
      <c r="DYY525" s="1358"/>
      <c r="DYZ525" s="1358"/>
      <c r="DZA525" s="1358"/>
      <c r="DZB525" s="1358"/>
      <c r="DZC525" s="1358"/>
      <c r="DZD525" s="1358"/>
      <c r="DZE525" s="1358"/>
      <c r="DZF525" s="1358"/>
      <c r="DZG525" s="1358"/>
      <c r="DZH525" s="1358"/>
      <c r="DZI525" s="1358"/>
      <c r="DZJ525" s="1358"/>
      <c r="DZK525" s="1358"/>
      <c r="DZL525" s="1358"/>
      <c r="DZM525" s="1358"/>
      <c r="DZN525" s="1358"/>
      <c r="DZO525" s="1358"/>
      <c r="DZP525" s="1358"/>
      <c r="DZQ525" s="1358"/>
      <c r="DZR525" s="1358"/>
      <c r="DZS525" s="1358"/>
      <c r="DZT525" s="1358"/>
      <c r="DZU525" s="1358"/>
      <c r="DZV525" s="1358"/>
      <c r="DZW525" s="1358"/>
      <c r="DZX525" s="1358"/>
      <c r="DZY525" s="1358"/>
      <c r="DZZ525" s="1358"/>
      <c r="EAA525" s="1358"/>
      <c r="EAB525" s="1358"/>
      <c r="EAC525" s="1358"/>
      <c r="EAD525" s="1358"/>
      <c r="EAE525" s="1358"/>
      <c r="EAF525" s="1358"/>
      <c r="EAG525" s="1358"/>
      <c r="EAH525" s="1358"/>
      <c r="EAI525" s="1358"/>
      <c r="EAJ525" s="1358"/>
      <c r="EAK525" s="1358"/>
      <c r="EAL525" s="1358"/>
      <c r="EAM525" s="1358"/>
      <c r="EAN525" s="1358"/>
      <c r="EAO525" s="1358"/>
      <c r="EAP525" s="1358"/>
      <c r="EAQ525" s="1358"/>
      <c r="EAR525" s="1358"/>
      <c r="EAS525" s="1358"/>
      <c r="EAT525" s="1358"/>
      <c r="EAU525" s="1358"/>
      <c r="EAV525" s="1358"/>
      <c r="EAW525" s="1358"/>
      <c r="EAX525" s="1358"/>
      <c r="EAY525" s="1358"/>
      <c r="EAZ525" s="1358"/>
      <c r="EBA525" s="1358"/>
      <c r="EBB525" s="1358"/>
      <c r="EBC525" s="1358"/>
      <c r="EBD525" s="1358"/>
      <c r="EBE525" s="1358"/>
      <c r="EBF525" s="1358"/>
      <c r="EBG525" s="1358"/>
      <c r="EBH525" s="1358"/>
      <c r="EBI525" s="1358"/>
      <c r="EBJ525" s="1358"/>
      <c r="EBK525" s="1358"/>
      <c r="EBL525" s="1358"/>
      <c r="EBM525" s="1358"/>
      <c r="EBN525" s="1358"/>
      <c r="EBO525" s="1358"/>
      <c r="EBP525" s="1358"/>
      <c r="EBQ525" s="1358"/>
      <c r="EBR525" s="1358"/>
      <c r="EBS525" s="1358"/>
      <c r="EBT525" s="1358"/>
      <c r="EBU525" s="1358"/>
      <c r="EBV525" s="1358"/>
      <c r="EBW525" s="1358"/>
      <c r="EBX525" s="1358"/>
      <c r="EBY525" s="1358"/>
      <c r="EBZ525" s="1358"/>
      <c r="ECA525" s="1358"/>
      <c r="ECB525" s="1358"/>
      <c r="ECC525" s="1358"/>
      <c r="ECD525" s="1358"/>
      <c r="ECE525" s="1358"/>
      <c r="ECF525" s="1358"/>
      <c r="ECG525" s="1358"/>
      <c r="ECH525" s="1358"/>
      <c r="ECI525" s="1358"/>
      <c r="ECJ525" s="1358"/>
      <c r="ECK525" s="1358"/>
      <c r="ECL525" s="1358"/>
      <c r="ECM525" s="1358"/>
      <c r="ECN525" s="1358"/>
      <c r="ECO525" s="1358"/>
      <c r="ECP525" s="1358"/>
      <c r="ECQ525" s="1358"/>
      <c r="ECR525" s="1358"/>
      <c r="ECS525" s="1358"/>
      <c r="ECT525" s="1358"/>
      <c r="ECU525" s="1358"/>
      <c r="ECV525" s="1358"/>
      <c r="ECW525" s="1358"/>
      <c r="ECX525" s="1358"/>
      <c r="ECY525" s="1358"/>
      <c r="ECZ525" s="1358"/>
      <c r="EDA525" s="1358"/>
      <c r="EDB525" s="1358"/>
      <c r="EDC525" s="1358"/>
      <c r="EDD525" s="1358"/>
      <c r="EDE525" s="1358"/>
      <c r="EDF525" s="1358"/>
      <c r="EDG525" s="1358"/>
      <c r="EDH525" s="1358"/>
      <c r="EDI525" s="1358"/>
      <c r="EDJ525" s="1358"/>
      <c r="EDK525" s="1358"/>
      <c r="EDL525" s="1358"/>
      <c r="EDM525" s="1358"/>
      <c r="EDN525" s="1358"/>
      <c r="EDO525" s="1358"/>
      <c r="EDP525" s="1358"/>
      <c r="EDQ525" s="1358"/>
      <c r="EDR525" s="1358"/>
      <c r="EDS525" s="1358"/>
      <c r="EDT525" s="1358"/>
      <c r="EDU525" s="1358"/>
      <c r="EDV525" s="1358"/>
      <c r="EDW525" s="1358"/>
      <c r="EDX525" s="1358"/>
      <c r="EDY525" s="1358"/>
      <c r="EDZ525" s="1358"/>
      <c r="EEA525" s="1358"/>
      <c r="EEB525" s="1358"/>
      <c r="EEC525" s="1358"/>
      <c r="EED525" s="1358"/>
      <c r="EEE525" s="1358"/>
      <c r="EEF525" s="1358"/>
      <c r="EEG525" s="1358"/>
      <c r="EEH525" s="1358"/>
      <c r="EEI525" s="1358"/>
      <c r="EEJ525" s="1358"/>
      <c r="EEK525" s="1358"/>
      <c r="EEL525" s="1358"/>
      <c r="EEM525" s="1358"/>
      <c r="EEN525" s="1358"/>
      <c r="EEO525" s="1358"/>
      <c r="EEP525" s="1358"/>
      <c r="EEQ525" s="1358"/>
      <c r="EER525" s="1358"/>
      <c r="EES525" s="1358"/>
      <c r="EET525" s="1358"/>
      <c r="EEU525" s="1358"/>
      <c r="EEV525" s="1358"/>
      <c r="EEW525" s="1358"/>
      <c r="EEX525" s="1358"/>
      <c r="EEY525" s="1358"/>
      <c r="EEZ525" s="1358"/>
      <c r="EFA525" s="1358"/>
      <c r="EFB525" s="1358"/>
      <c r="EFC525" s="1358"/>
      <c r="EFD525" s="1358"/>
      <c r="EFE525" s="1358"/>
      <c r="EFF525" s="1358"/>
      <c r="EFG525" s="1358"/>
      <c r="EFH525" s="1358"/>
      <c r="EFI525" s="1358"/>
      <c r="EFJ525" s="1358"/>
      <c r="EFK525" s="1358"/>
      <c r="EFL525" s="1358"/>
      <c r="EFM525" s="1358"/>
      <c r="EFN525" s="1358"/>
      <c r="EFO525" s="1358"/>
      <c r="EFP525" s="1358"/>
      <c r="EFQ525" s="1358"/>
      <c r="EFR525" s="1358"/>
      <c r="EFS525" s="1358"/>
      <c r="EFT525" s="1358"/>
      <c r="EFU525" s="1358"/>
      <c r="EFV525" s="1358"/>
      <c r="EFW525" s="1358"/>
      <c r="EFX525" s="1358"/>
      <c r="EFY525" s="1358"/>
      <c r="EFZ525" s="1358"/>
      <c r="EGA525" s="1358"/>
      <c r="EGB525" s="1358"/>
      <c r="EGC525" s="1358"/>
      <c r="EGD525" s="1358"/>
      <c r="EGE525" s="1358"/>
      <c r="EGF525" s="1358"/>
      <c r="EGG525" s="1358"/>
      <c r="EGH525" s="1358"/>
      <c r="EGI525" s="1358"/>
      <c r="EGJ525" s="1358"/>
      <c r="EGK525" s="1358"/>
      <c r="EGL525" s="1358"/>
      <c r="EGM525" s="1358"/>
      <c r="EGN525" s="1358"/>
      <c r="EGO525" s="1358"/>
      <c r="EGP525" s="1358"/>
      <c r="EGQ525" s="1358"/>
      <c r="EGR525" s="1358"/>
      <c r="EGS525" s="1358"/>
      <c r="EGT525" s="1358"/>
      <c r="EGU525" s="1358"/>
      <c r="EGV525" s="1358"/>
      <c r="EGW525" s="1358"/>
      <c r="EGX525" s="1358"/>
      <c r="EGY525" s="1358"/>
      <c r="EGZ525" s="1358"/>
      <c r="EHA525" s="1358"/>
      <c r="EHB525" s="1358"/>
      <c r="EHC525" s="1358"/>
      <c r="EHD525" s="1358"/>
      <c r="EHE525" s="1358"/>
      <c r="EHF525" s="1358"/>
      <c r="EHG525" s="1358"/>
      <c r="EHH525" s="1358"/>
      <c r="EHI525" s="1358"/>
      <c r="EHJ525" s="1358"/>
      <c r="EHK525" s="1358"/>
      <c r="EHL525" s="1358"/>
      <c r="EHM525" s="1358"/>
      <c r="EHN525" s="1358"/>
      <c r="EHO525" s="1358"/>
      <c r="EHP525" s="1358"/>
      <c r="EHQ525" s="1358"/>
      <c r="EHR525" s="1358"/>
      <c r="EHS525" s="1358"/>
      <c r="EHT525" s="1358"/>
      <c r="EHU525" s="1358"/>
      <c r="EHV525" s="1358"/>
      <c r="EHW525" s="1358"/>
      <c r="EHX525" s="1358"/>
      <c r="EHY525" s="1358"/>
      <c r="EHZ525" s="1358"/>
      <c r="EIA525" s="1358"/>
      <c r="EIB525" s="1358"/>
      <c r="EIC525" s="1358"/>
      <c r="EID525" s="1358"/>
      <c r="EIE525" s="1358"/>
      <c r="EIF525" s="1358"/>
      <c r="EIG525" s="1358"/>
      <c r="EIH525" s="1358"/>
      <c r="EII525" s="1358"/>
      <c r="EIJ525" s="1358"/>
      <c r="EIK525" s="1358"/>
      <c r="EIL525" s="1358"/>
      <c r="EIM525" s="1358"/>
      <c r="EIN525" s="1358"/>
      <c r="EIO525" s="1358"/>
      <c r="EIP525" s="1358"/>
      <c r="EIQ525" s="1358"/>
      <c r="EIR525" s="1358"/>
      <c r="EIS525" s="1358"/>
      <c r="EIT525" s="1358"/>
      <c r="EIU525" s="1358"/>
      <c r="EIV525" s="1358"/>
      <c r="EIW525" s="1358"/>
      <c r="EIX525" s="1358"/>
      <c r="EIY525" s="1358"/>
      <c r="EIZ525" s="1358"/>
      <c r="EJA525" s="1358"/>
      <c r="EJB525" s="1358"/>
      <c r="EJC525" s="1358"/>
      <c r="EJD525" s="1358"/>
      <c r="EJE525" s="1358"/>
      <c r="EJF525" s="1358"/>
      <c r="EJG525" s="1358"/>
      <c r="EJH525" s="1358"/>
      <c r="EJI525" s="1358"/>
      <c r="EJJ525" s="1358"/>
      <c r="EJK525" s="1358"/>
      <c r="EJL525" s="1358"/>
      <c r="EJM525" s="1358"/>
      <c r="EJN525" s="1358"/>
      <c r="EJO525" s="1358"/>
      <c r="EJP525" s="1358"/>
      <c r="EJQ525" s="1358"/>
      <c r="EJR525" s="1358"/>
      <c r="EJS525" s="1358"/>
      <c r="EJT525" s="1358"/>
      <c r="EJU525" s="1358"/>
      <c r="EJV525" s="1358"/>
      <c r="EJW525" s="1358"/>
      <c r="EJX525" s="1358"/>
      <c r="EJY525" s="1358"/>
      <c r="EJZ525" s="1358"/>
      <c r="EKA525" s="1358"/>
      <c r="EKB525" s="1358"/>
      <c r="EKC525" s="1358"/>
      <c r="EKD525" s="1358"/>
      <c r="EKE525" s="1358"/>
      <c r="EKF525" s="1358"/>
      <c r="EKG525" s="1358"/>
      <c r="EKH525" s="1358"/>
      <c r="EKI525" s="1358"/>
      <c r="EKJ525" s="1358"/>
      <c r="EKK525" s="1358"/>
      <c r="EKL525" s="1358"/>
      <c r="EKM525" s="1358"/>
      <c r="EKN525" s="1358"/>
      <c r="EKO525" s="1358"/>
      <c r="EKP525" s="1358"/>
      <c r="EKQ525" s="1358"/>
      <c r="EKR525" s="1358"/>
      <c r="EKS525" s="1358"/>
      <c r="EKT525" s="1358"/>
      <c r="EKU525" s="1358"/>
      <c r="EKV525" s="1358"/>
      <c r="EKW525" s="1358"/>
      <c r="EKX525" s="1358"/>
      <c r="EKY525" s="1358"/>
      <c r="EKZ525" s="1358"/>
      <c r="ELA525" s="1358"/>
      <c r="ELB525" s="1358"/>
      <c r="ELC525" s="1358"/>
      <c r="ELD525" s="1358"/>
      <c r="ELE525" s="1358"/>
      <c r="ELF525" s="1358"/>
      <c r="ELG525" s="1358"/>
      <c r="ELH525" s="1358"/>
      <c r="ELI525" s="1358"/>
      <c r="ELJ525" s="1358"/>
      <c r="ELK525" s="1358"/>
      <c r="ELL525" s="1358"/>
      <c r="ELM525" s="1358"/>
      <c r="ELN525" s="1358"/>
      <c r="ELO525" s="1358"/>
      <c r="ELP525" s="1358"/>
      <c r="ELQ525" s="1358"/>
      <c r="ELR525" s="1358"/>
      <c r="ELS525" s="1358"/>
      <c r="ELT525" s="1358"/>
      <c r="ELU525" s="1358"/>
      <c r="ELV525" s="1358"/>
      <c r="ELW525" s="1358"/>
      <c r="ELX525" s="1358"/>
      <c r="ELY525" s="1358"/>
      <c r="ELZ525" s="1358"/>
      <c r="EMA525" s="1358"/>
      <c r="EMB525" s="1358"/>
      <c r="EMC525" s="1358"/>
      <c r="EMD525" s="1358"/>
      <c r="EME525" s="1358"/>
      <c r="EMF525" s="1358"/>
      <c r="EMG525" s="1358"/>
      <c r="EMH525" s="1358"/>
      <c r="EMI525" s="1358"/>
      <c r="EMJ525" s="1358"/>
      <c r="EMK525" s="1358"/>
      <c r="EML525" s="1358"/>
      <c r="EMM525" s="1358"/>
      <c r="EMN525" s="1358"/>
      <c r="EMO525" s="1358"/>
      <c r="EMP525" s="1358"/>
      <c r="EMQ525" s="1358"/>
      <c r="EMR525" s="1358"/>
      <c r="EMS525" s="1358"/>
      <c r="EMT525" s="1358"/>
      <c r="EMU525" s="1358"/>
      <c r="EMV525" s="1358"/>
      <c r="EMW525" s="1358"/>
      <c r="EMX525" s="1358"/>
      <c r="EMY525" s="1358"/>
      <c r="EMZ525" s="1358"/>
      <c r="ENA525" s="1358"/>
      <c r="ENB525" s="1358"/>
      <c r="ENC525" s="1358"/>
      <c r="END525" s="1358"/>
      <c r="ENE525" s="1358"/>
      <c r="ENF525" s="1358"/>
      <c r="ENG525" s="1358"/>
      <c r="ENH525" s="1358"/>
      <c r="ENI525" s="1358"/>
      <c r="ENJ525" s="1358"/>
      <c r="ENK525" s="1358"/>
      <c r="ENL525" s="1358"/>
      <c r="ENM525" s="1358"/>
      <c r="ENN525" s="1358"/>
      <c r="ENO525" s="1358"/>
      <c r="ENP525" s="1358"/>
      <c r="ENQ525" s="1358"/>
      <c r="ENR525" s="1358"/>
      <c r="ENS525" s="1358"/>
      <c r="ENT525" s="1358"/>
      <c r="ENU525" s="1358"/>
      <c r="ENV525" s="1358"/>
      <c r="ENW525" s="1358"/>
      <c r="ENX525" s="1358"/>
      <c r="ENY525" s="1358"/>
      <c r="ENZ525" s="1358"/>
      <c r="EOA525" s="1358"/>
      <c r="EOB525" s="1358"/>
      <c r="EOC525" s="1358"/>
      <c r="EOD525" s="1358"/>
      <c r="EOE525" s="1358"/>
      <c r="EOF525" s="1358"/>
      <c r="EOG525" s="1358"/>
      <c r="EOH525" s="1358"/>
      <c r="EOI525" s="1358"/>
      <c r="EOJ525" s="1358"/>
      <c r="EOK525" s="1358"/>
      <c r="EOL525" s="1358"/>
      <c r="EOM525" s="1358"/>
      <c r="EON525" s="1358"/>
      <c r="EOO525" s="1358"/>
      <c r="EOP525" s="1358"/>
      <c r="EOQ525" s="1358"/>
      <c r="EOR525" s="1358"/>
      <c r="EOS525" s="1358"/>
      <c r="EOT525" s="1358"/>
      <c r="EOU525" s="1358"/>
      <c r="EOV525" s="1358"/>
      <c r="EOW525" s="1358"/>
      <c r="EOX525" s="1358"/>
      <c r="EOY525" s="1358"/>
      <c r="EOZ525" s="1358"/>
      <c r="EPA525" s="1358"/>
      <c r="EPB525" s="1358"/>
      <c r="EPC525" s="1358"/>
      <c r="EPD525" s="1358"/>
      <c r="EPE525" s="1358"/>
      <c r="EPF525" s="1358"/>
      <c r="EPG525" s="1358"/>
      <c r="EPH525" s="1358"/>
      <c r="EPI525" s="1358"/>
      <c r="EPJ525" s="1358"/>
      <c r="EPK525" s="1358"/>
      <c r="EPL525" s="1358"/>
      <c r="EPM525" s="1358"/>
      <c r="EPN525" s="1358"/>
      <c r="EPO525" s="1358"/>
      <c r="EPP525" s="1358"/>
      <c r="EPQ525" s="1358"/>
      <c r="EPR525" s="1358"/>
      <c r="EPS525" s="1358"/>
      <c r="EPT525" s="1358"/>
      <c r="EPU525" s="1358"/>
      <c r="EPV525" s="1358"/>
      <c r="EPW525" s="1358"/>
      <c r="EPX525" s="1358"/>
      <c r="EPY525" s="1358"/>
      <c r="EPZ525" s="1358"/>
      <c r="EQA525" s="1358"/>
      <c r="EQB525" s="1358"/>
      <c r="EQC525" s="1358"/>
      <c r="EQD525" s="1358"/>
      <c r="EQE525" s="1358"/>
      <c r="EQF525" s="1358"/>
      <c r="EQG525" s="1358"/>
      <c r="EQH525" s="1358"/>
      <c r="EQI525" s="1358"/>
      <c r="EQJ525" s="1358"/>
      <c r="EQK525" s="1358"/>
      <c r="EQL525" s="1358"/>
      <c r="EQM525" s="1358"/>
      <c r="EQN525" s="1358"/>
      <c r="EQO525" s="1358"/>
      <c r="EQP525" s="1358"/>
      <c r="EQQ525" s="1358"/>
      <c r="EQR525" s="1358"/>
      <c r="EQS525" s="1358"/>
      <c r="EQT525" s="1358"/>
      <c r="EQU525" s="1358"/>
      <c r="EQV525" s="1358"/>
      <c r="EQW525" s="1358"/>
      <c r="EQX525" s="1358"/>
      <c r="EQY525" s="1358"/>
      <c r="EQZ525" s="1358"/>
      <c r="ERA525" s="1358"/>
      <c r="ERB525" s="1358"/>
      <c r="ERC525" s="1358"/>
      <c r="ERD525" s="1358"/>
      <c r="ERE525" s="1358"/>
      <c r="ERF525" s="1358"/>
      <c r="ERG525" s="1358"/>
      <c r="ERH525" s="1358"/>
      <c r="ERI525" s="1358"/>
      <c r="ERJ525" s="1358"/>
      <c r="ERK525" s="1358"/>
      <c r="ERL525" s="1358"/>
      <c r="ERM525" s="1358"/>
      <c r="ERN525" s="1358"/>
      <c r="ERO525" s="1358"/>
      <c r="ERP525" s="1358"/>
      <c r="ERQ525" s="1358"/>
      <c r="ERR525" s="1358"/>
      <c r="ERS525" s="1358"/>
      <c r="ERT525" s="1358"/>
      <c r="ERU525" s="1358"/>
      <c r="ERV525" s="1358"/>
      <c r="ERW525" s="1358"/>
      <c r="ERX525" s="1358"/>
      <c r="ERY525" s="1358"/>
      <c r="ERZ525" s="1358"/>
      <c r="ESA525" s="1358"/>
      <c r="ESB525" s="1358"/>
      <c r="ESC525" s="1358"/>
      <c r="ESD525" s="1358"/>
      <c r="ESE525" s="1358"/>
      <c r="ESF525" s="1358"/>
      <c r="ESG525" s="1358"/>
      <c r="ESH525" s="1358"/>
      <c r="ESI525" s="1358"/>
      <c r="ESJ525" s="1358"/>
      <c r="ESK525" s="1358"/>
      <c r="ESL525" s="1358"/>
      <c r="ESM525" s="1358"/>
      <c r="ESN525" s="1358"/>
      <c r="ESO525" s="1358"/>
      <c r="ESP525" s="1358"/>
      <c r="ESQ525" s="1358"/>
      <c r="ESR525" s="1358"/>
      <c r="ESS525" s="1358"/>
      <c r="EST525" s="1358"/>
      <c r="ESU525" s="1358"/>
      <c r="ESV525" s="1358"/>
      <c r="ESW525" s="1358"/>
      <c r="ESX525" s="1358"/>
      <c r="ESY525" s="1358"/>
      <c r="ESZ525" s="1358"/>
      <c r="ETA525" s="1358"/>
      <c r="ETB525" s="1358"/>
      <c r="ETC525" s="1358"/>
      <c r="ETD525" s="1358"/>
      <c r="ETE525" s="1358"/>
      <c r="ETF525" s="1358"/>
      <c r="ETG525" s="1358"/>
      <c r="ETH525" s="1358"/>
      <c r="ETI525" s="1358"/>
      <c r="ETJ525" s="1358"/>
      <c r="ETK525" s="1358"/>
      <c r="ETL525" s="1358"/>
      <c r="ETM525" s="1358"/>
      <c r="ETN525" s="1358"/>
      <c r="ETO525" s="1358"/>
      <c r="ETP525" s="1358"/>
      <c r="ETQ525" s="1358"/>
      <c r="ETR525" s="1358"/>
      <c r="ETS525" s="1358"/>
      <c r="ETT525" s="1358"/>
      <c r="ETU525" s="1358"/>
      <c r="ETV525" s="1358"/>
      <c r="ETW525" s="1358"/>
      <c r="ETX525" s="1358"/>
      <c r="ETY525" s="1358"/>
      <c r="ETZ525" s="1358"/>
      <c r="EUA525" s="1358"/>
      <c r="EUB525" s="1358"/>
      <c r="EUC525" s="1358"/>
      <c r="EUD525" s="1358"/>
      <c r="EUE525" s="1358"/>
      <c r="EUF525" s="1358"/>
      <c r="EUG525" s="1358"/>
      <c r="EUH525" s="1358"/>
      <c r="EUI525" s="1358"/>
      <c r="EUJ525" s="1358"/>
      <c r="EUK525" s="1358"/>
      <c r="EUL525" s="1358"/>
      <c r="EUM525" s="1358"/>
      <c r="EUN525" s="1358"/>
      <c r="EUO525" s="1358"/>
      <c r="EUP525" s="1358"/>
      <c r="EUQ525" s="1358"/>
      <c r="EUR525" s="1358"/>
      <c r="EUS525" s="1358"/>
      <c r="EUT525" s="1358"/>
      <c r="EUU525" s="1358"/>
      <c r="EUV525" s="1358"/>
      <c r="EUW525" s="1358"/>
      <c r="EUX525" s="1358"/>
      <c r="EUY525" s="1358"/>
      <c r="EUZ525" s="1358"/>
      <c r="EVA525" s="1358"/>
      <c r="EVB525" s="1358"/>
      <c r="EVC525" s="1358"/>
      <c r="EVD525" s="1358"/>
      <c r="EVE525" s="1358"/>
      <c r="EVF525" s="1358"/>
      <c r="EVG525" s="1358"/>
      <c r="EVH525" s="1358"/>
      <c r="EVI525" s="1358"/>
      <c r="EVJ525" s="1358"/>
      <c r="EVK525" s="1358"/>
      <c r="EVL525" s="1358"/>
      <c r="EVM525" s="1358"/>
      <c r="EVN525" s="1358"/>
      <c r="EVO525" s="1358"/>
      <c r="EVP525" s="1358"/>
      <c r="EVQ525" s="1358"/>
      <c r="EVR525" s="1358"/>
      <c r="EVS525" s="1358"/>
      <c r="EVT525" s="1358"/>
      <c r="EVU525" s="1358"/>
      <c r="EVV525" s="1358"/>
      <c r="EVW525" s="1358"/>
      <c r="EVX525" s="1358"/>
      <c r="EVY525" s="1358"/>
      <c r="EVZ525" s="1358"/>
      <c r="EWA525" s="1358"/>
      <c r="EWB525" s="1358"/>
      <c r="EWC525" s="1358"/>
      <c r="EWD525" s="1358"/>
      <c r="EWE525" s="1358"/>
      <c r="EWF525" s="1358"/>
      <c r="EWG525" s="1358"/>
      <c r="EWH525" s="1358"/>
      <c r="EWI525" s="1358"/>
      <c r="EWJ525" s="1358"/>
      <c r="EWK525" s="1358"/>
      <c r="EWL525" s="1358"/>
      <c r="EWM525" s="1358"/>
      <c r="EWN525" s="1358"/>
      <c r="EWO525" s="1358"/>
      <c r="EWP525" s="1358"/>
      <c r="EWQ525" s="1358"/>
      <c r="EWR525" s="1358"/>
      <c r="EWS525" s="1358"/>
      <c r="EWT525" s="1358"/>
      <c r="EWU525" s="1358"/>
      <c r="EWV525" s="1358"/>
      <c r="EWW525" s="1358"/>
      <c r="EWX525" s="1358"/>
      <c r="EWY525" s="1358"/>
      <c r="EWZ525" s="1358"/>
      <c r="EXA525" s="1358"/>
      <c r="EXB525" s="1358"/>
      <c r="EXC525" s="1358"/>
      <c r="EXD525" s="1358"/>
      <c r="EXE525" s="1358"/>
      <c r="EXF525" s="1358"/>
      <c r="EXG525" s="1358"/>
      <c r="EXH525" s="1358"/>
      <c r="EXI525" s="1358"/>
      <c r="EXJ525" s="1358"/>
      <c r="EXK525" s="1358"/>
      <c r="EXL525" s="1358"/>
      <c r="EXM525" s="1358"/>
      <c r="EXN525" s="1358"/>
      <c r="EXO525" s="1358"/>
      <c r="EXP525" s="1358"/>
      <c r="EXQ525" s="1358"/>
      <c r="EXR525" s="1358"/>
      <c r="EXS525" s="1358"/>
      <c r="EXT525" s="1358"/>
      <c r="EXU525" s="1358"/>
      <c r="EXV525" s="1358"/>
      <c r="EXW525" s="1358"/>
      <c r="EXX525" s="1358"/>
      <c r="EXY525" s="1358"/>
      <c r="EXZ525" s="1358"/>
      <c r="EYA525" s="1358"/>
      <c r="EYB525" s="1358"/>
      <c r="EYC525" s="1358"/>
      <c r="EYD525" s="1358"/>
      <c r="EYE525" s="1358"/>
      <c r="EYF525" s="1358"/>
      <c r="EYG525" s="1358"/>
      <c r="EYH525" s="1358"/>
      <c r="EYI525" s="1358"/>
      <c r="EYJ525" s="1358"/>
      <c r="EYK525" s="1358"/>
      <c r="EYL525" s="1358"/>
      <c r="EYM525" s="1358"/>
      <c r="EYN525" s="1358"/>
      <c r="EYO525" s="1358"/>
      <c r="EYP525" s="1358"/>
      <c r="EYQ525" s="1358"/>
      <c r="EYR525" s="1358"/>
      <c r="EYS525" s="1358"/>
      <c r="EYT525" s="1358"/>
      <c r="EYU525" s="1358"/>
      <c r="EYV525" s="1358"/>
      <c r="EYW525" s="1358"/>
      <c r="EYX525" s="1358"/>
      <c r="EYY525" s="1358"/>
      <c r="EYZ525" s="1358"/>
      <c r="EZA525" s="1358"/>
      <c r="EZB525" s="1358"/>
      <c r="EZC525" s="1358"/>
      <c r="EZD525" s="1358"/>
      <c r="EZE525" s="1358"/>
      <c r="EZF525" s="1358"/>
      <c r="EZG525" s="1358"/>
      <c r="EZH525" s="1358"/>
      <c r="EZI525" s="1358"/>
      <c r="EZJ525" s="1358"/>
      <c r="EZK525" s="1358"/>
      <c r="EZL525" s="1358"/>
      <c r="EZM525" s="1358"/>
      <c r="EZN525" s="1358"/>
      <c r="EZO525" s="1358"/>
      <c r="EZP525" s="1358"/>
      <c r="EZQ525" s="1358"/>
      <c r="EZR525" s="1358"/>
      <c r="EZS525" s="1358"/>
      <c r="EZT525" s="1358"/>
      <c r="EZU525" s="1358"/>
      <c r="EZV525" s="1358"/>
      <c r="EZW525" s="1358"/>
      <c r="EZX525" s="1358"/>
      <c r="EZY525" s="1358"/>
      <c r="EZZ525" s="1358"/>
      <c r="FAA525" s="1358"/>
      <c r="FAB525" s="1358"/>
      <c r="FAC525" s="1358"/>
      <c r="FAD525" s="1358"/>
      <c r="FAE525" s="1358"/>
      <c r="FAF525" s="1358"/>
      <c r="FAG525" s="1358"/>
      <c r="FAH525" s="1358"/>
      <c r="FAI525" s="1358"/>
      <c r="FAJ525" s="1358"/>
      <c r="FAK525" s="1358"/>
      <c r="FAL525" s="1358"/>
      <c r="FAM525" s="1358"/>
      <c r="FAN525" s="1358"/>
      <c r="FAO525" s="1358"/>
      <c r="FAP525" s="1358"/>
      <c r="FAQ525" s="1358"/>
      <c r="FAR525" s="1358"/>
      <c r="FAS525" s="1358"/>
      <c r="FAT525" s="1358"/>
      <c r="FAU525" s="1358"/>
      <c r="FAV525" s="1358"/>
      <c r="FAW525" s="1358"/>
      <c r="FAX525" s="1358"/>
      <c r="FAY525" s="1358"/>
      <c r="FAZ525" s="1358"/>
      <c r="FBA525" s="1358"/>
      <c r="FBB525" s="1358"/>
      <c r="FBC525" s="1358"/>
      <c r="FBD525" s="1358"/>
      <c r="FBE525" s="1358"/>
      <c r="FBF525" s="1358"/>
      <c r="FBG525" s="1358"/>
      <c r="FBH525" s="1358"/>
      <c r="FBI525" s="1358"/>
      <c r="FBJ525" s="1358"/>
      <c r="FBK525" s="1358"/>
      <c r="FBL525" s="1358"/>
      <c r="FBM525" s="1358"/>
      <c r="FBN525" s="1358"/>
      <c r="FBO525" s="1358"/>
      <c r="FBP525" s="1358"/>
      <c r="FBQ525" s="1358"/>
      <c r="FBR525" s="1358"/>
      <c r="FBS525" s="1358"/>
      <c r="FBT525" s="1358"/>
      <c r="FBU525" s="1358"/>
      <c r="FBV525" s="1358"/>
      <c r="FBW525" s="1358"/>
      <c r="FBX525" s="1358"/>
      <c r="FBY525" s="1358"/>
      <c r="FBZ525" s="1358"/>
      <c r="FCA525" s="1358"/>
      <c r="FCB525" s="1358"/>
      <c r="FCC525" s="1358"/>
      <c r="FCD525" s="1358"/>
      <c r="FCE525" s="1358"/>
      <c r="FCF525" s="1358"/>
      <c r="FCG525" s="1358"/>
      <c r="FCH525" s="1358"/>
      <c r="FCI525" s="1358"/>
      <c r="FCJ525" s="1358"/>
      <c r="FCK525" s="1358"/>
      <c r="FCL525" s="1358"/>
      <c r="FCM525" s="1358"/>
      <c r="FCN525" s="1358"/>
      <c r="FCO525" s="1358"/>
      <c r="FCP525" s="1358"/>
      <c r="FCQ525" s="1358"/>
      <c r="FCR525" s="1358"/>
      <c r="FCS525" s="1358"/>
      <c r="FCT525" s="1358"/>
      <c r="FCU525" s="1358"/>
      <c r="FCV525" s="1358"/>
      <c r="FCW525" s="1358"/>
      <c r="FCX525" s="1358"/>
      <c r="FCY525" s="1358"/>
      <c r="FCZ525" s="1358"/>
      <c r="FDA525" s="1358"/>
      <c r="FDB525" s="1358"/>
      <c r="FDC525" s="1358"/>
      <c r="FDD525" s="1358"/>
      <c r="FDE525" s="1358"/>
      <c r="FDF525" s="1358"/>
      <c r="FDG525" s="1358"/>
      <c r="FDH525" s="1358"/>
      <c r="FDI525" s="1358"/>
      <c r="FDJ525" s="1358"/>
      <c r="FDK525" s="1358"/>
      <c r="FDL525" s="1358"/>
      <c r="FDM525" s="1358"/>
      <c r="FDN525" s="1358"/>
      <c r="FDO525" s="1358"/>
      <c r="FDP525" s="1358"/>
      <c r="FDQ525" s="1358"/>
      <c r="FDR525" s="1358"/>
      <c r="FDS525" s="1358"/>
      <c r="FDT525" s="1358"/>
      <c r="FDU525" s="1358"/>
      <c r="FDV525" s="1358"/>
      <c r="FDW525" s="1358"/>
      <c r="FDX525" s="1358"/>
      <c r="FDY525" s="1358"/>
      <c r="FDZ525" s="1358"/>
      <c r="FEA525" s="1358"/>
      <c r="FEB525" s="1358"/>
      <c r="FEC525" s="1358"/>
      <c r="FED525" s="1358"/>
      <c r="FEE525" s="1358"/>
      <c r="FEF525" s="1358"/>
      <c r="FEG525" s="1358"/>
      <c r="FEH525" s="1358"/>
      <c r="FEI525" s="1358"/>
      <c r="FEJ525" s="1358"/>
      <c r="FEK525" s="1358"/>
      <c r="FEL525" s="1358"/>
      <c r="FEM525" s="1358"/>
      <c r="FEN525" s="1358"/>
      <c r="FEO525" s="1358"/>
      <c r="FEP525" s="1358"/>
      <c r="FEQ525" s="1358"/>
      <c r="FER525" s="1358"/>
      <c r="FES525" s="1358"/>
      <c r="FET525" s="1358"/>
      <c r="FEU525" s="1358"/>
      <c r="FEV525" s="1358"/>
      <c r="FEW525" s="1358"/>
      <c r="FEX525" s="1358"/>
      <c r="FEY525" s="1358"/>
      <c r="FEZ525" s="1358"/>
      <c r="FFA525" s="1358"/>
      <c r="FFB525" s="1358"/>
      <c r="FFC525" s="1358"/>
      <c r="FFD525" s="1358"/>
      <c r="FFE525" s="1358"/>
      <c r="FFF525" s="1358"/>
      <c r="FFG525" s="1358"/>
      <c r="FFH525" s="1358"/>
      <c r="FFI525" s="1358"/>
      <c r="FFJ525" s="1358"/>
      <c r="FFK525" s="1358"/>
      <c r="FFL525" s="1358"/>
      <c r="FFM525" s="1358"/>
      <c r="FFN525" s="1358"/>
      <c r="FFO525" s="1358"/>
      <c r="FFP525" s="1358"/>
      <c r="FFQ525" s="1358"/>
      <c r="FFR525" s="1358"/>
      <c r="FFS525" s="1358"/>
      <c r="FFT525" s="1358"/>
      <c r="FFU525" s="1358"/>
      <c r="FFV525" s="1358"/>
      <c r="FFW525" s="1358"/>
      <c r="FFX525" s="1358"/>
      <c r="FFY525" s="1358"/>
      <c r="FFZ525" s="1358"/>
      <c r="FGA525" s="1358"/>
      <c r="FGB525" s="1358"/>
      <c r="FGC525" s="1358"/>
      <c r="FGD525" s="1358"/>
      <c r="FGE525" s="1358"/>
      <c r="FGF525" s="1358"/>
      <c r="FGG525" s="1358"/>
      <c r="FGH525" s="1358"/>
      <c r="FGI525" s="1358"/>
      <c r="FGJ525" s="1358"/>
      <c r="FGK525" s="1358"/>
      <c r="FGL525" s="1358"/>
      <c r="FGM525" s="1358"/>
      <c r="FGN525" s="1358"/>
      <c r="FGO525" s="1358"/>
      <c r="FGP525" s="1358"/>
      <c r="FGQ525" s="1358"/>
      <c r="FGR525" s="1358"/>
      <c r="FGS525" s="1358"/>
      <c r="FGT525" s="1358"/>
      <c r="FGU525" s="1358"/>
      <c r="FGV525" s="1358"/>
      <c r="FGW525" s="1358"/>
      <c r="FGX525" s="1358"/>
      <c r="FGY525" s="1358"/>
      <c r="FGZ525" s="1358"/>
      <c r="FHA525" s="1358"/>
      <c r="FHB525" s="1358"/>
      <c r="FHC525" s="1358"/>
      <c r="FHD525" s="1358"/>
      <c r="FHE525" s="1358"/>
      <c r="FHF525" s="1358"/>
      <c r="FHG525" s="1358"/>
      <c r="FHH525" s="1358"/>
      <c r="FHI525" s="1358"/>
      <c r="FHJ525" s="1358"/>
      <c r="FHK525" s="1358"/>
      <c r="FHL525" s="1358"/>
      <c r="FHM525" s="1358"/>
      <c r="FHN525" s="1358"/>
      <c r="FHO525" s="1358"/>
      <c r="FHP525" s="1358"/>
      <c r="FHQ525" s="1358"/>
      <c r="FHR525" s="1358"/>
      <c r="FHS525" s="1358"/>
      <c r="FHT525" s="1358"/>
      <c r="FHU525" s="1358"/>
      <c r="FHV525" s="1358"/>
      <c r="FHW525" s="1358"/>
      <c r="FHX525" s="1358"/>
      <c r="FHY525" s="1358"/>
      <c r="FHZ525" s="1358"/>
      <c r="FIA525" s="1358"/>
      <c r="FIB525" s="1358"/>
      <c r="FIC525" s="1358"/>
      <c r="FID525" s="1358"/>
      <c r="FIE525" s="1358"/>
      <c r="FIF525" s="1358"/>
      <c r="FIG525" s="1358"/>
      <c r="FIH525" s="1358"/>
      <c r="FII525" s="1358"/>
      <c r="FIJ525" s="1358"/>
      <c r="FIK525" s="1358"/>
      <c r="FIL525" s="1358"/>
      <c r="FIM525" s="1358"/>
      <c r="FIN525" s="1358"/>
      <c r="FIO525" s="1358"/>
      <c r="FIP525" s="1358"/>
      <c r="FIQ525" s="1358"/>
      <c r="FIR525" s="1358"/>
      <c r="FIS525" s="1358"/>
      <c r="FIT525" s="1358"/>
      <c r="FIU525" s="1358"/>
      <c r="FIV525" s="1358"/>
      <c r="FIW525" s="1358"/>
      <c r="FIX525" s="1358"/>
      <c r="FIY525" s="1358"/>
      <c r="FIZ525" s="1358"/>
      <c r="FJA525" s="1358"/>
      <c r="FJB525" s="1358"/>
      <c r="FJC525" s="1358"/>
      <c r="FJD525" s="1358"/>
      <c r="FJE525" s="1358"/>
      <c r="FJF525" s="1358"/>
      <c r="FJG525" s="1358"/>
      <c r="FJH525" s="1358"/>
      <c r="FJI525" s="1358"/>
      <c r="FJJ525" s="1358"/>
      <c r="FJK525" s="1358"/>
      <c r="FJL525" s="1358"/>
      <c r="FJM525" s="1358"/>
      <c r="FJN525" s="1358"/>
      <c r="FJO525" s="1358"/>
      <c r="FJP525" s="1358"/>
      <c r="FJQ525" s="1358"/>
      <c r="FJR525" s="1358"/>
      <c r="FJS525" s="1358"/>
      <c r="FJT525" s="1358"/>
      <c r="FJU525" s="1358"/>
      <c r="FJV525" s="1358"/>
      <c r="FJW525" s="1358"/>
      <c r="FJX525" s="1358"/>
      <c r="FJY525" s="1358"/>
      <c r="FJZ525" s="1358"/>
      <c r="FKA525" s="1358"/>
      <c r="FKB525" s="1358"/>
      <c r="FKC525" s="1358"/>
      <c r="FKD525" s="1358"/>
      <c r="FKE525" s="1358"/>
      <c r="FKF525" s="1358"/>
      <c r="FKG525" s="1358"/>
      <c r="FKH525" s="1358"/>
      <c r="FKI525" s="1358"/>
      <c r="FKJ525" s="1358"/>
      <c r="FKK525" s="1358"/>
      <c r="FKL525" s="1358"/>
      <c r="FKM525" s="1358"/>
      <c r="FKN525" s="1358"/>
      <c r="FKO525" s="1358"/>
      <c r="FKP525" s="1358"/>
      <c r="FKQ525" s="1358"/>
      <c r="FKR525" s="1358"/>
      <c r="FKS525" s="1358"/>
      <c r="FKT525" s="1358"/>
      <c r="FKU525" s="1358"/>
      <c r="FKV525" s="1358"/>
      <c r="FKW525" s="1358"/>
      <c r="FKX525" s="1358"/>
      <c r="FKY525" s="1358"/>
      <c r="FKZ525" s="1358"/>
      <c r="FLA525" s="1358"/>
      <c r="FLB525" s="1358"/>
      <c r="FLC525" s="1358"/>
      <c r="FLD525" s="1358"/>
      <c r="FLE525" s="1358"/>
      <c r="FLF525" s="1358"/>
      <c r="FLG525" s="1358"/>
      <c r="FLH525" s="1358"/>
      <c r="FLI525" s="1358"/>
      <c r="FLJ525" s="1358"/>
      <c r="FLK525" s="1358"/>
      <c r="FLL525" s="1358"/>
      <c r="FLM525" s="1358"/>
      <c r="FLN525" s="1358"/>
      <c r="FLO525" s="1358"/>
      <c r="FLP525" s="1358"/>
      <c r="FLQ525" s="1358"/>
      <c r="FLR525" s="1358"/>
      <c r="FLS525" s="1358"/>
      <c r="FLT525" s="1358"/>
      <c r="FLU525" s="1358"/>
      <c r="FLV525" s="1358"/>
      <c r="FLW525" s="1358"/>
      <c r="FLX525" s="1358"/>
      <c r="FLY525" s="1358"/>
      <c r="FLZ525" s="1358"/>
      <c r="FMA525" s="1358"/>
      <c r="FMB525" s="1358"/>
      <c r="FMC525" s="1358"/>
      <c r="FMD525" s="1358"/>
      <c r="FME525" s="1358"/>
      <c r="FMF525" s="1358"/>
      <c r="FMG525" s="1358"/>
      <c r="FMH525" s="1358"/>
      <c r="FMI525" s="1358"/>
      <c r="FMJ525" s="1358"/>
      <c r="FMK525" s="1358"/>
      <c r="FML525" s="1358"/>
      <c r="FMM525" s="1358"/>
      <c r="FMN525" s="1358"/>
      <c r="FMO525" s="1358"/>
      <c r="FMP525" s="1358"/>
      <c r="FMQ525" s="1358"/>
      <c r="FMR525" s="1358"/>
      <c r="FMS525" s="1358"/>
      <c r="FMT525" s="1358"/>
      <c r="FMU525" s="1358"/>
      <c r="FMV525" s="1358"/>
      <c r="FMW525" s="1358"/>
      <c r="FMX525" s="1358"/>
      <c r="FMY525" s="1358"/>
      <c r="FMZ525" s="1358"/>
      <c r="FNA525" s="1358"/>
      <c r="FNB525" s="1358"/>
      <c r="FNC525" s="1358"/>
      <c r="FND525" s="1358"/>
      <c r="FNE525" s="1358"/>
      <c r="FNF525" s="1358"/>
      <c r="FNG525" s="1358"/>
      <c r="FNH525" s="1358"/>
      <c r="FNI525" s="1358"/>
      <c r="FNJ525" s="1358"/>
      <c r="FNK525" s="1358"/>
      <c r="FNL525" s="1358"/>
      <c r="FNM525" s="1358"/>
      <c r="FNN525" s="1358"/>
      <c r="FNO525" s="1358"/>
      <c r="FNP525" s="1358"/>
      <c r="FNQ525" s="1358"/>
      <c r="FNR525" s="1358"/>
      <c r="FNS525" s="1358"/>
      <c r="FNT525" s="1358"/>
      <c r="FNU525" s="1358"/>
      <c r="FNV525" s="1358"/>
      <c r="FNW525" s="1358"/>
      <c r="FNX525" s="1358"/>
      <c r="FNY525" s="1358"/>
      <c r="FNZ525" s="1358"/>
      <c r="FOA525" s="1358"/>
      <c r="FOB525" s="1358"/>
      <c r="FOC525" s="1358"/>
      <c r="FOD525" s="1358"/>
      <c r="FOE525" s="1358"/>
      <c r="FOF525" s="1358"/>
      <c r="FOG525" s="1358"/>
      <c r="FOH525" s="1358"/>
      <c r="FOI525" s="1358"/>
      <c r="FOJ525" s="1358"/>
      <c r="FOK525" s="1358"/>
      <c r="FOL525" s="1358"/>
      <c r="FOM525" s="1358"/>
      <c r="FON525" s="1358"/>
      <c r="FOO525" s="1358"/>
      <c r="FOP525" s="1358"/>
      <c r="FOQ525" s="1358"/>
      <c r="FOR525" s="1358"/>
      <c r="FOS525" s="1358"/>
      <c r="FOT525" s="1358"/>
      <c r="FOU525" s="1358"/>
      <c r="FOV525" s="1358"/>
      <c r="FOW525" s="1358"/>
      <c r="FOX525" s="1358"/>
      <c r="FOY525" s="1358"/>
      <c r="FOZ525" s="1358"/>
      <c r="FPA525" s="1358"/>
      <c r="FPB525" s="1358"/>
      <c r="FPC525" s="1358"/>
      <c r="FPD525" s="1358"/>
      <c r="FPE525" s="1358"/>
      <c r="FPF525" s="1358"/>
      <c r="FPG525" s="1358"/>
      <c r="FPH525" s="1358"/>
      <c r="FPI525" s="1358"/>
      <c r="FPJ525" s="1358"/>
      <c r="FPK525" s="1358"/>
      <c r="FPL525" s="1358"/>
      <c r="FPM525" s="1358"/>
      <c r="FPN525" s="1358"/>
      <c r="FPO525" s="1358"/>
      <c r="FPP525" s="1358"/>
      <c r="FPQ525" s="1358"/>
      <c r="FPR525" s="1358"/>
      <c r="FPS525" s="1358"/>
      <c r="FPT525" s="1358"/>
      <c r="FPU525" s="1358"/>
      <c r="FPV525" s="1358"/>
      <c r="FPW525" s="1358"/>
      <c r="FPX525" s="1358"/>
      <c r="FPY525" s="1358"/>
      <c r="FPZ525" s="1358"/>
      <c r="FQA525" s="1358"/>
      <c r="FQB525" s="1358"/>
      <c r="FQC525" s="1358"/>
      <c r="FQD525" s="1358"/>
      <c r="FQE525" s="1358"/>
      <c r="FQF525" s="1358"/>
      <c r="FQG525" s="1358"/>
      <c r="FQH525" s="1358"/>
      <c r="FQI525" s="1358"/>
      <c r="FQJ525" s="1358"/>
      <c r="FQK525" s="1358"/>
      <c r="FQL525" s="1358"/>
      <c r="FQM525" s="1358"/>
      <c r="FQN525" s="1358"/>
      <c r="FQO525" s="1358"/>
      <c r="FQP525" s="1358"/>
      <c r="FQQ525" s="1358"/>
      <c r="FQR525" s="1358"/>
      <c r="FQS525" s="1358"/>
      <c r="FQT525" s="1358"/>
      <c r="FQU525" s="1358"/>
      <c r="FQV525" s="1358"/>
      <c r="FQW525" s="1358"/>
      <c r="FQX525" s="1358"/>
      <c r="FQY525" s="1358"/>
      <c r="FQZ525" s="1358"/>
      <c r="FRA525" s="1358"/>
      <c r="FRB525" s="1358"/>
      <c r="FRC525" s="1358"/>
      <c r="FRD525" s="1358"/>
      <c r="FRE525" s="1358"/>
      <c r="FRF525" s="1358"/>
      <c r="FRG525" s="1358"/>
      <c r="FRH525" s="1358"/>
      <c r="FRI525" s="1358"/>
      <c r="FRJ525" s="1358"/>
      <c r="FRK525" s="1358"/>
      <c r="FRL525" s="1358"/>
      <c r="FRM525" s="1358"/>
      <c r="FRN525" s="1358"/>
      <c r="FRO525" s="1358"/>
      <c r="FRP525" s="1358"/>
      <c r="FRQ525" s="1358"/>
      <c r="FRR525" s="1358"/>
      <c r="FRS525" s="1358"/>
      <c r="FRT525" s="1358"/>
      <c r="FRU525" s="1358"/>
      <c r="FRV525" s="1358"/>
      <c r="FRW525" s="1358"/>
      <c r="FRX525" s="1358"/>
      <c r="FRY525" s="1358"/>
      <c r="FRZ525" s="1358"/>
      <c r="FSA525" s="1358"/>
      <c r="FSB525" s="1358"/>
      <c r="FSC525" s="1358"/>
      <c r="FSD525" s="1358"/>
      <c r="FSE525" s="1358"/>
      <c r="FSF525" s="1358"/>
      <c r="FSG525" s="1358"/>
      <c r="FSH525" s="1358"/>
      <c r="FSI525" s="1358"/>
      <c r="FSJ525" s="1358"/>
      <c r="FSK525" s="1358"/>
      <c r="FSL525" s="1358"/>
      <c r="FSM525" s="1358"/>
      <c r="FSN525" s="1358"/>
      <c r="FSO525" s="1358"/>
      <c r="FSP525" s="1358"/>
      <c r="FSQ525" s="1358"/>
      <c r="FSR525" s="1358"/>
      <c r="FSS525" s="1358"/>
      <c r="FST525" s="1358"/>
      <c r="FSU525" s="1358"/>
      <c r="FSV525" s="1358"/>
      <c r="FSW525" s="1358"/>
      <c r="FSX525" s="1358"/>
      <c r="FSY525" s="1358"/>
      <c r="FSZ525" s="1358"/>
      <c r="FTA525" s="1358"/>
      <c r="FTB525" s="1358"/>
      <c r="FTC525" s="1358"/>
      <c r="FTD525" s="1358"/>
      <c r="FTE525" s="1358"/>
      <c r="FTF525" s="1358"/>
      <c r="FTG525" s="1358"/>
      <c r="FTH525" s="1358"/>
      <c r="FTI525" s="1358"/>
      <c r="FTJ525" s="1358"/>
      <c r="FTK525" s="1358"/>
      <c r="FTL525" s="1358"/>
      <c r="FTM525" s="1358"/>
      <c r="FTN525" s="1358"/>
      <c r="FTO525" s="1358"/>
      <c r="FTP525" s="1358"/>
      <c r="FTQ525" s="1358"/>
      <c r="FTR525" s="1358"/>
      <c r="FTS525" s="1358"/>
      <c r="FTT525" s="1358"/>
      <c r="FTU525" s="1358"/>
      <c r="FTV525" s="1358"/>
      <c r="FTW525" s="1358"/>
      <c r="FTX525" s="1358"/>
      <c r="FTY525" s="1358"/>
      <c r="FTZ525" s="1358"/>
      <c r="FUA525" s="1358"/>
      <c r="FUB525" s="1358"/>
      <c r="FUC525" s="1358"/>
      <c r="FUD525" s="1358"/>
      <c r="FUE525" s="1358"/>
      <c r="FUF525" s="1358"/>
      <c r="FUG525" s="1358"/>
      <c r="FUH525" s="1358"/>
      <c r="FUI525" s="1358"/>
      <c r="FUJ525" s="1358"/>
      <c r="FUK525" s="1358"/>
      <c r="FUL525" s="1358"/>
      <c r="FUM525" s="1358"/>
      <c r="FUN525" s="1358"/>
      <c r="FUO525" s="1358"/>
      <c r="FUP525" s="1358"/>
      <c r="FUQ525" s="1358"/>
      <c r="FUR525" s="1358"/>
      <c r="FUS525" s="1358"/>
      <c r="FUT525" s="1358"/>
      <c r="FUU525" s="1358"/>
      <c r="FUV525" s="1358"/>
      <c r="FUW525" s="1358"/>
      <c r="FUX525" s="1358"/>
      <c r="FUY525" s="1358"/>
      <c r="FUZ525" s="1358"/>
      <c r="FVA525" s="1358"/>
      <c r="FVB525" s="1358"/>
      <c r="FVC525" s="1358"/>
      <c r="FVD525" s="1358"/>
      <c r="FVE525" s="1358"/>
      <c r="FVF525" s="1358"/>
      <c r="FVG525" s="1358"/>
      <c r="FVH525" s="1358"/>
      <c r="FVI525" s="1358"/>
      <c r="FVJ525" s="1358"/>
      <c r="FVK525" s="1358"/>
      <c r="FVL525" s="1358"/>
      <c r="FVM525" s="1358"/>
      <c r="FVN525" s="1358"/>
      <c r="FVO525" s="1358"/>
      <c r="FVP525" s="1358"/>
      <c r="FVQ525" s="1358"/>
      <c r="FVR525" s="1358"/>
      <c r="FVS525" s="1358"/>
      <c r="FVT525" s="1358"/>
      <c r="FVU525" s="1358"/>
      <c r="FVV525" s="1358"/>
      <c r="FVW525" s="1358"/>
      <c r="FVX525" s="1358"/>
      <c r="FVY525" s="1358"/>
      <c r="FVZ525" s="1358"/>
      <c r="FWA525" s="1358"/>
      <c r="FWB525" s="1358"/>
      <c r="FWC525" s="1358"/>
      <c r="FWD525" s="1358"/>
      <c r="FWE525" s="1358"/>
      <c r="FWF525" s="1358"/>
      <c r="FWG525" s="1358"/>
      <c r="FWH525" s="1358"/>
      <c r="FWI525" s="1358"/>
      <c r="FWJ525" s="1358"/>
      <c r="FWK525" s="1358"/>
      <c r="FWL525" s="1358"/>
      <c r="FWM525" s="1358"/>
      <c r="FWN525" s="1358"/>
      <c r="FWO525" s="1358"/>
      <c r="FWP525" s="1358"/>
      <c r="FWQ525" s="1358"/>
      <c r="FWR525" s="1358"/>
      <c r="FWS525" s="1358"/>
      <c r="FWT525" s="1358"/>
      <c r="FWU525" s="1358"/>
      <c r="FWV525" s="1358"/>
      <c r="FWW525" s="1358"/>
      <c r="FWX525" s="1358"/>
      <c r="FWY525" s="1358"/>
      <c r="FWZ525" s="1358"/>
      <c r="FXA525" s="1358"/>
      <c r="FXB525" s="1358"/>
      <c r="FXC525" s="1358"/>
      <c r="FXD525" s="1358"/>
      <c r="FXE525" s="1358"/>
      <c r="FXF525" s="1358"/>
      <c r="FXG525" s="1358"/>
      <c r="FXH525" s="1358"/>
      <c r="FXI525" s="1358"/>
      <c r="FXJ525" s="1358"/>
      <c r="FXK525" s="1358"/>
      <c r="FXL525" s="1358"/>
      <c r="FXM525" s="1358"/>
      <c r="FXN525" s="1358"/>
      <c r="FXO525" s="1358"/>
      <c r="FXP525" s="1358"/>
      <c r="FXQ525" s="1358"/>
      <c r="FXR525" s="1358"/>
      <c r="FXS525" s="1358"/>
      <c r="FXT525" s="1358"/>
      <c r="FXU525" s="1358"/>
      <c r="FXV525" s="1358"/>
      <c r="FXW525" s="1358"/>
      <c r="FXX525" s="1358"/>
      <c r="FXY525" s="1358"/>
      <c r="FXZ525" s="1358"/>
      <c r="FYA525" s="1358"/>
      <c r="FYB525" s="1358"/>
      <c r="FYC525" s="1358"/>
      <c r="FYD525" s="1358"/>
      <c r="FYE525" s="1358"/>
      <c r="FYF525" s="1358"/>
      <c r="FYG525" s="1358"/>
      <c r="FYH525" s="1358"/>
      <c r="FYI525" s="1358"/>
      <c r="FYJ525" s="1358"/>
      <c r="FYK525" s="1358"/>
      <c r="FYL525" s="1358"/>
      <c r="FYM525" s="1358"/>
      <c r="FYN525" s="1358"/>
      <c r="FYO525" s="1358"/>
      <c r="FYP525" s="1358"/>
      <c r="FYQ525" s="1358"/>
      <c r="FYR525" s="1358"/>
      <c r="FYS525" s="1358"/>
      <c r="FYT525" s="1358"/>
      <c r="FYU525" s="1358"/>
      <c r="FYV525" s="1358"/>
      <c r="FYW525" s="1358"/>
      <c r="FYX525" s="1358"/>
      <c r="FYY525" s="1358"/>
      <c r="FYZ525" s="1358"/>
      <c r="FZA525" s="1358"/>
      <c r="FZB525" s="1358"/>
      <c r="FZC525" s="1358"/>
      <c r="FZD525" s="1358"/>
      <c r="FZE525" s="1358"/>
      <c r="FZF525" s="1358"/>
      <c r="FZG525" s="1358"/>
      <c r="FZH525" s="1358"/>
      <c r="FZI525" s="1358"/>
      <c r="FZJ525" s="1358"/>
      <c r="FZK525" s="1358"/>
      <c r="FZL525" s="1358"/>
      <c r="FZM525" s="1358"/>
      <c r="FZN525" s="1358"/>
      <c r="FZO525" s="1358"/>
      <c r="FZP525" s="1358"/>
      <c r="FZQ525" s="1358"/>
      <c r="FZR525" s="1358"/>
      <c r="FZS525" s="1358"/>
      <c r="FZT525" s="1358"/>
      <c r="FZU525" s="1358"/>
      <c r="FZV525" s="1358"/>
      <c r="FZW525" s="1358"/>
      <c r="FZX525" s="1358"/>
      <c r="FZY525" s="1358"/>
      <c r="FZZ525" s="1358"/>
      <c r="GAA525" s="1358"/>
      <c r="GAB525" s="1358"/>
      <c r="GAC525" s="1358"/>
      <c r="GAD525" s="1358"/>
      <c r="GAE525" s="1358"/>
      <c r="GAF525" s="1358"/>
      <c r="GAG525" s="1358"/>
      <c r="GAH525" s="1358"/>
      <c r="GAI525" s="1358"/>
      <c r="GAJ525" s="1358"/>
      <c r="GAK525" s="1358"/>
      <c r="GAL525" s="1358"/>
      <c r="GAM525" s="1358"/>
      <c r="GAN525" s="1358"/>
      <c r="GAO525" s="1358"/>
      <c r="GAP525" s="1358"/>
      <c r="GAQ525" s="1358"/>
      <c r="GAR525" s="1358"/>
      <c r="GAS525" s="1358"/>
      <c r="GAT525" s="1358"/>
      <c r="GAU525" s="1358"/>
      <c r="GAV525" s="1358"/>
      <c r="GAW525" s="1358"/>
      <c r="GAX525" s="1358"/>
      <c r="GAY525" s="1358"/>
      <c r="GAZ525" s="1358"/>
      <c r="GBA525" s="1358"/>
      <c r="GBB525" s="1358"/>
      <c r="GBC525" s="1358"/>
      <c r="GBD525" s="1358"/>
      <c r="GBE525" s="1358"/>
      <c r="GBF525" s="1358"/>
      <c r="GBG525" s="1358"/>
      <c r="GBH525" s="1358"/>
      <c r="GBI525" s="1358"/>
      <c r="GBJ525" s="1358"/>
      <c r="GBK525" s="1358"/>
      <c r="GBL525" s="1358"/>
      <c r="GBM525" s="1358"/>
      <c r="GBN525" s="1358"/>
      <c r="GBO525" s="1358"/>
      <c r="GBP525" s="1358"/>
      <c r="GBQ525" s="1358"/>
      <c r="GBR525" s="1358"/>
      <c r="GBS525" s="1358"/>
      <c r="GBT525" s="1358"/>
      <c r="GBU525" s="1358"/>
      <c r="GBV525" s="1358"/>
      <c r="GBW525" s="1358"/>
      <c r="GBX525" s="1358"/>
      <c r="GBY525" s="1358"/>
      <c r="GBZ525" s="1358"/>
      <c r="GCA525" s="1358"/>
      <c r="GCB525" s="1358"/>
      <c r="GCC525" s="1358"/>
      <c r="GCD525" s="1358"/>
      <c r="GCE525" s="1358"/>
      <c r="GCF525" s="1358"/>
      <c r="GCG525" s="1358"/>
      <c r="GCH525" s="1358"/>
      <c r="GCI525" s="1358"/>
      <c r="GCJ525" s="1358"/>
      <c r="GCK525" s="1358"/>
      <c r="GCL525" s="1358"/>
      <c r="GCM525" s="1358"/>
      <c r="GCN525" s="1358"/>
      <c r="GCO525" s="1358"/>
      <c r="GCP525" s="1358"/>
      <c r="GCQ525" s="1358"/>
      <c r="GCR525" s="1358"/>
      <c r="GCS525" s="1358"/>
      <c r="GCT525" s="1358"/>
      <c r="GCU525" s="1358"/>
      <c r="GCV525" s="1358"/>
      <c r="GCW525" s="1358"/>
      <c r="GCX525" s="1358"/>
      <c r="GCY525" s="1358"/>
      <c r="GCZ525" s="1358"/>
      <c r="GDA525" s="1358"/>
      <c r="GDB525" s="1358"/>
      <c r="GDC525" s="1358"/>
      <c r="GDD525" s="1358"/>
      <c r="GDE525" s="1358"/>
      <c r="GDF525" s="1358"/>
      <c r="GDG525" s="1358"/>
      <c r="GDH525" s="1358"/>
      <c r="GDI525" s="1358"/>
      <c r="GDJ525" s="1358"/>
      <c r="GDK525" s="1358"/>
      <c r="GDL525" s="1358"/>
      <c r="GDM525" s="1358"/>
      <c r="GDN525" s="1358"/>
      <c r="GDO525" s="1358"/>
      <c r="GDP525" s="1358"/>
      <c r="GDQ525" s="1358"/>
      <c r="GDR525" s="1358"/>
      <c r="GDS525" s="1358"/>
      <c r="GDT525" s="1358"/>
      <c r="GDU525" s="1358"/>
      <c r="GDV525" s="1358"/>
      <c r="GDW525" s="1358"/>
      <c r="GDX525" s="1358"/>
      <c r="GDY525" s="1358"/>
      <c r="GDZ525" s="1358"/>
      <c r="GEA525" s="1358"/>
      <c r="GEB525" s="1358"/>
      <c r="GEC525" s="1358"/>
      <c r="GED525" s="1358"/>
      <c r="GEE525" s="1358"/>
      <c r="GEF525" s="1358"/>
      <c r="GEG525" s="1358"/>
      <c r="GEH525" s="1358"/>
      <c r="GEI525" s="1358"/>
      <c r="GEJ525" s="1358"/>
      <c r="GEK525" s="1358"/>
      <c r="GEL525" s="1358"/>
      <c r="GEM525" s="1358"/>
      <c r="GEN525" s="1358"/>
      <c r="GEO525" s="1358"/>
      <c r="GEP525" s="1358"/>
      <c r="GEQ525" s="1358"/>
      <c r="GER525" s="1358"/>
      <c r="GES525" s="1358"/>
      <c r="GET525" s="1358"/>
      <c r="GEU525" s="1358"/>
      <c r="GEV525" s="1358"/>
      <c r="GEW525" s="1358"/>
      <c r="GEX525" s="1358"/>
      <c r="GEY525" s="1358"/>
      <c r="GEZ525" s="1358"/>
      <c r="GFA525" s="1358"/>
      <c r="GFB525" s="1358"/>
      <c r="GFC525" s="1358"/>
      <c r="GFD525" s="1358"/>
      <c r="GFE525" s="1358"/>
      <c r="GFF525" s="1358"/>
      <c r="GFG525" s="1358"/>
      <c r="GFH525" s="1358"/>
      <c r="GFI525" s="1358"/>
      <c r="GFJ525" s="1358"/>
      <c r="GFK525" s="1358"/>
      <c r="GFL525" s="1358"/>
      <c r="GFM525" s="1358"/>
      <c r="GFN525" s="1358"/>
      <c r="GFO525" s="1358"/>
      <c r="GFP525" s="1358"/>
      <c r="GFQ525" s="1358"/>
      <c r="GFR525" s="1358"/>
      <c r="GFS525" s="1358"/>
      <c r="GFT525" s="1358"/>
      <c r="GFU525" s="1358"/>
      <c r="GFV525" s="1358"/>
      <c r="GFW525" s="1358"/>
      <c r="GFX525" s="1358"/>
      <c r="GFY525" s="1358"/>
      <c r="GFZ525" s="1358"/>
      <c r="GGA525" s="1358"/>
      <c r="GGB525" s="1358"/>
      <c r="GGC525" s="1358"/>
      <c r="GGD525" s="1358"/>
      <c r="GGE525" s="1358"/>
      <c r="GGF525" s="1358"/>
      <c r="GGG525" s="1358"/>
      <c r="GGH525" s="1358"/>
      <c r="GGI525" s="1358"/>
      <c r="GGJ525" s="1358"/>
      <c r="GGK525" s="1358"/>
      <c r="GGL525" s="1358"/>
      <c r="GGM525" s="1358"/>
      <c r="GGN525" s="1358"/>
      <c r="GGO525" s="1358"/>
      <c r="GGP525" s="1358"/>
      <c r="GGQ525" s="1358"/>
      <c r="GGR525" s="1358"/>
      <c r="GGS525" s="1358"/>
      <c r="GGT525" s="1358"/>
      <c r="GGU525" s="1358"/>
      <c r="GGV525" s="1358"/>
      <c r="GGW525" s="1358"/>
      <c r="GGX525" s="1358"/>
      <c r="GGY525" s="1358"/>
      <c r="GGZ525" s="1358"/>
      <c r="GHA525" s="1358"/>
      <c r="GHB525" s="1358"/>
      <c r="GHC525" s="1358"/>
      <c r="GHD525" s="1358"/>
      <c r="GHE525" s="1358"/>
      <c r="GHF525" s="1358"/>
      <c r="GHG525" s="1358"/>
      <c r="GHH525" s="1358"/>
      <c r="GHI525" s="1358"/>
      <c r="GHJ525" s="1358"/>
      <c r="GHK525" s="1358"/>
      <c r="GHL525" s="1358"/>
      <c r="GHM525" s="1358"/>
      <c r="GHN525" s="1358"/>
      <c r="GHO525" s="1358"/>
      <c r="GHP525" s="1358"/>
      <c r="GHQ525" s="1358"/>
      <c r="GHR525" s="1358"/>
      <c r="GHS525" s="1358"/>
      <c r="GHT525" s="1358"/>
      <c r="GHU525" s="1358"/>
      <c r="GHV525" s="1358"/>
      <c r="GHW525" s="1358"/>
      <c r="GHX525" s="1358"/>
      <c r="GHY525" s="1358"/>
      <c r="GHZ525" s="1358"/>
      <c r="GIA525" s="1358"/>
      <c r="GIB525" s="1358"/>
      <c r="GIC525" s="1358"/>
      <c r="GID525" s="1358"/>
      <c r="GIE525" s="1358"/>
      <c r="GIF525" s="1358"/>
      <c r="GIG525" s="1358"/>
      <c r="GIH525" s="1358"/>
      <c r="GII525" s="1358"/>
      <c r="GIJ525" s="1358"/>
      <c r="GIK525" s="1358"/>
      <c r="GIL525" s="1358"/>
      <c r="GIM525" s="1358"/>
      <c r="GIN525" s="1358"/>
      <c r="GIO525" s="1358"/>
      <c r="GIP525" s="1358"/>
      <c r="GIQ525" s="1358"/>
      <c r="GIR525" s="1358"/>
      <c r="GIS525" s="1358"/>
      <c r="GIT525" s="1358"/>
      <c r="GIU525" s="1358"/>
      <c r="GIV525" s="1358"/>
      <c r="GIW525" s="1358"/>
      <c r="GIX525" s="1358"/>
      <c r="GIY525" s="1358"/>
      <c r="GIZ525" s="1358"/>
      <c r="GJA525" s="1358"/>
      <c r="GJB525" s="1358"/>
      <c r="GJC525" s="1358"/>
      <c r="GJD525" s="1358"/>
      <c r="GJE525" s="1358"/>
      <c r="GJF525" s="1358"/>
      <c r="GJG525" s="1358"/>
      <c r="GJH525" s="1358"/>
      <c r="GJI525" s="1358"/>
      <c r="GJJ525" s="1358"/>
      <c r="GJK525" s="1358"/>
      <c r="GJL525" s="1358"/>
      <c r="GJM525" s="1358"/>
      <c r="GJN525" s="1358"/>
      <c r="GJO525" s="1358"/>
      <c r="GJP525" s="1358"/>
      <c r="GJQ525" s="1358"/>
      <c r="GJR525" s="1358"/>
      <c r="GJS525" s="1358"/>
      <c r="GJT525" s="1358"/>
      <c r="GJU525" s="1358"/>
      <c r="GJV525" s="1358"/>
      <c r="GJW525" s="1358"/>
      <c r="GJX525" s="1358"/>
      <c r="GJY525" s="1358"/>
      <c r="GJZ525" s="1358"/>
      <c r="GKA525" s="1358"/>
      <c r="GKB525" s="1358"/>
      <c r="GKC525" s="1358"/>
      <c r="GKD525" s="1358"/>
      <c r="GKE525" s="1358"/>
      <c r="GKF525" s="1358"/>
      <c r="GKG525" s="1358"/>
      <c r="GKH525" s="1358"/>
      <c r="GKI525" s="1358"/>
      <c r="GKJ525" s="1358"/>
      <c r="GKK525" s="1358"/>
      <c r="GKL525" s="1358"/>
      <c r="GKM525" s="1358"/>
      <c r="GKN525" s="1358"/>
      <c r="GKO525" s="1358"/>
      <c r="GKP525" s="1358"/>
      <c r="GKQ525" s="1358"/>
      <c r="GKR525" s="1358"/>
      <c r="GKS525" s="1358"/>
      <c r="GKT525" s="1358"/>
      <c r="GKU525" s="1358"/>
      <c r="GKV525" s="1358"/>
      <c r="GKW525" s="1358"/>
      <c r="GKX525" s="1358"/>
      <c r="GKY525" s="1358"/>
      <c r="GKZ525" s="1358"/>
      <c r="GLA525" s="1358"/>
      <c r="GLB525" s="1358"/>
      <c r="GLC525" s="1358"/>
      <c r="GLD525" s="1358"/>
      <c r="GLE525" s="1358"/>
      <c r="GLF525" s="1358"/>
      <c r="GLG525" s="1358"/>
      <c r="GLH525" s="1358"/>
      <c r="GLI525" s="1358"/>
      <c r="GLJ525" s="1358"/>
      <c r="GLK525" s="1358"/>
      <c r="GLL525" s="1358"/>
      <c r="GLM525" s="1358"/>
      <c r="GLN525" s="1358"/>
      <c r="GLO525" s="1358"/>
      <c r="GLP525" s="1358"/>
      <c r="GLQ525" s="1358"/>
      <c r="GLR525" s="1358"/>
      <c r="GLS525" s="1358"/>
      <c r="GLT525" s="1358"/>
      <c r="GLU525" s="1358"/>
      <c r="GLV525" s="1358"/>
      <c r="GLW525" s="1358"/>
      <c r="GLX525" s="1358"/>
      <c r="GLY525" s="1358"/>
      <c r="GLZ525" s="1358"/>
      <c r="GMA525" s="1358"/>
      <c r="GMB525" s="1358"/>
      <c r="GMC525" s="1358"/>
      <c r="GMD525" s="1358"/>
      <c r="GME525" s="1358"/>
      <c r="GMF525" s="1358"/>
      <c r="GMG525" s="1358"/>
      <c r="GMH525" s="1358"/>
      <c r="GMI525" s="1358"/>
      <c r="GMJ525" s="1358"/>
      <c r="GMK525" s="1358"/>
      <c r="GML525" s="1358"/>
      <c r="GMM525" s="1358"/>
      <c r="GMN525" s="1358"/>
      <c r="GMO525" s="1358"/>
      <c r="GMP525" s="1358"/>
      <c r="GMQ525" s="1358"/>
      <c r="GMR525" s="1358"/>
      <c r="GMS525" s="1358"/>
      <c r="GMT525" s="1358"/>
      <c r="GMU525" s="1358"/>
      <c r="GMV525" s="1358"/>
      <c r="GMW525" s="1358"/>
      <c r="GMX525" s="1358"/>
      <c r="GMY525" s="1358"/>
      <c r="GMZ525" s="1358"/>
      <c r="GNA525" s="1358"/>
      <c r="GNB525" s="1358"/>
      <c r="GNC525" s="1358"/>
      <c r="GND525" s="1358"/>
      <c r="GNE525" s="1358"/>
      <c r="GNF525" s="1358"/>
      <c r="GNG525" s="1358"/>
      <c r="GNH525" s="1358"/>
      <c r="GNI525" s="1358"/>
      <c r="GNJ525" s="1358"/>
      <c r="GNK525" s="1358"/>
      <c r="GNL525" s="1358"/>
      <c r="GNM525" s="1358"/>
      <c r="GNN525" s="1358"/>
      <c r="GNO525" s="1358"/>
      <c r="GNP525" s="1358"/>
      <c r="GNQ525" s="1358"/>
      <c r="GNR525" s="1358"/>
      <c r="GNS525" s="1358"/>
      <c r="GNT525" s="1358"/>
      <c r="GNU525" s="1358"/>
      <c r="GNV525" s="1358"/>
      <c r="GNW525" s="1358"/>
      <c r="GNX525" s="1358"/>
      <c r="GNY525" s="1358"/>
      <c r="GNZ525" s="1358"/>
      <c r="GOA525" s="1358"/>
      <c r="GOB525" s="1358"/>
      <c r="GOC525" s="1358"/>
      <c r="GOD525" s="1358"/>
      <c r="GOE525" s="1358"/>
      <c r="GOF525" s="1358"/>
      <c r="GOG525" s="1358"/>
      <c r="GOH525" s="1358"/>
      <c r="GOI525" s="1358"/>
      <c r="GOJ525" s="1358"/>
      <c r="GOK525" s="1358"/>
      <c r="GOL525" s="1358"/>
      <c r="GOM525" s="1358"/>
      <c r="GON525" s="1358"/>
      <c r="GOO525" s="1358"/>
      <c r="GOP525" s="1358"/>
      <c r="GOQ525" s="1358"/>
      <c r="GOR525" s="1358"/>
      <c r="GOS525" s="1358"/>
      <c r="GOT525" s="1358"/>
      <c r="GOU525" s="1358"/>
      <c r="GOV525" s="1358"/>
      <c r="GOW525" s="1358"/>
      <c r="GOX525" s="1358"/>
      <c r="GOY525" s="1358"/>
      <c r="GOZ525" s="1358"/>
      <c r="GPA525" s="1358"/>
      <c r="GPB525" s="1358"/>
      <c r="GPC525" s="1358"/>
      <c r="GPD525" s="1358"/>
      <c r="GPE525" s="1358"/>
      <c r="GPF525" s="1358"/>
      <c r="GPG525" s="1358"/>
      <c r="GPH525" s="1358"/>
      <c r="GPI525" s="1358"/>
      <c r="GPJ525" s="1358"/>
      <c r="GPK525" s="1358"/>
      <c r="GPL525" s="1358"/>
      <c r="GPM525" s="1358"/>
      <c r="GPN525" s="1358"/>
      <c r="GPO525" s="1358"/>
      <c r="GPP525" s="1358"/>
      <c r="GPQ525" s="1358"/>
      <c r="GPR525" s="1358"/>
      <c r="GPS525" s="1358"/>
      <c r="GPT525" s="1358"/>
      <c r="GPU525" s="1358"/>
      <c r="GPV525" s="1358"/>
      <c r="GPW525" s="1358"/>
      <c r="GPX525" s="1358"/>
      <c r="GPY525" s="1358"/>
      <c r="GPZ525" s="1358"/>
      <c r="GQA525" s="1358"/>
      <c r="GQB525" s="1358"/>
      <c r="GQC525" s="1358"/>
      <c r="GQD525" s="1358"/>
      <c r="GQE525" s="1358"/>
      <c r="GQF525" s="1358"/>
      <c r="GQG525" s="1358"/>
      <c r="GQH525" s="1358"/>
      <c r="GQI525" s="1358"/>
      <c r="GQJ525" s="1358"/>
      <c r="GQK525" s="1358"/>
      <c r="GQL525" s="1358"/>
      <c r="GQM525" s="1358"/>
      <c r="GQN525" s="1358"/>
      <c r="GQO525" s="1358"/>
      <c r="GQP525" s="1358"/>
      <c r="GQQ525" s="1358"/>
      <c r="GQR525" s="1358"/>
      <c r="GQS525" s="1358"/>
      <c r="GQT525" s="1358"/>
      <c r="GQU525" s="1358"/>
      <c r="GQV525" s="1358"/>
      <c r="GQW525" s="1358"/>
      <c r="GQX525" s="1358"/>
      <c r="GQY525" s="1358"/>
      <c r="GQZ525" s="1358"/>
      <c r="GRA525" s="1358"/>
      <c r="GRB525" s="1358"/>
      <c r="GRC525" s="1358"/>
      <c r="GRD525" s="1358"/>
      <c r="GRE525" s="1358"/>
      <c r="GRF525" s="1358"/>
      <c r="GRG525" s="1358"/>
      <c r="GRH525" s="1358"/>
      <c r="GRI525" s="1358"/>
      <c r="GRJ525" s="1358"/>
      <c r="GRK525" s="1358"/>
      <c r="GRL525" s="1358"/>
      <c r="GRM525" s="1358"/>
      <c r="GRN525" s="1358"/>
      <c r="GRO525" s="1358"/>
      <c r="GRP525" s="1358"/>
      <c r="GRQ525" s="1358"/>
      <c r="GRR525" s="1358"/>
      <c r="GRS525" s="1358"/>
      <c r="GRT525" s="1358"/>
      <c r="GRU525" s="1358"/>
      <c r="GRV525" s="1358"/>
      <c r="GRW525" s="1358"/>
      <c r="GRX525" s="1358"/>
      <c r="GRY525" s="1358"/>
      <c r="GRZ525" s="1358"/>
      <c r="GSA525" s="1358"/>
      <c r="GSB525" s="1358"/>
      <c r="GSC525" s="1358"/>
      <c r="GSD525" s="1358"/>
      <c r="GSE525" s="1358"/>
      <c r="GSF525" s="1358"/>
      <c r="GSG525" s="1358"/>
      <c r="GSH525" s="1358"/>
      <c r="GSI525" s="1358"/>
      <c r="GSJ525" s="1358"/>
      <c r="GSK525" s="1358"/>
      <c r="GSL525" s="1358"/>
      <c r="GSM525" s="1358"/>
      <c r="GSN525" s="1358"/>
      <c r="GSO525" s="1358"/>
      <c r="GSP525" s="1358"/>
      <c r="GSQ525" s="1358"/>
      <c r="GSR525" s="1358"/>
      <c r="GSS525" s="1358"/>
      <c r="GST525" s="1358"/>
      <c r="GSU525" s="1358"/>
      <c r="GSV525" s="1358"/>
      <c r="GSW525" s="1358"/>
      <c r="GSX525" s="1358"/>
      <c r="GSY525" s="1358"/>
      <c r="GSZ525" s="1358"/>
      <c r="GTA525" s="1358"/>
      <c r="GTB525" s="1358"/>
      <c r="GTC525" s="1358"/>
      <c r="GTD525" s="1358"/>
      <c r="GTE525" s="1358"/>
      <c r="GTF525" s="1358"/>
      <c r="GTG525" s="1358"/>
      <c r="GTH525" s="1358"/>
      <c r="GTI525" s="1358"/>
      <c r="GTJ525" s="1358"/>
      <c r="GTK525" s="1358"/>
      <c r="GTL525" s="1358"/>
      <c r="GTM525" s="1358"/>
      <c r="GTN525" s="1358"/>
      <c r="GTO525" s="1358"/>
      <c r="GTP525" s="1358"/>
      <c r="GTQ525" s="1358"/>
      <c r="GTR525" s="1358"/>
      <c r="GTS525" s="1358"/>
      <c r="GTT525" s="1358"/>
      <c r="GTU525" s="1358"/>
      <c r="GTV525" s="1358"/>
      <c r="GTW525" s="1358"/>
      <c r="GTX525" s="1358"/>
      <c r="GTY525" s="1358"/>
      <c r="GTZ525" s="1358"/>
      <c r="GUA525" s="1358"/>
      <c r="GUB525" s="1358"/>
      <c r="GUC525" s="1358"/>
      <c r="GUD525" s="1358"/>
      <c r="GUE525" s="1358"/>
      <c r="GUF525" s="1358"/>
      <c r="GUG525" s="1358"/>
      <c r="GUH525" s="1358"/>
      <c r="GUI525" s="1358"/>
      <c r="GUJ525" s="1358"/>
      <c r="GUK525" s="1358"/>
      <c r="GUL525" s="1358"/>
      <c r="GUM525" s="1358"/>
      <c r="GUN525" s="1358"/>
      <c r="GUO525" s="1358"/>
      <c r="GUP525" s="1358"/>
      <c r="GUQ525" s="1358"/>
      <c r="GUR525" s="1358"/>
      <c r="GUS525" s="1358"/>
      <c r="GUT525" s="1358"/>
      <c r="GUU525" s="1358"/>
      <c r="GUV525" s="1358"/>
      <c r="GUW525" s="1358"/>
      <c r="GUX525" s="1358"/>
      <c r="GUY525" s="1358"/>
      <c r="GUZ525" s="1358"/>
      <c r="GVA525" s="1358"/>
      <c r="GVB525" s="1358"/>
      <c r="GVC525" s="1358"/>
      <c r="GVD525" s="1358"/>
      <c r="GVE525" s="1358"/>
      <c r="GVF525" s="1358"/>
      <c r="GVG525" s="1358"/>
      <c r="GVH525" s="1358"/>
      <c r="GVI525" s="1358"/>
      <c r="GVJ525" s="1358"/>
      <c r="GVK525" s="1358"/>
      <c r="GVL525" s="1358"/>
      <c r="GVM525" s="1358"/>
      <c r="GVN525" s="1358"/>
      <c r="GVO525" s="1358"/>
      <c r="GVP525" s="1358"/>
      <c r="GVQ525" s="1358"/>
      <c r="GVR525" s="1358"/>
      <c r="GVS525" s="1358"/>
      <c r="GVT525" s="1358"/>
      <c r="GVU525" s="1358"/>
      <c r="GVV525" s="1358"/>
      <c r="GVW525" s="1358"/>
      <c r="GVX525" s="1358"/>
      <c r="GVY525" s="1358"/>
      <c r="GVZ525" s="1358"/>
      <c r="GWA525" s="1358"/>
      <c r="GWB525" s="1358"/>
      <c r="GWC525" s="1358"/>
      <c r="GWD525" s="1358"/>
      <c r="GWE525" s="1358"/>
      <c r="GWF525" s="1358"/>
      <c r="GWG525" s="1358"/>
      <c r="GWH525" s="1358"/>
      <c r="GWI525" s="1358"/>
      <c r="GWJ525" s="1358"/>
      <c r="GWK525" s="1358"/>
      <c r="GWL525" s="1358"/>
      <c r="GWM525" s="1358"/>
      <c r="GWN525" s="1358"/>
      <c r="GWO525" s="1358"/>
      <c r="GWP525" s="1358"/>
      <c r="GWQ525" s="1358"/>
      <c r="GWR525" s="1358"/>
      <c r="GWS525" s="1358"/>
      <c r="GWT525" s="1358"/>
      <c r="GWU525" s="1358"/>
      <c r="GWV525" s="1358"/>
      <c r="GWW525" s="1358"/>
      <c r="GWX525" s="1358"/>
      <c r="GWY525" s="1358"/>
      <c r="GWZ525" s="1358"/>
      <c r="GXA525" s="1358"/>
      <c r="GXB525" s="1358"/>
      <c r="GXC525" s="1358"/>
      <c r="GXD525" s="1358"/>
      <c r="GXE525" s="1358"/>
      <c r="GXF525" s="1358"/>
      <c r="GXG525" s="1358"/>
      <c r="GXH525" s="1358"/>
      <c r="GXI525" s="1358"/>
      <c r="GXJ525" s="1358"/>
      <c r="GXK525" s="1358"/>
      <c r="GXL525" s="1358"/>
      <c r="GXM525" s="1358"/>
      <c r="GXN525" s="1358"/>
      <c r="GXO525" s="1358"/>
      <c r="GXP525" s="1358"/>
      <c r="GXQ525" s="1358"/>
      <c r="GXR525" s="1358"/>
      <c r="GXS525" s="1358"/>
      <c r="GXT525" s="1358"/>
      <c r="GXU525" s="1358"/>
      <c r="GXV525" s="1358"/>
      <c r="GXW525" s="1358"/>
      <c r="GXX525" s="1358"/>
      <c r="GXY525" s="1358"/>
      <c r="GXZ525" s="1358"/>
      <c r="GYA525" s="1358"/>
      <c r="GYB525" s="1358"/>
      <c r="GYC525" s="1358"/>
      <c r="GYD525" s="1358"/>
      <c r="GYE525" s="1358"/>
      <c r="GYF525" s="1358"/>
      <c r="GYG525" s="1358"/>
      <c r="GYH525" s="1358"/>
      <c r="GYI525" s="1358"/>
      <c r="GYJ525" s="1358"/>
      <c r="GYK525" s="1358"/>
      <c r="GYL525" s="1358"/>
      <c r="GYM525" s="1358"/>
      <c r="GYN525" s="1358"/>
      <c r="GYO525" s="1358"/>
      <c r="GYP525" s="1358"/>
      <c r="GYQ525" s="1358"/>
      <c r="GYR525" s="1358"/>
      <c r="GYS525" s="1358"/>
      <c r="GYT525" s="1358"/>
      <c r="GYU525" s="1358"/>
      <c r="GYV525" s="1358"/>
      <c r="GYW525" s="1358"/>
      <c r="GYX525" s="1358"/>
      <c r="GYY525" s="1358"/>
      <c r="GYZ525" s="1358"/>
      <c r="GZA525" s="1358"/>
      <c r="GZB525" s="1358"/>
      <c r="GZC525" s="1358"/>
      <c r="GZD525" s="1358"/>
      <c r="GZE525" s="1358"/>
      <c r="GZF525" s="1358"/>
      <c r="GZG525" s="1358"/>
      <c r="GZH525" s="1358"/>
      <c r="GZI525" s="1358"/>
      <c r="GZJ525" s="1358"/>
      <c r="GZK525" s="1358"/>
      <c r="GZL525" s="1358"/>
      <c r="GZM525" s="1358"/>
      <c r="GZN525" s="1358"/>
      <c r="GZO525" s="1358"/>
      <c r="GZP525" s="1358"/>
      <c r="GZQ525" s="1358"/>
      <c r="GZR525" s="1358"/>
      <c r="GZS525" s="1358"/>
      <c r="GZT525" s="1358"/>
      <c r="GZU525" s="1358"/>
      <c r="GZV525" s="1358"/>
      <c r="GZW525" s="1358"/>
      <c r="GZX525" s="1358"/>
      <c r="GZY525" s="1358"/>
      <c r="GZZ525" s="1358"/>
      <c r="HAA525" s="1358"/>
      <c r="HAB525" s="1358"/>
      <c r="HAC525" s="1358"/>
      <c r="HAD525" s="1358"/>
      <c r="HAE525" s="1358"/>
      <c r="HAF525" s="1358"/>
      <c r="HAG525" s="1358"/>
      <c r="HAH525" s="1358"/>
      <c r="HAI525" s="1358"/>
      <c r="HAJ525" s="1358"/>
      <c r="HAK525" s="1358"/>
      <c r="HAL525" s="1358"/>
      <c r="HAM525" s="1358"/>
      <c r="HAN525" s="1358"/>
      <c r="HAO525" s="1358"/>
      <c r="HAP525" s="1358"/>
      <c r="HAQ525" s="1358"/>
      <c r="HAR525" s="1358"/>
      <c r="HAS525" s="1358"/>
      <c r="HAT525" s="1358"/>
      <c r="HAU525" s="1358"/>
      <c r="HAV525" s="1358"/>
      <c r="HAW525" s="1358"/>
      <c r="HAX525" s="1358"/>
      <c r="HAY525" s="1358"/>
      <c r="HAZ525" s="1358"/>
      <c r="HBA525" s="1358"/>
      <c r="HBB525" s="1358"/>
      <c r="HBC525" s="1358"/>
      <c r="HBD525" s="1358"/>
      <c r="HBE525" s="1358"/>
      <c r="HBF525" s="1358"/>
      <c r="HBG525" s="1358"/>
      <c r="HBH525" s="1358"/>
      <c r="HBI525" s="1358"/>
      <c r="HBJ525" s="1358"/>
      <c r="HBK525" s="1358"/>
      <c r="HBL525" s="1358"/>
      <c r="HBM525" s="1358"/>
      <c r="HBN525" s="1358"/>
      <c r="HBO525" s="1358"/>
      <c r="HBP525" s="1358"/>
      <c r="HBQ525" s="1358"/>
      <c r="HBR525" s="1358"/>
      <c r="HBS525" s="1358"/>
      <c r="HBT525" s="1358"/>
      <c r="HBU525" s="1358"/>
      <c r="HBV525" s="1358"/>
      <c r="HBW525" s="1358"/>
      <c r="HBX525" s="1358"/>
      <c r="HBY525" s="1358"/>
      <c r="HBZ525" s="1358"/>
      <c r="HCA525" s="1358"/>
      <c r="HCB525" s="1358"/>
      <c r="HCC525" s="1358"/>
      <c r="HCD525" s="1358"/>
      <c r="HCE525" s="1358"/>
      <c r="HCF525" s="1358"/>
      <c r="HCG525" s="1358"/>
      <c r="HCH525" s="1358"/>
      <c r="HCI525" s="1358"/>
      <c r="HCJ525" s="1358"/>
      <c r="HCK525" s="1358"/>
      <c r="HCL525" s="1358"/>
      <c r="HCM525" s="1358"/>
      <c r="HCN525" s="1358"/>
      <c r="HCO525" s="1358"/>
      <c r="HCP525" s="1358"/>
      <c r="HCQ525" s="1358"/>
      <c r="HCR525" s="1358"/>
      <c r="HCS525" s="1358"/>
      <c r="HCT525" s="1358"/>
      <c r="HCU525" s="1358"/>
      <c r="HCV525" s="1358"/>
      <c r="HCW525" s="1358"/>
      <c r="HCX525" s="1358"/>
      <c r="HCY525" s="1358"/>
      <c r="HCZ525" s="1358"/>
      <c r="HDA525" s="1358"/>
      <c r="HDB525" s="1358"/>
      <c r="HDC525" s="1358"/>
      <c r="HDD525" s="1358"/>
      <c r="HDE525" s="1358"/>
      <c r="HDF525" s="1358"/>
      <c r="HDG525" s="1358"/>
      <c r="HDH525" s="1358"/>
      <c r="HDI525" s="1358"/>
      <c r="HDJ525" s="1358"/>
      <c r="HDK525" s="1358"/>
      <c r="HDL525" s="1358"/>
      <c r="HDM525" s="1358"/>
      <c r="HDN525" s="1358"/>
      <c r="HDO525" s="1358"/>
      <c r="HDP525" s="1358"/>
      <c r="HDQ525" s="1358"/>
      <c r="HDR525" s="1358"/>
      <c r="HDS525" s="1358"/>
      <c r="HDT525" s="1358"/>
      <c r="HDU525" s="1358"/>
      <c r="HDV525" s="1358"/>
      <c r="HDW525" s="1358"/>
      <c r="HDX525" s="1358"/>
      <c r="HDY525" s="1358"/>
      <c r="HDZ525" s="1358"/>
      <c r="HEA525" s="1358"/>
      <c r="HEB525" s="1358"/>
      <c r="HEC525" s="1358"/>
      <c r="HED525" s="1358"/>
      <c r="HEE525" s="1358"/>
      <c r="HEF525" s="1358"/>
      <c r="HEG525" s="1358"/>
      <c r="HEH525" s="1358"/>
      <c r="HEI525" s="1358"/>
      <c r="HEJ525" s="1358"/>
      <c r="HEK525" s="1358"/>
      <c r="HEL525" s="1358"/>
      <c r="HEM525" s="1358"/>
      <c r="HEN525" s="1358"/>
      <c r="HEO525" s="1358"/>
      <c r="HEP525" s="1358"/>
      <c r="HEQ525" s="1358"/>
      <c r="HER525" s="1358"/>
      <c r="HES525" s="1358"/>
      <c r="HET525" s="1358"/>
      <c r="HEU525" s="1358"/>
      <c r="HEV525" s="1358"/>
      <c r="HEW525" s="1358"/>
      <c r="HEX525" s="1358"/>
      <c r="HEY525" s="1358"/>
      <c r="HEZ525" s="1358"/>
      <c r="HFA525" s="1358"/>
      <c r="HFB525" s="1358"/>
      <c r="HFC525" s="1358"/>
      <c r="HFD525" s="1358"/>
      <c r="HFE525" s="1358"/>
      <c r="HFF525" s="1358"/>
      <c r="HFG525" s="1358"/>
      <c r="HFH525" s="1358"/>
      <c r="HFI525" s="1358"/>
      <c r="HFJ525" s="1358"/>
      <c r="HFK525" s="1358"/>
      <c r="HFL525" s="1358"/>
      <c r="HFM525" s="1358"/>
      <c r="HFN525" s="1358"/>
      <c r="HFO525" s="1358"/>
      <c r="HFP525" s="1358"/>
      <c r="HFQ525" s="1358"/>
      <c r="HFR525" s="1358"/>
      <c r="HFS525" s="1358"/>
      <c r="HFT525" s="1358"/>
      <c r="HFU525" s="1358"/>
      <c r="HFV525" s="1358"/>
      <c r="HFW525" s="1358"/>
      <c r="HFX525" s="1358"/>
      <c r="HFY525" s="1358"/>
      <c r="HFZ525" s="1358"/>
      <c r="HGA525" s="1358"/>
      <c r="HGB525" s="1358"/>
      <c r="HGC525" s="1358"/>
      <c r="HGD525" s="1358"/>
      <c r="HGE525" s="1358"/>
      <c r="HGF525" s="1358"/>
      <c r="HGG525" s="1358"/>
      <c r="HGH525" s="1358"/>
      <c r="HGI525" s="1358"/>
      <c r="HGJ525" s="1358"/>
      <c r="HGK525" s="1358"/>
      <c r="HGL525" s="1358"/>
      <c r="HGM525" s="1358"/>
      <c r="HGN525" s="1358"/>
      <c r="HGO525" s="1358"/>
      <c r="HGP525" s="1358"/>
      <c r="HGQ525" s="1358"/>
      <c r="HGR525" s="1358"/>
      <c r="HGS525" s="1358"/>
      <c r="HGT525" s="1358"/>
      <c r="HGU525" s="1358"/>
      <c r="HGV525" s="1358"/>
      <c r="HGW525" s="1358"/>
      <c r="HGX525" s="1358"/>
      <c r="HGY525" s="1358"/>
      <c r="HGZ525" s="1358"/>
      <c r="HHA525" s="1358"/>
      <c r="HHB525" s="1358"/>
      <c r="HHC525" s="1358"/>
      <c r="HHD525" s="1358"/>
      <c r="HHE525" s="1358"/>
      <c r="HHF525" s="1358"/>
      <c r="HHG525" s="1358"/>
      <c r="HHH525" s="1358"/>
      <c r="HHI525" s="1358"/>
      <c r="HHJ525" s="1358"/>
      <c r="HHK525" s="1358"/>
      <c r="HHL525" s="1358"/>
      <c r="HHM525" s="1358"/>
      <c r="HHN525" s="1358"/>
      <c r="HHO525" s="1358"/>
      <c r="HHP525" s="1358"/>
      <c r="HHQ525" s="1358"/>
      <c r="HHR525" s="1358"/>
      <c r="HHS525" s="1358"/>
      <c r="HHT525" s="1358"/>
      <c r="HHU525" s="1358"/>
      <c r="HHV525" s="1358"/>
      <c r="HHW525" s="1358"/>
      <c r="HHX525" s="1358"/>
      <c r="HHY525" s="1358"/>
      <c r="HHZ525" s="1358"/>
      <c r="HIA525" s="1358"/>
      <c r="HIB525" s="1358"/>
      <c r="HIC525" s="1358"/>
      <c r="HID525" s="1358"/>
      <c r="HIE525" s="1358"/>
      <c r="HIF525" s="1358"/>
      <c r="HIG525" s="1358"/>
      <c r="HIH525" s="1358"/>
      <c r="HII525" s="1358"/>
      <c r="HIJ525" s="1358"/>
      <c r="HIK525" s="1358"/>
      <c r="HIL525" s="1358"/>
      <c r="HIM525" s="1358"/>
      <c r="HIN525" s="1358"/>
      <c r="HIO525" s="1358"/>
      <c r="HIP525" s="1358"/>
      <c r="HIQ525" s="1358"/>
      <c r="HIR525" s="1358"/>
      <c r="HIS525" s="1358"/>
      <c r="HIT525" s="1358"/>
      <c r="HIU525" s="1358"/>
      <c r="HIV525" s="1358"/>
      <c r="HIW525" s="1358"/>
      <c r="HIX525" s="1358"/>
      <c r="HIY525" s="1358"/>
      <c r="HIZ525" s="1358"/>
      <c r="HJA525" s="1358"/>
      <c r="HJB525" s="1358"/>
      <c r="HJC525" s="1358"/>
      <c r="HJD525" s="1358"/>
      <c r="HJE525" s="1358"/>
      <c r="HJF525" s="1358"/>
      <c r="HJG525" s="1358"/>
      <c r="HJH525" s="1358"/>
      <c r="HJI525" s="1358"/>
      <c r="HJJ525" s="1358"/>
      <c r="HJK525" s="1358"/>
      <c r="HJL525" s="1358"/>
      <c r="HJM525" s="1358"/>
      <c r="HJN525" s="1358"/>
      <c r="HJO525" s="1358"/>
      <c r="HJP525" s="1358"/>
      <c r="HJQ525" s="1358"/>
      <c r="HJR525" s="1358"/>
      <c r="HJS525" s="1358"/>
      <c r="HJT525" s="1358"/>
      <c r="HJU525" s="1358"/>
      <c r="HJV525" s="1358"/>
      <c r="HJW525" s="1358"/>
      <c r="HJX525" s="1358"/>
      <c r="HJY525" s="1358"/>
      <c r="HJZ525" s="1358"/>
      <c r="HKA525" s="1358"/>
      <c r="HKB525" s="1358"/>
      <c r="HKC525" s="1358"/>
      <c r="HKD525" s="1358"/>
      <c r="HKE525" s="1358"/>
      <c r="HKF525" s="1358"/>
      <c r="HKG525" s="1358"/>
      <c r="HKH525" s="1358"/>
      <c r="HKI525" s="1358"/>
      <c r="HKJ525" s="1358"/>
      <c r="HKK525" s="1358"/>
      <c r="HKL525" s="1358"/>
      <c r="HKM525" s="1358"/>
      <c r="HKN525" s="1358"/>
      <c r="HKO525" s="1358"/>
      <c r="HKP525" s="1358"/>
      <c r="HKQ525" s="1358"/>
      <c r="HKR525" s="1358"/>
      <c r="HKS525" s="1358"/>
      <c r="HKT525" s="1358"/>
      <c r="HKU525" s="1358"/>
      <c r="HKV525" s="1358"/>
      <c r="HKW525" s="1358"/>
      <c r="HKX525" s="1358"/>
      <c r="HKY525" s="1358"/>
      <c r="HKZ525" s="1358"/>
      <c r="HLA525" s="1358"/>
      <c r="HLB525" s="1358"/>
      <c r="HLC525" s="1358"/>
      <c r="HLD525" s="1358"/>
      <c r="HLE525" s="1358"/>
      <c r="HLF525" s="1358"/>
      <c r="HLG525" s="1358"/>
      <c r="HLH525" s="1358"/>
      <c r="HLI525" s="1358"/>
      <c r="HLJ525" s="1358"/>
      <c r="HLK525" s="1358"/>
      <c r="HLL525" s="1358"/>
      <c r="HLM525" s="1358"/>
      <c r="HLN525" s="1358"/>
      <c r="HLO525" s="1358"/>
      <c r="HLP525" s="1358"/>
      <c r="HLQ525" s="1358"/>
      <c r="HLR525" s="1358"/>
      <c r="HLS525" s="1358"/>
      <c r="HLT525" s="1358"/>
      <c r="HLU525" s="1358"/>
      <c r="HLV525" s="1358"/>
      <c r="HLW525" s="1358"/>
      <c r="HLX525" s="1358"/>
      <c r="HLY525" s="1358"/>
      <c r="HLZ525" s="1358"/>
      <c r="HMA525" s="1358"/>
      <c r="HMB525" s="1358"/>
      <c r="HMC525" s="1358"/>
      <c r="HMD525" s="1358"/>
      <c r="HME525" s="1358"/>
      <c r="HMF525" s="1358"/>
      <c r="HMG525" s="1358"/>
      <c r="HMH525" s="1358"/>
      <c r="HMI525" s="1358"/>
      <c r="HMJ525" s="1358"/>
      <c r="HMK525" s="1358"/>
      <c r="HML525" s="1358"/>
      <c r="HMM525" s="1358"/>
      <c r="HMN525" s="1358"/>
      <c r="HMO525" s="1358"/>
      <c r="HMP525" s="1358"/>
      <c r="HMQ525" s="1358"/>
      <c r="HMR525" s="1358"/>
      <c r="HMS525" s="1358"/>
      <c r="HMT525" s="1358"/>
      <c r="HMU525" s="1358"/>
      <c r="HMV525" s="1358"/>
      <c r="HMW525" s="1358"/>
      <c r="HMX525" s="1358"/>
      <c r="HMY525" s="1358"/>
      <c r="HMZ525" s="1358"/>
      <c r="HNA525" s="1358"/>
      <c r="HNB525" s="1358"/>
      <c r="HNC525" s="1358"/>
      <c r="HND525" s="1358"/>
      <c r="HNE525" s="1358"/>
      <c r="HNF525" s="1358"/>
      <c r="HNG525" s="1358"/>
      <c r="HNH525" s="1358"/>
      <c r="HNI525" s="1358"/>
      <c r="HNJ525" s="1358"/>
      <c r="HNK525" s="1358"/>
      <c r="HNL525" s="1358"/>
      <c r="HNM525" s="1358"/>
      <c r="HNN525" s="1358"/>
      <c r="HNO525" s="1358"/>
      <c r="HNP525" s="1358"/>
      <c r="HNQ525" s="1358"/>
      <c r="HNR525" s="1358"/>
      <c r="HNS525" s="1358"/>
      <c r="HNT525" s="1358"/>
      <c r="HNU525" s="1358"/>
      <c r="HNV525" s="1358"/>
      <c r="HNW525" s="1358"/>
      <c r="HNX525" s="1358"/>
      <c r="HNY525" s="1358"/>
      <c r="HNZ525" s="1358"/>
      <c r="HOA525" s="1358"/>
      <c r="HOB525" s="1358"/>
      <c r="HOC525" s="1358"/>
      <c r="HOD525" s="1358"/>
      <c r="HOE525" s="1358"/>
      <c r="HOF525" s="1358"/>
      <c r="HOG525" s="1358"/>
      <c r="HOH525" s="1358"/>
      <c r="HOI525" s="1358"/>
      <c r="HOJ525" s="1358"/>
      <c r="HOK525" s="1358"/>
      <c r="HOL525" s="1358"/>
      <c r="HOM525" s="1358"/>
      <c r="HON525" s="1358"/>
      <c r="HOO525" s="1358"/>
      <c r="HOP525" s="1358"/>
      <c r="HOQ525" s="1358"/>
      <c r="HOR525" s="1358"/>
      <c r="HOS525" s="1358"/>
      <c r="HOT525" s="1358"/>
      <c r="HOU525" s="1358"/>
      <c r="HOV525" s="1358"/>
      <c r="HOW525" s="1358"/>
      <c r="HOX525" s="1358"/>
      <c r="HOY525" s="1358"/>
      <c r="HOZ525" s="1358"/>
      <c r="HPA525" s="1358"/>
      <c r="HPB525" s="1358"/>
      <c r="HPC525" s="1358"/>
      <c r="HPD525" s="1358"/>
      <c r="HPE525" s="1358"/>
      <c r="HPF525" s="1358"/>
      <c r="HPG525" s="1358"/>
      <c r="HPH525" s="1358"/>
      <c r="HPI525" s="1358"/>
      <c r="HPJ525" s="1358"/>
      <c r="HPK525" s="1358"/>
      <c r="HPL525" s="1358"/>
      <c r="HPM525" s="1358"/>
      <c r="HPN525" s="1358"/>
      <c r="HPO525" s="1358"/>
      <c r="HPP525" s="1358"/>
      <c r="HPQ525" s="1358"/>
      <c r="HPR525" s="1358"/>
      <c r="HPS525" s="1358"/>
      <c r="HPT525" s="1358"/>
      <c r="HPU525" s="1358"/>
      <c r="HPV525" s="1358"/>
      <c r="HPW525" s="1358"/>
      <c r="HPX525" s="1358"/>
      <c r="HPY525" s="1358"/>
      <c r="HPZ525" s="1358"/>
      <c r="HQA525" s="1358"/>
      <c r="HQB525" s="1358"/>
      <c r="HQC525" s="1358"/>
      <c r="HQD525" s="1358"/>
      <c r="HQE525" s="1358"/>
      <c r="HQF525" s="1358"/>
      <c r="HQG525" s="1358"/>
      <c r="HQH525" s="1358"/>
      <c r="HQI525" s="1358"/>
      <c r="HQJ525" s="1358"/>
      <c r="HQK525" s="1358"/>
      <c r="HQL525" s="1358"/>
      <c r="HQM525" s="1358"/>
      <c r="HQN525" s="1358"/>
      <c r="HQO525" s="1358"/>
      <c r="HQP525" s="1358"/>
      <c r="HQQ525" s="1358"/>
      <c r="HQR525" s="1358"/>
      <c r="HQS525" s="1358"/>
      <c r="HQT525" s="1358"/>
      <c r="HQU525" s="1358"/>
      <c r="HQV525" s="1358"/>
      <c r="HQW525" s="1358"/>
      <c r="HQX525" s="1358"/>
      <c r="HQY525" s="1358"/>
      <c r="HQZ525" s="1358"/>
      <c r="HRA525" s="1358"/>
      <c r="HRB525" s="1358"/>
      <c r="HRC525" s="1358"/>
      <c r="HRD525" s="1358"/>
      <c r="HRE525" s="1358"/>
      <c r="HRF525" s="1358"/>
      <c r="HRG525" s="1358"/>
      <c r="HRH525" s="1358"/>
      <c r="HRI525" s="1358"/>
      <c r="HRJ525" s="1358"/>
      <c r="HRK525" s="1358"/>
      <c r="HRL525" s="1358"/>
      <c r="HRM525" s="1358"/>
      <c r="HRN525" s="1358"/>
      <c r="HRO525" s="1358"/>
      <c r="HRP525" s="1358"/>
      <c r="HRQ525" s="1358"/>
      <c r="HRR525" s="1358"/>
      <c r="HRS525" s="1358"/>
      <c r="HRT525" s="1358"/>
      <c r="HRU525" s="1358"/>
      <c r="HRV525" s="1358"/>
      <c r="HRW525" s="1358"/>
      <c r="HRX525" s="1358"/>
      <c r="HRY525" s="1358"/>
      <c r="HRZ525" s="1358"/>
      <c r="HSA525" s="1358"/>
      <c r="HSB525" s="1358"/>
      <c r="HSC525" s="1358"/>
      <c r="HSD525" s="1358"/>
      <c r="HSE525" s="1358"/>
      <c r="HSF525" s="1358"/>
      <c r="HSG525" s="1358"/>
      <c r="HSH525" s="1358"/>
      <c r="HSI525" s="1358"/>
      <c r="HSJ525" s="1358"/>
      <c r="HSK525" s="1358"/>
      <c r="HSL525" s="1358"/>
      <c r="HSM525" s="1358"/>
      <c r="HSN525" s="1358"/>
      <c r="HSO525" s="1358"/>
      <c r="HSP525" s="1358"/>
      <c r="HSQ525" s="1358"/>
      <c r="HSR525" s="1358"/>
      <c r="HSS525" s="1358"/>
      <c r="HST525" s="1358"/>
      <c r="HSU525" s="1358"/>
      <c r="HSV525" s="1358"/>
      <c r="HSW525" s="1358"/>
      <c r="HSX525" s="1358"/>
      <c r="HSY525" s="1358"/>
      <c r="HSZ525" s="1358"/>
      <c r="HTA525" s="1358"/>
      <c r="HTB525" s="1358"/>
      <c r="HTC525" s="1358"/>
      <c r="HTD525" s="1358"/>
      <c r="HTE525" s="1358"/>
      <c r="HTF525" s="1358"/>
      <c r="HTG525" s="1358"/>
      <c r="HTH525" s="1358"/>
      <c r="HTI525" s="1358"/>
      <c r="HTJ525" s="1358"/>
      <c r="HTK525" s="1358"/>
      <c r="HTL525" s="1358"/>
      <c r="HTM525" s="1358"/>
      <c r="HTN525" s="1358"/>
      <c r="HTO525" s="1358"/>
      <c r="HTP525" s="1358"/>
      <c r="HTQ525" s="1358"/>
      <c r="HTR525" s="1358"/>
      <c r="HTS525" s="1358"/>
      <c r="HTT525" s="1358"/>
      <c r="HTU525" s="1358"/>
      <c r="HTV525" s="1358"/>
      <c r="HTW525" s="1358"/>
      <c r="HTX525" s="1358"/>
      <c r="HTY525" s="1358"/>
      <c r="HTZ525" s="1358"/>
      <c r="HUA525" s="1358"/>
      <c r="HUB525" s="1358"/>
      <c r="HUC525" s="1358"/>
      <c r="HUD525" s="1358"/>
      <c r="HUE525" s="1358"/>
      <c r="HUF525" s="1358"/>
      <c r="HUG525" s="1358"/>
      <c r="HUH525" s="1358"/>
      <c r="HUI525" s="1358"/>
      <c r="HUJ525" s="1358"/>
      <c r="HUK525" s="1358"/>
      <c r="HUL525" s="1358"/>
      <c r="HUM525" s="1358"/>
      <c r="HUN525" s="1358"/>
      <c r="HUO525" s="1358"/>
      <c r="HUP525" s="1358"/>
      <c r="HUQ525" s="1358"/>
      <c r="HUR525" s="1358"/>
      <c r="HUS525" s="1358"/>
      <c r="HUT525" s="1358"/>
      <c r="HUU525" s="1358"/>
      <c r="HUV525" s="1358"/>
      <c r="HUW525" s="1358"/>
      <c r="HUX525" s="1358"/>
      <c r="HUY525" s="1358"/>
      <c r="HUZ525" s="1358"/>
      <c r="HVA525" s="1358"/>
      <c r="HVB525" s="1358"/>
      <c r="HVC525" s="1358"/>
      <c r="HVD525" s="1358"/>
      <c r="HVE525" s="1358"/>
      <c r="HVF525" s="1358"/>
      <c r="HVG525" s="1358"/>
      <c r="HVH525" s="1358"/>
      <c r="HVI525" s="1358"/>
      <c r="HVJ525" s="1358"/>
      <c r="HVK525" s="1358"/>
      <c r="HVL525" s="1358"/>
      <c r="HVM525" s="1358"/>
      <c r="HVN525" s="1358"/>
      <c r="HVO525" s="1358"/>
      <c r="HVP525" s="1358"/>
      <c r="HVQ525" s="1358"/>
      <c r="HVR525" s="1358"/>
      <c r="HVS525" s="1358"/>
      <c r="HVT525" s="1358"/>
      <c r="HVU525" s="1358"/>
      <c r="HVV525" s="1358"/>
      <c r="HVW525" s="1358"/>
      <c r="HVX525" s="1358"/>
      <c r="HVY525" s="1358"/>
      <c r="HVZ525" s="1358"/>
      <c r="HWA525" s="1358"/>
      <c r="HWB525" s="1358"/>
      <c r="HWC525" s="1358"/>
      <c r="HWD525" s="1358"/>
      <c r="HWE525" s="1358"/>
      <c r="HWF525" s="1358"/>
      <c r="HWG525" s="1358"/>
      <c r="HWH525" s="1358"/>
      <c r="HWI525" s="1358"/>
      <c r="HWJ525" s="1358"/>
      <c r="HWK525" s="1358"/>
      <c r="HWL525" s="1358"/>
      <c r="HWM525" s="1358"/>
      <c r="HWN525" s="1358"/>
      <c r="HWO525" s="1358"/>
      <c r="HWP525" s="1358"/>
      <c r="HWQ525" s="1358"/>
      <c r="HWR525" s="1358"/>
      <c r="HWS525" s="1358"/>
      <c r="HWT525" s="1358"/>
      <c r="HWU525" s="1358"/>
      <c r="HWV525" s="1358"/>
      <c r="HWW525" s="1358"/>
      <c r="HWX525" s="1358"/>
      <c r="HWY525" s="1358"/>
      <c r="HWZ525" s="1358"/>
      <c r="HXA525" s="1358"/>
      <c r="HXB525" s="1358"/>
      <c r="HXC525" s="1358"/>
      <c r="HXD525" s="1358"/>
      <c r="HXE525" s="1358"/>
      <c r="HXF525" s="1358"/>
      <c r="HXG525" s="1358"/>
      <c r="HXH525" s="1358"/>
      <c r="HXI525" s="1358"/>
      <c r="HXJ525" s="1358"/>
      <c r="HXK525" s="1358"/>
      <c r="HXL525" s="1358"/>
      <c r="HXM525" s="1358"/>
      <c r="HXN525" s="1358"/>
      <c r="HXO525" s="1358"/>
      <c r="HXP525" s="1358"/>
      <c r="HXQ525" s="1358"/>
      <c r="HXR525" s="1358"/>
      <c r="HXS525" s="1358"/>
      <c r="HXT525" s="1358"/>
      <c r="HXU525" s="1358"/>
      <c r="HXV525" s="1358"/>
      <c r="HXW525" s="1358"/>
      <c r="HXX525" s="1358"/>
      <c r="HXY525" s="1358"/>
      <c r="HXZ525" s="1358"/>
      <c r="HYA525" s="1358"/>
      <c r="HYB525" s="1358"/>
      <c r="HYC525" s="1358"/>
      <c r="HYD525" s="1358"/>
      <c r="HYE525" s="1358"/>
      <c r="HYF525" s="1358"/>
      <c r="HYG525" s="1358"/>
      <c r="HYH525" s="1358"/>
      <c r="HYI525" s="1358"/>
      <c r="HYJ525" s="1358"/>
      <c r="HYK525" s="1358"/>
      <c r="HYL525" s="1358"/>
      <c r="HYM525" s="1358"/>
      <c r="HYN525" s="1358"/>
      <c r="HYO525" s="1358"/>
      <c r="HYP525" s="1358"/>
      <c r="HYQ525" s="1358"/>
      <c r="HYR525" s="1358"/>
      <c r="HYS525" s="1358"/>
      <c r="HYT525" s="1358"/>
      <c r="HYU525" s="1358"/>
      <c r="HYV525" s="1358"/>
      <c r="HYW525" s="1358"/>
      <c r="HYX525" s="1358"/>
      <c r="HYY525" s="1358"/>
      <c r="HYZ525" s="1358"/>
      <c r="HZA525" s="1358"/>
      <c r="HZB525" s="1358"/>
      <c r="HZC525" s="1358"/>
      <c r="HZD525" s="1358"/>
      <c r="HZE525" s="1358"/>
      <c r="HZF525" s="1358"/>
      <c r="HZG525" s="1358"/>
      <c r="HZH525" s="1358"/>
      <c r="HZI525" s="1358"/>
      <c r="HZJ525" s="1358"/>
      <c r="HZK525" s="1358"/>
      <c r="HZL525" s="1358"/>
      <c r="HZM525" s="1358"/>
      <c r="HZN525" s="1358"/>
      <c r="HZO525" s="1358"/>
      <c r="HZP525" s="1358"/>
      <c r="HZQ525" s="1358"/>
      <c r="HZR525" s="1358"/>
      <c r="HZS525" s="1358"/>
      <c r="HZT525" s="1358"/>
      <c r="HZU525" s="1358"/>
      <c r="HZV525" s="1358"/>
      <c r="HZW525" s="1358"/>
      <c r="HZX525" s="1358"/>
      <c r="HZY525" s="1358"/>
      <c r="HZZ525" s="1358"/>
      <c r="IAA525" s="1358"/>
      <c r="IAB525" s="1358"/>
      <c r="IAC525" s="1358"/>
      <c r="IAD525" s="1358"/>
      <c r="IAE525" s="1358"/>
      <c r="IAF525" s="1358"/>
      <c r="IAG525" s="1358"/>
      <c r="IAH525" s="1358"/>
      <c r="IAI525" s="1358"/>
      <c r="IAJ525" s="1358"/>
      <c r="IAK525" s="1358"/>
      <c r="IAL525" s="1358"/>
      <c r="IAM525" s="1358"/>
      <c r="IAN525" s="1358"/>
      <c r="IAO525" s="1358"/>
      <c r="IAP525" s="1358"/>
      <c r="IAQ525" s="1358"/>
      <c r="IAR525" s="1358"/>
      <c r="IAS525" s="1358"/>
      <c r="IAT525" s="1358"/>
      <c r="IAU525" s="1358"/>
      <c r="IAV525" s="1358"/>
      <c r="IAW525" s="1358"/>
      <c r="IAX525" s="1358"/>
      <c r="IAY525" s="1358"/>
      <c r="IAZ525" s="1358"/>
      <c r="IBA525" s="1358"/>
      <c r="IBB525" s="1358"/>
      <c r="IBC525" s="1358"/>
      <c r="IBD525" s="1358"/>
      <c r="IBE525" s="1358"/>
      <c r="IBF525" s="1358"/>
      <c r="IBG525" s="1358"/>
      <c r="IBH525" s="1358"/>
      <c r="IBI525" s="1358"/>
      <c r="IBJ525" s="1358"/>
      <c r="IBK525" s="1358"/>
      <c r="IBL525" s="1358"/>
      <c r="IBM525" s="1358"/>
      <c r="IBN525" s="1358"/>
      <c r="IBO525" s="1358"/>
      <c r="IBP525" s="1358"/>
      <c r="IBQ525" s="1358"/>
      <c r="IBR525" s="1358"/>
      <c r="IBS525" s="1358"/>
      <c r="IBT525" s="1358"/>
      <c r="IBU525" s="1358"/>
      <c r="IBV525" s="1358"/>
      <c r="IBW525" s="1358"/>
      <c r="IBX525" s="1358"/>
      <c r="IBY525" s="1358"/>
      <c r="IBZ525" s="1358"/>
      <c r="ICA525" s="1358"/>
      <c r="ICB525" s="1358"/>
      <c r="ICC525" s="1358"/>
      <c r="ICD525" s="1358"/>
      <c r="ICE525" s="1358"/>
      <c r="ICF525" s="1358"/>
      <c r="ICG525" s="1358"/>
      <c r="ICH525" s="1358"/>
      <c r="ICI525" s="1358"/>
      <c r="ICJ525" s="1358"/>
      <c r="ICK525" s="1358"/>
      <c r="ICL525" s="1358"/>
      <c r="ICM525" s="1358"/>
      <c r="ICN525" s="1358"/>
      <c r="ICO525" s="1358"/>
      <c r="ICP525" s="1358"/>
      <c r="ICQ525" s="1358"/>
      <c r="ICR525" s="1358"/>
      <c r="ICS525" s="1358"/>
      <c r="ICT525" s="1358"/>
      <c r="ICU525" s="1358"/>
      <c r="ICV525" s="1358"/>
      <c r="ICW525" s="1358"/>
      <c r="ICX525" s="1358"/>
      <c r="ICY525" s="1358"/>
      <c r="ICZ525" s="1358"/>
      <c r="IDA525" s="1358"/>
      <c r="IDB525" s="1358"/>
      <c r="IDC525" s="1358"/>
      <c r="IDD525" s="1358"/>
      <c r="IDE525" s="1358"/>
      <c r="IDF525" s="1358"/>
      <c r="IDG525" s="1358"/>
      <c r="IDH525" s="1358"/>
      <c r="IDI525" s="1358"/>
      <c r="IDJ525" s="1358"/>
      <c r="IDK525" s="1358"/>
      <c r="IDL525" s="1358"/>
      <c r="IDM525" s="1358"/>
      <c r="IDN525" s="1358"/>
      <c r="IDO525" s="1358"/>
      <c r="IDP525" s="1358"/>
      <c r="IDQ525" s="1358"/>
      <c r="IDR525" s="1358"/>
      <c r="IDS525" s="1358"/>
      <c r="IDT525" s="1358"/>
      <c r="IDU525" s="1358"/>
      <c r="IDV525" s="1358"/>
      <c r="IDW525" s="1358"/>
      <c r="IDX525" s="1358"/>
      <c r="IDY525" s="1358"/>
      <c r="IDZ525" s="1358"/>
      <c r="IEA525" s="1358"/>
      <c r="IEB525" s="1358"/>
      <c r="IEC525" s="1358"/>
      <c r="IED525" s="1358"/>
      <c r="IEE525" s="1358"/>
      <c r="IEF525" s="1358"/>
      <c r="IEG525" s="1358"/>
      <c r="IEH525" s="1358"/>
      <c r="IEI525" s="1358"/>
      <c r="IEJ525" s="1358"/>
      <c r="IEK525" s="1358"/>
      <c r="IEL525" s="1358"/>
      <c r="IEM525" s="1358"/>
      <c r="IEN525" s="1358"/>
      <c r="IEO525" s="1358"/>
      <c r="IEP525" s="1358"/>
      <c r="IEQ525" s="1358"/>
      <c r="IER525" s="1358"/>
      <c r="IES525" s="1358"/>
      <c r="IET525" s="1358"/>
      <c r="IEU525" s="1358"/>
      <c r="IEV525" s="1358"/>
      <c r="IEW525" s="1358"/>
      <c r="IEX525" s="1358"/>
      <c r="IEY525" s="1358"/>
      <c r="IEZ525" s="1358"/>
      <c r="IFA525" s="1358"/>
      <c r="IFB525" s="1358"/>
      <c r="IFC525" s="1358"/>
      <c r="IFD525" s="1358"/>
      <c r="IFE525" s="1358"/>
      <c r="IFF525" s="1358"/>
      <c r="IFG525" s="1358"/>
      <c r="IFH525" s="1358"/>
      <c r="IFI525" s="1358"/>
      <c r="IFJ525" s="1358"/>
      <c r="IFK525" s="1358"/>
      <c r="IFL525" s="1358"/>
      <c r="IFM525" s="1358"/>
      <c r="IFN525" s="1358"/>
      <c r="IFO525" s="1358"/>
      <c r="IFP525" s="1358"/>
      <c r="IFQ525" s="1358"/>
      <c r="IFR525" s="1358"/>
      <c r="IFS525" s="1358"/>
      <c r="IFT525" s="1358"/>
      <c r="IFU525" s="1358"/>
      <c r="IFV525" s="1358"/>
      <c r="IFW525" s="1358"/>
      <c r="IFX525" s="1358"/>
      <c r="IFY525" s="1358"/>
      <c r="IFZ525" s="1358"/>
      <c r="IGA525" s="1358"/>
      <c r="IGB525" s="1358"/>
      <c r="IGC525" s="1358"/>
      <c r="IGD525" s="1358"/>
      <c r="IGE525" s="1358"/>
      <c r="IGF525" s="1358"/>
      <c r="IGG525" s="1358"/>
      <c r="IGH525" s="1358"/>
      <c r="IGI525" s="1358"/>
      <c r="IGJ525" s="1358"/>
      <c r="IGK525" s="1358"/>
      <c r="IGL525" s="1358"/>
      <c r="IGM525" s="1358"/>
      <c r="IGN525" s="1358"/>
      <c r="IGO525" s="1358"/>
      <c r="IGP525" s="1358"/>
      <c r="IGQ525" s="1358"/>
      <c r="IGR525" s="1358"/>
      <c r="IGS525" s="1358"/>
      <c r="IGT525" s="1358"/>
      <c r="IGU525" s="1358"/>
      <c r="IGV525" s="1358"/>
      <c r="IGW525" s="1358"/>
      <c r="IGX525" s="1358"/>
      <c r="IGY525" s="1358"/>
      <c r="IGZ525" s="1358"/>
      <c r="IHA525" s="1358"/>
      <c r="IHB525" s="1358"/>
      <c r="IHC525" s="1358"/>
      <c r="IHD525" s="1358"/>
      <c r="IHE525" s="1358"/>
      <c r="IHF525" s="1358"/>
      <c r="IHG525" s="1358"/>
      <c r="IHH525" s="1358"/>
      <c r="IHI525" s="1358"/>
      <c r="IHJ525" s="1358"/>
      <c r="IHK525" s="1358"/>
      <c r="IHL525" s="1358"/>
      <c r="IHM525" s="1358"/>
      <c r="IHN525" s="1358"/>
      <c r="IHO525" s="1358"/>
      <c r="IHP525" s="1358"/>
      <c r="IHQ525" s="1358"/>
      <c r="IHR525" s="1358"/>
      <c r="IHS525" s="1358"/>
      <c r="IHT525" s="1358"/>
      <c r="IHU525" s="1358"/>
      <c r="IHV525" s="1358"/>
      <c r="IHW525" s="1358"/>
      <c r="IHX525" s="1358"/>
      <c r="IHY525" s="1358"/>
      <c r="IHZ525" s="1358"/>
      <c r="IIA525" s="1358"/>
      <c r="IIB525" s="1358"/>
      <c r="IIC525" s="1358"/>
      <c r="IID525" s="1358"/>
      <c r="IIE525" s="1358"/>
      <c r="IIF525" s="1358"/>
      <c r="IIG525" s="1358"/>
      <c r="IIH525" s="1358"/>
      <c r="III525" s="1358"/>
      <c r="IIJ525" s="1358"/>
      <c r="IIK525" s="1358"/>
      <c r="IIL525" s="1358"/>
      <c r="IIM525" s="1358"/>
      <c r="IIN525" s="1358"/>
      <c r="IIO525" s="1358"/>
      <c r="IIP525" s="1358"/>
      <c r="IIQ525" s="1358"/>
      <c r="IIR525" s="1358"/>
      <c r="IIS525" s="1358"/>
      <c r="IIT525" s="1358"/>
      <c r="IIU525" s="1358"/>
      <c r="IIV525" s="1358"/>
      <c r="IIW525" s="1358"/>
      <c r="IIX525" s="1358"/>
      <c r="IIY525" s="1358"/>
      <c r="IIZ525" s="1358"/>
      <c r="IJA525" s="1358"/>
      <c r="IJB525" s="1358"/>
      <c r="IJC525" s="1358"/>
      <c r="IJD525" s="1358"/>
      <c r="IJE525" s="1358"/>
      <c r="IJF525" s="1358"/>
      <c r="IJG525" s="1358"/>
      <c r="IJH525" s="1358"/>
      <c r="IJI525" s="1358"/>
      <c r="IJJ525" s="1358"/>
      <c r="IJK525" s="1358"/>
      <c r="IJL525" s="1358"/>
      <c r="IJM525" s="1358"/>
      <c r="IJN525" s="1358"/>
      <c r="IJO525" s="1358"/>
      <c r="IJP525" s="1358"/>
      <c r="IJQ525" s="1358"/>
      <c r="IJR525" s="1358"/>
      <c r="IJS525" s="1358"/>
      <c r="IJT525" s="1358"/>
      <c r="IJU525" s="1358"/>
      <c r="IJV525" s="1358"/>
      <c r="IJW525" s="1358"/>
      <c r="IJX525" s="1358"/>
      <c r="IJY525" s="1358"/>
      <c r="IJZ525" s="1358"/>
      <c r="IKA525" s="1358"/>
      <c r="IKB525" s="1358"/>
      <c r="IKC525" s="1358"/>
      <c r="IKD525" s="1358"/>
      <c r="IKE525" s="1358"/>
      <c r="IKF525" s="1358"/>
      <c r="IKG525" s="1358"/>
      <c r="IKH525" s="1358"/>
      <c r="IKI525" s="1358"/>
      <c r="IKJ525" s="1358"/>
      <c r="IKK525" s="1358"/>
      <c r="IKL525" s="1358"/>
      <c r="IKM525" s="1358"/>
      <c r="IKN525" s="1358"/>
      <c r="IKO525" s="1358"/>
      <c r="IKP525" s="1358"/>
      <c r="IKQ525" s="1358"/>
      <c r="IKR525" s="1358"/>
      <c r="IKS525" s="1358"/>
      <c r="IKT525" s="1358"/>
      <c r="IKU525" s="1358"/>
      <c r="IKV525" s="1358"/>
      <c r="IKW525" s="1358"/>
      <c r="IKX525" s="1358"/>
      <c r="IKY525" s="1358"/>
      <c r="IKZ525" s="1358"/>
      <c r="ILA525" s="1358"/>
      <c r="ILB525" s="1358"/>
      <c r="ILC525" s="1358"/>
      <c r="ILD525" s="1358"/>
      <c r="ILE525" s="1358"/>
      <c r="ILF525" s="1358"/>
      <c r="ILG525" s="1358"/>
      <c r="ILH525" s="1358"/>
      <c r="ILI525" s="1358"/>
      <c r="ILJ525" s="1358"/>
      <c r="ILK525" s="1358"/>
      <c r="ILL525" s="1358"/>
      <c r="ILM525" s="1358"/>
      <c r="ILN525" s="1358"/>
      <c r="ILO525" s="1358"/>
      <c r="ILP525" s="1358"/>
      <c r="ILQ525" s="1358"/>
      <c r="ILR525" s="1358"/>
      <c r="ILS525" s="1358"/>
      <c r="ILT525" s="1358"/>
      <c r="ILU525" s="1358"/>
      <c r="ILV525" s="1358"/>
      <c r="ILW525" s="1358"/>
      <c r="ILX525" s="1358"/>
      <c r="ILY525" s="1358"/>
      <c r="ILZ525" s="1358"/>
      <c r="IMA525" s="1358"/>
      <c r="IMB525" s="1358"/>
      <c r="IMC525" s="1358"/>
      <c r="IMD525" s="1358"/>
      <c r="IME525" s="1358"/>
      <c r="IMF525" s="1358"/>
      <c r="IMG525" s="1358"/>
      <c r="IMH525" s="1358"/>
      <c r="IMI525" s="1358"/>
      <c r="IMJ525" s="1358"/>
      <c r="IMK525" s="1358"/>
      <c r="IML525" s="1358"/>
      <c r="IMM525" s="1358"/>
      <c r="IMN525" s="1358"/>
      <c r="IMO525" s="1358"/>
      <c r="IMP525" s="1358"/>
      <c r="IMQ525" s="1358"/>
      <c r="IMR525" s="1358"/>
      <c r="IMS525" s="1358"/>
      <c r="IMT525" s="1358"/>
      <c r="IMU525" s="1358"/>
      <c r="IMV525" s="1358"/>
      <c r="IMW525" s="1358"/>
      <c r="IMX525" s="1358"/>
      <c r="IMY525" s="1358"/>
      <c r="IMZ525" s="1358"/>
      <c r="INA525" s="1358"/>
      <c r="INB525" s="1358"/>
      <c r="INC525" s="1358"/>
      <c r="IND525" s="1358"/>
      <c r="INE525" s="1358"/>
      <c r="INF525" s="1358"/>
      <c r="ING525" s="1358"/>
      <c r="INH525" s="1358"/>
      <c r="INI525" s="1358"/>
      <c r="INJ525" s="1358"/>
      <c r="INK525" s="1358"/>
      <c r="INL525" s="1358"/>
      <c r="INM525" s="1358"/>
      <c r="INN525" s="1358"/>
      <c r="INO525" s="1358"/>
      <c r="INP525" s="1358"/>
      <c r="INQ525" s="1358"/>
      <c r="INR525" s="1358"/>
      <c r="INS525" s="1358"/>
      <c r="INT525" s="1358"/>
      <c r="INU525" s="1358"/>
      <c r="INV525" s="1358"/>
      <c r="INW525" s="1358"/>
      <c r="INX525" s="1358"/>
      <c r="INY525" s="1358"/>
      <c r="INZ525" s="1358"/>
      <c r="IOA525" s="1358"/>
      <c r="IOB525" s="1358"/>
      <c r="IOC525" s="1358"/>
      <c r="IOD525" s="1358"/>
      <c r="IOE525" s="1358"/>
      <c r="IOF525" s="1358"/>
      <c r="IOG525" s="1358"/>
      <c r="IOH525" s="1358"/>
      <c r="IOI525" s="1358"/>
      <c r="IOJ525" s="1358"/>
      <c r="IOK525" s="1358"/>
      <c r="IOL525" s="1358"/>
      <c r="IOM525" s="1358"/>
      <c r="ION525" s="1358"/>
      <c r="IOO525" s="1358"/>
      <c r="IOP525" s="1358"/>
      <c r="IOQ525" s="1358"/>
      <c r="IOR525" s="1358"/>
      <c r="IOS525" s="1358"/>
      <c r="IOT525" s="1358"/>
      <c r="IOU525" s="1358"/>
      <c r="IOV525" s="1358"/>
      <c r="IOW525" s="1358"/>
      <c r="IOX525" s="1358"/>
      <c r="IOY525" s="1358"/>
      <c r="IOZ525" s="1358"/>
      <c r="IPA525" s="1358"/>
      <c r="IPB525" s="1358"/>
      <c r="IPC525" s="1358"/>
      <c r="IPD525" s="1358"/>
      <c r="IPE525" s="1358"/>
      <c r="IPF525" s="1358"/>
      <c r="IPG525" s="1358"/>
      <c r="IPH525" s="1358"/>
      <c r="IPI525" s="1358"/>
      <c r="IPJ525" s="1358"/>
      <c r="IPK525" s="1358"/>
      <c r="IPL525" s="1358"/>
      <c r="IPM525" s="1358"/>
      <c r="IPN525" s="1358"/>
      <c r="IPO525" s="1358"/>
      <c r="IPP525" s="1358"/>
      <c r="IPQ525" s="1358"/>
      <c r="IPR525" s="1358"/>
      <c r="IPS525" s="1358"/>
      <c r="IPT525" s="1358"/>
      <c r="IPU525" s="1358"/>
      <c r="IPV525" s="1358"/>
      <c r="IPW525" s="1358"/>
      <c r="IPX525" s="1358"/>
      <c r="IPY525" s="1358"/>
      <c r="IPZ525" s="1358"/>
      <c r="IQA525" s="1358"/>
      <c r="IQB525" s="1358"/>
      <c r="IQC525" s="1358"/>
      <c r="IQD525" s="1358"/>
      <c r="IQE525" s="1358"/>
      <c r="IQF525" s="1358"/>
      <c r="IQG525" s="1358"/>
      <c r="IQH525" s="1358"/>
      <c r="IQI525" s="1358"/>
      <c r="IQJ525" s="1358"/>
      <c r="IQK525" s="1358"/>
      <c r="IQL525" s="1358"/>
      <c r="IQM525" s="1358"/>
      <c r="IQN525" s="1358"/>
      <c r="IQO525" s="1358"/>
      <c r="IQP525" s="1358"/>
      <c r="IQQ525" s="1358"/>
      <c r="IQR525" s="1358"/>
      <c r="IQS525" s="1358"/>
      <c r="IQT525" s="1358"/>
      <c r="IQU525" s="1358"/>
      <c r="IQV525" s="1358"/>
      <c r="IQW525" s="1358"/>
      <c r="IQX525" s="1358"/>
      <c r="IQY525" s="1358"/>
      <c r="IQZ525" s="1358"/>
      <c r="IRA525" s="1358"/>
      <c r="IRB525" s="1358"/>
      <c r="IRC525" s="1358"/>
      <c r="IRD525" s="1358"/>
      <c r="IRE525" s="1358"/>
      <c r="IRF525" s="1358"/>
      <c r="IRG525" s="1358"/>
      <c r="IRH525" s="1358"/>
      <c r="IRI525" s="1358"/>
      <c r="IRJ525" s="1358"/>
      <c r="IRK525" s="1358"/>
      <c r="IRL525" s="1358"/>
      <c r="IRM525" s="1358"/>
      <c r="IRN525" s="1358"/>
      <c r="IRO525" s="1358"/>
      <c r="IRP525" s="1358"/>
      <c r="IRQ525" s="1358"/>
      <c r="IRR525" s="1358"/>
      <c r="IRS525" s="1358"/>
      <c r="IRT525" s="1358"/>
      <c r="IRU525" s="1358"/>
      <c r="IRV525" s="1358"/>
      <c r="IRW525" s="1358"/>
      <c r="IRX525" s="1358"/>
      <c r="IRY525" s="1358"/>
      <c r="IRZ525" s="1358"/>
      <c r="ISA525" s="1358"/>
      <c r="ISB525" s="1358"/>
      <c r="ISC525" s="1358"/>
      <c r="ISD525" s="1358"/>
      <c r="ISE525" s="1358"/>
      <c r="ISF525" s="1358"/>
      <c r="ISG525" s="1358"/>
      <c r="ISH525" s="1358"/>
      <c r="ISI525" s="1358"/>
      <c r="ISJ525" s="1358"/>
      <c r="ISK525" s="1358"/>
      <c r="ISL525" s="1358"/>
      <c r="ISM525" s="1358"/>
      <c r="ISN525" s="1358"/>
      <c r="ISO525" s="1358"/>
      <c r="ISP525" s="1358"/>
      <c r="ISQ525" s="1358"/>
      <c r="ISR525" s="1358"/>
      <c r="ISS525" s="1358"/>
      <c r="IST525" s="1358"/>
      <c r="ISU525" s="1358"/>
      <c r="ISV525" s="1358"/>
      <c r="ISW525" s="1358"/>
      <c r="ISX525" s="1358"/>
      <c r="ISY525" s="1358"/>
      <c r="ISZ525" s="1358"/>
      <c r="ITA525" s="1358"/>
      <c r="ITB525" s="1358"/>
      <c r="ITC525" s="1358"/>
      <c r="ITD525" s="1358"/>
      <c r="ITE525" s="1358"/>
      <c r="ITF525" s="1358"/>
      <c r="ITG525" s="1358"/>
      <c r="ITH525" s="1358"/>
      <c r="ITI525" s="1358"/>
      <c r="ITJ525" s="1358"/>
      <c r="ITK525" s="1358"/>
      <c r="ITL525" s="1358"/>
      <c r="ITM525" s="1358"/>
      <c r="ITN525" s="1358"/>
      <c r="ITO525" s="1358"/>
      <c r="ITP525" s="1358"/>
      <c r="ITQ525" s="1358"/>
      <c r="ITR525" s="1358"/>
      <c r="ITS525" s="1358"/>
      <c r="ITT525" s="1358"/>
      <c r="ITU525" s="1358"/>
      <c r="ITV525" s="1358"/>
      <c r="ITW525" s="1358"/>
      <c r="ITX525" s="1358"/>
      <c r="ITY525" s="1358"/>
      <c r="ITZ525" s="1358"/>
      <c r="IUA525" s="1358"/>
      <c r="IUB525" s="1358"/>
      <c r="IUC525" s="1358"/>
      <c r="IUD525" s="1358"/>
      <c r="IUE525" s="1358"/>
      <c r="IUF525" s="1358"/>
      <c r="IUG525" s="1358"/>
      <c r="IUH525" s="1358"/>
      <c r="IUI525" s="1358"/>
      <c r="IUJ525" s="1358"/>
      <c r="IUK525" s="1358"/>
      <c r="IUL525" s="1358"/>
      <c r="IUM525" s="1358"/>
      <c r="IUN525" s="1358"/>
      <c r="IUO525" s="1358"/>
      <c r="IUP525" s="1358"/>
      <c r="IUQ525" s="1358"/>
      <c r="IUR525" s="1358"/>
      <c r="IUS525" s="1358"/>
      <c r="IUT525" s="1358"/>
      <c r="IUU525" s="1358"/>
      <c r="IUV525" s="1358"/>
      <c r="IUW525" s="1358"/>
      <c r="IUX525" s="1358"/>
      <c r="IUY525" s="1358"/>
      <c r="IUZ525" s="1358"/>
      <c r="IVA525" s="1358"/>
      <c r="IVB525" s="1358"/>
      <c r="IVC525" s="1358"/>
      <c r="IVD525" s="1358"/>
      <c r="IVE525" s="1358"/>
      <c r="IVF525" s="1358"/>
      <c r="IVG525" s="1358"/>
      <c r="IVH525" s="1358"/>
      <c r="IVI525" s="1358"/>
      <c r="IVJ525" s="1358"/>
      <c r="IVK525" s="1358"/>
      <c r="IVL525" s="1358"/>
      <c r="IVM525" s="1358"/>
      <c r="IVN525" s="1358"/>
      <c r="IVO525" s="1358"/>
      <c r="IVP525" s="1358"/>
      <c r="IVQ525" s="1358"/>
      <c r="IVR525" s="1358"/>
      <c r="IVS525" s="1358"/>
      <c r="IVT525" s="1358"/>
      <c r="IVU525" s="1358"/>
      <c r="IVV525" s="1358"/>
      <c r="IVW525" s="1358"/>
      <c r="IVX525" s="1358"/>
      <c r="IVY525" s="1358"/>
      <c r="IVZ525" s="1358"/>
      <c r="IWA525" s="1358"/>
      <c r="IWB525" s="1358"/>
      <c r="IWC525" s="1358"/>
      <c r="IWD525" s="1358"/>
      <c r="IWE525" s="1358"/>
      <c r="IWF525" s="1358"/>
      <c r="IWG525" s="1358"/>
      <c r="IWH525" s="1358"/>
      <c r="IWI525" s="1358"/>
      <c r="IWJ525" s="1358"/>
      <c r="IWK525" s="1358"/>
      <c r="IWL525" s="1358"/>
      <c r="IWM525" s="1358"/>
      <c r="IWN525" s="1358"/>
      <c r="IWO525" s="1358"/>
      <c r="IWP525" s="1358"/>
      <c r="IWQ525" s="1358"/>
      <c r="IWR525" s="1358"/>
      <c r="IWS525" s="1358"/>
      <c r="IWT525" s="1358"/>
      <c r="IWU525" s="1358"/>
      <c r="IWV525" s="1358"/>
      <c r="IWW525" s="1358"/>
      <c r="IWX525" s="1358"/>
      <c r="IWY525" s="1358"/>
      <c r="IWZ525" s="1358"/>
      <c r="IXA525" s="1358"/>
      <c r="IXB525" s="1358"/>
      <c r="IXC525" s="1358"/>
      <c r="IXD525" s="1358"/>
      <c r="IXE525" s="1358"/>
      <c r="IXF525" s="1358"/>
      <c r="IXG525" s="1358"/>
      <c r="IXH525" s="1358"/>
      <c r="IXI525" s="1358"/>
      <c r="IXJ525" s="1358"/>
      <c r="IXK525" s="1358"/>
      <c r="IXL525" s="1358"/>
      <c r="IXM525" s="1358"/>
      <c r="IXN525" s="1358"/>
      <c r="IXO525" s="1358"/>
      <c r="IXP525" s="1358"/>
      <c r="IXQ525" s="1358"/>
      <c r="IXR525" s="1358"/>
      <c r="IXS525" s="1358"/>
      <c r="IXT525" s="1358"/>
      <c r="IXU525" s="1358"/>
      <c r="IXV525" s="1358"/>
      <c r="IXW525" s="1358"/>
      <c r="IXX525" s="1358"/>
      <c r="IXY525" s="1358"/>
      <c r="IXZ525" s="1358"/>
      <c r="IYA525" s="1358"/>
      <c r="IYB525" s="1358"/>
      <c r="IYC525" s="1358"/>
      <c r="IYD525" s="1358"/>
      <c r="IYE525" s="1358"/>
      <c r="IYF525" s="1358"/>
      <c r="IYG525" s="1358"/>
      <c r="IYH525" s="1358"/>
      <c r="IYI525" s="1358"/>
      <c r="IYJ525" s="1358"/>
      <c r="IYK525" s="1358"/>
      <c r="IYL525" s="1358"/>
      <c r="IYM525" s="1358"/>
      <c r="IYN525" s="1358"/>
      <c r="IYO525" s="1358"/>
      <c r="IYP525" s="1358"/>
      <c r="IYQ525" s="1358"/>
      <c r="IYR525" s="1358"/>
      <c r="IYS525" s="1358"/>
      <c r="IYT525" s="1358"/>
      <c r="IYU525" s="1358"/>
      <c r="IYV525" s="1358"/>
      <c r="IYW525" s="1358"/>
      <c r="IYX525" s="1358"/>
      <c r="IYY525" s="1358"/>
      <c r="IYZ525" s="1358"/>
      <c r="IZA525" s="1358"/>
      <c r="IZB525" s="1358"/>
      <c r="IZC525" s="1358"/>
      <c r="IZD525" s="1358"/>
      <c r="IZE525" s="1358"/>
      <c r="IZF525" s="1358"/>
      <c r="IZG525" s="1358"/>
      <c r="IZH525" s="1358"/>
      <c r="IZI525" s="1358"/>
      <c r="IZJ525" s="1358"/>
      <c r="IZK525" s="1358"/>
      <c r="IZL525" s="1358"/>
      <c r="IZM525" s="1358"/>
      <c r="IZN525" s="1358"/>
      <c r="IZO525" s="1358"/>
      <c r="IZP525" s="1358"/>
      <c r="IZQ525" s="1358"/>
      <c r="IZR525" s="1358"/>
      <c r="IZS525" s="1358"/>
      <c r="IZT525" s="1358"/>
      <c r="IZU525" s="1358"/>
      <c r="IZV525" s="1358"/>
      <c r="IZW525" s="1358"/>
      <c r="IZX525" s="1358"/>
      <c r="IZY525" s="1358"/>
      <c r="IZZ525" s="1358"/>
      <c r="JAA525" s="1358"/>
      <c r="JAB525" s="1358"/>
      <c r="JAC525" s="1358"/>
      <c r="JAD525" s="1358"/>
      <c r="JAE525" s="1358"/>
      <c r="JAF525" s="1358"/>
      <c r="JAG525" s="1358"/>
      <c r="JAH525" s="1358"/>
      <c r="JAI525" s="1358"/>
      <c r="JAJ525" s="1358"/>
      <c r="JAK525" s="1358"/>
      <c r="JAL525" s="1358"/>
      <c r="JAM525" s="1358"/>
      <c r="JAN525" s="1358"/>
      <c r="JAO525" s="1358"/>
      <c r="JAP525" s="1358"/>
      <c r="JAQ525" s="1358"/>
      <c r="JAR525" s="1358"/>
      <c r="JAS525" s="1358"/>
      <c r="JAT525" s="1358"/>
      <c r="JAU525" s="1358"/>
      <c r="JAV525" s="1358"/>
      <c r="JAW525" s="1358"/>
      <c r="JAX525" s="1358"/>
      <c r="JAY525" s="1358"/>
      <c r="JAZ525" s="1358"/>
      <c r="JBA525" s="1358"/>
      <c r="JBB525" s="1358"/>
      <c r="JBC525" s="1358"/>
      <c r="JBD525" s="1358"/>
      <c r="JBE525" s="1358"/>
      <c r="JBF525" s="1358"/>
      <c r="JBG525" s="1358"/>
      <c r="JBH525" s="1358"/>
      <c r="JBI525" s="1358"/>
      <c r="JBJ525" s="1358"/>
      <c r="JBK525" s="1358"/>
      <c r="JBL525" s="1358"/>
      <c r="JBM525" s="1358"/>
      <c r="JBN525" s="1358"/>
      <c r="JBO525" s="1358"/>
      <c r="JBP525" s="1358"/>
      <c r="JBQ525" s="1358"/>
      <c r="JBR525" s="1358"/>
      <c r="JBS525" s="1358"/>
      <c r="JBT525" s="1358"/>
      <c r="JBU525" s="1358"/>
      <c r="JBV525" s="1358"/>
      <c r="JBW525" s="1358"/>
      <c r="JBX525" s="1358"/>
      <c r="JBY525" s="1358"/>
      <c r="JBZ525" s="1358"/>
      <c r="JCA525" s="1358"/>
      <c r="JCB525" s="1358"/>
      <c r="JCC525" s="1358"/>
      <c r="JCD525" s="1358"/>
      <c r="JCE525" s="1358"/>
      <c r="JCF525" s="1358"/>
      <c r="JCG525" s="1358"/>
      <c r="JCH525" s="1358"/>
      <c r="JCI525" s="1358"/>
      <c r="JCJ525" s="1358"/>
      <c r="JCK525" s="1358"/>
      <c r="JCL525" s="1358"/>
      <c r="JCM525" s="1358"/>
      <c r="JCN525" s="1358"/>
      <c r="JCO525" s="1358"/>
      <c r="JCP525" s="1358"/>
      <c r="JCQ525" s="1358"/>
      <c r="JCR525" s="1358"/>
      <c r="JCS525" s="1358"/>
      <c r="JCT525" s="1358"/>
      <c r="JCU525" s="1358"/>
      <c r="JCV525" s="1358"/>
      <c r="JCW525" s="1358"/>
      <c r="JCX525" s="1358"/>
      <c r="JCY525" s="1358"/>
      <c r="JCZ525" s="1358"/>
      <c r="JDA525" s="1358"/>
      <c r="JDB525" s="1358"/>
      <c r="JDC525" s="1358"/>
      <c r="JDD525" s="1358"/>
      <c r="JDE525" s="1358"/>
      <c r="JDF525" s="1358"/>
      <c r="JDG525" s="1358"/>
      <c r="JDH525" s="1358"/>
      <c r="JDI525" s="1358"/>
      <c r="JDJ525" s="1358"/>
      <c r="JDK525" s="1358"/>
      <c r="JDL525" s="1358"/>
      <c r="JDM525" s="1358"/>
      <c r="JDN525" s="1358"/>
      <c r="JDO525" s="1358"/>
      <c r="JDP525" s="1358"/>
      <c r="JDQ525" s="1358"/>
      <c r="JDR525" s="1358"/>
      <c r="JDS525" s="1358"/>
      <c r="JDT525" s="1358"/>
      <c r="JDU525" s="1358"/>
      <c r="JDV525" s="1358"/>
      <c r="JDW525" s="1358"/>
      <c r="JDX525" s="1358"/>
      <c r="JDY525" s="1358"/>
      <c r="JDZ525" s="1358"/>
      <c r="JEA525" s="1358"/>
      <c r="JEB525" s="1358"/>
      <c r="JEC525" s="1358"/>
      <c r="JED525" s="1358"/>
      <c r="JEE525" s="1358"/>
      <c r="JEF525" s="1358"/>
      <c r="JEG525" s="1358"/>
      <c r="JEH525" s="1358"/>
      <c r="JEI525" s="1358"/>
      <c r="JEJ525" s="1358"/>
      <c r="JEK525" s="1358"/>
      <c r="JEL525" s="1358"/>
      <c r="JEM525" s="1358"/>
      <c r="JEN525" s="1358"/>
      <c r="JEO525" s="1358"/>
      <c r="JEP525" s="1358"/>
      <c r="JEQ525" s="1358"/>
      <c r="JER525" s="1358"/>
      <c r="JES525" s="1358"/>
      <c r="JET525" s="1358"/>
      <c r="JEU525" s="1358"/>
      <c r="JEV525" s="1358"/>
      <c r="JEW525" s="1358"/>
      <c r="JEX525" s="1358"/>
      <c r="JEY525" s="1358"/>
      <c r="JEZ525" s="1358"/>
      <c r="JFA525" s="1358"/>
      <c r="JFB525" s="1358"/>
      <c r="JFC525" s="1358"/>
      <c r="JFD525" s="1358"/>
      <c r="JFE525" s="1358"/>
      <c r="JFF525" s="1358"/>
      <c r="JFG525" s="1358"/>
      <c r="JFH525" s="1358"/>
      <c r="JFI525" s="1358"/>
      <c r="JFJ525" s="1358"/>
      <c r="JFK525" s="1358"/>
      <c r="JFL525" s="1358"/>
      <c r="JFM525" s="1358"/>
      <c r="JFN525" s="1358"/>
      <c r="JFO525" s="1358"/>
      <c r="JFP525" s="1358"/>
      <c r="JFQ525" s="1358"/>
      <c r="JFR525" s="1358"/>
      <c r="JFS525" s="1358"/>
      <c r="JFT525" s="1358"/>
      <c r="JFU525" s="1358"/>
      <c r="JFV525" s="1358"/>
      <c r="JFW525" s="1358"/>
      <c r="JFX525" s="1358"/>
      <c r="JFY525" s="1358"/>
      <c r="JFZ525" s="1358"/>
      <c r="JGA525" s="1358"/>
      <c r="JGB525" s="1358"/>
      <c r="JGC525" s="1358"/>
      <c r="JGD525" s="1358"/>
      <c r="JGE525" s="1358"/>
      <c r="JGF525" s="1358"/>
      <c r="JGG525" s="1358"/>
      <c r="JGH525" s="1358"/>
      <c r="JGI525" s="1358"/>
      <c r="JGJ525" s="1358"/>
      <c r="JGK525" s="1358"/>
      <c r="JGL525" s="1358"/>
      <c r="JGM525" s="1358"/>
      <c r="JGN525" s="1358"/>
      <c r="JGO525" s="1358"/>
      <c r="JGP525" s="1358"/>
      <c r="JGQ525" s="1358"/>
      <c r="JGR525" s="1358"/>
      <c r="JGS525" s="1358"/>
      <c r="JGT525" s="1358"/>
      <c r="JGU525" s="1358"/>
      <c r="JGV525" s="1358"/>
      <c r="JGW525" s="1358"/>
      <c r="JGX525" s="1358"/>
      <c r="JGY525" s="1358"/>
      <c r="JGZ525" s="1358"/>
      <c r="JHA525" s="1358"/>
      <c r="JHB525" s="1358"/>
      <c r="JHC525" s="1358"/>
      <c r="JHD525" s="1358"/>
      <c r="JHE525" s="1358"/>
      <c r="JHF525" s="1358"/>
      <c r="JHG525" s="1358"/>
      <c r="JHH525" s="1358"/>
      <c r="JHI525" s="1358"/>
      <c r="JHJ525" s="1358"/>
      <c r="JHK525" s="1358"/>
      <c r="JHL525" s="1358"/>
      <c r="JHM525" s="1358"/>
      <c r="JHN525" s="1358"/>
      <c r="JHO525" s="1358"/>
      <c r="JHP525" s="1358"/>
      <c r="JHQ525" s="1358"/>
      <c r="JHR525" s="1358"/>
      <c r="JHS525" s="1358"/>
      <c r="JHT525" s="1358"/>
      <c r="JHU525" s="1358"/>
      <c r="JHV525" s="1358"/>
      <c r="JHW525" s="1358"/>
      <c r="JHX525" s="1358"/>
      <c r="JHY525" s="1358"/>
      <c r="JHZ525" s="1358"/>
      <c r="JIA525" s="1358"/>
      <c r="JIB525" s="1358"/>
      <c r="JIC525" s="1358"/>
      <c r="JID525" s="1358"/>
      <c r="JIE525" s="1358"/>
      <c r="JIF525" s="1358"/>
      <c r="JIG525" s="1358"/>
      <c r="JIH525" s="1358"/>
      <c r="JII525" s="1358"/>
      <c r="JIJ525" s="1358"/>
      <c r="JIK525" s="1358"/>
      <c r="JIL525" s="1358"/>
      <c r="JIM525" s="1358"/>
      <c r="JIN525" s="1358"/>
      <c r="JIO525" s="1358"/>
      <c r="JIP525" s="1358"/>
      <c r="JIQ525" s="1358"/>
      <c r="JIR525" s="1358"/>
      <c r="JIS525" s="1358"/>
      <c r="JIT525" s="1358"/>
      <c r="JIU525" s="1358"/>
      <c r="JIV525" s="1358"/>
      <c r="JIW525" s="1358"/>
      <c r="JIX525" s="1358"/>
      <c r="JIY525" s="1358"/>
      <c r="JIZ525" s="1358"/>
      <c r="JJA525" s="1358"/>
      <c r="JJB525" s="1358"/>
      <c r="JJC525" s="1358"/>
      <c r="JJD525" s="1358"/>
      <c r="JJE525" s="1358"/>
      <c r="JJF525" s="1358"/>
      <c r="JJG525" s="1358"/>
      <c r="JJH525" s="1358"/>
      <c r="JJI525" s="1358"/>
      <c r="JJJ525" s="1358"/>
      <c r="JJK525" s="1358"/>
      <c r="JJL525" s="1358"/>
      <c r="JJM525" s="1358"/>
      <c r="JJN525" s="1358"/>
      <c r="JJO525" s="1358"/>
      <c r="JJP525" s="1358"/>
      <c r="JJQ525" s="1358"/>
      <c r="JJR525" s="1358"/>
      <c r="JJS525" s="1358"/>
      <c r="JJT525" s="1358"/>
      <c r="JJU525" s="1358"/>
      <c r="JJV525" s="1358"/>
      <c r="JJW525" s="1358"/>
      <c r="JJX525" s="1358"/>
      <c r="JJY525" s="1358"/>
      <c r="JJZ525" s="1358"/>
      <c r="JKA525" s="1358"/>
      <c r="JKB525" s="1358"/>
      <c r="JKC525" s="1358"/>
      <c r="JKD525" s="1358"/>
      <c r="JKE525" s="1358"/>
      <c r="JKF525" s="1358"/>
      <c r="JKG525" s="1358"/>
      <c r="JKH525" s="1358"/>
      <c r="JKI525" s="1358"/>
      <c r="JKJ525" s="1358"/>
      <c r="JKK525" s="1358"/>
      <c r="JKL525" s="1358"/>
      <c r="JKM525" s="1358"/>
      <c r="JKN525" s="1358"/>
      <c r="JKO525" s="1358"/>
      <c r="JKP525" s="1358"/>
      <c r="JKQ525" s="1358"/>
      <c r="JKR525" s="1358"/>
      <c r="JKS525" s="1358"/>
      <c r="JKT525" s="1358"/>
      <c r="JKU525" s="1358"/>
      <c r="JKV525" s="1358"/>
      <c r="JKW525" s="1358"/>
      <c r="JKX525" s="1358"/>
      <c r="JKY525" s="1358"/>
      <c r="JKZ525" s="1358"/>
      <c r="JLA525" s="1358"/>
      <c r="JLB525" s="1358"/>
      <c r="JLC525" s="1358"/>
      <c r="JLD525" s="1358"/>
      <c r="JLE525" s="1358"/>
      <c r="JLF525" s="1358"/>
      <c r="JLG525" s="1358"/>
      <c r="JLH525" s="1358"/>
      <c r="JLI525" s="1358"/>
      <c r="JLJ525" s="1358"/>
      <c r="JLK525" s="1358"/>
      <c r="JLL525" s="1358"/>
      <c r="JLM525" s="1358"/>
      <c r="JLN525" s="1358"/>
      <c r="JLO525" s="1358"/>
      <c r="JLP525" s="1358"/>
      <c r="JLQ525" s="1358"/>
      <c r="JLR525" s="1358"/>
      <c r="JLS525" s="1358"/>
      <c r="JLT525" s="1358"/>
      <c r="JLU525" s="1358"/>
      <c r="JLV525" s="1358"/>
      <c r="JLW525" s="1358"/>
      <c r="JLX525" s="1358"/>
      <c r="JLY525" s="1358"/>
      <c r="JLZ525" s="1358"/>
      <c r="JMA525" s="1358"/>
      <c r="JMB525" s="1358"/>
      <c r="JMC525" s="1358"/>
      <c r="JMD525" s="1358"/>
      <c r="JME525" s="1358"/>
      <c r="JMF525" s="1358"/>
      <c r="JMG525" s="1358"/>
      <c r="JMH525" s="1358"/>
      <c r="JMI525" s="1358"/>
      <c r="JMJ525" s="1358"/>
      <c r="JMK525" s="1358"/>
      <c r="JML525" s="1358"/>
      <c r="JMM525" s="1358"/>
      <c r="JMN525" s="1358"/>
      <c r="JMO525" s="1358"/>
      <c r="JMP525" s="1358"/>
      <c r="JMQ525" s="1358"/>
      <c r="JMR525" s="1358"/>
      <c r="JMS525" s="1358"/>
      <c r="JMT525" s="1358"/>
      <c r="JMU525" s="1358"/>
      <c r="JMV525" s="1358"/>
      <c r="JMW525" s="1358"/>
      <c r="JMX525" s="1358"/>
      <c r="JMY525" s="1358"/>
      <c r="JMZ525" s="1358"/>
      <c r="JNA525" s="1358"/>
      <c r="JNB525" s="1358"/>
      <c r="JNC525" s="1358"/>
      <c r="JND525" s="1358"/>
      <c r="JNE525" s="1358"/>
      <c r="JNF525" s="1358"/>
      <c r="JNG525" s="1358"/>
      <c r="JNH525" s="1358"/>
      <c r="JNI525" s="1358"/>
      <c r="JNJ525" s="1358"/>
      <c r="JNK525" s="1358"/>
      <c r="JNL525" s="1358"/>
      <c r="JNM525" s="1358"/>
      <c r="JNN525" s="1358"/>
      <c r="JNO525" s="1358"/>
      <c r="JNP525" s="1358"/>
      <c r="JNQ525" s="1358"/>
      <c r="JNR525" s="1358"/>
      <c r="JNS525" s="1358"/>
      <c r="JNT525" s="1358"/>
      <c r="JNU525" s="1358"/>
      <c r="JNV525" s="1358"/>
      <c r="JNW525" s="1358"/>
      <c r="JNX525" s="1358"/>
      <c r="JNY525" s="1358"/>
      <c r="JNZ525" s="1358"/>
      <c r="JOA525" s="1358"/>
      <c r="JOB525" s="1358"/>
      <c r="JOC525" s="1358"/>
      <c r="JOD525" s="1358"/>
      <c r="JOE525" s="1358"/>
      <c r="JOF525" s="1358"/>
      <c r="JOG525" s="1358"/>
      <c r="JOH525" s="1358"/>
      <c r="JOI525" s="1358"/>
      <c r="JOJ525" s="1358"/>
      <c r="JOK525" s="1358"/>
      <c r="JOL525" s="1358"/>
      <c r="JOM525" s="1358"/>
      <c r="JON525" s="1358"/>
      <c r="JOO525" s="1358"/>
      <c r="JOP525" s="1358"/>
      <c r="JOQ525" s="1358"/>
      <c r="JOR525" s="1358"/>
      <c r="JOS525" s="1358"/>
      <c r="JOT525" s="1358"/>
      <c r="JOU525" s="1358"/>
      <c r="JOV525" s="1358"/>
      <c r="JOW525" s="1358"/>
      <c r="JOX525" s="1358"/>
      <c r="JOY525" s="1358"/>
      <c r="JOZ525" s="1358"/>
      <c r="JPA525" s="1358"/>
      <c r="JPB525" s="1358"/>
      <c r="JPC525" s="1358"/>
      <c r="JPD525" s="1358"/>
      <c r="JPE525" s="1358"/>
      <c r="JPF525" s="1358"/>
      <c r="JPG525" s="1358"/>
      <c r="JPH525" s="1358"/>
      <c r="JPI525" s="1358"/>
      <c r="JPJ525" s="1358"/>
      <c r="JPK525" s="1358"/>
      <c r="JPL525" s="1358"/>
      <c r="JPM525" s="1358"/>
      <c r="JPN525" s="1358"/>
      <c r="JPO525" s="1358"/>
      <c r="JPP525" s="1358"/>
      <c r="JPQ525" s="1358"/>
      <c r="JPR525" s="1358"/>
      <c r="JPS525" s="1358"/>
      <c r="JPT525" s="1358"/>
      <c r="JPU525" s="1358"/>
      <c r="JPV525" s="1358"/>
      <c r="JPW525" s="1358"/>
      <c r="JPX525" s="1358"/>
      <c r="JPY525" s="1358"/>
      <c r="JPZ525" s="1358"/>
      <c r="JQA525" s="1358"/>
      <c r="JQB525" s="1358"/>
      <c r="JQC525" s="1358"/>
      <c r="JQD525" s="1358"/>
      <c r="JQE525" s="1358"/>
      <c r="JQF525" s="1358"/>
      <c r="JQG525" s="1358"/>
      <c r="JQH525" s="1358"/>
      <c r="JQI525" s="1358"/>
      <c r="JQJ525" s="1358"/>
      <c r="JQK525" s="1358"/>
      <c r="JQL525" s="1358"/>
      <c r="JQM525" s="1358"/>
      <c r="JQN525" s="1358"/>
      <c r="JQO525" s="1358"/>
      <c r="JQP525" s="1358"/>
      <c r="JQQ525" s="1358"/>
      <c r="JQR525" s="1358"/>
      <c r="JQS525" s="1358"/>
      <c r="JQT525" s="1358"/>
      <c r="JQU525" s="1358"/>
      <c r="JQV525" s="1358"/>
      <c r="JQW525" s="1358"/>
      <c r="JQX525" s="1358"/>
      <c r="JQY525" s="1358"/>
      <c r="JQZ525" s="1358"/>
      <c r="JRA525" s="1358"/>
      <c r="JRB525" s="1358"/>
      <c r="JRC525" s="1358"/>
      <c r="JRD525" s="1358"/>
      <c r="JRE525" s="1358"/>
      <c r="JRF525" s="1358"/>
      <c r="JRG525" s="1358"/>
      <c r="JRH525" s="1358"/>
      <c r="JRI525" s="1358"/>
      <c r="JRJ525" s="1358"/>
      <c r="JRK525" s="1358"/>
      <c r="JRL525" s="1358"/>
      <c r="JRM525" s="1358"/>
      <c r="JRN525" s="1358"/>
      <c r="JRO525" s="1358"/>
      <c r="JRP525" s="1358"/>
      <c r="JRQ525" s="1358"/>
      <c r="JRR525" s="1358"/>
      <c r="JRS525" s="1358"/>
      <c r="JRT525" s="1358"/>
      <c r="JRU525" s="1358"/>
      <c r="JRV525" s="1358"/>
      <c r="JRW525" s="1358"/>
      <c r="JRX525" s="1358"/>
      <c r="JRY525" s="1358"/>
      <c r="JRZ525" s="1358"/>
      <c r="JSA525" s="1358"/>
      <c r="JSB525" s="1358"/>
      <c r="JSC525" s="1358"/>
      <c r="JSD525" s="1358"/>
      <c r="JSE525" s="1358"/>
      <c r="JSF525" s="1358"/>
      <c r="JSG525" s="1358"/>
      <c r="JSH525" s="1358"/>
      <c r="JSI525" s="1358"/>
      <c r="JSJ525" s="1358"/>
      <c r="JSK525" s="1358"/>
      <c r="JSL525" s="1358"/>
      <c r="JSM525" s="1358"/>
      <c r="JSN525" s="1358"/>
      <c r="JSO525" s="1358"/>
      <c r="JSP525" s="1358"/>
      <c r="JSQ525" s="1358"/>
      <c r="JSR525" s="1358"/>
      <c r="JSS525" s="1358"/>
      <c r="JST525" s="1358"/>
      <c r="JSU525" s="1358"/>
      <c r="JSV525" s="1358"/>
      <c r="JSW525" s="1358"/>
      <c r="JSX525" s="1358"/>
      <c r="JSY525" s="1358"/>
      <c r="JSZ525" s="1358"/>
      <c r="JTA525" s="1358"/>
      <c r="JTB525" s="1358"/>
      <c r="JTC525" s="1358"/>
      <c r="JTD525" s="1358"/>
      <c r="JTE525" s="1358"/>
      <c r="JTF525" s="1358"/>
      <c r="JTG525" s="1358"/>
      <c r="JTH525" s="1358"/>
      <c r="JTI525" s="1358"/>
      <c r="JTJ525" s="1358"/>
      <c r="JTK525" s="1358"/>
      <c r="JTL525" s="1358"/>
      <c r="JTM525" s="1358"/>
      <c r="JTN525" s="1358"/>
      <c r="JTO525" s="1358"/>
      <c r="JTP525" s="1358"/>
      <c r="JTQ525" s="1358"/>
      <c r="JTR525" s="1358"/>
      <c r="JTS525" s="1358"/>
      <c r="JTT525" s="1358"/>
      <c r="JTU525" s="1358"/>
      <c r="JTV525" s="1358"/>
      <c r="JTW525" s="1358"/>
      <c r="JTX525" s="1358"/>
      <c r="JTY525" s="1358"/>
      <c r="JTZ525" s="1358"/>
      <c r="JUA525" s="1358"/>
      <c r="JUB525" s="1358"/>
      <c r="JUC525" s="1358"/>
      <c r="JUD525" s="1358"/>
      <c r="JUE525" s="1358"/>
      <c r="JUF525" s="1358"/>
      <c r="JUG525" s="1358"/>
      <c r="JUH525" s="1358"/>
      <c r="JUI525" s="1358"/>
      <c r="JUJ525" s="1358"/>
      <c r="JUK525" s="1358"/>
      <c r="JUL525" s="1358"/>
      <c r="JUM525" s="1358"/>
      <c r="JUN525" s="1358"/>
      <c r="JUO525" s="1358"/>
      <c r="JUP525" s="1358"/>
      <c r="JUQ525" s="1358"/>
      <c r="JUR525" s="1358"/>
      <c r="JUS525" s="1358"/>
      <c r="JUT525" s="1358"/>
      <c r="JUU525" s="1358"/>
      <c r="JUV525" s="1358"/>
      <c r="JUW525" s="1358"/>
      <c r="JUX525" s="1358"/>
      <c r="JUY525" s="1358"/>
      <c r="JUZ525" s="1358"/>
      <c r="JVA525" s="1358"/>
      <c r="JVB525" s="1358"/>
      <c r="JVC525" s="1358"/>
      <c r="JVD525" s="1358"/>
      <c r="JVE525" s="1358"/>
      <c r="JVF525" s="1358"/>
      <c r="JVG525" s="1358"/>
      <c r="JVH525" s="1358"/>
      <c r="JVI525" s="1358"/>
      <c r="JVJ525" s="1358"/>
      <c r="JVK525" s="1358"/>
      <c r="JVL525" s="1358"/>
      <c r="JVM525" s="1358"/>
      <c r="JVN525" s="1358"/>
      <c r="JVO525" s="1358"/>
      <c r="JVP525" s="1358"/>
      <c r="JVQ525" s="1358"/>
      <c r="JVR525" s="1358"/>
      <c r="JVS525" s="1358"/>
      <c r="JVT525" s="1358"/>
      <c r="JVU525" s="1358"/>
      <c r="JVV525" s="1358"/>
      <c r="JVW525" s="1358"/>
      <c r="JVX525" s="1358"/>
      <c r="JVY525" s="1358"/>
      <c r="JVZ525" s="1358"/>
      <c r="JWA525" s="1358"/>
      <c r="JWB525" s="1358"/>
      <c r="JWC525" s="1358"/>
      <c r="JWD525" s="1358"/>
      <c r="JWE525" s="1358"/>
      <c r="JWF525" s="1358"/>
      <c r="JWG525" s="1358"/>
      <c r="JWH525" s="1358"/>
      <c r="JWI525" s="1358"/>
      <c r="JWJ525" s="1358"/>
      <c r="JWK525" s="1358"/>
      <c r="JWL525" s="1358"/>
      <c r="JWM525" s="1358"/>
      <c r="JWN525" s="1358"/>
      <c r="JWO525" s="1358"/>
      <c r="JWP525" s="1358"/>
      <c r="JWQ525" s="1358"/>
      <c r="JWR525" s="1358"/>
      <c r="JWS525" s="1358"/>
      <c r="JWT525" s="1358"/>
      <c r="JWU525" s="1358"/>
      <c r="JWV525" s="1358"/>
      <c r="JWW525" s="1358"/>
      <c r="JWX525" s="1358"/>
      <c r="JWY525" s="1358"/>
      <c r="JWZ525" s="1358"/>
      <c r="JXA525" s="1358"/>
      <c r="JXB525" s="1358"/>
      <c r="JXC525" s="1358"/>
      <c r="JXD525" s="1358"/>
      <c r="JXE525" s="1358"/>
      <c r="JXF525" s="1358"/>
      <c r="JXG525" s="1358"/>
      <c r="JXH525" s="1358"/>
      <c r="JXI525" s="1358"/>
      <c r="JXJ525" s="1358"/>
      <c r="JXK525" s="1358"/>
      <c r="JXL525" s="1358"/>
      <c r="JXM525" s="1358"/>
      <c r="JXN525" s="1358"/>
      <c r="JXO525" s="1358"/>
      <c r="JXP525" s="1358"/>
      <c r="JXQ525" s="1358"/>
      <c r="JXR525" s="1358"/>
      <c r="JXS525" s="1358"/>
      <c r="JXT525" s="1358"/>
      <c r="JXU525" s="1358"/>
      <c r="JXV525" s="1358"/>
      <c r="JXW525" s="1358"/>
      <c r="JXX525" s="1358"/>
      <c r="JXY525" s="1358"/>
      <c r="JXZ525" s="1358"/>
      <c r="JYA525" s="1358"/>
      <c r="JYB525" s="1358"/>
      <c r="JYC525" s="1358"/>
      <c r="JYD525" s="1358"/>
      <c r="JYE525" s="1358"/>
      <c r="JYF525" s="1358"/>
      <c r="JYG525" s="1358"/>
      <c r="JYH525" s="1358"/>
      <c r="JYI525" s="1358"/>
      <c r="JYJ525" s="1358"/>
      <c r="JYK525" s="1358"/>
      <c r="JYL525" s="1358"/>
      <c r="JYM525" s="1358"/>
      <c r="JYN525" s="1358"/>
      <c r="JYO525" s="1358"/>
      <c r="JYP525" s="1358"/>
      <c r="JYQ525" s="1358"/>
      <c r="JYR525" s="1358"/>
      <c r="JYS525" s="1358"/>
      <c r="JYT525" s="1358"/>
      <c r="JYU525" s="1358"/>
      <c r="JYV525" s="1358"/>
      <c r="JYW525" s="1358"/>
      <c r="JYX525" s="1358"/>
      <c r="JYY525" s="1358"/>
      <c r="JYZ525" s="1358"/>
      <c r="JZA525" s="1358"/>
      <c r="JZB525" s="1358"/>
      <c r="JZC525" s="1358"/>
      <c r="JZD525" s="1358"/>
      <c r="JZE525" s="1358"/>
      <c r="JZF525" s="1358"/>
      <c r="JZG525" s="1358"/>
      <c r="JZH525" s="1358"/>
      <c r="JZI525" s="1358"/>
      <c r="JZJ525" s="1358"/>
      <c r="JZK525" s="1358"/>
      <c r="JZL525" s="1358"/>
      <c r="JZM525" s="1358"/>
      <c r="JZN525" s="1358"/>
      <c r="JZO525" s="1358"/>
      <c r="JZP525" s="1358"/>
      <c r="JZQ525" s="1358"/>
      <c r="JZR525" s="1358"/>
      <c r="JZS525" s="1358"/>
      <c r="JZT525" s="1358"/>
      <c r="JZU525" s="1358"/>
      <c r="JZV525" s="1358"/>
      <c r="JZW525" s="1358"/>
      <c r="JZX525" s="1358"/>
      <c r="JZY525" s="1358"/>
      <c r="JZZ525" s="1358"/>
      <c r="KAA525" s="1358"/>
      <c r="KAB525" s="1358"/>
      <c r="KAC525" s="1358"/>
      <c r="KAD525" s="1358"/>
      <c r="KAE525" s="1358"/>
      <c r="KAF525" s="1358"/>
      <c r="KAG525" s="1358"/>
      <c r="KAH525" s="1358"/>
      <c r="KAI525" s="1358"/>
      <c r="KAJ525" s="1358"/>
      <c r="KAK525" s="1358"/>
      <c r="KAL525" s="1358"/>
      <c r="KAM525" s="1358"/>
      <c r="KAN525" s="1358"/>
      <c r="KAO525" s="1358"/>
      <c r="KAP525" s="1358"/>
      <c r="KAQ525" s="1358"/>
      <c r="KAR525" s="1358"/>
      <c r="KAS525" s="1358"/>
      <c r="KAT525" s="1358"/>
      <c r="KAU525" s="1358"/>
      <c r="KAV525" s="1358"/>
      <c r="KAW525" s="1358"/>
      <c r="KAX525" s="1358"/>
      <c r="KAY525" s="1358"/>
      <c r="KAZ525" s="1358"/>
      <c r="KBA525" s="1358"/>
      <c r="KBB525" s="1358"/>
      <c r="KBC525" s="1358"/>
      <c r="KBD525" s="1358"/>
      <c r="KBE525" s="1358"/>
      <c r="KBF525" s="1358"/>
      <c r="KBG525" s="1358"/>
      <c r="KBH525" s="1358"/>
      <c r="KBI525" s="1358"/>
      <c r="KBJ525" s="1358"/>
      <c r="KBK525" s="1358"/>
      <c r="KBL525" s="1358"/>
      <c r="KBM525" s="1358"/>
      <c r="KBN525" s="1358"/>
      <c r="KBO525" s="1358"/>
      <c r="KBP525" s="1358"/>
      <c r="KBQ525" s="1358"/>
      <c r="KBR525" s="1358"/>
      <c r="KBS525" s="1358"/>
      <c r="KBT525" s="1358"/>
      <c r="KBU525" s="1358"/>
      <c r="KBV525" s="1358"/>
      <c r="KBW525" s="1358"/>
      <c r="KBX525" s="1358"/>
      <c r="KBY525" s="1358"/>
      <c r="KBZ525" s="1358"/>
      <c r="KCA525" s="1358"/>
      <c r="KCB525" s="1358"/>
      <c r="KCC525" s="1358"/>
      <c r="KCD525" s="1358"/>
      <c r="KCE525" s="1358"/>
      <c r="KCF525" s="1358"/>
      <c r="KCG525" s="1358"/>
      <c r="KCH525" s="1358"/>
      <c r="KCI525" s="1358"/>
      <c r="KCJ525" s="1358"/>
      <c r="KCK525" s="1358"/>
      <c r="KCL525" s="1358"/>
      <c r="KCM525" s="1358"/>
      <c r="KCN525" s="1358"/>
      <c r="KCO525" s="1358"/>
      <c r="KCP525" s="1358"/>
      <c r="KCQ525" s="1358"/>
      <c r="KCR525" s="1358"/>
      <c r="KCS525" s="1358"/>
      <c r="KCT525" s="1358"/>
      <c r="KCU525" s="1358"/>
      <c r="KCV525" s="1358"/>
      <c r="KCW525" s="1358"/>
      <c r="KCX525" s="1358"/>
      <c r="KCY525" s="1358"/>
      <c r="KCZ525" s="1358"/>
      <c r="KDA525" s="1358"/>
      <c r="KDB525" s="1358"/>
      <c r="KDC525" s="1358"/>
      <c r="KDD525" s="1358"/>
      <c r="KDE525" s="1358"/>
      <c r="KDF525" s="1358"/>
      <c r="KDG525" s="1358"/>
      <c r="KDH525" s="1358"/>
      <c r="KDI525" s="1358"/>
      <c r="KDJ525" s="1358"/>
      <c r="KDK525" s="1358"/>
      <c r="KDL525" s="1358"/>
      <c r="KDM525" s="1358"/>
      <c r="KDN525" s="1358"/>
      <c r="KDO525" s="1358"/>
      <c r="KDP525" s="1358"/>
      <c r="KDQ525" s="1358"/>
      <c r="KDR525" s="1358"/>
      <c r="KDS525" s="1358"/>
      <c r="KDT525" s="1358"/>
      <c r="KDU525" s="1358"/>
      <c r="KDV525" s="1358"/>
      <c r="KDW525" s="1358"/>
      <c r="KDX525" s="1358"/>
      <c r="KDY525" s="1358"/>
      <c r="KDZ525" s="1358"/>
      <c r="KEA525" s="1358"/>
      <c r="KEB525" s="1358"/>
      <c r="KEC525" s="1358"/>
      <c r="KED525" s="1358"/>
      <c r="KEE525" s="1358"/>
      <c r="KEF525" s="1358"/>
      <c r="KEG525" s="1358"/>
      <c r="KEH525" s="1358"/>
      <c r="KEI525" s="1358"/>
      <c r="KEJ525" s="1358"/>
      <c r="KEK525" s="1358"/>
      <c r="KEL525" s="1358"/>
      <c r="KEM525" s="1358"/>
      <c r="KEN525" s="1358"/>
      <c r="KEO525" s="1358"/>
      <c r="KEP525" s="1358"/>
      <c r="KEQ525" s="1358"/>
      <c r="KER525" s="1358"/>
      <c r="KES525" s="1358"/>
      <c r="KET525" s="1358"/>
      <c r="KEU525" s="1358"/>
      <c r="KEV525" s="1358"/>
      <c r="KEW525" s="1358"/>
      <c r="KEX525" s="1358"/>
      <c r="KEY525" s="1358"/>
      <c r="KEZ525" s="1358"/>
      <c r="KFA525" s="1358"/>
      <c r="KFB525" s="1358"/>
      <c r="KFC525" s="1358"/>
      <c r="KFD525" s="1358"/>
      <c r="KFE525" s="1358"/>
      <c r="KFF525" s="1358"/>
      <c r="KFG525" s="1358"/>
      <c r="KFH525" s="1358"/>
      <c r="KFI525" s="1358"/>
      <c r="KFJ525" s="1358"/>
      <c r="KFK525" s="1358"/>
      <c r="KFL525" s="1358"/>
      <c r="KFM525" s="1358"/>
      <c r="KFN525" s="1358"/>
      <c r="KFO525" s="1358"/>
      <c r="KFP525" s="1358"/>
      <c r="KFQ525" s="1358"/>
      <c r="KFR525" s="1358"/>
      <c r="KFS525" s="1358"/>
      <c r="KFT525" s="1358"/>
      <c r="KFU525" s="1358"/>
      <c r="KFV525" s="1358"/>
      <c r="KFW525" s="1358"/>
      <c r="KFX525" s="1358"/>
      <c r="KFY525" s="1358"/>
      <c r="KFZ525" s="1358"/>
      <c r="KGA525" s="1358"/>
      <c r="KGB525" s="1358"/>
      <c r="KGC525" s="1358"/>
      <c r="KGD525" s="1358"/>
      <c r="KGE525" s="1358"/>
      <c r="KGF525" s="1358"/>
      <c r="KGG525" s="1358"/>
      <c r="KGH525" s="1358"/>
      <c r="KGI525" s="1358"/>
      <c r="KGJ525" s="1358"/>
      <c r="KGK525" s="1358"/>
      <c r="KGL525" s="1358"/>
      <c r="KGM525" s="1358"/>
      <c r="KGN525" s="1358"/>
      <c r="KGO525" s="1358"/>
      <c r="KGP525" s="1358"/>
      <c r="KGQ525" s="1358"/>
      <c r="KGR525" s="1358"/>
      <c r="KGS525" s="1358"/>
      <c r="KGT525" s="1358"/>
      <c r="KGU525" s="1358"/>
      <c r="KGV525" s="1358"/>
      <c r="KGW525" s="1358"/>
      <c r="KGX525" s="1358"/>
      <c r="KGY525" s="1358"/>
      <c r="KGZ525" s="1358"/>
      <c r="KHA525" s="1358"/>
      <c r="KHB525" s="1358"/>
      <c r="KHC525" s="1358"/>
      <c r="KHD525" s="1358"/>
      <c r="KHE525" s="1358"/>
      <c r="KHF525" s="1358"/>
      <c r="KHG525" s="1358"/>
      <c r="KHH525" s="1358"/>
      <c r="KHI525" s="1358"/>
      <c r="KHJ525" s="1358"/>
      <c r="KHK525" s="1358"/>
      <c r="KHL525" s="1358"/>
      <c r="KHM525" s="1358"/>
      <c r="KHN525" s="1358"/>
      <c r="KHO525" s="1358"/>
      <c r="KHP525" s="1358"/>
      <c r="KHQ525" s="1358"/>
      <c r="KHR525" s="1358"/>
      <c r="KHS525" s="1358"/>
      <c r="KHT525" s="1358"/>
      <c r="KHU525" s="1358"/>
      <c r="KHV525" s="1358"/>
      <c r="KHW525" s="1358"/>
      <c r="KHX525" s="1358"/>
      <c r="KHY525" s="1358"/>
      <c r="KHZ525" s="1358"/>
      <c r="KIA525" s="1358"/>
      <c r="KIB525" s="1358"/>
      <c r="KIC525" s="1358"/>
      <c r="KID525" s="1358"/>
      <c r="KIE525" s="1358"/>
      <c r="KIF525" s="1358"/>
      <c r="KIG525" s="1358"/>
      <c r="KIH525" s="1358"/>
      <c r="KII525" s="1358"/>
      <c r="KIJ525" s="1358"/>
      <c r="KIK525" s="1358"/>
      <c r="KIL525" s="1358"/>
      <c r="KIM525" s="1358"/>
      <c r="KIN525" s="1358"/>
      <c r="KIO525" s="1358"/>
      <c r="KIP525" s="1358"/>
      <c r="KIQ525" s="1358"/>
      <c r="KIR525" s="1358"/>
      <c r="KIS525" s="1358"/>
      <c r="KIT525" s="1358"/>
      <c r="KIU525" s="1358"/>
      <c r="KIV525" s="1358"/>
      <c r="KIW525" s="1358"/>
      <c r="KIX525" s="1358"/>
      <c r="KIY525" s="1358"/>
      <c r="KIZ525" s="1358"/>
      <c r="KJA525" s="1358"/>
      <c r="KJB525" s="1358"/>
      <c r="KJC525" s="1358"/>
      <c r="KJD525" s="1358"/>
      <c r="KJE525" s="1358"/>
      <c r="KJF525" s="1358"/>
      <c r="KJG525" s="1358"/>
      <c r="KJH525" s="1358"/>
      <c r="KJI525" s="1358"/>
      <c r="KJJ525" s="1358"/>
      <c r="KJK525" s="1358"/>
      <c r="KJL525" s="1358"/>
      <c r="KJM525" s="1358"/>
      <c r="KJN525" s="1358"/>
      <c r="KJO525" s="1358"/>
      <c r="KJP525" s="1358"/>
      <c r="KJQ525" s="1358"/>
      <c r="KJR525" s="1358"/>
      <c r="KJS525" s="1358"/>
      <c r="KJT525" s="1358"/>
      <c r="KJU525" s="1358"/>
      <c r="KJV525" s="1358"/>
      <c r="KJW525" s="1358"/>
      <c r="KJX525" s="1358"/>
      <c r="KJY525" s="1358"/>
      <c r="KJZ525" s="1358"/>
      <c r="KKA525" s="1358"/>
      <c r="KKB525" s="1358"/>
      <c r="KKC525" s="1358"/>
      <c r="KKD525" s="1358"/>
      <c r="KKE525" s="1358"/>
      <c r="KKF525" s="1358"/>
      <c r="KKG525" s="1358"/>
      <c r="KKH525" s="1358"/>
      <c r="KKI525" s="1358"/>
      <c r="KKJ525" s="1358"/>
      <c r="KKK525" s="1358"/>
      <c r="KKL525" s="1358"/>
      <c r="KKM525" s="1358"/>
      <c r="KKN525" s="1358"/>
      <c r="KKO525" s="1358"/>
      <c r="KKP525" s="1358"/>
      <c r="KKQ525" s="1358"/>
      <c r="KKR525" s="1358"/>
      <c r="KKS525" s="1358"/>
      <c r="KKT525" s="1358"/>
      <c r="KKU525" s="1358"/>
      <c r="KKV525" s="1358"/>
      <c r="KKW525" s="1358"/>
      <c r="KKX525" s="1358"/>
      <c r="KKY525" s="1358"/>
      <c r="KKZ525" s="1358"/>
      <c r="KLA525" s="1358"/>
      <c r="KLB525" s="1358"/>
      <c r="KLC525" s="1358"/>
      <c r="KLD525" s="1358"/>
      <c r="KLE525" s="1358"/>
      <c r="KLF525" s="1358"/>
      <c r="KLG525" s="1358"/>
      <c r="KLH525" s="1358"/>
      <c r="KLI525" s="1358"/>
      <c r="KLJ525" s="1358"/>
      <c r="KLK525" s="1358"/>
      <c r="KLL525" s="1358"/>
      <c r="KLM525" s="1358"/>
      <c r="KLN525" s="1358"/>
      <c r="KLO525" s="1358"/>
      <c r="KLP525" s="1358"/>
      <c r="KLQ525" s="1358"/>
      <c r="KLR525" s="1358"/>
      <c r="KLS525" s="1358"/>
      <c r="KLT525" s="1358"/>
      <c r="KLU525" s="1358"/>
      <c r="KLV525" s="1358"/>
      <c r="KLW525" s="1358"/>
      <c r="KLX525" s="1358"/>
      <c r="KLY525" s="1358"/>
      <c r="KLZ525" s="1358"/>
      <c r="KMA525" s="1358"/>
      <c r="KMB525" s="1358"/>
      <c r="KMC525" s="1358"/>
      <c r="KMD525" s="1358"/>
      <c r="KME525" s="1358"/>
      <c r="KMF525" s="1358"/>
      <c r="KMG525" s="1358"/>
      <c r="KMH525" s="1358"/>
      <c r="KMI525" s="1358"/>
      <c r="KMJ525" s="1358"/>
      <c r="KMK525" s="1358"/>
      <c r="KML525" s="1358"/>
      <c r="KMM525" s="1358"/>
      <c r="KMN525" s="1358"/>
      <c r="KMO525" s="1358"/>
      <c r="KMP525" s="1358"/>
      <c r="KMQ525" s="1358"/>
      <c r="KMR525" s="1358"/>
      <c r="KMS525" s="1358"/>
      <c r="KMT525" s="1358"/>
      <c r="KMU525" s="1358"/>
      <c r="KMV525" s="1358"/>
      <c r="KMW525" s="1358"/>
      <c r="KMX525" s="1358"/>
      <c r="KMY525" s="1358"/>
      <c r="KMZ525" s="1358"/>
      <c r="KNA525" s="1358"/>
      <c r="KNB525" s="1358"/>
      <c r="KNC525" s="1358"/>
      <c r="KND525" s="1358"/>
      <c r="KNE525" s="1358"/>
      <c r="KNF525" s="1358"/>
      <c r="KNG525" s="1358"/>
      <c r="KNH525" s="1358"/>
      <c r="KNI525" s="1358"/>
      <c r="KNJ525" s="1358"/>
      <c r="KNK525" s="1358"/>
      <c r="KNL525" s="1358"/>
      <c r="KNM525" s="1358"/>
      <c r="KNN525" s="1358"/>
      <c r="KNO525" s="1358"/>
      <c r="KNP525" s="1358"/>
      <c r="KNQ525" s="1358"/>
      <c r="KNR525" s="1358"/>
      <c r="KNS525" s="1358"/>
      <c r="KNT525" s="1358"/>
      <c r="KNU525" s="1358"/>
      <c r="KNV525" s="1358"/>
      <c r="KNW525" s="1358"/>
      <c r="KNX525" s="1358"/>
      <c r="KNY525" s="1358"/>
      <c r="KNZ525" s="1358"/>
      <c r="KOA525" s="1358"/>
      <c r="KOB525" s="1358"/>
      <c r="KOC525" s="1358"/>
      <c r="KOD525" s="1358"/>
      <c r="KOE525" s="1358"/>
      <c r="KOF525" s="1358"/>
      <c r="KOG525" s="1358"/>
      <c r="KOH525" s="1358"/>
      <c r="KOI525" s="1358"/>
      <c r="KOJ525" s="1358"/>
      <c r="KOK525" s="1358"/>
      <c r="KOL525" s="1358"/>
      <c r="KOM525" s="1358"/>
      <c r="KON525" s="1358"/>
      <c r="KOO525" s="1358"/>
      <c r="KOP525" s="1358"/>
      <c r="KOQ525" s="1358"/>
      <c r="KOR525" s="1358"/>
      <c r="KOS525" s="1358"/>
      <c r="KOT525" s="1358"/>
      <c r="KOU525" s="1358"/>
      <c r="KOV525" s="1358"/>
      <c r="KOW525" s="1358"/>
      <c r="KOX525" s="1358"/>
      <c r="KOY525" s="1358"/>
      <c r="KOZ525" s="1358"/>
      <c r="KPA525" s="1358"/>
      <c r="KPB525" s="1358"/>
      <c r="KPC525" s="1358"/>
      <c r="KPD525" s="1358"/>
      <c r="KPE525" s="1358"/>
      <c r="KPF525" s="1358"/>
      <c r="KPG525" s="1358"/>
      <c r="KPH525" s="1358"/>
      <c r="KPI525" s="1358"/>
      <c r="KPJ525" s="1358"/>
      <c r="KPK525" s="1358"/>
      <c r="KPL525" s="1358"/>
      <c r="KPM525" s="1358"/>
      <c r="KPN525" s="1358"/>
      <c r="KPO525" s="1358"/>
      <c r="KPP525" s="1358"/>
      <c r="KPQ525" s="1358"/>
      <c r="KPR525" s="1358"/>
      <c r="KPS525" s="1358"/>
      <c r="KPT525" s="1358"/>
      <c r="KPU525" s="1358"/>
      <c r="KPV525" s="1358"/>
      <c r="KPW525" s="1358"/>
      <c r="KPX525" s="1358"/>
      <c r="KPY525" s="1358"/>
      <c r="KPZ525" s="1358"/>
      <c r="KQA525" s="1358"/>
      <c r="KQB525" s="1358"/>
      <c r="KQC525" s="1358"/>
      <c r="KQD525" s="1358"/>
      <c r="KQE525" s="1358"/>
      <c r="KQF525" s="1358"/>
      <c r="KQG525" s="1358"/>
      <c r="KQH525" s="1358"/>
      <c r="KQI525" s="1358"/>
      <c r="KQJ525" s="1358"/>
      <c r="KQK525" s="1358"/>
      <c r="KQL525" s="1358"/>
      <c r="KQM525" s="1358"/>
      <c r="KQN525" s="1358"/>
      <c r="KQO525" s="1358"/>
      <c r="KQP525" s="1358"/>
      <c r="KQQ525" s="1358"/>
      <c r="KQR525" s="1358"/>
      <c r="KQS525" s="1358"/>
      <c r="KQT525" s="1358"/>
      <c r="KQU525" s="1358"/>
      <c r="KQV525" s="1358"/>
      <c r="KQW525" s="1358"/>
      <c r="KQX525" s="1358"/>
      <c r="KQY525" s="1358"/>
      <c r="KQZ525" s="1358"/>
      <c r="KRA525" s="1358"/>
      <c r="KRB525" s="1358"/>
      <c r="KRC525" s="1358"/>
      <c r="KRD525" s="1358"/>
      <c r="KRE525" s="1358"/>
      <c r="KRF525" s="1358"/>
      <c r="KRG525" s="1358"/>
      <c r="KRH525" s="1358"/>
      <c r="KRI525" s="1358"/>
      <c r="KRJ525" s="1358"/>
      <c r="KRK525" s="1358"/>
      <c r="KRL525" s="1358"/>
      <c r="KRM525" s="1358"/>
      <c r="KRN525" s="1358"/>
      <c r="KRO525" s="1358"/>
      <c r="KRP525" s="1358"/>
      <c r="KRQ525" s="1358"/>
      <c r="KRR525" s="1358"/>
      <c r="KRS525" s="1358"/>
      <c r="KRT525" s="1358"/>
      <c r="KRU525" s="1358"/>
      <c r="KRV525" s="1358"/>
      <c r="KRW525" s="1358"/>
      <c r="KRX525" s="1358"/>
      <c r="KRY525" s="1358"/>
      <c r="KRZ525" s="1358"/>
      <c r="KSA525" s="1358"/>
      <c r="KSB525" s="1358"/>
      <c r="KSC525" s="1358"/>
      <c r="KSD525" s="1358"/>
      <c r="KSE525" s="1358"/>
      <c r="KSF525" s="1358"/>
      <c r="KSG525" s="1358"/>
      <c r="KSH525" s="1358"/>
      <c r="KSI525" s="1358"/>
      <c r="KSJ525" s="1358"/>
      <c r="KSK525" s="1358"/>
      <c r="KSL525" s="1358"/>
      <c r="KSM525" s="1358"/>
      <c r="KSN525" s="1358"/>
      <c r="KSO525" s="1358"/>
      <c r="KSP525" s="1358"/>
      <c r="KSQ525" s="1358"/>
      <c r="KSR525" s="1358"/>
      <c r="KSS525" s="1358"/>
      <c r="KST525" s="1358"/>
      <c r="KSU525" s="1358"/>
      <c r="KSV525" s="1358"/>
      <c r="KSW525" s="1358"/>
      <c r="KSX525" s="1358"/>
      <c r="KSY525" s="1358"/>
      <c r="KSZ525" s="1358"/>
      <c r="KTA525" s="1358"/>
      <c r="KTB525" s="1358"/>
      <c r="KTC525" s="1358"/>
      <c r="KTD525" s="1358"/>
      <c r="KTE525" s="1358"/>
      <c r="KTF525" s="1358"/>
      <c r="KTG525" s="1358"/>
      <c r="KTH525" s="1358"/>
      <c r="KTI525" s="1358"/>
      <c r="KTJ525" s="1358"/>
      <c r="KTK525" s="1358"/>
      <c r="KTL525" s="1358"/>
      <c r="KTM525" s="1358"/>
      <c r="KTN525" s="1358"/>
      <c r="KTO525" s="1358"/>
      <c r="KTP525" s="1358"/>
      <c r="KTQ525" s="1358"/>
      <c r="KTR525" s="1358"/>
      <c r="KTS525" s="1358"/>
      <c r="KTT525" s="1358"/>
      <c r="KTU525" s="1358"/>
      <c r="KTV525" s="1358"/>
      <c r="KTW525" s="1358"/>
      <c r="KTX525" s="1358"/>
      <c r="KTY525" s="1358"/>
      <c r="KTZ525" s="1358"/>
      <c r="KUA525" s="1358"/>
      <c r="KUB525" s="1358"/>
      <c r="KUC525" s="1358"/>
      <c r="KUD525" s="1358"/>
      <c r="KUE525" s="1358"/>
      <c r="KUF525" s="1358"/>
      <c r="KUG525" s="1358"/>
      <c r="KUH525" s="1358"/>
      <c r="KUI525" s="1358"/>
      <c r="KUJ525" s="1358"/>
      <c r="KUK525" s="1358"/>
      <c r="KUL525" s="1358"/>
      <c r="KUM525" s="1358"/>
      <c r="KUN525" s="1358"/>
      <c r="KUO525" s="1358"/>
      <c r="KUP525" s="1358"/>
      <c r="KUQ525" s="1358"/>
      <c r="KUR525" s="1358"/>
      <c r="KUS525" s="1358"/>
      <c r="KUT525" s="1358"/>
      <c r="KUU525" s="1358"/>
      <c r="KUV525" s="1358"/>
      <c r="KUW525" s="1358"/>
      <c r="KUX525" s="1358"/>
      <c r="KUY525" s="1358"/>
      <c r="KUZ525" s="1358"/>
      <c r="KVA525" s="1358"/>
      <c r="KVB525" s="1358"/>
      <c r="KVC525" s="1358"/>
      <c r="KVD525" s="1358"/>
      <c r="KVE525" s="1358"/>
      <c r="KVF525" s="1358"/>
      <c r="KVG525" s="1358"/>
      <c r="KVH525" s="1358"/>
      <c r="KVI525" s="1358"/>
      <c r="KVJ525" s="1358"/>
      <c r="KVK525" s="1358"/>
      <c r="KVL525" s="1358"/>
      <c r="KVM525" s="1358"/>
      <c r="KVN525" s="1358"/>
      <c r="KVO525" s="1358"/>
      <c r="KVP525" s="1358"/>
      <c r="KVQ525" s="1358"/>
      <c r="KVR525" s="1358"/>
      <c r="KVS525" s="1358"/>
      <c r="KVT525" s="1358"/>
      <c r="KVU525" s="1358"/>
      <c r="KVV525" s="1358"/>
      <c r="KVW525" s="1358"/>
      <c r="KVX525" s="1358"/>
      <c r="KVY525" s="1358"/>
      <c r="KVZ525" s="1358"/>
      <c r="KWA525" s="1358"/>
      <c r="KWB525" s="1358"/>
      <c r="KWC525" s="1358"/>
      <c r="KWD525" s="1358"/>
      <c r="KWE525" s="1358"/>
      <c r="KWF525" s="1358"/>
      <c r="KWG525" s="1358"/>
      <c r="KWH525" s="1358"/>
      <c r="KWI525" s="1358"/>
      <c r="KWJ525" s="1358"/>
      <c r="KWK525" s="1358"/>
      <c r="KWL525" s="1358"/>
      <c r="KWM525" s="1358"/>
      <c r="KWN525" s="1358"/>
      <c r="KWO525" s="1358"/>
      <c r="KWP525" s="1358"/>
      <c r="KWQ525" s="1358"/>
      <c r="KWR525" s="1358"/>
      <c r="KWS525" s="1358"/>
      <c r="KWT525" s="1358"/>
      <c r="KWU525" s="1358"/>
      <c r="KWV525" s="1358"/>
      <c r="KWW525" s="1358"/>
      <c r="KWX525" s="1358"/>
      <c r="KWY525" s="1358"/>
      <c r="KWZ525" s="1358"/>
      <c r="KXA525" s="1358"/>
      <c r="KXB525" s="1358"/>
      <c r="KXC525" s="1358"/>
      <c r="KXD525" s="1358"/>
      <c r="KXE525" s="1358"/>
      <c r="KXF525" s="1358"/>
      <c r="KXG525" s="1358"/>
      <c r="KXH525" s="1358"/>
      <c r="KXI525" s="1358"/>
      <c r="KXJ525" s="1358"/>
      <c r="KXK525" s="1358"/>
      <c r="KXL525" s="1358"/>
      <c r="KXM525" s="1358"/>
      <c r="KXN525" s="1358"/>
      <c r="KXO525" s="1358"/>
      <c r="KXP525" s="1358"/>
      <c r="KXQ525" s="1358"/>
      <c r="KXR525" s="1358"/>
      <c r="KXS525" s="1358"/>
      <c r="KXT525" s="1358"/>
      <c r="KXU525" s="1358"/>
      <c r="KXV525" s="1358"/>
      <c r="KXW525" s="1358"/>
      <c r="KXX525" s="1358"/>
      <c r="KXY525" s="1358"/>
      <c r="KXZ525" s="1358"/>
      <c r="KYA525" s="1358"/>
      <c r="KYB525" s="1358"/>
      <c r="KYC525" s="1358"/>
      <c r="KYD525" s="1358"/>
      <c r="KYE525" s="1358"/>
      <c r="KYF525" s="1358"/>
      <c r="KYG525" s="1358"/>
      <c r="KYH525" s="1358"/>
      <c r="KYI525" s="1358"/>
      <c r="KYJ525" s="1358"/>
      <c r="KYK525" s="1358"/>
      <c r="KYL525" s="1358"/>
      <c r="KYM525" s="1358"/>
      <c r="KYN525" s="1358"/>
      <c r="KYO525" s="1358"/>
      <c r="KYP525" s="1358"/>
      <c r="KYQ525" s="1358"/>
      <c r="KYR525" s="1358"/>
      <c r="KYS525" s="1358"/>
      <c r="KYT525" s="1358"/>
      <c r="KYU525" s="1358"/>
      <c r="KYV525" s="1358"/>
      <c r="KYW525" s="1358"/>
      <c r="KYX525" s="1358"/>
      <c r="KYY525" s="1358"/>
      <c r="KYZ525" s="1358"/>
      <c r="KZA525" s="1358"/>
      <c r="KZB525" s="1358"/>
      <c r="KZC525" s="1358"/>
      <c r="KZD525" s="1358"/>
      <c r="KZE525" s="1358"/>
      <c r="KZF525" s="1358"/>
      <c r="KZG525" s="1358"/>
      <c r="KZH525" s="1358"/>
      <c r="KZI525" s="1358"/>
      <c r="KZJ525" s="1358"/>
      <c r="KZK525" s="1358"/>
      <c r="KZL525" s="1358"/>
      <c r="KZM525" s="1358"/>
      <c r="KZN525" s="1358"/>
      <c r="KZO525" s="1358"/>
      <c r="KZP525" s="1358"/>
      <c r="KZQ525" s="1358"/>
      <c r="KZR525" s="1358"/>
      <c r="KZS525" s="1358"/>
      <c r="KZT525" s="1358"/>
      <c r="KZU525" s="1358"/>
      <c r="KZV525" s="1358"/>
      <c r="KZW525" s="1358"/>
      <c r="KZX525" s="1358"/>
      <c r="KZY525" s="1358"/>
      <c r="KZZ525" s="1358"/>
      <c r="LAA525" s="1358"/>
      <c r="LAB525" s="1358"/>
      <c r="LAC525" s="1358"/>
      <c r="LAD525" s="1358"/>
      <c r="LAE525" s="1358"/>
      <c r="LAF525" s="1358"/>
      <c r="LAG525" s="1358"/>
      <c r="LAH525" s="1358"/>
      <c r="LAI525" s="1358"/>
      <c r="LAJ525" s="1358"/>
      <c r="LAK525" s="1358"/>
      <c r="LAL525" s="1358"/>
      <c r="LAM525" s="1358"/>
      <c r="LAN525" s="1358"/>
      <c r="LAO525" s="1358"/>
      <c r="LAP525" s="1358"/>
      <c r="LAQ525" s="1358"/>
      <c r="LAR525" s="1358"/>
      <c r="LAS525" s="1358"/>
      <c r="LAT525" s="1358"/>
      <c r="LAU525" s="1358"/>
      <c r="LAV525" s="1358"/>
      <c r="LAW525" s="1358"/>
      <c r="LAX525" s="1358"/>
      <c r="LAY525" s="1358"/>
      <c r="LAZ525" s="1358"/>
      <c r="LBA525" s="1358"/>
      <c r="LBB525" s="1358"/>
      <c r="LBC525" s="1358"/>
      <c r="LBD525" s="1358"/>
      <c r="LBE525" s="1358"/>
      <c r="LBF525" s="1358"/>
      <c r="LBG525" s="1358"/>
      <c r="LBH525" s="1358"/>
      <c r="LBI525" s="1358"/>
      <c r="LBJ525" s="1358"/>
      <c r="LBK525" s="1358"/>
      <c r="LBL525" s="1358"/>
      <c r="LBM525" s="1358"/>
      <c r="LBN525" s="1358"/>
      <c r="LBO525" s="1358"/>
      <c r="LBP525" s="1358"/>
      <c r="LBQ525" s="1358"/>
      <c r="LBR525" s="1358"/>
      <c r="LBS525" s="1358"/>
      <c r="LBT525" s="1358"/>
      <c r="LBU525" s="1358"/>
      <c r="LBV525" s="1358"/>
      <c r="LBW525" s="1358"/>
      <c r="LBX525" s="1358"/>
      <c r="LBY525" s="1358"/>
      <c r="LBZ525" s="1358"/>
      <c r="LCA525" s="1358"/>
      <c r="LCB525" s="1358"/>
      <c r="LCC525" s="1358"/>
      <c r="LCD525" s="1358"/>
      <c r="LCE525" s="1358"/>
      <c r="LCF525" s="1358"/>
      <c r="LCG525" s="1358"/>
      <c r="LCH525" s="1358"/>
      <c r="LCI525" s="1358"/>
      <c r="LCJ525" s="1358"/>
      <c r="LCK525" s="1358"/>
      <c r="LCL525" s="1358"/>
      <c r="LCM525" s="1358"/>
      <c r="LCN525" s="1358"/>
      <c r="LCO525" s="1358"/>
      <c r="LCP525" s="1358"/>
      <c r="LCQ525" s="1358"/>
      <c r="LCR525" s="1358"/>
      <c r="LCS525" s="1358"/>
      <c r="LCT525" s="1358"/>
      <c r="LCU525" s="1358"/>
      <c r="LCV525" s="1358"/>
      <c r="LCW525" s="1358"/>
      <c r="LCX525" s="1358"/>
      <c r="LCY525" s="1358"/>
      <c r="LCZ525" s="1358"/>
      <c r="LDA525" s="1358"/>
      <c r="LDB525" s="1358"/>
      <c r="LDC525" s="1358"/>
      <c r="LDD525" s="1358"/>
      <c r="LDE525" s="1358"/>
      <c r="LDF525" s="1358"/>
      <c r="LDG525" s="1358"/>
      <c r="LDH525" s="1358"/>
      <c r="LDI525" s="1358"/>
      <c r="LDJ525" s="1358"/>
      <c r="LDK525" s="1358"/>
      <c r="LDL525" s="1358"/>
      <c r="LDM525" s="1358"/>
      <c r="LDN525" s="1358"/>
      <c r="LDO525" s="1358"/>
      <c r="LDP525" s="1358"/>
      <c r="LDQ525" s="1358"/>
      <c r="LDR525" s="1358"/>
      <c r="LDS525" s="1358"/>
      <c r="LDT525" s="1358"/>
      <c r="LDU525" s="1358"/>
      <c r="LDV525" s="1358"/>
      <c r="LDW525" s="1358"/>
      <c r="LDX525" s="1358"/>
      <c r="LDY525" s="1358"/>
      <c r="LDZ525" s="1358"/>
      <c r="LEA525" s="1358"/>
      <c r="LEB525" s="1358"/>
      <c r="LEC525" s="1358"/>
      <c r="LED525" s="1358"/>
      <c r="LEE525" s="1358"/>
      <c r="LEF525" s="1358"/>
      <c r="LEG525" s="1358"/>
      <c r="LEH525" s="1358"/>
      <c r="LEI525" s="1358"/>
      <c r="LEJ525" s="1358"/>
      <c r="LEK525" s="1358"/>
      <c r="LEL525" s="1358"/>
      <c r="LEM525" s="1358"/>
      <c r="LEN525" s="1358"/>
      <c r="LEO525" s="1358"/>
      <c r="LEP525" s="1358"/>
      <c r="LEQ525" s="1358"/>
      <c r="LER525" s="1358"/>
      <c r="LES525" s="1358"/>
      <c r="LET525" s="1358"/>
      <c r="LEU525" s="1358"/>
      <c r="LEV525" s="1358"/>
      <c r="LEW525" s="1358"/>
      <c r="LEX525" s="1358"/>
      <c r="LEY525" s="1358"/>
      <c r="LEZ525" s="1358"/>
      <c r="LFA525" s="1358"/>
      <c r="LFB525" s="1358"/>
      <c r="LFC525" s="1358"/>
      <c r="LFD525" s="1358"/>
      <c r="LFE525" s="1358"/>
      <c r="LFF525" s="1358"/>
      <c r="LFG525" s="1358"/>
      <c r="LFH525" s="1358"/>
      <c r="LFI525" s="1358"/>
      <c r="LFJ525" s="1358"/>
      <c r="LFK525" s="1358"/>
      <c r="LFL525" s="1358"/>
      <c r="LFM525" s="1358"/>
      <c r="LFN525" s="1358"/>
      <c r="LFO525" s="1358"/>
      <c r="LFP525" s="1358"/>
      <c r="LFQ525" s="1358"/>
      <c r="LFR525" s="1358"/>
      <c r="LFS525" s="1358"/>
      <c r="LFT525" s="1358"/>
      <c r="LFU525" s="1358"/>
      <c r="LFV525" s="1358"/>
      <c r="LFW525" s="1358"/>
      <c r="LFX525" s="1358"/>
      <c r="LFY525" s="1358"/>
      <c r="LFZ525" s="1358"/>
      <c r="LGA525" s="1358"/>
      <c r="LGB525" s="1358"/>
      <c r="LGC525" s="1358"/>
      <c r="LGD525" s="1358"/>
      <c r="LGE525" s="1358"/>
      <c r="LGF525" s="1358"/>
      <c r="LGG525" s="1358"/>
      <c r="LGH525" s="1358"/>
      <c r="LGI525" s="1358"/>
      <c r="LGJ525" s="1358"/>
      <c r="LGK525" s="1358"/>
      <c r="LGL525" s="1358"/>
      <c r="LGM525" s="1358"/>
      <c r="LGN525" s="1358"/>
      <c r="LGO525" s="1358"/>
      <c r="LGP525" s="1358"/>
      <c r="LGQ525" s="1358"/>
      <c r="LGR525" s="1358"/>
      <c r="LGS525" s="1358"/>
      <c r="LGT525" s="1358"/>
      <c r="LGU525" s="1358"/>
      <c r="LGV525" s="1358"/>
      <c r="LGW525" s="1358"/>
      <c r="LGX525" s="1358"/>
      <c r="LGY525" s="1358"/>
      <c r="LGZ525" s="1358"/>
      <c r="LHA525" s="1358"/>
      <c r="LHB525" s="1358"/>
      <c r="LHC525" s="1358"/>
      <c r="LHD525" s="1358"/>
      <c r="LHE525" s="1358"/>
      <c r="LHF525" s="1358"/>
      <c r="LHG525" s="1358"/>
      <c r="LHH525" s="1358"/>
      <c r="LHI525" s="1358"/>
      <c r="LHJ525" s="1358"/>
      <c r="LHK525" s="1358"/>
      <c r="LHL525" s="1358"/>
      <c r="LHM525" s="1358"/>
      <c r="LHN525" s="1358"/>
      <c r="LHO525" s="1358"/>
      <c r="LHP525" s="1358"/>
      <c r="LHQ525" s="1358"/>
      <c r="LHR525" s="1358"/>
      <c r="LHS525" s="1358"/>
      <c r="LHT525" s="1358"/>
      <c r="LHU525" s="1358"/>
      <c r="LHV525" s="1358"/>
      <c r="LHW525" s="1358"/>
      <c r="LHX525" s="1358"/>
      <c r="LHY525" s="1358"/>
      <c r="LHZ525" s="1358"/>
      <c r="LIA525" s="1358"/>
      <c r="LIB525" s="1358"/>
      <c r="LIC525" s="1358"/>
      <c r="LID525" s="1358"/>
      <c r="LIE525" s="1358"/>
      <c r="LIF525" s="1358"/>
      <c r="LIG525" s="1358"/>
      <c r="LIH525" s="1358"/>
      <c r="LII525" s="1358"/>
      <c r="LIJ525" s="1358"/>
      <c r="LIK525" s="1358"/>
      <c r="LIL525" s="1358"/>
      <c r="LIM525" s="1358"/>
      <c r="LIN525" s="1358"/>
      <c r="LIO525" s="1358"/>
      <c r="LIP525" s="1358"/>
      <c r="LIQ525" s="1358"/>
      <c r="LIR525" s="1358"/>
      <c r="LIS525" s="1358"/>
      <c r="LIT525" s="1358"/>
      <c r="LIU525" s="1358"/>
      <c r="LIV525" s="1358"/>
      <c r="LIW525" s="1358"/>
      <c r="LIX525" s="1358"/>
      <c r="LIY525" s="1358"/>
      <c r="LIZ525" s="1358"/>
      <c r="LJA525" s="1358"/>
      <c r="LJB525" s="1358"/>
      <c r="LJC525" s="1358"/>
      <c r="LJD525" s="1358"/>
      <c r="LJE525" s="1358"/>
      <c r="LJF525" s="1358"/>
      <c r="LJG525" s="1358"/>
      <c r="LJH525" s="1358"/>
      <c r="LJI525" s="1358"/>
      <c r="LJJ525" s="1358"/>
      <c r="LJK525" s="1358"/>
      <c r="LJL525" s="1358"/>
      <c r="LJM525" s="1358"/>
      <c r="LJN525" s="1358"/>
      <c r="LJO525" s="1358"/>
      <c r="LJP525" s="1358"/>
      <c r="LJQ525" s="1358"/>
      <c r="LJR525" s="1358"/>
      <c r="LJS525" s="1358"/>
      <c r="LJT525" s="1358"/>
      <c r="LJU525" s="1358"/>
      <c r="LJV525" s="1358"/>
      <c r="LJW525" s="1358"/>
      <c r="LJX525" s="1358"/>
      <c r="LJY525" s="1358"/>
      <c r="LJZ525" s="1358"/>
      <c r="LKA525" s="1358"/>
      <c r="LKB525" s="1358"/>
      <c r="LKC525" s="1358"/>
      <c r="LKD525" s="1358"/>
      <c r="LKE525" s="1358"/>
      <c r="LKF525" s="1358"/>
      <c r="LKG525" s="1358"/>
      <c r="LKH525" s="1358"/>
      <c r="LKI525" s="1358"/>
      <c r="LKJ525" s="1358"/>
      <c r="LKK525" s="1358"/>
      <c r="LKL525" s="1358"/>
      <c r="LKM525" s="1358"/>
      <c r="LKN525" s="1358"/>
      <c r="LKO525" s="1358"/>
      <c r="LKP525" s="1358"/>
      <c r="LKQ525" s="1358"/>
      <c r="LKR525" s="1358"/>
      <c r="LKS525" s="1358"/>
      <c r="LKT525" s="1358"/>
      <c r="LKU525" s="1358"/>
      <c r="LKV525" s="1358"/>
      <c r="LKW525" s="1358"/>
      <c r="LKX525" s="1358"/>
      <c r="LKY525" s="1358"/>
      <c r="LKZ525" s="1358"/>
      <c r="LLA525" s="1358"/>
      <c r="LLB525" s="1358"/>
      <c r="LLC525" s="1358"/>
      <c r="LLD525" s="1358"/>
      <c r="LLE525" s="1358"/>
      <c r="LLF525" s="1358"/>
      <c r="LLG525" s="1358"/>
      <c r="LLH525" s="1358"/>
      <c r="LLI525" s="1358"/>
      <c r="LLJ525" s="1358"/>
      <c r="LLK525" s="1358"/>
      <c r="LLL525" s="1358"/>
      <c r="LLM525" s="1358"/>
      <c r="LLN525" s="1358"/>
      <c r="LLO525" s="1358"/>
      <c r="LLP525" s="1358"/>
      <c r="LLQ525" s="1358"/>
      <c r="LLR525" s="1358"/>
      <c r="LLS525" s="1358"/>
      <c r="LLT525" s="1358"/>
      <c r="LLU525" s="1358"/>
      <c r="LLV525" s="1358"/>
      <c r="LLW525" s="1358"/>
      <c r="LLX525" s="1358"/>
      <c r="LLY525" s="1358"/>
      <c r="LLZ525" s="1358"/>
      <c r="LMA525" s="1358"/>
      <c r="LMB525" s="1358"/>
      <c r="LMC525" s="1358"/>
      <c r="LMD525" s="1358"/>
      <c r="LME525" s="1358"/>
      <c r="LMF525" s="1358"/>
      <c r="LMG525" s="1358"/>
      <c r="LMH525" s="1358"/>
      <c r="LMI525" s="1358"/>
      <c r="LMJ525" s="1358"/>
      <c r="LMK525" s="1358"/>
      <c r="LML525" s="1358"/>
      <c r="LMM525" s="1358"/>
      <c r="LMN525" s="1358"/>
      <c r="LMO525" s="1358"/>
      <c r="LMP525" s="1358"/>
      <c r="LMQ525" s="1358"/>
      <c r="LMR525" s="1358"/>
      <c r="LMS525" s="1358"/>
      <c r="LMT525" s="1358"/>
      <c r="LMU525" s="1358"/>
      <c r="LMV525" s="1358"/>
      <c r="LMW525" s="1358"/>
      <c r="LMX525" s="1358"/>
      <c r="LMY525" s="1358"/>
      <c r="LMZ525" s="1358"/>
      <c r="LNA525" s="1358"/>
      <c r="LNB525" s="1358"/>
      <c r="LNC525" s="1358"/>
      <c r="LND525" s="1358"/>
      <c r="LNE525" s="1358"/>
      <c r="LNF525" s="1358"/>
      <c r="LNG525" s="1358"/>
      <c r="LNH525" s="1358"/>
      <c r="LNI525" s="1358"/>
      <c r="LNJ525" s="1358"/>
      <c r="LNK525" s="1358"/>
      <c r="LNL525" s="1358"/>
      <c r="LNM525" s="1358"/>
      <c r="LNN525" s="1358"/>
      <c r="LNO525" s="1358"/>
      <c r="LNP525" s="1358"/>
      <c r="LNQ525" s="1358"/>
      <c r="LNR525" s="1358"/>
      <c r="LNS525" s="1358"/>
      <c r="LNT525" s="1358"/>
      <c r="LNU525" s="1358"/>
      <c r="LNV525" s="1358"/>
      <c r="LNW525" s="1358"/>
      <c r="LNX525" s="1358"/>
      <c r="LNY525" s="1358"/>
      <c r="LNZ525" s="1358"/>
      <c r="LOA525" s="1358"/>
      <c r="LOB525" s="1358"/>
      <c r="LOC525" s="1358"/>
      <c r="LOD525" s="1358"/>
      <c r="LOE525" s="1358"/>
      <c r="LOF525" s="1358"/>
      <c r="LOG525" s="1358"/>
      <c r="LOH525" s="1358"/>
      <c r="LOI525" s="1358"/>
      <c r="LOJ525" s="1358"/>
      <c r="LOK525" s="1358"/>
      <c r="LOL525" s="1358"/>
      <c r="LOM525" s="1358"/>
      <c r="LON525" s="1358"/>
      <c r="LOO525" s="1358"/>
      <c r="LOP525" s="1358"/>
      <c r="LOQ525" s="1358"/>
      <c r="LOR525" s="1358"/>
      <c r="LOS525" s="1358"/>
      <c r="LOT525" s="1358"/>
      <c r="LOU525" s="1358"/>
      <c r="LOV525" s="1358"/>
      <c r="LOW525" s="1358"/>
      <c r="LOX525" s="1358"/>
      <c r="LOY525" s="1358"/>
      <c r="LOZ525" s="1358"/>
      <c r="LPA525" s="1358"/>
      <c r="LPB525" s="1358"/>
      <c r="LPC525" s="1358"/>
      <c r="LPD525" s="1358"/>
      <c r="LPE525" s="1358"/>
      <c r="LPF525" s="1358"/>
      <c r="LPG525" s="1358"/>
      <c r="LPH525" s="1358"/>
      <c r="LPI525" s="1358"/>
      <c r="LPJ525" s="1358"/>
      <c r="LPK525" s="1358"/>
      <c r="LPL525" s="1358"/>
      <c r="LPM525" s="1358"/>
      <c r="LPN525" s="1358"/>
      <c r="LPO525" s="1358"/>
      <c r="LPP525" s="1358"/>
      <c r="LPQ525" s="1358"/>
      <c r="LPR525" s="1358"/>
      <c r="LPS525" s="1358"/>
      <c r="LPT525" s="1358"/>
      <c r="LPU525" s="1358"/>
      <c r="LPV525" s="1358"/>
      <c r="LPW525" s="1358"/>
      <c r="LPX525" s="1358"/>
      <c r="LPY525" s="1358"/>
      <c r="LPZ525" s="1358"/>
      <c r="LQA525" s="1358"/>
      <c r="LQB525" s="1358"/>
      <c r="LQC525" s="1358"/>
      <c r="LQD525" s="1358"/>
      <c r="LQE525" s="1358"/>
      <c r="LQF525" s="1358"/>
      <c r="LQG525" s="1358"/>
      <c r="LQH525" s="1358"/>
      <c r="LQI525" s="1358"/>
      <c r="LQJ525" s="1358"/>
      <c r="LQK525" s="1358"/>
      <c r="LQL525" s="1358"/>
      <c r="LQM525" s="1358"/>
      <c r="LQN525" s="1358"/>
      <c r="LQO525" s="1358"/>
      <c r="LQP525" s="1358"/>
      <c r="LQQ525" s="1358"/>
      <c r="LQR525" s="1358"/>
      <c r="LQS525" s="1358"/>
      <c r="LQT525" s="1358"/>
      <c r="LQU525" s="1358"/>
      <c r="LQV525" s="1358"/>
      <c r="LQW525" s="1358"/>
      <c r="LQX525" s="1358"/>
      <c r="LQY525" s="1358"/>
      <c r="LQZ525" s="1358"/>
      <c r="LRA525" s="1358"/>
      <c r="LRB525" s="1358"/>
      <c r="LRC525" s="1358"/>
      <c r="LRD525" s="1358"/>
      <c r="LRE525" s="1358"/>
      <c r="LRF525" s="1358"/>
      <c r="LRG525" s="1358"/>
      <c r="LRH525" s="1358"/>
      <c r="LRI525" s="1358"/>
      <c r="LRJ525" s="1358"/>
      <c r="LRK525" s="1358"/>
      <c r="LRL525" s="1358"/>
      <c r="LRM525" s="1358"/>
      <c r="LRN525" s="1358"/>
      <c r="LRO525" s="1358"/>
      <c r="LRP525" s="1358"/>
      <c r="LRQ525" s="1358"/>
      <c r="LRR525" s="1358"/>
      <c r="LRS525" s="1358"/>
      <c r="LRT525" s="1358"/>
      <c r="LRU525" s="1358"/>
      <c r="LRV525" s="1358"/>
      <c r="LRW525" s="1358"/>
      <c r="LRX525" s="1358"/>
      <c r="LRY525" s="1358"/>
      <c r="LRZ525" s="1358"/>
      <c r="LSA525" s="1358"/>
      <c r="LSB525" s="1358"/>
      <c r="LSC525" s="1358"/>
      <c r="LSD525" s="1358"/>
      <c r="LSE525" s="1358"/>
      <c r="LSF525" s="1358"/>
      <c r="LSG525" s="1358"/>
      <c r="LSH525" s="1358"/>
      <c r="LSI525" s="1358"/>
      <c r="LSJ525" s="1358"/>
      <c r="LSK525" s="1358"/>
      <c r="LSL525" s="1358"/>
      <c r="LSM525" s="1358"/>
      <c r="LSN525" s="1358"/>
      <c r="LSO525" s="1358"/>
      <c r="LSP525" s="1358"/>
      <c r="LSQ525" s="1358"/>
      <c r="LSR525" s="1358"/>
      <c r="LSS525" s="1358"/>
      <c r="LST525" s="1358"/>
      <c r="LSU525" s="1358"/>
      <c r="LSV525" s="1358"/>
      <c r="LSW525" s="1358"/>
      <c r="LSX525" s="1358"/>
      <c r="LSY525" s="1358"/>
      <c r="LSZ525" s="1358"/>
      <c r="LTA525" s="1358"/>
      <c r="LTB525" s="1358"/>
      <c r="LTC525" s="1358"/>
      <c r="LTD525" s="1358"/>
      <c r="LTE525" s="1358"/>
      <c r="LTF525" s="1358"/>
      <c r="LTG525" s="1358"/>
      <c r="LTH525" s="1358"/>
      <c r="LTI525" s="1358"/>
      <c r="LTJ525" s="1358"/>
      <c r="LTK525" s="1358"/>
      <c r="LTL525" s="1358"/>
      <c r="LTM525" s="1358"/>
      <c r="LTN525" s="1358"/>
      <c r="LTO525" s="1358"/>
      <c r="LTP525" s="1358"/>
      <c r="LTQ525" s="1358"/>
      <c r="LTR525" s="1358"/>
      <c r="LTS525" s="1358"/>
      <c r="LTT525" s="1358"/>
      <c r="LTU525" s="1358"/>
      <c r="LTV525" s="1358"/>
      <c r="LTW525" s="1358"/>
      <c r="LTX525" s="1358"/>
      <c r="LTY525" s="1358"/>
      <c r="LTZ525" s="1358"/>
      <c r="LUA525" s="1358"/>
      <c r="LUB525" s="1358"/>
      <c r="LUC525" s="1358"/>
      <c r="LUD525" s="1358"/>
      <c r="LUE525" s="1358"/>
      <c r="LUF525" s="1358"/>
      <c r="LUG525" s="1358"/>
      <c r="LUH525" s="1358"/>
      <c r="LUI525" s="1358"/>
      <c r="LUJ525" s="1358"/>
      <c r="LUK525" s="1358"/>
      <c r="LUL525" s="1358"/>
      <c r="LUM525" s="1358"/>
      <c r="LUN525" s="1358"/>
      <c r="LUO525" s="1358"/>
      <c r="LUP525" s="1358"/>
      <c r="LUQ525" s="1358"/>
      <c r="LUR525" s="1358"/>
      <c r="LUS525" s="1358"/>
      <c r="LUT525" s="1358"/>
      <c r="LUU525" s="1358"/>
      <c r="LUV525" s="1358"/>
      <c r="LUW525" s="1358"/>
      <c r="LUX525" s="1358"/>
      <c r="LUY525" s="1358"/>
      <c r="LUZ525" s="1358"/>
      <c r="LVA525" s="1358"/>
      <c r="LVB525" s="1358"/>
      <c r="LVC525" s="1358"/>
      <c r="LVD525" s="1358"/>
      <c r="LVE525" s="1358"/>
      <c r="LVF525" s="1358"/>
      <c r="LVG525" s="1358"/>
      <c r="LVH525" s="1358"/>
      <c r="LVI525" s="1358"/>
      <c r="LVJ525" s="1358"/>
      <c r="LVK525" s="1358"/>
      <c r="LVL525" s="1358"/>
      <c r="LVM525" s="1358"/>
      <c r="LVN525" s="1358"/>
      <c r="LVO525" s="1358"/>
      <c r="LVP525" s="1358"/>
      <c r="LVQ525" s="1358"/>
      <c r="LVR525" s="1358"/>
      <c r="LVS525" s="1358"/>
      <c r="LVT525" s="1358"/>
      <c r="LVU525" s="1358"/>
      <c r="LVV525" s="1358"/>
      <c r="LVW525" s="1358"/>
      <c r="LVX525" s="1358"/>
      <c r="LVY525" s="1358"/>
      <c r="LVZ525" s="1358"/>
      <c r="LWA525" s="1358"/>
      <c r="LWB525" s="1358"/>
      <c r="LWC525" s="1358"/>
      <c r="LWD525" s="1358"/>
      <c r="LWE525" s="1358"/>
      <c r="LWF525" s="1358"/>
      <c r="LWG525" s="1358"/>
      <c r="LWH525" s="1358"/>
      <c r="LWI525" s="1358"/>
      <c r="LWJ525" s="1358"/>
      <c r="LWK525" s="1358"/>
      <c r="LWL525" s="1358"/>
      <c r="LWM525" s="1358"/>
      <c r="LWN525" s="1358"/>
      <c r="LWO525" s="1358"/>
      <c r="LWP525" s="1358"/>
      <c r="LWQ525" s="1358"/>
      <c r="LWR525" s="1358"/>
      <c r="LWS525" s="1358"/>
      <c r="LWT525" s="1358"/>
      <c r="LWU525" s="1358"/>
      <c r="LWV525" s="1358"/>
      <c r="LWW525" s="1358"/>
      <c r="LWX525" s="1358"/>
      <c r="LWY525" s="1358"/>
      <c r="LWZ525" s="1358"/>
      <c r="LXA525" s="1358"/>
      <c r="LXB525" s="1358"/>
      <c r="LXC525" s="1358"/>
      <c r="LXD525" s="1358"/>
      <c r="LXE525" s="1358"/>
      <c r="LXF525" s="1358"/>
      <c r="LXG525" s="1358"/>
      <c r="LXH525" s="1358"/>
      <c r="LXI525" s="1358"/>
      <c r="LXJ525" s="1358"/>
      <c r="LXK525" s="1358"/>
      <c r="LXL525" s="1358"/>
      <c r="LXM525" s="1358"/>
      <c r="LXN525" s="1358"/>
      <c r="LXO525" s="1358"/>
      <c r="LXP525" s="1358"/>
      <c r="LXQ525" s="1358"/>
      <c r="LXR525" s="1358"/>
      <c r="LXS525" s="1358"/>
      <c r="LXT525" s="1358"/>
      <c r="LXU525" s="1358"/>
      <c r="LXV525" s="1358"/>
      <c r="LXW525" s="1358"/>
      <c r="LXX525" s="1358"/>
      <c r="LXY525" s="1358"/>
      <c r="LXZ525" s="1358"/>
      <c r="LYA525" s="1358"/>
      <c r="LYB525" s="1358"/>
      <c r="LYC525" s="1358"/>
      <c r="LYD525" s="1358"/>
      <c r="LYE525" s="1358"/>
      <c r="LYF525" s="1358"/>
      <c r="LYG525" s="1358"/>
      <c r="LYH525" s="1358"/>
      <c r="LYI525" s="1358"/>
      <c r="LYJ525" s="1358"/>
      <c r="LYK525" s="1358"/>
      <c r="LYL525" s="1358"/>
      <c r="LYM525" s="1358"/>
      <c r="LYN525" s="1358"/>
      <c r="LYO525" s="1358"/>
      <c r="LYP525" s="1358"/>
      <c r="LYQ525" s="1358"/>
      <c r="LYR525" s="1358"/>
      <c r="LYS525" s="1358"/>
      <c r="LYT525" s="1358"/>
      <c r="LYU525" s="1358"/>
      <c r="LYV525" s="1358"/>
      <c r="LYW525" s="1358"/>
      <c r="LYX525" s="1358"/>
      <c r="LYY525" s="1358"/>
      <c r="LYZ525" s="1358"/>
      <c r="LZA525" s="1358"/>
      <c r="LZB525" s="1358"/>
      <c r="LZC525" s="1358"/>
      <c r="LZD525" s="1358"/>
      <c r="LZE525" s="1358"/>
      <c r="LZF525" s="1358"/>
      <c r="LZG525" s="1358"/>
      <c r="LZH525" s="1358"/>
      <c r="LZI525" s="1358"/>
      <c r="LZJ525" s="1358"/>
      <c r="LZK525" s="1358"/>
      <c r="LZL525" s="1358"/>
      <c r="LZM525" s="1358"/>
      <c r="LZN525" s="1358"/>
      <c r="LZO525" s="1358"/>
      <c r="LZP525" s="1358"/>
      <c r="LZQ525" s="1358"/>
      <c r="LZR525" s="1358"/>
      <c r="LZS525" s="1358"/>
      <c r="LZT525" s="1358"/>
      <c r="LZU525" s="1358"/>
      <c r="LZV525" s="1358"/>
      <c r="LZW525" s="1358"/>
      <c r="LZX525" s="1358"/>
      <c r="LZY525" s="1358"/>
      <c r="LZZ525" s="1358"/>
      <c r="MAA525" s="1358"/>
      <c r="MAB525" s="1358"/>
      <c r="MAC525" s="1358"/>
      <c r="MAD525" s="1358"/>
      <c r="MAE525" s="1358"/>
      <c r="MAF525" s="1358"/>
      <c r="MAG525" s="1358"/>
      <c r="MAH525" s="1358"/>
      <c r="MAI525" s="1358"/>
      <c r="MAJ525" s="1358"/>
      <c r="MAK525" s="1358"/>
      <c r="MAL525" s="1358"/>
      <c r="MAM525" s="1358"/>
      <c r="MAN525" s="1358"/>
      <c r="MAO525" s="1358"/>
      <c r="MAP525" s="1358"/>
      <c r="MAQ525" s="1358"/>
      <c r="MAR525" s="1358"/>
      <c r="MAS525" s="1358"/>
      <c r="MAT525" s="1358"/>
      <c r="MAU525" s="1358"/>
      <c r="MAV525" s="1358"/>
      <c r="MAW525" s="1358"/>
      <c r="MAX525" s="1358"/>
      <c r="MAY525" s="1358"/>
      <c r="MAZ525" s="1358"/>
      <c r="MBA525" s="1358"/>
      <c r="MBB525" s="1358"/>
      <c r="MBC525" s="1358"/>
      <c r="MBD525" s="1358"/>
      <c r="MBE525" s="1358"/>
      <c r="MBF525" s="1358"/>
      <c r="MBG525" s="1358"/>
      <c r="MBH525" s="1358"/>
      <c r="MBI525" s="1358"/>
      <c r="MBJ525" s="1358"/>
      <c r="MBK525" s="1358"/>
      <c r="MBL525" s="1358"/>
      <c r="MBM525" s="1358"/>
      <c r="MBN525" s="1358"/>
      <c r="MBO525" s="1358"/>
      <c r="MBP525" s="1358"/>
      <c r="MBQ525" s="1358"/>
      <c r="MBR525" s="1358"/>
      <c r="MBS525" s="1358"/>
      <c r="MBT525" s="1358"/>
      <c r="MBU525" s="1358"/>
      <c r="MBV525" s="1358"/>
      <c r="MBW525" s="1358"/>
      <c r="MBX525" s="1358"/>
      <c r="MBY525" s="1358"/>
      <c r="MBZ525" s="1358"/>
      <c r="MCA525" s="1358"/>
      <c r="MCB525" s="1358"/>
      <c r="MCC525" s="1358"/>
      <c r="MCD525" s="1358"/>
      <c r="MCE525" s="1358"/>
      <c r="MCF525" s="1358"/>
      <c r="MCG525" s="1358"/>
      <c r="MCH525" s="1358"/>
      <c r="MCI525" s="1358"/>
      <c r="MCJ525" s="1358"/>
      <c r="MCK525" s="1358"/>
      <c r="MCL525" s="1358"/>
      <c r="MCM525" s="1358"/>
      <c r="MCN525" s="1358"/>
      <c r="MCO525" s="1358"/>
      <c r="MCP525" s="1358"/>
      <c r="MCQ525" s="1358"/>
      <c r="MCR525" s="1358"/>
      <c r="MCS525" s="1358"/>
      <c r="MCT525" s="1358"/>
      <c r="MCU525" s="1358"/>
      <c r="MCV525" s="1358"/>
      <c r="MCW525" s="1358"/>
      <c r="MCX525" s="1358"/>
      <c r="MCY525" s="1358"/>
      <c r="MCZ525" s="1358"/>
      <c r="MDA525" s="1358"/>
      <c r="MDB525" s="1358"/>
      <c r="MDC525" s="1358"/>
      <c r="MDD525" s="1358"/>
      <c r="MDE525" s="1358"/>
      <c r="MDF525" s="1358"/>
      <c r="MDG525" s="1358"/>
      <c r="MDH525" s="1358"/>
      <c r="MDI525" s="1358"/>
      <c r="MDJ525" s="1358"/>
      <c r="MDK525" s="1358"/>
      <c r="MDL525" s="1358"/>
      <c r="MDM525" s="1358"/>
      <c r="MDN525" s="1358"/>
      <c r="MDO525" s="1358"/>
      <c r="MDP525" s="1358"/>
      <c r="MDQ525" s="1358"/>
      <c r="MDR525" s="1358"/>
      <c r="MDS525" s="1358"/>
      <c r="MDT525" s="1358"/>
      <c r="MDU525" s="1358"/>
      <c r="MDV525" s="1358"/>
      <c r="MDW525" s="1358"/>
      <c r="MDX525" s="1358"/>
      <c r="MDY525" s="1358"/>
      <c r="MDZ525" s="1358"/>
      <c r="MEA525" s="1358"/>
      <c r="MEB525" s="1358"/>
      <c r="MEC525" s="1358"/>
      <c r="MED525" s="1358"/>
      <c r="MEE525" s="1358"/>
      <c r="MEF525" s="1358"/>
      <c r="MEG525" s="1358"/>
      <c r="MEH525" s="1358"/>
      <c r="MEI525" s="1358"/>
      <c r="MEJ525" s="1358"/>
      <c r="MEK525" s="1358"/>
      <c r="MEL525" s="1358"/>
      <c r="MEM525" s="1358"/>
      <c r="MEN525" s="1358"/>
      <c r="MEO525" s="1358"/>
      <c r="MEP525" s="1358"/>
      <c r="MEQ525" s="1358"/>
      <c r="MER525" s="1358"/>
      <c r="MES525" s="1358"/>
      <c r="MET525" s="1358"/>
      <c r="MEU525" s="1358"/>
      <c r="MEV525" s="1358"/>
      <c r="MEW525" s="1358"/>
      <c r="MEX525" s="1358"/>
      <c r="MEY525" s="1358"/>
      <c r="MEZ525" s="1358"/>
      <c r="MFA525" s="1358"/>
      <c r="MFB525" s="1358"/>
      <c r="MFC525" s="1358"/>
      <c r="MFD525" s="1358"/>
      <c r="MFE525" s="1358"/>
      <c r="MFF525" s="1358"/>
      <c r="MFG525" s="1358"/>
      <c r="MFH525" s="1358"/>
      <c r="MFI525" s="1358"/>
      <c r="MFJ525" s="1358"/>
      <c r="MFK525" s="1358"/>
      <c r="MFL525" s="1358"/>
      <c r="MFM525" s="1358"/>
      <c r="MFN525" s="1358"/>
      <c r="MFO525" s="1358"/>
      <c r="MFP525" s="1358"/>
      <c r="MFQ525" s="1358"/>
      <c r="MFR525" s="1358"/>
      <c r="MFS525" s="1358"/>
      <c r="MFT525" s="1358"/>
      <c r="MFU525" s="1358"/>
      <c r="MFV525" s="1358"/>
      <c r="MFW525" s="1358"/>
      <c r="MFX525" s="1358"/>
      <c r="MFY525" s="1358"/>
      <c r="MFZ525" s="1358"/>
      <c r="MGA525" s="1358"/>
      <c r="MGB525" s="1358"/>
      <c r="MGC525" s="1358"/>
      <c r="MGD525" s="1358"/>
      <c r="MGE525" s="1358"/>
      <c r="MGF525" s="1358"/>
      <c r="MGG525" s="1358"/>
      <c r="MGH525" s="1358"/>
      <c r="MGI525" s="1358"/>
      <c r="MGJ525" s="1358"/>
      <c r="MGK525" s="1358"/>
      <c r="MGL525" s="1358"/>
      <c r="MGM525" s="1358"/>
      <c r="MGN525" s="1358"/>
      <c r="MGO525" s="1358"/>
      <c r="MGP525" s="1358"/>
      <c r="MGQ525" s="1358"/>
      <c r="MGR525" s="1358"/>
      <c r="MGS525" s="1358"/>
      <c r="MGT525" s="1358"/>
      <c r="MGU525" s="1358"/>
      <c r="MGV525" s="1358"/>
      <c r="MGW525" s="1358"/>
      <c r="MGX525" s="1358"/>
      <c r="MGY525" s="1358"/>
      <c r="MGZ525" s="1358"/>
      <c r="MHA525" s="1358"/>
      <c r="MHB525" s="1358"/>
      <c r="MHC525" s="1358"/>
      <c r="MHD525" s="1358"/>
      <c r="MHE525" s="1358"/>
      <c r="MHF525" s="1358"/>
      <c r="MHG525" s="1358"/>
      <c r="MHH525" s="1358"/>
      <c r="MHI525" s="1358"/>
      <c r="MHJ525" s="1358"/>
      <c r="MHK525" s="1358"/>
      <c r="MHL525" s="1358"/>
      <c r="MHM525" s="1358"/>
      <c r="MHN525" s="1358"/>
      <c r="MHO525" s="1358"/>
      <c r="MHP525" s="1358"/>
      <c r="MHQ525" s="1358"/>
      <c r="MHR525" s="1358"/>
      <c r="MHS525" s="1358"/>
      <c r="MHT525" s="1358"/>
      <c r="MHU525" s="1358"/>
      <c r="MHV525" s="1358"/>
      <c r="MHW525" s="1358"/>
      <c r="MHX525" s="1358"/>
      <c r="MHY525" s="1358"/>
      <c r="MHZ525" s="1358"/>
      <c r="MIA525" s="1358"/>
      <c r="MIB525" s="1358"/>
      <c r="MIC525" s="1358"/>
      <c r="MID525" s="1358"/>
      <c r="MIE525" s="1358"/>
      <c r="MIF525" s="1358"/>
      <c r="MIG525" s="1358"/>
      <c r="MIH525" s="1358"/>
      <c r="MII525" s="1358"/>
      <c r="MIJ525" s="1358"/>
      <c r="MIK525" s="1358"/>
      <c r="MIL525" s="1358"/>
      <c r="MIM525" s="1358"/>
      <c r="MIN525" s="1358"/>
      <c r="MIO525" s="1358"/>
      <c r="MIP525" s="1358"/>
      <c r="MIQ525" s="1358"/>
      <c r="MIR525" s="1358"/>
      <c r="MIS525" s="1358"/>
      <c r="MIT525" s="1358"/>
      <c r="MIU525" s="1358"/>
      <c r="MIV525" s="1358"/>
      <c r="MIW525" s="1358"/>
      <c r="MIX525" s="1358"/>
      <c r="MIY525" s="1358"/>
      <c r="MIZ525" s="1358"/>
      <c r="MJA525" s="1358"/>
      <c r="MJB525" s="1358"/>
      <c r="MJC525" s="1358"/>
      <c r="MJD525" s="1358"/>
      <c r="MJE525" s="1358"/>
      <c r="MJF525" s="1358"/>
      <c r="MJG525" s="1358"/>
      <c r="MJH525" s="1358"/>
      <c r="MJI525" s="1358"/>
      <c r="MJJ525" s="1358"/>
      <c r="MJK525" s="1358"/>
      <c r="MJL525" s="1358"/>
      <c r="MJM525" s="1358"/>
      <c r="MJN525" s="1358"/>
      <c r="MJO525" s="1358"/>
      <c r="MJP525" s="1358"/>
      <c r="MJQ525" s="1358"/>
      <c r="MJR525" s="1358"/>
      <c r="MJS525" s="1358"/>
      <c r="MJT525" s="1358"/>
      <c r="MJU525" s="1358"/>
      <c r="MJV525" s="1358"/>
      <c r="MJW525" s="1358"/>
      <c r="MJX525" s="1358"/>
      <c r="MJY525" s="1358"/>
      <c r="MJZ525" s="1358"/>
      <c r="MKA525" s="1358"/>
      <c r="MKB525" s="1358"/>
      <c r="MKC525" s="1358"/>
      <c r="MKD525" s="1358"/>
      <c r="MKE525" s="1358"/>
      <c r="MKF525" s="1358"/>
      <c r="MKG525" s="1358"/>
      <c r="MKH525" s="1358"/>
      <c r="MKI525" s="1358"/>
      <c r="MKJ525" s="1358"/>
      <c r="MKK525" s="1358"/>
      <c r="MKL525" s="1358"/>
      <c r="MKM525" s="1358"/>
      <c r="MKN525" s="1358"/>
      <c r="MKO525" s="1358"/>
      <c r="MKP525" s="1358"/>
      <c r="MKQ525" s="1358"/>
      <c r="MKR525" s="1358"/>
      <c r="MKS525" s="1358"/>
      <c r="MKT525" s="1358"/>
      <c r="MKU525" s="1358"/>
      <c r="MKV525" s="1358"/>
      <c r="MKW525" s="1358"/>
      <c r="MKX525" s="1358"/>
      <c r="MKY525" s="1358"/>
      <c r="MKZ525" s="1358"/>
      <c r="MLA525" s="1358"/>
      <c r="MLB525" s="1358"/>
      <c r="MLC525" s="1358"/>
      <c r="MLD525" s="1358"/>
      <c r="MLE525" s="1358"/>
      <c r="MLF525" s="1358"/>
      <c r="MLG525" s="1358"/>
      <c r="MLH525" s="1358"/>
      <c r="MLI525" s="1358"/>
      <c r="MLJ525" s="1358"/>
      <c r="MLK525" s="1358"/>
      <c r="MLL525" s="1358"/>
      <c r="MLM525" s="1358"/>
      <c r="MLN525" s="1358"/>
      <c r="MLO525" s="1358"/>
      <c r="MLP525" s="1358"/>
      <c r="MLQ525" s="1358"/>
      <c r="MLR525" s="1358"/>
      <c r="MLS525" s="1358"/>
      <c r="MLT525" s="1358"/>
      <c r="MLU525" s="1358"/>
      <c r="MLV525" s="1358"/>
      <c r="MLW525" s="1358"/>
      <c r="MLX525" s="1358"/>
      <c r="MLY525" s="1358"/>
      <c r="MLZ525" s="1358"/>
      <c r="MMA525" s="1358"/>
      <c r="MMB525" s="1358"/>
      <c r="MMC525" s="1358"/>
      <c r="MMD525" s="1358"/>
      <c r="MME525" s="1358"/>
      <c r="MMF525" s="1358"/>
      <c r="MMG525" s="1358"/>
      <c r="MMH525" s="1358"/>
      <c r="MMI525" s="1358"/>
      <c r="MMJ525" s="1358"/>
      <c r="MMK525" s="1358"/>
      <c r="MML525" s="1358"/>
      <c r="MMM525" s="1358"/>
      <c r="MMN525" s="1358"/>
      <c r="MMO525" s="1358"/>
      <c r="MMP525" s="1358"/>
      <c r="MMQ525" s="1358"/>
      <c r="MMR525" s="1358"/>
      <c r="MMS525" s="1358"/>
      <c r="MMT525" s="1358"/>
      <c r="MMU525" s="1358"/>
      <c r="MMV525" s="1358"/>
      <c r="MMW525" s="1358"/>
      <c r="MMX525" s="1358"/>
      <c r="MMY525" s="1358"/>
      <c r="MMZ525" s="1358"/>
      <c r="MNA525" s="1358"/>
      <c r="MNB525" s="1358"/>
      <c r="MNC525" s="1358"/>
      <c r="MND525" s="1358"/>
      <c r="MNE525" s="1358"/>
      <c r="MNF525" s="1358"/>
      <c r="MNG525" s="1358"/>
      <c r="MNH525" s="1358"/>
      <c r="MNI525" s="1358"/>
      <c r="MNJ525" s="1358"/>
      <c r="MNK525" s="1358"/>
      <c r="MNL525" s="1358"/>
      <c r="MNM525" s="1358"/>
      <c r="MNN525" s="1358"/>
      <c r="MNO525" s="1358"/>
      <c r="MNP525" s="1358"/>
      <c r="MNQ525" s="1358"/>
      <c r="MNR525" s="1358"/>
      <c r="MNS525" s="1358"/>
      <c r="MNT525" s="1358"/>
      <c r="MNU525" s="1358"/>
      <c r="MNV525" s="1358"/>
      <c r="MNW525" s="1358"/>
      <c r="MNX525" s="1358"/>
      <c r="MNY525" s="1358"/>
      <c r="MNZ525" s="1358"/>
      <c r="MOA525" s="1358"/>
      <c r="MOB525" s="1358"/>
      <c r="MOC525" s="1358"/>
      <c r="MOD525" s="1358"/>
      <c r="MOE525" s="1358"/>
      <c r="MOF525" s="1358"/>
      <c r="MOG525" s="1358"/>
      <c r="MOH525" s="1358"/>
      <c r="MOI525" s="1358"/>
      <c r="MOJ525" s="1358"/>
      <c r="MOK525" s="1358"/>
      <c r="MOL525" s="1358"/>
      <c r="MOM525" s="1358"/>
      <c r="MON525" s="1358"/>
      <c r="MOO525" s="1358"/>
      <c r="MOP525" s="1358"/>
      <c r="MOQ525" s="1358"/>
      <c r="MOR525" s="1358"/>
      <c r="MOS525" s="1358"/>
      <c r="MOT525" s="1358"/>
      <c r="MOU525" s="1358"/>
      <c r="MOV525" s="1358"/>
      <c r="MOW525" s="1358"/>
      <c r="MOX525" s="1358"/>
      <c r="MOY525" s="1358"/>
      <c r="MOZ525" s="1358"/>
      <c r="MPA525" s="1358"/>
      <c r="MPB525" s="1358"/>
      <c r="MPC525" s="1358"/>
      <c r="MPD525" s="1358"/>
      <c r="MPE525" s="1358"/>
      <c r="MPF525" s="1358"/>
      <c r="MPG525" s="1358"/>
      <c r="MPH525" s="1358"/>
      <c r="MPI525" s="1358"/>
      <c r="MPJ525" s="1358"/>
      <c r="MPK525" s="1358"/>
      <c r="MPL525" s="1358"/>
      <c r="MPM525" s="1358"/>
      <c r="MPN525" s="1358"/>
      <c r="MPO525" s="1358"/>
      <c r="MPP525" s="1358"/>
      <c r="MPQ525" s="1358"/>
      <c r="MPR525" s="1358"/>
      <c r="MPS525" s="1358"/>
      <c r="MPT525" s="1358"/>
      <c r="MPU525" s="1358"/>
      <c r="MPV525" s="1358"/>
      <c r="MPW525" s="1358"/>
      <c r="MPX525" s="1358"/>
      <c r="MPY525" s="1358"/>
      <c r="MPZ525" s="1358"/>
      <c r="MQA525" s="1358"/>
      <c r="MQB525" s="1358"/>
      <c r="MQC525" s="1358"/>
      <c r="MQD525" s="1358"/>
      <c r="MQE525" s="1358"/>
      <c r="MQF525" s="1358"/>
      <c r="MQG525" s="1358"/>
      <c r="MQH525" s="1358"/>
      <c r="MQI525" s="1358"/>
      <c r="MQJ525" s="1358"/>
      <c r="MQK525" s="1358"/>
      <c r="MQL525" s="1358"/>
      <c r="MQM525" s="1358"/>
      <c r="MQN525" s="1358"/>
      <c r="MQO525" s="1358"/>
      <c r="MQP525" s="1358"/>
      <c r="MQQ525" s="1358"/>
      <c r="MQR525" s="1358"/>
      <c r="MQS525" s="1358"/>
      <c r="MQT525" s="1358"/>
      <c r="MQU525" s="1358"/>
      <c r="MQV525" s="1358"/>
      <c r="MQW525" s="1358"/>
      <c r="MQX525" s="1358"/>
      <c r="MQY525" s="1358"/>
      <c r="MQZ525" s="1358"/>
      <c r="MRA525" s="1358"/>
      <c r="MRB525" s="1358"/>
      <c r="MRC525" s="1358"/>
      <c r="MRD525" s="1358"/>
      <c r="MRE525" s="1358"/>
      <c r="MRF525" s="1358"/>
      <c r="MRG525" s="1358"/>
      <c r="MRH525" s="1358"/>
      <c r="MRI525" s="1358"/>
      <c r="MRJ525" s="1358"/>
      <c r="MRK525" s="1358"/>
      <c r="MRL525" s="1358"/>
      <c r="MRM525" s="1358"/>
      <c r="MRN525" s="1358"/>
      <c r="MRO525" s="1358"/>
      <c r="MRP525" s="1358"/>
      <c r="MRQ525" s="1358"/>
      <c r="MRR525" s="1358"/>
      <c r="MRS525" s="1358"/>
      <c r="MRT525" s="1358"/>
      <c r="MRU525" s="1358"/>
      <c r="MRV525" s="1358"/>
      <c r="MRW525" s="1358"/>
      <c r="MRX525" s="1358"/>
      <c r="MRY525" s="1358"/>
      <c r="MRZ525" s="1358"/>
      <c r="MSA525" s="1358"/>
      <c r="MSB525" s="1358"/>
      <c r="MSC525" s="1358"/>
      <c r="MSD525" s="1358"/>
      <c r="MSE525" s="1358"/>
      <c r="MSF525" s="1358"/>
      <c r="MSG525" s="1358"/>
      <c r="MSH525" s="1358"/>
      <c r="MSI525" s="1358"/>
      <c r="MSJ525" s="1358"/>
      <c r="MSK525" s="1358"/>
      <c r="MSL525" s="1358"/>
      <c r="MSM525" s="1358"/>
      <c r="MSN525" s="1358"/>
      <c r="MSO525" s="1358"/>
      <c r="MSP525" s="1358"/>
      <c r="MSQ525" s="1358"/>
      <c r="MSR525" s="1358"/>
      <c r="MSS525" s="1358"/>
      <c r="MST525" s="1358"/>
      <c r="MSU525" s="1358"/>
      <c r="MSV525" s="1358"/>
      <c r="MSW525" s="1358"/>
      <c r="MSX525" s="1358"/>
      <c r="MSY525" s="1358"/>
      <c r="MSZ525" s="1358"/>
      <c r="MTA525" s="1358"/>
      <c r="MTB525" s="1358"/>
      <c r="MTC525" s="1358"/>
      <c r="MTD525" s="1358"/>
      <c r="MTE525" s="1358"/>
      <c r="MTF525" s="1358"/>
      <c r="MTG525" s="1358"/>
      <c r="MTH525" s="1358"/>
      <c r="MTI525" s="1358"/>
      <c r="MTJ525" s="1358"/>
      <c r="MTK525" s="1358"/>
      <c r="MTL525" s="1358"/>
      <c r="MTM525" s="1358"/>
      <c r="MTN525" s="1358"/>
      <c r="MTO525" s="1358"/>
      <c r="MTP525" s="1358"/>
      <c r="MTQ525" s="1358"/>
      <c r="MTR525" s="1358"/>
      <c r="MTS525" s="1358"/>
      <c r="MTT525" s="1358"/>
      <c r="MTU525" s="1358"/>
      <c r="MTV525" s="1358"/>
      <c r="MTW525" s="1358"/>
      <c r="MTX525" s="1358"/>
      <c r="MTY525" s="1358"/>
      <c r="MTZ525" s="1358"/>
      <c r="MUA525" s="1358"/>
      <c r="MUB525" s="1358"/>
      <c r="MUC525" s="1358"/>
      <c r="MUD525" s="1358"/>
      <c r="MUE525" s="1358"/>
      <c r="MUF525" s="1358"/>
      <c r="MUG525" s="1358"/>
      <c r="MUH525" s="1358"/>
      <c r="MUI525" s="1358"/>
      <c r="MUJ525" s="1358"/>
      <c r="MUK525" s="1358"/>
      <c r="MUL525" s="1358"/>
      <c r="MUM525" s="1358"/>
      <c r="MUN525" s="1358"/>
      <c r="MUO525" s="1358"/>
      <c r="MUP525" s="1358"/>
      <c r="MUQ525" s="1358"/>
      <c r="MUR525" s="1358"/>
      <c r="MUS525" s="1358"/>
      <c r="MUT525" s="1358"/>
      <c r="MUU525" s="1358"/>
      <c r="MUV525" s="1358"/>
      <c r="MUW525" s="1358"/>
      <c r="MUX525" s="1358"/>
      <c r="MUY525" s="1358"/>
      <c r="MUZ525" s="1358"/>
      <c r="MVA525" s="1358"/>
      <c r="MVB525" s="1358"/>
      <c r="MVC525" s="1358"/>
      <c r="MVD525" s="1358"/>
      <c r="MVE525" s="1358"/>
      <c r="MVF525" s="1358"/>
      <c r="MVG525" s="1358"/>
      <c r="MVH525" s="1358"/>
      <c r="MVI525" s="1358"/>
      <c r="MVJ525" s="1358"/>
      <c r="MVK525" s="1358"/>
      <c r="MVL525" s="1358"/>
      <c r="MVM525" s="1358"/>
      <c r="MVN525" s="1358"/>
      <c r="MVO525" s="1358"/>
      <c r="MVP525" s="1358"/>
      <c r="MVQ525" s="1358"/>
      <c r="MVR525" s="1358"/>
      <c r="MVS525" s="1358"/>
      <c r="MVT525" s="1358"/>
      <c r="MVU525" s="1358"/>
      <c r="MVV525" s="1358"/>
      <c r="MVW525" s="1358"/>
      <c r="MVX525" s="1358"/>
      <c r="MVY525" s="1358"/>
      <c r="MVZ525" s="1358"/>
      <c r="MWA525" s="1358"/>
      <c r="MWB525" s="1358"/>
      <c r="MWC525" s="1358"/>
      <c r="MWD525" s="1358"/>
      <c r="MWE525" s="1358"/>
      <c r="MWF525" s="1358"/>
      <c r="MWG525" s="1358"/>
      <c r="MWH525" s="1358"/>
      <c r="MWI525" s="1358"/>
      <c r="MWJ525" s="1358"/>
      <c r="MWK525" s="1358"/>
      <c r="MWL525" s="1358"/>
      <c r="MWM525" s="1358"/>
      <c r="MWN525" s="1358"/>
      <c r="MWO525" s="1358"/>
      <c r="MWP525" s="1358"/>
      <c r="MWQ525" s="1358"/>
      <c r="MWR525" s="1358"/>
      <c r="MWS525" s="1358"/>
      <c r="MWT525" s="1358"/>
      <c r="MWU525" s="1358"/>
      <c r="MWV525" s="1358"/>
      <c r="MWW525" s="1358"/>
      <c r="MWX525" s="1358"/>
      <c r="MWY525" s="1358"/>
      <c r="MWZ525" s="1358"/>
      <c r="MXA525" s="1358"/>
      <c r="MXB525" s="1358"/>
      <c r="MXC525" s="1358"/>
      <c r="MXD525" s="1358"/>
      <c r="MXE525" s="1358"/>
      <c r="MXF525" s="1358"/>
      <c r="MXG525" s="1358"/>
      <c r="MXH525" s="1358"/>
      <c r="MXI525" s="1358"/>
      <c r="MXJ525" s="1358"/>
      <c r="MXK525" s="1358"/>
      <c r="MXL525" s="1358"/>
      <c r="MXM525" s="1358"/>
      <c r="MXN525" s="1358"/>
      <c r="MXO525" s="1358"/>
      <c r="MXP525" s="1358"/>
      <c r="MXQ525" s="1358"/>
      <c r="MXR525" s="1358"/>
      <c r="MXS525" s="1358"/>
      <c r="MXT525" s="1358"/>
      <c r="MXU525" s="1358"/>
      <c r="MXV525" s="1358"/>
      <c r="MXW525" s="1358"/>
      <c r="MXX525" s="1358"/>
      <c r="MXY525" s="1358"/>
      <c r="MXZ525" s="1358"/>
      <c r="MYA525" s="1358"/>
      <c r="MYB525" s="1358"/>
      <c r="MYC525" s="1358"/>
      <c r="MYD525" s="1358"/>
      <c r="MYE525" s="1358"/>
      <c r="MYF525" s="1358"/>
      <c r="MYG525" s="1358"/>
      <c r="MYH525" s="1358"/>
      <c r="MYI525" s="1358"/>
      <c r="MYJ525" s="1358"/>
      <c r="MYK525" s="1358"/>
      <c r="MYL525" s="1358"/>
      <c r="MYM525" s="1358"/>
      <c r="MYN525" s="1358"/>
      <c r="MYO525" s="1358"/>
      <c r="MYP525" s="1358"/>
      <c r="MYQ525" s="1358"/>
      <c r="MYR525" s="1358"/>
      <c r="MYS525" s="1358"/>
      <c r="MYT525" s="1358"/>
      <c r="MYU525" s="1358"/>
      <c r="MYV525" s="1358"/>
      <c r="MYW525" s="1358"/>
      <c r="MYX525" s="1358"/>
      <c r="MYY525" s="1358"/>
      <c r="MYZ525" s="1358"/>
      <c r="MZA525" s="1358"/>
      <c r="MZB525" s="1358"/>
      <c r="MZC525" s="1358"/>
      <c r="MZD525" s="1358"/>
      <c r="MZE525" s="1358"/>
      <c r="MZF525" s="1358"/>
      <c r="MZG525" s="1358"/>
      <c r="MZH525" s="1358"/>
      <c r="MZI525" s="1358"/>
      <c r="MZJ525" s="1358"/>
      <c r="MZK525" s="1358"/>
      <c r="MZL525" s="1358"/>
      <c r="MZM525" s="1358"/>
      <c r="MZN525" s="1358"/>
      <c r="MZO525" s="1358"/>
      <c r="MZP525" s="1358"/>
      <c r="MZQ525" s="1358"/>
      <c r="MZR525" s="1358"/>
      <c r="MZS525" s="1358"/>
      <c r="MZT525" s="1358"/>
      <c r="MZU525" s="1358"/>
      <c r="MZV525" s="1358"/>
      <c r="MZW525" s="1358"/>
      <c r="MZX525" s="1358"/>
      <c r="MZY525" s="1358"/>
      <c r="MZZ525" s="1358"/>
      <c r="NAA525" s="1358"/>
      <c r="NAB525" s="1358"/>
      <c r="NAC525" s="1358"/>
      <c r="NAD525" s="1358"/>
      <c r="NAE525" s="1358"/>
      <c r="NAF525" s="1358"/>
      <c r="NAG525" s="1358"/>
      <c r="NAH525" s="1358"/>
      <c r="NAI525" s="1358"/>
      <c r="NAJ525" s="1358"/>
      <c r="NAK525" s="1358"/>
      <c r="NAL525" s="1358"/>
      <c r="NAM525" s="1358"/>
      <c r="NAN525" s="1358"/>
      <c r="NAO525" s="1358"/>
      <c r="NAP525" s="1358"/>
      <c r="NAQ525" s="1358"/>
      <c r="NAR525" s="1358"/>
      <c r="NAS525" s="1358"/>
      <c r="NAT525" s="1358"/>
      <c r="NAU525" s="1358"/>
      <c r="NAV525" s="1358"/>
      <c r="NAW525" s="1358"/>
      <c r="NAX525" s="1358"/>
      <c r="NAY525" s="1358"/>
      <c r="NAZ525" s="1358"/>
      <c r="NBA525" s="1358"/>
      <c r="NBB525" s="1358"/>
      <c r="NBC525" s="1358"/>
      <c r="NBD525" s="1358"/>
      <c r="NBE525" s="1358"/>
      <c r="NBF525" s="1358"/>
      <c r="NBG525" s="1358"/>
      <c r="NBH525" s="1358"/>
      <c r="NBI525" s="1358"/>
      <c r="NBJ525" s="1358"/>
      <c r="NBK525" s="1358"/>
      <c r="NBL525" s="1358"/>
      <c r="NBM525" s="1358"/>
      <c r="NBN525" s="1358"/>
      <c r="NBO525" s="1358"/>
      <c r="NBP525" s="1358"/>
      <c r="NBQ525" s="1358"/>
      <c r="NBR525" s="1358"/>
      <c r="NBS525" s="1358"/>
      <c r="NBT525" s="1358"/>
      <c r="NBU525" s="1358"/>
      <c r="NBV525" s="1358"/>
      <c r="NBW525" s="1358"/>
      <c r="NBX525" s="1358"/>
      <c r="NBY525" s="1358"/>
      <c r="NBZ525" s="1358"/>
      <c r="NCA525" s="1358"/>
      <c r="NCB525" s="1358"/>
      <c r="NCC525" s="1358"/>
      <c r="NCD525" s="1358"/>
      <c r="NCE525" s="1358"/>
      <c r="NCF525" s="1358"/>
      <c r="NCG525" s="1358"/>
      <c r="NCH525" s="1358"/>
      <c r="NCI525" s="1358"/>
      <c r="NCJ525" s="1358"/>
      <c r="NCK525" s="1358"/>
      <c r="NCL525" s="1358"/>
      <c r="NCM525" s="1358"/>
      <c r="NCN525" s="1358"/>
      <c r="NCO525" s="1358"/>
      <c r="NCP525" s="1358"/>
      <c r="NCQ525" s="1358"/>
      <c r="NCR525" s="1358"/>
      <c r="NCS525" s="1358"/>
      <c r="NCT525" s="1358"/>
      <c r="NCU525" s="1358"/>
      <c r="NCV525" s="1358"/>
      <c r="NCW525" s="1358"/>
      <c r="NCX525" s="1358"/>
      <c r="NCY525" s="1358"/>
      <c r="NCZ525" s="1358"/>
      <c r="NDA525" s="1358"/>
      <c r="NDB525" s="1358"/>
      <c r="NDC525" s="1358"/>
      <c r="NDD525" s="1358"/>
      <c r="NDE525" s="1358"/>
      <c r="NDF525" s="1358"/>
      <c r="NDG525" s="1358"/>
      <c r="NDH525" s="1358"/>
      <c r="NDI525" s="1358"/>
      <c r="NDJ525" s="1358"/>
      <c r="NDK525" s="1358"/>
      <c r="NDL525" s="1358"/>
      <c r="NDM525" s="1358"/>
      <c r="NDN525" s="1358"/>
      <c r="NDO525" s="1358"/>
      <c r="NDP525" s="1358"/>
      <c r="NDQ525" s="1358"/>
      <c r="NDR525" s="1358"/>
      <c r="NDS525" s="1358"/>
      <c r="NDT525" s="1358"/>
      <c r="NDU525" s="1358"/>
      <c r="NDV525" s="1358"/>
      <c r="NDW525" s="1358"/>
      <c r="NDX525" s="1358"/>
      <c r="NDY525" s="1358"/>
      <c r="NDZ525" s="1358"/>
      <c r="NEA525" s="1358"/>
      <c r="NEB525" s="1358"/>
      <c r="NEC525" s="1358"/>
      <c r="NED525" s="1358"/>
      <c r="NEE525" s="1358"/>
      <c r="NEF525" s="1358"/>
      <c r="NEG525" s="1358"/>
      <c r="NEH525" s="1358"/>
      <c r="NEI525" s="1358"/>
      <c r="NEJ525" s="1358"/>
      <c r="NEK525" s="1358"/>
      <c r="NEL525" s="1358"/>
      <c r="NEM525" s="1358"/>
      <c r="NEN525" s="1358"/>
      <c r="NEO525" s="1358"/>
      <c r="NEP525" s="1358"/>
      <c r="NEQ525" s="1358"/>
      <c r="NER525" s="1358"/>
      <c r="NES525" s="1358"/>
      <c r="NET525" s="1358"/>
      <c r="NEU525" s="1358"/>
      <c r="NEV525" s="1358"/>
      <c r="NEW525" s="1358"/>
      <c r="NEX525" s="1358"/>
      <c r="NEY525" s="1358"/>
      <c r="NEZ525" s="1358"/>
      <c r="NFA525" s="1358"/>
      <c r="NFB525" s="1358"/>
      <c r="NFC525" s="1358"/>
      <c r="NFD525" s="1358"/>
      <c r="NFE525" s="1358"/>
      <c r="NFF525" s="1358"/>
      <c r="NFG525" s="1358"/>
      <c r="NFH525" s="1358"/>
      <c r="NFI525" s="1358"/>
      <c r="NFJ525" s="1358"/>
      <c r="NFK525" s="1358"/>
      <c r="NFL525" s="1358"/>
      <c r="NFM525" s="1358"/>
      <c r="NFN525" s="1358"/>
      <c r="NFO525" s="1358"/>
      <c r="NFP525" s="1358"/>
      <c r="NFQ525" s="1358"/>
      <c r="NFR525" s="1358"/>
      <c r="NFS525" s="1358"/>
      <c r="NFT525" s="1358"/>
      <c r="NFU525" s="1358"/>
      <c r="NFV525" s="1358"/>
      <c r="NFW525" s="1358"/>
      <c r="NFX525" s="1358"/>
      <c r="NFY525" s="1358"/>
      <c r="NFZ525" s="1358"/>
      <c r="NGA525" s="1358"/>
      <c r="NGB525" s="1358"/>
      <c r="NGC525" s="1358"/>
      <c r="NGD525" s="1358"/>
      <c r="NGE525" s="1358"/>
      <c r="NGF525" s="1358"/>
      <c r="NGG525" s="1358"/>
      <c r="NGH525" s="1358"/>
      <c r="NGI525" s="1358"/>
      <c r="NGJ525" s="1358"/>
      <c r="NGK525" s="1358"/>
      <c r="NGL525" s="1358"/>
      <c r="NGM525" s="1358"/>
      <c r="NGN525" s="1358"/>
      <c r="NGO525" s="1358"/>
      <c r="NGP525" s="1358"/>
      <c r="NGQ525" s="1358"/>
      <c r="NGR525" s="1358"/>
      <c r="NGS525" s="1358"/>
      <c r="NGT525" s="1358"/>
      <c r="NGU525" s="1358"/>
      <c r="NGV525" s="1358"/>
      <c r="NGW525" s="1358"/>
      <c r="NGX525" s="1358"/>
      <c r="NGY525" s="1358"/>
      <c r="NGZ525" s="1358"/>
      <c r="NHA525" s="1358"/>
      <c r="NHB525" s="1358"/>
      <c r="NHC525" s="1358"/>
      <c r="NHD525" s="1358"/>
      <c r="NHE525" s="1358"/>
      <c r="NHF525" s="1358"/>
      <c r="NHG525" s="1358"/>
      <c r="NHH525" s="1358"/>
      <c r="NHI525" s="1358"/>
      <c r="NHJ525" s="1358"/>
      <c r="NHK525" s="1358"/>
      <c r="NHL525" s="1358"/>
      <c r="NHM525" s="1358"/>
      <c r="NHN525" s="1358"/>
      <c r="NHO525" s="1358"/>
      <c r="NHP525" s="1358"/>
      <c r="NHQ525" s="1358"/>
      <c r="NHR525" s="1358"/>
      <c r="NHS525" s="1358"/>
      <c r="NHT525" s="1358"/>
      <c r="NHU525" s="1358"/>
      <c r="NHV525" s="1358"/>
      <c r="NHW525" s="1358"/>
      <c r="NHX525" s="1358"/>
      <c r="NHY525" s="1358"/>
      <c r="NHZ525" s="1358"/>
      <c r="NIA525" s="1358"/>
      <c r="NIB525" s="1358"/>
      <c r="NIC525" s="1358"/>
      <c r="NID525" s="1358"/>
      <c r="NIE525" s="1358"/>
      <c r="NIF525" s="1358"/>
      <c r="NIG525" s="1358"/>
      <c r="NIH525" s="1358"/>
      <c r="NII525" s="1358"/>
      <c r="NIJ525" s="1358"/>
      <c r="NIK525" s="1358"/>
      <c r="NIL525" s="1358"/>
      <c r="NIM525" s="1358"/>
      <c r="NIN525" s="1358"/>
      <c r="NIO525" s="1358"/>
      <c r="NIP525" s="1358"/>
      <c r="NIQ525" s="1358"/>
      <c r="NIR525" s="1358"/>
      <c r="NIS525" s="1358"/>
      <c r="NIT525" s="1358"/>
      <c r="NIU525" s="1358"/>
      <c r="NIV525" s="1358"/>
      <c r="NIW525" s="1358"/>
      <c r="NIX525" s="1358"/>
      <c r="NIY525" s="1358"/>
      <c r="NIZ525" s="1358"/>
      <c r="NJA525" s="1358"/>
      <c r="NJB525" s="1358"/>
      <c r="NJC525" s="1358"/>
      <c r="NJD525" s="1358"/>
      <c r="NJE525" s="1358"/>
      <c r="NJF525" s="1358"/>
      <c r="NJG525" s="1358"/>
      <c r="NJH525" s="1358"/>
      <c r="NJI525" s="1358"/>
      <c r="NJJ525" s="1358"/>
      <c r="NJK525" s="1358"/>
      <c r="NJL525" s="1358"/>
      <c r="NJM525" s="1358"/>
      <c r="NJN525" s="1358"/>
      <c r="NJO525" s="1358"/>
      <c r="NJP525" s="1358"/>
      <c r="NJQ525" s="1358"/>
      <c r="NJR525" s="1358"/>
      <c r="NJS525" s="1358"/>
      <c r="NJT525" s="1358"/>
      <c r="NJU525" s="1358"/>
      <c r="NJV525" s="1358"/>
      <c r="NJW525" s="1358"/>
      <c r="NJX525" s="1358"/>
      <c r="NJY525" s="1358"/>
      <c r="NJZ525" s="1358"/>
      <c r="NKA525" s="1358"/>
      <c r="NKB525" s="1358"/>
      <c r="NKC525" s="1358"/>
      <c r="NKD525" s="1358"/>
      <c r="NKE525" s="1358"/>
      <c r="NKF525" s="1358"/>
      <c r="NKG525" s="1358"/>
      <c r="NKH525" s="1358"/>
      <c r="NKI525" s="1358"/>
      <c r="NKJ525" s="1358"/>
      <c r="NKK525" s="1358"/>
      <c r="NKL525" s="1358"/>
      <c r="NKM525" s="1358"/>
      <c r="NKN525" s="1358"/>
      <c r="NKO525" s="1358"/>
      <c r="NKP525" s="1358"/>
      <c r="NKQ525" s="1358"/>
      <c r="NKR525" s="1358"/>
      <c r="NKS525" s="1358"/>
      <c r="NKT525" s="1358"/>
      <c r="NKU525" s="1358"/>
      <c r="NKV525" s="1358"/>
      <c r="NKW525" s="1358"/>
      <c r="NKX525" s="1358"/>
      <c r="NKY525" s="1358"/>
      <c r="NKZ525" s="1358"/>
      <c r="NLA525" s="1358"/>
      <c r="NLB525" s="1358"/>
      <c r="NLC525" s="1358"/>
      <c r="NLD525" s="1358"/>
      <c r="NLE525" s="1358"/>
      <c r="NLF525" s="1358"/>
      <c r="NLG525" s="1358"/>
      <c r="NLH525" s="1358"/>
      <c r="NLI525" s="1358"/>
      <c r="NLJ525" s="1358"/>
      <c r="NLK525" s="1358"/>
      <c r="NLL525" s="1358"/>
      <c r="NLM525" s="1358"/>
      <c r="NLN525" s="1358"/>
      <c r="NLO525" s="1358"/>
      <c r="NLP525" s="1358"/>
      <c r="NLQ525" s="1358"/>
      <c r="NLR525" s="1358"/>
      <c r="NLS525" s="1358"/>
      <c r="NLT525" s="1358"/>
      <c r="NLU525" s="1358"/>
      <c r="NLV525" s="1358"/>
      <c r="NLW525" s="1358"/>
      <c r="NLX525" s="1358"/>
      <c r="NLY525" s="1358"/>
      <c r="NLZ525" s="1358"/>
      <c r="NMA525" s="1358"/>
      <c r="NMB525" s="1358"/>
      <c r="NMC525" s="1358"/>
      <c r="NMD525" s="1358"/>
      <c r="NME525" s="1358"/>
      <c r="NMF525" s="1358"/>
      <c r="NMG525" s="1358"/>
      <c r="NMH525" s="1358"/>
      <c r="NMI525" s="1358"/>
      <c r="NMJ525" s="1358"/>
      <c r="NMK525" s="1358"/>
      <c r="NML525" s="1358"/>
      <c r="NMM525" s="1358"/>
      <c r="NMN525" s="1358"/>
      <c r="NMO525" s="1358"/>
      <c r="NMP525" s="1358"/>
      <c r="NMQ525" s="1358"/>
      <c r="NMR525" s="1358"/>
      <c r="NMS525" s="1358"/>
      <c r="NMT525" s="1358"/>
      <c r="NMU525" s="1358"/>
      <c r="NMV525" s="1358"/>
      <c r="NMW525" s="1358"/>
      <c r="NMX525" s="1358"/>
      <c r="NMY525" s="1358"/>
      <c r="NMZ525" s="1358"/>
      <c r="NNA525" s="1358"/>
      <c r="NNB525" s="1358"/>
      <c r="NNC525" s="1358"/>
      <c r="NND525" s="1358"/>
      <c r="NNE525" s="1358"/>
      <c r="NNF525" s="1358"/>
      <c r="NNG525" s="1358"/>
      <c r="NNH525" s="1358"/>
      <c r="NNI525" s="1358"/>
      <c r="NNJ525" s="1358"/>
      <c r="NNK525" s="1358"/>
      <c r="NNL525" s="1358"/>
      <c r="NNM525" s="1358"/>
      <c r="NNN525" s="1358"/>
      <c r="NNO525" s="1358"/>
      <c r="NNP525" s="1358"/>
      <c r="NNQ525" s="1358"/>
      <c r="NNR525" s="1358"/>
      <c r="NNS525" s="1358"/>
      <c r="NNT525" s="1358"/>
      <c r="NNU525" s="1358"/>
      <c r="NNV525" s="1358"/>
      <c r="NNW525" s="1358"/>
      <c r="NNX525" s="1358"/>
      <c r="NNY525" s="1358"/>
      <c r="NNZ525" s="1358"/>
      <c r="NOA525" s="1358"/>
      <c r="NOB525" s="1358"/>
      <c r="NOC525" s="1358"/>
      <c r="NOD525" s="1358"/>
      <c r="NOE525" s="1358"/>
      <c r="NOF525" s="1358"/>
      <c r="NOG525" s="1358"/>
      <c r="NOH525" s="1358"/>
      <c r="NOI525" s="1358"/>
      <c r="NOJ525" s="1358"/>
      <c r="NOK525" s="1358"/>
      <c r="NOL525" s="1358"/>
      <c r="NOM525" s="1358"/>
      <c r="NON525" s="1358"/>
      <c r="NOO525" s="1358"/>
      <c r="NOP525" s="1358"/>
      <c r="NOQ525" s="1358"/>
      <c r="NOR525" s="1358"/>
      <c r="NOS525" s="1358"/>
      <c r="NOT525" s="1358"/>
      <c r="NOU525" s="1358"/>
      <c r="NOV525" s="1358"/>
      <c r="NOW525" s="1358"/>
      <c r="NOX525" s="1358"/>
      <c r="NOY525" s="1358"/>
      <c r="NOZ525" s="1358"/>
      <c r="NPA525" s="1358"/>
      <c r="NPB525" s="1358"/>
      <c r="NPC525" s="1358"/>
      <c r="NPD525" s="1358"/>
      <c r="NPE525" s="1358"/>
      <c r="NPF525" s="1358"/>
      <c r="NPG525" s="1358"/>
      <c r="NPH525" s="1358"/>
      <c r="NPI525" s="1358"/>
      <c r="NPJ525" s="1358"/>
      <c r="NPK525" s="1358"/>
      <c r="NPL525" s="1358"/>
      <c r="NPM525" s="1358"/>
      <c r="NPN525" s="1358"/>
      <c r="NPO525" s="1358"/>
      <c r="NPP525" s="1358"/>
      <c r="NPQ525" s="1358"/>
      <c r="NPR525" s="1358"/>
      <c r="NPS525" s="1358"/>
      <c r="NPT525" s="1358"/>
      <c r="NPU525" s="1358"/>
      <c r="NPV525" s="1358"/>
      <c r="NPW525" s="1358"/>
      <c r="NPX525" s="1358"/>
      <c r="NPY525" s="1358"/>
      <c r="NPZ525" s="1358"/>
      <c r="NQA525" s="1358"/>
      <c r="NQB525" s="1358"/>
      <c r="NQC525" s="1358"/>
      <c r="NQD525" s="1358"/>
      <c r="NQE525" s="1358"/>
      <c r="NQF525" s="1358"/>
      <c r="NQG525" s="1358"/>
      <c r="NQH525" s="1358"/>
      <c r="NQI525" s="1358"/>
      <c r="NQJ525" s="1358"/>
      <c r="NQK525" s="1358"/>
      <c r="NQL525" s="1358"/>
      <c r="NQM525" s="1358"/>
      <c r="NQN525" s="1358"/>
      <c r="NQO525" s="1358"/>
      <c r="NQP525" s="1358"/>
      <c r="NQQ525" s="1358"/>
      <c r="NQR525" s="1358"/>
      <c r="NQS525" s="1358"/>
      <c r="NQT525" s="1358"/>
      <c r="NQU525" s="1358"/>
      <c r="NQV525" s="1358"/>
      <c r="NQW525" s="1358"/>
      <c r="NQX525" s="1358"/>
      <c r="NQY525" s="1358"/>
      <c r="NQZ525" s="1358"/>
      <c r="NRA525" s="1358"/>
      <c r="NRB525" s="1358"/>
      <c r="NRC525" s="1358"/>
      <c r="NRD525" s="1358"/>
      <c r="NRE525" s="1358"/>
      <c r="NRF525" s="1358"/>
      <c r="NRG525" s="1358"/>
      <c r="NRH525" s="1358"/>
      <c r="NRI525" s="1358"/>
      <c r="NRJ525" s="1358"/>
      <c r="NRK525" s="1358"/>
      <c r="NRL525" s="1358"/>
      <c r="NRM525" s="1358"/>
      <c r="NRN525" s="1358"/>
      <c r="NRO525" s="1358"/>
      <c r="NRP525" s="1358"/>
      <c r="NRQ525" s="1358"/>
      <c r="NRR525" s="1358"/>
      <c r="NRS525" s="1358"/>
      <c r="NRT525" s="1358"/>
      <c r="NRU525" s="1358"/>
      <c r="NRV525" s="1358"/>
      <c r="NRW525" s="1358"/>
      <c r="NRX525" s="1358"/>
      <c r="NRY525" s="1358"/>
      <c r="NRZ525" s="1358"/>
      <c r="NSA525" s="1358"/>
      <c r="NSB525" s="1358"/>
      <c r="NSC525" s="1358"/>
      <c r="NSD525" s="1358"/>
      <c r="NSE525" s="1358"/>
      <c r="NSF525" s="1358"/>
      <c r="NSG525" s="1358"/>
      <c r="NSH525" s="1358"/>
      <c r="NSI525" s="1358"/>
      <c r="NSJ525" s="1358"/>
      <c r="NSK525" s="1358"/>
      <c r="NSL525" s="1358"/>
      <c r="NSM525" s="1358"/>
      <c r="NSN525" s="1358"/>
      <c r="NSO525" s="1358"/>
      <c r="NSP525" s="1358"/>
      <c r="NSQ525" s="1358"/>
      <c r="NSR525" s="1358"/>
      <c r="NSS525" s="1358"/>
      <c r="NST525" s="1358"/>
      <c r="NSU525" s="1358"/>
      <c r="NSV525" s="1358"/>
      <c r="NSW525" s="1358"/>
      <c r="NSX525" s="1358"/>
      <c r="NSY525" s="1358"/>
      <c r="NSZ525" s="1358"/>
      <c r="NTA525" s="1358"/>
      <c r="NTB525" s="1358"/>
      <c r="NTC525" s="1358"/>
      <c r="NTD525" s="1358"/>
      <c r="NTE525" s="1358"/>
      <c r="NTF525" s="1358"/>
      <c r="NTG525" s="1358"/>
      <c r="NTH525" s="1358"/>
      <c r="NTI525" s="1358"/>
      <c r="NTJ525" s="1358"/>
      <c r="NTK525" s="1358"/>
      <c r="NTL525" s="1358"/>
      <c r="NTM525" s="1358"/>
      <c r="NTN525" s="1358"/>
      <c r="NTO525" s="1358"/>
      <c r="NTP525" s="1358"/>
      <c r="NTQ525" s="1358"/>
      <c r="NTR525" s="1358"/>
      <c r="NTS525" s="1358"/>
      <c r="NTT525" s="1358"/>
      <c r="NTU525" s="1358"/>
      <c r="NTV525" s="1358"/>
      <c r="NTW525" s="1358"/>
      <c r="NTX525" s="1358"/>
      <c r="NTY525" s="1358"/>
      <c r="NTZ525" s="1358"/>
      <c r="NUA525" s="1358"/>
      <c r="NUB525" s="1358"/>
      <c r="NUC525" s="1358"/>
      <c r="NUD525" s="1358"/>
      <c r="NUE525" s="1358"/>
      <c r="NUF525" s="1358"/>
      <c r="NUG525" s="1358"/>
      <c r="NUH525" s="1358"/>
      <c r="NUI525" s="1358"/>
      <c r="NUJ525" s="1358"/>
      <c r="NUK525" s="1358"/>
      <c r="NUL525" s="1358"/>
      <c r="NUM525" s="1358"/>
      <c r="NUN525" s="1358"/>
      <c r="NUO525" s="1358"/>
      <c r="NUP525" s="1358"/>
      <c r="NUQ525" s="1358"/>
      <c r="NUR525" s="1358"/>
      <c r="NUS525" s="1358"/>
      <c r="NUT525" s="1358"/>
      <c r="NUU525" s="1358"/>
      <c r="NUV525" s="1358"/>
      <c r="NUW525" s="1358"/>
      <c r="NUX525" s="1358"/>
      <c r="NUY525" s="1358"/>
      <c r="NUZ525" s="1358"/>
      <c r="NVA525" s="1358"/>
      <c r="NVB525" s="1358"/>
      <c r="NVC525" s="1358"/>
      <c r="NVD525" s="1358"/>
      <c r="NVE525" s="1358"/>
      <c r="NVF525" s="1358"/>
      <c r="NVG525" s="1358"/>
      <c r="NVH525" s="1358"/>
      <c r="NVI525" s="1358"/>
      <c r="NVJ525" s="1358"/>
      <c r="NVK525" s="1358"/>
      <c r="NVL525" s="1358"/>
      <c r="NVM525" s="1358"/>
      <c r="NVN525" s="1358"/>
      <c r="NVO525" s="1358"/>
      <c r="NVP525" s="1358"/>
      <c r="NVQ525" s="1358"/>
      <c r="NVR525" s="1358"/>
      <c r="NVS525" s="1358"/>
      <c r="NVT525" s="1358"/>
      <c r="NVU525" s="1358"/>
      <c r="NVV525" s="1358"/>
      <c r="NVW525" s="1358"/>
      <c r="NVX525" s="1358"/>
      <c r="NVY525" s="1358"/>
      <c r="NVZ525" s="1358"/>
      <c r="NWA525" s="1358"/>
      <c r="NWB525" s="1358"/>
      <c r="NWC525" s="1358"/>
      <c r="NWD525" s="1358"/>
      <c r="NWE525" s="1358"/>
      <c r="NWF525" s="1358"/>
      <c r="NWG525" s="1358"/>
      <c r="NWH525" s="1358"/>
      <c r="NWI525" s="1358"/>
      <c r="NWJ525" s="1358"/>
      <c r="NWK525" s="1358"/>
      <c r="NWL525" s="1358"/>
      <c r="NWM525" s="1358"/>
      <c r="NWN525" s="1358"/>
      <c r="NWO525" s="1358"/>
      <c r="NWP525" s="1358"/>
      <c r="NWQ525" s="1358"/>
      <c r="NWR525" s="1358"/>
      <c r="NWS525" s="1358"/>
      <c r="NWT525" s="1358"/>
      <c r="NWU525" s="1358"/>
      <c r="NWV525" s="1358"/>
      <c r="NWW525" s="1358"/>
      <c r="NWX525" s="1358"/>
      <c r="NWY525" s="1358"/>
      <c r="NWZ525" s="1358"/>
      <c r="NXA525" s="1358"/>
      <c r="NXB525" s="1358"/>
      <c r="NXC525" s="1358"/>
      <c r="NXD525" s="1358"/>
      <c r="NXE525" s="1358"/>
      <c r="NXF525" s="1358"/>
      <c r="NXG525" s="1358"/>
      <c r="NXH525" s="1358"/>
      <c r="NXI525" s="1358"/>
      <c r="NXJ525" s="1358"/>
      <c r="NXK525" s="1358"/>
      <c r="NXL525" s="1358"/>
      <c r="NXM525" s="1358"/>
      <c r="NXN525" s="1358"/>
      <c r="NXO525" s="1358"/>
      <c r="NXP525" s="1358"/>
      <c r="NXQ525" s="1358"/>
      <c r="NXR525" s="1358"/>
      <c r="NXS525" s="1358"/>
      <c r="NXT525" s="1358"/>
      <c r="NXU525" s="1358"/>
      <c r="NXV525" s="1358"/>
      <c r="NXW525" s="1358"/>
      <c r="NXX525" s="1358"/>
      <c r="NXY525" s="1358"/>
      <c r="NXZ525" s="1358"/>
      <c r="NYA525" s="1358"/>
      <c r="NYB525" s="1358"/>
      <c r="NYC525" s="1358"/>
      <c r="NYD525" s="1358"/>
      <c r="NYE525" s="1358"/>
      <c r="NYF525" s="1358"/>
      <c r="NYG525" s="1358"/>
      <c r="NYH525" s="1358"/>
      <c r="NYI525" s="1358"/>
      <c r="NYJ525" s="1358"/>
      <c r="NYK525" s="1358"/>
      <c r="NYL525" s="1358"/>
      <c r="NYM525" s="1358"/>
      <c r="NYN525" s="1358"/>
      <c r="NYO525" s="1358"/>
      <c r="NYP525" s="1358"/>
      <c r="NYQ525" s="1358"/>
      <c r="NYR525" s="1358"/>
      <c r="NYS525" s="1358"/>
      <c r="NYT525" s="1358"/>
      <c r="NYU525" s="1358"/>
      <c r="NYV525" s="1358"/>
      <c r="NYW525" s="1358"/>
      <c r="NYX525" s="1358"/>
      <c r="NYY525" s="1358"/>
      <c r="NYZ525" s="1358"/>
      <c r="NZA525" s="1358"/>
      <c r="NZB525" s="1358"/>
      <c r="NZC525" s="1358"/>
      <c r="NZD525" s="1358"/>
      <c r="NZE525" s="1358"/>
      <c r="NZF525" s="1358"/>
      <c r="NZG525" s="1358"/>
      <c r="NZH525" s="1358"/>
      <c r="NZI525" s="1358"/>
      <c r="NZJ525" s="1358"/>
      <c r="NZK525" s="1358"/>
      <c r="NZL525" s="1358"/>
      <c r="NZM525" s="1358"/>
      <c r="NZN525" s="1358"/>
      <c r="NZO525" s="1358"/>
      <c r="NZP525" s="1358"/>
      <c r="NZQ525" s="1358"/>
      <c r="NZR525" s="1358"/>
      <c r="NZS525" s="1358"/>
      <c r="NZT525" s="1358"/>
      <c r="NZU525" s="1358"/>
      <c r="NZV525" s="1358"/>
      <c r="NZW525" s="1358"/>
      <c r="NZX525" s="1358"/>
      <c r="NZY525" s="1358"/>
      <c r="NZZ525" s="1358"/>
      <c r="OAA525" s="1358"/>
      <c r="OAB525" s="1358"/>
      <c r="OAC525" s="1358"/>
      <c r="OAD525" s="1358"/>
      <c r="OAE525" s="1358"/>
      <c r="OAF525" s="1358"/>
      <c r="OAG525" s="1358"/>
      <c r="OAH525" s="1358"/>
      <c r="OAI525" s="1358"/>
      <c r="OAJ525" s="1358"/>
      <c r="OAK525" s="1358"/>
      <c r="OAL525" s="1358"/>
      <c r="OAM525" s="1358"/>
      <c r="OAN525" s="1358"/>
      <c r="OAO525" s="1358"/>
      <c r="OAP525" s="1358"/>
      <c r="OAQ525" s="1358"/>
      <c r="OAR525" s="1358"/>
      <c r="OAS525" s="1358"/>
      <c r="OAT525" s="1358"/>
      <c r="OAU525" s="1358"/>
      <c r="OAV525" s="1358"/>
      <c r="OAW525" s="1358"/>
      <c r="OAX525" s="1358"/>
      <c r="OAY525" s="1358"/>
      <c r="OAZ525" s="1358"/>
      <c r="OBA525" s="1358"/>
      <c r="OBB525" s="1358"/>
      <c r="OBC525" s="1358"/>
      <c r="OBD525" s="1358"/>
      <c r="OBE525" s="1358"/>
      <c r="OBF525" s="1358"/>
      <c r="OBG525" s="1358"/>
      <c r="OBH525" s="1358"/>
      <c r="OBI525" s="1358"/>
      <c r="OBJ525" s="1358"/>
      <c r="OBK525" s="1358"/>
      <c r="OBL525" s="1358"/>
      <c r="OBM525" s="1358"/>
      <c r="OBN525" s="1358"/>
      <c r="OBO525" s="1358"/>
      <c r="OBP525" s="1358"/>
      <c r="OBQ525" s="1358"/>
      <c r="OBR525" s="1358"/>
      <c r="OBS525" s="1358"/>
      <c r="OBT525" s="1358"/>
      <c r="OBU525" s="1358"/>
      <c r="OBV525" s="1358"/>
      <c r="OBW525" s="1358"/>
      <c r="OBX525" s="1358"/>
      <c r="OBY525" s="1358"/>
      <c r="OBZ525" s="1358"/>
      <c r="OCA525" s="1358"/>
      <c r="OCB525" s="1358"/>
      <c r="OCC525" s="1358"/>
      <c r="OCD525" s="1358"/>
      <c r="OCE525" s="1358"/>
      <c r="OCF525" s="1358"/>
      <c r="OCG525" s="1358"/>
      <c r="OCH525" s="1358"/>
      <c r="OCI525" s="1358"/>
      <c r="OCJ525" s="1358"/>
      <c r="OCK525" s="1358"/>
      <c r="OCL525" s="1358"/>
      <c r="OCM525" s="1358"/>
      <c r="OCN525" s="1358"/>
      <c r="OCO525" s="1358"/>
      <c r="OCP525" s="1358"/>
      <c r="OCQ525" s="1358"/>
      <c r="OCR525" s="1358"/>
      <c r="OCS525" s="1358"/>
      <c r="OCT525" s="1358"/>
      <c r="OCU525" s="1358"/>
      <c r="OCV525" s="1358"/>
      <c r="OCW525" s="1358"/>
      <c r="OCX525" s="1358"/>
      <c r="OCY525" s="1358"/>
      <c r="OCZ525" s="1358"/>
      <c r="ODA525" s="1358"/>
      <c r="ODB525" s="1358"/>
      <c r="ODC525" s="1358"/>
      <c r="ODD525" s="1358"/>
      <c r="ODE525" s="1358"/>
      <c r="ODF525" s="1358"/>
      <c r="ODG525" s="1358"/>
      <c r="ODH525" s="1358"/>
      <c r="ODI525" s="1358"/>
      <c r="ODJ525" s="1358"/>
      <c r="ODK525" s="1358"/>
      <c r="ODL525" s="1358"/>
      <c r="ODM525" s="1358"/>
      <c r="ODN525" s="1358"/>
      <c r="ODO525" s="1358"/>
      <c r="ODP525" s="1358"/>
      <c r="ODQ525" s="1358"/>
      <c r="ODR525" s="1358"/>
      <c r="ODS525" s="1358"/>
      <c r="ODT525" s="1358"/>
      <c r="ODU525" s="1358"/>
      <c r="ODV525" s="1358"/>
      <c r="ODW525" s="1358"/>
      <c r="ODX525" s="1358"/>
      <c r="ODY525" s="1358"/>
      <c r="ODZ525" s="1358"/>
      <c r="OEA525" s="1358"/>
      <c r="OEB525" s="1358"/>
      <c r="OEC525" s="1358"/>
      <c r="OED525" s="1358"/>
      <c r="OEE525" s="1358"/>
      <c r="OEF525" s="1358"/>
      <c r="OEG525" s="1358"/>
      <c r="OEH525" s="1358"/>
      <c r="OEI525" s="1358"/>
      <c r="OEJ525" s="1358"/>
      <c r="OEK525" s="1358"/>
      <c r="OEL525" s="1358"/>
      <c r="OEM525" s="1358"/>
      <c r="OEN525" s="1358"/>
      <c r="OEO525" s="1358"/>
      <c r="OEP525" s="1358"/>
      <c r="OEQ525" s="1358"/>
      <c r="OER525" s="1358"/>
      <c r="OES525" s="1358"/>
      <c r="OET525" s="1358"/>
      <c r="OEU525" s="1358"/>
      <c r="OEV525" s="1358"/>
      <c r="OEW525" s="1358"/>
      <c r="OEX525" s="1358"/>
      <c r="OEY525" s="1358"/>
      <c r="OEZ525" s="1358"/>
      <c r="OFA525" s="1358"/>
      <c r="OFB525" s="1358"/>
      <c r="OFC525" s="1358"/>
      <c r="OFD525" s="1358"/>
      <c r="OFE525" s="1358"/>
      <c r="OFF525" s="1358"/>
      <c r="OFG525" s="1358"/>
      <c r="OFH525" s="1358"/>
      <c r="OFI525" s="1358"/>
      <c r="OFJ525" s="1358"/>
      <c r="OFK525" s="1358"/>
      <c r="OFL525" s="1358"/>
      <c r="OFM525" s="1358"/>
      <c r="OFN525" s="1358"/>
      <c r="OFO525" s="1358"/>
      <c r="OFP525" s="1358"/>
      <c r="OFQ525" s="1358"/>
      <c r="OFR525" s="1358"/>
      <c r="OFS525" s="1358"/>
      <c r="OFT525" s="1358"/>
      <c r="OFU525" s="1358"/>
      <c r="OFV525" s="1358"/>
      <c r="OFW525" s="1358"/>
      <c r="OFX525" s="1358"/>
      <c r="OFY525" s="1358"/>
      <c r="OFZ525" s="1358"/>
      <c r="OGA525" s="1358"/>
      <c r="OGB525" s="1358"/>
      <c r="OGC525" s="1358"/>
      <c r="OGD525" s="1358"/>
      <c r="OGE525" s="1358"/>
      <c r="OGF525" s="1358"/>
      <c r="OGG525" s="1358"/>
      <c r="OGH525" s="1358"/>
      <c r="OGI525" s="1358"/>
      <c r="OGJ525" s="1358"/>
      <c r="OGK525" s="1358"/>
      <c r="OGL525" s="1358"/>
      <c r="OGM525" s="1358"/>
      <c r="OGN525" s="1358"/>
      <c r="OGO525" s="1358"/>
      <c r="OGP525" s="1358"/>
      <c r="OGQ525" s="1358"/>
      <c r="OGR525" s="1358"/>
      <c r="OGS525" s="1358"/>
      <c r="OGT525" s="1358"/>
      <c r="OGU525" s="1358"/>
      <c r="OGV525" s="1358"/>
      <c r="OGW525" s="1358"/>
      <c r="OGX525" s="1358"/>
      <c r="OGY525" s="1358"/>
      <c r="OGZ525" s="1358"/>
      <c r="OHA525" s="1358"/>
      <c r="OHB525" s="1358"/>
      <c r="OHC525" s="1358"/>
      <c r="OHD525" s="1358"/>
      <c r="OHE525" s="1358"/>
      <c r="OHF525" s="1358"/>
      <c r="OHG525" s="1358"/>
      <c r="OHH525" s="1358"/>
      <c r="OHI525" s="1358"/>
      <c r="OHJ525" s="1358"/>
      <c r="OHK525" s="1358"/>
      <c r="OHL525" s="1358"/>
      <c r="OHM525" s="1358"/>
      <c r="OHN525" s="1358"/>
      <c r="OHO525" s="1358"/>
      <c r="OHP525" s="1358"/>
      <c r="OHQ525" s="1358"/>
      <c r="OHR525" s="1358"/>
      <c r="OHS525" s="1358"/>
      <c r="OHT525" s="1358"/>
      <c r="OHU525" s="1358"/>
      <c r="OHV525" s="1358"/>
      <c r="OHW525" s="1358"/>
      <c r="OHX525" s="1358"/>
      <c r="OHY525" s="1358"/>
      <c r="OHZ525" s="1358"/>
      <c r="OIA525" s="1358"/>
      <c r="OIB525" s="1358"/>
      <c r="OIC525" s="1358"/>
      <c r="OID525" s="1358"/>
      <c r="OIE525" s="1358"/>
      <c r="OIF525" s="1358"/>
      <c r="OIG525" s="1358"/>
      <c r="OIH525" s="1358"/>
      <c r="OII525" s="1358"/>
      <c r="OIJ525" s="1358"/>
      <c r="OIK525" s="1358"/>
      <c r="OIL525" s="1358"/>
      <c r="OIM525" s="1358"/>
      <c r="OIN525" s="1358"/>
      <c r="OIO525" s="1358"/>
      <c r="OIP525" s="1358"/>
      <c r="OIQ525" s="1358"/>
      <c r="OIR525" s="1358"/>
      <c r="OIS525" s="1358"/>
      <c r="OIT525" s="1358"/>
      <c r="OIU525" s="1358"/>
      <c r="OIV525" s="1358"/>
      <c r="OIW525" s="1358"/>
      <c r="OIX525" s="1358"/>
      <c r="OIY525" s="1358"/>
      <c r="OIZ525" s="1358"/>
      <c r="OJA525" s="1358"/>
      <c r="OJB525" s="1358"/>
      <c r="OJC525" s="1358"/>
      <c r="OJD525" s="1358"/>
      <c r="OJE525" s="1358"/>
      <c r="OJF525" s="1358"/>
      <c r="OJG525" s="1358"/>
      <c r="OJH525" s="1358"/>
      <c r="OJI525" s="1358"/>
      <c r="OJJ525" s="1358"/>
      <c r="OJK525" s="1358"/>
      <c r="OJL525" s="1358"/>
      <c r="OJM525" s="1358"/>
      <c r="OJN525" s="1358"/>
      <c r="OJO525" s="1358"/>
      <c r="OJP525" s="1358"/>
      <c r="OJQ525" s="1358"/>
      <c r="OJR525" s="1358"/>
      <c r="OJS525" s="1358"/>
      <c r="OJT525" s="1358"/>
      <c r="OJU525" s="1358"/>
      <c r="OJV525" s="1358"/>
      <c r="OJW525" s="1358"/>
      <c r="OJX525" s="1358"/>
      <c r="OJY525" s="1358"/>
      <c r="OJZ525" s="1358"/>
      <c r="OKA525" s="1358"/>
      <c r="OKB525" s="1358"/>
      <c r="OKC525" s="1358"/>
      <c r="OKD525" s="1358"/>
      <c r="OKE525" s="1358"/>
      <c r="OKF525" s="1358"/>
      <c r="OKG525" s="1358"/>
      <c r="OKH525" s="1358"/>
      <c r="OKI525" s="1358"/>
      <c r="OKJ525" s="1358"/>
      <c r="OKK525" s="1358"/>
      <c r="OKL525" s="1358"/>
      <c r="OKM525" s="1358"/>
      <c r="OKN525" s="1358"/>
      <c r="OKO525" s="1358"/>
      <c r="OKP525" s="1358"/>
      <c r="OKQ525" s="1358"/>
      <c r="OKR525" s="1358"/>
      <c r="OKS525" s="1358"/>
      <c r="OKT525" s="1358"/>
      <c r="OKU525" s="1358"/>
      <c r="OKV525" s="1358"/>
      <c r="OKW525" s="1358"/>
      <c r="OKX525" s="1358"/>
      <c r="OKY525" s="1358"/>
      <c r="OKZ525" s="1358"/>
      <c r="OLA525" s="1358"/>
      <c r="OLB525" s="1358"/>
      <c r="OLC525" s="1358"/>
      <c r="OLD525" s="1358"/>
      <c r="OLE525" s="1358"/>
      <c r="OLF525" s="1358"/>
      <c r="OLG525" s="1358"/>
      <c r="OLH525" s="1358"/>
      <c r="OLI525" s="1358"/>
      <c r="OLJ525" s="1358"/>
      <c r="OLK525" s="1358"/>
      <c r="OLL525" s="1358"/>
      <c r="OLM525" s="1358"/>
      <c r="OLN525" s="1358"/>
      <c r="OLO525" s="1358"/>
      <c r="OLP525" s="1358"/>
      <c r="OLQ525" s="1358"/>
      <c r="OLR525" s="1358"/>
      <c r="OLS525" s="1358"/>
      <c r="OLT525" s="1358"/>
      <c r="OLU525" s="1358"/>
      <c r="OLV525" s="1358"/>
      <c r="OLW525" s="1358"/>
      <c r="OLX525" s="1358"/>
      <c r="OLY525" s="1358"/>
      <c r="OLZ525" s="1358"/>
      <c r="OMA525" s="1358"/>
      <c r="OMB525" s="1358"/>
      <c r="OMC525" s="1358"/>
      <c r="OMD525" s="1358"/>
      <c r="OME525" s="1358"/>
      <c r="OMF525" s="1358"/>
      <c r="OMG525" s="1358"/>
      <c r="OMH525" s="1358"/>
      <c r="OMI525" s="1358"/>
      <c r="OMJ525" s="1358"/>
      <c r="OMK525" s="1358"/>
      <c r="OML525" s="1358"/>
      <c r="OMM525" s="1358"/>
      <c r="OMN525" s="1358"/>
      <c r="OMO525" s="1358"/>
      <c r="OMP525" s="1358"/>
      <c r="OMQ525" s="1358"/>
      <c r="OMR525" s="1358"/>
      <c r="OMS525" s="1358"/>
      <c r="OMT525" s="1358"/>
      <c r="OMU525" s="1358"/>
      <c r="OMV525" s="1358"/>
      <c r="OMW525" s="1358"/>
      <c r="OMX525" s="1358"/>
      <c r="OMY525" s="1358"/>
      <c r="OMZ525" s="1358"/>
      <c r="ONA525" s="1358"/>
      <c r="ONB525" s="1358"/>
      <c r="ONC525" s="1358"/>
      <c r="OND525" s="1358"/>
      <c r="ONE525" s="1358"/>
      <c r="ONF525" s="1358"/>
      <c r="ONG525" s="1358"/>
      <c r="ONH525" s="1358"/>
      <c r="ONI525" s="1358"/>
      <c r="ONJ525" s="1358"/>
      <c r="ONK525" s="1358"/>
      <c r="ONL525" s="1358"/>
      <c r="ONM525" s="1358"/>
      <c r="ONN525" s="1358"/>
      <c r="ONO525" s="1358"/>
      <c r="ONP525" s="1358"/>
      <c r="ONQ525" s="1358"/>
      <c r="ONR525" s="1358"/>
      <c r="ONS525" s="1358"/>
      <c r="ONT525" s="1358"/>
      <c r="ONU525" s="1358"/>
      <c r="ONV525" s="1358"/>
      <c r="ONW525" s="1358"/>
      <c r="ONX525" s="1358"/>
      <c r="ONY525" s="1358"/>
      <c r="ONZ525" s="1358"/>
      <c r="OOA525" s="1358"/>
      <c r="OOB525" s="1358"/>
      <c r="OOC525" s="1358"/>
      <c r="OOD525" s="1358"/>
      <c r="OOE525" s="1358"/>
      <c r="OOF525" s="1358"/>
      <c r="OOG525" s="1358"/>
      <c r="OOH525" s="1358"/>
      <c r="OOI525" s="1358"/>
      <c r="OOJ525" s="1358"/>
      <c r="OOK525" s="1358"/>
      <c r="OOL525" s="1358"/>
      <c r="OOM525" s="1358"/>
      <c r="OON525" s="1358"/>
      <c r="OOO525" s="1358"/>
      <c r="OOP525" s="1358"/>
      <c r="OOQ525" s="1358"/>
      <c r="OOR525" s="1358"/>
      <c r="OOS525" s="1358"/>
      <c r="OOT525" s="1358"/>
      <c r="OOU525" s="1358"/>
      <c r="OOV525" s="1358"/>
      <c r="OOW525" s="1358"/>
      <c r="OOX525" s="1358"/>
      <c r="OOY525" s="1358"/>
      <c r="OOZ525" s="1358"/>
      <c r="OPA525" s="1358"/>
      <c r="OPB525" s="1358"/>
      <c r="OPC525" s="1358"/>
      <c r="OPD525" s="1358"/>
      <c r="OPE525" s="1358"/>
      <c r="OPF525" s="1358"/>
      <c r="OPG525" s="1358"/>
      <c r="OPH525" s="1358"/>
      <c r="OPI525" s="1358"/>
      <c r="OPJ525" s="1358"/>
      <c r="OPK525" s="1358"/>
      <c r="OPL525" s="1358"/>
      <c r="OPM525" s="1358"/>
      <c r="OPN525" s="1358"/>
      <c r="OPO525" s="1358"/>
      <c r="OPP525" s="1358"/>
      <c r="OPQ525" s="1358"/>
      <c r="OPR525" s="1358"/>
      <c r="OPS525" s="1358"/>
      <c r="OPT525" s="1358"/>
      <c r="OPU525" s="1358"/>
      <c r="OPV525" s="1358"/>
      <c r="OPW525" s="1358"/>
      <c r="OPX525" s="1358"/>
      <c r="OPY525" s="1358"/>
      <c r="OPZ525" s="1358"/>
      <c r="OQA525" s="1358"/>
      <c r="OQB525" s="1358"/>
      <c r="OQC525" s="1358"/>
      <c r="OQD525" s="1358"/>
      <c r="OQE525" s="1358"/>
      <c r="OQF525" s="1358"/>
      <c r="OQG525" s="1358"/>
      <c r="OQH525" s="1358"/>
      <c r="OQI525" s="1358"/>
      <c r="OQJ525" s="1358"/>
      <c r="OQK525" s="1358"/>
      <c r="OQL525" s="1358"/>
      <c r="OQM525" s="1358"/>
      <c r="OQN525" s="1358"/>
      <c r="OQO525" s="1358"/>
      <c r="OQP525" s="1358"/>
      <c r="OQQ525" s="1358"/>
      <c r="OQR525" s="1358"/>
      <c r="OQS525" s="1358"/>
      <c r="OQT525" s="1358"/>
      <c r="OQU525" s="1358"/>
      <c r="OQV525" s="1358"/>
      <c r="OQW525" s="1358"/>
      <c r="OQX525" s="1358"/>
      <c r="OQY525" s="1358"/>
      <c r="OQZ525" s="1358"/>
      <c r="ORA525" s="1358"/>
      <c r="ORB525" s="1358"/>
      <c r="ORC525" s="1358"/>
      <c r="ORD525" s="1358"/>
      <c r="ORE525" s="1358"/>
      <c r="ORF525" s="1358"/>
      <c r="ORG525" s="1358"/>
      <c r="ORH525" s="1358"/>
      <c r="ORI525" s="1358"/>
      <c r="ORJ525" s="1358"/>
      <c r="ORK525" s="1358"/>
      <c r="ORL525" s="1358"/>
      <c r="ORM525" s="1358"/>
      <c r="ORN525" s="1358"/>
      <c r="ORO525" s="1358"/>
      <c r="ORP525" s="1358"/>
      <c r="ORQ525" s="1358"/>
      <c r="ORR525" s="1358"/>
      <c r="ORS525" s="1358"/>
      <c r="ORT525" s="1358"/>
      <c r="ORU525" s="1358"/>
      <c r="ORV525" s="1358"/>
      <c r="ORW525" s="1358"/>
      <c r="ORX525" s="1358"/>
      <c r="ORY525" s="1358"/>
      <c r="ORZ525" s="1358"/>
      <c r="OSA525" s="1358"/>
      <c r="OSB525" s="1358"/>
      <c r="OSC525" s="1358"/>
      <c r="OSD525" s="1358"/>
      <c r="OSE525" s="1358"/>
      <c r="OSF525" s="1358"/>
      <c r="OSG525" s="1358"/>
      <c r="OSH525" s="1358"/>
      <c r="OSI525" s="1358"/>
      <c r="OSJ525" s="1358"/>
      <c r="OSK525" s="1358"/>
      <c r="OSL525" s="1358"/>
      <c r="OSM525" s="1358"/>
      <c r="OSN525" s="1358"/>
      <c r="OSO525" s="1358"/>
      <c r="OSP525" s="1358"/>
      <c r="OSQ525" s="1358"/>
      <c r="OSR525" s="1358"/>
      <c r="OSS525" s="1358"/>
      <c r="OST525" s="1358"/>
      <c r="OSU525" s="1358"/>
      <c r="OSV525" s="1358"/>
      <c r="OSW525" s="1358"/>
      <c r="OSX525" s="1358"/>
      <c r="OSY525" s="1358"/>
      <c r="OSZ525" s="1358"/>
      <c r="OTA525" s="1358"/>
      <c r="OTB525" s="1358"/>
      <c r="OTC525" s="1358"/>
      <c r="OTD525" s="1358"/>
      <c r="OTE525" s="1358"/>
      <c r="OTF525" s="1358"/>
      <c r="OTG525" s="1358"/>
      <c r="OTH525" s="1358"/>
      <c r="OTI525" s="1358"/>
      <c r="OTJ525" s="1358"/>
      <c r="OTK525" s="1358"/>
      <c r="OTL525" s="1358"/>
      <c r="OTM525" s="1358"/>
      <c r="OTN525" s="1358"/>
      <c r="OTO525" s="1358"/>
      <c r="OTP525" s="1358"/>
      <c r="OTQ525" s="1358"/>
      <c r="OTR525" s="1358"/>
      <c r="OTS525" s="1358"/>
      <c r="OTT525" s="1358"/>
      <c r="OTU525" s="1358"/>
      <c r="OTV525" s="1358"/>
      <c r="OTW525" s="1358"/>
      <c r="OTX525" s="1358"/>
      <c r="OTY525" s="1358"/>
      <c r="OTZ525" s="1358"/>
      <c r="OUA525" s="1358"/>
      <c r="OUB525" s="1358"/>
      <c r="OUC525" s="1358"/>
      <c r="OUD525" s="1358"/>
      <c r="OUE525" s="1358"/>
      <c r="OUF525" s="1358"/>
      <c r="OUG525" s="1358"/>
      <c r="OUH525" s="1358"/>
      <c r="OUI525" s="1358"/>
      <c r="OUJ525" s="1358"/>
      <c r="OUK525" s="1358"/>
      <c r="OUL525" s="1358"/>
      <c r="OUM525" s="1358"/>
      <c r="OUN525" s="1358"/>
      <c r="OUO525" s="1358"/>
      <c r="OUP525" s="1358"/>
      <c r="OUQ525" s="1358"/>
      <c r="OUR525" s="1358"/>
      <c r="OUS525" s="1358"/>
      <c r="OUT525" s="1358"/>
      <c r="OUU525" s="1358"/>
      <c r="OUV525" s="1358"/>
      <c r="OUW525" s="1358"/>
      <c r="OUX525" s="1358"/>
      <c r="OUY525" s="1358"/>
      <c r="OUZ525" s="1358"/>
      <c r="OVA525" s="1358"/>
      <c r="OVB525" s="1358"/>
      <c r="OVC525" s="1358"/>
      <c r="OVD525" s="1358"/>
      <c r="OVE525" s="1358"/>
      <c r="OVF525" s="1358"/>
      <c r="OVG525" s="1358"/>
      <c r="OVH525" s="1358"/>
      <c r="OVI525" s="1358"/>
      <c r="OVJ525" s="1358"/>
      <c r="OVK525" s="1358"/>
      <c r="OVL525" s="1358"/>
      <c r="OVM525" s="1358"/>
      <c r="OVN525" s="1358"/>
      <c r="OVO525" s="1358"/>
      <c r="OVP525" s="1358"/>
      <c r="OVQ525" s="1358"/>
      <c r="OVR525" s="1358"/>
      <c r="OVS525" s="1358"/>
      <c r="OVT525" s="1358"/>
      <c r="OVU525" s="1358"/>
      <c r="OVV525" s="1358"/>
      <c r="OVW525" s="1358"/>
      <c r="OVX525" s="1358"/>
      <c r="OVY525" s="1358"/>
      <c r="OVZ525" s="1358"/>
      <c r="OWA525" s="1358"/>
      <c r="OWB525" s="1358"/>
      <c r="OWC525" s="1358"/>
      <c r="OWD525" s="1358"/>
      <c r="OWE525" s="1358"/>
      <c r="OWF525" s="1358"/>
      <c r="OWG525" s="1358"/>
      <c r="OWH525" s="1358"/>
      <c r="OWI525" s="1358"/>
      <c r="OWJ525" s="1358"/>
      <c r="OWK525" s="1358"/>
      <c r="OWL525" s="1358"/>
      <c r="OWM525" s="1358"/>
      <c r="OWN525" s="1358"/>
      <c r="OWO525" s="1358"/>
      <c r="OWP525" s="1358"/>
      <c r="OWQ525" s="1358"/>
      <c r="OWR525" s="1358"/>
      <c r="OWS525" s="1358"/>
      <c r="OWT525" s="1358"/>
      <c r="OWU525" s="1358"/>
      <c r="OWV525" s="1358"/>
      <c r="OWW525" s="1358"/>
      <c r="OWX525" s="1358"/>
      <c r="OWY525" s="1358"/>
      <c r="OWZ525" s="1358"/>
      <c r="OXA525" s="1358"/>
      <c r="OXB525" s="1358"/>
      <c r="OXC525" s="1358"/>
      <c r="OXD525" s="1358"/>
      <c r="OXE525" s="1358"/>
      <c r="OXF525" s="1358"/>
      <c r="OXG525" s="1358"/>
      <c r="OXH525" s="1358"/>
      <c r="OXI525" s="1358"/>
      <c r="OXJ525" s="1358"/>
      <c r="OXK525" s="1358"/>
      <c r="OXL525" s="1358"/>
      <c r="OXM525" s="1358"/>
      <c r="OXN525" s="1358"/>
      <c r="OXO525" s="1358"/>
      <c r="OXP525" s="1358"/>
      <c r="OXQ525" s="1358"/>
      <c r="OXR525" s="1358"/>
      <c r="OXS525" s="1358"/>
      <c r="OXT525" s="1358"/>
      <c r="OXU525" s="1358"/>
      <c r="OXV525" s="1358"/>
      <c r="OXW525" s="1358"/>
      <c r="OXX525" s="1358"/>
      <c r="OXY525" s="1358"/>
      <c r="OXZ525" s="1358"/>
      <c r="OYA525" s="1358"/>
      <c r="OYB525" s="1358"/>
      <c r="OYC525" s="1358"/>
      <c r="OYD525" s="1358"/>
      <c r="OYE525" s="1358"/>
      <c r="OYF525" s="1358"/>
      <c r="OYG525" s="1358"/>
      <c r="OYH525" s="1358"/>
      <c r="OYI525" s="1358"/>
      <c r="OYJ525" s="1358"/>
      <c r="OYK525" s="1358"/>
      <c r="OYL525" s="1358"/>
      <c r="OYM525" s="1358"/>
      <c r="OYN525" s="1358"/>
      <c r="OYO525" s="1358"/>
      <c r="OYP525" s="1358"/>
      <c r="OYQ525" s="1358"/>
      <c r="OYR525" s="1358"/>
      <c r="OYS525" s="1358"/>
      <c r="OYT525" s="1358"/>
      <c r="OYU525" s="1358"/>
      <c r="OYV525" s="1358"/>
      <c r="OYW525" s="1358"/>
      <c r="OYX525" s="1358"/>
      <c r="OYY525" s="1358"/>
      <c r="OYZ525" s="1358"/>
      <c r="OZA525" s="1358"/>
      <c r="OZB525" s="1358"/>
      <c r="OZC525" s="1358"/>
      <c r="OZD525" s="1358"/>
      <c r="OZE525" s="1358"/>
      <c r="OZF525" s="1358"/>
      <c r="OZG525" s="1358"/>
      <c r="OZH525" s="1358"/>
      <c r="OZI525" s="1358"/>
      <c r="OZJ525" s="1358"/>
      <c r="OZK525" s="1358"/>
      <c r="OZL525" s="1358"/>
      <c r="OZM525" s="1358"/>
      <c r="OZN525" s="1358"/>
      <c r="OZO525" s="1358"/>
      <c r="OZP525" s="1358"/>
      <c r="OZQ525" s="1358"/>
      <c r="OZR525" s="1358"/>
      <c r="OZS525" s="1358"/>
      <c r="OZT525" s="1358"/>
      <c r="OZU525" s="1358"/>
      <c r="OZV525" s="1358"/>
      <c r="OZW525" s="1358"/>
      <c r="OZX525" s="1358"/>
      <c r="OZY525" s="1358"/>
      <c r="OZZ525" s="1358"/>
      <c r="PAA525" s="1358"/>
      <c r="PAB525" s="1358"/>
      <c r="PAC525" s="1358"/>
      <c r="PAD525" s="1358"/>
      <c r="PAE525" s="1358"/>
      <c r="PAF525" s="1358"/>
      <c r="PAG525" s="1358"/>
      <c r="PAH525" s="1358"/>
      <c r="PAI525" s="1358"/>
      <c r="PAJ525" s="1358"/>
      <c r="PAK525" s="1358"/>
      <c r="PAL525" s="1358"/>
      <c r="PAM525" s="1358"/>
      <c r="PAN525" s="1358"/>
      <c r="PAO525" s="1358"/>
      <c r="PAP525" s="1358"/>
      <c r="PAQ525" s="1358"/>
      <c r="PAR525" s="1358"/>
      <c r="PAS525" s="1358"/>
      <c r="PAT525" s="1358"/>
      <c r="PAU525" s="1358"/>
      <c r="PAV525" s="1358"/>
      <c r="PAW525" s="1358"/>
      <c r="PAX525" s="1358"/>
      <c r="PAY525" s="1358"/>
      <c r="PAZ525" s="1358"/>
      <c r="PBA525" s="1358"/>
      <c r="PBB525" s="1358"/>
      <c r="PBC525" s="1358"/>
      <c r="PBD525" s="1358"/>
      <c r="PBE525" s="1358"/>
      <c r="PBF525" s="1358"/>
      <c r="PBG525" s="1358"/>
      <c r="PBH525" s="1358"/>
      <c r="PBI525" s="1358"/>
      <c r="PBJ525" s="1358"/>
      <c r="PBK525" s="1358"/>
      <c r="PBL525" s="1358"/>
      <c r="PBM525" s="1358"/>
      <c r="PBN525" s="1358"/>
      <c r="PBO525" s="1358"/>
      <c r="PBP525" s="1358"/>
      <c r="PBQ525" s="1358"/>
      <c r="PBR525" s="1358"/>
      <c r="PBS525" s="1358"/>
      <c r="PBT525" s="1358"/>
      <c r="PBU525" s="1358"/>
      <c r="PBV525" s="1358"/>
      <c r="PBW525" s="1358"/>
      <c r="PBX525" s="1358"/>
      <c r="PBY525" s="1358"/>
      <c r="PBZ525" s="1358"/>
      <c r="PCA525" s="1358"/>
      <c r="PCB525" s="1358"/>
      <c r="PCC525" s="1358"/>
      <c r="PCD525" s="1358"/>
      <c r="PCE525" s="1358"/>
      <c r="PCF525" s="1358"/>
      <c r="PCG525" s="1358"/>
      <c r="PCH525" s="1358"/>
      <c r="PCI525" s="1358"/>
      <c r="PCJ525" s="1358"/>
      <c r="PCK525" s="1358"/>
      <c r="PCL525" s="1358"/>
      <c r="PCM525" s="1358"/>
      <c r="PCN525" s="1358"/>
      <c r="PCO525" s="1358"/>
      <c r="PCP525" s="1358"/>
      <c r="PCQ525" s="1358"/>
      <c r="PCR525" s="1358"/>
      <c r="PCS525" s="1358"/>
      <c r="PCT525" s="1358"/>
      <c r="PCU525" s="1358"/>
      <c r="PCV525" s="1358"/>
      <c r="PCW525" s="1358"/>
      <c r="PCX525" s="1358"/>
      <c r="PCY525" s="1358"/>
      <c r="PCZ525" s="1358"/>
      <c r="PDA525" s="1358"/>
      <c r="PDB525" s="1358"/>
      <c r="PDC525" s="1358"/>
      <c r="PDD525" s="1358"/>
      <c r="PDE525" s="1358"/>
      <c r="PDF525" s="1358"/>
      <c r="PDG525" s="1358"/>
      <c r="PDH525" s="1358"/>
      <c r="PDI525" s="1358"/>
      <c r="PDJ525" s="1358"/>
      <c r="PDK525" s="1358"/>
      <c r="PDL525" s="1358"/>
      <c r="PDM525" s="1358"/>
      <c r="PDN525" s="1358"/>
      <c r="PDO525" s="1358"/>
      <c r="PDP525" s="1358"/>
      <c r="PDQ525" s="1358"/>
      <c r="PDR525" s="1358"/>
      <c r="PDS525" s="1358"/>
      <c r="PDT525" s="1358"/>
      <c r="PDU525" s="1358"/>
      <c r="PDV525" s="1358"/>
      <c r="PDW525" s="1358"/>
      <c r="PDX525" s="1358"/>
      <c r="PDY525" s="1358"/>
      <c r="PDZ525" s="1358"/>
      <c r="PEA525" s="1358"/>
      <c r="PEB525" s="1358"/>
      <c r="PEC525" s="1358"/>
      <c r="PED525" s="1358"/>
      <c r="PEE525" s="1358"/>
      <c r="PEF525" s="1358"/>
      <c r="PEG525" s="1358"/>
      <c r="PEH525" s="1358"/>
      <c r="PEI525" s="1358"/>
      <c r="PEJ525" s="1358"/>
      <c r="PEK525" s="1358"/>
      <c r="PEL525" s="1358"/>
      <c r="PEM525" s="1358"/>
      <c r="PEN525" s="1358"/>
      <c r="PEO525" s="1358"/>
      <c r="PEP525" s="1358"/>
      <c r="PEQ525" s="1358"/>
      <c r="PER525" s="1358"/>
      <c r="PES525" s="1358"/>
      <c r="PET525" s="1358"/>
      <c r="PEU525" s="1358"/>
      <c r="PEV525" s="1358"/>
      <c r="PEW525" s="1358"/>
      <c r="PEX525" s="1358"/>
      <c r="PEY525" s="1358"/>
      <c r="PEZ525" s="1358"/>
      <c r="PFA525" s="1358"/>
      <c r="PFB525" s="1358"/>
      <c r="PFC525" s="1358"/>
      <c r="PFD525" s="1358"/>
      <c r="PFE525" s="1358"/>
      <c r="PFF525" s="1358"/>
      <c r="PFG525" s="1358"/>
      <c r="PFH525" s="1358"/>
      <c r="PFI525" s="1358"/>
      <c r="PFJ525" s="1358"/>
      <c r="PFK525" s="1358"/>
      <c r="PFL525" s="1358"/>
      <c r="PFM525" s="1358"/>
      <c r="PFN525" s="1358"/>
      <c r="PFO525" s="1358"/>
      <c r="PFP525" s="1358"/>
      <c r="PFQ525" s="1358"/>
      <c r="PFR525" s="1358"/>
      <c r="PFS525" s="1358"/>
      <c r="PFT525" s="1358"/>
      <c r="PFU525" s="1358"/>
      <c r="PFV525" s="1358"/>
      <c r="PFW525" s="1358"/>
      <c r="PFX525" s="1358"/>
      <c r="PFY525" s="1358"/>
      <c r="PFZ525" s="1358"/>
      <c r="PGA525" s="1358"/>
      <c r="PGB525" s="1358"/>
      <c r="PGC525" s="1358"/>
      <c r="PGD525" s="1358"/>
      <c r="PGE525" s="1358"/>
      <c r="PGF525" s="1358"/>
      <c r="PGG525" s="1358"/>
      <c r="PGH525" s="1358"/>
      <c r="PGI525" s="1358"/>
      <c r="PGJ525" s="1358"/>
      <c r="PGK525" s="1358"/>
      <c r="PGL525" s="1358"/>
      <c r="PGM525" s="1358"/>
      <c r="PGN525" s="1358"/>
      <c r="PGO525" s="1358"/>
      <c r="PGP525" s="1358"/>
      <c r="PGQ525" s="1358"/>
      <c r="PGR525" s="1358"/>
      <c r="PGS525" s="1358"/>
      <c r="PGT525" s="1358"/>
      <c r="PGU525" s="1358"/>
      <c r="PGV525" s="1358"/>
      <c r="PGW525" s="1358"/>
      <c r="PGX525" s="1358"/>
      <c r="PGY525" s="1358"/>
      <c r="PGZ525" s="1358"/>
      <c r="PHA525" s="1358"/>
      <c r="PHB525" s="1358"/>
      <c r="PHC525" s="1358"/>
      <c r="PHD525" s="1358"/>
      <c r="PHE525" s="1358"/>
      <c r="PHF525" s="1358"/>
      <c r="PHG525" s="1358"/>
      <c r="PHH525" s="1358"/>
      <c r="PHI525" s="1358"/>
      <c r="PHJ525" s="1358"/>
      <c r="PHK525" s="1358"/>
      <c r="PHL525" s="1358"/>
      <c r="PHM525" s="1358"/>
      <c r="PHN525" s="1358"/>
      <c r="PHO525" s="1358"/>
      <c r="PHP525" s="1358"/>
      <c r="PHQ525" s="1358"/>
      <c r="PHR525" s="1358"/>
      <c r="PHS525" s="1358"/>
      <c r="PHT525" s="1358"/>
      <c r="PHU525" s="1358"/>
      <c r="PHV525" s="1358"/>
      <c r="PHW525" s="1358"/>
      <c r="PHX525" s="1358"/>
      <c r="PHY525" s="1358"/>
      <c r="PHZ525" s="1358"/>
      <c r="PIA525" s="1358"/>
      <c r="PIB525" s="1358"/>
      <c r="PIC525" s="1358"/>
      <c r="PID525" s="1358"/>
      <c r="PIE525" s="1358"/>
      <c r="PIF525" s="1358"/>
      <c r="PIG525" s="1358"/>
      <c r="PIH525" s="1358"/>
      <c r="PII525" s="1358"/>
      <c r="PIJ525" s="1358"/>
      <c r="PIK525" s="1358"/>
      <c r="PIL525" s="1358"/>
      <c r="PIM525" s="1358"/>
      <c r="PIN525" s="1358"/>
      <c r="PIO525" s="1358"/>
      <c r="PIP525" s="1358"/>
      <c r="PIQ525" s="1358"/>
      <c r="PIR525" s="1358"/>
      <c r="PIS525" s="1358"/>
      <c r="PIT525" s="1358"/>
      <c r="PIU525" s="1358"/>
      <c r="PIV525" s="1358"/>
      <c r="PIW525" s="1358"/>
      <c r="PIX525" s="1358"/>
      <c r="PIY525" s="1358"/>
      <c r="PIZ525" s="1358"/>
      <c r="PJA525" s="1358"/>
      <c r="PJB525" s="1358"/>
      <c r="PJC525" s="1358"/>
      <c r="PJD525" s="1358"/>
      <c r="PJE525" s="1358"/>
      <c r="PJF525" s="1358"/>
      <c r="PJG525" s="1358"/>
      <c r="PJH525" s="1358"/>
      <c r="PJI525" s="1358"/>
      <c r="PJJ525" s="1358"/>
      <c r="PJK525" s="1358"/>
      <c r="PJL525" s="1358"/>
      <c r="PJM525" s="1358"/>
      <c r="PJN525" s="1358"/>
      <c r="PJO525" s="1358"/>
      <c r="PJP525" s="1358"/>
      <c r="PJQ525" s="1358"/>
      <c r="PJR525" s="1358"/>
      <c r="PJS525" s="1358"/>
      <c r="PJT525" s="1358"/>
      <c r="PJU525" s="1358"/>
      <c r="PJV525" s="1358"/>
      <c r="PJW525" s="1358"/>
      <c r="PJX525" s="1358"/>
      <c r="PJY525" s="1358"/>
      <c r="PJZ525" s="1358"/>
      <c r="PKA525" s="1358"/>
      <c r="PKB525" s="1358"/>
      <c r="PKC525" s="1358"/>
      <c r="PKD525" s="1358"/>
      <c r="PKE525" s="1358"/>
      <c r="PKF525" s="1358"/>
      <c r="PKG525" s="1358"/>
      <c r="PKH525" s="1358"/>
      <c r="PKI525" s="1358"/>
      <c r="PKJ525" s="1358"/>
      <c r="PKK525" s="1358"/>
      <c r="PKL525" s="1358"/>
      <c r="PKM525" s="1358"/>
      <c r="PKN525" s="1358"/>
      <c r="PKO525" s="1358"/>
      <c r="PKP525" s="1358"/>
      <c r="PKQ525" s="1358"/>
      <c r="PKR525" s="1358"/>
      <c r="PKS525" s="1358"/>
      <c r="PKT525" s="1358"/>
      <c r="PKU525" s="1358"/>
      <c r="PKV525" s="1358"/>
      <c r="PKW525" s="1358"/>
      <c r="PKX525" s="1358"/>
      <c r="PKY525" s="1358"/>
      <c r="PKZ525" s="1358"/>
      <c r="PLA525" s="1358"/>
      <c r="PLB525" s="1358"/>
      <c r="PLC525" s="1358"/>
      <c r="PLD525" s="1358"/>
      <c r="PLE525" s="1358"/>
      <c r="PLF525" s="1358"/>
      <c r="PLG525" s="1358"/>
      <c r="PLH525" s="1358"/>
      <c r="PLI525" s="1358"/>
      <c r="PLJ525" s="1358"/>
      <c r="PLK525" s="1358"/>
      <c r="PLL525" s="1358"/>
      <c r="PLM525" s="1358"/>
      <c r="PLN525" s="1358"/>
      <c r="PLO525" s="1358"/>
      <c r="PLP525" s="1358"/>
      <c r="PLQ525" s="1358"/>
      <c r="PLR525" s="1358"/>
      <c r="PLS525" s="1358"/>
      <c r="PLT525" s="1358"/>
      <c r="PLU525" s="1358"/>
      <c r="PLV525" s="1358"/>
      <c r="PLW525" s="1358"/>
      <c r="PLX525" s="1358"/>
      <c r="PLY525" s="1358"/>
      <c r="PLZ525" s="1358"/>
      <c r="PMA525" s="1358"/>
      <c r="PMB525" s="1358"/>
      <c r="PMC525" s="1358"/>
      <c r="PMD525" s="1358"/>
      <c r="PME525" s="1358"/>
      <c r="PMF525" s="1358"/>
      <c r="PMG525" s="1358"/>
      <c r="PMH525" s="1358"/>
      <c r="PMI525" s="1358"/>
      <c r="PMJ525" s="1358"/>
      <c r="PMK525" s="1358"/>
      <c r="PML525" s="1358"/>
      <c r="PMM525" s="1358"/>
      <c r="PMN525" s="1358"/>
      <c r="PMO525" s="1358"/>
      <c r="PMP525" s="1358"/>
      <c r="PMQ525" s="1358"/>
      <c r="PMR525" s="1358"/>
      <c r="PMS525" s="1358"/>
      <c r="PMT525" s="1358"/>
      <c r="PMU525" s="1358"/>
      <c r="PMV525" s="1358"/>
      <c r="PMW525" s="1358"/>
      <c r="PMX525" s="1358"/>
      <c r="PMY525" s="1358"/>
      <c r="PMZ525" s="1358"/>
      <c r="PNA525" s="1358"/>
      <c r="PNB525" s="1358"/>
      <c r="PNC525" s="1358"/>
      <c r="PND525" s="1358"/>
      <c r="PNE525" s="1358"/>
      <c r="PNF525" s="1358"/>
      <c r="PNG525" s="1358"/>
      <c r="PNH525" s="1358"/>
      <c r="PNI525" s="1358"/>
      <c r="PNJ525" s="1358"/>
      <c r="PNK525" s="1358"/>
      <c r="PNL525" s="1358"/>
      <c r="PNM525" s="1358"/>
      <c r="PNN525" s="1358"/>
      <c r="PNO525" s="1358"/>
      <c r="PNP525" s="1358"/>
      <c r="PNQ525" s="1358"/>
      <c r="PNR525" s="1358"/>
      <c r="PNS525" s="1358"/>
      <c r="PNT525" s="1358"/>
      <c r="PNU525" s="1358"/>
      <c r="PNV525" s="1358"/>
      <c r="PNW525" s="1358"/>
      <c r="PNX525" s="1358"/>
      <c r="PNY525" s="1358"/>
      <c r="PNZ525" s="1358"/>
      <c r="POA525" s="1358"/>
      <c r="POB525" s="1358"/>
      <c r="POC525" s="1358"/>
      <c r="POD525" s="1358"/>
      <c r="POE525" s="1358"/>
      <c r="POF525" s="1358"/>
      <c r="POG525" s="1358"/>
      <c r="POH525" s="1358"/>
      <c r="POI525" s="1358"/>
      <c r="POJ525" s="1358"/>
      <c r="POK525" s="1358"/>
      <c r="POL525" s="1358"/>
      <c r="POM525" s="1358"/>
      <c r="PON525" s="1358"/>
      <c r="POO525" s="1358"/>
      <c r="POP525" s="1358"/>
      <c r="POQ525" s="1358"/>
      <c r="POR525" s="1358"/>
      <c r="POS525" s="1358"/>
      <c r="POT525" s="1358"/>
      <c r="POU525" s="1358"/>
      <c r="POV525" s="1358"/>
      <c r="POW525" s="1358"/>
      <c r="POX525" s="1358"/>
      <c r="POY525" s="1358"/>
      <c r="POZ525" s="1358"/>
      <c r="PPA525" s="1358"/>
      <c r="PPB525" s="1358"/>
      <c r="PPC525" s="1358"/>
      <c r="PPD525" s="1358"/>
      <c r="PPE525" s="1358"/>
      <c r="PPF525" s="1358"/>
      <c r="PPG525" s="1358"/>
      <c r="PPH525" s="1358"/>
      <c r="PPI525" s="1358"/>
      <c r="PPJ525" s="1358"/>
      <c r="PPK525" s="1358"/>
      <c r="PPL525" s="1358"/>
      <c r="PPM525" s="1358"/>
      <c r="PPN525" s="1358"/>
      <c r="PPO525" s="1358"/>
      <c r="PPP525" s="1358"/>
      <c r="PPQ525" s="1358"/>
      <c r="PPR525" s="1358"/>
      <c r="PPS525" s="1358"/>
      <c r="PPT525" s="1358"/>
      <c r="PPU525" s="1358"/>
      <c r="PPV525" s="1358"/>
      <c r="PPW525" s="1358"/>
      <c r="PPX525" s="1358"/>
      <c r="PPY525" s="1358"/>
      <c r="PPZ525" s="1358"/>
      <c r="PQA525" s="1358"/>
      <c r="PQB525" s="1358"/>
      <c r="PQC525" s="1358"/>
      <c r="PQD525" s="1358"/>
      <c r="PQE525" s="1358"/>
      <c r="PQF525" s="1358"/>
      <c r="PQG525" s="1358"/>
      <c r="PQH525" s="1358"/>
      <c r="PQI525" s="1358"/>
      <c r="PQJ525" s="1358"/>
      <c r="PQK525" s="1358"/>
      <c r="PQL525" s="1358"/>
      <c r="PQM525" s="1358"/>
      <c r="PQN525" s="1358"/>
      <c r="PQO525" s="1358"/>
      <c r="PQP525" s="1358"/>
      <c r="PQQ525" s="1358"/>
      <c r="PQR525" s="1358"/>
      <c r="PQS525" s="1358"/>
      <c r="PQT525" s="1358"/>
      <c r="PQU525" s="1358"/>
      <c r="PQV525" s="1358"/>
      <c r="PQW525" s="1358"/>
      <c r="PQX525" s="1358"/>
      <c r="PQY525" s="1358"/>
      <c r="PQZ525" s="1358"/>
      <c r="PRA525" s="1358"/>
      <c r="PRB525" s="1358"/>
      <c r="PRC525" s="1358"/>
      <c r="PRD525" s="1358"/>
      <c r="PRE525" s="1358"/>
      <c r="PRF525" s="1358"/>
      <c r="PRG525" s="1358"/>
      <c r="PRH525" s="1358"/>
      <c r="PRI525" s="1358"/>
      <c r="PRJ525" s="1358"/>
      <c r="PRK525" s="1358"/>
      <c r="PRL525" s="1358"/>
      <c r="PRM525" s="1358"/>
      <c r="PRN525" s="1358"/>
      <c r="PRO525" s="1358"/>
      <c r="PRP525" s="1358"/>
      <c r="PRQ525" s="1358"/>
      <c r="PRR525" s="1358"/>
      <c r="PRS525" s="1358"/>
      <c r="PRT525" s="1358"/>
      <c r="PRU525" s="1358"/>
      <c r="PRV525" s="1358"/>
      <c r="PRW525" s="1358"/>
      <c r="PRX525" s="1358"/>
      <c r="PRY525" s="1358"/>
      <c r="PRZ525" s="1358"/>
      <c r="PSA525" s="1358"/>
      <c r="PSB525" s="1358"/>
      <c r="PSC525" s="1358"/>
      <c r="PSD525" s="1358"/>
      <c r="PSE525" s="1358"/>
      <c r="PSF525" s="1358"/>
      <c r="PSG525" s="1358"/>
      <c r="PSH525" s="1358"/>
      <c r="PSI525" s="1358"/>
      <c r="PSJ525" s="1358"/>
      <c r="PSK525" s="1358"/>
      <c r="PSL525" s="1358"/>
      <c r="PSM525" s="1358"/>
      <c r="PSN525" s="1358"/>
      <c r="PSO525" s="1358"/>
      <c r="PSP525" s="1358"/>
      <c r="PSQ525" s="1358"/>
      <c r="PSR525" s="1358"/>
      <c r="PSS525" s="1358"/>
      <c r="PST525" s="1358"/>
      <c r="PSU525" s="1358"/>
      <c r="PSV525" s="1358"/>
      <c r="PSW525" s="1358"/>
      <c r="PSX525" s="1358"/>
      <c r="PSY525" s="1358"/>
      <c r="PSZ525" s="1358"/>
      <c r="PTA525" s="1358"/>
      <c r="PTB525" s="1358"/>
      <c r="PTC525" s="1358"/>
      <c r="PTD525" s="1358"/>
      <c r="PTE525" s="1358"/>
      <c r="PTF525" s="1358"/>
      <c r="PTG525" s="1358"/>
      <c r="PTH525" s="1358"/>
      <c r="PTI525" s="1358"/>
      <c r="PTJ525" s="1358"/>
      <c r="PTK525" s="1358"/>
      <c r="PTL525" s="1358"/>
      <c r="PTM525" s="1358"/>
      <c r="PTN525" s="1358"/>
      <c r="PTO525" s="1358"/>
      <c r="PTP525" s="1358"/>
      <c r="PTQ525" s="1358"/>
      <c r="PTR525" s="1358"/>
      <c r="PTS525" s="1358"/>
      <c r="PTT525" s="1358"/>
      <c r="PTU525" s="1358"/>
      <c r="PTV525" s="1358"/>
      <c r="PTW525" s="1358"/>
      <c r="PTX525" s="1358"/>
      <c r="PTY525" s="1358"/>
      <c r="PTZ525" s="1358"/>
      <c r="PUA525" s="1358"/>
      <c r="PUB525" s="1358"/>
      <c r="PUC525" s="1358"/>
      <c r="PUD525" s="1358"/>
      <c r="PUE525" s="1358"/>
      <c r="PUF525" s="1358"/>
      <c r="PUG525" s="1358"/>
      <c r="PUH525" s="1358"/>
      <c r="PUI525" s="1358"/>
      <c r="PUJ525" s="1358"/>
      <c r="PUK525" s="1358"/>
      <c r="PUL525" s="1358"/>
      <c r="PUM525" s="1358"/>
      <c r="PUN525" s="1358"/>
      <c r="PUO525" s="1358"/>
      <c r="PUP525" s="1358"/>
      <c r="PUQ525" s="1358"/>
      <c r="PUR525" s="1358"/>
      <c r="PUS525" s="1358"/>
      <c r="PUT525" s="1358"/>
      <c r="PUU525" s="1358"/>
      <c r="PUV525" s="1358"/>
      <c r="PUW525" s="1358"/>
      <c r="PUX525" s="1358"/>
      <c r="PUY525" s="1358"/>
      <c r="PUZ525" s="1358"/>
      <c r="PVA525" s="1358"/>
      <c r="PVB525" s="1358"/>
      <c r="PVC525" s="1358"/>
      <c r="PVD525" s="1358"/>
      <c r="PVE525" s="1358"/>
      <c r="PVF525" s="1358"/>
      <c r="PVG525" s="1358"/>
      <c r="PVH525" s="1358"/>
      <c r="PVI525" s="1358"/>
      <c r="PVJ525" s="1358"/>
      <c r="PVK525" s="1358"/>
      <c r="PVL525" s="1358"/>
      <c r="PVM525" s="1358"/>
      <c r="PVN525" s="1358"/>
      <c r="PVO525" s="1358"/>
      <c r="PVP525" s="1358"/>
      <c r="PVQ525" s="1358"/>
      <c r="PVR525" s="1358"/>
      <c r="PVS525" s="1358"/>
      <c r="PVT525" s="1358"/>
      <c r="PVU525" s="1358"/>
      <c r="PVV525" s="1358"/>
      <c r="PVW525" s="1358"/>
      <c r="PVX525" s="1358"/>
      <c r="PVY525" s="1358"/>
      <c r="PVZ525" s="1358"/>
      <c r="PWA525" s="1358"/>
      <c r="PWB525" s="1358"/>
      <c r="PWC525" s="1358"/>
      <c r="PWD525" s="1358"/>
      <c r="PWE525" s="1358"/>
      <c r="PWF525" s="1358"/>
      <c r="PWG525" s="1358"/>
      <c r="PWH525" s="1358"/>
      <c r="PWI525" s="1358"/>
      <c r="PWJ525" s="1358"/>
      <c r="PWK525" s="1358"/>
      <c r="PWL525" s="1358"/>
      <c r="PWM525" s="1358"/>
      <c r="PWN525" s="1358"/>
      <c r="PWO525" s="1358"/>
      <c r="PWP525" s="1358"/>
      <c r="PWQ525" s="1358"/>
      <c r="PWR525" s="1358"/>
      <c r="PWS525" s="1358"/>
      <c r="PWT525" s="1358"/>
      <c r="PWU525" s="1358"/>
      <c r="PWV525" s="1358"/>
      <c r="PWW525" s="1358"/>
      <c r="PWX525" s="1358"/>
      <c r="PWY525" s="1358"/>
      <c r="PWZ525" s="1358"/>
      <c r="PXA525" s="1358"/>
      <c r="PXB525" s="1358"/>
      <c r="PXC525" s="1358"/>
      <c r="PXD525" s="1358"/>
      <c r="PXE525" s="1358"/>
      <c r="PXF525" s="1358"/>
      <c r="PXG525" s="1358"/>
      <c r="PXH525" s="1358"/>
      <c r="PXI525" s="1358"/>
      <c r="PXJ525" s="1358"/>
      <c r="PXK525" s="1358"/>
      <c r="PXL525" s="1358"/>
      <c r="PXM525" s="1358"/>
      <c r="PXN525" s="1358"/>
      <c r="PXO525" s="1358"/>
      <c r="PXP525" s="1358"/>
      <c r="PXQ525" s="1358"/>
      <c r="PXR525" s="1358"/>
      <c r="PXS525" s="1358"/>
      <c r="PXT525" s="1358"/>
      <c r="PXU525" s="1358"/>
      <c r="PXV525" s="1358"/>
      <c r="PXW525" s="1358"/>
      <c r="PXX525" s="1358"/>
      <c r="PXY525" s="1358"/>
      <c r="PXZ525" s="1358"/>
      <c r="PYA525" s="1358"/>
      <c r="PYB525" s="1358"/>
      <c r="PYC525" s="1358"/>
      <c r="PYD525" s="1358"/>
      <c r="PYE525" s="1358"/>
      <c r="PYF525" s="1358"/>
      <c r="PYG525" s="1358"/>
      <c r="PYH525" s="1358"/>
      <c r="PYI525" s="1358"/>
      <c r="PYJ525" s="1358"/>
      <c r="PYK525" s="1358"/>
      <c r="PYL525" s="1358"/>
      <c r="PYM525" s="1358"/>
      <c r="PYN525" s="1358"/>
      <c r="PYO525" s="1358"/>
      <c r="PYP525" s="1358"/>
      <c r="PYQ525" s="1358"/>
      <c r="PYR525" s="1358"/>
      <c r="PYS525" s="1358"/>
      <c r="PYT525" s="1358"/>
      <c r="PYU525" s="1358"/>
      <c r="PYV525" s="1358"/>
      <c r="PYW525" s="1358"/>
      <c r="PYX525" s="1358"/>
      <c r="PYY525" s="1358"/>
      <c r="PYZ525" s="1358"/>
      <c r="PZA525" s="1358"/>
      <c r="PZB525" s="1358"/>
      <c r="PZC525" s="1358"/>
      <c r="PZD525" s="1358"/>
      <c r="PZE525" s="1358"/>
      <c r="PZF525" s="1358"/>
      <c r="PZG525" s="1358"/>
      <c r="PZH525" s="1358"/>
      <c r="PZI525" s="1358"/>
      <c r="PZJ525" s="1358"/>
      <c r="PZK525" s="1358"/>
      <c r="PZL525" s="1358"/>
      <c r="PZM525" s="1358"/>
      <c r="PZN525" s="1358"/>
      <c r="PZO525" s="1358"/>
      <c r="PZP525" s="1358"/>
      <c r="PZQ525" s="1358"/>
      <c r="PZR525" s="1358"/>
      <c r="PZS525" s="1358"/>
      <c r="PZT525" s="1358"/>
      <c r="PZU525" s="1358"/>
      <c r="PZV525" s="1358"/>
      <c r="PZW525" s="1358"/>
      <c r="PZX525" s="1358"/>
      <c r="PZY525" s="1358"/>
      <c r="PZZ525" s="1358"/>
      <c r="QAA525" s="1358"/>
      <c r="QAB525" s="1358"/>
      <c r="QAC525" s="1358"/>
      <c r="QAD525" s="1358"/>
      <c r="QAE525" s="1358"/>
      <c r="QAF525" s="1358"/>
      <c r="QAG525" s="1358"/>
      <c r="QAH525" s="1358"/>
      <c r="QAI525" s="1358"/>
      <c r="QAJ525" s="1358"/>
      <c r="QAK525" s="1358"/>
      <c r="QAL525" s="1358"/>
      <c r="QAM525" s="1358"/>
      <c r="QAN525" s="1358"/>
      <c r="QAO525" s="1358"/>
      <c r="QAP525" s="1358"/>
      <c r="QAQ525" s="1358"/>
      <c r="QAR525" s="1358"/>
      <c r="QAS525" s="1358"/>
      <c r="QAT525" s="1358"/>
      <c r="QAU525" s="1358"/>
      <c r="QAV525" s="1358"/>
      <c r="QAW525" s="1358"/>
      <c r="QAX525" s="1358"/>
      <c r="QAY525" s="1358"/>
      <c r="QAZ525" s="1358"/>
      <c r="QBA525" s="1358"/>
      <c r="QBB525" s="1358"/>
      <c r="QBC525" s="1358"/>
      <c r="QBD525" s="1358"/>
      <c r="QBE525" s="1358"/>
      <c r="QBF525" s="1358"/>
      <c r="QBG525" s="1358"/>
      <c r="QBH525" s="1358"/>
      <c r="QBI525" s="1358"/>
      <c r="QBJ525" s="1358"/>
      <c r="QBK525" s="1358"/>
      <c r="QBL525" s="1358"/>
      <c r="QBM525" s="1358"/>
      <c r="QBN525" s="1358"/>
      <c r="QBO525" s="1358"/>
      <c r="QBP525" s="1358"/>
      <c r="QBQ525" s="1358"/>
      <c r="QBR525" s="1358"/>
      <c r="QBS525" s="1358"/>
      <c r="QBT525" s="1358"/>
      <c r="QBU525" s="1358"/>
      <c r="QBV525" s="1358"/>
      <c r="QBW525" s="1358"/>
      <c r="QBX525" s="1358"/>
      <c r="QBY525" s="1358"/>
      <c r="QBZ525" s="1358"/>
      <c r="QCA525" s="1358"/>
      <c r="QCB525" s="1358"/>
      <c r="QCC525" s="1358"/>
      <c r="QCD525" s="1358"/>
      <c r="QCE525" s="1358"/>
      <c r="QCF525" s="1358"/>
      <c r="QCG525" s="1358"/>
      <c r="QCH525" s="1358"/>
      <c r="QCI525" s="1358"/>
      <c r="QCJ525" s="1358"/>
      <c r="QCK525" s="1358"/>
      <c r="QCL525" s="1358"/>
      <c r="QCM525" s="1358"/>
      <c r="QCN525" s="1358"/>
      <c r="QCO525" s="1358"/>
      <c r="QCP525" s="1358"/>
      <c r="QCQ525" s="1358"/>
      <c r="QCR525" s="1358"/>
      <c r="QCS525" s="1358"/>
      <c r="QCT525" s="1358"/>
      <c r="QCU525" s="1358"/>
      <c r="QCV525" s="1358"/>
      <c r="QCW525" s="1358"/>
      <c r="QCX525" s="1358"/>
      <c r="QCY525" s="1358"/>
      <c r="QCZ525" s="1358"/>
      <c r="QDA525" s="1358"/>
      <c r="QDB525" s="1358"/>
      <c r="QDC525" s="1358"/>
      <c r="QDD525" s="1358"/>
      <c r="QDE525" s="1358"/>
      <c r="QDF525" s="1358"/>
      <c r="QDG525" s="1358"/>
      <c r="QDH525" s="1358"/>
      <c r="QDI525" s="1358"/>
      <c r="QDJ525" s="1358"/>
      <c r="QDK525" s="1358"/>
      <c r="QDL525" s="1358"/>
      <c r="QDM525" s="1358"/>
      <c r="QDN525" s="1358"/>
      <c r="QDO525" s="1358"/>
      <c r="QDP525" s="1358"/>
      <c r="QDQ525" s="1358"/>
      <c r="QDR525" s="1358"/>
      <c r="QDS525" s="1358"/>
      <c r="QDT525" s="1358"/>
      <c r="QDU525" s="1358"/>
      <c r="QDV525" s="1358"/>
      <c r="QDW525" s="1358"/>
      <c r="QDX525" s="1358"/>
      <c r="QDY525" s="1358"/>
      <c r="QDZ525" s="1358"/>
      <c r="QEA525" s="1358"/>
      <c r="QEB525" s="1358"/>
      <c r="QEC525" s="1358"/>
      <c r="QED525" s="1358"/>
      <c r="QEE525" s="1358"/>
      <c r="QEF525" s="1358"/>
      <c r="QEG525" s="1358"/>
      <c r="QEH525" s="1358"/>
      <c r="QEI525" s="1358"/>
      <c r="QEJ525" s="1358"/>
      <c r="QEK525" s="1358"/>
      <c r="QEL525" s="1358"/>
      <c r="QEM525" s="1358"/>
      <c r="QEN525" s="1358"/>
      <c r="QEO525" s="1358"/>
      <c r="QEP525" s="1358"/>
      <c r="QEQ525" s="1358"/>
      <c r="QER525" s="1358"/>
      <c r="QES525" s="1358"/>
      <c r="QET525" s="1358"/>
      <c r="QEU525" s="1358"/>
      <c r="QEV525" s="1358"/>
      <c r="QEW525" s="1358"/>
      <c r="QEX525" s="1358"/>
      <c r="QEY525" s="1358"/>
      <c r="QEZ525" s="1358"/>
      <c r="QFA525" s="1358"/>
      <c r="QFB525" s="1358"/>
      <c r="QFC525" s="1358"/>
      <c r="QFD525" s="1358"/>
      <c r="QFE525" s="1358"/>
      <c r="QFF525" s="1358"/>
      <c r="QFG525" s="1358"/>
      <c r="QFH525" s="1358"/>
      <c r="QFI525" s="1358"/>
      <c r="QFJ525" s="1358"/>
      <c r="QFK525" s="1358"/>
      <c r="QFL525" s="1358"/>
      <c r="QFM525" s="1358"/>
      <c r="QFN525" s="1358"/>
      <c r="QFO525" s="1358"/>
      <c r="QFP525" s="1358"/>
      <c r="QFQ525" s="1358"/>
      <c r="QFR525" s="1358"/>
      <c r="QFS525" s="1358"/>
      <c r="QFT525" s="1358"/>
      <c r="QFU525" s="1358"/>
      <c r="QFV525" s="1358"/>
      <c r="QFW525" s="1358"/>
      <c r="QFX525" s="1358"/>
      <c r="QFY525" s="1358"/>
      <c r="QFZ525" s="1358"/>
      <c r="QGA525" s="1358"/>
      <c r="QGB525" s="1358"/>
      <c r="QGC525" s="1358"/>
      <c r="QGD525" s="1358"/>
      <c r="QGE525" s="1358"/>
      <c r="QGF525" s="1358"/>
      <c r="QGG525" s="1358"/>
      <c r="QGH525" s="1358"/>
      <c r="QGI525" s="1358"/>
      <c r="QGJ525" s="1358"/>
      <c r="QGK525" s="1358"/>
      <c r="QGL525" s="1358"/>
      <c r="QGM525" s="1358"/>
      <c r="QGN525" s="1358"/>
      <c r="QGO525" s="1358"/>
      <c r="QGP525" s="1358"/>
      <c r="QGQ525" s="1358"/>
      <c r="QGR525" s="1358"/>
      <c r="QGS525" s="1358"/>
      <c r="QGT525" s="1358"/>
      <c r="QGU525" s="1358"/>
      <c r="QGV525" s="1358"/>
      <c r="QGW525" s="1358"/>
      <c r="QGX525" s="1358"/>
      <c r="QGY525" s="1358"/>
      <c r="QGZ525" s="1358"/>
      <c r="QHA525" s="1358"/>
      <c r="QHB525" s="1358"/>
      <c r="QHC525" s="1358"/>
      <c r="QHD525" s="1358"/>
      <c r="QHE525" s="1358"/>
      <c r="QHF525" s="1358"/>
      <c r="QHG525" s="1358"/>
      <c r="QHH525" s="1358"/>
      <c r="QHI525" s="1358"/>
      <c r="QHJ525" s="1358"/>
      <c r="QHK525" s="1358"/>
      <c r="QHL525" s="1358"/>
      <c r="QHM525" s="1358"/>
      <c r="QHN525" s="1358"/>
      <c r="QHO525" s="1358"/>
      <c r="QHP525" s="1358"/>
      <c r="QHQ525" s="1358"/>
      <c r="QHR525" s="1358"/>
      <c r="QHS525" s="1358"/>
      <c r="QHT525" s="1358"/>
      <c r="QHU525" s="1358"/>
      <c r="QHV525" s="1358"/>
      <c r="QHW525" s="1358"/>
      <c r="QHX525" s="1358"/>
      <c r="QHY525" s="1358"/>
      <c r="QHZ525" s="1358"/>
      <c r="QIA525" s="1358"/>
      <c r="QIB525" s="1358"/>
      <c r="QIC525" s="1358"/>
      <c r="QID525" s="1358"/>
      <c r="QIE525" s="1358"/>
      <c r="QIF525" s="1358"/>
      <c r="QIG525" s="1358"/>
      <c r="QIH525" s="1358"/>
      <c r="QII525" s="1358"/>
      <c r="QIJ525" s="1358"/>
      <c r="QIK525" s="1358"/>
      <c r="QIL525" s="1358"/>
      <c r="QIM525" s="1358"/>
      <c r="QIN525" s="1358"/>
      <c r="QIO525" s="1358"/>
      <c r="QIP525" s="1358"/>
      <c r="QIQ525" s="1358"/>
      <c r="QIR525" s="1358"/>
      <c r="QIS525" s="1358"/>
      <c r="QIT525" s="1358"/>
      <c r="QIU525" s="1358"/>
      <c r="QIV525" s="1358"/>
      <c r="QIW525" s="1358"/>
      <c r="QIX525" s="1358"/>
      <c r="QIY525" s="1358"/>
      <c r="QIZ525" s="1358"/>
      <c r="QJA525" s="1358"/>
      <c r="QJB525" s="1358"/>
      <c r="QJC525" s="1358"/>
      <c r="QJD525" s="1358"/>
      <c r="QJE525" s="1358"/>
      <c r="QJF525" s="1358"/>
      <c r="QJG525" s="1358"/>
      <c r="QJH525" s="1358"/>
      <c r="QJI525" s="1358"/>
      <c r="QJJ525" s="1358"/>
      <c r="QJK525" s="1358"/>
      <c r="QJL525" s="1358"/>
      <c r="QJM525" s="1358"/>
      <c r="QJN525" s="1358"/>
      <c r="QJO525" s="1358"/>
      <c r="QJP525" s="1358"/>
      <c r="QJQ525" s="1358"/>
      <c r="QJR525" s="1358"/>
      <c r="QJS525" s="1358"/>
      <c r="QJT525" s="1358"/>
      <c r="QJU525" s="1358"/>
      <c r="QJV525" s="1358"/>
      <c r="QJW525" s="1358"/>
      <c r="QJX525" s="1358"/>
      <c r="QJY525" s="1358"/>
      <c r="QJZ525" s="1358"/>
      <c r="QKA525" s="1358"/>
      <c r="QKB525" s="1358"/>
      <c r="QKC525" s="1358"/>
      <c r="QKD525" s="1358"/>
      <c r="QKE525" s="1358"/>
      <c r="QKF525" s="1358"/>
      <c r="QKG525" s="1358"/>
      <c r="QKH525" s="1358"/>
      <c r="QKI525" s="1358"/>
      <c r="QKJ525" s="1358"/>
      <c r="QKK525" s="1358"/>
      <c r="QKL525" s="1358"/>
      <c r="QKM525" s="1358"/>
      <c r="QKN525" s="1358"/>
      <c r="QKO525" s="1358"/>
      <c r="QKP525" s="1358"/>
      <c r="QKQ525" s="1358"/>
      <c r="QKR525" s="1358"/>
      <c r="QKS525" s="1358"/>
      <c r="QKT525" s="1358"/>
      <c r="QKU525" s="1358"/>
      <c r="QKV525" s="1358"/>
      <c r="QKW525" s="1358"/>
      <c r="QKX525" s="1358"/>
      <c r="QKY525" s="1358"/>
      <c r="QKZ525" s="1358"/>
      <c r="QLA525" s="1358"/>
      <c r="QLB525" s="1358"/>
      <c r="QLC525" s="1358"/>
      <c r="QLD525" s="1358"/>
      <c r="QLE525" s="1358"/>
      <c r="QLF525" s="1358"/>
      <c r="QLG525" s="1358"/>
      <c r="QLH525" s="1358"/>
      <c r="QLI525" s="1358"/>
      <c r="QLJ525" s="1358"/>
      <c r="QLK525" s="1358"/>
      <c r="QLL525" s="1358"/>
      <c r="QLM525" s="1358"/>
      <c r="QLN525" s="1358"/>
      <c r="QLO525" s="1358"/>
      <c r="QLP525" s="1358"/>
      <c r="QLQ525" s="1358"/>
      <c r="QLR525" s="1358"/>
      <c r="QLS525" s="1358"/>
      <c r="QLT525" s="1358"/>
      <c r="QLU525" s="1358"/>
      <c r="QLV525" s="1358"/>
      <c r="QLW525" s="1358"/>
      <c r="QLX525" s="1358"/>
      <c r="QLY525" s="1358"/>
      <c r="QLZ525" s="1358"/>
      <c r="QMA525" s="1358"/>
      <c r="QMB525" s="1358"/>
      <c r="QMC525" s="1358"/>
      <c r="QMD525" s="1358"/>
      <c r="QME525" s="1358"/>
      <c r="QMF525" s="1358"/>
      <c r="QMG525" s="1358"/>
      <c r="QMH525" s="1358"/>
      <c r="QMI525" s="1358"/>
      <c r="QMJ525" s="1358"/>
      <c r="QMK525" s="1358"/>
      <c r="QML525" s="1358"/>
      <c r="QMM525" s="1358"/>
      <c r="QMN525" s="1358"/>
      <c r="QMO525" s="1358"/>
      <c r="QMP525" s="1358"/>
      <c r="QMQ525" s="1358"/>
      <c r="QMR525" s="1358"/>
      <c r="QMS525" s="1358"/>
      <c r="QMT525" s="1358"/>
      <c r="QMU525" s="1358"/>
      <c r="QMV525" s="1358"/>
      <c r="QMW525" s="1358"/>
      <c r="QMX525" s="1358"/>
      <c r="QMY525" s="1358"/>
      <c r="QMZ525" s="1358"/>
      <c r="QNA525" s="1358"/>
      <c r="QNB525" s="1358"/>
      <c r="QNC525" s="1358"/>
      <c r="QND525" s="1358"/>
      <c r="QNE525" s="1358"/>
      <c r="QNF525" s="1358"/>
      <c r="QNG525" s="1358"/>
      <c r="QNH525" s="1358"/>
      <c r="QNI525" s="1358"/>
      <c r="QNJ525" s="1358"/>
      <c r="QNK525" s="1358"/>
      <c r="QNL525" s="1358"/>
      <c r="QNM525" s="1358"/>
      <c r="QNN525" s="1358"/>
      <c r="QNO525" s="1358"/>
      <c r="QNP525" s="1358"/>
      <c r="QNQ525" s="1358"/>
      <c r="QNR525" s="1358"/>
      <c r="QNS525" s="1358"/>
      <c r="QNT525" s="1358"/>
      <c r="QNU525" s="1358"/>
      <c r="QNV525" s="1358"/>
      <c r="QNW525" s="1358"/>
      <c r="QNX525" s="1358"/>
      <c r="QNY525" s="1358"/>
      <c r="QNZ525" s="1358"/>
      <c r="QOA525" s="1358"/>
      <c r="QOB525" s="1358"/>
      <c r="QOC525" s="1358"/>
      <c r="QOD525" s="1358"/>
      <c r="QOE525" s="1358"/>
      <c r="QOF525" s="1358"/>
      <c r="QOG525" s="1358"/>
      <c r="QOH525" s="1358"/>
      <c r="QOI525" s="1358"/>
      <c r="QOJ525" s="1358"/>
      <c r="QOK525" s="1358"/>
      <c r="QOL525" s="1358"/>
      <c r="QOM525" s="1358"/>
      <c r="QON525" s="1358"/>
      <c r="QOO525" s="1358"/>
      <c r="QOP525" s="1358"/>
      <c r="QOQ525" s="1358"/>
      <c r="QOR525" s="1358"/>
      <c r="QOS525" s="1358"/>
      <c r="QOT525" s="1358"/>
      <c r="QOU525" s="1358"/>
      <c r="QOV525" s="1358"/>
      <c r="QOW525" s="1358"/>
      <c r="QOX525" s="1358"/>
      <c r="QOY525" s="1358"/>
      <c r="QOZ525" s="1358"/>
      <c r="QPA525" s="1358"/>
      <c r="QPB525" s="1358"/>
      <c r="QPC525" s="1358"/>
      <c r="QPD525" s="1358"/>
      <c r="QPE525" s="1358"/>
      <c r="QPF525" s="1358"/>
      <c r="QPG525" s="1358"/>
      <c r="QPH525" s="1358"/>
      <c r="QPI525" s="1358"/>
      <c r="QPJ525" s="1358"/>
      <c r="QPK525" s="1358"/>
      <c r="QPL525" s="1358"/>
      <c r="QPM525" s="1358"/>
      <c r="QPN525" s="1358"/>
      <c r="QPO525" s="1358"/>
      <c r="QPP525" s="1358"/>
      <c r="QPQ525" s="1358"/>
      <c r="QPR525" s="1358"/>
      <c r="QPS525" s="1358"/>
      <c r="QPT525" s="1358"/>
      <c r="QPU525" s="1358"/>
      <c r="QPV525" s="1358"/>
      <c r="QPW525" s="1358"/>
      <c r="QPX525" s="1358"/>
      <c r="QPY525" s="1358"/>
      <c r="QPZ525" s="1358"/>
      <c r="QQA525" s="1358"/>
      <c r="QQB525" s="1358"/>
      <c r="QQC525" s="1358"/>
      <c r="QQD525" s="1358"/>
      <c r="QQE525" s="1358"/>
      <c r="QQF525" s="1358"/>
      <c r="QQG525" s="1358"/>
      <c r="QQH525" s="1358"/>
      <c r="QQI525" s="1358"/>
      <c r="QQJ525" s="1358"/>
      <c r="QQK525" s="1358"/>
      <c r="QQL525" s="1358"/>
      <c r="QQM525" s="1358"/>
      <c r="QQN525" s="1358"/>
      <c r="QQO525" s="1358"/>
      <c r="QQP525" s="1358"/>
      <c r="QQQ525" s="1358"/>
      <c r="QQR525" s="1358"/>
      <c r="QQS525" s="1358"/>
      <c r="QQT525" s="1358"/>
      <c r="QQU525" s="1358"/>
      <c r="QQV525" s="1358"/>
      <c r="QQW525" s="1358"/>
      <c r="QQX525" s="1358"/>
      <c r="QQY525" s="1358"/>
      <c r="QQZ525" s="1358"/>
      <c r="QRA525" s="1358"/>
      <c r="QRB525" s="1358"/>
      <c r="QRC525" s="1358"/>
      <c r="QRD525" s="1358"/>
      <c r="QRE525" s="1358"/>
      <c r="QRF525" s="1358"/>
      <c r="QRG525" s="1358"/>
      <c r="QRH525" s="1358"/>
      <c r="QRI525" s="1358"/>
      <c r="QRJ525" s="1358"/>
      <c r="QRK525" s="1358"/>
      <c r="QRL525" s="1358"/>
      <c r="QRM525" s="1358"/>
      <c r="QRN525" s="1358"/>
      <c r="QRO525" s="1358"/>
      <c r="QRP525" s="1358"/>
      <c r="QRQ525" s="1358"/>
      <c r="QRR525" s="1358"/>
      <c r="QRS525" s="1358"/>
      <c r="QRT525" s="1358"/>
      <c r="QRU525" s="1358"/>
      <c r="QRV525" s="1358"/>
      <c r="QRW525" s="1358"/>
      <c r="QRX525" s="1358"/>
      <c r="QRY525" s="1358"/>
      <c r="QRZ525" s="1358"/>
      <c r="QSA525" s="1358"/>
      <c r="QSB525" s="1358"/>
      <c r="QSC525" s="1358"/>
      <c r="QSD525" s="1358"/>
      <c r="QSE525" s="1358"/>
      <c r="QSF525" s="1358"/>
      <c r="QSG525" s="1358"/>
      <c r="QSH525" s="1358"/>
      <c r="QSI525" s="1358"/>
      <c r="QSJ525" s="1358"/>
      <c r="QSK525" s="1358"/>
      <c r="QSL525" s="1358"/>
      <c r="QSM525" s="1358"/>
      <c r="QSN525" s="1358"/>
      <c r="QSO525" s="1358"/>
      <c r="QSP525" s="1358"/>
      <c r="QSQ525" s="1358"/>
      <c r="QSR525" s="1358"/>
      <c r="QSS525" s="1358"/>
      <c r="QST525" s="1358"/>
      <c r="QSU525" s="1358"/>
      <c r="QSV525" s="1358"/>
      <c r="QSW525" s="1358"/>
      <c r="QSX525" s="1358"/>
      <c r="QSY525" s="1358"/>
      <c r="QSZ525" s="1358"/>
      <c r="QTA525" s="1358"/>
      <c r="QTB525" s="1358"/>
      <c r="QTC525" s="1358"/>
      <c r="QTD525" s="1358"/>
      <c r="QTE525" s="1358"/>
      <c r="QTF525" s="1358"/>
      <c r="QTG525" s="1358"/>
      <c r="QTH525" s="1358"/>
      <c r="QTI525" s="1358"/>
      <c r="QTJ525" s="1358"/>
      <c r="QTK525" s="1358"/>
      <c r="QTL525" s="1358"/>
      <c r="QTM525" s="1358"/>
      <c r="QTN525" s="1358"/>
      <c r="QTO525" s="1358"/>
      <c r="QTP525" s="1358"/>
      <c r="QTQ525" s="1358"/>
      <c r="QTR525" s="1358"/>
      <c r="QTS525" s="1358"/>
      <c r="QTT525" s="1358"/>
      <c r="QTU525" s="1358"/>
      <c r="QTV525" s="1358"/>
      <c r="QTW525" s="1358"/>
      <c r="QTX525" s="1358"/>
      <c r="QTY525" s="1358"/>
      <c r="QTZ525" s="1358"/>
      <c r="QUA525" s="1358"/>
      <c r="QUB525" s="1358"/>
      <c r="QUC525" s="1358"/>
      <c r="QUD525" s="1358"/>
      <c r="QUE525" s="1358"/>
      <c r="QUF525" s="1358"/>
      <c r="QUG525" s="1358"/>
      <c r="QUH525" s="1358"/>
      <c r="QUI525" s="1358"/>
      <c r="QUJ525" s="1358"/>
      <c r="QUK525" s="1358"/>
      <c r="QUL525" s="1358"/>
      <c r="QUM525" s="1358"/>
      <c r="QUN525" s="1358"/>
      <c r="QUO525" s="1358"/>
      <c r="QUP525" s="1358"/>
      <c r="QUQ525" s="1358"/>
      <c r="QUR525" s="1358"/>
      <c r="QUS525" s="1358"/>
      <c r="QUT525" s="1358"/>
      <c r="QUU525" s="1358"/>
      <c r="QUV525" s="1358"/>
      <c r="QUW525" s="1358"/>
      <c r="QUX525" s="1358"/>
      <c r="QUY525" s="1358"/>
      <c r="QUZ525" s="1358"/>
      <c r="QVA525" s="1358"/>
      <c r="QVB525" s="1358"/>
      <c r="QVC525" s="1358"/>
      <c r="QVD525" s="1358"/>
      <c r="QVE525" s="1358"/>
      <c r="QVF525" s="1358"/>
      <c r="QVG525" s="1358"/>
      <c r="QVH525" s="1358"/>
      <c r="QVI525" s="1358"/>
      <c r="QVJ525" s="1358"/>
      <c r="QVK525" s="1358"/>
      <c r="QVL525" s="1358"/>
      <c r="QVM525" s="1358"/>
      <c r="QVN525" s="1358"/>
      <c r="QVO525" s="1358"/>
      <c r="QVP525" s="1358"/>
      <c r="QVQ525" s="1358"/>
      <c r="QVR525" s="1358"/>
      <c r="QVS525" s="1358"/>
      <c r="QVT525" s="1358"/>
      <c r="QVU525" s="1358"/>
      <c r="QVV525" s="1358"/>
      <c r="QVW525" s="1358"/>
      <c r="QVX525" s="1358"/>
      <c r="QVY525" s="1358"/>
      <c r="QVZ525" s="1358"/>
      <c r="QWA525" s="1358"/>
      <c r="QWB525" s="1358"/>
      <c r="QWC525" s="1358"/>
      <c r="QWD525" s="1358"/>
      <c r="QWE525" s="1358"/>
      <c r="QWF525" s="1358"/>
      <c r="QWG525" s="1358"/>
      <c r="QWH525" s="1358"/>
      <c r="QWI525" s="1358"/>
      <c r="QWJ525" s="1358"/>
      <c r="QWK525" s="1358"/>
      <c r="QWL525" s="1358"/>
      <c r="QWM525" s="1358"/>
      <c r="QWN525" s="1358"/>
      <c r="QWO525" s="1358"/>
      <c r="QWP525" s="1358"/>
      <c r="QWQ525" s="1358"/>
      <c r="QWR525" s="1358"/>
      <c r="QWS525" s="1358"/>
      <c r="QWT525" s="1358"/>
      <c r="QWU525" s="1358"/>
      <c r="QWV525" s="1358"/>
      <c r="QWW525" s="1358"/>
      <c r="QWX525" s="1358"/>
      <c r="QWY525" s="1358"/>
      <c r="QWZ525" s="1358"/>
      <c r="QXA525" s="1358"/>
      <c r="QXB525" s="1358"/>
      <c r="QXC525" s="1358"/>
      <c r="QXD525" s="1358"/>
      <c r="QXE525" s="1358"/>
      <c r="QXF525" s="1358"/>
      <c r="QXG525" s="1358"/>
      <c r="QXH525" s="1358"/>
      <c r="QXI525" s="1358"/>
      <c r="QXJ525" s="1358"/>
      <c r="QXK525" s="1358"/>
      <c r="QXL525" s="1358"/>
      <c r="QXM525" s="1358"/>
      <c r="QXN525" s="1358"/>
      <c r="QXO525" s="1358"/>
      <c r="QXP525" s="1358"/>
      <c r="QXQ525" s="1358"/>
      <c r="QXR525" s="1358"/>
      <c r="QXS525" s="1358"/>
      <c r="QXT525" s="1358"/>
      <c r="QXU525" s="1358"/>
      <c r="QXV525" s="1358"/>
      <c r="QXW525" s="1358"/>
      <c r="QXX525" s="1358"/>
      <c r="QXY525" s="1358"/>
      <c r="QXZ525" s="1358"/>
      <c r="QYA525" s="1358"/>
      <c r="QYB525" s="1358"/>
      <c r="QYC525" s="1358"/>
      <c r="QYD525" s="1358"/>
      <c r="QYE525" s="1358"/>
      <c r="QYF525" s="1358"/>
      <c r="QYG525" s="1358"/>
      <c r="QYH525" s="1358"/>
      <c r="QYI525" s="1358"/>
      <c r="QYJ525" s="1358"/>
      <c r="QYK525" s="1358"/>
      <c r="QYL525" s="1358"/>
      <c r="QYM525" s="1358"/>
      <c r="QYN525" s="1358"/>
      <c r="QYO525" s="1358"/>
      <c r="QYP525" s="1358"/>
      <c r="QYQ525" s="1358"/>
      <c r="QYR525" s="1358"/>
      <c r="QYS525" s="1358"/>
      <c r="QYT525" s="1358"/>
      <c r="QYU525" s="1358"/>
      <c r="QYV525" s="1358"/>
      <c r="QYW525" s="1358"/>
      <c r="QYX525" s="1358"/>
      <c r="QYY525" s="1358"/>
      <c r="QYZ525" s="1358"/>
      <c r="QZA525" s="1358"/>
      <c r="QZB525" s="1358"/>
      <c r="QZC525" s="1358"/>
      <c r="QZD525" s="1358"/>
      <c r="QZE525" s="1358"/>
      <c r="QZF525" s="1358"/>
      <c r="QZG525" s="1358"/>
      <c r="QZH525" s="1358"/>
      <c r="QZI525" s="1358"/>
      <c r="QZJ525" s="1358"/>
      <c r="QZK525" s="1358"/>
      <c r="QZL525" s="1358"/>
      <c r="QZM525" s="1358"/>
      <c r="QZN525" s="1358"/>
      <c r="QZO525" s="1358"/>
      <c r="QZP525" s="1358"/>
      <c r="QZQ525" s="1358"/>
      <c r="QZR525" s="1358"/>
      <c r="QZS525" s="1358"/>
      <c r="QZT525" s="1358"/>
      <c r="QZU525" s="1358"/>
      <c r="QZV525" s="1358"/>
      <c r="QZW525" s="1358"/>
      <c r="QZX525" s="1358"/>
      <c r="QZY525" s="1358"/>
      <c r="QZZ525" s="1358"/>
      <c r="RAA525" s="1358"/>
      <c r="RAB525" s="1358"/>
      <c r="RAC525" s="1358"/>
      <c r="RAD525" s="1358"/>
      <c r="RAE525" s="1358"/>
      <c r="RAF525" s="1358"/>
      <c r="RAG525" s="1358"/>
      <c r="RAH525" s="1358"/>
      <c r="RAI525" s="1358"/>
      <c r="RAJ525" s="1358"/>
      <c r="RAK525" s="1358"/>
      <c r="RAL525" s="1358"/>
      <c r="RAM525" s="1358"/>
      <c r="RAN525" s="1358"/>
      <c r="RAO525" s="1358"/>
      <c r="RAP525" s="1358"/>
      <c r="RAQ525" s="1358"/>
      <c r="RAR525" s="1358"/>
      <c r="RAS525" s="1358"/>
      <c r="RAT525" s="1358"/>
      <c r="RAU525" s="1358"/>
      <c r="RAV525" s="1358"/>
      <c r="RAW525" s="1358"/>
      <c r="RAX525" s="1358"/>
      <c r="RAY525" s="1358"/>
      <c r="RAZ525" s="1358"/>
      <c r="RBA525" s="1358"/>
      <c r="RBB525" s="1358"/>
      <c r="RBC525" s="1358"/>
      <c r="RBD525" s="1358"/>
      <c r="RBE525" s="1358"/>
      <c r="RBF525" s="1358"/>
      <c r="RBG525" s="1358"/>
      <c r="RBH525" s="1358"/>
      <c r="RBI525" s="1358"/>
      <c r="RBJ525" s="1358"/>
      <c r="RBK525" s="1358"/>
      <c r="RBL525" s="1358"/>
      <c r="RBM525" s="1358"/>
      <c r="RBN525" s="1358"/>
      <c r="RBO525" s="1358"/>
      <c r="RBP525" s="1358"/>
      <c r="RBQ525" s="1358"/>
      <c r="RBR525" s="1358"/>
      <c r="RBS525" s="1358"/>
      <c r="RBT525" s="1358"/>
      <c r="RBU525" s="1358"/>
      <c r="RBV525" s="1358"/>
      <c r="RBW525" s="1358"/>
      <c r="RBX525" s="1358"/>
      <c r="RBY525" s="1358"/>
      <c r="RBZ525" s="1358"/>
      <c r="RCA525" s="1358"/>
      <c r="RCB525" s="1358"/>
      <c r="RCC525" s="1358"/>
      <c r="RCD525" s="1358"/>
      <c r="RCE525" s="1358"/>
      <c r="RCF525" s="1358"/>
      <c r="RCG525" s="1358"/>
      <c r="RCH525" s="1358"/>
      <c r="RCI525" s="1358"/>
      <c r="RCJ525" s="1358"/>
      <c r="RCK525" s="1358"/>
      <c r="RCL525" s="1358"/>
      <c r="RCM525" s="1358"/>
      <c r="RCN525" s="1358"/>
      <c r="RCO525" s="1358"/>
      <c r="RCP525" s="1358"/>
      <c r="RCQ525" s="1358"/>
      <c r="RCR525" s="1358"/>
      <c r="RCS525" s="1358"/>
      <c r="RCT525" s="1358"/>
      <c r="RCU525" s="1358"/>
      <c r="RCV525" s="1358"/>
      <c r="RCW525" s="1358"/>
      <c r="RCX525" s="1358"/>
      <c r="RCY525" s="1358"/>
      <c r="RCZ525" s="1358"/>
      <c r="RDA525" s="1358"/>
      <c r="RDB525" s="1358"/>
      <c r="RDC525" s="1358"/>
      <c r="RDD525" s="1358"/>
      <c r="RDE525" s="1358"/>
      <c r="RDF525" s="1358"/>
      <c r="RDG525" s="1358"/>
      <c r="RDH525" s="1358"/>
      <c r="RDI525" s="1358"/>
      <c r="RDJ525" s="1358"/>
      <c r="RDK525" s="1358"/>
      <c r="RDL525" s="1358"/>
      <c r="RDM525" s="1358"/>
      <c r="RDN525" s="1358"/>
      <c r="RDO525" s="1358"/>
      <c r="RDP525" s="1358"/>
      <c r="RDQ525" s="1358"/>
      <c r="RDR525" s="1358"/>
      <c r="RDS525" s="1358"/>
      <c r="RDT525" s="1358"/>
      <c r="RDU525" s="1358"/>
      <c r="RDV525" s="1358"/>
      <c r="RDW525" s="1358"/>
      <c r="RDX525" s="1358"/>
      <c r="RDY525" s="1358"/>
      <c r="RDZ525" s="1358"/>
      <c r="REA525" s="1358"/>
      <c r="REB525" s="1358"/>
      <c r="REC525" s="1358"/>
      <c r="RED525" s="1358"/>
      <c r="REE525" s="1358"/>
      <c r="REF525" s="1358"/>
      <c r="REG525" s="1358"/>
      <c r="REH525" s="1358"/>
      <c r="REI525" s="1358"/>
      <c r="REJ525" s="1358"/>
      <c r="REK525" s="1358"/>
      <c r="REL525" s="1358"/>
      <c r="REM525" s="1358"/>
      <c r="REN525" s="1358"/>
      <c r="REO525" s="1358"/>
      <c r="REP525" s="1358"/>
      <c r="REQ525" s="1358"/>
      <c r="RER525" s="1358"/>
      <c r="RES525" s="1358"/>
      <c r="RET525" s="1358"/>
      <c r="REU525" s="1358"/>
      <c r="REV525" s="1358"/>
      <c r="REW525" s="1358"/>
      <c r="REX525" s="1358"/>
      <c r="REY525" s="1358"/>
      <c r="REZ525" s="1358"/>
      <c r="RFA525" s="1358"/>
      <c r="RFB525" s="1358"/>
      <c r="RFC525" s="1358"/>
      <c r="RFD525" s="1358"/>
      <c r="RFE525" s="1358"/>
      <c r="RFF525" s="1358"/>
      <c r="RFG525" s="1358"/>
      <c r="RFH525" s="1358"/>
      <c r="RFI525" s="1358"/>
      <c r="RFJ525" s="1358"/>
      <c r="RFK525" s="1358"/>
      <c r="RFL525" s="1358"/>
      <c r="RFM525" s="1358"/>
      <c r="RFN525" s="1358"/>
      <c r="RFO525" s="1358"/>
      <c r="RFP525" s="1358"/>
      <c r="RFQ525" s="1358"/>
      <c r="RFR525" s="1358"/>
      <c r="RFS525" s="1358"/>
      <c r="RFT525" s="1358"/>
      <c r="RFU525" s="1358"/>
      <c r="RFV525" s="1358"/>
      <c r="RFW525" s="1358"/>
      <c r="RFX525" s="1358"/>
      <c r="RFY525" s="1358"/>
      <c r="RFZ525" s="1358"/>
      <c r="RGA525" s="1358"/>
      <c r="RGB525" s="1358"/>
      <c r="RGC525" s="1358"/>
      <c r="RGD525" s="1358"/>
      <c r="RGE525" s="1358"/>
      <c r="RGF525" s="1358"/>
      <c r="RGG525" s="1358"/>
      <c r="RGH525" s="1358"/>
      <c r="RGI525" s="1358"/>
      <c r="RGJ525" s="1358"/>
      <c r="RGK525" s="1358"/>
      <c r="RGL525" s="1358"/>
      <c r="RGM525" s="1358"/>
      <c r="RGN525" s="1358"/>
      <c r="RGO525" s="1358"/>
      <c r="RGP525" s="1358"/>
      <c r="RGQ525" s="1358"/>
      <c r="RGR525" s="1358"/>
      <c r="RGS525" s="1358"/>
      <c r="RGT525" s="1358"/>
      <c r="RGU525" s="1358"/>
      <c r="RGV525" s="1358"/>
      <c r="RGW525" s="1358"/>
      <c r="RGX525" s="1358"/>
      <c r="RGY525" s="1358"/>
      <c r="RGZ525" s="1358"/>
      <c r="RHA525" s="1358"/>
      <c r="RHB525" s="1358"/>
      <c r="RHC525" s="1358"/>
      <c r="RHD525" s="1358"/>
      <c r="RHE525" s="1358"/>
      <c r="RHF525" s="1358"/>
      <c r="RHG525" s="1358"/>
      <c r="RHH525" s="1358"/>
      <c r="RHI525" s="1358"/>
      <c r="RHJ525" s="1358"/>
      <c r="RHK525" s="1358"/>
      <c r="RHL525" s="1358"/>
      <c r="RHM525" s="1358"/>
      <c r="RHN525" s="1358"/>
      <c r="RHO525" s="1358"/>
      <c r="RHP525" s="1358"/>
      <c r="RHQ525" s="1358"/>
      <c r="RHR525" s="1358"/>
      <c r="RHS525" s="1358"/>
      <c r="RHT525" s="1358"/>
      <c r="RHU525" s="1358"/>
      <c r="RHV525" s="1358"/>
      <c r="RHW525" s="1358"/>
      <c r="RHX525" s="1358"/>
      <c r="RHY525" s="1358"/>
      <c r="RHZ525" s="1358"/>
      <c r="RIA525" s="1358"/>
      <c r="RIB525" s="1358"/>
      <c r="RIC525" s="1358"/>
      <c r="RID525" s="1358"/>
      <c r="RIE525" s="1358"/>
      <c r="RIF525" s="1358"/>
      <c r="RIG525" s="1358"/>
      <c r="RIH525" s="1358"/>
      <c r="RII525" s="1358"/>
      <c r="RIJ525" s="1358"/>
      <c r="RIK525" s="1358"/>
      <c r="RIL525" s="1358"/>
      <c r="RIM525" s="1358"/>
      <c r="RIN525" s="1358"/>
      <c r="RIO525" s="1358"/>
      <c r="RIP525" s="1358"/>
      <c r="RIQ525" s="1358"/>
      <c r="RIR525" s="1358"/>
      <c r="RIS525" s="1358"/>
      <c r="RIT525" s="1358"/>
      <c r="RIU525" s="1358"/>
      <c r="RIV525" s="1358"/>
      <c r="RIW525" s="1358"/>
      <c r="RIX525" s="1358"/>
      <c r="RIY525" s="1358"/>
      <c r="RIZ525" s="1358"/>
      <c r="RJA525" s="1358"/>
      <c r="RJB525" s="1358"/>
      <c r="RJC525" s="1358"/>
      <c r="RJD525" s="1358"/>
      <c r="RJE525" s="1358"/>
      <c r="RJF525" s="1358"/>
      <c r="RJG525" s="1358"/>
      <c r="RJH525" s="1358"/>
      <c r="RJI525" s="1358"/>
      <c r="RJJ525" s="1358"/>
      <c r="RJK525" s="1358"/>
      <c r="RJL525" s="1358"/>
      <c r="RJM525" s="1358"/>
      <c r="RJN525" s="1358"/>
      <c r="RJO525" s="1358"/>
      <c r="RJP525" s="1358"/>
      <c r="RJQ525" s="1358"/>
      <c r="RJR525" s="1358"/>
      <c r="RJS525" s="1358"/>
      <c r="RJT525" s="1358"/>
      <c r="RJU525" s="1358"/>
      <c r="RJV525" s="1358"/>
      <c r="RJW525" s="1358"/>
      <c r="RJX525" s="1358"/>
      <c r="RJY525" s="1358"/>
      <c r="RJZ525" s="1358"/>
      <c r="RKA525" s="1358"/>
      <c r="RKB525" s="1358"/>
      <c r="RKC525" s="1358"/>
      <c r="RKD525" s="1358"/>
      <c r="RKE525" s="1358"/>
      <c r="RKF525" s="1358"/>
      <c r="RKG525" s="1358"/>
      <c r="RKH525" s="1358"/>
      <c r="RKI525" s="1358"/>
      <c r="RKJ525" s="1358"/>
      <c r="RKK525" s="1358"/>
      <c r="RKL525" s="1358"/>
      <c r="RKM525" s="1358"/>
      <c r="RKN525" s="1358"/>
      <c r="RKO525" s="1358"/>
      <c r="RKP525" s="1358"/>
      <c r="RKQ525" s="1358"/>
      <c r="RKR525" s="1358"/>
      <c r="RKS525" s="1358"/>
      <c r="RKT525" s="1358"/>
      <c r="RKU525" s="1358"/>
      <c r="RKV525" s="1358"/>
      <c r="RKW525" s="1358"/>
      <c r="RKX525" s="1358"/>
      <c r="RKY525" s="1358"/>
      <c r="RKZ525" s="1358"/>
      <c r="RLA525" s="1358"/>
      <c r="RLB525" s="1358"/>
      <c r="RLC525" s="1358"/>
      <c r="RLD525" s="1358"/>
      <c r="RLE525" s="1358"/>
      <c r="RLF525" s="1358"/>
      <c r="RLG525" s="1358"/>
      <c r="RLH525" s="1358"/>
      <c r="RLI525" s="1358"/>
      <c r="RLJ525" s="1358"/>
      <c r="RLK525" s="1358"/>
      <c r="RLL525" s="1358"/>
      <c r="RLM525" s="1358"/>
      <c r="RLN525" s="1358"/>
      <c r="RLO525" s="1358"/>
      <c r="RLP525" s="1358"/>
      <c r="RLQ525" s="1358"/>
      <c r="RLR525" s="1358"/>
      <c r="RLS525" s="1358"/>
      <c r="RLT525" s="1358"/>
      <c r="RLU525" s="1358"/>
      <c r="RLV525" s="1358"/>
      <c r="RLW525" s="1358"/>
      <c r="RLX525" s="1358"/>
      <c r="RLY525" s="1358"/>
      <c r="RLZ525" s="1358"/>
      <c r="RMA525" s="1358"/>
      <c r="RMB525" s="1358"/>
      <c r="RMC525" s="1358"/>
      <c r="RMD525" s="1358"/>
      <c r="RME525" s="1358"/>
      <c r="RMF525" s="1358"/>
      <c r="RMG525" s="1358"/>
      <c r="RMH525" s="1358"/>
      <c r="RMI525" s="1358"/>
      <c r="RMJ525" s="1358"/>
      <c r="RMK525" s="1358"/>
      <c r="RML525" s="1358"/>
      <c r="RMM525" s="1358"/>
      <c r="RMN525" s="1358"/>
      <c r="RMO525" s="1358"/>
      <c r="RMP525" s="1358"/>
      <c r="RMQ525" s="1358"/>
      <c r="RMR525" s="1358"/>
      <c r="RMS525" s="1358"/>
      <c r="RMT525" s="1358"/>
      <c r="RMU525" s="1358"/>
      <c r="RMV525" s="1358"/>
      <c r="RMW525" s="1358"/>
      <c r="RMX525" s="1358"/>
      <c r="RMY525" s="1358"/>
      <c r="RMZ525" s="1358"/>
      <c r="RNA525" s="1358"/>
      <c r="RNB525" s="1358"/>
      <c r="RNC525" s="1358"/>
      <c r="RND525" s="1358"/>
      <c r="RNE525" s="1358"/>
      <c r="RNF525" s="1358"/>
      <c r="RNG525" s="1358"/>
      <c r="RNH525" s="1358"/>
      <c r="RNI525" s="1358"/>
      <c r="RNJ525" s="1358"/>
      <c r="RNK525" s="1358"/>
      <c r="RNL525" s="1358"/>
      <c r="RNM525" s="1358"/>
      <c r="RNN525" s="1358"/>
      <c r="RNO525" s="1358"/>
      <c r="RNP525" s="1358"/>
      <c r="RNQ525" s="1358"/>
      <c r="RNR525" s="1358"/>
      <c r="RNS525" s="1358"/>
      <c r="RNT525" s="1358"/>
      <c r="RNU525" s="1358"/>
      <c r="RNV525" s="1358"/>
      <c r="RNW525" s="1358"/>
      <c r="RNX525" s="1358"/>
      <c r="RNY525" s="1358"/>
      <c r="RNZ525" s="1358"/>
      <c r="ROA525" s="1358"/>
      <c r="ROB525" s="1358"/>
      <c r="ROC525" s="1358"/>
      <c r="ROD525" s="1358"/>
      <c r="ROE525" s="1358"/>
      <c r="ROF525" s="1358"/>
      <c r="ROG525" s="1358"/>
      <c r="ROH525" s="1358"/>
      <c r="ROI525" s="1358"/>
      <c r="ROJ525" s="1358"/>
      <c r="ROK525" s="1358"/>
      <c r="ROL525" s="1358"/>
      <c r="ROM525" s="1358"/>
      <c r="RON525" s="1358"/>
      <c r="ROO525" s="1358"/>
      <c r="ROP525" s="1358"/>
      <c r="ROQ525" s="1358"/>
      <c r="ROR525" s="1358"/>
      <c r="ROS525" s="1358"/>
      <c r="ROT525" s="1358"/>
      <c r="ROU525" s="1358"/>
      <c r="ROV525" s="1358"/>
      <c r="ROW525" s="1358"/>
      <c r="ROX525" s="1358"/>
      <c r="ROY525" s="1358"/>
      <c r="ROZ525" s="1358"/>
      <c r="RPA525" s="1358"/>
      <c r="RPB525" s="1358"/>
      <c r="RPC525" s="1358"/>
      <c r="RPD525" s="1358"/>
      <c r="RPE525" s="1358"/>
      <c r="RPF525" s="1358"/>
      <c r="RPG525" s="1358"/>
      <c r="RPH525" s="1358"/>
      <c r="RPI525" s="1358"/>
      <c r="RPJ525" s="1358"/>
      <c r="RPK525" s="1358"/>
      <c r="RPL525" s="1358"/>
      <c r="RPM525" s="1358"/>
      <c r="RPN525" s="1358"/>
      <c r="RPO525" s="1358"/>
      <c r="RPP525" s="1358"/>
      <c r="RPQ525" s="1358"/>
      <c r="RPR525" s="1358"/>
      <c r="RPS525" s="1358"/>
      <c r="RPT525" s="1358"/>
      <c r="RPU525" s="1358"/>
      <c r="RPV525" s="1358"/>
      <c r="RPW525" s="1358"/>
      <c r="RPX525" s="1358"/>
      <c r="RPY525" s="1358"/>
      <c r="RPZ525" s="1358"/>
      <c r="RQA525" s="1358"/>
      <c r="RQB525" s="1358"/>
      <c r="RQC525" s="1358"/>
      <c r="RQD525" s="1358"/>
      <c r="RQE525" s="1358"/>
      <c r="RQF525" s="1358"/>
      <c r="RQG525" s="1358"/>
      <c r="RQH525" s="1358"/>
      <c r="RQI525" s="1358"/>
      <c r="RQJ525" s="1358"/>
      <c r="RQK525" s="1358"/>
      <c r="RQL525" s="1358"/>
      <c r="RQM525" s="1358"/>
      <c r="RQN525" s="1358"/>
      <c r="RQO525" s="1358"/>
      <c r="RQP525" s="1358"/>
      <c r="RQQ525" s="1358"/>
      <c r="RQR525" s="1358"/>
      <c r="RQS525" s="1358"/>
      <c r="RQT525" s="1358"/>
      <c r="RQU525" s="1358"/>
      <c r="RQV525" s="1358"/>
      <c r="RQW525" s="1358"/>
      <c r="RQX525" s="1358"/>
      <c r="RQY525" s="1358"/>
      <c r="RQZ525" s="1358"/>
      <c r="RRA525" s="1358"/>
      <c r="RRB525" s="1358"/>
      <c r="RRC525" s="1358"/>
      <c r="RRD525" s="1358"/>
      <c r="RRE525" s="1358"/>
      <c r="RRF525" s="1358"/>
      <c r="RRG525" s="1358"/>
      <c r="RRH525" s="1358"/>
      <c r="RRI525" s="1358"/>
      <c r="RRJ525" s="1358"/>
      <c r="RRK525" s="1358"/>
      <c r="RRL525" s="1358"/>
      <c r="RRM525" s="1358"/>
      <c r="RRN525" s="1358"/>
      <c r="RRO525" s="1358"/>
      <c r="RRP525" s="1358"/>
      <c r="RRQ525" s="1358"/>
      <c r="RRR525" s="1358"/>
      <c r="RRS525" s="1358"/>
      <c r="RRT525" s="1358"/>
      <c r="RRU525" s="1358"/>
      <c r="RRV525" s="1358"/>
      <c r="RRW525" s="1358"/>
      <c r="RRX525" s="1358"/>
      <c r="RRY525" s="1358"/>
      <c r="RRZ525" s="1358"/>
      <c r="RSA525" s="1358"/>
      <c r="RSB525" s="1358"/>
      <c r="RSC525" s="1358"/>
      <c r="RSD525" s="1358"/>
      <c r="RSE525" s="1358"/>
      <c r="RSF525" s="1358"/>
      <c r="RSG525" s="1358"/>
      <c r="RSH525" s="1358"/>
      <c r="RSI525" s="1358"/>
      <c r="RSJ525" s="1358"/>
      <c r="RSK525" s="1358"/>
      <c r="RSL525" s="1358"/>
      <c r="RSM525" s="1358"/>
      <c r="RSN525" s="1358"/>
      <c r="RSO525" s="1358"/>
      <c r="RSP525" s="1358"/>
      <c r="RSQ525" s="1358"/>
      <c r="RSR525" s="1358"/>
      <c r="RSS525" s="1358"/>
      <c r="RST525" s="1358"/>
      <c r="RSU525" s="1358"/>
      <c r="RSV525" s="1358"/>
      <c r="RSW525" s="1358"/>
      <c r="RSX525" s="1358"/>
      <c r="RSY525" s="1358"/>
      <c r="RSZ525" s="1358"/>
      <c r="RTA525" s="1358"/>
      <c r="RTB525" s="1358"/>
      <c r="RTC525" s="1358"/>
      <c r="RTD525" s="1358"/>
      <c r="RTE525" s="1358"/>
      <c r="RTF525" s="1358"/>
      <c r="RTG525" s="1358"/>
      <c r="RTH525" s="1358"/>
      <c r="RTI525" s="1358"/>
      <c r="RTJ525" s="1358"/>
      <c r="RTK525" s="1358"/>
      <c r="RTL525" s="1358"/>
      <c r="RTM525" s="1358"/>
      <c r="RTN525" s="1358"/>
      <c r="RTO525" s="1358"/>
      <c r="RTP525" s="1358"/>
      <c r="RTQ525" s="1358"/>
      <c r="RTR525" s="1358"/>
      <c r="RTS525" s="1358"/>
      <c r="RTT525" s="1358"/>
      <c r="RTU525" s="1358"/>
      <c r="RTV525" s="1358"/>
      <c r="RTW525" s="1358"/>
      <c r="RTX525" s="1358"/>
      <c r="RTY525" s="1358"/>
      <c r="RTZ525" s="1358"/>
      <c r="RUA525" s="1358"/>
      <c r="RUB525" s="1358"/>
      <c r="RUC525" s="1358"/>
      <c r="RUD525" s="1358"/>
      <c r="RUE525" s="1358"/>
      <c r="RUF525" s="1358"/>
      <c r="RUG525" s="1358"/>
      <c r="RUH525" s="1358"/>
      <c r="RUI525" s="1358"/>
      <c r="RUJ525" s="1358"/>
      <c r="RUK525" s="1358"/>
      <c r="RUL525" s="1358"/>
      <c r="RUM525" s="1358"/>
      <c r="RUN525" s="1358"/>
      <c r="RUO525" s="1358"/>
      <c r="RUP525" s="1358"/>
      <c r="RUQ525" s="1358"/>
      <c r="RUR525" s="1358"/>
      <c r="RUS525" s="1358"/>
      <c r="RUT525" s="1358"/>
      <c r="RUU525" s="1358"/>
      <c r="RUV525" s="1358"/>
      <c r="RUW525" s="1358"/>
      <c r="RUX525" s="1358"/>
      <c r="RUY525" s="1358"/>
      <c r="RUZ525" s="1358"/>
      <c r="RVA525" s="1358"/>
      <c r="RVB525" s="1358"/>
      <c r="RVC525" s="1358"/>
      <c r="RVD525" s="1358"/>
      <c r="RVE525" s="1358"/>
      <c r="RVF525" s="1358"/>
      <c r="RVG525" s="1358"/>
      <c r="RVH525" s="1358"/>
      <c r="RVI525" s="1358"/>
      <c r="RVJ525" s="1358"/>
      <c r="RVK525" s="1358"/>
      <c r="RVL525" s="1358"/>
      <c r="RVM525" s="1358"/>
      <c r="RVN525" s="1358"/>
      <c r="RVO525" s="1358"/>
      <c r="RVP525" s="1358"/>
      <c r="RVQ525" s="1358"/>
      <c r="RVR525" s="1358"/>
      <c r="RVS525" s="1358"/>
      <c r="RVT525" s="1358"/>
      <c r="RVU525" s="1358"/>
      <c r="RVV525" s="1358"/>
      <c r="RVW525" s="1358"/>
      <c r="RVX525" s="1358"/>
      <c r="RVY525" s="1358"/>
      <c r="RVZ525" s="1358"/>
      <c r="RWA525" s="1358"/>
      <c r="RWB525" s="1358"/>
      <c r="RWC525" s="1358"/>
      <c r="RWD525" s="1358"/>
      <c r="RWE525" s="1358"/>
      <c r="RWF525" s="1358"/>
      <c r="RWG525" s="1358"/>
      <c r="RWH525" s="1358"/>
      <c r="RWI525" s="1358"/>
      <c r="RWJ525" s="1358"/>
      <c r="RWK525" s="1358"/>
      <c r="RWL525" s="1358"/>
      <c r="RWM525" s="1358"/>
      <c r="RWN525" s="1358"/>
      <c r="RWO525" s="1358"/>
      <c r="RWP525" s="1358"/>
      <c r="RWQ525" s="1358"/>
      <c r="RWR525" s="1358"/>
      <c r="RWS525" s="1358"/>
      <c r="RWT525" s="1358"/>
      <c r="RWU525" s="1358"/>
      <c r="RWV525" s="1358"/>
      <c r="RWW525" s="1358"/>
      <c r="RWX525" s="1358"/>
      <c r="RWY525" s="1358"/>
      <c r="RWZ525" s="1358"/>
      <c r="RXA525" s="1358"/>
      <c r="RXB525" s="1358"/>
      <c r="RXC525" s="1358"/>
      <c r="RXD525" s="1358"/>
      <c r="RXE525" s="1358"/>
      <c r="RXF525" s="1358"/>
      <c r="RXG525" s="1358"/>
      <c r="RXH525" s="1358"/>
      <c r="RXI525" s="1358"/>
      <c r="RXJ525" s="1358"/>
      <c r="RXK525" s="1358"/>
      <c r="RXL525" s="1358"/>
      <c r="RXM525" s="1358"/>
      <c r="RXN525" s="1358"/>
      <c r="RXO525" s="1358"/>
      <c r="RXP525" s="1358"/>
      <c r="RXQ525" s="1358"/>
      <c r="RXR525" s="1358"/>
      <c r="RXS525" s="1358"/>
      <c r="RXT525" s="1358"/>
      <c r="RXU525" s="1358"/>
      <c r="RXV525" s="1358"/>
      <c r="RXW525" s="1358"/>
      <c r="RXX525" s="1358"/>
      <c r="RXY525" s="1358"/>
      <c r="RXZ525" s="1358"/>
      <c r="RYA525" s="1358"/>
      <c r="RYB525" s="1358"/>
      <c r="RYC525" s="1358"/>
      <c r="RYD525" s="1358"/>
      <c r="RYE525" s="1358"/>
      <c r="RYF525" s="1358"/>
      <c r="RYG525" s="1358"/>
      <c r="RYH525" s="1358"/>
      <c r="RYI525" s="1358"/>
      <c r="RYJ525" s="1358"/>
      <c r="RYK525" s="1358"/>
      <c r="RYL525" s="1358"/>
      <c r="RYM525" s="1358"/>
      <c r="RYN525" s="1358"/>
      <c r="RYO525" s="1358"/>
      <c r="RYP525" s="1358"/>
      <c r="RYQ525" s="1358"/>
      <c r="RYR525" s="1358"/>
      <c r="RYS525" s="1358"/>
      <c r="RYT525" s="1358"/>
      <c r="RYU525" s="1358"/>
      <c r="RYV525" s="1358"/>
      <c r="RYW525" s="1358"/>
      <c r="RYX525" s="1358"/>
      <c r="RYY525" s="1358"/>
      <c r="RYZ525" s="1358"/>
      <c r="RZA525" s="1358"/>
      <c r="RZB525" s="1358"/>
      <c r="RZC525" s="1358"/>
      <c r="RZD525" s="1358"/>
      <c r="RZE525" s="1358"/>
      <c r="RZF525" s="1358"/>
      <c r="RZG525" s="1358"/>
      <c r="RZH525" s="1358"/>
      <c r="RZI525" s="1358"/>
      <c r="RZJ525" s="1358"/>
      <c r="RZK525" s="1358"/>
      <c r="RZL525" s="1358"/>
      <c r="RZM525" s="1358"/>
      <c r="RZN525" s="1358"/>
      <c r="RZO525" s="1358"/>
      <c r="RZP525" s="1358"/>
      <c r="RZQ525" s="1358"/>
      <c r="RZR525" s="1358"/>
      <c r="RZS525" s="1358"/>
      <c r="RZT525" s="1358"/>
      <c r="RZU525" s="1358"/>
      <c r="RZV525" s="1358"/>
      <c r="RZW525" s="1358"/>
      <c r="RZX525" s="1358"/>
      <c r="RZY525" s="1358"/>
      <c r="RZZ525" s="1358"/>
      <c r="SAA525" s="1358"/>
      <c r="SAB525" s="1358"/>
      <c r="SAC525" s="1358"/>
      <c r="SAD525" s="1358"/>
      <c r="SAE525" s="1358"/>
      <c r="SAF525" s="1358"/>
      <c r="SAG525" s="1358"/>
      <c r="SAH525" s="1358"/>
      <c r="SAI525" s="1358"/>
      <c r="SAJ525" s="1358"/>
      <c r="SAK525" s="1358"/>
      <c r="SAL525" s="1358"/>
      <c r="SAM525" s="1358"/>
      <c r="SAN525" s="1358"/>
      <c r="SAO525" s="1358"/>
      <c r="SAP525" s="1358"/>
      <c r="SAQ525" s="1358"/>
      <c r="SAR525" s="1358"/>
      <c r="SAS525" s="1358"/>
      <c r="SAT525" s="1358"/>
      <c r="SAU525" s="1358"/>
      <c r="SAV525" s="1358"/>
      <c r="SAW525" s="1358"/>
      <c r="SAX525" s="1358"/>
      <c r="SAY525" s="1358"/>
      <c r="SAZ525" s="1358"/>
      <c r="SBA525" s="1358"/>
      <c r="SBB525" s="1358"/>
      <c r="SBC525" s="1358"/>
      <c r="SBD525" s="1358"/>
      <c r="SBE525" s="1358"/>
      <c r="SBF525" s="1358"/>
      <c r="SBG525" s="1358"/>
      <c r="SBH525" s="1358"/>
      <c r="SBI525" s="1358"/>
      <c r="SBJ525" s="1358"/>
      <c r="SBK525" s="1358"/>
      <c r="SBL525" s="1358"/>
      <c r="SBM525" s="1358"/>
      <c r="SBN525" s="1358"/>
      <c r="SBO525" s="1358"/>
      <c r="SBP525" s="1358"/>
      <c r="SBQ525" s="1358"/>
      <c r="SBR525" s="1358"/>
      <c r="SBS525" s="1358"/>
      <c r="SBT525" s="1358"/>
      <c r="SBU525" s="1358"/>
      <c r="SBV525" s="1358"/>
      <c r="SBW525" s="1358"/>
      <c r="SBX525" s="1358"/>
      <c r="SBY525" s="1358"/>
      <c r="SBZ525" s="1358"/>
      <c r="SCA525" s="1358"/>
      <c r="SCB525" s="1358"/>
      <c r="SCC525" s="1358"/>
      <c r="SCD525" s="1358"/>
      <c r="SCE525" s="1358"/>
      <c r="SCF525" s="1358"/>
      <c r="SCG525" s="1358"/>
      <c r="SCH525" s="1358"/>
      <c r="SCI525" s="1358"/>
      <c r="SCJ525" s="1358"/>
      <c r="SCK525" s="1358"/>
      <c r="SCL525" s="1358"/>
      <c r="SCM525" s="1358"/>
      <c r="SCN525" s="1358"/>
      <c r="SCO525" s="1358"/>
      <c r="SCP525" s="1358"/>
      <c r="SCQ525" s="1358"/>
      <c r="SCR525" s="1358"/>
      <c r="SCS525" s="1358"/>
      <c r="SCT525" s="1358"/>
      <c r="SCU525" s="1358"/>
      <c r="SCV525" s="1358"/>
      <c r="SCW525" s="1358"/>
      <c r="SCX525" s="1358"/>
      <c r="SCY525" s="1358"/>
      <c r="SCZ525" s="1358"/>
      <c r="SDA525" s="1358"/>
      <c r="SDB525" s="1358"/>
      <c r="SDC525" s="1358"/>
      <c r="SDD525" s="1358"/>
      <c r="SDE525" s="1358"/>
      <c r="SDF525" s="1358"/>
      <c r="SDG525" s="1358"/>
      <c r="SDH525" s="1358"/>
      <c r="SDI525" s="1358"/>
      <c r="SDJ525" s="1358"/>
      <c r="SDK525" s="1358"/>
      <c r="SDL525" s="1358"/>
      <c r="SDM525" s="1358"/>
      <c r="SDN525" s="1358"/>
      <c r="SDO525" s="1358"/>
      <c r="SDP525" s="1358"/>
      <c r="SDQ525" s="1358"/>
      <c r="SDR525" s="1358"/>
      <c r="SDS525" s="1358"/>
      <c r="SDT525" s="1358"/>
      <c r="SDU525" s="1358"/>
      <c r="SDV525" s="1358"/>
      <c r="SDW525" s="1358"/>
      <c r="SDX525" s="1358"/>
      <c r="SDY525" s="1358"/>
      <c r="SDZ525" s="1358"/>
      <c r="SEA525" s="1358"/>
      <c r="SEB525" s="1358"/>
      <c r="SEC525" s="1358"/>
      <c r="SED525" s="1358"/>
      <c r="SEE525" s="1358"/>
      <c r="SEF525" s="1358"/>
      <c r="SEG525" s="1358"/>
      <c r="SEH525" s="1358"/>
      <c r="SEI525" s="1358"/>
      <c r="SEJ525" s="1358"/>
      <c r="SEK525" s="1358"/>
      <c r="SEL525" s="1358"/>
      <c r="SEM525" s="1358"/>
      <c r="SEN525" s="1358"/>
      <c r="SEO525" s="1358"/>
      <c r="SEP525" s="1358"/>
      <c r="SEQ525" s="1358"/>
      <c r="SER525" s="1358"/>
      <c r="SES525" s="1358"/>
      <c r="SET525" s="1358"/>
      <c r="SEU525" s="1358"/>
      <c r="SEV525" s="1358"/>
      <c r="SEW525" s="1358"/>
      <c r="SEX525" s="1358"/>
      <c r="SEY525" s="1358"/>
      <c r="SEZ525" s="1358"/>
      <c r="SFA525" s="1358"/>
      <c r="SFB525" s="1358"/>
      <c r="SFC525" s="1358"/>
      <c r="SFD525" s="1358"/>
      <c r="SFE525" s="1358"/>
      <c r="SFF525" s="1358"/>
      <c r="SFG525" s="1358"/>
      <c r="SFH525" s="1358"/>
      <c r="SFI525" s="1358"/>
      <c r="SFJ525" s="1358"/>
      <c r="SFK525" s="1358"/>
      <c r="SFL525" s="1358"/>
      <c r="SFM525" s="1358"/>
      <c r="SFN525" s="1358"/>
      <c r="SFO525" s="1358"/>
      <c r="SFP525" s="1358"/>
      <c r="SFQ525" s="1358"/>
      <c r="SFR525" s="1358"/>
      <c r="SFS525" s="1358"/>
      <c r="SFT525" s="1358"/>
      <c r="SFU525" s="1358"/>
      <c r="SFV525" s="1358"/>
      <c r="SFW525" s="1358"/>
      <c r="SFX525" s="1358"/>
      <c r="SFY525" s="1358"/>
      <c r="SFZ525" s="1358"/>
      <c r="SGA525" s="1358"/>
      <c r="SGB525" s="1358"/>
      <c r="SGC525" s="1358"/>
      <c r="SGD525" s="1358"/>
      <c r="SGE525" s="1358"/>
      <c r="SGF525" s="1358"/>
      <c r="SGG525" s="1358"/>
      <c r="SGH525" s="1358"/>
      <c r="SGI525" s="1358"/>
      <c r="SGJ525" s="1358"/>
      <c r="SGK525" s="1358"/>
      <c r="SGL525" s="1358"/>
      <c r="SGM525" s="1358"/>
      <c r="SGN525" s="1358"/>
      <c r="SGO525" s="1358"/>
      <c r="SGP525" s="1358"/>
      <c r="SGQ525" s="1358"/>
      <c r="SGR525" s="1358"/>
      <c r="SGS525" s="1358"/>
      <c r="SGT525" s="1358"/>
      <c r="SGU525" s="1358"/>
      <c r="SGV525" s="1358"/>
      <c r="SGW525" s="1358"/>
      <c r="SGX525" s="1358"/>
      <c r="SGY525" s="1358"/>
      <c r="SGZ525" s="1358"/>
      <c r="SHA525" s="1358"/>
      <c r="SHB525" s="1358"/>
      <c r="SHC525" s="1358"/>
      <c r="SHD525" s="1358"/>
      <c r="SHE525" s="1358"/>
      <c r="SHF525" s="1358"/>
      <c r="SHG525" s="1358"/>
      <c r="SHH525" s="1358"/>
      <c r="SHI525" s="1358"/>
      <c r="SHJ525" s="1358"/>
      <c r="SHK525" s="1358"/>
      <c r="SHL525" s="1358"/>
      <c r="SHM525" s="1358"/>
      <c r="SHN525" s="1358"/>
      <c r="SHO525" s="1358"/>
      <c r="SHP525" s="1358"/>
      <c r="SHQ525" s="1358"/>
      <c r="SHR525" s="1358"/>
      <c r="SHS525" s="1358"/>
      <c r="SHT525" s="1358"/>
      <c r="SHU525" s="1358"/>
      <c r="SHV525" s="1358"/>
      <c r="SHW525" s="1358"/>
      <c r="SHX525" s="1358"/>
      <c r="SHY525" s="1358"/>
      <c r="SHZ525" s="1358"/>
      <c r="SIA525" s="1358"/>
      <c r="SIB525" s="1358"/>
      <c r="SIC525" s="1358"/>
      <c r="SID525" s="1358"/>
      <c r="SIE525" s="1358"/>
      <c r="SIF525" s="1358"/>
      <c r="SIG525" s="1358"/>
      <c r="SIH525" s="1358"/>
      <c r="SII525" s="1358"/>
      <c r="SIJ525" s="1358"/>
      <c r="SIK525" s="1358"/>
      <c r="SIL525" s="1358"/>
      <c r="SIM525" s="1358"/>
      <c r="SIN525" s="1358"/>
      <c r="SIO525" s="1358"/>
      <c r="SIP525" s="1358"/>
      <c r="SIQ525" s="1358"/>
      <c r="SIR525" s="1358"/>
      <c r="SIS525" s="1358"/>
      <c r="SIT525" s="1358"/>
      <c r="SIU525" s="1358"/>
      <c r="SIV525" s="1358"/>
      <c r="SIW525" s="1358"/>
      <c r="SIX525" s="1358"/>
      <c r="SIY525" s="1358"/>
      <c r="SIZ525" s="1358"/>
      <c r="SJA525" s="1358"/>
      <c r="SJB525" s="1358"/>
      <c r="SJC525" s="1358"/>
      <c r="SJD525" s="1358"/>
      <c r="SJE525" s="1358"/>
      <c r="SJF525" s="1358"/>
      <c r="SJG525" s="1358"/>
      <c r="SJH525" s="1358"/>
      <c r="SJI525" s="1358"/>
      <c r="SJJ525" s="1358"/>
      <c r="SJK525" s="1358"/>
      <c r="SJL525" s="1358"/>
      <c r="SJM525" s="1358"/>
      <c r="SJN525" s="1358"/>
      <c r="SJO525" s="1358"/>
      <c r="SJP525" s="1358"/>
      <c r="SJQ525" s="1358"/>
      <c r="SJR525" s="1358"/>
      <c r="SJS525" s="1358"/>
      <c r="SJT525" s="1358"/>
      <c r="SJU525" s="1358"/>
      <c r="SJV525" s="1358"/>
      <c r="SJW525" s="1358"/>
      <c r="SJX525" s="1358"/>
      <c r="SJY525" s="1358"/>
      <c r="SJZ525" s="1358"/>
      <c r="SKA525" s="1358"/>
      <c r="SKB525" s="1358"/>
      <c r="SKC525" s="1358"/>
      <c r="SKD525" s="1358"/>
      <c r="SKE525" s="1358"/>
      <c r="SKF525" s="1358"/>
      <c r="SKG525" s="1358"/>
      <c r="SKH525" s="1358"/>
      <c r="SKI525" s="1358"/>
      <c r="SKJ525" s="1358"/>
      <c r="SKK525" s="1358"/>
      <c r="SKL525" s="1358"/>
      <c r="SKM525" s="1358"/>
      <c r="SKN525" s="1358"/>
      <c r="SKO525" s="1358"/>
      <c r="SKP525" s="1358"/>
      <c r="SKQ525" s="1358"/>
      <c r="SKR525" s="1358"/>
      <c r="SKS525" s="1358"/>
      <c r="SKT525" s="1358"/>
      <c r="SKU525" s="1358"/>
      <c r="SKV525" s="1358"/>
      <c r="SKW525" s="1358"/>
      <c r="SKX525" s="1358"/>
      <c r="SKY525" s="1358"/>
      <c r="SKZ525" s="1358"/>
      <c r="SLA525" s="1358"/>
      <c r="SLB525" s="1358"/>
      <c r="SLC525" s="1358"/>
      <c r="SLD525" s="1358"/>
      <c r="SLE525" s="1358"/>
      <c r="SLF525" s="1358"/>
      <c r="SLG525" s="1358"/>
      <c r="SLH525" s="1358"/>
      <c r="SLI525" s="1358"/>
      <c r="SLJ525" s="1358"/>
      <c r="SLK525" s="1358"/>
      <c r="SLL525" s="1358"/>
      <c r="SLM525" s="1358"/>
      <c r="SLN525" s="1358"/>
      <c r="SLO525" s="1358"/>
      <c r="SLP525" s="1358"/>
      <c r="SLQ525" s="1358"/>
      <c r="SLR525" s="1358"/>
      <c r="SLS525" s="1358"/>
      <c r="SLT525" s="1358"/>
      <c r="SLU525" s="1358"/>
      <c r="SLV525" s="1358"/>
      <c r="SLW525" s="1358"/>
      <c r="SLX525" s="1358"/>
      <c r="SLY525" s="1358"/>
      <c r="SLZ525" s="1358"/>
      <c r="SMA525" s="1358"/>
      <c r="SMB525" s="1358"/>
      <c r="SMC525" s="1358"/>
      <c r="SMD525" s="1358"/>
      <c r="SME525" s="1358"/>
      <c r="SMF525" s="1358"/>
      <c r="SMG525" s="1358"/>
      <c r="SMH525" s="1358"/>
      <c r="SMI525" s="1358"/>
      <c r="SMJ525" s="1358"/>
      <c r="SMK525" s="1358"/>
      <c r="SML525" s="1358"/>
      <c r="SMM525" s="1358"/>
      <c r="SMN525" s="1358"/>
      <c r="SMO525" s="1358"/>
      <c r="SMP525" s="1358"/>
      <c r="SMQ525" s="1358"/>
      <c r="SMR525" s="1358"/>
      <c r="SMS525" s="1358"/>
      <c r="SMT525" s="1358"/>
      <c r="SMU525" s="1358"/>
      <c r="SMV525" s="1358"/>
      <c r="SMW525" s="1358"/>
      <c r="SMX525" s="1358"/>
      <c r="SMY525" s="1358"/>
      <c r="SMZ525" s="1358"/>
      <c r="SNA525" s="1358"/>
      <c r="SNB525" s="1358"/>
      <c r="SNC525" s="1358"/>
      <c r="SND525" s="1358"/>
      <c r="SNE525" s="1358"/>
      <c r="SNF525" s="1358"/>
      <c r="SNG525" s="1358"/>
      <c r="SNH525" s="1358"/>
      <c r="SNI525" s="1358"/>
      <c r="SNJ525" s="1358"/>
      <c r="SNK525" s="1358"/>
      <c r="SNL525" s="1358"/>
      <c r="SNM525" s="1358"/>
      <c r="SNN525" s="1358"/>
      <c r="SNO525" s="1358"/>
      <c r="SNP525" s="1358"/>
      <c r="SNQ525" s="1358"/>
      <c r="SNR525" s="1358"/>
      <c r="SNS525" s="1358"/>
      <c r="SNT525" s="1358"/>
      <c r="SNU525" s="1358"/>
      <c r="SNV525" s="1358"/>
      <c r="SNW525" s="1358"/>
      <c r="SNX525" s="1358"/>
      <c r="SNY525" s="1358"/>
      <c r="SNZ525" s="1358"/>
      <c r="SOA525" s="1358"/>
      <c r="SOB525" s="1358"/>
      <c r="SOC525" s="1358"/>
      <c r="SOD525" s="1358"/>
      <c r="SOE525" s="1358"/>
      <c r="SOF525" s="1358"/>
      <c r="SOG525" s="1358"/>
      <c r="SOH525" s="1358"/>
      <c r="SOI525" s="1358"/>
      <c r="SOJ525" s="1358"/>
      <c r="SOK525" s="1358"/>
      <c r="SOL525" s="1358"/>
      <c r="SOM525" s="1358"/>
      <c r="SON525" s="1358"/>
      <c r="SOO525" s="1358"/>
      <c r="SOP525" s="1358"/>
      <c r="SOQ525" s="1358"/>
      <c r="SOR525" s="1358"/>
      <c r="SOS525" s="1358"/>
      <c r="SOT525" s="1358"/>
      <c r="SOU525" s="1358"/>
      <c r="SOV525" s="1358"/>
      <c r="SOW525" s="1358"/>
      <c r="SOX525" s="1358"/>
      <c r="SOY525" s="1358"/>
      <c r="SOZ525" s="1358"/>
      <c r="SPA525" s="1358"/>
      <c r="SPB525" s="1358"/>
      <c r="SPC525" s="1358"/>
      <c r="SPD525" s="1358"/>
      <c r="SPE525" s="1358"/>
      <c r="SPF525" s="1358"/>
      <c r="SPG525" s="1358"/>
      <c r="SPH525" s="1358"/>
      <c r="SPI525" s="1358"/>
      <c r="SPJ525" s="1358"/>
      <c r="SPK525" s="1358"/>
      <c r="SPL525" s="1358"/>
      <c r="SPM525" s="1358"/>
      <c r="SPN525" s="1358"/>
      <c r="SPO525" s="1358"/>
      <c r="SPP525" s="1358"/>
      <c r="SPQ525" s="1358"/>
      <c r="SPR525" s="1358"/>
      <c r="SPS525" s="1358"/>
      <c r="SPT525" s="1358"/>
      <c r="SPU525" s="1358"/>
      <c r="SPV525" s="1358"/>
      <c r="SPW525" s="1358"/>
      <c r="SPX525" s="1358"/>
      <c r="SPY525" s="1358"/>
      <c r="SPZ525" s="1358"/>
      <c r="SQA525" s="1358"/>
      <c r="SQB525" s="1358"/>
      <c r="SQC525" s="1358"/>
      <c r="SQD525" s="1358"/>
      <c r="SQE525" s="1358"/>
      <c r="SQF525" s="1358"/>
      <c r="SQG525" s="1358"/>
      <c r="SQH525" s="1358"/>
      <c r="SQI525" s="1358"/>
      <c r="SQJ525" s="1358"/>
      <c r="SQK525" s="1358"/>
      <c r="SQL525" s="1358"/>
      <c r="SQM525" s="1358"/>
      <c r="SQN525" s="1358"/>
      <c r="SQO525" s="1358"/>
      <c r="SQP525" s="1358"/>
      <c r="SQQ525" s="1358"/>
      <c r="SQR525" s="1358"/>
      <c r="SQS525" s="1358"/>
      <c r="SQT525" s="1358"/>
      <c r="SQU525" s="1358"/>
      <c r="SQV525" s="1358"/>
      <c r="SQW525" s="1358"/>
      <c r="SQX525" s="1358"/>
      <c r="SQY525" s="1358"/>
      <c r="SQZ525" s="1358"/>
      <c r="SRA525" s="1358"/>
      <c r="SRB525" s="1358"/>
      <c r="SRC525" s="1358"/>
      <c r="SRD525" s="1358"/>
      <c r="SRE525" s="1358"/>
      <c r="SRF525" s="1358"/>
      <c r="SRG525" s="1358"/>
      <c r="SRH525" s="1358"/>
      <c r="SRI525" s="1358"/>
      <c r="SRJ525" s="1358"/>
      <c r="SRK525" s="1358"/>
      <c r="SRL525" s="1358"/>
      <c r="SRM525" s="1358"/>
      <c r="SRN525" s="1358"/>
      <c r="SRO525" s="1358"/>
      <c r="SRP525" s="1358"/>
      <c r="SRQ525" s="1358"/>
      <c r="SRR525" s="1358"/>
      <c r="SRS525" s="1358"/>
      <c r="SRT525" s="1358"/>
      <c r="SRU525" s="1358"/>
      <c r="SRV525" s="1358"/>
      <c r="SRW525" s="1358"/>
      <c r="SRX525" s="1358"/>
      <c r="SRY525" s="1358"/>
      <c r="SRZ525" s="1358"/>
      <c r="SSA525" s="1358"/>
      <c r="SSB525" s="1358"/>
      <c r="SSC525" s="1358"/>
      <c r="SSD525" s="1358"/>
      <c r="SSE525" s="1358"/>
      <c r="SSF525" s="1358"/>
      <c r="SSG525" s="1358"/>
      <c r="SSH525" s="1358"/>
      <c r="SSI525" s="1358"/>
      <c r="SSJ525" s="1358"/>
      <c r="SSK525" s="1358"/>
      <c r="SSL525" s="1358"/>
      <c r="SSM525" s="1358"/>
      <c r="SSN525" s="1358"/>
      <c r="SSO525" s="1358"/>
      <c r="SSP525" s="1358"/>
      <c r="SSQ525" s="1358"/>
      <c r="SSR525" s="1358"/>
      <c r="SSS525" s="1358"/>
      <c r="SST525" s="1358"/>
      <c r="SSU525" s="1358"/>
      <c r="SSV525" s="1358"/>
      <c r="SSW525" s="1358"/>
      <c r="SSX525" s="1358"/>
      <c r="SSY525" s="1358"/>
      <c r="SSZ525" s="1358"/>
      <c r="STA525" s="1358"/>
      <c r="STB525" s="1358"/>
      <c r="STC525" s="1358"/>
      <c r="STD525" s="1358"/>
      <c r="STE525" s="1358"/>
      <c r="STF525" s="1358"/>
      <c r="STG525" s="1358"/>
      <c r="STH525" s="1358"/>
      <c r="STI525" s="1358"/>
      <c r="STJ525" s="1358"/>
      <c r="STK525" s="1358"/>
      <c r="STL525" s="1358"/>
      <c r="STM525" s="1358"/>
      <c r="STN525" s="1358"/>
      <c r="STO525" s="1358"/>
      <c r="STP525" s="1358"/>
      <c r="STQ525" s="1358"/>
      <c r="STR525" s="1358"/>
      <c r="STS525" s="1358"/>
      <c r="STT525" s="1358"/>
      <c r="STU525" s="1358"/>
      <c r="STV525" s="1358"/>
      <c r="STW525" s="1358"/>
      <c r="STX525" s="1358"/>
      <c r="STY525" s="1358"/>
      <c r="STZ525" s="1358"/>
      <c r="SUA525" s="1358"/>
      <c r="SUB525" s="1358"/>
      <c r="SUC525" s="1358"/>
      <c r="SUD525" s="1358"/>
      <c r="SUE525" s="1358"/>
      <c r="SUF525" s="1358"/>
      <c r="SUG525" s="1358"/>
      <c r="SUH525" s="1358"/>
      <c r="SUI525" s="1358"/>
      <c r="SUJ525" s="1358"/>
      <c r="SUK525" s="1358"/>
      <c r="SUL525" s="1358"/>
      <c r="SUM525" s="1358"/>
      <c r="SUN525" s="1358"/>
      <c r="SUO525" s="1358"/>
      <c r="SUP525" s="1358"/>
      <c r="SUQ525" s="1358"/>
      <c r="SUR525" s="1358"/>
      <c r="SUS525" s="1358"/>
      <c r="SUT525" s="1358"/>
      <c r="SUU525" s="1358"/>
      <c r="SUV525" s="1358"/>
      <c r="SUW525" s="1358"/>
      <c r="SUX525" s="1358"/>
      <c r="SUY525" s="1358"/>
      <c r="SUZ525" s="1358"/>
      <c r="SVA525" s="1358"/>
      <c r="SVB525" s="1358"/>
      <c r="SVC525" s="1358"/>
      <c r="SVD525" s="1358"/>
      <c r="SVE525" s="1358"/>
      <c r="SVF525" s="1358"/>
      <c r="SVG525" s="1358"/>
      <c r="SVH525" s="1358"/>
      <c r="SVI525" s="1358"/>
      <c r="SVJ525" s="1358"/>
      <c r="SVK525" s="1358"/>
      <c r="SVL525" s="1358"/>
      <c r="SVM525" s="1358"/>
      <c r="SVN525" s="1358"/>
      <c r="SVO525" s="1358"/>
      <c r="SVP525" s="1358"/>
      <c r="SVQ525" s="1358"/>
      <c r="SVR525" s="1358"/>
      <c r="SVS525" s="1358"/>
      <c r="SVT525" s="1358"/>
      <c r="SVU525" s="1358"/>
      <c r="SVV525" s="1358"/>
      <c r="SVW525" s="1358"/>
      <c r="SVX525" s="1358"/>
      <c r="SVY525" s="1358"/>
      <c r="SVZ525" s="1358"/>
      <c r="SWA525" s="1358"/>
      <c r="SWB525" s="1358"/>
      <c r="SWC525" s="1358"/>
      <c r="SWD525" s="1358"/>
      <c r="SWE525" s="1358"/>
      <c r="SWF525" s="1358"/>
      <c r="SWG525" s="1358"/>
      <c r="SWH525" s="1358"/>
      <c r="SWI525" s="1358"/>
      <c r="SWJ525" s="1358"/>
      <c r="SWK525" s="1358"/>
      <c r="SWL525" s="1358"/>
      <c r="SWM525" s="1358"/>
      <c r="SWN525" s="1358"/>
      <c r="SWO525" s="1358"/>
      <c r="SWP525" s="1358"/>
      <c r="SWQ525" s="1358"/>
      <c r="SWR525" s="1358"/>
      <c r="SWS525" s="1358"/>
      <c r="SWT525" s="1358"/>
      <c r="SWU525" s="1358"/>
      <c r="SWV525" s="1358"/>
      <c r="SWW525" s="1358"/>
      <c r="SWX525" s="1358"/>
      <c r="SWY525" s="1358"/>
      <c r="SWZ525" s="1358"/>
      <c r="SXA525" s="1358"/>
      <c r="SXB525" s="1358"/>
      <c r="SXC525" s="1358"/>
      <c r="SXD525" s="1358"/>
      <c r="SXE525" s="1358"/>
      <c r="SXF525" s="1358"/>
      <c r="SXG525" s="1358"/>
      <c r="SXH525" s="1358"/>
      <c r="SXI525" s="1358"/>
      <c r="SXJ525" s="1358"/>
      <c r="SXK525" s="1358"/>
      <c r="SXL525" s="1358"/>
      <c r="SXM525" s="1358"/>
      <c r="SXN525" s="1358"/>
      <c r="SXO525" s="1358"/>
      <c r="SXP525" s="1358"/>
      <c r="SXQ525" s="1358"/>
      <c r="SXR525" s="1358"/>
      <c r="SXS525" s="1358"/>
      <c r="SXT525" s="1358"/>
      <c r="SXU525" s="1358"/>
      <c r="SXV525" s="1358"/>
      <c r="SXW525" s="1358"/>
      <c r="SXX525" s="1358"/>
      <c r="SXY525" s="1358"/>
      <c r="SXZ525" s="1358"/>
      <c r="SYA525" s="1358"/>
      <c r="SYB525" s="1358"/>
      <c r="SYC525" s="1358"/>
      <c r="SYD525" s="1358"/>
      <c r="SYE525" s="1358"/>
      <c r="SYF525" s="1358"/>
      <c r="SYG525" s="1358"/>
      <c r="SYH525" s="1358"/>
      <c r="SYI525" s="1358"/>
      <c r="SYJ525" s="1358"/>
      <c r="SYK525" s="1358"/>
      <c r="SYL525" s="1358"/>
      <c r="SYM525" s="1358"/>
      <c r="SYN525" s="1358"/>
      <c r="SYO525" s="1358"/>
      <c r="SYP525" s="1358"/>
      <c r="SYQ525" s="1358"/>
      <c r="SYR525" s="1358"/>
      <c r="SYS525" s="1358"/>
      <c r="SYT525" s="1358"/>
      <c r="SYU525" s="1358"/>
      <c r="SYV525" s="1358"/>
      <c r="SYW525" s="1358"/>
      <c r="SYX525" s="1358"/>
      <c r="SYY525" s="1358"/>
      <c r="SYZ525" s="1358"/>
      <c r="SZA525" s="1358"/>
      <c r="SZB525" s="1358"/>
      <c r="SZC525" s="1358"/>
      <c r="SZD525" s="1358"/>
      <c r="SZE525" s="1358"/>
      <c r="SZF525" s="1358"/>
      <c r="SZG525" s="1358"/>
      <c r="SZH525" s="1358"/>
      <c r="SZI525" s="1358"/>
      <c r="SZJ525" s="1358"/>
      <c r="SZK525" s="1358"/>
      <c r="SZL525" s="1358"/>
      <c r="SZM525" s="1358"/>
      <c r="SZN525" s="1358"/>
      <c r="SZO525" s="1358"/>
      <c r="SZP525" s="1358"/>
      <c r="SZQ525" s="1358"/>
      <c r="SZR525" s="1358"/>
      <c r="SZS525" s="1358"/>
      <c r="SZT525" s="1358"/>
      <c r="SZU525" s="1358"/>
      <c r="SZV525" s="1358"/>
      <c r="SZW525" s="1358"/>
      <c r="SZX525" s="1358"/>
      <c r="SZY525" s="1358"/>
      <c r="SZZ525" s="1358"/>
      <c r="TAA525" s="1358"/>
      <c r="TAB525" s="1358"/>
      <c r="TAC525" s="1358"/>
      <c r="TAD525" s="1358"/>
      <c r="TAE525" s="1358"/>
      <c r="TAF525" s="1358"/>
      <c r="TAG525" s="1358"/>
      <c r="TAH525" s="1358"/>
      <c r="TAI525" s="1358"/>
      <c r="TAJ525" s="1358"/>
      <c r="TAK525" s="1358"/>
      <c r="TAL525" s="1358"/>
      <c r="TAM525" s="1358"/>
      <c r="TAN525" s="1358"/>
      <c r="TAO525" s="1358"/>
      <c r="TAP525" s="1358"/>
      <c r="TAQ525" s="1358"/>
      <c r="TAR525" s="1358"/>
      <c r="TAS525" s="1358"/>
      <c r="TAT525" s="1358"/>
      <c r="TAU525" s="1358"/>
      <c r="TAV525" s="1358"/>
      <c r="TAW525" s="1358"/>
      <c r="TAX525" s="1358"/>
      <c r="TAY525" s="1358"/>
      <c r="TAZ525" s="1358"/>
      <c r="TBA525" s="1358"/>
      <c r="TBB525" s="1358"/>
      <c r="TBC525" s="1358"/>
      <c r="TBD525" s="1358"/>
      <c r="TBE525" s="1358"/>
      <c r="TBF525" s="1358"/>
      <c r="TBG525" s="1358"/>
      <c r="TBH525" s="1358"/>
      <c r="TBI525" s="1358"/>
      <c r="TBJ525" s="1358"/>
      <c r="TBK525" s="1358"/>
      <c r="TBL525" s="1358"/>
      <c r="TBM525" s="1358"/>
      <c r="TBN525" s="1358"/>
      <c r="TBO525" s="1358"/>
      <c r="TBP525" s="1358"/>
      <c r="TBQ525" s="1358"/>
      <c r="TBR525" s="1358"/>
      <c r="TBS525" s="1358"/>
      <c r="TBT525" s="1358"/>
      <c r="TBU525" s="1358"/>
      <c r="TBV525" s="1358"/>
      <c r="TBW525" s="1358"/>
      <c r="TBX525" s="1358"/>
      <c r="TBY525" s="1358"/>
      <c r="TBZ525" s="1358"/>
      <c r="TCA525" s="1358"/>
      <c r="TCB525" s="1358"/>
      <c r="TCC525" s="1358"/>
      <c r="TCD525" s="1358"/>
      <c r="TCE525" s="1358"/>
      <c r="TCF525" s="1358"/>
      <c r="TCG525" s="1358"/>
      <c r="TCH525" s="1358"/>
      <c r="TCI525" s="1358"/>
      <c r="TCJ525" s="1358"/>
      <c r="TCK525" s="1358"/>
      <c r="TCL525" s="1358"/>
      <c r="TCM525" s="1358"/>
      <c r="TCN525" s="1358"/>
      <c r="TCO525" s="1358"/>
      <c r="TCP525" s="1358"/>
      <c r="TCQ525" s="1358"/>
      <c r="TCR525" s="1358"/>
      <c r="TCS525" s="1358"/>
      <c r="TCT525" s="1358"/>
      <c r="TCU525" s="1358"/>
      <c r="TCV525" s="1358"/>
      <c r="TCW525" s="1358"/>
      <c r="TCX525" s="1358"/>
      <c r="TCY525" s="1358"/>
      <c r="TCZ525" s="1358"/>
      <c r="TDA525" s="1358"/>
      <c r="TDB525" s="1358"/>
      <c r="TDC525" s="1358"/>
      <c r="TDD525" s="1358"/>
      <c r="TDE525" s="1358"/>
      <c r="TDF525" s="1358"/>
      <c r="TDG525" s="1358"/>
      <c r="TDH525" s="1358"/>
      <c r="TDI525" s="1358"/>
      <c r="TDJ525" s="1358"/>
      <c r="TDK525" s="1358"/>
      <c r="TDL525" s="1358"/>
      <c r="TDM525" s="1358"/>
      <c r="TDN525" s="1358"/>
      <c r="TDO525" s="1358"/>
      <c r="TDP525" s="1358"/>
      <c r="TDQ525" s="1358"/>
      <c r="TDR525" s="1358"/>
      <c r="TDS525" s="1358"/>
      <c r="TDT525" s="1358"/>
      <c r="TDU525" s="1358"/>
      <c r="TDV525" s="1358"/>
      <c r="TDW525" s="1358"/>
      <c r="TDX525" s="1358"/>
      <c r="TDY525" s="1358"/>
      <c r="TDZ525" s="1358"/>
      <c r="TEA525" s="1358"/>
      <c r="TEB525" s="1358"/>
      <c r="TEC525" s="1358"/>
      <c r="TED525" s="1358"/>
      <c r="TEE525" s="1358"/>
      <c r="TEF525" s="1358"/>
      <c r="TEG525" s="1358"/>
      <c r="TEH525" s="1358"/>
      <c r="TEI525" s="1358"/>
      <c r="TEJ525" s="1358"/>
      <c r="TEK525" s="1358"/>
      <c r="TEL525" s="1358"/>
      <c r="TEM525" s="1358"/>
      <c r="TEN525" s="1358"/>
      <c r="TEO525" s="1358"/>
      <c r="TEP525" s="1358"/>
      <c r="TEQ525" s="1358"/>
      <c r="TER525" s="1358"/>
      <c r="TES525" s="1358"/>
      <c r="TET525" s="1358"/>
      <c r="TEU525" s="1358"/>
      <c r="TEV525" s="1358"/>
      <c r="TEW525" s="1358"/>
      <c r="TEX525" s="1358"/>
      <c r="TEY525" s="1358"/>
      <c r="TEZ525" s="1358"/>
      <c r="TFA525" s="1358"/>
      <c r="TFB525" s="1358"/>
      <c r="TFC525" s="1358"/>
      <c r="TFD525" s="1358"/>
      <c r="TFE525" s="1358"/>
      <c r="TFF525" s="1358"/>
      <c r="TFG525" s="1358"/>
      <c r="TFH525" s="1358"/>
      <c r="TFI525" s="1358"/>
      <c r="TFJ525" s="1358"/>
      <c r="TFK525" s="1358"/>
      <c r="TFL525" s="1358"/>
      <c r="TFM525" s="1358"/>
      <c r="TFN525" s="1358"/>
      <c r="TFO525" s="1358"/>
      <c r="TFP525" s="1358"/>
      <c r="TFQ525" s="1358"/>
      <c r="TFR525" s="1358"/>
      <c r="TFS525" s="1358"/>
      <c r="TFT525" s="1358"/>
      <c r="TFU525" s="1358"/>
      <c r="TFV525" s="1358"/>
      <c r="TFW525" s="1358"/>
      <c r="TFX525" s="1358"/>
      <c r="TFY525" s="1358"/>
      <c r="TFZ525" s="1358"/>
      <c r="TGA525" s="1358"/>
      <c r="TGB525" s="1358"/>
      <c r="TGC525" s="1358"/>
      <c r="TGD525" s="1358"/>
      <c r="TGE525" s="1358"/>
      <c r="TGF525" s="1358"/>
      <c r="TGG525" s="1358"/>
      <c r="TGH525" s="1358"/>
      <c r="TGI525" s="1358"/>
      <c r="TGJ525" s="1358"/>
      <c r="TGK525" s="1358"/>
      <c r="TGL525" s="1358"/>
      <c r="TGM525" s="1358"/>
      <c r="TGN525" s="1358"/>
      <c r="TGO525" s="1358"/>
      <c r="TGP525" s="1358"/>
      <c r="TGQ525" s="1358"/>
      <c r="TGR525" s="1358"/>
      <c r="TGS525" s="1358"/>
      <c r="TGT525" s="1358"/>
      <c r="TGU525" s="1358"/>
      <c r="TGV525" s="1358"/>
      <c r="TGW525" s="1358"/>
      <c r="TGX525" s="1358"/>
      <c r="TGY525" s="1358"/>
      <c r="TGZ525" s="1358"/>
      <c r="THA525" s="1358"/>
      <c r="THB525" s="1358"/>
      <c r="THC525" s="1358"/>
      <c r="THD525" s="1358"/>
      <c r="THE525" s="1358"/>
      <c r="THF525" s="1358"/>
      <c r="THG525" s="1358"/>
      <c r="THH525" s="1358"/>
      <c r="THI525" s="1358"/>
      <c r="THJ525" s="1358"/>
      <c r="THK525" s="1358"/>
      <c r="THL525" s="1358"/>
      <c r="THM525" s="1358"/>
      <c r="THN525" s="1358"/>
      <c r="THO525" s="1358"/>
      <c r="THP525" s="1358"/>
      <c r="THQ525" s="1358"/>
      <c r="THR525" s="1358"/>
      <c r="THS525" s="1358"/>
      <c r="THT525" s="1358"/>
      <c r="THU525" s="1358"/>
      <c r="THV525" s="1358"/>
      <c r="THW525" s="1358"/>
      <c r="THX525" s="1358"/>
      <c r="THY525" s="1358"/>
      <c r="THZ525" s="1358"/>
      <c r="TIA525" s="1358"/>
      <c r="TIB525" s="1358"/>
      <c r="TIC525" s="1358"/>
      <c r="TID525" s="1358"/>
      <c r="TIE525" s="1358"/>
      <c r="TIF525" s="1358"/>
      <c r="TIG525" s="1358"/>
      <c r="TIH525" s="1358"/>
      <c r="TII525" s="1358"/>
      <c r="TIJ525" s="1358"/>
      <c r="TIK525" s="1358"/>
      <c r="TIL525" s="1358"/>
      <c r="TIM525" s="1358"/>
      <c r="TIN525" s="1358"/>
      <c r="TIO525" s="1358"/>
      <c r="TIP525" s="1358"/>
      <c r="TIQ525" s="1358"/>
      <c r="TIR525" s="1358"/>
      <c r="TIS525" s="1358"/>
      <c r="TIT525" s="1358"/>
      <c r="TIU525" s="1358"/>
      <c r="TIV525" s="1358"/>
      <c r="TIW525" s="1358"/>
      <c r="TIX525" s="1358"/>
      <c r="TIY525" s="1358"/>
      <c r="TIZ525" s="1358"/>
      <c r="TJA525" s="1358"/>
      <c r="TJB525" s="1358"/>
      <c r="TJC525" s="1358"/>
      <c r="TJD525" s="1358"/>
      <c r="TJE525" s="1358"/>
      <c r="TJF525" s="1358"/>
      <c r="TJG525" s="1358"/>
      <c r="TJH525" s="1358"/>
      <c r="TJI525" s="1358"/>
      <c r="TJJ525" s="1358"/>
      <c r="TJK525" s="1358"/>
      <c r="TJL525" s="1358"/>
      <c r="TJM525" s="1358"/>
      <c r="TJN525" s="1358"/>
      <c r="TJO525" s="1358"/>
      <c r="TJP525" s="1358"/>
      <c r="TJQ525" s="1358"/>
      <c r="TJR525" s="1358"/>
      <c r="TJS525" s="1358"/>
      <c r="TJT525" s="1358"/>
      <c r="TJU525" s="1358"/>
      <c r="TJV525" s="1358"/>
      <c r="TJW525" s="1358"/>
      <c r="TJX525" s="1358"/>
      <c r="TJY525" s="1358"/>
      <c r="TJZ525" s="1358"/>
      <c r="TKA525" s="1358"/>
      <c r="TKB525" s="1358"/>
      <c r="TKC525" s="1358"/>
      <c r="TKD525" s="1358"/>
      <c r="TKE525" s="1358"/>
      <c r="TKF525" s="1358"/>
      <c r="TKG525" s="1358"/>
      <c r="TKH525" s="1358"/>
      <c r="TKI525" s="1358"/>
      <c r="TKJ525" s="1358"/>
      <c r="TKK525" s="1358"/>
      <c r="TKL525" s="1358"/>
      <c r="TKM525" s="1358"/>
      <c r="TKN525" s="1358"/>
      <c r="TKO525" s="1358"/>
      <c r="TKP525" s="1358"/>
      <c r="TKQ525" s="1358"/>
      <c r="TKR525" s="1358"/>
      <c r="TKS525" s="1358"/>
      <c r="TKT525" s="1358"/>
      <c r="TKU525" s="1358"/>
      <c r="TKV525" s="1358"/>
      <c r="TKW525" s="1358"/>
      <c r="TKX525" s="1358"/>
      <c r="TKY525" s="1358"/>
      <c r="TKZ525" s="1358"/>
      <c r="TLA525" s="1358"/>
      <c r="TLB525" s="1358"/>
      <c r="TLC525" s="1358"/>
      <c r="TLD525" s="1358"/>
      <c r="TLE525" s="1358"/>
      <c r="TLF525" s="1358"/>
      <c r="TLG525" s="1358"/>
      <c r="TLH525" s="1358"/>
      <c r="TLI525" s="1358"/>
      <c r="TLJ525" s="1358"/>
      <c r="TLK525" s="1358"/>
      <c r="TLL525" s="1358"/>
      <c r="TLM525" s="1358"/>
      <c r="TLN525" s="1358"/>
      <c r="TLO525" s="1358"/>
      <c r="TLP525" s="1358"/>
      <c r="TLQ525" s="1358"/>
      <c r="TLR525" s="1358"/>
      <c r="TLS525" s="1358"/>
      <c r="TLT525" s="1358"/>
      <c r="TLU525" s="1358"/>
      <c r="TLV525" s="1358"/>
      <c r="TLW525" s="1358"/>
      <c r="TLX525" s="1358"/>
      <c r="TLY525" s="1358"/>
      <c r="TLZ525" s="1358"/>
      <c r="TMA525" s="1358"/>
      <c r="TMB525" s="1358"/>
      <c r="TMC525" s="1358"/>
      <c r="TMD525" s="1358"/>
      <c r="TME525" s="1358"/>
      <c r="TMF525" s="1358"/>
      <c r="TMG525" s="1358"/>
      <c r="TMH525" s="1358"/>
      <c r="TMI525" s="1358"/>
      <c r="TMJ525" s="1358"/>
      <c r="TMK525" s="1358"/>
      <c r="TML525" s="1358"/>
      <c r="TMM525" s="1358"/>
      <c r="TMN525" s="1358"/>
      <c r="TMO525" s="1358"/>
      <c r="TMP525" s="1358"/>
      <c r="TMQ525" s="1358"/>
      <c r="TMR525" s="1358"/>
      <c r="TMS525" s="1358"/>
      <c r="TMT525" s="1358"/>
      <c r="TMU525" s="1358"/>
      <c r="TMV525" s="1358"/>
      <c r="TMW525" s="1358"/>
      <c r="TMX525" s="1358"/>
      <c r="TMY525" s="1358"/>
      <c r="TMZ525" s="1358"/>
      <c r="TNA525" s="1358"/>
      <c r="TNB525" s="1358"/>
      <c r="TNC525" s="1358"/>
      <c r="TND525" s="1358"/>
      <c r="TNE525" s="1358"/>
      <c r="TNF525" s="1358"/>
      <c r="TNG525" s="1358"/>
      <c r="TNH525" s="1358"/>
      <c r="TNI525" s="1358"/>
      <c r="TNJ525" s="1358"/>
      <c r="TNK525" s="1358"/>
      <c r="TNL525" s="1358"/>
      <c r="TNM525" s="1358"/>
      <c r="TNN525" s="1358"/>
      <c r="TNO525" s="1358"/>
      <c r="TNP525" s="1358"/>
      <c r="TNQ525" s="1358"/>
      <c r="TNR525" s="1358"/>
      <c r="TNS525" s="1358"/>
      <c r="TNT525" s="1358"/>
      <c r="TNU525" s="1358"/>
      <c r="TNV525" s="1358"/>
      <c r="TNW525" s="1358"/>
      <c r="TNX525" s="1358"/>
      <c r="TNY525" s="1358"/>
      <c r="TNZ525" s="1358"/>
      <c r="TOA525" s="1358"/>
      <c r="TOB525" s="1358"/>
      <c r="TOC525" s="1358"/>
      <c r="TOD525" s="1358"/>
      <c r="TOE525" s="1358"/>
      <c r="TOF525" s="1358"/>
      <c r="TOG525" s="1358"/>
      <c r="TOH525" s="1358"/>
      <c r="TOI525" s="1358"/>
      <c r="TOJ525" s="1358"/>
      <c r="TOK525" s="1358"/>
      <c r="TOL525" s="1358"/>
      <c r="TOM525" s="1358"/>
      <c r="TON525" s="1358"/>
      <c r="TOO525" s="1358"/>
      <c r="TOP525" s="1358"/>
      <c r="TOQ525" s="1358"/>
      <c r="TOR525" s="1358"/>
      <c r="TOS525" s="1358"/>
      <c r="TOT525" s="1358"/>
      <c r="TOU525" s="1358"/>
      <c r="TOV525" s="1358"/>
      <c r="TOW525" s="1358"/>
      <c r="TOX525" s="1358"/>
      <c r="TOY525" s="1358"/>
      <c r="TOZ525" s="1358"/>
      <c r="TPA525" s="1358"/>
      <c r="TPB525" s="1358"/>
      <c r="TPC525" s="1358"/>
      <c r="TPD525" s="1358"/>
      <c r="TPE525" s="1358"/>
      <c r="TPF525" s="1358"/>
      <c r="TPG525" s="1358"/>
      <c r="TPH525" s="1358"/>
      <c r="TPI525" s="1358"/>
      <c r="TPJ525" s="1358"/>
      <c r="TPK525" s="1358"/>
      <c r="TPL525" s="1358"/>
      <c r="TPM525" s="1358"/>
      <c r="TPN525" s="1358"/>
      <c r="TPO525" s="1358"/>
      <c r="TPP525" s="1358"/>
      <c r="TPQ525" s="1358"/>
      <c r="TPR525" s="1358"/>
      <c r="TPS525" s="1358"/>
      <c r="TPT525" s="1358"/>
      <c r="TPU525" s="1358"/>
      <c r="TPV525" s="1358"/>
      <c r="TPW525" s="1358"/>
      <c r="TPX525" s="1358"/>
      <c r="TPY525" s="1358"/>
      <c r="TPZ525" s="1358"/>
      <c r="TQA525" s="1358"/>
      <c r="TQB525" s="1358"/>
      <c r="TQC525" s="1358"/>
      <c r="TQD525" s="1358"/>
      <c r="TQE525" s="1358"/>
      <c r="TQF525" s="1358"/>
      <c r="TQG525" s="1358"/>
      <c r="TQH525" s="1358"/>
      <c r="TQI525" s="1358"/>
      <c r="TQJ525" s="1358"/>
      <c r="TQK525" s="1358"/>
      <c r="TQL525" s="1358"/>
      <c r="TQM525" s="1358"/>
      <c r="TQN525" s="1358"/>
      <c r="TQO525" s="1358"/>
      <c r="TQP525" s="1358"/>
      <c r="TQQ525" s="1358"/>
      <c r="TQR525" s="1358"/>
      <c r="TQS525" s="1358"/>
      <c r="TQT525" s="1358"/>
      <c r="TQU525" s="1358"/>
      <c r="TQV525" s="1358"/>
      <c r="TQW525" s="1358"/>
      <c r="TQX525" s="1358"/>
      <c r="TQY525" s="1358"/>
      <c r="TQZ525" s="1358"/>
      <c r="TRA525" s="1358"/>
      <c r="TRB525" s="1358"/>
      <c r="TRC525" s="1358"/>
      <c r="TRD525" s="1358"/>
      <c r="TRE525" s="1358"/>
      <c r="TRF525" s="1358"/>
      <c r="TRG525" s="1358"/>
      <c r="TRH525" s="1358"/>
      <c r="TRI525" s="1358"/>
      <c r="TRJ525" s="1358"/>
      <c r="TRK525" s="1358"/>
      <c r="TRL525" s="1358"/>
      <c r="TRM525" s="1358"/>
      <c r="TRN525" s="1358"/>
      <c r="TRO525" s="1358"/>
      <c r="TRP525" s="1358"/>
      <c r="TRQ525" s="1358"/>
      <c r="TRR525" s="1358"/>
      <c r="TRS525" s="1358"/>
      <c r="TRT525" s="1358"/>
      <c r="TRU525" s="1358"/>
      <c r="TRV525" s="1358"/>
      <c r="TRW525" s="1358"/>
      <c r="TRX525" s="1358"/>
      <c r="TRY525" s="1358"/>
      <c r="TRZ525" s="1358"/>
      <c r="TSA525" s="1358"/>
      <c r="TSB525" s="1358"/>
      <c r="TSC525" s="1358"/>
      <c r="TSD525" s="1358"/>
      <c r="TSE525" s="1358"/>
      <c r="TSF525" s="1358"/>
      <c r="TSG525" s="1358"/>
      <c r="TSH525" s="1358"/>
      <c r="TSI525" s="1358"/>
      <c r="TSJ525" s="1358"/>
      <c r="TSK525" s="1358"/>
      <c r="TSL525" s="1358"/>
      <c r="TSM525" s="1358"/>
      <c r="TSN525" s="1358"/>
      <c r="TSO525" s="1358"/>
      <c r="TSP525" s="1358"/>
      <c r="TSQ525" s="1358"/>
      <c r="TSR525" s="1358"/>
      <c r="TSS525" s="1358"/>
      <c r="TST525" s="1358"/>
      <c r="TSU525" s="1358"/>
      <c r="TSV525" s="1358"/>
      <c r="TSW525" s="1358"/>
      <c r="TSX525" s="1358"/>
      <c r="TSY525" s="1358"/>
      <c r="TSZ525" s="1358"/>
      <c r="TTA525" s="1358"/>
      <c r="TTB525" s="1358"/>
      <c r="TTC525" s="1358"/>
      <c r="TTD525" s="1358"/>
      <c r="TTE525" s="1358"/>
      <c r="TTF525" s="1358"/>
      <c r="TTG525" s="1358"/>
      <c r="TTH525" s="1358"/>
      <c r="TTI525" s="1358"/>
      <c r="TTJ525" s="1358"/>
      <c r="TTK525" s="1358"/>
      <c r="TTL525" s="1358"/>
      <c r="TTM525" s="1358"/>
      <c r="TTN525" s="1358"/>
      <c r="TTO525" s="1358"/>
      <c r="TTP525" s="1358"/>
      <c r="TTQ525" s="1358"/>
      <c r="TTR525" s="1358"/>
      <c r="TTS525" s="1358"/>
      <c r="TTT525" s="1358"/>
      <c r="TTU525" s="1358"/>
      <c r="TTV525" s="1358"/>
      <c r="TTW525" s="1358"/>
      <c r="TTX525" s="1358"/>
      <c r="TTY525" s="1358"/>
      <c r="TTZ525" s="1358"/>
      <c r="TUA525" s="1358"/>
      <c r="TUB525" s="1358"/>
      <c r="TUC525" s="1358"/>
      <c r="TUD525" s="1358"/>
      <c r="TUE525" s="1358"/>
      <c r="TUF525" s="1358"/>
      <c r="TUG525" s="1358"/>
      <c r="TUH525" s="1358"/>
      <c r="TUI525" s="1358"/>
      <c r="TUJ525" s="1358"/>
      <c r="TUK525" s="1358"/>
      <c r="TUL525" s="1358"/>
      <c r="TUM525" s="1358"/>
      <c r="TUN525" s="1358"/>
      <c r="TUO525" s="1358"/>
      <c r="TUP525" s="1358"/>
      <c r="TUQ525" s="1358"/>
      <c r="TUR525" s="1358"/>
      <c r="TUS525" s="1358"/>
      <c r="TUT525" s="1358"/>
      <c r="TUU525" s="1358"/>
      <c r="TUV525" s="1358"/>
      <c r="TUW525" s="1358"/>
      <c r="TUX525" s="1358"/>
      <c r="TUY525" s="1358"/>
      <c r="TUZ525" s="1358"/>
      <c r="TVA525" s="1358"/>
      <c r="TVB525" s="1358"/>
      <c r="TVC525" s="1358"/>
      <c r="TVD525" s="1358"/>
      <c r="TVE525" s="1358"/>
      <c r="TVF525" s="1358"/>
      <c r="TVG525" s="1358"/>
      <c r="TVH525" s="1358"/>
      <c r="TVI525" s="1358"/>
      <c r="TVJ525" s="1358"/>
      <c r="TVK525" s="1358"/>
      <c r="TVL525" s="1358"/>
      <c r="TVM525" s="1358"/>
      <c r="TVN525" s="1358"/>
      <c r="TVO525" s="1358"/>
      <c r="TVP525" s="1358"/>
      <c r="TVQ525" s="1358"/>
      <c r="TVR525" s="1358"/>
      <c r="TVS525" s="1358"/>
      <c r="TVT525" s="1358"/>
      <c r="TVU525" s="1358"/>
      <c r="TVV525" s="1358"/>
      <c r="TVW525" s="1358"/>
      <c r="TVX525" s="1358"/>
      <c r="TVY525" s="1358"/>
      <c r="TVZ525" s="1358"/>
      <c r="TWA525" s="1358"/>
      <c r="TWB525" s="1358"/>
      <c r="TWC525" s="1358"/>
      <c r="TWD525" s="1358"/>
      <c r="TWE525" s="1358"/>
      <c r="TWF525" s="1358"/>
      <c r="TWG525" s="1358"/>
      <c r="TWH525" s="1358"/>
      <c r="TWI525" s="1358"/>
      <c r="TWJ525" s="1358"/>
      <c r="TWK525" s="1358"/>
      <c r="TWL525" s="1358"/>
      <c r="TWM525" s="1358"/>
      <c r="TWN525" s="1358"/>
      <c r="TWO525" s="1358"/>
      <c r="TWP525" s="1358"/>
      <c r="TWQ525" s="1358"/>
      <c r="TWR525" s="1358"/>
      <c r="TWS525" s="1358"/>
      <c r="TWT525" s="1358"/>
      <c r="TWU525" s="1358"/>
      <c r="TWV525" s="1358"/>
      <c r="TWW525" s="1358"/>
      <c r="TWX525" s="1358"/>
      <c r="TWY525" s="1358"/>
      <c r="TWZ525" s="1358"/>
      <c r="TXA525" s="1358"/>
      <c r="TXB525" s="1358"/>
      <c r="TXC525" s="1358"/>
      <c r="TXD525" s="1358"/>
      <c r="TXE525" s="1358"/>
      <c r="TXF525" s="1358"/>
      <c r="TXG525" s="1358"/>
      <c r="TXH525" s="1358"/>
      <c r="TXI525" s="1358"/>
      <c r="TXJ525" s="1358"/>
      <c r="TXK525" s="1358"/>
      <c r="TXL525" s="1358"/>
      <c r="TXM525" s="1358"/>
      <c r="TXN525" s="1358"/>
      <c r="TXO525" s="1358"/>
      <c r="TXP525" s="1358"/>
      <c r="TXQ525" s="1358"/>
      <c r="TXR525" s="1358"/>
      <c r="TXS525" s="1358"/>
      <c r="TXT525" s="1358"/>
      <c r="TXU525" s="1358"/>
      <c r="TXV525" s="1358"/>
      <c r="TXW525" s="1358"/>
      <c r="TXX525" s="1358"/>
      <c r="TXY525" s="1358"/>
      <c r="TXZ525" s="1358"/>
      <c r="TYA525" s="1358"/>
      <c r="TYB525" s="1358"/>
      <c r="TYC525" s="1358"/>
      <c r="TYD525" s="1358"/>
      <c r="TYE525" s="1358"/>
      <c r="TYF525" s="1358"/>
      <c r="TYG525" s="1358"/>
      <c r="TYH525" s="1358"/>
      <c r="TYI525" s="1358"/>
      <c r="TYJ525" s="1358"/>
      <c r="TYK525" s="1358"/>
      <c r="TYL525" s="1358"/>
      <c r="TYM525" s="1358"/>
      <c r="TYN525" s="1358"/>
      <c r="TYO525" s="1358"/>
      <c r="TYP525" s="1358"/>
      <c r="TYQ525" s="1358"/>
      <c r="TYR525" s="1358"/>
      <c r="TYS525" s="1358"/>
      <c r="TYT525" s="1358"/>
      <c r="TYU525" s="1358"/>
      <c r="TYV525" s="1358"/>
      <c r="TYW525" s="1358"/>
      <c r="TYX525" s="1358"/>
      <c r="TYY525" s="1358"/>
      <c r="TYZ525" s="1358"/>
      <c r="TZA525" s="1358"/>
      <c r="TZB525" s="1358"/>
      <c r="TZC525" s="1358"/>
      <c r="TZD525" s="1358"/>
      <c r="TZE525" s="1358"/>
      <c r="TZF525" s="1358"/>
      <c r="TZG525" s="1358"/>
      <c r="TZH525" s="1358"/>
      <c r="TZI525" s="1358"/>
      <c r="TZJ525" s="1358"/>
      <c r="TZK525" s="1358"/>
      <c r="TZL525" s="1358"/>
      <c r="TZM525" s="1358"/>
      <c r="TZN525" s="1358"/>
      <c r="TZO525" s="1358"/>
      <c r="TZP525" s="1358"/>
      <c r="TZQ525" s="1358"/>
      <c r="TZR525" s="1358"/>
      <c r="TZS525" s="1358"/>
      <c r="TZT525" s="1358"/>
      <c r="TZU525" s="1358"/>
      <c r="TZV525" s="1358"/>
      <c r="TZW525" s="1358"/>
      <c r="TZX525" s="1358"/>
      <c r="TZY525" s="1358"/>
      <c r="TZZ525" s="1358"/>
      <c r="UAA525" s="1358"/>
      <c r="UAB525" s="1358"/>
      <c r="UAC525" s="1358"/>
      <c r="UAD525" s="1358"/>
      <c r="UAE525" s="1358"/>
      <c r="UAF525" s="1358"/>
      <c r="UAG525" s="1358"/>
      <c r="UAH525" s="1358"/>
      <c r="UAI525" s="1358"/>
      <c r="UAJ525" s="1358"/>
      <c r="UAK525" s="1358"/>
      <c r="UAL525" s="1358"/>
      <c r="UAM525" s="1358"/>
      <c r="UAN525" s="1358"/>
      <c r="UAO525" s="1358"/>
      <c r="UAP525" s="1358"/>
      <c r="UAQ525" s="1358"/>
      <c r="UAR525" s="1358"/>
      <c r="UAS525" s="1358"/>
      <c r="UAT525" s="1358"/>
      <c r="UAU525" s="1358"/>
      <c r="UAV525" s="1358"/>
      <c r="UAW525" s="1358"/>
      <c r="UAX525" s="1358"/>
      <c r="UAY525" s="1358"/>
      <c r="UAZ525" s="1358"/>
      <c r="UBA525" s="1358"/>
      <c r="UBB525" s="1358"/>
      <c r="UBC525" s="1358"/>
      <c r="UBD525" s="1358"/>
      <c r="UBE525" s="1358"/>
      <c r="UBF525" s="1358"/>
      <c r="UBG525" s="1358"/>
      <c r="UBH525" s="1358"/>
      <c r="UBI525" s="1358"/>
      <c r="UBJ525" s="1358"/>
      <c r="UBK525" s="1358"/>
      <c r="UBL525" s="1358"/>
      <c r="UBM525" s="1358"/>
      <c r="UBN525" s="1358"/>
      <c r="UBO525" s="1358"/>
      <c r="UBP525" s="1358"/>
      <c r="UBQ525" s="1358"/>
      <c r="UBR525" s="1358"/>
      <c r="UBS525" s="1358"/>
      <c r="UBT525" s="1358"/>
      <c r="UBU525" s="1358"/>
      <c r="UBV525" s="1358"/>
      <c r="UBW525" s="1358"/>
      <c r="UBX525" s="1358"/>
      <c r="UBY525" s="1358"/>
      <c r="UBZ525" s="1358"/>
      <c r="UCA525" s="1358"/>
      <c r="UCB525" s="1358"/>
      <c r="UCC525" s="1358"/>
      <c r="UCD525" s="1358"/>
      <c r="UCE525" s="1358"/>
      <c r="UCF525" s="1358"/>
      <c r="UCG525" s="1358"/>
      <c r="UCH525" s="1358"/>
      <c r="UCI525" s="1358"/>
      <c r="UCJ525" s="1358"/>
      <c r="UCK525" s="1358"/>
      <c r="UCL525" s="1358"/>
      <c r="UCM525" s="1358"/>
      <c r="UCN525" s="1358"/>
      <c r="UCO525" s="1358"/>
      <c r="UCP525" s="1358"/>
      <c r="UCQ525" s="1358"/>
      <c r="UCR525" s="1358"/>
      <c r="UCS525" s="1358"/>
      <c r="UCT525" s="1358"/>
      <c r="UCU525" s="1358"/>
      <c r="UCV525" s="1358"/>
      <c r="UCW525" s="1358"/>
      <c r="UCX525" s="1358"/>
      <c r="UCY525" s="1358"/>
      <c r="UCZ525" s="1358"/>
      <c r="UDA525" s="1358"/>
      <c r="UDB525" s="1358"/>
      <c r="UDC525" s="1358"/>
      <c r="UDD525" s="1358"/>
      <c r="UDE525" s="1358"/>
      <c r="UDF525" s="1358"/>
      <c r="UDG525" s="1358"/>
      <c r="UDH525" s="1358"/>
      <c r="UDI525" s="1358"/>
      <c r="UDJ525" s="1358"/>
      <c r="UDK525" s="1358"/>
      <c r="UDL525" s="1358"/>
      <c r="UDM525" s="1358"/>
      <c r="UDN525" s="1358"/>
      <c r="UDO525" s="1358"/>
      <c r="UDP525" s="1358"/>
      <c r="UDQ525" s="1358"/>
      <c r="UDR525" s="1358"/>
      <c r="UDS525" s="1358"/>
      <c r="UDT525" s="1358"/>
      <c r="UDU525" s="1358"/>
      <c r="UDV525" s="1358"/>
      <c r="UDW525" s="1358"/>
      <c r="UDX525" s="1358"/>
      <c r="UDY525" s="1358"/>
      <c r="UDZ525" s="1358"/>
      <c r="UEA525" s="1358"/>
      <c r="UEB525" s="1358"/>
      <c r="UEC525" s="1358"/>
      <c r="UED525" s="1358"/>
      <c r="UEE525" s="1358"/>
      <c r="UEF525" s="1358"/>
      <c r="UEG525" s="1358"/>
      <c r="UEH525" s="1358"/>
      <c r="UEI525" s="1358"/>
      <c r="UEJ525" s="1358"/>
      <c r="UEK525" s="1358"/>
      <c r="UEL525" s="1358"/>
      <c r="UEM525" s="1358"/>
      <c r="UEN525" s="1358"/>
      <c r="UEO525" s="1358"/>
      <c r="UEP525" s="1358"/>
      <c r="UEQ525" s="1358"/>
      <c r="UER525" s="1358"/>
      <c r="UES525" s="1358"/>
      <c r="UET525" s="1358"/>
      <c r="UEU525" s="1358"/>
      <c r="UEV525" s="1358"/>
      <c r="UEW525" s="1358"/>
      <c r="UEX525" s="1358"/>
      <c r="UEY525" s="1358"/>
      <c r="UEZ525" s="1358"/>
      <c r="UFA525" s="1358"/>
      <c r="UFB525" s="1358"/>
      <c r="UFC525" s="1358"/>
      <c r="UFD525" s="1358"/>
      <c r="UFE525" s="1358"/>
      <c r="UFF525" s="1358"/>
      <c r="UFG525" s="1358"/>
      <c r="UFH525" s="1358"/>
      <c r="UFI525" s="1358"/>
      <c r="UFJ525" s="1358"/>
      <c r="UFK525" s="1358"/>
      <c r="UFL525" s="1358"/>
      <c r="UFM525" s="1358"/>
      <c r="UFN525" s="1358"/>
      <c r="UFO525" s="1358"/>
      <c r="UFP525" s="1358"/>
      <c r="UFQ525" s="1358"/>
      <c r="UFR525" s="1358"/>
      <c r="UFS525" s="1358"/>
      <c r="UFT525" s="1358"/>
      <c r="UFU525" s="1358"/>
      <c r="UFV525" s="1358"/>
      <c r="UFW525" s="1358"/>
      <c r="UFX525" s="1358"/>
      <c r="UFY525" s="1358"/>
      <c r="UFZ525" s="1358"/>
      <c r="UGA525" s="1358"/>
      <c r="UGB525" s="1358"/>
      <c r="UGC525" s="1358"/>
      <c r="UGD525" s="1358"/>
      <c r="UGE525" s="1358"/>
      <c r="UGF525" s="1358"/>
      <c r="UGG525" s="1358"/>
      <c r="UGH525" s="1358"/>
      <c r="UGI525" s="1358"/>
      <c r="UGJ525" s="1358"/>
      <c r="UGK525" s="1358"/>
      <c r="UGL525" s="1358"/>
      <c r="UGM525" s="1358"/>
      <c r="UGN525" s="1358"/>
      <c r="UGO525" s="1358"/>
      <c r="UGP525" s="1358"/>
      <c r="UGQ525" s="1358"/>
      <c r="UGR525" s="1358"/>
      <c r="UGS525" s="1358"/>
      <c r="UGT525" s="1358"/>
      <c r="UGU525" s="1358"/>
      <c r="UGV525" s="1358"/>
      <c r="UGW525" s="1358"/>
      <c r="UGX525" s="1358"/>
      <c r="UGY525" s="1358"/>
      <c r="UGZ525" s="1358"/>
      <c r="UHA525" s="1358"/>
      <c r="UHB525" s="1358"/>
      <c r="UHC525" s="1358"/>
      <c r="UHD525" s="1358"/>
      <c r="UHE525" s="1358"/>
      <c r="UHF525" s="1358"/>
      <c r="UHG525" s="1358"/>
      <c r="UHH525" s="1358"/>
      <c r="UHI525" s="1358"/>
      <c r="UHJ525" s="1358"/>
      <c r="UHK525" s="1358"/>
      <c r="UHL525" s="1358"/>
      <c r="UHM525" s="1358"/>
      <c r="UHN525" s="1358"/>
      <c r="UHO525" s="1358"/>
      <c r="UHP525" s="1358"/>
      <c r="UHQ525" s="1358"/>
      <c r="UHR525" s="1358"/>
      <c r="UHS525" s="1358"/>
      <c r="UHT525" s="1358"/>
      <c r="UHU525" s="1358"/>
      <c r="UHV525" s="1358"/>
      <c r="UHW525" s="1358"/>
      <c r="UHX525" s="1358"/>
      <c r="UHY525" s="1358"/>
      <c r="UHZ525" s="1358"/>
      <c r="UIA525" s="1358"/>
      <c r="UIB525" s="1358"/>
      <c r="UIC525" s="1358"/>
      <c r="UID525" s="1358"/>
      <c r="UIE525" s="1358"/>
      <c r="UIF525" s="1358"/>
      <c r="UIG525" s="1358"/>
      <c r="UIH525" s="1358"/>
      <c r="UII525" s="1358"/>
      <c r="UIJ525" s="1358"/>
      <c r="UIK525" s="1358"/>
      <c r="UIL525" s="1358"/>
      <c r="UIM525" s="1358"/>
      <c r="UIN525" s="1358"/>
      <c r="UIO525" s="1358"/>
      <c r="UIP525" s="1358"/>
      <c r="UIQ525" s="1358"/>
      <c r="UIR525" s="1358"/>
      <c r="UIS525" s="1358"/>
      <c r="UIT525" s="1358"/>
      <c r="UIU525" s="1358"/>
      <c r="UIV525" s="1358"/>
      <c r="UIW525" s="1358"/>
      <c r="UIX525" s="1358"/>
      <c r="UIY525" s="1358"/>
      <c r="UIZ525" s="1358"/>
      <c r="UJA525" s="1358"/>
      <c r="UJB525" s="1358"/>
      <c r="UJC525" s="1358"/>
      <c r="UJD525" s="1358"/>
      <c r="UJE525" s="1358"/>
      <c r="UJF525" s="1358"/>
      <c r="UJG525" s="1358"/>
      <c r="UJH525" s="1358"/>
      <c r="UJI525" s="1358"/>
      <c r="UJJ525" s="1358"/>
      <c r="UJK525" s="1358"/>
      <c r="UJL525" s="1358"/>
      <c r="UJM525" s="1358"/>
      <c r="UJN525" s="1358"/>
      <c r="UJO525" s="1358"/>
      <c r="UJP525" s="1358"/>
      <c r="UJQ525" s="1358"/>
      <c r="UJR525" s="1358"/>
      <c r="UJS525" s="1358"/>
      <c r="UJT525" s="1358"/>
      <c r="UJU525" s="1358"/>
      <c r="UJV525" s="1358"/>
      <c r="UJW525" s="1358"/>
      <c r="UJX525" s="1358"/>
      <c r="UJY525" s="1358"/>
      <c r="UJZ525" s="1358"/>
      <c r="UKA525" s="1358"/>
      <c r="UKB525" s="1358"/>
      <c r="UKC525" s="1358"/>
      <c r="UKD525" s="1358"/>
      <c r="UKE525" s="1358"/>
      <c r="UKF525" s="1358"/>
      <c r="UKG525" s="1358"/>
      <c r="UKH525" s="1358"/>
      <c r="UKI525" s="1358"/>
      <c r="UKJ525" s="1358"/>
      <c r="UKK525" s="1358"/>
      <c r="UKL525" s="1358"/>
      <c r="UKM525" s="1358"/>
      <c r="UKN525" s="1358"/>
      <c r="UKO525" s="1358"/>
      <c r="UKP525" s="1358"/>
      <c r="UKQ525" s="1358"/>
      <c r="UKR525" s="1358"/>
      <c r="UKS525" s="1358"/>
      <c r="UKT525" s="1358"/>
      <c r="UKU525" s="1358"/>
      <c r="UKV525" s="1358"/>
      <c r="UKW525" s="1358"/>
      <c r="UKX525" s="1358"/>
      <c r="UKY525" s="1358"/>
      <c r="UKZ525" s="1358"/>
      <c r="ULA525" s="1358"/>
      <c r="ULB525" s="1358"/>
      <c r="ULC525" s="1358"/>
      <c r="ULD525" s="1358"/>
      <c r="ULE525" s="1358"/>
      <c r="ULF525" s="1358"/>
      <c r="ULG525" s="1358"/>
      <c r="ULH525" s="1358"/>
      <c r="ULI525" s="1358"/>
      <c r="ULJ525" s="1358"/>
      <c r="ULK525" s="1358"/>
      <c r="ULL525" s="1358"/>
      <c r="ULM525" s="1358"/>
      <c r="ULN525" s="1358"/>
      <c r="ULO525" s="1358"/>
      <c r="ULP525" s="1358"/>
      <c r="ULQ525" s="1358"/>
      <c r="ULR525" s="1358"/>
      <c r="ULS525" s="1358"/>
      <c r="ULT525" s="1358"/>
      <c r="ULU525" s="1358"/>
      <c r="ULV525" s="1358"/>
      <c r="ULW525" s="1358"/>
      <c r="ULX525" s="1358"/>
      <c r="ULY525" s="1358"/>
      <c r="ULZ525" s="1358"/>
      <c r="UMA525" s="1358"/>
      <c r="UMB525" s="1358"/>
      <c r="UMC525" s="1358"/>
      <c r="UMD525" s="1358"/>
      <c r="UME525" s="1358"/>
      <c r="UMF525" s="1358"/>
      <c r="UMG525" s="1358"/>
      <c r="UMH525" s="1358"/>
      <c r="UMI525" s="1358"/>
      <c r="UMJ525" s="1358"/>
      <c r="UMK525" s="1358"/>
      <c r="UML525" s="1358"/>
      <c r="UMM525" s="1358"/>
      <c r="UMN525" s="1358"/>
      <c r="UMO525" s="1358"/>
      <c r="UMP525" s="1358"/>
      <c r="UMQ525" s="1358"/>
      <c r="UMR525" s="1358"/>
      <c r="UMS525" s="1358"/>
      <c r="UMT525" s="1358"/>
      <c r="UMU525" s="1358"/>
      <c r="UMV525" s="1358"/>
      <c r="UMW525" s="1358"/>
      <c r="UMX525" s="1358"/>
      <c r="UMY525" s="1358"/>
      <c r="UMZ525" s="1358"/>
      <c r="UNA525" s="1358"/>
      <c r="UNB525" s="1358"/>
      <c r="UNC525" s="1358"/>
      <c r="UND525" s="1358"/>
      <c r="UNE525" s="1358"/>
      <c r="UNF525" s="1358"/>
      <c r="UNG525" s="1358"/>
      <c r="UNH525" s="1358"/>
      <c r="UNI525" s="1358"/>
      <c r="UNJ525" s="1358"/>
      <c r="UNK525" s="1358"/>
      <c r="UNL525" s="1358"/>
      <c r="UNM525" s="1358"/>
      <c r="UNN525" s="1358"/>
      <c r="UNO525" s="1358"/>
      <c r="UNP525" s="1358"/>
      <c r="UNQ525" s="1358"/>
      <c r="UNR525" s="1358"/>
      <c r="UNS525" s="1358"/>
      <c r="UNT525" s="1358"/>
      <c r="UNU525" s="1358"/>
      <c r="UNV525" s="1358"/>
      <c r="UNW525" s="1358"/>
      <c r="UNX525" s="1358"/>
      <c r="UNY525" s="1358"/>
      <c r="UNZ525" s="1358"/>
      <c r="UOA525" s="1358"/>
      <c r="UOB525" s="1358"/>
      <c r="UOC525" s="1358"/>
      <c r="UOD525" s="1358"/>
      <c r="UOE525" s="1358"/>
      <c r="UOF525" s="1358"/>
      <c r="UOG525" s="1358"/>
      <c r="UOH525" s="1358"/>
      <c r="UOI525" s="1358"/>
      <c r="UOJ525" s="1358"/>
      <c r="UOK525" s="1358"/>
      <c r="UOL525" s="1358"/>
      <c r="UOM525" s="1358"/>
      <c r="UON525" s="1358"/>
      <c r="UOO525" s="1358"/>
      <c r="UOP525" s="1358"/>
      <c r="UOQ525" s="1358"/>
      <c r="UOR525" s="1358"/>
      <c r="UOS525" s="1358"/>
      <c r="UOT525" s="1358"/>
      <c r="UOU525" s="1358"/>
      <c r="UOV525" s="1358"/>
      <c r="UOW525" s="1358"/>
      <c r="UOX525" s="1358"/>
      <c r="UOY525" s="1358"/>
      <c r="UOZ525" s="1358"/>
      <c r="UPA525" s="1358"/>
      <c r="UPB525" s="1358"/>
      <c r="UPC525" s="1358"/>
      <c r="UPD525" s="1358"/>
      <c r="UPE525" s="1358"/>
      <c r="UPF525" s="1358"/>
      <c r="UPG525" s="1358"/>
      <c r="UPH525" s="1358"/>
      <c r="UPI525" s="1358"/>
      <c r="UPJ525" s="1358"/>
      <c r="UPK525" s="1358"/>
      <c r="UPL525" s="1358"/>
      <c r="UPM525" s="1358"/>
      <c r="UPN525" s="1358"/>
      <c r="UPO525" s="1358"/>
      <c r="UPP525" s="1358"/>
      <c r="UPQ525" s="1358"/>
      <c r="UPR525" s="1358"/>
      <c r="UPS525" s="1358"/>
      <c r="UPT525" s="1358"/>
      <c r="UPU525" s="1358"/>
      <c r="UPV525" s="1358"/>
      <c r="UPW525" s="1358"/>
      <c r="UPX525" s="1358"/>
      <c r="UPY525" s="1358"/>
      <c r="UPZ525" s="1358"/>
      <c r="UQA525" s="1358"/>
      <c r="UQB525" s="1358"/>
      <c r="UQC525" s="1358"/>
      <c r="UQD525" s="1358"/>
      <c r="UQE525" s="1358"/>
      <c r="UQF525" s="1358"/>
      <c r="UQG525" s="1358"/>
      <c r="UQH525" s="1358"/>
      <c r="UQI525" s="1358"/>
      <c r="UQJ525" s="1358"/>
      <c r="UQK525" s="1358"/>
      <c r="UQL525" s="1358"/>
      <c r="UQM525" s="1358"/>
      <c r="UQN525" s="1358"/>
      <c r="UQO525" s="1358"/>
      <c r="UQP525" s="1358"/>
      <c r="UQQ525" s="1358"/>
      <c r="UQR525" s="1358"/>
      <c r="UQS525" s="1358"/>
      <c r="UQT525" s="1358"/>
      <c r="UQU525" s="1358"/>
      <c r="UQV525" s="1358"/>
      <c r="UQW525" s="1358"/>
      <c r="UQX525" s="1358"/>
      <c r="UQY525" s="1358"/>
      <c r="UQZ525" s="1358"/>
      <c r="URA525" s="1358"/>
      <c r="URB525" s="1358"/>
      <c r="URC525" s="1358"/>
      <c r="URD525" s="1358"/>
      <c r="URE525" s="1358"/>
      <c r="URF525" s="1358"/>
      <c r="URG525" s="1358"/>
      <c r="URH525" s="1358"/>
      <c r="URI525" s="1358"/>
      <c r="URJ525" s="1358"/>
      <c r="URK525" s="1358"/>
      <c r="URL525" s="1358"/>
      <c r="URM525" s="1358"/>
      <c r="URN525" s="1358"/>
      <c r="URO525" s="1358"/>
      <c r="URP525" s="1358"/>
      <c r="URQ525" s="1358"/>
      <c r="URR525" s="1358"/>
      <c r="URS525" s="1358"/>
      <c r="URT525" s="1358"/>
      <c r="URU525" s="1358"/>
      <c r="URV525" s="1358"/>
      <c r="URW525" s="1358"/>
      <c r="URX525" s="1358"/>
      <c r="URY525" s="1358"/>
      <c r="URZ525" s="1358"/>
      <c r="USA525" s="1358"/>
      <c r="USB525" s="1358"/>
      <c r="USC525" s="1358"/>
      <c r="USD525" s="1358"/>
      <c r="USE525" s="1358"/>
      <c r="USF525" s="1358"/>
      <c r="USG525" s="1358"/>
      <c r="USH525" s="1358"/>
      <c r="USI525" s="1358"/>
      <c r="USJ525" s="1358"/>
      <c r="USK525" s="1358"/>
      <c r="USL525" s="1358"/>
      <c r="USM525" s="1358"/>
      <c r="USN525" s="1358"/>
      <c r="USO525" s="1358"/>
      <c r="USP525" s="1358"/>
      <c r="USQ525" s="1358"/>
      <c r="USR525" s="1358"/>
      <c r="USS525" s="1358"/>
      <c r="UST525" s="1358"/>
      <c r="USU525" s="1358"/>
      <c r="USV525" s="1358"/>
      <c r="USW525" s="1358"/>
      <c r="USX525" s="1358"/>
      <c r="USY525" s="1358"/>
      <c r="USZ525" s="1358"/>
      <c r="UTA525" s="1358"/>
      <c r="UTB525" s="1358"/>
      <c r="UTC525" s="1358"/>
      <c r="UTD525" s="1358"/>
      <c r="UTE525" s="1358"/>
      <c r="UTF525" s="1358"/>
      <c r="UTG525" s="1358"/>
      <c r="UTH525" s="1358"/>
      <c r="UTI525" s="1358"/>
      <c r="UTJ525" s="1358"/>
      <c r="UTK525" s="1358"/>
      <c r="UTL525" s="1358"/>
      <c r="UTM525" s="1358"/>
      <c r="UTN525" s="1358"/>
      <c r="UTO525" s="1358"/>
      <c r="UTP525" s="1358"/>
      <c r="UTQ525" s="1358"/>
      <c r="UTR525" s="1358"/>
      <c r="UTS525" s="1358"/>
      <c r="UTT525" s="1358"/>
      <c r="UTU525" s="1358"/>
      <c r="UTV525" s="1358"/>
      <c r="UTW525" s="1358"/>
      <c r="UTX525" s="1358"/>
      <c r="UTY525" s="1358"/>
      <c r="UTZ525" s="1358"/>
      <c r="UUA525" s="1358"/>
      <c r="UUB525" s="1358"/>
      <c r="UUC525" s="1358"/>
      <c r="UUD525" s="1358"/>
      <c r="UUE525" s="1358"/>
      <c r="UUF525" s="1358"/>
      <c r="UUG525" s="1358"/>
      <c r="UUH525" s="1358"/>
      <c r="UUI525" s="1358"/>
      <c r="UUJ525" s="1358"/>
      <c r="UUK525" s="1358"/>
      <c r="UUL525" s="1358"/>
      <c r="UUM525" s="1358"/>
      <c r="UUN525" s="1358"/>
      <c r="UUO525" s="1358"/>
      <c r="UUP525" s="1358"/>
      <c r="UUQ525" s="1358"/>
      <c r="UUR525" s="1358"/>
      <c r="UUS525" s="1358"/>
      <c r="UUT525" s="1358"/>
      <c r="UUU525" s="1358"/>
      <c r="UUV525" s="1358"/>
      <c r="UUW525" s="1358"/>
      <c r="UUX525" s="1358"/>
      <c r="UUY525" s="1358"/>
      <c r="UUZ525" s="1358"/>
      <c r="UVA525" s="1358"/>
      <c r="UVB525" s="1358"/>
      <c r="UVC525" s="1358"/>
      <c r="UVD525" s="1358"/>
      <c r="UVE525" s="1358"/>
      <c r="UVF525" s="1358"/>
      <c r="UVG525" s="1358"/>
      <c r="UVH525" s="1358"/>
      <c r="UVI525" s="1358"/>
      <c r="UVJ525" s="1358"/>
      <c r="UVK525" s="1358"/>
      <c r="UVL525" s="1358"/>
      <c r="UVM525" s="1358"/>
      <c r="UVN525" s="1358"/>
      <c r="UVO525" s="1358"/>
      <c r="UVP525" s="1358"/>
      <c r="UVQ525" s="1358"/>
      <c r="UVR525" s="1358"/>
      <c r="UVS525" s="1358"/>
      <c r="UVT525" s="1358"/>
      <c r="UVU525" s="1358"/>
      <c r="UVV525" s="1358"/>
      <c r="UVW525" s="1358"/>
      <c r="UVX525" s="1358"/>
      <c r="UVY525" s="1358"/>
      <c r="UVZ525" s="1358"/>
      <c r="UWA525" s="1358"/>
      <c r="UWB525" s="1358"/>
      <c r="UWC525" s="1358"/>
      <c r="UWD525" s="1358"/>
      <c r="UWE525" s="1358"/>
      <c r="UWF525" s="1358"/>
      <c r="UWG525" s="1358"/>
      <c r="UWH525" s="1358"/>
      <c r="UWI525" s="1358"/>
      <c r="UWJ525" s="1358"/>
      <c r="UWK525" s="1358"/>
      <c r="UWL525" s="1358"/>
      <c r="UWM525" s="1358"/>
      <c r="UWN525" s="1358"/>
      <c r="UWO525" s="1358"/>
      <c r="UWP525" s="1358"/>
      <c r="UWQ525" s="1358"/>
      <c r="UWR525" s="1358"/>
      <c r="UWS525" s="1358"/>
      <c r="UWT525" s="1358"/>
      <c r="UWU525" s="1358"/>
      <c r="UWV525" s="1358"/>
      <c r="UWW525" s="1358"/>
      <c r="UWX525" s="1358"/>
      <c r="UWY525" s="1358"/>
      <c r="UWZ525" s="1358"/>
      <c r="UXA525" s="1358"/>
      <c r="UXB525" s="1358"/>
      <c r="UXC525" s="1358"/>
      <c r="UXD525" s="1358"/>
      <c r="UXE525" s="1358"/>
      <c r="UXF525" s="1358"/>
      <c r="UXG525" s="1358"/>
      <c r="UXH525" s="1358"/>
      <c r="UXI525" s="1358"/>
      <c r="UXJ525" s="1358"/>
      <c r="UXK525" s="1358"/>
      <c r="UXL525" s="1358"/>
      <c r="UXM525" s="1358"/>
      <c r="UXN525" s="1358"/>
      <c r="UXO525" s="1358"/>
      <c r="UXP525" s="1358"/>
      <c r="UXQ525" s="1358"/>
      <c r="UXR525" s="1358"/>
      <c r="UXS525" s="1358"/>
      <c r="UXT525" s="1358"/>
      <c r="UXU525" s="1358"/>
      <c r="UXV525" s="1358"/>
      <c r="UXW525" s="1358"/>
      <c r="UXX525" s="1358"/>
      <c r="UXY525" s="1358"/>
      <c r="UXZ525" s="1358"/>
      <c r="UYA525" s="1358"/>
      <c r="UYB525" s="1358"/>
      <c r="UYC525" s="1358"/>
      <c r="UYD525" s="1358"/>
      <c r="UYE525" s="1358"/>
      <c r="UYF525" s="1358"/>
      <c r="UYG525" s="1358"/>
      <c r="UYH525" s="1358"/>
      <c r="UYI525" s="1358"/>
      <c r="UYJ525" s="1358"/>
      <c r="UYK525" s="1358"/>
      <c r="UYL525" s="1358"/>
      <c r="UYM525" s="1358"/>
      <c r="UYN525" s="1358"/>
      <c r="UYO525" s="1358"/>
      <c r="UYP525" s="1358"/>
      <c r="UYQ525" s="1358"/>
      <c r="UYR525" s="1358"/>
      <c r="UYS525" s="1358"/>
      <c r="UYT525" s="1358"/>
      <c r="UYU525" s="1358"/>
      <c r="UYV525" s="1358"/>
      <c r="UYW525" s="1358"/>
      <c r="UYX525" s="1358"/>
      <c r="UYY525" s="1358"/>
      <c r="UYZ525" s="1358"/>
      <c r="UZA525" s="1358"/>
      <c r="UZB525" s="1358"/>
      <c r="UZC525" s="1358"/>
      <c r="UZD525" s="1358"/>
      <c r="UZE525" s="1358"/>
      <c r="UZF525" s="1358"/>
      <c r="UZG525" s="1358"/>
      <c r="UZH525" s="1358"/>
      <c r="UZI525" s="1358"/>
      <c r="UZJ525" s="1358"/>
      <c r="UZK525" s="1358"/>
      <c r="UZL525" s="1358"/>
      <c r="UZM525" s="1358"/>
      <c r="UZN525" s="1358"/>
      <c r="UZO525" s="1358"/>
      <c r="UZP525" s="1358"/>
      <c r="UZQ525" s="1358"/>
      <c r="UZR525" s="1358"/>
      <c r="UZS525" s="1358"/>
      <c r="UZT525" s="1358"/>
      <c r="UZU525" s="1358"/>
      <c r="UZV525" s="1358"/>
      <c r="UZW525" s="1358"/>
      <c r="UZX525" s="1358"/>
      <c r="UZY525" s="1358"/>
      <c r="UZZ525" s="1358"/>
      <c r="VAA525" s="1358"/>
      <c r="VAB525" s="1358"/>
      <c r="VAC525" s="1358"/>
      <c r="VAD525" s="1358"/>
      <c r="VAE525" s="1358"/>
      <c r="VAF525" s="1358"/>
      <c r="VAG525" s="1358"/>
      <c r="VAH525" s="1358"/>
      <c r="VAI525" s="1358"/>
      <c r="VAJ525" s="1358"/>
      <c r="VAK525" s="1358"/>
      <c r="VAL525" s="1358"/>
      <c r="VAM525" s="1358"/>
      <c r="VAN525" s="1358"/>
      <c r="VAO525" s="1358"/>
      <c r="VAP525" s="1358"/>
      <c r="VAQ525" s="1358"/>
      <c r="VAR525" s="1358"/>
      <c r="VAS525" s="1358"/>
      <c r="VAT525" s="1358"/>
      <c r="VAU525" s="1358"/>
      <c r="VAV525" s="1358"/>
      <c r="VAW525" s="1358"/>
      <c r="VAX525" s="1358"/>
      <c r="VAY525" s="1358"/>
      <c r="VAZ525" s="1358"/>
      <c r="VBA525" s="1358"/>
      <c r="VBB525" s="1358"/>
      <c r="VBC525" s="1358"/>
      <c r="VBD525" s="1358"/>
      <c r="VBE525" s="1358"/>
      <c r="VBF525" s="1358"/>
      <c r="VBG525" s="1358"/>
      <c r="VBH525" s="1358"/>
      <c r="VBI525" s="1358"/>
      <c r="VBJ525" s="1358"/>
      <c r="VBK525" s="1358"/>
      <c r="VBL525" s="1358"/>
      <c r="VBM525" s="1358"/>
      <c r="VBN525" s="1358"/>
      <c r="VBO525" s="1358"/>
      <c r="VBP525" s="1358"/>
      <c r="VBQ525" s="1358"/>
      <c r="VBR525" s="1358"/>
      <c r="VBS525" s="1358"/>
      <c r="VBT525" s="1358"/>
      <c r="VBU525" s="1358"/>
      <c r="VBV525" s="1358"/>
      <c r="VBW525" s="1358"/>
      <c r="VBX525" s="1358"/>
      <c r="VBY525" s="1358"/>
      <c r="VBZ525" s="1358"/>
      <c r="VCA525" s="1358"/>
      <c r="VCB525" s="1358"/>
      <c r="VCC525" s="1358"/>
      <c r="VCD525" s="1358"/>
      <c r="VCE525" s="1358"/>
      <c r="VCF525" s="1358"/>
      <c r="VCG525" s="1358"/>
      <c r="VCH525" s="1358"/>
      <c r="VCI525" s="1358"/>
      <c r="VCJ525" s="1358"/>
      <c r="VCK525" s="1358"/>
      <c r="VCL525" s="1358"/>
      <c r="VCM525" s="1358"/>
      <c r="VCN525" s="1358"/>
      <c r="VCO525" s="1358"/>
      <c r="VCP525" s="1358"/>
      <c r="VCQ525" s="1358"/>
      <c r="VCR525" s="1358"/>
      <c r="VCS525" s="1358"/>
      <c r="VCT525" s="1358"/>
      <c r="VCU525" s="1358"/>
      <c r="VCV525" s="1358"/>
      <c r="VCW525" s="1358"/>
      <c r="VCX525" s="1358"/>
      <c r="VCY525" s="1358"/>
      <c r="VCZ525" s="1358"/>
      <c r="VDA525" s="1358"/>
      <c r="VDB525" s="1358"/>
      <c r="VDC525" s="1358"/>
      <c r="VDD525" s="1358"/>
      <c r="VDE525" s="1358"/>
      <c r="VDF525" s="1358"/>
      <c r="VDG525" s="1358"/>
      <c r="VDH525" s="1358"/>
      <c r="VDI525" s="1358"/>
      <c r="VDJ525" s="1358"/>
      <c r="VDK525" s="1358"/>
      <c r="VDL525" s="1358"/>
      <c r="VDM525" s="1358"/>
      <c r="VDN525" s="1358"/>
      <c r="VDO525" s="1358"/>
      <c r="VDP525" s="1358"/>
      <c r="VDQ525" s="1358"/>
      <c r="VDR525" s="1358"/>
      <c r="VDS525" s="1358"/>
      <c r="VDT525" s="1358"/>
      <c r="VDU525" s="1358"/>
      <c r="VDV525" s="1358"/>
      <c r="VDW525" s="1358"/>
      <c r="VDX525" s="1358"/>
      <c r="VDY525" s="1358"/>
      <c r="VDZ525" s="1358"/>
      <c r="VEA525" s="1358"/>
      <c r="VEB525" s="1358"/>
      <c r="VEC525" s="1358"/>
      <c r="VED525" s="1358"/>
      <c r="VEE525" s="1358"/>
      <c r="VEF525" s="1358"/>
      <c r="VEG525" s="1358"/>
      <c r="VEH525" s="1358"/>
      <c r="VEI525" s="1358"/>
      <c r="VEJ525" s="1358"/>
      <c r="VEK525" s="1358"/>
      <c r="VEL525" s="1358"/>
      <c r="VEM525" s="1358"/>
      <c r="VEN525" s="1358"/>
      <c r="VEO525" s="1358"/>
      <c r="VEP525" s="1358"/>
      <c r="VEQ525" s="1358"/>
      <c r="VER525" s="1358"/>
      <c r="VES525" s="1358"/>
      <c r="VET525" s="1358"/>
      <c r="VEU525" s="1358"/>
      <c r="VEV525" s="1358"/>
      <c r="VEW525" s="1358"/>
      <c r="VEX525" s="1358"/>
      <c r="VEY525" s="1358"/>
      <c r="VEZ525" s="1358"/>
      <c r="VFA525" s="1358"/>
      <c r="VFB525" s="1358"/>
      <c r="VFC525" s="1358"/>
      <c r="VFD525" s="1358"/>
      <c r="VFE525" s="1358"/>
      <c r="VFF525" s="1358"/>
      <c r="VFG525" s="1358"/>
      <c r="VFH525" s="1358"/>
      <c r="VFI525" s="1358"/>
      <c r="VFJ525" s="1358"/>
      <c r="VFK525" s="1358"/>
      <c r="VFL525" s="1358"/>
      <c r="VFM525" s="1358"/>
      <c r="VFN525" s="1358"/>
      <c r="VFO525" s="1358"/>
      <c r="VFP525" s="1358"/>
      <c r="VFQ525" s="1358"/>
      <c r="VFR525" s="1358"/>
      <c r="VFS525" s="1358"/>
      <c r="VFT525" s="1358"/>
      <c r="VFU525" s="1358"/>
      <c r="VFV525" s="1358"/>
      <c r="VFW525" s="1358"/>
      <c r="VFX525" s="1358"/>
      <c r="VFY525" s="1358"/>
      <c r="VFZ525" s="1358"/>
      <c r="VGA525" s="1358"/>
      <c r="VGB525" s="1358"/>
      <c r="VGC525" s="1358"/>
      <c r="VGD525" s="1358"/>
      <c r="VGE525" s="1358"/>
      <c r="VGF525" s="1358"/>
      <c r="VGG525" s="1358"/>
      <c r="VGH525" s="1358"/>
      <c r="VGI525" s="1358"/>
      <c r="VGJ525" s="1358"/>
      <c r="VGK525" s="1358"/>
      <c r="VGL525" s="1358"/>
      <c r="VGM525" s="1358"/>
      <c r="VGN525" s="1358"/>
      <c r="VGO525" s="1358"/>
      <c r="VGP525" s="1358"/>
      <c r="VGQ525" s="1358"/>
      <c r="VGR525" s="1358"/>
      <c r="VGS525" s="1358"/>
      <c r="VGT525" s="1358"/>
      <c r="VGU525" s="1358"/>
      <c r="VGV525" s="1358"/>
      <c r="VGW525" s="1358"/>
      <c r="VGX525" s="1358"/>
      <c r="VGY525" s="1358"/>
      <c r="VGZ525" s="1358"/>
      <c r="VHA525" s="1358"/>
      <c r="VHB525" s="1358"/>
      <c r="VHC525" s="1358"/>
      <c r="VHD525" s="1358"/>
      <c r="VHE525" s="1358"/>
      <c r="VHF525" s="1358"/>
      <c r="VHG525" s="1358"/>
      <c r="VHH525" s="1358"/>
      <c r="VHI525" s="1358"/>
      <c r="VHJ525" s="1358"/>
      <c r="VHK525" s="1358"/>
      <c r="VHL525" s="1358"/>
      <c r="VHM525" s="1358"/>
      <c r="VHN525" s="1358"/>
      <c r="VHO525" s="1358"/>
      <c r="VHP525" s="1358"/>
      <c r="VHQ525" s="1358"/>
      <c r="VHR525" s="1358"/>
      <c r="VHS525" s="1358"/>
      <c r="VHT525" s="1358"/>
      <c r="VHU525" s="1358"/>
      <c r="VHV525" s="1358"/>
      <c r="VHW525" s="1358"/>
      <c r="VHX525" s="1358"/>
      <c r="VHY525" s="1358"/>
      <c r="VHZ525" s="1358"/>
      <c r="VIA525" s="1358"/>
      <c r="VIB525" s="1358"/>
      <c r="VIC525" s="1358"/>
      <c r="VID525" s="1358"/>
      <c r="VIE525" s="1358"/>
      <c r="VIF525" s="1358"/>
      <c r="VIG525" s="1358"/>
      <c r="VIH525" s="1358"/>
      <c r="VII525" s="1358"/>
      <c r="VIJ525" s="1358"/>
      <c r="VIK525" s="1358"/>
      <c r="VIL525" s="1358"/>
      <c r="VIM525" s="1358"/>
      <c r="VIN525" s="1358"/>
      <c r="VIO525" s="1358"/>
      <c r="VIP525" s="1358"/>
      <c r="VIQ525" s="1358"/>
      <c r="VIR525" s="1358"/>
      <c r="VIS525" s="1358"/>
      <c r="VIT525" s="1358"/>
      <c r="VIU525" s="1358"/>
      <c r="VIV525" s="1358"/>
      <c r="VIW525" s="1358"/>
      <c r="VIX525" s="1358"/>
      <c r="VIY525" s="1358"/>
      <c r="VIZ525" s="1358"/>
      <c r="VJA525" s="1358"/>
      <c r="VJB525" s="1358"/>
      <c r="VJC525" s="1358"/>
      <c r="VJD525" s="1358"/>
      <c r="VJE525" s="1358"/>
      <c r="VJF525" s="1358"/>
      <c r="VJG525" s="1358"/>
      <c r="VJH525" s="1358"/>
      <c r="VJI525" s="1358"/>
      <c r="VJJ525" s="1358"/>
      <c r="VJK525" s="1358"/>
      <c r="VJL525" s="1358"/>
      <c r="VJM525" s="1358"/>
      <c r="VJN525" s="1358"/>
      <c r="VJO525" s="1358"/>
      <c r="VJP525" s="1358"/>
      <c r="VJQ525" s="1358"/>
      <c r="VJR525" s="1358"/>
      <c r="VJS525" s="1358"/>
      <c r="VJT525" s="1358"/>
      <c r="VJU525" s="1358"/>
      <c r="VJV525" s="1358"/>
      <c r="VJW525" s="1358"/>
      <c r="VJX525" s="1358"/>
      <c r="VJY525" s="1358"/>
      <c r="VJZ525" s="1358"/>
      <c r="VKA525" s="1358"/>
      <c r="VKB525" s="1358"/>
      <c r="VKC525" s="1358"/>
      <c r="VKD525" s="1358"/>
      <c r="VKE525" s="1358"/>
      <c r="VKF525" s="1358"/>
      <c r="VKG525" s="1358"/>
      <c r="VKH525" s="1358"/>
      <c r="VKI525" s="1358"/>
      <c r="VKJ525" s="1358"/>
      <c r="VKK525" s="1358"/>
      <c r="VKL525" s="1358"/>
      <c r="VKM525" s="1358"/>
      <c r="VKN525" s="1358"/>
      <c r="VKO525" s="1358"/>
      <c r="VKP525" s="1358"/>
      <c r="VKQ525" s="1358"/>
      <c r="VKR525" s="1358"/>
      <c r="VKS525" s="1358"/>
      <c r="VKT525" s="1358"/>
      <c r="VKU525" s="1358"/>
      <c r="VKV525" s="1358"/>
      <c r="VKW525" s="1358"/>
      <c r="VKX525" s="1358"/>
      <c r="VKY525" s="1358"/>
      <c r="VKZ525" s="1358"/>
      <c r="VLA525" s="1358"/>
      <c r="VLB525" s="1358"/>
      <c r="VLC525" s="1358"/>
      <c r="VLD525" s="1358"/>
      <c r="VLE525" s="1358"/>
      <c r="VLF525" s="1358"/>
      <c r="VLG525" s="1358"/>
      <c r="VLH525" s="1358"/>
      <c r="VLI525" s="1358"/>
      <c r="VLJ525" s="1358"/>
      <c r="VLK525" s="1358"/>
      <c r="VLL525" s="1358"/>
      <c r="VLM525" s="1358"/>
      <c r="VLN525" s="1358"/>
      <c r="VLO525" s="1358"/>
      <c r="VLP525" s="1358"/>
      <c r="VLQ525" s="1358"/>
      <c r="VLR525" s="1358"/>
      <c r="VLS525" s="1358"/>
      <c r="VLT525" s="1358"/>
      <c r="VLU525" s="1358"/>
      <c r="VLV525" s="1358"/>
      <c r="VLW525" s="1358"/>
      <c r="VLX525" s="1358"/>
      <c r="VLY525" s="1358"/>
      <c r="VLZ525" s="1358"/>
      <c r="VMA525" s="1358"/>
      <c r="VMB525" s="1358"/>
      <c r="VMC525" s="1358"/>
      <c r="VMD525" s="1358"/>
      <c r="VME525" s="1358"/>
      <c r="VMF525" s="1358"/>
      <c r="VMG525" s="1358"/>
      <c r="VMH525" s="1358"/>
      <c r="VMI525" s="1358"/>
      <c r="VMJ525" s="1358"/>
      <c r="VMK525" s="1358"/>
      <c r="VML525" s="1358"/>
      <c r="VMM525" s="1358"/>
      <c r="VMN525" s="1358"/>
      <c r="VMO525" s="1358"/>
      <c r="VMP525" s="1358"/>
      <c r="VMQ525" s="1358"/>
      <c r="VMR525" s="1358"/>
      <c r="VMS525" s="1358"/>
      <c r="VMT525" s="1358"/>
      <c r="VMU525" s="1358"/>
      <c r="VMV525" s="1358"/>
      <c r="VMW525" s="1358"/>
      <c r="VMX525" s="1358"/>
      <c r="VMY525" s="1358"/>
      <c r="VMZ525" s="1358"/>
      <c r="VNA525" s="1358"/>
      <c r="VNB525" s="1358"/>
      <c r="VNC525" s="1358"/>
      <c r="VND525" s="1358"/>
      <c r="VNE525" s="1358"/>
      <c r="VNF525" s="1358"/>
      <c r="VNG525" s="1358"/>
      <c r="VNH525" s="1358"/>
      <c r="VNI525" s="1358"/>
      <c r="VNJ525" s="1358"/>
      <c r="VNK525" s="1358"/>
      <c r="VNL525" s="1358"/>
      <c r="VNM525" s="1358"/>
      <c r="VNN525" s="1358"/>
      <c r="VNO525" s="1358"/>
      <c r="VNP525" s="1358"/>
      <c r="VNQ525" s="1358"/>
      <c r="VNR525" s="1358"/>
      <c r="VNS525" s="1358"/>
      <c r="VNT525" s="1358"/>
      <c r="VNU525" s="1358"/>
      <c r="VNV525" s="1358"/>
      <c r="VNW525" s="1358"/>
      <c r="VNX525" s="1358"/>
      <c r="VNY525" s="1358"/>
      <c r="VNZ525" s="1358"/>
      <c r="VOA525" s="1358"/>
      <c r="VOB525" s="1358"/>
      <c r="VOC525" s="1358"/>
      <c r="VOD525" s="1358"/>
      <c r="VOE525" s="1358"/>
      <c r="VOF525" s="1358"/>
      <c r="VOG525" s="1358"/>
      <c r="VOH525" s="1358"/>
      <c r="VOI525" s="1358"/>
      <c r="VOJ525" s="1358"/>
      <c r="VOK525" s="1358"/>
      <c r="VOL525" s="1358"/>
      <c r="VOM525" s="1358"/>
      <c r="VON525" s="1358"/>
      <c r="VOO525" s="1358"/>
      <c r="VOP525" s="1358"/>
      <c r="VOQ525" s="1358"/>
      <c r="VOR525" s="1358"/>
      <c r="VOS525" s="1358"/>
      <c r="VOT525" s="1358"/>
      <c r="VOU525" s="1358"/>
      <c r="VOV525" s="1358"/>
      <c r="VOW525" s="1358"/>
      <c r="VOX525" s="1358"/>
      <c r="VOY525" s="1358"/>
      <c r="VOZ525" s="1358"/>
      <c r="VPA525" s="1358"/>
      <c r="VPB525" s="1358"/>
      <c r="VPC525" s="1358"/>
      <c r="VPD525" s="1358"/>
      <c r="VPE525" s="1358"/>
      <c r="VPF525" s="1358"/>
      <c r="VPG525" s="1358"/>
      <c r="VPH525" s="1358"/>
      <c r="VPI525" s="1358"/>
      <c r="VPJ525" s="1358"/>
      <c r="VPK525" s="1358"/>
      <c r="VPL525" s="1358"/>
      <c r="VPM525" s="1358"/>
      <c r="VPN525" s="1358"/>
      <c r="VPO525" s="1358"/>
      <c r="VPP525" s="1358"/>
      <c r="VPQ525" s="1358"/>
      <c r="VPR525" s="1358"/>
      <c r="VPS525" s="1358"/>
      <c r="VPT525" s="1358"/>
      <c r="VPU525" s="1358"/>
      <c r="VPV525" s="1358"/>
      <c r="VPW525" s="1358"/>
      <c r="VPX525" s="1358"/>
      <c r="VPY525" s="1358"/>
      <c r="VPZ525" s="1358"/>
      <c r="VQA525" s="1358"/>
      <c r="VQB525" s="1358"/>
      <c r="VQC525" s="1358"/>
      <c r="VQD525" s="1358"/>
      <c r="VQE525" s="1358"/>
      <c r="VQF525" s="1358"/>
      <c r="VQG525" s="1358"/>
      <c r="VQH525" s="1358"/>
      <c r="VQI525" s="1358"/>
      <c r="VQJ525" s="1358"/>
      <c r="VQK525" s="1358"/>
      <c r="VQL525" s="1358"/>
      <c r="VQM525" s="1358"/>
      <c r="VQN525" s="1358"/>
      <c r="VQO525" s="1358"/>
      <c r="VQP525" s="1358"/>
      <c r="VQQ525" s="1358"/>
      <c r="VQR525" s="1358"/>
      <c r="VQS525" s="1358"/>
      <c r="VQT525" s="1358"/>
      <c r="VQU525" s="1358"/>
      <c r="VQV525" s="1358"/>
      <c r="VQW525" s="1358"/>
      <c r="VQX525" s="1358"/>
      <c r="VQY525" s="1358"/>
      <c r="VQZ525" s="1358"/>
      <c r="VRA525" s="1358"/>
      <c r="VRB525" s="1358"/>
      <c r="VRC525" s="1358"/>
      <c r="VRD525" s="1358"/>
      <c r="VRE525" s="1358"/>
      <c r="VRF525" s="1358"/>
      <c r="VRG525" s="1358"/>
      <c r="VRH525" s="1358"/>
      <c r="VRI525" s="1358"/>
      <c r="VRJ525" s="1358"/>
      <c r="VRK525" s="1358"/>
      <c r="VRL525" s="1358"/>
      <c r="VRM525" s="1358"/>
      <c r="VRN525" s="1358"/>
      <c r="VRO525" s="1358"/>
      <c r="VRP525" s="1358"/>
      <c r="VRQ525" s="1358"/>
      <c r="VRR525" s="1358"/>
      <c r="VRS525" s="1358"/>
      <c r="VRT525" s="1358"/>
      <c r="VRU525" s="1358"/>
      <c r="VRV525" s="1358"/>
      <c r="VRW525" s="1358"/>
      <c r="VRX525" s="1358"/>
      <c r="VRY525" s="1358"/>
      <c r="VRZ525" s="1358"/>
      <c r="VSA525" s="1358"/>
      <c r="VSB525" s="1358"/>
      <c r="VSC525" s="1358"/>
      <c r="VSD525" s="1358"/>
      <c r="VSE525" s="1358"/>
      <c r="VSF525" s="1358"/>
      <c r="VSG525" s="1358"/>
      <c r="VSH525" s="1358"/>
      <c r="VSI525" s="1358"/>
      <c r="VSJ525" s="1358"/>
      <c r="VSK525" s="1358"/>
      <c r="VSL525" s="1358"/>
      <c r="VSM525" s="1358"/>
      <c r="VSN525" s="1358"/>
      <c r="VSO525" s="1358"/>
      <c r="VSP525" s="1358"/>
      <c r="VSQ525" s="1358"/>
      <c r="VSR525" s="1358"/>
      <c r="VSS525" s="1358"/>
      <c r="VST525" s="1358"/>
      <c r="VSU525" s="1358"/>
      <c r="VSV525" s="1358"/>
      <c r="VSW525" s="1358"/>
      <c r="VSX525" s="1358"/>
      <c r="VSY525" s="1358"/>
      <c r="VSZ525" s="1358"/>
      <c r="VTA525" s="1358"/>
      <c r="VTB525" s="1358"/>
      <c r="VTC525" s="1358"/>
      <c r="VTD525" s="1358"/>
      <c r="VTE525" s="1358"/>
      <c r="VTF525" s="1358"/>
      <c r="VTG525" s="1358"/>
      <c r="VTH525" s="1358"/>
      <c r="VTI525" s="1358"/>
      <c r="VTJ525" s="1358"/>
      <c r="VTK525" s="1358"/>
      <c r="VTL525" s="1358"/>
      <c r="VTM525" s="1358"/>
      <c r="VTN525" s="1358"/>
      <c r="VTO525" s="1358"/>
      <c r="VTP525" s="1358"/>
      <c r="VTQ525" s="1358"/>
      <c r="VTR525" s="1358"/>
      <c r="VTS525" s="1358"/>
      <c r="VTT525" s="1358"/>
      <c r="VTU525" s="1358"/>
      <c r="VTV525" s="1358"/>
      <c r="VTW525" s="1358"/>
      <c r="VTX525" s="1358"/>
      <c r="VTY525" s="1358"/>
      <c r="VTZ525" s="1358"/>
      <c r="VUA525" s="1358"/>
      <c r="VUB525" s="1358"/>
      <c r="VUC525" s="1358"/>
      <c r="VUD525" s="1358"/>
      <c r="VUE525" s="1358"/>
      <c r="VUF525" s="1358"/>
      <c r="VUG525" s="1358"/>
      <c r="VUH525" s="1358"/>
      <c r="VUI525" s="1358"/>
      <c r="VUJ525" s="1358"/>
      <c r="VUK525" s="1358"/>
      <c r="VUL525" s="1358"/>
      <c r="VUM525" s="1358"/>
      <c r="VUN525" s="1358"/>
      <c r="VUO525" s="1358"/>
      <c r="VUP525" s="1358"/>
      <c r="VUQ525" s="1358"/>
      <c r="VUR525" s="1358"/>
      <c r="VUS525" s="1358"/>
      <c r="VUT525" s="1358"/>
      <c r="VUU525" s="1358"/>
      <c r="VUV525" s="1358"/>
      <c r="VUW525" s="1358"/>
      <c r="VUX525" s="1358"/>
      <c r="VUY525" s="1358"/>
      <c r="VUZ525" s="1358"/>
      <c r="VVA525" s="1358"/>
      <c r="VVB525" s="1358"/>
      <c r="VVC525" s="1358"/>
      <c r="VVD525" s="1358"/>
      <c r="VVE525" s="1358"/>
      <c r="VVF525" s="1358"/>
      <c r="VVG525" s="1358"/>
      <c r="VVH525" s="1358"/>
      <c r="VVI525" s="1358"/>
      <c r="VVJ525" s="1358"/>
      <c r="VVK525" s="1358"/>
      <c r="VVL525" s="1358"/>
      <c r="VVM525" s="1358"/>
      <c r="VVN525" s="1358"/>
      <c r="VVO525" s="1358"/>
      <c r="VVP525" s="1358"/>
      <c r="VVQ525" s="1358"/>
      <c r="VVR525" s="1358"/>
      <c r="VVS525" s="1358"/>
      <c r="VVT525" s="1358"/>
      <c r="VVU525" s="1358"/>
      <c r="VVV525" s="1358"/>
      <c r="VVW525" s="1358"/>
      <c r="VVX525" s="1358"/>
      <c r="VVY525" s="1358"/>
      <c r="VVZ525" s="1358"/>
      <c r="VWA525" s="1358"/>
      <c r="VWB525" s="1358"/>
      <c r="VWC525" s="1358"/>
      <c r="VWD525" s="1358"/>
      <c r="VWE525" s="1358"/>
      <c r="VWF525" s="1358"/>
      <c r="VWG525" s="1358"/>
      <c r="VWH525" s="1358"/>
      <c r="VWI525" s="1358"/>
      <c r="VWJ525" s="1358"/>
      <c r="VWK525" s="1358"/>
      <c r="VWL525" s="1358"/>
      <c r="VWM525" s="1358"/>
      <c r="VWN525" s="1358"/>
      <c r="VWO525" s="1358"/>
      <c r="VWP525" s="1358"/>
      <c r="VWQ525" s="1358"/>
      <c r="VWR525" s="1358"/>
      <c r="VWS525" s="1358"/>
      <c r="VWT525" s="1358"/>
      <c r="VWU525" s="1358"/>
      <c r="VWV525" s="1358"/>
      <c r="VWW525" s="1358"/>
      <c r="VWX525" s="1358"/>
      <c r="VWY525" s="1358"/>
      <c r="VWZ525" s="1358"/>
      <c r="VXA525" s="1358"/>
      <c r="VXB525" s="1358"/>
      <c r="VXC525" s="1358"/>
      <c r="VXD525" s="1358"/>
      <c r="VXE525" s="1358"/>
      <c r="VXF525" s="1358"/>
      <c r="VXG525" s="1358"/>
      <c r="VXH525" s="1358"/>
      <c r="VXI525" s="1358"/>
      <c r="VXJ525" s="1358"/>
      <c r="VXK525" s="1358"/>
      <c r="VXL525" s="1358"/>
      <c r="VXM525" s="1358"/>
      <c r="VXN525" s="1358"/>
      <c r="VXO525" s="1358"/>
      <c r="VXP525" s="1358"/>
      <c r="VXQ525" s="1358"/>
      <c r="VXR525" s="1358"/>
      <c r="VXS525" s="1358"/>
      <c r="VXT525" s="1358"/>
      <c r="VXU525" s="1358"/>
      <c r="VXV525" s="1358"/>
      <c r="VXW525" s="1358"/>
      <c r="VXX525" s="1358"/>
      <c r="VXY525" s="1358"/>
      <c r="VXZ525" s="1358"/>
      <c r="VYA525" s="1358"/>
      <c r="VYB525" s="1358"/>
      <c r="VYC525" s="1358"/>
      <c r="VYD525" s="1358"/>
      <c r="VYE525" s="1358"/>
      <c r="VYF525" s="1358"/>
      <c r="VYG525" s="1358"/>
      <c r="VYH525" s="1358"/>
      <c r="VYI525" s="1358"/>
      <c r="VYJ525" s="1358"/>
      <c r="VYK525" s="1358"/>
      <c r="VYL525" s="1358"/>
      <c r="VYM525" s="1358"/>
      <c r="VYN525" s="1358"/>
      <c r="VYO525" s="1358"/>
      <c r="VYP525" s="1358"/>
      <c r="VYQ525" s="1358"/>
      <c r="VYR525" s="1358"/>
      <c r="VYS525" s="1358"/>
      <c r="VYT525" s="1358"/>
      <c r="VYU525" s="1358"/>
      <c r="VYV525" s="1358"/>
      <c r="VYW525" s="1358"/>
      <c r="VYX525" s="1358"/>
      <c r="VYY525" s="1358"/>
      <c r="VYZ525" s="1358"/>
      <c r="VZA525" s="1358"/>
      <c r="VZB525" s="1358"/>
      <c r="VZC525" s="1358"/>
      <c r="VZD525" s="1358"/>
      <c r="VZE525" s="1358"/>
      <c r="VZF525" s="1358"/>
      <c r="VZG525" s="1358"/>
      <c r="VZH525" s="1358"/>
      <c r="VZI525" s="1358"/>
      <c r="VZJ525" s="1358"/>
      <c r="VZK525" s="1358"/>
      <c r="VZL525" s="1358"/>
      <c r="VZM525" s="1358"/>
      <c r="VZN525" s="1358"/>
      <c r="VZO525" s="1358"/>
      <c r="VZP525" s="1358"/>
      <c r="VZQ525" s="1358"/>
      <c r="VZR525" s="1358"/>
      <c r="VZS525" s="1358"/>
      <c r="VZT525" s="1358"/>
      <c r="VZU525" s="1358"/>
      <c r="VZV525" s="1358"/>
      <c r="VZW525" s="1358"/>
      <c r="VZX525" s="1358"/>
      <c r="VZY525" s="1358"/>
      <c r="VZZ525" s="1358"/>
      <c r="WAA525" s="1358"/>
      <c r="WAB525" s="1358"/>
      <c r="WAC525" s="1358"/>
      <c r="WAD525" s="1358"/>
      <c r="WAE525" s="1358"/>
      <c r="WAF525" s="1358"/>
      <c r="WAG525" s="1358"/>
      <c r="WAH525" s="1358"/>
      <c r="WAI525" s="1358"/>
      <c r="WAJ525" s="1358"/>
      <c r="WAK525" s="1358"/>
      <c r="WAL525" s="1358"/>
      <c r="WAM525" s="1358"/>
      <c r="WAN525" s="1358"/>
      <c r="WAO525" s="1358"/>
      <c r="WAP525" s="1358"/>
      <c r="WAQ525" s="1358"/>
      <c r="WAR525" s="1358"/>
      <c r="WAS525" s="1358"/>
      <c r="WAT525" s="1358"/>
      <c r="WAU525" s="1358"/>
      <c r="WAV525" s="1358"/>
      <c r="WAW525" s="1358"/>
      <c r="WAX525" s="1358"/>
      <c r="WAY525" s="1358"/>
      <c r="WAZ525" s="1358"/>
      <c r="WBA525" s="1358"/>
      <c r="WBB525" s="1358"/>
      <c r="WBC525" s="1358"/>
      <c r="WBD525" s="1358"/>
      <c r="WBE525" s="1358"/>
      <c r="WBF525" s="1358"/>
      <c r="WBG525" s="1358"/>
      <c r="WBH525" s="1358"/>
      <c r="WBI525" s="1358"/>
      <c r="WBJ525" s="1358"/>
      <c r="WBK525" s="1358"/>
      <c r="WBL525" s="1358"/>
      <c r="WBM525" s="1358"/>
      <c r="WBN525" s="1358"/>
      <c r="WBO525" s="1358"/>
      <c r="WBP525" s="1358"/>
      <c r="WBQ525" s="1358"/>
      <c r="WBR525" s="1358"/>
      <c r="WBS525" s="1358"/>
      <c r="WBT525" s="1358"/>
      <c r="WBU525" s="1358"/>
      <c r="WBV525" s="1358"/>
      <c r="WBW525" s="1358"/>
      <c r="WBX525" s="1358"/>
      <c r="WBY525" s="1358"/>
      <c r="WBZ525" s="1358"/>
      <c r="WCA525" s="1358"/>
      <c r="WCB525" s="1358"/>
      <c r="WCC525" s="1358"/>
      <c r="WCD525" s="1358"/>
      <c r="WCE525" s="1358"/>
      <c r="WCF525" s="1358"/>
      <c r="WCG525" s="1358"/>
      <c r="WCH525" s="1358"/>
      <c r="WCI525" s="1358"/>
      <c r="WCJ525" s="1358"/>
      <c r="WCK525" s="1358"/>
      <c r="WCL525" s="1358"/>
      <c r="WCM525" s="1358"/>
      <c r="WCN525" s="1358"/>
      <c r="WCO525" s="1358"/>
      <c r="WCP525" s="1358"/>
      <c r="WCQ525" s="1358"/>
      <c r="WCR525" s="1358"/>
      <c r="WCS525" s="1358"/>
      <c r="WCT525" s="1358"/>
      <c r="WCU525" s="1358"/>
      <c r="WCV525" s="1358"/>
      <c r="WCW525" s="1358"/>
      <c r="WCX525" s="1358"/>
      <c r="WCY525" s="1358"/>
      <c r="WCZ525" s="1358"/>
      <c r="WDA525" s="1358"/>
      <c r="WDB525" s="1358"/>
      <c r="WDC525" s="1358"/>
      <c r="WDD525" s="1358"/>
      <c r="WDE525" s="1358"/>
      <c r="WDF525" s="1358"/>
      <c r="WDG525" s="1358"/>
      <c r="WDH525" s="1358"/>
      <c r="WDI525" s="1358"/>
      <c r="WDJ525" s="1358"/>
      <c r="WDK525" s="1358"/>
      <c r="WDL525" s="1358"/>
      <c r="WDM525" s="1358"/>
      <c r="WDN525" s="1358"/>
      <c r="WDO525" s="1358"/>
      <c r="WDP525" s="1358"/>
      <c r="WDQ525" s="1358"/>
      <c r="WDR525" s="1358"/>
      <c r="WDS525" s="1358"/>
      <c r="WDT525" s="1358"/>
      <c r="WDU525" s="1358"/>
      <c r="WDV525" s="1358"/>
      <c r="WDW525" s="1358"/>
      <c r="WDX525" s="1358"/>
      <c r="WDY525" s="1358"/>
      <c r="WDZ525" s="1358"/>
      <c r="WEA525" s="1358"/>
      <c r="WEB525" s="1358"/>
      <c r="WEC525" s="1358"/>
      <c r="WED525" s="1358"/>
      <c r="WEE525" s="1358"/>
      <c r="WEF525" s="1358"/>
      <c r="WEG525" s="1358"/>
      <c r="WEH525" s="1358"/>
      <c r="WEI525" s="1358"/>
      <c r="WEJ525" s="1358"/>
      <c r="WEK525" s="1358"/>
      <c r="WEL525" s="1358"/>
      <c r="WEM525" s="1358"/>
      <c r="WEN525" s="1358"/>
      <c r="WEO525" s="1358"/>
      <c r="WEP525" s="1358"/>
      <c r="WEQ525" s="1358"/>
      <c r="WER525" s="1358"/>
      <c r="WES525" s="1358"/>
      <c r="WET525" s="1358"/>
      <c r="WEU525" s="1358"/>
      <c r="WEV525" s="1358"/>
      <c r="WEW525" s="1358"/>
      <c r="WEX525" s="1358"/>
      <c r="WEY525" s="1358"/>
      <c r="WEZ525" s="1358"/>
      <c r="WFA525" s="1358"/>
      <c r="WFB525" s="1358"/>
      <c r="WFC525" s="1358"/>
      <c r="WFD525" s="1358"/>
      <c r="WFE525" s="1358"/>
      <c r="WFF525" s="1358"/>
      <c r="WFG525" s="1358"/>
      <c r="WFH525" s="1358"/>
      <c r="WFI525" s="1358"/>
      <c r="WFJ525" s="1358"/>
      <c r="WFK525" s="1358"/>
      <c r="WFL525" s="1358"/>
      <c r="WFM525" s="1358"/>
      <c r="WFN525" s="1358"/>
      <c r="WFO525" s="1358"/>
      <c r="WFP525" s="1358"/>
      <c r="WFQ525" s="1358"/>
      <c r="WFR525" s="1358"/>
      <c r="WFS525" s="1358"/>
      <c r="WFT525" s="1358"/>
      <c r="WFU525" s="1358"/>
      <c r="WFV525" s="1358"/>
      <c r="WFW525" s="1358"/>
      <c r="WFX525" s="1358"/>
      <c r="WFY525" s="1358"/>
      <c r="WFZ525" s="1358"/>
      <c r="WGA525" s="1358"/>
      <c r="WGB525" s="1358"/>
      <c r="WGC525" s="1358"/>
      <c r="WGD525" s="1358"/>
      <c r="WGE525" s="1358"/>
      <c r="WGF525" s="1358"/>
      <c r="WGG525" s="1358"/>
      <c r="WGH525" s="1358"/>
      <c r="WGI525" s="1358"/>
      <c r="WGJ525" s="1358"/>
      <c r="WGK525" s="1358"/>
      <c r="WGL525" s="1358"/>
      <c r="WGM525" s="1358"/>
      <c r="WGN525" s="1358"/>
      <c r="WGO525" s="1358"/>
      <c r="WGP525" s="1358"/>
      <c r="WGQ525" s="1358"/>
      <c r="WGR525" s="1358"/>
      <c r="WGS525" s="1358"/>
      <c r="WGT525" s="1358"/>
      <c r="WGU525" s="1358"/>
      <c r="WGV525" s="1358"/>
      <c r="WGW525" s="1358"/>
      <c r="WGX525" s="1358"/>
      <c r="WGY525" s="1358"/>
      <c r="WGZ525" s="1358"/>
      <c r="WHA525" s="1358"/>
      <c r="WHB525" s="1358"/>
      <c r="WHC525" s="1358"/>
      <c r="WHD525" s="1358"/>
      <c r="WHE525" s="1358"/>
      <c r="WHF525" s="1358"/>
      <c r="WHG525" s="1358"/>
      <c r="WHH525" s="1358"/>
      <c r="WHI525" s="1358"/>
      <c r="WHJ525" s="1358"/>
      <c r="WHK525" s="1358"/>
      <c r="WHL525" s="1358"/>
      <c r="WHM525" s="1358"/>
      <c r="WHN525" s="1358"/>
      <c r="WHO525" s="1358"/>
      <c r="WHP525" s="1358"/>
      <c r="WHQ525" s="1358"/>
      <c r="WHR525" s="1358"/>
      <c r="WHS525" s="1358"/>
      <c r="WHT525" s="1358"/>
      <c r="WHU525" s="1358"/>
      <c r="WHV525" s="1358"/>
      <c r="WHW525" s="1358"/>
      <c r="WHX525" s="1358"/>
      <c r="WHY525" s="1358"/>
      <c r="WHZ525" s="1358"/>
      <c r="WIA525" s="1358"/>
      <c r="WIB525" s="1358"/>
      <c r="WIC525" s="1358"/>
      <c r="WID525" s="1358"/>
      <c r="WIE525" s="1358"/>
      <c r="WIF525" s="1358"/>
      <c r="WIG525" s="1358"/>
      <c r="WIH525" s="1358"/>
      <c r="WII525" s="1358"/>
      <c r="WIJ525" s="1358"/>
      <c r="WIK525" s="1358"/>
      <c r="WIL525" s="1358"/>
      <c r="WIM525" s="1358"/>
      <c r="WIN525" s="1358"/>
      <c r="WIO525" s="1358"/>
      <c r="WIP525" s="1358"/>
      <c r="WIQ525" s="1358"/>
      <c r="WIR525" s="1358"/>
      <c r="WIS525" s="1358"/>
      <c r="WIT525" s="1358"/>
      <c r="WIU525" s="1358"/>
      <c r="WIV525" s="1358"/>
      <c r="WIW525" s="1358"/>
      <c r="WIX525" s="1358"/>
      <c r="WIY525" s="1358"/>
      <c r="WIZ525" s="1358"/>
      <c r="WJA525" s="1358"/>
      <c r="WJB525" s="1358"/>
      <c r="WJC525" s="1358"/>
      <c r="WJD525" s="1358"/>
      <c r="WJE525" s="1358"/>
      <c r="WJF525" s="1358"/>
      <c r="WJG525" s="1358"/>
      <c r="WJH525" s="1358"/>
      <c r="WJI525" s="1358"/>
      <c r="WJJ525" s="1358"/>
      <c r="WJK525" s="1358"/>
      <c r="WJL525" s="1358"/>
      <c r="WJM525" s="1358"/>
      <c r="WJN525" s="1358"/>
      <c r="WJO525" s="1358"/>
      <c r="WJP525" s="1358"/>
      <c r="WJQ525" s="1358"/>
      <c r="WJR525" s="1358"/>
      <c r="WJS525" s="1358"/>
      <c r="WJT525" s="1358"/>
      <c r="WJU525" s="1358"/>
      <c r="WJV525" s="1358"/>
      <c r="WJW525" s="1358"/>
      <c r="WJX525" s="1358"/>
      <c r="WJY525" s="1358"/>
      <c r="WJZ525" s="1358"/>
      <c r="WKA525" s="1358"/>
      <c r="WKB525" s="1358"/>
      <c r="WKC525" s="1358"/>
      <c r="WKD525" s="1358"/>
      <c r="WKE525" s="1358"/>
      <c r="WKF525" s="1358"/>
      <c r="WKG525" s="1358"/>
      <c r="WKH525" s="1358"/>
      <c r="WKI525" s="1358"/>
      <c r="WKJ525" s="1358"/>
      <c r="WKK525" s="1358"/>
      <c r="WKL525" s="1358"/>
      <c r="WKM525" s="1358"/>
      <c r="WKN525" s="1358"/>
      <c r="WKO525" s="1358"/>
      <c r="WKP525" s="1358"/>
      <c r="WKQ525" s="1358"/>
      <c r="WKR525" s="1358"/>
      <c r="WKS525" s="1358"/>
      <c r="WKT525" s="1358"/>
      <c r="WKU525" s="1358"/>
      <c r="WKV525" s="1358"/>
      <c r="WKW525" s="1358"/>
      <c r="WKX525" s="1358"/>
      <c r="WKY525" s="1358"/>
      <c r="WKZ525" s="1358"/>
      <c r="WLA525" s="1358"/>
      <c r="WLB525" s="1358"/>
      <c r="WLC525" s="1358"/>
      <c r="WLD525" s="1358"/>
      <c r="WLE525" s="1358"/>
      <c r="WLF525" s="1358"/>
      <c r="WLG525" s="1358"/>
      <c r="WLH525" s="1358"/>
      <c r="WLI525" s="1358"/>
      <c r="WLJ525" s="1358"/>
      <c r="WLK525" s="1358"/>
      <c r="WLL525" s="1358"/>
      <c r="WLM525" s="1358"/>
      <c r="WLN525" s="1358"/>
      <c r="WLO525" s="1358"/>
      <c r="WLP525" s="1358"/>
      <c r="WLQ525" s="1358"/>
      <c r="WLR525" s="1358"/>
      <c r="WLS525" s="1358"/>
      <c r="WLT525" s="1358"/>
      <c r="WLU525" s="1358"/>
      <c r="WLV525" s="1358"/>
      <c r="WLW525" s="1358"/>
      <c r="WLX525" s="1358"/>
      <c r="WLY525" s="1358"/>
      <c r="WLZ525" s="1358"/>
      <c r="WMA525" s="1358"/>
      <c r="WMB525" s="1358"/>
      <c r="WMC525" s="1358"/>
      <c r="WMD525" s="1358"/>
      <c r="WME525" s="1358"/>
      <c r="WMF525" s="1358"/>
      <c r="WMG525" s="1358"/>
      <c r="WMH525" s="1358"/>
      <c r="WMI525" s="1358"/>
      <c r="WMJ525" s="1358"/>
      <c r="WMK525" s="1358"/>
      <c r="WML525" s="1358"/>
      <c r="WMM525" s="1358"/>
      <c r="WMN525" s="1358"/>
      <c r="WMO525" s="1358"/>
      <c r="WMP525" s="1358"/>
      <c r="WMQ525" s="1358"/>
      <c r="WMR525" s="1358"/>
      <c r="WMS525" s="1358"/>
      <c r="WMT525" s="1358"/>
      <c r="WMU525" s="1358"/>
      <c r="WMV525" s="1358"/>
      <c r="WMW525" s="1358"/>
      <c r="WMX525" s="1358"/>
      <c r="WMY525" s="1358"/>
      <c r="WMZ525" s="1358"/>
      <c r="WNA525" s="1358"/>
      <c r="WNB525" s="1358"/>
      <c r="WNC525" s="1358"/>
      <c r="WND525" s="1358"/>
      <c r="WNE525" s="1358"/>
      <c r="WNF525" s="1358"/>
      <c r="WNG525" s="1358"/>
      <c r="WNH525" s="1358"/>
      <c r="WNI525" s="1358"/>
      <c r="WNJ525" s="1358"/>
      <c r="WNK525" s="1358"/>
      <c r="WNL525" s="1358"/>
      <c r="WNM525" s="1358"/>
      <c r="WNN525" s="1358"/>
      <c r="WNO525" s="1358"/>
      <c r="WNP525" s="1358"/>
      <c r="WNQ525" s="1358"/>
      <c r="WNR525" s="1358"/>
      <c r="WNS525" s="1358"/>
      <c r="WNT525" s="1358"/>
      <c r="WNU525" s="1358"/>
      <c r="WNV525" s="1358"/>
      <c r="WNW525" s="1358"/>
      <c r="WNX525" s="1358"/>
      <c r="WNY525" s="1358"/>
      <c r="WNZ525" s="1358"/>
      <c r="WOA525" s="1358"/>
      <c r="WOB525" s="1358"/>
      <c r="WOC525" s="1358"/>
      <c r="WOD525" s="1358"/>
      <c r="WOE525" s="1358"/>
      <c r="WOF525" s="1358"/>
      <c r="WOG525" s="1358"/>
      <c r="WOH525" s="1358"/>
      <c r="WOI525" s="1358"/>
      <c r="WOJ525" s="1358"/>
      <c r="WOK525" s="1358"/>
      <c r="WOL525" s="1358"/>
      <c r="WOM525" s="1358"/>
      <c r="WON525" s="1358"/>
      <c r="WOO525" s="1358"/>
      <c r="WOP525" s="1358"/>
      <c r="WOQ525" s="1358"/>
      <c r="WOR525" s="1358"/>
      <c r="WOS525" s="1358"/>
      <c r="WOT525" s="1358"/>
      <c r="WOU525" s="1358"/>
      <c r="WOV525" s="1358"/>
      <c r="WOW525" s="1358"/>
      <c r="WOX525" s="1358"/>
      <c r="WOY525" s="1358"/>
      <c r="WOZ525" s="1358"/>
      <c r="WPA525" s="1358"/>
      <c r="WPB525" s="1358"/>
      <c r="WPC525" s="1358"/>
      <c r="WPD525" s="1358"/>
      <c r="WPE525" s="1358"/>
      <c r="WPF525" s="1358"/>
      <c r="WPG525" s="1358"/>
      <c r="WPH525" s="1358"/>
      <c r="WPI525" s="1358"/>
      <c r="WPJ525" s="1358"/>
      <c r="WPK525" s="1358"/>
      <c r="WPL525" s="1358"/>
      <c r="WPM525" s="1358"/>
      <c r="WPN525" s="1358"/>
      <c r="WPO525" s="1358"/>
      <c r="WPP525" s="1358"/>
      <c r="WPQ525" s="1358"/>
      <c r="WPR525" s="1358"/>
      <c r="WPS525" s="1358"/>
      <c r="WPT525" s="1358"/>
      <c r="WPU525" s="1358"/>
      <c r="WPV525" s="1358"/>
      <c r="WPW525" s="1358"/>
      <c r="WPX525" s="1358"/>
      <c r="WPY525" s="1358"/>
      <c r="WPZ525" s="1358"/>
      <c r="WQA525" s="1358"/>
      <c r="WQB525" s="1358"/>
      <c r="WQC525" s="1358"/>
      <c r="WQD525" s="1358"/>
      <c r="WQE525" s="1358"/>
      <c r="WQF525" s="1358"/>
      <c r="WQG525" s="1358"/>
      <c r="WQH525" s="1358"/>
      <c r="WQI525" s="1358"/>
      <c r="WQJ525" s="1358"/>
      <c r="WQK525" s="1358"/>
      <c r="WQL525" s="1358"/>
      <c r="WQM525" s="1358"/>
      <c r="WQN525" s="1358"/>
      <c r="WQO525" s="1358"/>
      <c r="WQP525" s="1358"/>
      <c r="WQQ525" s="1358"/>
      <c r="WQR525" s="1358"/>
      <c r="WQS525" s="1358"/>
      <c r="WQT525" s="1358"/>
      <c r="WQU525" s="1358"/>
      <c r="WQV525" s="1358"/>
      <c r="WQW525" s="1358"/>
      <c r="WQX525" s="1358"/>
      <c r="WQY525" s="1358"/>
      <c r="WQZ525" s="1358"/>
      <c r="WRA525" s="1358"/>
      <c r="WRB525" s="1358"/>
      <c r="WRC525" s="1358"/>
      <c r="WRD525" s="1358"/>
      <c r="WRE525" s="1358"/>
      <c r="WRF525" s="1358"/>
      <c r="WRG525" s="1358"/>
      <c r="WRH525" s="1358"/>
      <c r="WRI525" s="1358"/>
      <c r="WRJ525" s="1359"/>
      <c r="WRK525" s="1360"/>
      <c r="WRL525" s="1361"/>
      <c r="WRM525" s="1362"/>
      <c r="WRN525" s="1368"/>
      <c r="WRO525" s="1363"/>
      <c r="WRP525" s="1364"/>
      <c r="WRQ525" s="1365"/>
      <c r="WRR525" s="1364"/>
      <c r="WRS525" s="1366"/>
      <c r="WRT525" s="1367"/>
      <c r="WRU525" s="1363"/>
      <c r="WRV525" s="1363"/>
      <c r="WRW525" s="1363"/>
      <c r="WRX525" s="1358"/>
      <c r="WRY525" s="1358"/>
      <c r="WRZ525" s="1358"/>
      <c r="WSA525" s="1358"/>
      <c r="WSB525" s="1359"/>
      <c r="WSC525" s="1360"/>
      <c r="WSD525" s="1361"/>
      <c r="WSE525" s="1362"/>
      <c r="WSF525" s="1368"/>
      <c r="WSG525" s="1363"/>
      <c r="WSH525" s="1364"/>
      <c r="WSI525" s="1365"/>
      <c r="WSJ525" s="1364"/>
      <c r="WSK525" s="1366"/>
      <c r="WSL525" s="1367"/>
      <c r="WSM525" s="1363"/>
      <c r="WSN525" s="1363"/>
      <c r="WSO525" s="1363"/>
      <c r="WSP525" s="1358"/>
      <c r="WSQ525" s="1358"/>
      <c r="WSR525" s="1358"/>
      <c r="WSS525" s="1358"/>
      <c r="WST525" s="1359"/>
      <c r="WSU525" s="1360"/>
      <c r="WSV525" s="1361"/>
      <c r="WSW525" s="1362"/>
      <c r="WSX525" s="1368"/>
      <c r="WSY525" s="1363"/>
      <c r="WSZ525" s="1364"/>
      <c r="WTA525" s="1365"/>
      <c r="WTB525" s="1364"/>
      <c r="WTC525" s="1366"/>
      <c r="WTD525" s="1367"/>
      <c r="WTE525" s="1363"/>
      <c r="WTF525" s="1363"/>
      <c r="WTG525" s="1363"/>
      <c r="WTH525" s="1358"/>
      <c r="WTI525" s="1358"/>
      <c r="WTJ525" s="1358"/>
      <c r="WTK525" s="1358"/>
      <c r="WTL525" s="1359"/>
      <c r="WTM525" s="1360"/>
      <c r="WTN525" s="1361"/>
      <c r="WTO525" s="1362"/>
      <c r="WTP525" s="1368"/>
      <c r="WTQ525" s="1363"/>
      <c r="WTR525" s="1364"/>
      <c r="WTS525" s="1365"/>
      <c r="WTT525" s="1364"/>
      <c r="WTU525" s="1366"/>
      <c r="WTV525" s="1367"/>
      <c r="WTW525" s="1363"/>
      <c r="WTX525" s="1363"/>
      <c r="WTY525" s="1363"/>
      <c r="WTZ525" s="1358"/>
      <c r="WUA525" s="1358"/>
      <c r="WUB525" s="1358"/>
      <c r="WUC525" s="1358"/>
      <c r="WUD525" s="1359"/>
      <c r="WUE525" s="1360"/>
      <c r="WUF525" s="1361"/>
      <c r="WUG525" s="1362"/>
      <c r="WUH525" s="1368"/>
      <c r="WUI525" s="1363"/>
      <c r="WUJ525" s="1364"/>
      <c r="WUK525" s="1365"/>
      <c r="WUL525" s="1364"/>
      <c r="WUM525" s="1366"/>
      <c r="WUN525" s="1367"/>
      <c r="WUO525" s="1363"/>
      <c r="WUP525" s="1363"/>
      <c r="WUQ525" s="1363"/>
      <c r="WUR525" s="1358"/>
      <c r="WUS525" s="1358"/>
      <c r="WUT525" s="1358"/>
      <c r="WUU525" s="1358"/>
      <c r="WUV525" s="1359"/>
      <c r="WUW525" s="1360"/>
      <c r="WUX525" s="1361"/>
      <c r="WUY525" s="1362"/>
      <c r="WUZ525" s="1368"/>
      <c r="WVA525" s="1363"/>
      <c r="WVB525" s="1364"/>
      <c r="WVC525" s="1365"/>
      <c r="WVD525" s="1364"/>
      <c r="WVE525" s="1366"/>
      <c r="WVF525" s="1367"/>
      <c r="WVG525" s="1363"/>
      <c r="WVH525" s="1363"/>
      <c r="WVI525" s="1363"/>
      <c r="WVJ525" s="1358"/>
      <c r="WVK525" s="1358"/>
      <c r="WVL525" s="1358"/>
      <c r="WVM525" s="1358"/>
      <c r="WVN525" s="1359"/>
      <c r="WVO525" s="1360"/>
      <c r="WVP525" s="1361"/>
      <c r="WVQ525" s="1362"/>
      <c r="WVR525" s="1368"/>
      <c r="WVS525" s="1363"/>
      <c r="WVT525" s="1364"/>
      <c r="WVU525" s="1365"/>
      <c r="WVV525" s="1364"/>
      <c r="WVW525" s="1366"/>
      <c r="WVX525" s="1367"/>
      <c r="WVY525" s="1363"/>
      <c r="WVZ525" s="1363"/>
      <c r="WWA525" s="1363"/>
      <c r="WWB525" s="1358"/>
      <c r="WWC525" s="1358"/>
      <c r="WWD525" s="1358"/>
      <c r="WWE525" s="1358"/>
      <c r="WWF525" s="1359"/>
      <c r="WWG525" s="1360"/>
      <c r="WWH525" s="1361"/>
      <c r="WWI525" s="1362"/>
      <c r="WWJ525" s="1368"/>
      <c r="WWK525" s="1363"/>
      <c r="WWL525" s="1364"/>
      <c r="WWM525" s="1365"/>
      <c r="WWN525" s="1364"/>
      <c r="WWO525" s="1366"/>
      <c r="WWP525" s="1367"/>
      <c r="WWQ525" s="1363"/>
      <c r="WWR525" s="1363"/>
      <c r="WWS525" s="1363"/>
      <c r="WWT525" s="1358"/>
      <c r="WWU525" s="1358"/>
      <c r="WWV525" s="1358"/>
      <c r="WWW525" s="1358"/>
      <c r="WWX525" s="1359"/>
      <c r="WWY525" s="1360"/>
      <c r="WWZ525" s="1361"/>
      <c r="WXA525" s="1362"/>
      <c r="WXB525" s="1368"/>
      <c r="WXC525" s="1363"/>
      <c r="WXD525" s="1364"/>
      <c r="WXE525" s="1365"/>
      <c r="WXF525" s="1364"/>
      <c r="WXG525" s="1366"/>
      <c r="WXH525" s="1367"/>
      <c r="WXI525" s="1363"/>
      <c r="WXJ525" s="1363"/>
      <c r="WXK525" s="1363"/>
      <c r="WXL525" s="1358"/>
      <c r="WXM525" s="1358"/>
      <c r="WXN525" s="1358"/>
      <c r="WXO525" s="1358"/>
      <c r="WXP525" s="1359"/>
      <c r="WXQ525" s="1360"/>
      <c r="WXR525" s="1361"/>
      <c r="WXS525" s="1362"/>
      <c r="WXT525" s="1368"/>
      <c r="WXU525" s="1363"/>
      <c r="WXV525" s="1364"/>
      <c r="WXW525" s="1365"/>
      <c r="WXX525" s="1364"/>
      <c r="WXY525" s="1366"/>
      <c r="WXZ525" s="1367"/>
      <c r="WYA525" s="1363"/>
      <c r="WYB525" s="1363"/>
      <c r="WYC525" s="1363"/>
      <c r="WYD525" s="1358"/>
      <c r="WYE525" s="1358"/>
      <c r="WYF525" s="1358"/>
      <c r="WYG525" s="1358"/>
      <c r="WYH525" s="1359"/>
      <c r="WYI525" s="1360"/>
      <c r="WYJ525" s="1361"/>
      <c r="WYK525" s="1362"/>
      <c r="WYL525" s="1368"/>
      <c r="WYM525" s="1363"/>
      <c r="WYN525" s="1364"/>
      <c r="WYO525" s="1365"/>
      <c r="WYP525" s="1364"/>
      <c r="WYQ525" s="1366"/>
      <c r="WYR525" s="1367"/>
      <c r="WYS525" s="1363"/>
      <c r="WYT525" s="1363"/>
      <c r="WYU525" s="1363"/>
      <c r="WYV525" s="1358"/>
      <c r="WYW525" s="1358"/>
      <c r="WYX525" s="1358"/>
      <c r="WYY525" s="1358"/>
      <c r="WYZ525" s="1359"/>
      <c r="WZA525" s="1360"/>
      <c r="WZB525" s="1361"/>
      <c r="WZC525" s="1362"/>
      <c r="WZD525" s="1368"/>
      <c r="WZE525" s="1363"/>
      <c r="WZF525" s="1364"/>
      <c r="WZG525" s="1365"/>
      <c r="WZH525" s="1364"/>
      <c r="WZI525" s="1366"/>
      <c r="WZJ525" s="1367"/>
      <c r="WZK525" s="1363"/>
      <c r="WZL525" s="1363"/>
      <c r="WZM525" s="1363"/>
      <c r="WZN525" s="1358"/>
      <c r="WZO525" s="1358"/>
      <c r="WZP525" s="1358"/>
      <c r="WZQ525" s="1358"/>
      <c r="WZR525" s="1359"/>
      <c r="WZS525" s="1360"/>
      <c r="WZT525" s="1361"/>
      <c r="WZU525" s="1362"/>
      <c r="WZV525" s="1368"/>
      <c r="WZW525" s="1363"/>
      <c r="WZX525" s="1364"/>
      <c r="WZY525" s="1365"/>
      <c r="WZZ525" s="1364"/>
      <c r="XAA525" s="1366"/>
      <c r="XAB525" s="1367"/>
      <c r="XAC525" s="1363"/>
      <c r="XAD525" s="1363"/>
      <c r="XAE525" s="1363"/>
      <c r="XAF525" s="1358"/>
      <c r="XAG525" s="1358"/>
      <c r="XAH525" s="1358"/>
      <c r="XAI525" s="1358"/>
      <c r="XAJ525" s="1359"/>
      <c r="XAK525" s="1360"/>
      <c r="XAL525" s="1361"/>
      <c r="XAM525" s="1362"/>
      <c r="XAN525" s="1368"/>
      <c r="XAO525" s="1363"/>
      <c r="XAP525" s="1364"/>
      <c r="XAQ525" s="1365"/>
      <c r="XAR525" s="1364"/>
      <c r="XAS525" s="1366"/>
      <c r="XAT525" s="1367"/>
      <c r="XAU525" s="1363"/>
      <c r="XAV525" s="1363"/>
      <c r="XAW525" s="1363"/>
      <c r="XAX525" s="1358"/>
      <c r="XAY525" s="1358"/>
      <c r="XAZ525" s="1358"/>
      <c r="XBA525" s="1358"/>
      <c r="XBB525" s="1359"/>
      <c r="XBC525" s="1360"/>
      <c r="XBD525" s="1361"/>
      <c r="XBE525" s="1362"/>
      <c r="XBF525" s="1368"/>
      <c r="XBG525" s="1363"/>
      <c r="XBH525" s="1364"/>
      <c r="XBI525" s="1365"/>
      <c r="XBJ525" s="1364"/>
      <c r="XBK525" s="1366"/>
      <c r="XBL525" s="1367"/>
      <c r="XBM525" s="1363"/>
      <c r="XBN525" s="1363"/>
      <c r="XBO525" s="1363"/>
      <c r="XBP525" s="1358"/>
      <c r="XBQ525" s="1358"/>
      <c r="XBR525" s="1358"/>
      <c r="XBS525" s="1358"/>
      <c r="XBT525" s="1359"/>
      <c r="XBU525" s="1360"/>
      <c r="XBV525" s="1361"/>
      <c r="XBW525" s="1362"/>
      <c r="XBX525" s="1368"/>
      <c r="XBY525" s="1363"/>
      <c r="XBZ525" s="1364"/>
      <c r="XCA525" s="1365"/>
      <c r="XCB525" s="1364"/>
      <c r="XCC525" s="1366"/>
      <c r="XCD525" s="1367"/>
      <c r="XCE525" s="1363"/>
      <c r="XCF525" s="1363"/>
      <c r="XCG525" s="1363"/>
      <c r="XCH525" s="1358"/>
      <c r="XCI525" s="1358"/>
      <c r="XCJ525" s="1358"/>
      <c r="XCK525" s="1358"/>
      <c r="XCL525" s="1359"/>
      <c r="XCM525" s="1360"/>
      <c r="XCN525" s="1361"/>
      <c r="XCO525" s="1362"/>
      <c r="XCP525" s="1368"/>
      <c r="XCQ525" s="1363"/>
      <c r="XCR525" s="1364"/>
      <c r="XCS525" s="1365"/>
      <c r="XCT525" s="1364"/>
      <c r="XCU525" s="1366"/>
      <c r="XCV525" s="1367"/>
      <c r="XCW525" s="1363"/>
      <c r="XCX525" s="1363"/>
      <c r="XCY525" s="1363"/>
      <c r="XCZ525" s="1358"/>
      <c r="XDA525" s="1358"/>
      <c r="XDB525" s="1358"/>
      <c r="XDC525" s="1358"/>
      <c r="XDD525" s="1359"/>
      <c r="XDE525" s="1360"/>
      <c r="XDF525" s="1361"/>
      <c r="XDG525" s="1362"/>
      <c r="XDH525" s="1368"/>
      <c r="XDI525" s="1363"/>
      <c r="XDJ525" s="1364"/>
      <c r="XDK525" s="1365"/>
      <c r="XDL525" s="1364"/>
      <c r="XDM525" s="1366"/>
      <c r="XDN525" s="1367"/>
      <c r="XDO525" s="1363"/>
      <c r="XDP525" s="1363"/>
      <c r="XDQ525" s="1363"/>
      <c r="XDR525" s="1358"/>
      <c r="XDS525" s="1358"/>
      <c r="XDT525" s="1358"/>
      <c r="XDU525" s="1358"/>
      <c r="XDV525" s="1359"/>
      <c r="XDW525" s="1360"/>
      <c r="XDX525" s="1361"/>
      <c r="XDY525" s="1362"/>
      <c r="XDZ525" s="1368"/>
      <c r="XEA525" s="1363"/>
      <c r="XEB525" s="1364"/>
      <c r="XEC525" s="1365"/>
      <c r="XED525" s="1364"/>
      <c r="XEE525" s="1366"/>
      <c r="XEF525" s="1367"/>
      <c r="XEG525" s="1363"/>
      <c r="XEH525" s="1363"/>
      <c r="XEI525" s="1363"/>
      <c r="XEJ525" s="1358"/>
      <c r="XEK525" s="1358"/>
      <c r="XEL525" s="1358"/>
      <c r="XEM525" s="1358"/>
      <c r="XEN525" s="1359"/>
      <c r="XEO525" s="1360"/>
      <c r="XEP525" s="1361"/>
      <c r="XEQ525" s="1362"/>
      <c r="XER525" s="1368"/>
      <c r="XES525" s="1363"/>
      <c r="XET525" s="1364"/>
      <c r="XEU525" s="1365"/>
      <c r="XEV525" s="1364"/>
      <c r="XEW525" s="1366"/>
      <c r="XEX525" s="1367"/>
      <c r="XEY525" s="1363"/>
      <c r="XEZ525" s="1363"/>
      <c r="XFA525" s="1363"/>
    </row>
    <row r="526" spans="1:16381" s="1414" customFormat="1" ht="28.8" x14ac:dyDescent="0.3">
      <c r="A526" s="1358" t="s">
        <v>264</v>
      </c>
      <c r="B526" s="1359" t="s">
        <v>280</v>
      </c>
      <c r="C526" s="1360" t="s">
        <v>3892</v>
      </c>
      <c r="D526" s="1361" t="s">
        <v>34</v>
      </c>
      <c r="E526" s="1362" t="s">
        <v>282</v>
      </c>
      <c r="F526" s="1368" t="s">
        <v>285</v>
      </c>
      <c r="G526" s="1363">
        <v>5.38</v>
      </c>
      <c r="H526" s="1364">
        <v>83097.2</v>
      </c>
      <c r="I526" s="1365" t="s">
        <v>267</v>
      </c>
      <c r="J526" s="1364">
        <v>83097.2</v>
      </c>
      <c r="K526" s="1366">
        <v>0</v>
      </c>
      <c r="L526" s="1367">
        <v>0</v>
      </c>
      <c r="M526" s="1363" t="s">
        <v>133</v>
      </c>
      <c r="N526" s="1599" t="s">
        <v>3893</v>
      </c>
      <c r="O526" s="1599" t="s">
        <v>3894</v>
      </c>
      <c r="P526" s="1358" t="s">
        <v>40</v>
      </c>
      <c r="Q526" s="1358"/>
      <c r="R526" s="1358" t="s">
        <v>64</v>
      </c>
      <c r="S526" s="1358"/>
      <c r="T526" s="1358"/>
      <c r="U526" s="1358"/>
      <c r="V526" s="1358" t="s">
        <v>40</v>
      </c>
      <c r="W526" s="1358"/>
      <c r="X526" s="1358" t="s">
        <v>40</v>
      </c>
      <c r="Y526" s="1358"/>
      <c r="Z526" s="1358" t="s">
        <v>64</v>
      </c>
      <c r="AA526" s="1358"/>
      <c r="AB526" s="1358" t="s">
        <v>40</v>
      </c>
      <c r="AC526" s="1358"/>
      <c r="AD526" s="1358"/>
      <c r="AE526" s="1598">
        <v>46203</v>
      </c>
      <c r="AF526" s="1358" t="s">
        <v>247</v>
      </c>
      <c r="AG526" s="1358">
        <v>2023</v>
      </c>
      <c r="AH526" s="1364">
        <v>411173.25</v>
      </c>
      <c r="AI526" s="1600" t="s">
        <v>3895</v>
      </c>
      <c r="AJ526" s="1358"/>
      <c r="AK526" s="1358" t="s">
        <v>43</v>
      </c>
      <c r="AL526" s="1358" t="s">
        <v>41</v>
      </c>
      <c r="AM526" s="1358">
        <v>0</v>
      </c>
      <c r="AN526" s="1358" t="s">
        <v>40</v>
      </c>
      <c r="AO526" s="1358"/>
      <c r="AP526" s="1358"/>
      <c r="AQ526" s="1358"/>
      <c r="AR526" s="1358"/>
      <c r="AS526" s="1358"/>
      <c r="AT526" s="1358"/>
      <c r="AU526" s="1358"/>
      <c r="AV526" s="1358"/>
      <c r="AW526" s="1358"/>
      <c r="AX526" s="1358"/>
      <c r="AY526" s="1358"/>
      <c r="AZ526" s="1358"/>
      <c r="BA526" s="1358"/>
      <c r="BB526" s="1358"/>
      <c r="BC526" s="1358"/>
      <c r="BD526" s="1358"/>
      <c r="BE526" s="1358"/>
      <c r="BF526" s="1358"/>
      <c r="BG526" s="1358"/>
      <c r="BH526" s="1358"/>
      <c r="BI526" s="1358"/>
      <c r="BJ526" s="1358"/>
      <c r="BK526" s="1358"/>
      <c r="BL526" s="1358"/>
      <c r="BM526" s="1358"/>
      <c r="BN526" s="1358"/>
      <c r="BO526" s="1358"/>
      <c r="BP526" s="1358"/>
      <c r="BQ526" s="1358"/>
      <c r="BR526" s="1358"/>
      <c r="BS526" s="1358"/>
      <c r="BT526" s="1358"/>
      <c r="BU526" s="1358"/>
      <c r="BV526" s="1358"/>
      <c r="BW526" s="1358"/>
      <c r="BX526" s="1358"/>
      <c r="BY526" s="1358"/>
      <c r="BZ526" s="1358"/>
      <c r="CA526" s="1358"/>
      <c r="CB526" s="1358"/>
      <c r="CC526" s="1358"/>
      <c r="CD526" s="1358"/>
      <c r="CE526" s="1358"/>
      <c r="CF526" s="1358"/>
      <c r="CG526" s="1358"/>
      <c r="CH526" s="1358"/>
      <c r="CI526" s="1358"/>
      <c r="CJ526" s="1358"/>
      <c r="CK526" s="1358"/>
      <c r="CL526" s="1358"/>
      <c r="CM526" s="1358"/>
      <c r="CN526" s="1358"/>
      <c r="CO526" s="1358"/>
      <c r="CP526" s="1358"/>
      <c r="CQ526" s="1358"/>
      <c r="CR526" s="1358"/>
      <c r="CS526" s="1358"/>
      <c r="CT526" s="1358"/>
      <c r="CU526" s="1358"/>
      <c r="CV526" s="1358"/>
      <c r="CW526" s="1358"/>
      <c r="CX526" s="1358"/>
      <c r="CY526" s="1358"/>
      <c r="CZ526" s="1358"/>
      <c r="DA526" s="1358"/>
      <c r="DB526" s="1358"/>
      <c r="DC526" s="1358"/>
      <c r="DD526" s="1358"/>
      <c r="DE526" s="1358"/>
      <c r="DF526" s="1358"/>
      <c r="DG526" s="1358"/>
      <c r="DH526" s="1358"/>
      <c r="DI526" s="1358"/>
      <c r="DJ526" s="1358"/>
      <c r="DK526" s="1358"/>
      <c r="DL526" s="1358"/>
      <c r="DM526" s="1358"/>
      <c r="DN526" s="1358"/>
      <c r="DO526" s="1358"/>
      <c r="DP526" s="1358"/>
      <c r="DQ526" s="1358"/>
      <c r="DR526" s="1358"/>
      <c r="DS526" s="1358"/>
      <c r="DT526" s="1358"/>
      <c r="DU526" s="1358"/>
      <c r="DV526" s="1358"/>
      <c r="DW526" s="1358"/>
      <c r="DX526" s="1358"/>
      <c r="DY526" s="1358"/>
      <c r="DZ526" s="1358"/>
      <c r="EA526" s="1358"/>
      <c r="EB526" s="1358"/>
      <c r="EC526" s="1358"/>
      <c r="ED526" s="1358"/>
      <c r="EE526" s="1358"/>
      <c r="EF526" s="1358"/>
      <c r="EG526" s="1358"/>
      <c r="EH526" s="1358"/>
      <c r="EI526" s="1358"/>
      <c r="EJ526" s="1358"/>
      <c r="EK526" s="1358"/>
      <c r="EL526" s="1358"/>
      <c r="EM526" s="1358"/>
      <c r="EN526" s="1358"/>
      <c r="EO526" s="1358"/>
      <c r="EP526" s="1358"/>
      <c r="EQ526" s="1358"/>
      <c r="ER526" s="1358"/>
      <c r="ES526" s="1358"/>
      <c r="ET526" s="1358"/>
      <c r="EU526" s="1358"/>
      <c r="EV526" s="1358"/>
      <c r="EW526" s="1358"/>
      <c r="EX526" s="1358"/>
      <c r="EY526" s="1358"/>
      <c r="EZ526" s="1358"/>
      <c r="FA526" s="1358"/>
      <c r="FB526" s="1358"/>
      <c r="FC526" s="1358"/>
      <c r="FD526" s="1358"/>
      <c r="FE526" s="1358"/>
      <c r="FF526" s="1358"/>
      <c r="FG526" s="1358"/>
      <c r="FH526" s="1358"/>
      <c r="FI526" s="1358"/>
      <c r="FJ526" s="1358"/>
      <c r="FK526" s="1358"/>
      <c r="FL526" s="1358"/>
      <c r="FM526" s="1358"/>
      <c r="FN526" s="1358"/>
      <c r="FO526" s="1358"/>
      <c r="FP526" s="1358"/>
      <c r="FQ526" s="1358"/>
      <c r="FR526" s="1358"/>
      <c r="FS526" s="1358"/>
      <c r="FT526" s="1358"/>
      <c r="FU526" s="1358"/>
      <c r="FV526" s="1358"/>
      <c r="FW526" s="1358"/>
      <c r="FX526" s="1358"/>
      <c r="FY526" s="1358"/>
      <c r="FZ526" s="1358"/>
      <c r="GA526" s="1358"/>
      <c r="GB526" s="1358"/>
      <c r="GC526" s="1358"/>
      <c r="GD526" s="1358"/>
      <c r="GE526" s="1358"/>
      <c r="GF526" s="1358"/>
      <c r="GG526" s="1358"/>
      <c r="GH526" s="1358"/>
      <c r="GI526" s="1358"/>
      <c r="GJ526" s="1358"/>
      <c r="GK526" s="1358"/>
      <c r="GL526" s="1358"/>
      <c r="GM526" s="1358"/>
      <c r="GN526" s="1358"/>
      <c r="GO526" s="1358"/>
      <c r="GP526" s="1358"/>
      <c r="GQ526" s="1358"/>
      <c r="GR526" s="1358"/>
      <c r="GS526" s="1358"/>
      <c r="GT526" s="1358"/>
      <c r="GU526" s="1358"/>
      <c r="GV526" s="1358"/>
      <c r="GW526" s="1358"/>
      <c r="GX526" s="1358"/>
      <c r="GY526" s="1358"/>
      <c r="GZ526" s="1358"/>
      <c r="HA526" s="1358"/>
      <c r="HB526" s="1358"/>
      <c r="HC526" s="1358"/>
      <c r="HD526" s="1358"/>
      <c r="HE526" s="1358"/>
      <c r="HF526" s="1358"/>
      <c r="HG526" s="1358"/>
      <c r="HH526" s="1358"/>
      <c r="HI526" s="1358"/>
      <c r="HJ526" s="1358"/>
      <c r="HK526" s="1358"/>
      <c r="HL526" s="1358"/>
      <c r="HM526" s="1358"/>
      <c r="HN526" s="1358"/>
      <c r="HO526" s="1358"/>
      <c r="HP526" s="1358"/>
      <c r="HQ526" s="1358"/>
      <c r="HR526" s="1358"/>
      <c r="HS526" s="1358"/>
      <c r="HT526" s="1358"/>
      <c r="HU526" s="1358"/>
      <c r="HV526" s="1358"/>
      <c r="HW526" s="1358"/>
      <c r="HX526" s="1358"/>
      <c r="HY526" s="1358"/>
      <c r="HZ526" s="1358"/>
      <c r="IA526" s="1358"/>
      <c r="IB526" s="1358"/>
      <c r="IC526" s="1358"/>
      <c r="ID526" s="1358"/>
      <c r="IE526" s="1358"/>
      <c r="IF526" s="1358"/>
      <c r="IG526" s="1358"/>
      <c r="IH526" s="1358"/>
      <c r="II526" s="1358"/>
      <c r="IJ526" s="1358"/>
      <c r="IK526" s="1358"/>
      <c r="IL526" s="1358"/>
      <c r="IM526" s="1358"/>
      <c r="IN526" s="1358"/>
      <c r="IO526" s="1358"/>
      <c r="IP526" s="1358"/>
      <c r="IQ526" s="1358"/>
      <c r="IR526" s="1358"/>
      <c r="IS526" s="1358"/>
      <c r="IT526" s="1358"/>
      <c r="IU526" s="1358"/>
      <c r="IV526" s="1358"/>
      <c r="IW526" s="1358"/>
      <c r="IX526" s="1358"/>
      <c r="IY526" s="1358"/>
      <c r="IZ526" s="1358"/>
      <c r="JA526" s="1358"/>
      <c r="JB526" s="1358"/>
      <c r="JC526" s="1358"/>
      <c r="JD526" s="1358"/>
      <c r="JE526" s="1358"/>
      <c r="JF526" s="1358"/>
      <c r="JG526" s="1358"/>
      <c r="JH526" s="1358"/>
      <c r="JI526" s="1358"/>
      <c r="JJ526" s="1358"/>
      <c r="JK526" s="1358"/>
      <c r="JL526" s="1358"/>
      <c r="JM526" s="1358"/>
      <c r="JN526" s="1358"/>
      <c r="JO526" s="1358"/>
      <c r="JP526" s="1358"/>
      <c r="JQ526" s="1358"/>
      <c r="JR526" s="1358"/>
      <c r="JS526" s="1358"/>
      <c r="JT526" s="1358"/>
      <c r="JU526" s="1358"/>
      <c r="JV526" s="1358"/>
      <c r="JW526" s="1358"/>
      <c r="JX526" s="1358"/>
      <c r="JY526" s="1358"/>
      <c r="JZ526" s="1358"/>
      <c r="KA526" s="1358"/>
      <c r="KB526" s="1358"/>
      <c r="KC526" s="1358"/>
      <c r="KD526" s="1358"/>
      <c r="KE526" s="1358"/>
      <c r="KF526" s="1358"/>
      <c r="KG526" s="1358"/>
      <c r="KH526" s="1358"/>
      <c r="KI526" s="1358"/>
      <c r="KJ526" s="1358"/>
      <c r="KK526" s="1358"/>
      <c r="KL526" s="1358"/>
      <c r="KM526" s="1358"/>
      <c r="KN526" s="1358"/>
      <c r="KO526" s="1358"/>
      <c r="KP526" s="1358"/>
      <c r="KQ526" s="1358"/>
      <c r="KR526" s="1358"/>
      <c r="KS526" s="1358"/>
      <c r="KT526" s="1358"/>
      <c r="KU526" s="1358"/>
      <c r="KV526" s="1358"/>
      <c r="KW526" s="1358"/>
      <c r="KX526" s="1358"/>
      <c r="KY526" s="1358"/>
      <c r="KZ526" s="1358"/>
      <c r="LA526" s="1358"/>
      <c r="LB526" s="1358"/>
      <c r="LC526" s="1358"/>
      <c r="LD526" s="1358"/>
      <c r="LE526" s="1358"/>
      <c r="LF526" s="1358"/>
      <c r="LG526" s="1358"/>
      <c r="LH526" s="1358"/>
      <c r="LI526" s="1358"/>
      <c r="LJ526" s="1358"/>
      <c r="LK526" s="1358"/>
      <c r="LL526" s="1358"/>
      <c r="LM526" s="1358"/>
      <c r="LN526" s="1358"/>
      <c r="LO526" s="1358"/>
      <c r="LP526" s="1358"/>
      <c r="LQ526" s="1358"/>
      <c r="LR526" s="1358"/>
      <c r="LS526" s="1358"/>
      <c r="LT526" s="1358"/>
      <c r="LU526" s="1358"/>
      <c r="LV526" s="1358"/>
      <c r="LW526" s="1358"/>
      <c r="LX526" s="1358"/>
      <c r="LY526" s="1358"/>
      <c r="LZ526" s="1358"/>
      <c r="MA526" s="1358"/>
      <c r="MB526" s="1358"/>
      <c r="MC526" s="1358"/>
      <c r="MD526" s="1358"/>
      <c r="ME526" s="1358"/>
      <c r="MF526" s="1358"/>
      <c r="MG526" s="1358"/>
      <c r="MH526" s="1358"/>
      <c r="MI526" s="1358"/>
      <c r="MJ526" s="1358"/>
      <c r="MK526" s="1358"/>
      <c r="ML526" s="1358"/>
      <c r="MM526" s="1358"/>
      <c r="MN526" s="1358"/>
      <c r="MO526" s="1358"/>
      <c r="MP526" s="1358"/>
      <c r="MQ526" s="1358"/>
      <c r="MR526" s="1358"/>
      <c r="MS526" s="1358"/>
      <c r="MT526" s="1358"/>
      <c r="MU526" s="1358"/>
      <c r="MV526" s="1358"/>
      <c r="MW526" s="1358"/>
      <c r="MX526" s="1358"/>
      <c r="MY526" s="1358"/>
      <c r="MZ526" s="1358"/>
      <c r="NA526" s="1358"/>
      <c r="NB526" s="1358"/>
      <c r="NC526" s="1358"/>
      <c r="ND526" s="1358"/>
      <c r="NE526" s="1358"/>
      <c r="NF526" s="1358"/>
      <c r="NG526" s="1358"/>
      <c r="NH526" s="1358"/>
      <c r="NI526" s="1358"/>
      <c r="NJ526" s="1358"/>
      <c r="NK526" s="1358"/>
      <c r="NL526" s="1358"/>
      <c r="NM526" s="1358"/>
      <c r="NN526" s="1358"/>
      <c r="NO526" s="1358"/>
      <c r="NP526" s="1358"/>
      <c r="NQ526" s="1358"/>
      <c r="NR526" s="1358"/>
      <c r="NS526" s="1358"/>
      <c r="NT526" s="1358"/>
      <c r="NU526" s="1358"/>
      <c r="NV526" s="1358"/>
      <c r="NW526" s="1358"/>
      <c r="NX526" s="1358"/>
      <c r="NY526" s="1358"/>
      <c r="NZ526" s="1358"/>
      <c r="OA526" s="1358"/>
      <c r="OB526" s="1358"/>
      <c r="OC526" s="1358"/>
      <c r="OD526" s="1358"/>
      <c r="OE526" s="1358"/>
      <c r="OF526" s="1358"/>
      <c r="OG526" s="1358"/>
      <c r="OH526" s="1358"/>
      <c r="OI526" s="1358"/>
      <c r="OJ526" s="1358"/>
      <c r="OK526" s="1358"/>
      <c r="OL526" s="1358"/>
      <c r="OM526" s="1358"/>
      <c r="ON526" s="1358"/>
      <c r="OO526" s="1358"/>
      <c r="OP526" s="1358"/>
      <c r="OQ526" s="1358"/>
      <c r="OR526" s="1358"/>
      <c r="OS526" s="1358"/>
      <c r="OT526" s="1358"/>
      <c r="OU526" s="1358"/>
      <c r="OV526" s="1358"/>
      <c r="OW526" s="1358"/>
      <c r="OX526" s="1358"/>
      <c r="OY526" s="1358"/>
      <c r="OZ526" s="1358"/>
      <c r="PA526" s="1358"/>
      <c r="PB526" s="1358"/>
      <c r="PC526" s="1358"/>
      <c r="PD526" s="1358"/>
      <c r="PE526" s="1358"/>
      <c r="PF526" s="1358"/>
      <c r="PG526" s="1358"/>
      <c r="PH526" s="1358"/>
      <c r="PI526" s="1358"/>
      <c r="PJ526" s="1358"/>
      <c r="PK526" s="1358"/>
      <c r="PL526" s="1358"/>
      <c r="PM526" s="1358"/>
      <c r="PN526" s="1358"/>
      <c r="PO526" s="1358"/>
      <c r="PP526" s="1358"/>
      <c r="PQ526" s="1358"/>
      <c r="PR526" s="1358"/>
      <c r="PS526" s="1358"/>
      <c r="PT526" s="1358"/>
      <c r="PU526" s="1358"/>
      <c r="PV526" s="1358"/>
      <c r="PW526" s="1358"/>
      <c r="PX526" s="1358"/>
      <c r="PY526" s="1358"/>
      <c r="PZ526" s="1358"/>
      <c r="QA526" s="1358"/>
      <c r="QB526" s="1358"/>
      <c r="QC526" s="1358"/>
      <c r="QD526" s="1358"/>
      <c r="QE526" s="1358"/>
      <c r="QF526" s="1358"/>
      <c r="QG526" s="1358"/>
      <c r="QH526" s="1358"/>
      <c r="QI526" s="1358"/>
      <c r="QJ526" s="1358"/>
      <c r="QK526" s="1358"/>
      <c r="QL526" s="1358"/>
      <c r="QM526" s="1358"/>
      <c r="QN526" s="1358"/>
      <c r="QO526" s="1358"/>
      <c r="QP526" s="1358"/>
      <c r="QQ526" s="1358"/>
      <c r="QR526" s="1358"/>
      <c r="QS526" s="1358"/>
      <c r="QT526" s="1358"/>
      <c r="QU526" s="1358"/>
      <c r="QV526" s="1358"/>
      <c r="QW526" s="1358"/>
      <c r="QX526" s="1358"/>
      <c r="QY526" s="1358"/>
      <c r="QZ526" s="1358"/>
      <c r="RA526" s="1358"/>
      <c r="RB526" s="1358"/>
      <c r="RC526" s="1358"/>
      <c r="RD526" s="1358"/>
      <c r="RE526" s="1358"/>
      <c r="RF526" s="1358"/>
      <c r="RG526" s="1358"/>
      <c r="RH526" s="1358"/>
      <c r="RI526" s="1358"/>
      <c r="RJ526" s="1358"/>
      <c r="RK526" s="1358"/>
      <c r="RL526" s="1358"/>
      <c r="RM526" s="1358"/>
      <c r="RN526" s="1358"/>
      <c r="RO526" s="1358"/>
      <c r="RP526" s="1358"/>
      <c r="RQ526" s="1358"/>
      <c r="RR526" s="1358"/>
      <c r="RS526" s="1358"/>
      <c r="RT526" s="1358"/>
      <c r="RU526" s="1358"/>
      <c r="RV526" s="1358"/>
      <c r="RW526" s="1358"/>
      <c r="RX526" s="1358"/>
      <c r="RY526" s="1358"/>
      <c r="RZ526" s="1358"/>
      <c r="SA526" s="1358"/>
      <c r="SB526" s="1358"/>
      <c r="SC526" s="1358"/>
      <c r="SD526" s="1358"/>
      <c r="SE526" s="1358"/>
      <c r="SF526" s="1358"/>
      <c r="SG526" s="1358"/>
      <c r="SH526" s="1358"/>
      <c r="SI526" s="1358"/>
      <c r="SJ526" s="1358"/>
      <c r="SK526" s="1358"/>
      <c r="SL526" s="1358"/>
      <c r="SM526" s="1358"/>
      <c r="SN526" s="1358"/>
      <c r="SO526" s="1358"/>
      <c r="SP526" s="1358"/>
      <c r="SQ526" s="1358"/>
      <c r="SR526" s="1358"/>
      <c r="SS526" s="1358"/>
      <c r="ST526" s="1358"/>
      <c r="SU526" s="1358"/>
      <c r="SV526" s="1358"/>
      <c r="SW526" s="1358"/>
      <c r="SX526" s="1358"/>
      <c r="SY526" s="1358"/>
      <c r="SZ526" s="1358"/>
      <c r="TA526" s="1358"/>
      <c r="TB526" s="1358"/>
      <c r="TC526" s="1358"/>
      <c r="TD526" s="1358"/>
      <c r="TE526" s="1358"/>
      <c r="TF526" s="1358"/>
      <c r="TG526" s="1358"/>
      <c r="TH526" s="1358"/>
      <c r="TI526" s="1358"/>
      <c r="TJ526" s="1358"/>
      <c r="TK526" s="1358"/>
      <c r="TL526" s="1358"/>
      <c r="TM526" s="1358"/>
      <c r="TN526" s="1358"/>
      <c r="TO526" s="1358"/>
      <c r="TP526" s="1358"/>
      <c r="TQ526" s="1358"/>
      <c r="TR526" s="1358"/>
      <c r="TS526" s="1358"/>
      <c r="TT526" s="1358"/>
      <c r="TU526" s="1358"/>
      <c r="TV526" s="1358"/>
      <c r="TW526" s="1358"/>
      <c r="TX526" s="1358"/>
      <c r="TY526" s="1358"/>
      <c r="TZ526" s="1358"/>
      <c r="UA526" s="1358"/>
      <c r="UB526" s="1358"/>
      <c r="UC526" s="1358"/>
      <c r="UD526" s="1358"/>
      <c r="UE526" s="1358"/>
      <c r="UF526" s="1358"/>
      <c r="UG526" s="1358"/>
      <c r="UH526" s="1358"/>
      <c r="UI526" s="1358"/>
      <c r="UJ526" s="1358"/>
      <c r="UK526" s="1358"/>
      <c r="UL526" s="1358"/>
      <c r="UM526" s="1358"/>
      <c r="UN526" s="1358"/>
      <c r="UO526" s="1358"/>
      <c r="UP526" s="1358"/>
      <c r="UQ526" s="1358"/>
      <c r="UR526" s="1358"/>
      <c r="US526" s="1358"/>
      <c r="UT526" s="1358"/>
      <c r="UU526" s="1358"/>
      <c r="UV526" s="1358"/>
      <c r="UW526" s="1358"/>
      <c r="UX526" s="1358"/>
      <c r="UY526" s="1358"/>
      <c r="UZ526" s="1358"/>
      <c r="VA526" s="1358"/>
      <c r="VB526" s="1358"/>
      <c r="VC526" s="1358"/>
      <c r="VD526" s="1358"/>
      <c r="VE526" s="1358"/>
      <c r="VF526" s="1358"/>
      <c r="VG526" s="1358"/>
      <c r="VH526" s="1358"/>
      <c r="VI526" s="1358"/>
      <c r="VJ526" s="1358"/>
      <c r="VK526" s="1358"/>
      <c r="VL526" s="1358"/>
      <c r="VM526" s="1358"/>
      <c r="VN526" s="1358"/>
      <c r="VO526" s="1358"/>
      <c r="VP526" s="1358"/>
      <c r="VQ526" s="1358"/>
      <c r="VR526" s="1358"/>
      <c r="VS526" s="1358"/>
      <c r="VT526" s="1358"/>
      <c r="VU526" s="1358"/>
      <c r="VV526" s="1358"/>
      <c r="VW526" s="1358"/>
      <c r="VX526" s="1358"/>
      <c r="VY526" s="1358"/>
      <c r="VZ526" s="1358"/>
      <c r="WA526" s="1358"/>
      <c r="WB526" s="1358"/>
      <c r="WC526" s="1358"/>
      <c r="WD526" s="1358"/>
      <c r="WE526" s="1358"/>
      <c r="WF526" s="1358"/>
      <c r="WG526" s="1358"/>
      <c r="WH526" s="1358"/>
      <c r="WI526" s="1358"/>
      <c r="WJ526" s="1358"/>
      <c r="WK526" s="1358"/>
      <c r="WL526" s="1358"/>
      <c r="WM526" s="1358"/>
      <c r="WN526" s="1358"/>
      <c r="WO526" s="1358"/>
      <c r="WP526" s="1358"/>
      <c r="WQ526" s="1358"/>
      <c r="WR526" s="1358"/>
      <c r="WS526" s="1358"/>
      <c r="WT526" s="1358"/>
      <c r="WU526" s="1358"/>
      <c r="WV526" s="1358"/>
      <c r="WW526" s="1358"/>
      <c r="WX526" s="1358"/>
      <c r="WY526" s="1358"/>
      <c r="WZ526" s="1358"/>
      <c r="XA526" s="1358"/>
      <c r="XB526" s="1358"/>
      <c r="XC526" s="1358"/>
      <c r="XD526" s="1358"/>
      <c r="XE526" s="1358"/>
      <c r="XF526" s="1358"/>
      <c r="XG526" s="1358"/>
      <c r="XH526" s="1358"/>
      <c r="XI526" s="1358"/>
      <c r="XJ526" s="1358"/>
      <c r="XK526" s="1358"/>
      <c r="XL526" s="1358"/>
      <c r="XM526" s="1358"/>
      <c r="XN526" s="1358"/>
      <c r="XO526" s="1358"/>
      <c r="XP526" s="1358"/>
      <c r="XQ526" s="1358"/>
      <c r="XR526" s="1358"/>
      <c r="XS526" s="1358"/>
      <c r="XT526" s="1358"/>
      <c r="XU526" s="1358"/>
      <c r="XV526" s="1358"/>
      <c r="XW526" s="1358"/>
      <c r="XX526" s="1358"/>
      <c r="XY526" s="1358"/>
      <c r="XZ526" s="1358"/>
      <c r="YA526" s="1358"/>
      <c r="YB526" s="1358"/>
      <c r="YC526" s="1358"/>
      <c r="YD526" s="1358"/>
      <c r="YE526" s="1358"/>
      <c r="YF526" s="1358"/>
      <c r="YG526" s="1358"/>
      <c r="YH526" s="1358"/>
      <c r="YI526" s="1358"/>
      <c r="YJ526" s="1358"/>
      <c r="YK526" s="1358"/>
      <c r="YL526" s="1358"/>
      <c r="YM526" s="1358"/>
      <c r="YN526" s="1358"/>
      <c r="YO526" s="1358"/>
      <c r="YP526" s="1358"/>
      <c r="YQ526" s="1358"/>
      <c r="YR526" s="1358"/>
      <c r="YS526" s="1358"/>
      <c r="YT526" s="1358"/>
      <c r="YU526" s="1358"/>
      <c r="YV526" s="1358"/>
      <c r="YW526" s="1358"/>
      <c r="YX526" s="1358"/>
      <c r="YY526" s="1358"/>
      <c r="YZ526" s="1358"/>
      <c r="ZA526" s="1358"/>
      <c r="ZB526" s="1358"/>
      <c r="ZC526" s="1358"/>
      <c r="ZD526" s="1358"/>
      <c r="ZE526" s="1358"/>
      <c r="ZF526" s="1358"/>
      <c r="ZG526" s="1358"/>
      <c r="ZH526" s="1358"/>
      <c r="ZI526" s="1358"/>
      <c r="ZJ526" s="1358"/>
      <c r="ZK526" s="1358"/>
      <c r="ZL526" s="1358"/>
      <c r="ZM526" s="1358"/>
      <c r="ZN526" s="1358"/>
      <c r="ZO526" s="1358"/>
      <c r="ZP526" s="1358"/>
      <c r="ZQ526" s="1358"/>
      <c r="ZR526" s="1358"/>
      <c r="ZS526" s="1358"/>
      <c r="ZT526" s="1358"/>
      <c r="ZU526" s="1358"/>
      <c r="ZV526" s="1358"/>
      <c r="ZW526" s="1358"/>
      <c r="ZX526" s="1358"/>
      <c r="ZY526" s="1358"/>
      <c r="ZZ526" s="1358"/>
      <c r="AAA526" s="1358"/>
      <c r="AAB526" s="1358"/>
      <c r="AAC526" s="1358"/>
      <c r="AAD526" s="1358"/>
      <c r="AAE526" s="1358"/>
      <c r="AAF526" s="1358"/>
      <c r="AAG526" s="1358"/>
      <c r="AAH526" s="1358"/>
      <c r="AAI526" s="1358"/>
      <c r="AAJ526" s="1358"/>
      <c r="AAK526" s="1358"/>
      <c r="AAL526" s="1358"/>
      <c r="AAM526" s="1358"/>
      <c r="AAN526" s="1358"/>
      <c r="AAO526" s="1358"/>
      <c r="AAP526" s="1358"/>
      <c r="AAQ526" s="1358"/>
      <c r="AAR526" s="1358"/>
      <c r="AAS526" s="1358"/>
      <c r="AAT526" s="1358"/>
      <c r="AAU526" s="1358"/>
      <c r="AAV526" s="1358"/>
      <c r="AAW526" s="1358"/>
      <c r="AAX526" s="1358"/>
      <c r="AAY526" s="1358"/>
      <c r="AAZ526" s="1358"/>
      <c r="ABA526" s="1358"/>
      <c r="ABB526" s="1358"/>
      <c r="ABC526" s="1358"/>
      <c r="ABD526" s="1358"/>
      <c r="ABE526" s="1358"/>
      <c r="ABF526" s="1358"/>
      <c r="ABG526" s="1358"/>
      <c r="ABH526" s="1358"/>
      <c r="ABI526" s="1358"/>
      <c r="ABJ526" s="1358"/>
      <c r="ABK526" s="1358"/>
      <c r="ABL526" s="1358"/>
      <c r="ABM526" s="1358"/>
      <c r="ABN526" s="1358"/>
      <c r="ABO526" s="1358"/>
      <c r="ABP526" s="1358"/>
      <c r="ABQ526" s="1358"/>
      <c r="ABR526" s="1358"/>
      <c r="ABS526" s="1358"/>
      <c r="ABT526" s="1358"/>
      <c r="ABU526" s="1358"/>
      <c r="ABV526" s="1358"/>
      <c r="ABW526" s="1358"/>
      <c r="ABX526" s="1358"/>
      <c r="ABY526" s="1358"/>
      <c r="ABZ526" s="1358"/>
      <c r="ACA526" s="1358"/>
      <c r="ACB526" s="1358"/>
      <c r="ACC526" s="1358"/>
      <c r="ACD526" s="1358"/>
      <c r="ACE526" s="1358"/>
      <c r="ACF526" s="1358"/>
      <c r="ACG526" s="1358"/>
      <c r="ACH526" s="1358"/>
      <c r="ACI526" s="1358"/>
      <c r="ACJ526" s="1358"/>
      <c r="ACK526" s="1358"/>
      <c r="ACL526" s="1358"/>
      <c r="ACM526" s="1358"/>
      <c r="ACN526" s="1358"/>
      <c r="ACO526" s="1358"/>
      <c r="ACP526" s="1358"/>
      <c r="ACQ526" s="1358"/>
      <c r="ACR526" s="1358"/>
      <c r="ACS526" s="1358"/>
      <c r="ACT526" s="1358"/>
      <c r="ACU526" s="1358"/>
      <c r="ACV526" s="1358"/>
      <c r="ACW526" s="1358"/>
      <c r="ACX526" s="1358"/>
      <c r="ACY526" s="1358"/>
      <c r="ACZ526" s="1358"/>
      <c r="ADA526" s="1358"/>
      <c r="ADB526" s="1358"/>
      <c r="ADC526" s="1358"/>
      <c r="ADD526" s="1358"/>
      <c r="ADE526" s="1358"/>
      <c r="ADF526" s="1358"/>
      <c r="ADG526" s="1358"/>
      <c r="ADH526" s="1358"/>
      <c r="ADI526" s="1358"/>
      <c r="ADJ526" s="1358"/>
      <c r="ADK526" s="1358"/>
      <c r="ADL526" s="1358"/>
      <c r="ADM526" s="1358"/>
      <c r="ADN526" s="1358"/>
      <c r="ADO526" s="1358"/>
      <c r="ADP526" s="1358"/>
      <c r="ADQ526" s="1358"/>
      <c r="ADR526" s="1358"/>
      <c r="ADS526" s="1358"/>
      <c r="ADT526" s="1358"/>
      <c r="ADU526" s="1358"/>
      <c r="ADV526" s="1358"/>
      <c r="ADW526" s="1358"/>
      <c r="ADX526" s="1358"/>
      <c r="ADY526" s="1358"/>
      <c r="ADZ526" s="1358"/>
      <c r="AEA526" s="1358"/>
      <c r="AEB526" s="1358"/>
      <c r="AEC526" s="1358"/>
      <c r="AED526" s="1358"/>
      <c r="AEE526" s="1358"/>
      <c r="AEF526" s="1358"/>
      <c r="AEG526" s="1358"/>
      <c r="AEH526" s="1358"/>
      <c r="AEI526" s="1358"/>
      <c r="AEJ526" s="1358"/>
      <c r="AEK526" s="1358"/>
      <c r="AEL526" s="1358"/>
      <c r="AEM526" s="1358"/>
      <c r="AEN526" s="1358"/>
      <c r="AEO526" s="1358"/>
      <c r="AEP526" s="1358"/>
      <c r="AEQ526" s="1358"/>
      <c r="AER526" s="1358"/>
      <c r="AES526" s="1358"/>
      <c r="AET526" s="1358"/>
      <c r="AEU526" s="1358"/>
      <c r="AEV526" s="1358"/>
      <c r="AEW526" s="1358"/>
      <c r="AEX526" s="1358"/>
      <c r="AEY526" s="1358"/>
      <c r="AEZ526" s="1358"/>
      <c r="AFA526" s="1358"/>
      <c r="AFB526" s="1358"/>
      <c r="AFC526" s="1358"/>
      <c r="AFD526" s="1358"/>
      <c r="AFE526" s="1358"/>
      <c r="AFF526" s="1358"/>
      <c r="AFG526" s="1358"/>
      <c r="AFH526" s="1358"/>
      <c r="AFI526" s="1358"/>
      <c r="AFJ526" s="1358"/>
      <c r="AFK526" s="1358"/>
      <c r="AFL526" s="1358"/>
      <c r="AFM526" s="1358"/>
      <c r="AFN526" s="1358"/>
      <c r="AFO526" s="1358"/>
      <c r="AFP526" s="1358"/>
      <c r="AFQ526" s="1358"/>
      <c r="AFR526" s="1358"/>
      <c r="AFS526" s="1358"/>
      <c r="AFT526" s="1358"/>
      <c r="AFU526" s="1358"/>
      <c r="AFV526" s="1358"/>
      <c r="AFW526" s="1358"/>
      <c r="AFX526" s="1358"/>
      <c r="AFY526" s="1358"/>
      <c r="AFZ526" s="1358"/>
      <c r="AGA526" s="1358"/>
      <c r="AGB526" s="1358"/>
      <c r="AGC526" s="1358"/>
      <c r="AGD526" s="1358"/>
      <c r="AGE526" s="1358"/>
      <c r="AGF526" s="1358"/>
      <c r="AGG526" s="1358"/>
      <c r="AGH526" s="1358"/>
      <c r="AGI526" s="1358"/>
      <c r="AGJ526" s="1358"/>
      <c r="AGK526" s="1358"/>
      <c r="AGL526" s="1358"/>
      <c r="AGM526" s="1358"/>
      <c r="AGN526" s="1358"/>
      <c r="AGO526" s="1358"/>
      <c r="AGP526" s="1358"/>
      <c r="AGQ526" s="1358"/>
      <c r="AGR526" s="1358"/>
      <c r="AGS526" s="1358"/>
      <c r="AGT526" s="1358"/>
      <c r="AGU526" s="1358"/>
      <c r="AGV526" s="1358"/>
      <c r="AGW526" s="1358"/>
      <c r="AGX526" s="1358"/>
      <c r="AGY526" s="1358"/>
      <c r="AGZ526" s="1358"/>
      <c r="AHA526" s="1358"/>
      <c r="AHB526" s="1358"/>
      <c r="AHC526" s="1358"/>
      <c r="AHD526" s="1358"/>
      <c r="AHE526" s="1358"/>
      <c r="AHF526" s="1358"/>
      <c r="AHG526" s="1358"/>
      <c r="AHH526" s="1358"/>
      <c r="AHI526" s="1358"/>
      <c r="AHJ526" s="1358"/>
      <c r="AHK526" s="1358"/>
      <c r="AHL526" s="1358"/>
      <c r="AHM526" s="1358"/>
      <c r="AHN526" s="1358"/>
      <c r="AHO526" s="1358"/>
      <c r="AHP526" s="1358"/>
      <c r="AHQ526" s="1358"/>
      <c r="AHR526" s="1358"/>
      <c r="AHS526" s="1358"/>
      <c r="AHT526" s="1358"/>
      <c r="AHU526" s="1358"/>
      <c r="AHV526" s="1358"/>
      <c r="AHW526" s="1358"/>
      <c r="AHX526" s="1358"/>
      <c r="AHY526" s="1358"/>
      <c r="AHZ526" s="1358"/>
      <c r="AIA526" s="1358"/>
      <c r="AIB526" s="1358"/>
      <c r="AIC526" s="1358"/>
      <c r="AID526" s="1358"/>
      <c r="AIE526" s="1358"/>
      <c r="AIF526" s="1358"/>
      <c r="AIG526" s="1358"/>
      <c r="AIH526" s="1358"/>
      <c r="AII526" s="1358"/>
      <c r="AIJ526" s="1358"/>
      <c r="AIK526" s="1358"/>
      <c r="AIL526" s="1358"/>
      <c r="AIM526" s="1358"/>
      <c r="AIN526" s="1358"/>
      <c r="AIO526" s="1358"/>
      <c r="AIP526" s="1358"/>
      <c r="AIQ526" s="1358"/>
      <c r="AIR526" s="1358"/>
      <c r="AIS526" s="1358"/>
      <c r="AIT526" s="1358"/>
      <c r="AIU526" s="1358"/>
      <c r="AIV526" s="1358"/>
      <c r="AIW526" s="1358"/>
      <c r="AIX526" s="1358"/>
      <c r="AIY526" s="1358"/>
      <c r="AIZ526" s="1358"/>
      <c r="AJA526" s="1358"/>
      <c r="AJB526" s="1358"/>
      <c r="AJC526" s="1358"/>
      <c r="AJD526" s="1358"/>
      <c r="AJE526" s="1358"/>
      <c r="AJF526" s="1358"/>
      <c r="AJG526" s="1358"/>
      <c r="AJH526" s="1358"/>
      <c r="AJI526" s="1358"/>
      <c r="AJJ526" s="1358"/>
      <c r="AJK526" s="1358"/>
      <c r="AJL526" s="1358"/>
      <c r="AJM526" s="1358"/>
      <c r="AJN526" s="1358"/>
      <c r="AJO526" s="1358"/>
      <c r="AJP526" s="1358"/>
      <c r="AJQ526" s="1358"/>
      <c r="AJR526" s="1358"/>
      <c r="AJS526" s="1358"/>
      <c r="AJT526" s="1358"/>
      <c r="AJU526" s="1358"/>
      <c r="AJV526" s="1358"/>
      <c r="AJW526" s="1358"/>
      <c r="AJX526" s="1358"/>
      <c r="AJY526" s="1358"/>
      <c r="AJZ526" s="1358"/>
      <c r="AKA526" s="1358"/>
      <c r="AKB526" s="1358"/>
      <c r="AKC526" s="1358"/>
      <c r="AKD526" s="1358"/>
      <c r="AKE526" s="1358"/>
      <c r="AKF526" s="1358"/>
      <c r="AKG526" s="1358"/>
      <c r="AKH526" s="1358"/>
      <c r="AKI526" s="1358"/>
      <c r="AKJ526" s="1358"/>
      <c r="AKK526" s="1358"/>
      <c r="AKL526" s="1358"/>
      <c r="AKM526" s="1358"/>
      <c r="AKN526" s="1358"/>
      <c r="AKO526" s="1358"/>
      <c r="AKP526" s="1358"/>
      <c r="AKQ526" s="1358"/>
      <c r="AKR526" s="1358"/>
      <c r="AKS526" s="1358"/>
      <c r="AKT526" s="1358"/>
      <c r="AKU526" s="1358"/>
      <c r="AKV526" s="1358"/>
      <c r="AKW526" s="1358"/>
      <c r="AKX526" s="1358"/>
      <c r="AKY526" s="1358"/>
      <c r="AKZ526" s="1358"/>
      <c r="ALA526" s="1358"/>
      <c r="ALB526" s="1358"/>
      <c r="ALC526" s="1358"/>
      <c r="ALD526" s="1358"/>
      <c r="ALE526" s="1358"/>
      <c r="ALF526" s="1358"/>
      <c r="ALG526" s="1358"/>
      <c r="ALH526" s="1358"/>
      <c r="ALI526" s="1358"/>
      <c r="ALJ526" s="1358"/>
      <c r="ALK526" s="1358"/>
      <c r="ALL526" s="1358"/>
      <c r="ALM526" s="1358"/>
      <c r="ALN526" s="1358"/>
      <c r="ALO526" s="1358"/>
      <c r="ALP526" s="1358"/>
      <c r="ALQ526" s="1358"/>
      <c r="ALR526" s="1358"/>
      <c r="ALS526" s="1358"/>
      <c r="ALT526" s="1358"/>
      <c r="ALU526" s="1358"/>
      <c r="ALV526" s="1358"/>
      <c r="ALW526" s="1358"/>
      <c r="ALX526" s="1358"/>
      <c r="ALY526" s="1358"/>
      <c r="ALZ526" s="1358"/>
      <c r="AMA526" s="1358"/>
      <c r="AMB526" s="1358"/>
      <c r="AMC526" s="1358"/>
      <c r="AMD526" s="1358"/>
      <c r="AME526" s="1358"/>
      <c r="AMF526" s="1358"/>
      <c r="AMG526" s="1358"/>
      <c r="AMH526" s="1358"/>
      <c r="AMI526" s="1358"/>
      <c r="AMJ526" s="1358"/>
      <c r="AMK526" s="1358"/>
      <c r="AML526" s="1358"/>
      <c r="AMM526" s="1358"/>
      <c r="AMN526" s="1358"/>
      <c r="AMO526" s="1358"/>
      <c r="AMP526" s="1358"/>
      <c r="AMQ526" s="1358"/>
      <c r="AMR526" s="1358"/>
      <c r="AMS526" s="1358"/>
      <c r="AMT526" s="1358"/>
      <c r="AMU526" s="1358"/>
      <c r="AMV526" s="1358"/>
      <c r="AMW526" s="1358"/>
      <c r="AMX526" s="1358"/>
      <c r="AMY526" s="1358"/>
      <c r="AMZ526" s="1358"/>
      <c r="ANA526" s="1358"/>
      <c r="ANB526" s="1358"/>
      <c r="ANC526" s="1358"/>
      <c r="AND526" s="1358"/>
      <c r="ANE526" s="1358"/>
      <c r="ANF526" s="1358"/>
      <c r="ANG526" s="1358"/>
      <c r="ANH526" s="1358"/>
      <c r="ANI526" s="1358"/>
      <c r="ANJ526" s="1358"/>
      <c r="ANK526" s="1358"/>
      <c r="ANL526" s="1358"/>
      <c r="ANM526" s="1358"/>
      <c r="ANN526" s="1358"/>
      <c r="ANO526" s="1358"/>
      <c r="ANP526" s="1358"/>
      <c r="ANQ526" s="1358"/>
      <c r="ANR526" s="1358"/>
      <c r="ANS526" s="1358"/>
      <c r="ANT526" s="1358"/>
      <c r="ANU526" s="1358"/>
      <c r="ANV526" s="1358"/>
      <c r="ANW526" s="1358"/>
      <c r="ANX526" s="1358"/>
      <c r="ANY526" s="1358"/>
      <c r="ANZ526" s="1358"/>
      <c r="AOA526" s="1358"/>
      <c r="AOB526" s="1358"/>
      <c r="AOC526" s="1358"/>
      <c r="AOD526" s="1358"/>
      <c r="AOE526" s="1358"/>
      <c r="AOF526" s="1358"/>
      <c r="AOG526" s="1358"/>
      <c r="AOH526" s="1358"/>
      <c r="AOI526" s="1358"/>
      <c r="AOJ526" s="1358"/>
      <c r="AOK526" s="1358"/>
      <c r="AOL526" s="1358"/>
      <c r="AOM526" s="1358"/>
      <c r="AON526" s="1358"/>
      <c r="AOO526" s="1358"/>
      <c r="AOP526" s="1358"/>
      <c r="AOQ526" s="1358"/>
      <c r="AOR526" s="1358"/>
      <c r="AOS526" s="1358"/>
      <c r="AOT526" s="1358"/>
      <c r="AOU526" s="1358"/>
      <c r="AOV526" s="1358"/>
      <c r="AOW526" s="1358"/>
      <c r="AOX526" s="1358"/>
      <c r="AOY526" s="1358"/>
      <c r="AOZ526" s="1358"/>
      <c r="APA526" s="1358"/>
      <c r="APB526" s="1358"/>
      <c r="APC526" s="1358"/>
      <c r="APD526" s="1358"/>
      <c r="APE526" s="1358"/>
      <c r="APF526" s="1358"/>
      <c r="APG526" s="1358"/>
      <c r="APH526" s="1358"/>
      <c r="API526" s="1358"/>
      <c r="APJ526" s="1358"/>
      <c r="APK526" s="1358"/>
      <c r="APL526" s="1358"/>
      <c r="APM526" s="1358"/>
      <c r="APN526" s="1358"/>
      <c r="APO526" s="1358"/>
      <c r="APP526" s="1358"/>
      <c r="APQ526" s="1358"/>
      <c r="APR526" s="1358"/>
      <c r="APS526" s="1358"/>
      <c r="APT526" s="1358"/>
      <c r="APU526" s="1358"/>
      <c r="APV526" s="1358"/>
      <c r="APW526" s="1358"/>
      <c r="APX526" s="1358"/>
      <c r="APY526" s="1358"/>
      <c r="APZ526" s="1358"/>
      <c r="AQA526" s="1358"/>
      <c r="AQB526" s="1358"/>
      <c r="AQC526" s="1358"/>
      <c r="AQD526" s="1358"/>
      <c r="AQE526" s="1358"/>
      <c r="AQF526" s="1358"/>
      <c r="AQG526" s="1358"/>
      <c r="AQH526" s="1358"/>
      <c r="AQI526" s="1358"/>
      <c r="AQJ526" s="1358"/>
      <c r="AQK526" s="1358"/>
      <c r="AQL526" s="1358"/>
      <c r="AQM526" s="1358"/>
      <c r="AQN526" s="1358"/>
      <c r="AQO526" s="1358"/>
      <c r="AQP526" s="1358"/>
      <c r="AQQ526" s="1358"/>
      <c r="AQR526" s="1358"/>
      <c r="AQS526" s="1358"/>
      <c r="AQT526" s="1358"/>
      <c r="AQU526" s="1358"/>
      <c r="AQV526" s="1358"/>
      <c r="AQW526" s="1358"/>
      <c r="AQX526" s="1358"/>
      <c r="AQY526" s="1358"/>
      <c r="AQZ526" s="1358"/>
      <c r="ARA526" s="1358"/>
      <c r="ARB526" s="1358"/>
      <c r="ARC526" s="1358"/>
      <c r="ARD526" s="1358"/>
      <c r="ARE526" s="1358"/>
      <c r="ARF526" s="1358"/>
      <c r="ARG526" s="1358"/>
      <c r="ARH526" s="1358"/>
      <c r="ARI526" s="1358"/>
      <c r="ARJ526" s="1358"/>
      <c r="ARK526" s="1358"/>
      <c r="ARL526" s="1358"/>
      <c r="ARM526" s="1358"/>
      <c r="ARN526" s="1358"/>
      <c r="ARO526" s="1358"/>
      <c r="ARP526" s="1358"/>
      <c r="ARQ526" s="1358"/>
      <c r="ARR526" s="1358"/>
      <c r="ARS526" s="1358"/>
      <c r="ART526" s="1358"/>
      <c r="ARU526" s="1358"/>
      <c r="ARV526" s="1358"/>
      <c r="ARW526" s="1358"/>
      <c r="ARX526" s="1358"/>
      <c r="ARY526" s="1358"/>
      <c r="ARZ526" s="1358"/>
      <c r="ASA526" s="1358"/>
      <c r="ASB526" s="1358"/>
      <c r="ASC526" s="1358"/>
      <c r="ASD526" s="1358"/>
      <c r="ASE526" s="1358"/>
      <c r="ASF526" s="1358"/>
      <c r="ASG526" s="1358"/>
      <c r="ASH526" s="1358"/>
      <c r="ASI526" s="1358"/>
      <c r="ASJ526" s="1358"/>
      <c r="ASK526" s="1358"/>
      <c r="ASL526" s="1358"/>
      <c r="ASM526" s="1358"/>
      <c r="ASN526" s="1358"/>
      <c r="ASO526" s="1358"/>
      <c r="ASP526" s="1358"/>
      <c r="ASQ526" s="1358"/>
      <c r="ASR526" s="1358"/>
      <c r="ASS526" s="1358"/>
      <c r="AST526" s="1358"/>
      <c r="ASU526" s="1358"/>
      <c r="ASV526" s="1358"/>
      <c r="ASW526" s="1358"/>
      <c r="ASX526" s="1358"/>
      <c r="ASY526" s="1358"/>
      <c r="ASZ526" s="1358"/>
      <c r="ATA526" s="1358"/>
      <c r="ATB526" s="1358"/>
      <c r="ATC526" s="1358"/>
      <c r="ATD526" s="1358"/>
      <c r="ATE526" s="1358"/>
      <c r="ATF526" s="1358"/>
      <c r="ATG526" s="1358"/>
      <c r="ATH526" s="1358"/>
      <c r="ATI526" s="1358"/>
      <c r="ATJ526" s="1358"/>
      <c r="ATK526" s="1358"/>
      <c r="ATL526" s="1358"/>
      <c r="ATM526" s="1358"/>
      <c r="ATN526" s="1358"/>
      <c r="ATO526" s="1358"/>
      <c r="ATP526" s="1358"/>
      <c r="ATQ526" s="1358"/>
      <c r="ATR526" s="1358"/>
      <c r="ATS526" s="1358"/>
      <c r="ATT526" s="1358"/>
      <c r="ATU526" s="1358"/>
      <c r="ATV526" s="1358"/>
      <c r="ATW526" s="1358"/>
      <c r="ATX526" s="1358"/>
      <c r="ATY526" s="1358"/>
      <c r="ATZ526" s="1358"/>
      <c r="AUA526" s="1358"/>
      <c r="AUB526" s="1358"/>
      <c r="AUC526" s="1358"/>
      <c r="AUD526" s="1358"/>
      <c r="AUE526" s="1358"/>
      <c r="AUF526" s="1358"/>
      <c r="AUG526" s="1358"/>
      <c r="AUH526" s="1358"/>
      <c r="AUI526" s="1358"/>
      <c r="AUJ526" s="1358"/>
      <c r="AUK526" s="1358"/>
      <c r="AUL526" s="1358"/>
      <c r="AUM526" s="1358"/>
      <c r="AUN526" s="1358"/>
      <c r="AUO526" s="1358"/>
      <c r="AUP526" s="1358"/>
      <c r="AUQ526" s="1358"/>
      <c r="AUR526" s="1358"/>
      <c r="AUS526" s="1358"/>
      <c r="AUT526" s="1358"/>
      <c r="AUU526" s="1358"/>
      <c r="AUV526" s="1358"/>
      <c r="AUW526" s="1358"/>
      <c r="AUX526" s="1358"/>
      <c r="AUY526" s="1358"/>
      <c r="AUZ526" s="1358"/>
      <c r="AVA526" s="1358"/>
      <c r="AVB526" s="1358"/>
      <c r="AVC526" s="1358"/>
      <c r="AVD526" s="1358"/>
      <c r="AVE526" s="1358"/>
      <c r="AVF526" s="1358"/>
      <c r="AVG526" s="1358"/>
      <c r="AVH526" s="1358"/>
      <c r="AVI526" s="1358"/>
      <c r="AVJ526" s="1358"/>
      <c r="AVK526" s="1358"/>
      <c r="AVL526" s="1358"/>
      <c r="AVM526" s="1358"/>
      <c r="AVN526" s="1358"/>
      <c r="AVO526" s="1358"/>
      <c r="AVP526" s="1358"/>
      <c r="AVQ526" s="1358"/>
      <c r="AVR526" s="1358"/>
      <c r="AVS526" s="1358"/>
      <c r="AVT526" s="1358"/>
      <c r="AVU526" s="1358"/>
      <c r="AVV526" s="1358"/>
      <c r="AVW526" s="1358"/>
      <c r="AVX526" s="1358"/>
      <c r="AVY526" s="1358"/>
      <c r="AVZ526" s="1358"/>
      <c r="AWA526" s="1358"/>
      <c r="AWB526" s="1358"/>
      <c r="AWC526" s="1358"/>
      <c r="AWD526" s="1358"/>
      <c r="AWE526" s="1358"/>
      <c r="AWF526" s="1358"/>
      <c r="AWG526" s="1358"/>
      <c r="AWH526" s="1358"/>
      <c r="AWI526" s="1358"/>
      <c r="AWJ526" s="1358"/>
      <c r="AWK526" s="1358"/>
      <c r="AWL526" s="1358"/>
      <c r="AWM526" s="1358"/>
      <c r="AWN526" s="1358"/>
      <c r="AWO526" s="1358"/>
      <c r="AWP526" s="1358"/>
      <c r="AWQ526" s="1358"/>
      <c r="AWR526" s="1358"/>
      <c r="AWS526" s="1358"/>
      <c r="AWT526" s="1358"/>
      <c r="AWU526" s="1358"/>
      <c r="AWV526" s="1358"/>
      <c r="AWW526" s="1358"/>
      <c r="AWX526" s="1358"/>
      <c r="AWY526" s="1358"/>
      <c r="AWZ526" s="1358"/>
      <c r="AXA526" s="1358"/>
      <c r="AXB526" s="1358"/>
      <c r="AXC526" s="1358"/>
      <c r="AXD526" s="1358"/>
      <c r="AXE526" s="1358"/>
      <c r="AXF526" s="1358"/>
      <c r="AXG526" s="1358"/>
      <c r="AXH526" s="1358"/>
      <c r="AXI526" s="1358"/>
      <c r="AXJ526" s="1358"/>
      <c r="AXK526" s="1358"/>
      <c r="AXL526" s="1358"/>
      <c r="AXM526" s="1358"/>
      <c r="AXN526" s="1358"/>
      <c r="AXO526" s="1358"/>
      <c r="AXP526" s="1358"/>
      <c r="AXQ526" s="1358"/>
      <c r="AXR526" s="1358"/>
      <c r="AXS526" s="1358"/>
      <c r="AXT526" s="1358"/>
      <c r="AXU526" s="1358"/>
      <c r="AXV526" s="1358"/>
      <c r="AXW526" s="1358"/>
      <c r="AXX526" s="1358"/>
      <c r="AXY526" s="1358"/>
      <c r="AXZ526" s="1358"/>
      <c r="AYA526" s="1358"/>
      <c r="AYB526" s="1358"/>
      <c r="AYC526" s="1358"/>
      <c r="AYD526" s="1358"/>
      <c r="AYE526" s="1358"/>
      <c r="AYF526" s="1358"/>
      <c r="AYG526" s="1358"/>
      <c r="AYH526" s="1358"/>
      <c r="AYI526" s="1358"/>
      <c r="AYJ526" s="1358"/>
      <c r="AYK526" s="1358"/>
      <c r="AYL526" s="1358"/>
      <c r="AYM526" s="1358"/>
      <c r="AYN526" s="1358"/>
      <c r="AYO526" s="1358"/>
      <c r="AYP526" s="1358"/>
      <c r="AYQ526" s="1358"/>
      <c r="AYR526" s="1358"/>
      <c r="AYS526" s="1358"/>
      <c r="AYT526" s="1358"/>
      <c r="AYU526" s="1358"/>
      <c r="AYV526" s="1358"/>
      <c r="AYW526" s="1358"/>
      <c r="AYX526" s="1358"/>
      <c r="AYY526" s="1358"/>
      <c r="AYZ526" s="1358"/>
      <c r="AZA526" s="1358"/>
      <c r="AZB526" s="1358"/>
      <c r="AZC526" s="1358"/>
      <c r="AZD526" s="1358"/>
      <c r="AZE526" s="1358"/>
      <c r="AZF526" s="1358"/>
      <c r="AZG526" s="1358"/>
      <c r="AZH526" s="1358"/>
      <c r="AZI526" s="1358"/>
      <c r="AZJ526" s="1358"/>
      <c r="AZK526" s="1358"/>
      <c r="AZL526" s="1358"/>
      <c r="AZM526" s="1358"/>
      <c r="AZN526" s="1358"/>
      <c r="AZO526" s="1358"/>
      <c r="AZP526" s="1358"/>
      <c r="AZQ526" s="1358"/>
      <c r="AZR526" s="1358"/>
      <c r="AZS526" s="1358"/>
      <c r="AZT526" s="1358"/>
      <c r="AZU526" s="1358"/>
      <c r="AZV526" s="1358"/>
      <c r="AZW526" s="1358"/>
      <c r="AZX526" s="1358"/>
      <c r="AZY526" s="1358"/>
      <c r="AZZ526" s="1358"/>
      <c r="BAA526" s="1358"/>
      <c r="BAB526" s="1358"/>
      <c r="BAC526" s="1358"/>
      <c r="BAD526" s="1358"/>
      <c r="BAE526" s="1358"/>
      <c r="BAF526" s="1358"/>
      <c r="BAG526" s="1358"/>
      <c r="BAH526" s="1358"/>
      <c r="BAI526" s="1358"/>
      <c r="BAJ526" s="1358"/>
      <c r="BAK526" s="1358"/>
      <c r="BAL526" s="1358"/>
      <c r="BAM526" s="1358"/>
      <c r="BAN526" s="1358"/>
      <c r="BAO526" s="1358"/>
      <c r="BAP526" s="1358"/>
      <c r="BAQ526" s="1358"/>
      <c r="BAR526" s="1358"/>
      <c r="BAS526" s="1358"/>
      <c r="BAT526" s="1358"/>
      <c r="BAU526" s="1358"/>
      <c r="BAV526" s="1358"/>
      <c r="BAW526" s="1358"/>
      <c r="BAX526" s="1358"/>
      <c r="BAY526" s="1358"/>
      <c r="BAZ526" s="1358"/>
      <c r="BBA526" s="1358"/>
      <c r="BBB526" s="1358"/>
      <c r="BBC526" s="1358"/>
      <c r="BBD526" s="1358"/>
      <c r="BBE526" s="1358"/>
      <c r="BBF526" s="1358"/>
      <c r="BBG526" s="1358"/>
      <c r="BBH526" s="1358"/>
      <c r="BBI526" s="1358"/>
      <c r="BBJ526" s="1358"/>
      <c r="BBK526" s="1358"/>
      <c r="BBL526" s="1358"/>
      <c r="BBM526" s="1358"/>
      <c r="BBN526" s="1358"/>
      <c r="BBO526" s="1358"/>
      <c r="BBP526" s="1358"/>
      <c r="BBQ526" s="1358"/>
      <c r="BBR526" s="1358"/>
      <c r="BBS526" s="1358"/>
      <c r="BBT526" s="1358"/>
      <c r="BBU526" s="1358"/>
      <c r="BBV526" s="1358"/>
      <c r="BBW526" s="1358"/>
      <c r="BBX526" s="1358"/>
      <c r="BBY526" s="1358"/>
      <c r="BBZ526" s="1358"/>
      <c r="BCA526" s="1358"/>
      <c r="BCB526" s="1358"/>
      <c r="BCC526" s="1358"/>
      <c r="BCD526" s="1358"/>
      <c r="BCE526" s="1358"/>
      <c r="BCF526" s="1358"/>
      <c r="BCG526" s="1358"/>
      <c r="BCH526" s="1358"/>
      <c r="BCI526" s="1358"/>
      <c r="BCJ526" s="1358"/>
      <c r="BCK526" s="1358"/>
      <c r="BCL526" s="1358"/>
      <c r="BCM526" s="1358"/>
      <c r="BCN526" s="1358"/>
      <c r="BCO526" s="1358"/>
      <c r="BCP526" s="1358"/>
      <c r="BCQ526" s="1358"/>
      <c r="BCR526" s="1358"/>
      <c r="BCS526" s="1358"/>
      <c r="BCT526" s="1358"/>
      <c r="BCU526" s="1358"/>
      <c r="BCV526" s="1358"/>
      <c r="BCW526" s="1358"/>
      <c r="BCX526" s="1358"/>
      <c r="BCY526" s="1358"/>
      <c r="BCZ526" s="1358"/>
      <c r="BDA526" s="1358"/>
      <c r="BDB526" s="1358"/>
      <c r="BDC526" s="1358"/>
      <c r="BDD526" s="1358"/>
      <c r="BDE526" s="1358"/>
      <c r="BDF526" s="1358"/>
      <c r="BDG526" s="1358"/>
      <c r="BDH526" s="1358"/>
      <c r="BDI526" s="1358"/>
      <c r="BDJ526" s="1358"/>
      <c r="BDK526" s="1358"/>
      <c r="BDL526" s="1358"/>
      <c r="BDM526" s="1358"/>
      <c r="BDN526" s="1358"/>
      <c r="BDO526" s="1358"/>
      <c r="BDP526" s="1358"/>
      <c r="BDQ526" s="1358"/>
      <c r="BDR526" s="1358"/>
      <c r="BDS526" s="1358"/>
      <c r="BDT526" s="1358"/>
      <c r="BDU526" s="1358"/>
      <c r="BDV526" s="1358"/>
      <c r="BDW526" s="1358"/>
      <c r="BDX526" s="1358"/>
      <c r="BDY526" s="1358"/>
      <c r="BDZ526" s="1358"/>
      <c r="BEA526" s="1358"/>
      <c r="BEB526" s="1358"/>
      <c r="BEC526" s="1358"/>
      <c r="BED526" s="1358"/>
      <c r="BEE526" s="1358"/>
      <c r="BEF526" s="1358"/>
      <c r="BEG526" s="1358"/>
      <c r="BEH526" s="1358"/>
      <c r="BEI526" s="1358"/>
      <c r="BEJ526" s="1358"/>
      <c r="BEK526" s="1358"/>
      <c r="BEL526" s="1358"/>
      <c r="BEM526" s="1358"/>
      <c r="BEN526" s="1358"/>
      <c r="BEO526" s="1358"/>
      <c r="BEP526" s="1358"/>
      <c r="BEQ526" s="1358"/>
      <c r="BER526" s="1358"/>
      <c r="BES526" s="1358"/>
      <c r="BET526" s="1358"/>
      <c r="BEU526" s="1358"/>
      <c r="BEV526" s="1358"/>
      <c r="BEW526" s="1358"/>
      <c r="BEX526" s="1358"/>
      <c r="BEY526" s="1358"/>
      <c r="BEZ526" s="1358"/>
      <c r="BFA526" s="1358"/>
      <c r="BFB526" s="1358"/>
      <c r="BFC526" s="1358"/>
      <c r="BFD526" s="1358"/>
      <c r="BFE526" s="1358"/>
      <c r="BFF526" s="1358"/>
      <c r="BFG526" s="1358"/>
      <c r="BFH526" s="1358"/>
      <c r="BFI526" s="1358"/>
      <c r="BFJ526" s="1358"/>
      <c r="BFK526" s="1358"/>
      <c r="BFL526" s="1358"/>
      <c r="BFM526" s="1358"/>
      <c r="BFN526" s="1358"/>
      <c r="BFO526" s="1358"/>
      <c r="BFP526" s="1358"/>
      <c r="BFQ526" s="1358"/>
      <c r="BFR526" s="1358"/>
      <c r="BFS526" s="1358"/>
      <c r="BFT526" s="1358"/>
      <c r="BFU526" s="1358"/>
      <c r="BFV526" s="1358"/>
      <c r="BFW526" s="1358"/>
      <c r="BFX526" s="1358"/>
      <c r="BFY526" s="1358"/>
      <c r="BFZ526" s="1358"/>
      <c r="BGA526" s="1358"/>
      <c r="BGB526" s="1358"/>
      <c r="BGC526" s="1358"/>
      <c r="BGD526" s="1358"/>
      <c r="BGE526" s="1358"/>
      <c r="BGF526" s="1358"/>
      <c r="BGG526" s="1358"/>
      <c r="BGH526" s="1358"/>
      <c r="BGI526" s="1358"/>
      <c r="BGJ526" s="1358"/>
      <c r="BGK526" s="1358"/>
      <c r="BGL526" s="1358"/>
      <c r="BGM526" s="1358"/>
      <c r="BGN526" s="1358"/>
      <c r="BGO526" s="1358"/>
      <c r="BGP526" s="1358"/>
      <c r="BGQ526" s="1358"/>
      <c r="BGR526" s="1358"/>
      <c r="BGS526" s="1358"/>
      <c r="BGT526" s="1358"/>
      <c r="BGU526" s="1358"/>
      <c r="BGV526" s="1358"/>
      <c r="BGW526" s="1358"/>
      <c r="BGX526" s="1358"/>
      <c r="BGY526" s="1358"/>
      <c r="BGZ526" s="1358"/>
      <c r="BHA526" s="1358"/>
      <c r="BHB526" s="1358"/>
      <c r="BHC526" s="1358"/>
      <c r="BHD526" s="1358"/>
      <c r="BHE526" s="1358"/>
      <c r="BHF526" s="1358"/>
      <c r="BHG526" s="1358"/>
      <c r="BHH526" s="1358"/>
      <c r="BHI526" s="1358"/>
      <c r="BHJ526" s="1358"/>
      <c r="BHK526" s="1358"/>
      <c r="BHL526" s="1358"/>
      <c r="BHM526" s="1358"/>
      <c r="BHN526" s="1358"/>
      <c r="BHO526" s="1358"/>
      <c r="BHP526" s="1358"/>
      <c r="BHQ526" s="1358"/>
      <c r="BHR526" s="1358"/>
      <c r="BHS526" s="1358"/>
      <c r="BHT526" s="1358"/>
      <c r="BHU526" s="1358"/>
      <c r="BHV526" s="1358"/>
      <c r="BHW526" s="1358"/>
      <c r="BHX526" s="1358"/>
      <c r="BHY526" s="1358"/>
      <c r="BHZ526" s="1358"/>
      <c r="BIA526" s="1358"/>
      <c r="BIB526" s="1358"/>
      <c r="BIC526" s="1358"/>
      <c r="BID526" s="1358"/>
      <c r="BIE526" s="1358"/>
      <c r="BIF526" s="1358"/>
      <c r="BIG526" s="1358"/>
      <c r="BIH526" s="1358"/>
      <c r="BII526" s="1358"/>
      <c r="BIJ526" s="1358"/>
      <c r="BIK526" s="1358"/>
      <c r="BIL526" s="1358"/>
      <c r="BIM526" s="1358"/>
      <c r="BIN526" s="1358"/>
      <c r="BIO526" s="1358"/>
      <c r="BIP526" s="1358"/>
      <c r="BIQ526" s="1358"/>
      <c r="BIR526" s="1358"/>
      <c r="BIS526" s="1358"/>
      <c r="BIT526" s="1358"/>
      <c r="BIU526" s="1358"/>
      <c r="BIV526" s="1358"/>
      <c r="BIW526" s="1358"/>
      <c r="BIX526" s="1358"/>
      <c r="BIY526" s="1358"/>
      <c r="BIZ526" s="1358"/>
      <c r="BJA526" s="1358"/>
      <c r="BJB526" s="1358"/>
      <c r="BJC526" s="1358"/>
      <c r="BJD526" s="1358"/>
      <c r="BJE526" s="1358"/>
      <c r="BJF526" s="1358"/>
      <c r="BJG526" s="1358"/>
      <c r="BJH526" s="1358"/>
      <c r="BJI526" s="1358"/>
      <c r="BJJ526" s="1358"/>
      <c r="BJK526" s="1358"/>
      <c r="BJL526" s="1358"/>
      <c r="BJM526" s="1358"/>
      <c r="BJN526" s="1358"/>
      <c r="BJO526" s="1358"/>
      <c r="BJP526" s="1358"/>
      <c r="BJQ526" s="1358"/>
      <c r="BJR526" s="1358"/>
      <c r="BJS526" s="1358"/>
      <c r="BJT526" s="1358"/>
      <c r="BJU526" s="1358"/>
      <c r="BJV526" s="1358"/>
      <c r="BJW526" s="1358"/>
      <c r="BJX526" s="1358"/>
      <c r="BJY526" s="1358"/>
      <c r="BJZ526" s="1358"/>
      <c r="BKA526" s="1358"/>
      <c r="BKB526" s="1358"/>
      <c r="BKC526" s="1358"/>
      <c r="BKD526" s="1358"/>
      <c r="BKE526" s="1358"/>
      <c r="BKF526" s="1358"/>
      <c r="BKG526" s="1358"/>
      <c r="BKH526" s="1358"/>
      <c r="BKI526" s="1358"/>
      <c r="BKJ526" s="1358"/>
      <c r="BKK526" s="1358"/>
      <c r="BKL526" s="1358"/>
      <c r="BKM526" s="1358"/>
      <c r="BKN526" s="1358"/>
      <c r="BKO526" s="1358"/>
      <c r="BKP526" s="1358"/>
      <c r="BKQ526" s="1358"/>
      <c r="BKR526" s="1358"/>
      <c r="BKS526" s="1358"/>
      <c r="BKT526" s="1358"/>
      <c r="BKU526" s="1358"/>
      <c r="BKV526" s="1358"/>
      <c r="BKW526" s="1358"/>
      <c r="BKX526" s="1358"/>
      <c r="BKY526" s="1358"/>
      <c r="BKZ526" s="1358"/>
      <c r="BLA526" s="1358"/>
      <c r="BLB526" s="1358"/>
      <c r="BLC526" s="1358"/>
      <c r="BLD526" s="1358"/>
      <c r="BLE526" s="1358"/>
      <c r="BLF526" s="1358"/>
      <c r="BLG526" s="1358"/>
      <c r="BLH526" s="1358"/>
      <c r="BLI526" s="1358"/>
      <c r="BLJ526" s="1358"/>
      <c r="BLK526" s="1358"/>
      <c r="BLL526" s="1358"/>
      <c r="BLM526" s="1358"/>
      <c r="BLN526" s="1358"/>
      <c r="BLO526" s="1358"/>
      <c r="BLP526" s="1358"/>
      <c r="BLQ526" s="1358"/>
      <c r="BLR526" s="1358"/>
      <c r="BLS526" s="1358"/>
      <c r="BLT526" s="1358"/>
      <c r="BLU526" s="1358"/>
      <c r="BLV526" s="1358"/>
      <c r="BLW526" s="1358"/>
      <c r="BLX526" s="1358"/>
      <c r="BLY526" s="1358"/>
      <c r="BLZ526" s="1358"/>
      <c r="BMA526" s="1358"/>
      <c r="BMB526" s="1358"/>
      <c r="BMC526" s="1358"/>
      <c r="BMD526" s="1358"/>
      <c r="BME526" s="1358"/>
      <c r="BMF526" s="1358"/>
      <c r="BMG526" s="1358"/>
      <c r="BMH526" s="1358"/>
      <c r="BMI526" s="1358"/>
      <c r="BMJ526" s="1358"/>
      <c r="BMK526" s="1358"/>
      <c r="BML526" s="1358"/>
      <c r="BMM526" s="1358"/>
      <c r="BMN526" s="1358"/>
      <c r="BMO526" s="1358"/>
      <c r="BMP526" s="1358"/>
      <c r="BMQ526" s="1358"/>
      <c r="BMR526" s="1358"/>
      <c r="BMS526" s="1358"/>
      <c r="BMT526" s="1358"/>
      <c r="BMU526" s="1358"/>
      <c r="BMV526" s="1358"/>
      <c r="BMW526" s="1358"/>
      <c r="BMX526" s="1358"/>
      <c r="BMY526" s="1358"/>
      <c r="BMZ526" s="1358"/>
      <c r="BNA526" s="1358"/>
      <c r="BNB526" s="1358"/>
      <c r="BNC526" s="1358"/>
      <c r="BND526" s="1358"/>
      <c r="BNE526" s="1358"/>
      <c r="BNF526" s="1358"/>
      <c r="BNG526" s="1358"/>
      <c r="BNH526" s="1358"/>
      <c r="BNI526" s="1358"/>
      <c r="BNJ526" s="1358"/>
      <c r="BNK526" s="1358"/>
      <c r="BNL526" s="1358"/>
      <c r="BNM526" s="1358"/>
      <c r="BNN526" s="1358"/>
      <c r="BNO526" s="1358"/>
      <c r="BNP526" s="1358"/>
      <c r="BNQ526" s="1358"/>
      <c r="BNR526" s="1358"/>
      <c r="BNS526" s="1358"/>
      <c r="BNT526" s="1358"/>
      <c r="BNU526" s="1358"/>
      <c r="BNV526" s="1358"/>
      <c r="BNW526" s="1358"/>
      <c r="BNX526" s="1358"/>
      <c r="BNY526" s="1358"/>
      <c r="BNZ526" s="1358"/>
      <c r="BOA526" s="1358"/>
      <c r="BOB526" s="1358"/>
      <c r="BOC526" s="1358"/>
      <c r="BOD526" s="1358"/>
      <c r="BOE526" s="1358"/>
      <c r="BOF526" s="1358"/>
      <c r="BOG526" s="1358"/>
      <c r="BOH526" s="1358"/>
      <c r="BOI526" s="1358"/>
      <c r="BOJ526" s="1358"/>
      <c r="BOK526" s="1358"/>
      <c r="BOL526" s="1358"/>
      <c r="BOM526" s="1358"/>
      <c r="BON526" s="1358"/>
      <c r="BOO526" s="1358"/>
      <c r="BOP526" s="1358"/>
      <c r="BOQ526" s="1358"/>
      <c r="BOR526" s="1358"/>
      <c r="BOS526" s="1358"/>
      <c r="BOT526" s="1358"/>
      <c r="BOU526" s="1358"/>
      <c r="BOV526" s="1358"/>
      <c r="BOW526" s="1358"/>
      <c r="BOX526" s="1358"/>
      <c r="BOY526" s="1358"/>
      <c r="BOZ526" s="1358"/>
      <c r="BPA526" s="1358"/>
      <c r="BPB526" s="1358"/>
      <c r="BPC526" s="1358"/>
      <c r="BPD526" s="1358"/>
      <c r="BPE526" s="1358"/>
      <c r="BPF526" s="1358"/>
      <c r="BPG526" s="1358"/>
      <c r="BPH526" s="1358"/>
      <c r="BPI526" s="1358"/>
      <c r="BPJ526" s="1358"/>
      <c r="BPK526" s="1358"/>
      <c r="BPL526" s="1358"/>
      <c r="BPM526" s="1358"/>
      <c r="BPN526" s="1358"/>
      <c r="BPO526" s="1358"/>
      <c r="BPP526" s="1358"/>
      <c r="BPQ526" s="1358"/>
      <c r="BPR526" s="1358"/>
      <c r="BPS526" s="1358"/>
      <c r="BPT526" s="1358"/>
      <c r="BPU526" s="1358"/>
      <c r="BPV526" s="1358"/>
      <c r="BPW526" s="1358"/>
      <c r="BPX526" s="1358"/>
      <c r="BPY526" s="1358"/>
      <c r="BPZ526" s="1358"/>
      <c r="BQA526" s="1358"/>
      <c r="BQB526" s="1358"/>
      <c r="BQC526" s="1358"/>
      <c r="BQD526" s="1358"/>
      <c r="BQE526" s="1358"/>
      <c r="BQF526" s="1358"/>
      <c r="BQG526" s="1358"/>
      <c r="BQH526" s="1358"/>
      <c r="BQI526" s="1358"/>
      <c r="BQJ526" s="1358"/>
      <c r="BQK526" s="1358"/>
      <c r="BQL526" s="1358"/>
      <c r="BQM526" s="1358"/>
      <c r="BQN526" s="1358"/>
      <c r="BQO526" s="1358"/>
      <c r="BQP526" s="1358"/>
      <c r="BQQ526" s="1358"/>
      <c r="BQR526" s="1358"/>
      <c r="BQS526" s="1358"/>
      <c r="BQT526" s="1358"/>
      <c r="BQU526" s="1358"/>
      <c r="BQV526" s="1358"/>
      <c r="BQW526" s="1358"/>
      <c r="BQX526" s="1358"/>
      <c r="BQY526" s="1358"/>
      <c r="BQZ526" s="1358"/>
      <c r="BRA526" s="1358"/>
      <c r="BRB526" s="1358"/>
      <c r="BRC526" s="1358"/>
      <c r="BRD526" s="1358"/>
      <c r="BRE526" s="1358"/>
      <c r="BRF526" s="1358"/>
      <c r="BRG526" s="1358"/>
      <c r="BRH526" s="1358"/>
      <c r="BRI526" s="1358"/>
      <c r="BRJ526" s="1358"/>
      <c r="BRK526" s="1358"/>
      <c r="BRL526" s="1358"/>
      <c r="BRM526" s="1358"/>
      <c r="BRN526" s="1358"/>
      <c r="BRO526" s="1358"/>
      <c r="BRP526" s="1358"/>
      <c r="BRQ526" s="1358"/>
      <c r="BRR526" s="1358"/>
      <c r="BRS526" s="1358"/>
      <c r="BRT526" s="1358"/>
      <c r="BRU526" s="1358"/>
      <c r="BRV526" s="1358"/>
      <c r="BRW526" s="1358"/>
      <c r="BRX526" s="1358"/>
      <c r="BRY526" s="1358"/>
      <c r="BRZ526" s="1358"/>
      <c r="BSA526" s="1358"/>
      <c r="BSB526" s="1358"/>
      <c r="BSC526" s="1358"/>
      <c r="BSD526" s="1358"/>
      <c r="BSE526" s="1358"/>
      <c r="BSF526" s="1358"/>
      <c r="BSG526" s="1358"/>
      <c r="BSH526" s="1358"/>
      <c r="BSI526" s="1358"/>
      <c r="BSJ526" s="1358"/>
      <c r="BSK526" s="1358"/>
      <c r="BSL526" s="1358"/>
      <c r="BSM526" s="1358"/>
      <c r="BSN526" s="1358"/>
      <c r="BSO526" s="1358"/>
      <c r="BSP526" s="1358"/>
      <c r="BSQ526" s="1358"/>
      <c r="BSR526" s="1358"/>
      <c r="BSS526" s="1358"/>
      <c r="BST526" s="1358"/>
      <c r="BSU526" s="1358"/>
      <c r="BSV526" s="1358"/>
      <c r="BSW526" s="1358"/>
      <c r="BSX526" s="1358"/>
      <c r="BSY526" s="1358"/>
      <c r="BSZ526" s="1358"/>
      <c r="BTA526" s="1358"/>
      <c r="BTB526" s="1358"/>
      <c r="BTC526" s="1358"/>
      <c r="BTD526" s="1358"/>
      <c r="BTE526" s="1358"/>
      <c r="BTF526" s="1358"/>
      <c r="BTG526" s="1358"/>
      <c r="BTH526" s="1358"/>
      <c r="BTI526" s="1358"/>
      <c r="BTJ526" s="1358"/>
      <c r="BTK526" s="1358"/>
      <c r="BTL526" s="1358"/>
      <c r="BTM526" s="1358"/>
      <c r="BTN526" s="1358"/>
      <c r="BTO526" s="1358"/>
      <c r="BTP526" s="1358"/>
      <c r="BTQ526" s="1358"/>
      <c r="BTR526" s="1358"/>
      <c r="BTS526" s="1358"/>
      <c r="BTT526" s="1358"/>
      <c r="BTU526" s="1358"/>
      <c r="BTV526" s="1358"/>
      <c r="BTW526" s="1358"/>
      <c r="BTX526" s="1358"/>
      <c r="BTY526" s="1358"/>
      <c r="BTZ526" s="1358"/>
      <c r="BUA526" s="1358"/>
      <c r="BUB526" s="1358"/>
      <c r="BUC526" s="1358"/>
      <c r="BUD526" s="1358"/>
      <c r="BUE526" s="1358"/>
      <c r="BUF526" s="1358"/>
      <c r="BUG526" s="1358"/>
      <c r="BUH526" s="1358"/>
      <c r="BUI526" s="1358"/>
      <c r="BUJ526" s="1358"/>
      <c r="BUK526" s="1358"/>
      <c r="BUL526" s="1358"/>
      <c r="BUM526" s="1358"/>
      <c r="BUN526" s="1358"/>
      <c r="BUO526" s="1358"/>
      <c r="BUP526" s="1358"/>
      <c r="BUQ526" s="1358"/>
      <c r="BUR526" s="1358"/>
      <c r="BUS526" s="1358"/>
      <c r="BUT526" s="1358"/>
      <c r="BUU526" s="1358"/>
      <c r="BUV526" s="1358"/>
      <c r="BUW526" s="1358"/>
      <c r="BUX526" s="1358"/>
      <c r="BUY526" s="1358"/>
      <c r="BUZ526" s="1358"/>
      <c r="BVA526" s="1358"/>
      <c r="BVB526" s="1358"/>
      <c r="BVC526" s="1358"/>
      <c r="BVD526" s="1358"/>
      <c r="BVE526" s="1358"/>
      <c r="BVF526" s="1358"/>
      <c r="BVG526" s="1358"/>
      <c r="BVH526" s="1358"/>
      <c r="BVI526" s="1358"/>
      <c r="BVJ526" s="1358"/>
      <c r="BVK526" s="1358"/>
      <c r="BVL526" s="1358"/>
      <c r="BVM526" s="1358"/>
      <c r="BVN526" s="1358"/>
      <c r="BVO526" s="1358"/>
      <c r="BVP526" s="1358"/>
      <c r="BVQ526" s="1358"/>
      <c r="BVR526" s="1358"/>
      <c r="BVS526" s="1358"/>
      <c r="BVT526" s="1358"/>
      <c r="BVU526" s="1358"/>
      <c r="BVV526" s="1358"/>
      <c r="BVW526" s="1358"/>
      <c r="BVX526" s="1358"/>
      <c r="BVY526" s="1358"/>
      <c r="BVZ526" s="1358"/>
      <c r="BWA526" s="1358"/>
      <c r="BWB526" s="1358"/>
      <c r="BWC526" s="1358"/>
      <c r="BWD526" s="1358"/>
      <c r="BWE526" s="1358"/>
      <c r="BWF526" s="1358"/>
      <c r="BWG526" s="1358"/>
      <c r="BWH526" s="1358"/>
      <c r="BWI526" s="1358"/>
      <c r="BWJ526" s="1358"/>
      <c r="BWK526" s="1358"/>
      <c r="BWL526" s="1358"/>
      <c r="BWM526" s="1358"/>
      <c r="BWN526" s="1358"/>
      <c r="BWO526" s="1358"/>
      <c r="BWP526" s="1358"/>
      <c r="BWQ526" s="1358"/>
      <c r="BWR526" s="1358"/>
      <c r="BWS526" s="1358"/>
      <c r="BWT526" s="1358"/>
      <c r="BWU526" s="1358"/>
      <c r="BWV526" s="1358"/>
      <c r="BWW526" s="1358"/>
      <c r="BWX526" s="1358"/>
      <c r="BWY526" s="1358"/>
      <c r="BWZ526" s="1358"/>
      <c r="BXA526" s="1358"/>
      <c r="BXB526" s="1358"/>
      <c r="BXC526" s="1358"/>
      <c r="BXD526" s="1358"/>
      <c r="BXE526" s="1358"/>
      <c r="BXF526" s="1358"/>
      <c r="BXG526" s="1358"/>
      <c r="BXH526" s="1358"/>
      <c r="BXI526" s="1358"/>
      <c r="BXJ526" s="1358"/>
      <c r="BXK526" s="1358"/>
      <c r="BXL526" s="1358"/>
      <c r="BXM526" s="1358"/>
      <c r="BXN526" s="1358"/>
      <c r="BXO526" s="1358"/>
      <c r="BXP526" s="1358"/>
      <c r="BXQ526" s="1358"/>
      <c r="BXR526" s="1358"/>
      <c r="BXS526" s="1358"/>
      <c r="BXT526" s="1358"/>
      <c r="BXU526" s="1358"/>
      <c r="BXV526" s="1358"/>
      <c r="BXW526" s="1358"/>
      <c r="BXX526" s="1358"/>
      <c r="BXY526" s="1358"/>
      <c r="BXZ526" s="1358"/>
      <c r="BYA526" s="1358"/>
      <c r="BYB526" s="1358"/>
      <c r="BYC526" s="1358"/>
      <c r="BYD526" s="1358"/>
      <c r="BYE526" s="1358"/>
      <c r="BYF526" s="1358"/>
      <c r="BYG526" s="1358"/>
      <c r="BYH526" s="1358"/>
      <c r="BYI526" s="1358"/>
      <c r="BYJ526" s="1358"/>
      <c r="BYK526" s="1358"/>
      <c r="BYL526" s="1358"/>
      <c r="BYM526" s="1358"/>
      <c r="BYN526" s="1358"/>
      <c r="BYO526" s="1358"/>
      <c r="BYP526" s="1358"/>
      <c r="BYQ526" s="1358"/>
      <c r="BYR526" s="1358"/>
      <c r="BYS526" s="1358"/>
      <c r="BYT526" s="1358"/>
      <c r="BYU526" s="1358"/>
      <c r="BYV526" s="1358"/>
      <c r="BYW526" s="1358"/>
      <c r="BYX526" s="1358"/>
      <c r="BYY526" s="1358"/>
      <c r="BYZ526" s="1358"/>
      <c r="BZA526" s="1358"/>
      <c r="BZB526" s="1358"/>
      <c r="BZC526" s="1358"/>
      <c r="BZD526" s="1358"/>
      <c r="BZE526" s="1358"/>
      <c r="BZF526" s="1358"/>
      <c r="BZG526" s="1358"/>
      <c r="BZH526" s="1358"/>
      <c r="BZI526" s="1358"/>
      <c r="BZJ526" s="1358"/>
      <c r="BZK526" s="1358"/>
      <c r="BZL526" s="1358"/>
      <c r="BZM526" s="1358"/>
      <c r="BZN526" s="1358"/>
      <c r="BZO526" s="1358"/>
      <c r="BZP526" s="1358"/>
      <c r="BZQ526" s="1358"/>
      <c r="BZR526" s="1358"/>
      <c r="BZS526" s="1358"/>
      <c r="BZT526" s="1358"/>
      <c r="BZU526" s="1358"/>
      <c r="BZV526" s="1358"/>
      <c r="BZW526" s="1358"/>
      <c r="BZX526" s="1358"/>
      <c r="BZY526" s="1358"/>
      <c r="BZZ526" s="1358"/>
      <c r="CAA526" s="1358"/>
      <c r="CAB526" s="1358"/>
      <c r="CAC526" s="1358"/>
      <c r="CAD526" s="1358"/>
      <c r="CAE526" s="1358"/>
      <c r="CAF526" s="1358"/>
      <c r="CAG526" s="1358"/>
      <c r="CAH526" s="1358"/>
      <c r="CAI526" s="1358"/>
      <c r="CAJ526" s="1358"/>
      <c r="CAK526" s="1358"/>
      <c r="CAL526" s="1358"/>
      <c r="CAM526" s="1358"/>
      <c r="CAN526" s="1358"/>
      <c r="CAO526" s="1358"/>
      <c r="CAP526" s="1358"/>
      <c r="CAQ526" s="1358"/>
      <c r="CAR526" s="1358"/>
      <c r="CAS526" s="1358"/>
      <c r="CAT526" s="1358"/>
      <c r="CAU526" s="1358"/>
      <c r="CAV526" s="1358"/>
      <c r="CAW526" s="1358"/>
      <c r="CAX526" s="1358"/>
      <c r="CAY526" s="1358"/>
      <c r="CAZ526" s="1358"/>
      <c r="CBA526" s="1358"/>
      <c r="CBB526" s="1358"/>
      <c r="CBC526" s="1358"/>
      <c r="CBD526" s="1358"/>
      <c r="CBE526" s="1358"/>
      <c r="CBF526" s="1358"/>
      <c r="CBG526" s="1358"/>
      <c r="CBH526" s="1358"/>
      <c r="CBI526" s="1358"/>
      <c r="CBJ526" s="1358"/>
      <c r="CBK526" s="1358"/>
      <c r="CBL526" s="1358"/>
      <c r="CBM526" s="1358"/>
      <c r="CBN526" s="1358"/>
      <c r="CBO526" s="1358"/>
      <c r="CBP526" s="1358"/>
      <c r="CBQ526" s="1358"/>
      <c r="CBR526" s="1358"/>
      <c r="CBS526" s="1358"/>
      <c r="CBT526" s="1358"/>
      <c r="CBU526" s="1358"/>
      <c r="CBV526" s="1358"/>
      <c r="CBW526" s="1358"/>
      <c r="CBX526" s="1358"/>
      <c r="CBY526" s="1358"/>
      <c r="CBZ526" s="1358"/>
      <c r="CCA526" s="1358"/>
      <c r="CCB526" s="1358"/>
      <c r="CCC526" s="1358"/>
      <c r="CCD526" s="1358"/>
      <c r="CCE526" s="1358"/>
      <c r="CCF526" s="1358"/>
      <c r="CCG526" s="1358"/>
      <c r="CCH526" s="1358"/>
      <c r="CCI526" s="1358"/>
      <c r="CCJ526" s="1358"/>
      <c r="CCK526" s="1358"/>
      <c r="CCL526" s="1358"/>
      <c r="CCM526" s="1358"/>
      <c r="CCN526" s="1358"/>
      <c r="CCO526" s="1358"/>
      <c r="CCP526" s="1358"/>
      <c r="CCQ526" s="1358"/>
      <c r="CCR526" s="1358"/>
      <c r="CCS526" s="1358"/>
      <c r="CCT526" s="1358"/>
      <c r="CCU526" s="1358"/>
      <c r="CCV526" s="1358"/>
      <c r="CCW526" s="1358"/>
      <c r="CCX526" s="1358"/>
      <c r="CCY526" s="1358"/>
      <c r="CCZ526" s="1358"/>
      <c r="CDA526" s="1358"/>
      <c r="CDB526" s="1358"/>
      <c r="CDC526" s="1358"/>
      <c r="CDD526" s="1358"/>
      <c r="CDE526" s="1358"/>
      <c r="CDF526" s="1358"/>
      <c r="CDG526" s="1358"/>
      <c r="CDH526" s="1358"/>
      <c r="CDI526" s="1358"/>
      <c r="CDJ526" s="1358"/>
      <c r="CDK526" s="1358"/>
      <c r="CDL526" s="1358"/>
      <c r="CDM526" s="1358"/>
      <c r="CDN526" s="1358"/>
      <c r="CDO526" s="1358"/>
      <c r="CDP526" s="1358"/>
      <c r="CDQ526" s="1358"/>
      <c r="CDR526" s="1358"/>
      <c r="CDS526" s="1358"/>
      <c r="CDT526" s="1358"/>
      <c r="CDU526" s="1358"/>
      <c r="CDV526" s="1358"/>
      <c r="CDW526" s="1358"/>
      <c r="CDX526" s="1358"/>
      <c r="CDY526" s="1358"/>
      <c r="CDZ526" s="1358"/>
      <c r="CEA526" s="1358"/>
      <c r="CEB526" s="1358"/>
      <c r="CEC526" s="1358"/>
      <c r="CED526" s="1358"/>
      <c r="CEE526" s="1358"/>
      <c r="CEF526" s="1358"/>
      <c r="CEG526" s="1358"/>
      <c r="CEH526" s="1358"/>
      <c r="CEI526" s="1358"/>
      <c r="CEJ526" s="1358"/>
      <c r="CEK526" s="1358"/>
      <c r="CEL526" s="1358"/>
      <c r="CEM526" s="1358"/>
      <c r="CEN526" s="1358"/>
      <c r="CEO526" s="1358"/>
      <c r="CEP526" s="1358"/>
      <c r="CEQ526" s="1358"/>
      <c r="CER526" s="1358"/>
      <c r="CES526" s="1358"/>
      <c r="CET526" s="1358"/>
      <c r="CEU526" s="1358"/>
      <c r="CEV526" s="1358"/>
      <c r="CEW526" s="1358"/>
      <c r="CEX526" s="1358"/>
      <c r="CEY526" s="1358"/>
      <c r="CEZ526" s="1358"/>
      <c r="CFA526" s="1358"/>
      <c r="CFB526" s="1358"/>
      <c r="CFC526" s="1358"/>
      <c r="CFD526" s="1358"/>
      <c r="CFE526" s="1358"/>
      <c r="CFF526" s="1358"/>
      <c r="CFG526" s="1358"/>
      <c r="CFH526" s="1358"/>
      <c r="CFI526" s="1358"/>
      <c r="CFJ526" s="1358"/>
      <c r="CFK526" s="1358"/>
      <c r="CFL526" s="1358"/>
      <c r="CFM526" s="1358"/>
      <c r="CFN526" s="1358"/>
      <c r="CFO526" s="1358"/>
      <c r="CFP526" s="1358"/>
      <c r="CFQ526" s="1358"/>
      <c r="CFR526" s="1358"/>
      <c r="CFS526" s="1358"/>
      <c r="CFT526" s="1358"/>
      <c r="CFU526" s="1358"/>
      <c r="CFV526" s="1358"/>
      <c r="CFW526" s="1358"/>
      <c r="CFX526" s="1358"/>
      <c r="CFY526" s="1358"/>
      <c r="CFZ526" s="1358"/>
      <c r="CGA526" s="1358"/>
      <c r="CGB526" s="1358"/>
      <c r="CGC526" s="1358"/>
      <c r="CGD526" s="1358"/>
      <c r="CGE526" s="1358"/>
      <c r="CGF526" s="1358"/>
      <c r="CGG526" s="1358"/>
      <c r="CGH526" s="1358"/>
      <c r="CGI526" s="1358"/>
      <c r="CGJ526" s="1358"/>
      <c r="CGK526" s="1358"/>
      <c r="CGL526" s="1358"/>
      <c r="CGM526" s="1358"/>
      <c r="CGN526" s="1358"/>
      <c r="CGO526" s="1358"/>
      <c r="CGP526" s="1358"/>
      <c r="CGQ526" s="1358"/>
      <c r="CGR526" s="1358"/>
      <c r="CGS526" s="1358"/>
      <c r="CGT526" s="1358"/>
      <c r="CGU526" s="1358"/>
      <c r="CGV526" s="1358"/>
      <c r="CGW526" s="1358"/>
      <c r="CGX526" s="1358"/>
      <c r="CGY526" s="1358"/>
      <c r="CGZ526" s="1358"/>
      <c r="CHA526" s="1358"/>
      <c r="CHB526" s="1358"/>
      <c r="CHC526" s="1358"/>
      <c r="CHD526" s="1358"/>
      <c r="CHE526" s="1358"/>
      <c r="CHF526" s="1358"/>
      <c r="CHG526" s="1358"/>
      <c r="CHH526" s="1358"/>
      <c r="CHI526" s="1358"/>
      <c r="CHJ526" s="1358"/>
      <c r="CHK526" s="1358"/>
      <c r="CHL526" s="1358"/>
      <c r="CHM526" s="1358"/>
      <c r="CHN526" s="1358"/>
      <c r="CHO526" s="1358"/>
      <c r="CHP526" s="1358"/>
      <c r="CHQ526" s="1358"/>
      <c r="CHR526" s="1358"/>
      <c r="CHS526" s="1358"/>
      <c r="CHT526" s="1358"/>
      <c r="CHU526" s="1358"/>
      <c r="CHV526" s="1358"/>
      <c r="CHW526" s="1358"/>
      <c r="CHX526" s="1358"/>
      <c r="CHY526" s="1358"/>
      <c r="CHZ526" s="1358"/>
      <c r="CIA526" s="1358"/>
      <c r="CIB526" s="1358"/>
      <c r="CIC526" s="1358"/>
      <c r="CID526" s="1358"/>
      <c r="CIE526" s="1358"/>
      <c r="CIF526" s="1358"/>
      <c r="CIG526" s="1358"/>
      <c r="CIH526" s="1358"/>
      <c r="CII526" s="1358"/>
      <c r="CIJ526" s="1358"/>
      <c r="CIK526" s="1358"/>
      <c r="CIL526" s="1358"/>
      <c r="CIM526" s="1358"/>
      <c r="CIN526" s="1358"/>
      <c r="CIO526" s="1358"/>
      <c r="CIP526" s="1358"/>
      <c r="CIQ526" s="1358"/>
      <c r="CIR526" s="1358"/>
      <c r="CIS526" s="1358"/>
      <c r="CIT526" s="1358"/>
      <c r="CIU526" s="1358"/>
      <c r="CIV526" s="1358"/>
      <c r="CIW526" s="1358"/>
      <c r="CIX526" s="1358"/>
      <c r="CIY526" s="1358"/>
      <c r="CIZ526" s="1358"/>
      <c r="CJA526" s="1358"/>
      <c r="CJB526" s="1358"/>
      <c r="CJC526" s="1358"/>
      <c r="CJD526" s="1358"/>
      <c r="CJE526" s="1358"/>
      <c r="CJF526" s="1358"/>
      <c r="CJG526" s="1358"/>
      <c r="CJH526" s="1358"/>
      <c r="CJI526" s="1358"/>
      <c r="CJJ526" s="1358"/>
      <c r="CJK526" s="1358"/>
      <c r="CJL526" s="1358"/>
      <c r="CJM526" s="1358"/>
      <c r="CJN526" s="1358"/>
      <c r="CJO526" s="1358"/>
      <c r="CJP526" s="1358"/>
      <c r="CJQ526" s="1358"/>
      <c r="CJR526" s="1358"/>
      <c r="CJS526" s="1358"/>
      <c r="CJT526" s="1358"/>
      <c r="CJU526" s="1358"/>
      <c r="CJV526" s="1358"/>
      <c r="CJW526" s="1358"/>
      <c r="CJX526" s="1358"/>
      <c r="CJY526" s="1358"/>
      <c r="CJZ526" s="1358"/>
      <c r="CKA526" s="1358"/>
      <c r="CKB526" s="1358"/>
      <c r="CKC526" s="1358"/>
      <c r="CKD526" s="1358"/>
      <c r="CKE526" s="1358"/>
      <c r="CKF526" s="1358"/>
      <c r="CKG526" s="1358"/>
      <c r="CKH526" s="1358"/>
      <c r="CKI526" s="1358"/>
      <c r="CKJ526" s="1358"/>
      <c r="CKK526" s="1358"/>
      <c r="CKL526" s="1358"/>
      <c r="CKM526" s="1358"/>
      <c r="CKN526" s="1358"/>
      <c r="CKO526" s="1358"/>
      <c r="CKP526" s="1358"/>
      <c r="CKQ526" s="1358"/>
      <c r="CKR526" s="1358"/>
      <c r="CKS526" s="1358"/>
      <c r="CKT526" s="1358"/>
      <c r="CKU526" s="1358"/>
      <c r="CKV526" s="1358"/>
      <c r="CKW526" s="1358"/>
      <c r="CKX526" s="1358"/>
      <c r="CKY526" s="1358"/>
      <c r="CKZ526" s="1358"/>
      <c r="CLA526" s="1358"/>
      <c r="CLB526" s="1358"/>
      <c r="CLC526" s="1358"/>
      <c r="CLD526" s="1358"/>
      <c r="CLE526" s="1358"/>
      <c r="CLF526" s="1358"/>
      <c r="CLG526" s="1358"/>
      <c r="CLH526" s="1358"/>
      <c r="CLI526" s="1358"/>
      <c r="CLJ526" s="1358"/>
      <c r="CLK526" s="1358"/>
      <c r="CLL526" s="1358"/>
      <c r="CLM526" s="1358"/>
      <c r="CLN526" s="1358"/>
      <c r="CLO526" s="1358"/>
      <c r="CLP526" s="1358"/>
      <c r="CLQ526" s="1358"/>
      <c r="CLR526" s="1358"/>
      <c r="CLS526" s="1358"/>
      <c r="CLT526" s="1358"/>
      <c r="CLU526" s="1358"/>
      <c r="CLV526" s="1358"/>
      <c r="CLW526" s="1358"/>
      <c r="CLX526" s="1358"/>
      <c r="CLY526" s="1358"/>
      <c r="CLZ526" s="1358"/>
      <c r="CMA526" s="1358"/>
      <c r="CMB526" s="1358"/>
      <c r="CMC526" s="1358"/>
      <c r="CMD526" s="1358"/>
      <c r="CME526" s="1358"/>
      <c r="CMF526" s="1358"/>
      <c r="CMG526" s="1358"/>
      <c r="CMH526" s="1358"/>
      <c r="CMI526" s="1358"/>
      <c r="CMJ526" s="1358"/>
      <c r="CMK526" s="1358"/>
      <c r="CML526" s="1358"/>
      <c r="CMM526" s="1358"/>
      <c r="CMN526" s="1358"/>
      <c r="CMO526" s="1358"/>
      <c r="CMP526" s="1358"/>
      <c r="CMQ526" s="1358"/>
      <c r="CMR526" s="1358"/>
      <c r="CMS526" s="1358"/>
      <c r="CMT526" s="1358"/>
      <c r="CMU526" s="1358"/>
      <c r="CMV526" s="1358"/>
      <c r="CMW526" s="1358"/>
      <c r="CMX526" s="1358"/>
      <c r="CMY526" s="1358"/>
      <c r="CMZ526" s="1358"/>
      <c r="CNA526" s="1358"/>
      <c r="CNB526" s="1358"/>
      <c r="CNC526" s="1358"/>
      <c r="CND526" s="1358"/>
      <c r="CNE526" s="1358"/>
      <c r="CNF526" s="1358"/>
      <c r="CNG526" s="1358"/>
      <c r="CNH526" s="1358"/>
      <c r="CNI526" s="1358"/>
      <c r="CNJ526" s="1358"/>
      <c r="CNK526" s="1358"/>
      <c r="CNL526" s="1358"/>
      <c r="CNM526" s="1358"/>
      <c r="CNN526" s="1358"/>
      <c r="CNO526" s="1358"/>
      <c r="CNP526" s="1358"/>
      <c r="CNQ526" s="1358"/>
      <c r="CNR526" s="1358"/>
      <c r="CNS526" s="1358"/>
      <c r="CNT526" s="1358"/>
      <c r="CNU526" s="1358"/>
      <c r="CNV526" s="1358"/>
      <c r="CNW526" s="1358"/>
      <c r="CNX526" s="1358"/>
      <c r="CNY526" s="1358"/>
      <c r="CNZ526" s="1358"/>
      <c r="COA526" s="1358"/>
      <c r="COB526" s="1358"/>
      <c r="COC526" s="1358"/>
      <c r="COD526" s="1358"/>
      <c r="COE526" s="1358"/>
      <c r="COF526" s="1358"/>
      <c r="COG526" s="1358"/>
      <c r="COH526" s="1358"/>
      <c r="COI526" s="1358"/>
      <c r="COJ526" s="1358"/>
      <c r="COK526" s="1358"/>
      <c r="COL526" s="1358"/>
      <c r="COM526" s="1358"/>
      <c r="CON526" s="1358"/>
      <c r="COO526" s="1358"/>
      <c r="COP526" s="1358"/>
      <c r="COQ526" s="1358"/>
      <c r="COR526" s="1358"/>
      <c r="COS526" s="1358"/>
      <c r="COT526" s="1358"/>
      <c r="COU526" s="1358"/>
      <c r="COV526" s="1358"/>
      <c r="COW526" s="1358"/>
      <c r="COX526" s="1358"/>
      <c r="COY526" s="1358"/>
      <c r="COZ526" s="1358"/>
      <c r="CPA526" s="1358"/>
      <c r="CPB526" s="1358"/>
      <c r="CPC526" s="1358"/>
      <c r="CPD526" s="1358"/>
      <c r="CPE526" s="1358"/>
      <c r="CPF526" s="1358"/>
      <c r="CPG526" s="1358"/>
      <c r="CPH526" s="1358"/>
      <c r="CPI526" s="1358"/>
      <c r="CPJ526" s="1358"/>
      <c r="CPK526" s="1358"/>
      <c r="CPL526" s="1358"/>
      <c r="CPM526" s="1358"/>
      <c r="CPN526" s="1358"/>
      <c r="CPO526" s="1358"/>
      <c r="CPP526" s="1358"/>
      <c r="CPQ526" s="1358"/>
      <c r="CPR526" s="1358"/>
      <c r="CPS526" s="1358"/>
      <c r="CPT526" s="1358"/>
      <c r="CPU526" s="1358"/>
      <c r="CPV526" s="1358"/>
      <c r="CPW526" s="1358"/>
      <c r="CPX526" s="1358"/>
      <c r="CPY526" s="1358"/>
      <c r="CPZ526" s="1358"/>
      <c r="CQA526" s="1358"/>
      <c r="CQB526" s="1358"/>
      <c r="CQC526" s="1358"/>
      <c r="CQD526" s="1358"/>
      <c r="CQE526" s="1358"/>
      <c r="CQF526" s="1358"/>
      <c r="CQG526" s="1358"/>
      <c r="CQH526" s="1358"/>
      <c r="CQI526" s="1358"/>
      <c r="CQJ526" s="1358"/>
      <c r="CQK526" s="1358"/>
      <c r="CQL526" s="1358"/>
      <c r="CQM526" s="1358"/>
      <c r="CQN526" s="1358"/>
      <c r="CQO526" s="1358"/>
      <c r="CQP526" s="1358"/>
      <c r="CQQ526" s="1358"/>
      <c r="CQR526" s="1358"/>
      <c r="CQS526" s="1358"/>
      <c r="CQT526" s="1358"/>
      <c r="CQU526" s="1358"/>
      <c r="CQV526" s="1358"/>
      <c r="CQW526" s="1358"/>
      <c r="CQX526" s="1358"/>
      <c r="CQY526" s="1358"/>
      <c r="CQZ526" s="1358"/>
      <c r="CRA526" s="1358"/>
      <c r="CRB526" s="1358"/>
      <c r="CRC526" s="1358"/>
      <c r="CRD526" s="1358"/>
      <c r="CRE526" s="1358"/>
      <c r="CRF526" s="1358"/>
      <c r="CRG526" s="1358"/>
      <c r="CRH526" s="1358"/>
      <c r="CRI526" s="1358"/>
      <c r="CRJ526" s="1358"/>
      <c r="CRK526" s="1358"/>
      <c r="CRL526" s="1358"/>
      <c r="CRM526" s="1358"/>
      <c r="CRN526" s="1358"/>
      <c r="CRO526" s="1358"/>
      <c r="CRP526" s="1358"/>
      <c r="CRQ526" s="1358"/>
      <c r="CRR526" s="1358"/>
      <c r="CRS526" s="1358"/>
      <c r="CRT526" s="1358"/>
      <c r="CRU526" s="1358"/>
      <c r="CRV526" s="1358"/>
      <c r="CRW526" s="1358"/>
      <c r="CRX526" s="1358"/>
      <c r="CRY526" s="1358"/>
      <c r="CRZ526" s="1358"/>
      <c r="CSA526" s="1358"/>
      <c r="CSB526" s="1358"/>
      <c r="CSC526" s="1358"/>
      <c r="CSD526" s="1358"/>
      <c r="CSE526" s="1358"/>
      <c r="CSF526" s="1358"/>
      <c r="CSG526" s="1358"/>
      <c r="CSH526" s="1358"/>
      <c r="CSI526" s="1358"/>
      <c r="CSJ526" s="1358"/>
      <c r="CSK526" s="1358"/>
      <c r="CSL526" s="1358"/>
      <c r="CSM526" s="1358"/>
      <c r="CSN526" s="1358"/>
      <c r="CSO526" s="1358"/>
      <c r="CSP526" s="1358"/>
      <c r="CSQ526" s="1358"/>
      <c r="CSR526" s="1358"/>
      <c r="CSS526" s="1358"/>
      <c r="CST526" s="1358"/>
      <c r="CSU526" s="1358"/>
      <c r="CSV526" s="1358"/>
      <c r="CSW526" s="1358"/>
      <c r="CSX526" s="1358"/>
      <c r="CSY526" s="1358"/>
      <c r="CSZ526" s="1358"/>
      <c r="CTA526" s="1358"/>
      <c r="CTB526" s="1358"/>
      <c r="CTC526" s="1358"/>
      <c r="CTD526" s="1358"/>
      <c r="CTE526" s="1358"/>
      <c r="CTF526" s="1358"/>
      <c r="CTG526" s="1358"/>
      <c r="CTH526" s="1358"/>
      <c r="CTI526" s="1358"/>
      <c r="CTJ526" s="1358"/>
      <c r="CTK526" s="1358"/>
      <c r="CTL526" s="1358"/>
      <c r="CTM526" s="1358"/>
      <c r="CTN526" s="1358"/>
      <c r="CTO526" s="1358"/>
      <c r="CTP526" s="1358"/>
      <c r="CTQ526" s="1358"/>
      <c r="CTR526" s="1358"/>
      <c r="CTS526" s="1358"/>
      <c r="CTT526" s="1358"/>
      <c r="CTU526" s="1358"/>
      <c r="CTV526" s="1358"/>
      <c r="CTW526" s="1358"/>
      <c r="CTX526" s="1358"/>
      <c r="CTY526" s="1358"/>
      <c r="CTZ526" s="1358"/>
      <c r="CUA526" s="1358"/>
      <c r="CUB526" s="1358"/>
      <c r="CUC526" s="1358"/>
      <c r="CUD526" s="1358"/>
      <c r="CUE526" s="1358"/>
      <c r="CUF526" s="1358"/>
      <c r="CUG526" s="1358"/>
      <c r="CUH526" s="1358"/>
      <c r="CUI526" s="1358"/>
      <c r="CUJ526" s="1358"/>
      <c r="CUK526" s="1358"/>
      <c r="CUL526" s="1358"/>
      <c r="CUM526" s="1358"/>
      <c r="CUN526" s="1358"/>
      <c r="CUO526" s="1358"/>
      <c r="CUP526" s="1358"/>
      <c r="CUQ526" s="1358"/>
      <c r="CUR526" s="1358"/>
      <c r="CUS526" s="1358"/>
      <c r="CUT526" s="1358"/>
      <c r="CUU526" s="1358"/>
      <c r="CUV526" s="1358"/>
      <c r="CUW526" s="1358"/>
      <c r="CUX526" s="1358"/>
      <c r="CUY526" s="1358"/>
      <c r="CUZ526" s="1358"/>
      <c r="CVA526" s="1358"/>
      <c r="CVB526" s="1358"/>
      <c r="CVC526" s="1358"/>
      <c r="CVD526" s="1358"/>
      <c r="CVE526" s="1358"/>
      <c r="CVF526" s="1358"/>
      <c r="CVG526" s="1358"/>
      <c r="CVH526" s="1358"/>
      <c r="CVI526" s="1358"/>
      <c r="CVJ526" s="1358"/>
      <c r="CVK526" s="1358"/>
      <c r="CVL526" s="1358"/>
      <c r="CVM526" s="1358"/>
      <c r="CVN526" s="1358"/>
      <c r="CVO526" s="1358"/>
      <c r="CVP526" s="1358"/>
      <c r="CVQ526" s="1358"/>
      <c r="CVR526" s="1358"/>
      <c r="CVS526" s="1358"/>
      <c r="CVT526" s="1358"/>
      <c r="CVU526" s="1358"/>
      <c r="CVV526" s="1358"/>
      <c r="CVW526" s="1358"/>
      <c r="CVX526" s="1358"/>
      <c r="CVY526" s="1358"/>
      <c r="CVZ526" s="1358"/>
      <c r="CWA526" s="1358"/>
      <c r="CWB526" s="1358"/>
      <c r="CWC526" s="1358"/>
      <c r="CWD526" s="1358"/>
      <c r="CWE526" s="1358"/>
      <c r="CWF526" s="1358"/>
      <c r="CWG526" s="1358"/>
      <c r="CWH526" s="1358"/>
      <c r="CWI526" s="1358"/>
      <c r="CWJ526" s="1358"/>
      <c r="CWK526" s="1358"/>
      <c r="CWL526" s="1358"/>
      <c r="CWM526" s="1358"/>
      <c r="CWN526" s="1358"/>
      <c r="CWO526" s="1358"/>
      <c r="CWP526" s="1358"/>
      <c r="CWQ526" s="1358"/>
      <c r="CWR526" s="1358"/>
      <c r="CWS526" s="1358"/>
      <c r="CWT526" s="1358"/>
      <c r="CWU526" s="1358"/>
      <c r="CWV526" s="1358"/>
      <c r="CWW526" s="1358"/>
      <c r="CWX526" s="1358"/>
      <c r="CWY526" s="1358"/>
      <c r="CWZ526" s="1358"/>
      <c r="CXA526" s="1358"/>
      <c r="CXB526" s="1358"/>
      <c r="CXC526" s="1358"/>
      <c r="CXD526" s="1358"/>
      <c r="CXE526" s="1358"/>
      <c r="CXF526" s="1358"/>
      <c r="CXG526" s="1358"/>
      <c r="CXH526" s="1358"/>
      <c r="CXI526" s="1358"/>
      <c r="CXJ526" s="1358"/>
      <c r="CXK526" s="1358"/>
      <c r="CXL526" s="1358"/>
      <c r="CXM526" s="1358"/>
      <c r="CXN526" s="1358"/>
      <c r="CXO526" s="1358"/>
      <c r="CXP526" s="1358"/>
      <c r="CXQ526" s="1358"/>
      <c r="CXR526" s="1358"/>
      <c r="CXS526" s="1358"/>
      <c r="CXT526" s="1358"/>
      <c r="CXU526" s="1358"/>
      <c r="CXV526" s="1358"/>
      <c r="CXW526" s="1358"/>
      <c r="CXX526" s="1358"/>
      <c r="CXY526" s="1358"/>
      <c r="CXZ526" s="1358"/>
      <c r="CYA526" s="1358"/>
      <c r="CYB526" s="1358"/>
      <c r="CYC526" s="1358"/>
      <c r="CYD526" s="1358"/>
      <c r="CYE526" s="1358"/>
      <c r="CYF526" s="1358"/>
      <c r="CYG526" s="1358"/>
      <c r="CYH526" s="1358"/>
      <c r="CYI526" s="1358"/>
      <c r="CYJ526" s="1358"/>
      <c r="CYK526" s="1358"/>
      <c r="CYL526" s="1358"/>
      <c r="CYM526" s="1358"/>
      <c r="CYN526" s="1358"/>
      <c r="CYO526" s="1358"/>
      <c r="CYP526" s="1358"/>
      <c r="CYQ526" s="1358"/>
      <c r="CYR526" s="1358"/>
      <c r="CYS526" s="1358"/>
      <c r="CYT526" s="1358"/>
      <c r="CYU526" s="1358"/>
      <c r="CYV526" s="1358"/>
      <c r="CYW526" s="1358"/>
      <c r="CYX526" s="1358"/>
      <c r="CYY526" s="1358"/>
      <c r="CYZ526" s="1358"/>
      <c r="CZA526" s="1358"/>
      <c r="CZB526" s="1358"/>
      <c r="CZC526" s="1358"/>
      <c r="CZD526" s="1358"/>
      <c r="CZE526" s="1358"/>
      <c r="CZF526" s="1358"/>
      <c r="CZG526" s="1358"/>
      <c r="CZH526" s="1358"/>
      <c r="CZI526" s="1358"/>
      <c r="CZJ526" s="1358"/>
      <c r="CZK526" s="1358"/>
      <c r="CZL526" s="1358"/>
      <c r="CZM526" s="1358"/>
      <c r="CZN526" s="1358"/>
      <c r="CZO526" s="1358"/>
      <c r="CZP526" s="1358"/>
      <c r="CZQ526" s="1358"/>
      <c r="CZR526" s="1358"/>
      <c r="CZS526" s="1358"/>
      <c r="CZT526" s="1358"/>
      <c r="CZU526" s="1358"/>
      <c r="CZV526" s="1358"/>
      <c r="CZW526" s="1358"/>
      <c r="CZX526" s="1358"/>
      <c r="CZY526" s="1358"/>
      <c r="CZZ526" s="1358"/>
      <c r="DAA526" s="1358"/>
      <c r="DAB526" s="1358"/>
      <c r="DAC526" s="1358"/>
      <c r="DAD526" s="1358"/>
      <c r="DAE526" s="1358"/>
      <c r="DAF526" s="1358"/>
      <c r="DAG526" s="1358"/>
      <c r="DAH526" s="1358"/>
      <c r="DAI526" s="1358"/>
      <c r="DAJ526" s="1358"/>
      <c r="DAK526" s="1358"/>
      <c r="DAL526" s="1358"/>
      <c r="DAM526" s="1358"/>
      <c r="DAN526" s="1358"/>
      <c r="DAO526" s="1358"/>
      <c r="DAP526" s="1358"/>
      <c r="DAQ526" s="1358"/>
      <c r="DAR526" s="1358"/>
      <c r="DAS526" s="1358"/>
      <c r="DAT526" s="1358"/>
      <c r="DAU526" s="1358"/>
      <c r="DAV526" s="1358"/>
      <c r="DAW526" s="1358"/>
      <c r="DAX526" s="1358"/>
      <c r="DAY526" s="1358"/>
      <c r="DAZ526" s="1358"/>
      <c r="DBA526" s="1358"/>
      <c r="DBB526" s="1358"/>
      <c r="DBC526" s="1358"/>
      <c r="DBD526" s="1358"/>
      <c r="DBE526" s="1358"/>
      <c r="DBF526" s="1358"/>
      <c r="DBG526" s="1358"/>
      <c r="DBH526" s="1358"/>
      <c r="DBI526" s="1358"/>
      <c r="DBJ526" s="1358"/>
      <c r="DBK526" s="1358"/>
      <c r="DBL526" s="1358"/>
      <c r="DBM526" s="1358"/>
      <c r="DBN526" s="1358"/>
      <c r="DBO526" s="1358"/>
      <c r="DBP526" s="1358"/>
      <c r="DBQ526" s="1358"/>
      <c r="DBR526" s="1358"/>
      <c r="DBS526" s="1358"/>
      <c r="DBT526" s="1358"/>
      <c r="DBU526" s="1358"/>
      <c r="DBV526" s="1358"/>
      <c r="DBW526" s="1358"/>
      <c r="DBX526" s="1358"/>
      <c r="DBY526" s="1358"/>
      <c r="DBZ526" s="1358"/>
      <c r="DCA526" s="1358"/>
      <c r="DCB526" s="1358"/>
      <c r="DCC526" s="1358"/>
      <c r="DCD526" s="1358"/>
      <c r="DCE526" s="1358"/>
      <c r="DCF526" s="1358"/>
      <c r="DCG526" s="1358"/>
      <c r="DCH526" s="1358"/>
      <c r="DCI526" s="1358"/>
      <c r="DCJ526" s="1358"/>
      <c r="DCK526" s="1358"/>
      <c r="DCL526" s="1358"/>
      <c r="DCM526" s="1358"/>
      <c r="DCN526" s="1358"/>
      <c r="DCO526" s="1358"/>
      <c r="DCP526" s="1358"/>
      <c r="DCQ526" s="1358"/>
      <c r="DCR526" s="1358"/>
      <c r="DCS526" s="1358"/>
      <c r="DCT526" s="1358"/>
      <c r="DCU526" s="1358"/>
      <c r="DCV526" s="1358"/>
      <c r="DCW526" s="1358"/>
      <c r="DCX526" s="1358"/>
      <c r="DCY526" s="1358"/>
      <c r="DCZ526" s="1358"/>
      <c r="DDA526" s="1358"/>
      <c r="DDB526" s="1358"/>
      <c r="DDC526" s="1358"/>
      <c r="DDD526" s="1358"/>
      <c r="DDE526" s="1358"/>
      <c r="DDF526" s="1358"/>
      <c r="DDG526" s="1358"/>
      <c r="DDH526" s="1358"/>
      <c r="DDI526" s="1358"/>
      <c r="DDJ526" s="1358"/>
      <c r="DDK526" s="1358"/>
      <c r="DDL526" s="1358"/>
      <c r="DDM526" s="1358"/>
      <c r="DDN526" s="1358"/>
      <c r="DDO526" s="1358"/>
      <c r="DDP526" s="1358"/>
      <c r="DDQ526" s="1358"/>
      <c r="DDR526" s="1358"/>
      <c r="DDS526" s="1358"/>
      <c r="DDT526" s="1358"/>
      <c r="DDU526" s="1358"/>
      <c r="DDV526" s="1358"/>
      <c r="DDW526" s="1358"/>
      <c r="DDX526" s="1358"/>
      <c r="DDY526" s="1358"/>
      <c r="DDZ526" s="1358"/>
      <c r="DEA526" s="1358"/>
      <c r="DEB526" s="1358"/>
      <c r="DEC526" s="1358"/>
      <c r="DED526" s="1358"/>
      <c r="DEE526" s="1358"/>
      <c r="DEF526" s="1358"/>
      <c r="DEG526" s="1358"/>
      <c r="DEH526" s="1358"/>
      <c r="DEI526" s="1358"/>
      <c r="DEJ526" s="1358"/>
      <c r="DEK526" s="1358"/>
      <c r="DEL526" s="1358"/>
      <c r="DEM526" s="1358"/>
      <c r="DEN526" s="1358"/>
      <c r="DEO526" s="1358"/>
      <c r="DEP526" s="1358"/>
      <c r="DEQ526" s="1358"/>
      <c r="DER526" s="1358"/>
      <c r="DES526" s="1358"/>
      <c r="DET526" s="1358"/>
      <c r="DEU526" s="1358"/>
      <c r="DEV526" s="1358"/>
      <c r="DEW526" s="1358"/>
      <c r="DEX526" s="1358"/>
      <c r="DEY526" s="1358"/>
      <c r="DEZ526" s="1358"/>
      <c r="DFA526" s="1358"/>
      <c r="DFB526" s="1358"/>
      <c r="DFC526" s="1358"/>
      <c r="DFD526" s="1358"/>
      <c r="DFE526" s="1358"/>
      <c r="DFF526" s="1358"/>
      <c r="DFG526" s="1358"/>
      <c r="DFH526" s="1358"/>
      <c r="DFI526" s="1358"/>
      <c r="DFJ526" s="1358"/>
      <c r="DFK526" s="1358"/>
      <c r="DFL526" s="1358"/>
      <c r="DFM526" s="1358"/>
      <c r="DFN526" s="1358"/>
      <c r="DFO526" s="1358"/>
      <c r="DFP526" s="1358"/>
      <c r="DFQ526" s="1358"/>
      <c r="DFR526" s="1358"/>
      <c r="DFS526" s="1358"/>
      <c r="DFT526" s="1358"/>
      <c r="DFU526" s="1358"/>
      <c r="DFV526" s="1358"/>
      <c r="DFW526" s="1358"/>
      <c r="DFX526" s="1358"/>
      <c r="DFY526" s="1358"/>
      <c r="DFZ526" s="1358"/>
      <c r="DGA526" s="1358"/>
      <c r="DGB526" s="1358"/>
      <c r="DGC526" s="1358"/>
      <c r="DGD526" s="1358"/>
      <c r="DGE526" s="1358"/>
      <c r="DGF526" s="1358"/>
      <c r="DGG526" s="1358"/>
      <c r="DGH526" s="1358"/>
      <c r="DGI526" s="1358"/>
      <c r="DGJ526" s="1358"/>
      <c r="DGK526" s="1358"/>
      <c r="DGL526" s="1358"/>
      <c r="DGM526" s="1358"/>
      <c r="DGN526" s="1358"/>
      <c r="DGO526" s="1358"/>
      <c r="DGP526" s="1358"/>
      <c r="DGQ526" s="1358"/>
      <c r="DGR526" s="1358"/>
      <c r="DGS526" s="1358"/>
      <c r="DGT526" s="1358"/>
      <c r="DGU526" s="1358"/>
      <c r="DGV526" s="1358"/>
      <c r="DGW526" s="1358"/>
      <c r="DGX526" s="1358"/>
      <c r="DGY526" s="1358"/>
      <c r="DGZ526" s="1358"/>
      <c r="DHA526" s="1358"/>
      <c r="DHB526" s="1358"/>
      <c r="DHC526" s="1358"/>
      <c r="DHD526" s="1358"/>
      <c r="DHE526" s="1358"/>
      <c r="DHF526" s="1358"/>
      <c r="DHG526" s="1358"/>
      <c r="DHH526" s="1358"/>
      <c r="DHI526" s="1358"/>
      <c r="DHJ526" s="1358"/>
      <c r="DHK526" s="1358"/>
      <c r="DHL526" s="1358"/>
      <c r="DHM526" s="1358"/>
      <c r="DHN526" s="1358"/>
      <c r="DHO526" s="1358"/>
      <c r="DHP526" s="1358"/>
      <c r="DHQ526" s="1358"/>
      <c r="DHR526" s="1358"/>
      <c r="DHS526" s="1358"/>
      <c r="DHT526" s="1358"/>
      <c r="DHU526" s="1358"/>
      <c r="DHV526" s="1358"/>
      <c r="DHW526" s="1358"/>
      <c r="DHX526" s="1358"/>
      <c r="DHY526" s="1358"/>
      <c r="DHZ526" s="1358"/>
      <c r="DIA526" s="1358"/>
      <c r="DIB526" s="1358"/>
      <c r="DIC526" s="1358"/>
      <c r="DID526" s="1358"/>
      <c r="DIE526" s="1358"/>
      <c r="DIF526" s="1358"/>
      <c r="DIG526" s="1358"/>
      <c r="DIH526" s="1358"/>
      <c r="DII526" s="1358"/>
      <c r="DIJ526" s="1358"/>
      <c r="DIK526" s="1358"/>
      <c r="DIL526" s="1358"/>
      <c r="DIM526" s="1358"/>
      <c r="DIN526" s="1358"/>
      <c r="DIO526" s="1358"/>
      <c r="DIP526" s="1358"/>
      <c r="DIQ526" s="1358"/>
      <c r="DIR526" s="1358"/>
      <c r="DIS526" s="1358"/>
      <c r="DIT526" s="1358"/>
      <c r="DIU526" s="1358"/>
      <c r="DIV526" s="1358"/>
      <c r="DIW526" s="1358"/>
      <c r="DIX526" s="1358"/>
      <c r="DIY526" s="1358"/>
      <c r="DIZ526" s="1358"/>
      <c r="DJA526" s="1358"/>
      <c r="DJB526" s="1358"/>
      <c r="DJC526" s="1358"/>
      <c r="DJD526" s="1358"/>
      <c r="DJE526" s="1358"/>
      <c r="DJF526" s="1358"/>
      <c r="DJG526" s="1358"/>
      <c r="DJH526" s="1358"/>
      <c r="DJI526" s="1358"/>
      <c r="DJJ526" s="1358"/>
      <c r="DJK526" s="1358"/>
      <c r="DJL526" s="1358"/>
      <c r="DJM526" s="1358"/>
      <c r="DJN526" s="1358"/>
      <c r="DJO526" s="1358"/>
      <c r="DJP526" s="1358"/>
      <c r="DJQ526" s="1358"/>
      <c r="DJR526" s="1358"/>
      <c r="DJS526" s="1358"/>
      <c r="DJT526" s="1358"/>
      <c r="DJU526" s="1358"/>
      <c r="DJV526" s="1358"/>
      <c r="DJW526" s="1358"/>
      <c r="DJX526" s="1358"/>
      <c r="DJY526" s="1358"/>
      <c r="DJZ526" s="1358"/>
      <c r="DKA526" s="1358"/>
      <c r="DKB526" s="1358"/>
      <c r="DKC526" s="1358"/>
      <c r="DKD526" s="1358"/>
      <c r="DKE526" s="1358"/>
      <c r="DKF526" s="1358"/>
      <c r="DKG526" s="1358"/>
      <c r="DKH526" s="1358"/>
      <c r="DKI526" s="1358"/>
      <c r="DKJ526" s="1358"/>
      <c r="DKK526" s="1358"/>
      <c r="DKL526" s="1358"/>
      <c r="DKM526" s="1358"/>
      <c r="DKN526" s="1358"/>
      <c r="DKO526" s="1358"/>
      <c r="DKP526" s="1358"/>
      <c r="DKQ526" s="1358"/>
      <c r="DKR526" s="1358"/>
      <c r="DKS526" s="1358"/>
      <c r="DKT526" s="1358"/>
      <c r="DKU526" s="1358"/>
      <c r="DKV526" s="1358"/>
      <c r="DKW526" s="1358"/>
      <c r="DKX526" s="1358"/>
      <c r="DKY526" s="1358"/>
      <c r="DKZ526" s="1358"/>
      <c r="DLA526" s="1358"/>
      <c r="DLB526" s="1358"/>
      <c r="DLC526" s="1358"/>
      <c r="DLD526" s="1358"/>
      <c r="DLE526" s="1358"/>
      <c r="DLF526" s="1358"/>
      <c r="DLG526" s="1358"/>
      <c r="DLH526" s="1358"/>
      <c r="DLI526" s="1358"/>
      <c r="DLJ526" s="1358"/>
      <c r="DLK526" s="1358"/>
      <c r="DLL526" s="1358"/>
      <c r="DLM526" s="1358"/>
      <c r="DLN526" s="1358"/>
      <c r="DLO526" s="1358"/>
      <c r="DLP526" s="1358"/>
      <c r="DLQ526" s="1358"/>
      <c r="DLR526" s="1358"/>
      <c r="DLS526" s="1358"/>
      <c r="DLT526" s="1358"/>
      <c r="DLU526" s="1358"/>
      <c r="DLV526" s="1358"/>
      <c r="DLW526" s="1358"/>
      <c r="DLX526" s="1358"/>
      <c r="DLY526" s="1358"/>
      <c r="DLZ526" s="1358"/>
      <c r="DMA526" s="1358"/>
      <c r="DMB526" s="1358"/>
      <c r="DMC526" s="1358"/>
      <c r="DMD526" s="1358"/>
      <c r="DME526" s="1358"/>
      <c r="DMF526" s="1358"/>
      <c r="DMG526" s="1358"/>
      <c r="DMH526" s="1358"/>
      <c r="DMI526" s="1358"/>
      <c r="DMJ526" s="1358"/>
      <c r="DMK526" s="1358"/>
      <c r="DML526" s="1358"/>
      <c r="DMM526" s="1358"/>
      <c r="DMN526" s="1358"/>
      <c r="DMO526" s="1358"/>
      <c r="DMP526" s="1358"/>
      <c r="DMQ526" s="1358"/>
      <c r="DMR526" s="1358"/>
      <c r="DMS526" s="1358"/>
      <c r="DMT526" s="1358"/>
      <c r="DMU526" s="1358"/>
      <c r="DMV526" s="1358"/>
      <c r="DMW526" s="1358"/>
      <c r="DMX526" s="1358"/>
      <c r="DMY526" s="1358"/>
      <c r="DMZ526" s="1358"/>
      <c r="DNA526" s="1358"/>
      <c r="DNB526" s="1358"/>
      <c r="DNC526" s="1358"/>
      <c r="DND526" s="1358"/>
      <c r="DNE526" s="1358"/>
      <c r="DNF526" s="1358"/>
      <c r="DNG526" s="1358"/>
      <c r="DNH526" s="1358"/>
      <c r="DNI526" s="1358"/>
      <c r="DNJ526" s="1358"/>
      <c r="DNK526" s="1358"/>
      <c r="DNL526" s="1358"/>
      <c r="DNM526" s="1358"/>
      <c r="DNN526" s="1358"/>
      <c r="DNO526" s="1358"/>
      <c r="DNP526" s="1358"/>
      <c r="DNQ526" s="1358"/>
      <c r="DNR526" s="1358"/>
      <c r="DNS526" s="1358"/>
      <c r="DNT526" s="1358"/>
      <c r="DNU526" s="1358"/>
      <c r="DNV526" s="1358"/>
      <c r="DNW526" s="1358"/>
      <c r="DNX526" s="1358"/>
      <c r="DNY526" s="1358"/>
      <c r="DNZ526" s="1358"/>
      <c r="DOA526" s="1358"/>
      <c r="DOB526" s="1358"/>
      <c r="DOC526" s="1358"/>
      <c r="DOD526" s="1358"/>
      <c r="DOE526" s="1358"/>
      <c r="DOF526" s="1358"/>
      <c r="DOG526" s="1358"/>
      <c r="DOH526" s="1358"/>
      <c r="DOI526" s="1358"/>
      <c r="DOJ526" s="1358"/>
      <c r="DOK526" s="1358"/>
      <c r="DOL526" s="1358"/>
      <c r="DOM526" s="1358"/>
      <c r="DON526" s="1358"/>
      <c r="DOO526" s="1358"/>
      <c r="DOP526" s="1358"/>
      <c r="DOQ526" s="1358"/>
      <c r="DOR526" s="1358"/>
      <c r="DOS526" s="1358"/>
      <c r="DOT526" s="1358"/>
      <c r="DOU526" s="1358"/>
      <c r="DOV526" s="1358"/>
      <c r="DOW526" s="1358"/>
      <c r="DOX526" s="1358"/>
      <c r="DOY526" s="1358"/>
      <c r="DOZ526" s="1358"/>
      <c r="DPA526" s="1358"/>
      <c r="DPB526" s="1358"/>
      <c r="DPC526" s="1358"/>
      <c r="DPD526" s="1358"/>
      <c r="DPE526" s="1358"/>
      <c r="DPF526" s="1358"/>
      <c r="DPG526" s="1358"/>
      <c r="DPH526" s="1358"/>
      <c r="DPI526" s="1358"/>
      <c r="DPJ526" s="1358"/>
      <c r="DPK526" s="1358"/>
      <c r="DPL526" s="1358"/>
      <c r="DPM526" s="1358"/>
      <c r="DPN526" s="1358"/>
      <c r="DPO526" s="1358"/>
      <c r="DPP526" s="1358"/>
      <c r="DPQ526" s="1358"/>
      <c r="DPR526" s="1358"/>
      <c r="DPS526" s="1358"/>
      <c r="DPT526" s="1358"/>
      <c r="DPU526" s="1358"/>
      <c r="DPV526" s="1358"/>
      <c r="DPW526" s="1358"/>
      <c r="DPX526" s="1358"/>
      <c r="DPY526" s="1358"/>
      <c r="DPZ526" s="1358"/>
      <c r="DQA526" s="1358"/>
      <c r="DQB526" s="1358"/>
      <c r="DQC526" s="1358"/>
      <c r="DQD526" s="1358"/>
      <c r="DQE526" s="1358"/>
      <c r="DQF526" s="1358"/>
      <c r="DQG526" s="1358"/>
      <c r="DQH526" s="1358"/>
      <c r="DQI526" s="1358"/>
      <c r="DQJ526" s="1358"/>
      <c r="DQK526" s="1358"/>
      <c r="DQL526" s="1358"/>
      <c r="DQM526" s="1358"/>
      <c r="DQN526" s="1358"/>
      <c r="DQO526" s="1358"/>
      <c r="DQP526" s="1358"/>
      <c r="DQQ526" s="1358"/>
      <c r="DQR526" s="1358"/>
      <c r="DQS526" s="1358"/>
      <c r="DQT526" s="1358"/>
      <c r="DQU526" s="1358"/>
      <c r="DQV526" s="1358"/>
      <c r="DQW526" s="1358"/>
      <c r="DQX526" s="1358"/>
      <c r="DQY526" s="1358"/>
      <c r="DQZ526" s="1358"/>
      <c r="DRA526" s="1358"/>
      <c r="DRB526" s="1358"/>
      <c r="DRC526" s="1358"/>
      <c r="DRD526" s="1358"/>
      <c r="DRE526" s="1358"/>
      <c r="DRF526" s="1358"/>
      <c r="DRG526" s="1358"/>
      <c r="DRH526" s="1358"/>
      <c r="DRI526" s="1358"/>
      <c r="DRJ526" s="1358"/>
      <c r="DRK526" s="1358"/>
      <c r="DRL526" s="1358"/>
      <c r="DRM526" s="1358"/>
      <c r="DRN526" s="1358"/>
      <c r="DRO526" s="1358"/>
      <c r="DRP526" s="1358"/>
      <c r="DRQ526" s="1358"/>
      <c r="DRR526" s="1358"/>
      <c r="DRS526" s="1358"/>
      <c r="DRT526" s="1358"/>
      <c r="DRU526" s="1358"/>
      <c r="DRV526" s="1358"/>
      <c r="DRW526" s="1358"/>
      <c r="DRX526" s="1358"/>
      <c r="DRY526" s="1358"/>
      <c r="DRZ526" s="1358"/>
      <c r="DSA526" s="1358"/>
      <c r="DSB526" s="1358"/>
      <c r="DSC526" s="1358"/>
      <c r="DSD526" s="1358"/>
      <c r="DSE526" s="1358"/>
      <c r="DSF526" s="1358"/>
      <c r="DSG526" s="1358"/>
      <c r="DSH526" s="1358"/>
      <c r="DSI526" s="1358"/>
      <c r="DSJ526" s="1358"/>
      <c r="DSK526" s="1358"/>
      <c r="DSL526" s="1358"/>
      <c r="DSM526" s="1358"/>
      <c r="DSN526" s="1358"/>
      <c r="DSO526" s="1358"/>
      <c r="DSP526" s="1358"/>
      <c r="DSQ526" s="1358"/>
      <c r="DSR526" s="1358"/>
      <c r="DSS526" s="1358"/>
      <c r="DST526" s="1358"/>
      <c r="DSU526" s="1358"/>
      <c r="DSV526" s="1358"/>
      <c r="DSW526" s="1358"/>
      <c r="DSX526" s="1358"/>
      <c r="DSY526" s="1358"/>
      <c r="DSZ526" s="1358"/>
      <c r="DTA526" s="1358"/>
      <c r="DTB526" s="1358"/>
      <c r="DTC526" s="1358"/>
      <c r="DTD526" s="1358"/>
      <c r="DTE526" s="1358"/>
      <c r="DTF526" s="1358"/>
      <c r="DTG526" s="1358"/>
      <c r="DTH526" s="1358"/>
      <c r="DTI526" s="1358"/>
      <c r="DTJ526" s="1358"/>
      <c r="DTK526" s="1358"/>
      <c r="DTL526" s="1358"/>
      <c r="DTM526" s="1358"/>
      <c r="DTN526" s="1358"/>
      <c r="DTO526" s="1358"/>
      <c r="DTP526" s="1358"/>
      <c r="DTQ526" s="1358"/>
      <c r="DTR526" s="1358"/>
      <c r="DTS526" s="1358"/>
      <c r="DTT526" s="1358"/>
      <c r="DTU526" s="1358"/>
      <c r="DTV526" s="1358"/>
      <c r="DTW526" s="1358"/>
      <c r="DTX526" s="1358"/>
      <c r="DTY526" s="1358"/>
      <c r="DTZ526" s="1358"/>
      <c r="DUA526" s="1358"/>
      <c r="DUB526" s="1358"/>
      <c r="DUC526" s="1358"/>
      <c r="DUD526" s="1358"/>
      <c r="DUE526" s="1358"/>
      <c r="DUF526" s="1358"/>
      <c r="DUG526" s="1358"/>
      <c r="DUH526" s="1358"/>
      <c r="DUI526" s="1358"/>
      <c r="DUJ526" s="1358"/>
      <c r="DUK526" s="1358"/>
      <c r="DUL526" s="1358"/>
      <c r="DUM526" s="1358"/>
      <c r="DUN526" s="1358"/>
      <c r="DUO526" s="1358"/>
      <c r="DUP526" s="1358"/>
      <c r="DUQ526" s="1358"/>
      <c r="DUR526" s="1358"/>
      <c r="DUS526" s="1358"/>
      <c r="DUT526" s="1358"/>
      <c r="DUU526" s="1358"/>
      <c r="DUV526" s="1358"/>
      <c r="DUW526" s="1358"/>
      <c r="DUX526" s="1358"/>
      <c r="DUY526" s="1358"/>
      <c r="DUZ526" s="1358"/>
      <c r="DVA526" s="1358"/>
      <c r="DVB526" s="1358"/>
      <c r="DVC526" s="1358"/>
      <c r="DVD526" s="1358"/>
      <c r="DVE526" s="1358"/>
      <c r="DVF526" s="1358"/>
      <c r="DVG526" s="1358"/>
      <c r="DVH526" s="1358"/>
      <c r="DVI526" s="1358"/>
      <c r="DVJ526" s="1358"/>
      <c r="DVK526" s="1358"/>
      <c r="DVL526" s="1358"/>
      <c r="DVM526" s="1358"/>
      <c r="DVN526" s="1358"/>
      <c r="DVO526" s="1358"/>
      <c r="DVP526" s="1358"/>
      <c r="DVQ526" s="1358"/>
      <c r="DVR526" s="1358"/>
      <c r="DVS526" s="1358"/>
      <c r="DVT526" s="1358"/>
      <c r="DVU526" s="1358"/>
      <c r="DVV526" s="1358"/>
      <c r="DVW526" s="1358"/>
      <c r="DVX526" s="1358"/>
      <c r="DVY526" s="1358"/>
      <c r="DVZ526" s="1358"/>
      <c r="DWA526" s="1358"/>
      <c r="DWB526" s="1358"/>
      <c r="DWC526" s="1358"/>
      <c r="DWD526" s="1358"/>
      <c r="DWE526" s="1358"/>
      <c r="DWF526" s="1358"/>
      <c r="DWG526" s="1358"/>
      <c r="DWH526" s="1358"/>
      <c r="DWI526" s="1358"/>
      <c r="DWJ526" s="1358"/>
      <c r="DWK526" s="1358"/>
      <c r="DWL526" s="1358"/>
      <c r="DWM526" s="1358"/>
      <c r="DWN526" s="1358"/>
      <c r="DWO526" s="1358"/>
      <c r="DWP526" s="1358"/>
      <c r="DWQ526" s="1358"/>
      <c r="DWR526" s="1358"/>
      <c r="DWS526" s="1358"/>
      <c r="DWT526" s="1358"/>
      <c r="DWU526" s="1358"/>
      <c r="DWV526" s="1358"/>
      <c r="DWW526" s="1358"/>
      <c r="DWX526" s="1358"/>
      <c r="DWY526" s="1358"/>
      <c r="DWZ526" s="1358"/>
      <c r="DXA526" s="1358"/>
      <c r="DXB526" s="1358"/>
      <c r="DXC526" s="1358"/>
      <c r="DXD526" s="1358"/>
      <c r="DXE526" s="1358"/>
      <c r="DXF526" s="1358"/>
      <c r="DXG526" s="1358"/>
      <c r="DXH526" s="1358"/>
      <c r="DXI526" s="1358"/>
      <c r="DXJ526" s="1358"/>
      <c r="DXK526" s="1358"/>
      <c r="DXL526" s="1358"/>
      <c r="DXM526" s="1358"/>
      <c r="DXN526" s="1358"/>
      <c r="DXO526" s="1358"/>
      <c r="DXP526" s="1358"/>
      <c r="DXQ526" s="1358"/>
      <c r="DXR526" s="1358"/>
      <c r="DXS526" s="1358"/>
      <c r="DXT526" s="1358"/>
      <c r="DXU526" s="1358"/>
      <c r="DXV526" s="1358"/>
      <c r="DXW526" s="1358"/>
      <c r="DXX526" s="1358"/>
      <c r="DXY526" s="1358"/>
      <c r="DXZ526" s="1358"/>
      <c r="DYA526" s="1358"/>
      <c r="DYB526" s="1358"/>
      <c r="DYC526" s="1358"/>
      <c r="DYD526" s="1358"/>
      <c r="DYE526" s="1358"/>
      <c r="DYF526" s="1358"/>
      <c r="DYG526" s="1358"/>
      <c r="DYH526" s="1358"/>
      <c r="DYI526" s="1358"/>
      <c r="DYJ526" s="1358"/>
      <c r="DYK526" s="1358"/>
      <c r="DYL526" s="1358"/>
      <c r="DYM526" s="1358"/>
      <c r="DYN526" s="1358"/>
      <c r="DYO526" s="1358"/>
      <c r="DYP526" s="1358"/>
      <c r="DYQ526" s="1358"/>
      <c r="DYR526" s="1358"/>
      <c r="DYS526" s="1358"/>
      <c r="DYT526" s="1358"/>
      <c r="DYU526" s="1358"/>
      <c r="DYV526" s="1358"/>
      <c r="DYW526" s="1358"/>
      <c r="DYX526" s="1358"/>
      <c r="DYY526" s="1358"/>
      <c r="DYZ526" s="1358"/>
      <c r="DZA526" s="1358"/>
      <c r="DZB526" s="1358"/>
      <c r="DZC526" s="1358"/>
      <c r="DZD526" s="1358"/>
      <c r="DZE526" s="1358"/>
      <c r="DZF526" s="1358"/>
      <c r="DZG526" s="1358"/>
      <c r="DZH526" s="1358"/>
      <c r="DZI526" s="1358"/>
      <c r="DZJ526" s="1358"/>
      <c r="DZK526" s="1358"/>
      <c r="DZL526" s="1358"/>
      <c r="DZM526" s="1358"/>
      <c r="DZN526" s="1358"/>
      <c r="DZO526" s="1358"/>
      <c r="DZP526" s="1358"/>
      <c r="DZQ526" s="1358"/>
      <c r="DZR526" s="1358"/>
      <c r="DZS526" s="1358"/>
      <c r="DZT526" s="1358"/>
      <c r="DZU526" s="1358"/>
      <c r="DZV526" s="1358"/>
      <c r="DZW526" s="1358"/>
      <c r="DZX526" s="1358"/>
      <c r="DZY526" s="1358"/>
      <c r="DZZ526" s="1358"/>
      <c r="EAA526" s="1358"/>
      <c r="EAB526" s="1358"/>
      <c r="EAC526" s="1358"/>
      <c r="EAD526" s="1358"/>
      <c r="EAE526" s="1358"/>
      <c r="EAF526" s="1358"/>
      <c r="EAG526" s="1358"/>
      <c r="EAH526" s="1358"/>
      <c r="EAI526" s="1358"/>
      <c r="EAJ526" s="1358"/>
      <c r="EAK526" s="1358"/>
      <c r="EAL526" s="1358"/>
      <c r="EAM526" s="1358"/>
      <c r="EAN526" s="1358"/>
      <c r="EAO526" s="1358"/>
      <c r="EAP526" s="1358"/>
      <c r="EAQ526" s="1358"/>
      <c r="EAR526" s="1358"/>
      <c r="EAS526" s="1358"/>
      <c r="EAT526" s="1358"/>
      <c r="EAU526" s="1358"/>
      <c r="EAV526" s="1358"/>
      <c r="EAW526" s="1358"/>
      <c r="EAX526" s="1358"/>
      <c r="EAY526" s="1358"/>
      <c r="EAZ526" s="1358"/>
      <c r="EBA526" s="1358"/>
      <c r="EBB526" s="1358"/>
      <c r="EBC526" s="1358"/>
      <c r="EBD526" s="1358"/>
      <c r="EBE526" s="1358"/>
      <c r="EBF526" s="1358"/>
      <c r="EBG526" s="1358"/>
      <c r="EBH526" s="1358"/>
      <c r="EBI526" s="1358"/>
      <c r="EBJ526" s="1358"/>
      <c r="EBK526" s="1358"/>
      <c r="EBL526" s="1358"/>
      <c r="EBM526" s="1358"/>
      <c r="EBN526" s="1358"/>
      <c r="EBO526" s="1358"/>
      <c r="EBP526" s="1358"/>
      <c r="EBQ526" s="1358"/>
      <c r="EBR526" s="1358"/>
      <c r="EBS526" s="1358"/>
      <c r="EBT526" s="1358"/>
      <c r="EBU526" s="1358"/>
      <c r="EBV526" s="1358"/>
      <c r="EBW526" s="1358"/>
      <c r="EBX526" s="1358"/>
      <c r="EBY526" s="1358"/>
      <c r="EBZ526" s="1358"/>
      <c r="ECA526" s="1358"/>
      <c r="ECB526" s="1358"/>
      <c r="ECC526" s="1358"/>
      <c r="ECD526" s="1358"/>
      <c r="ECE526" s="1358"/>
      <c r="ECF526" s="1358"/>
      <c r="ECG526" s="1358"/>
      <c r="ECH526" s="1358"/>
      <c r="ECI526" s="1358"/>
      <c r="ECJ526" s="1358"/>
      <c r="ECK526" s="1358"/>
      <c r="ECL526" s="1358"/>
      <c r="ECM526" s="1358"/>
      <c r="ECN526" s="1358"/>
      <c r="ECO526" s="1358"/>
      <c r="ECP526" s="1358"/>
      <c r="ECQ526" s="1358"/>
      <c r="ECR526" s="1358"/>
      <c r="ECS526" s="1358"/>
      <c r="ECT526" s="1358"/>
      <c r="ECU526" s="1358"/>
      <c r="ECV526" s="1358"/>
      <c r="ECW526" s="1358"/>
      <c r="ECX526" s="1358"/>
      <c r="ECY526" s="1358"/>
      <c r="ECZ526" s="1358"/>
      <c r="EDA526" s="1358"/>
      <c r="EDB526" s="1358"/>
      <c r="EDC526" s="1358"/>
      <c r="EDD526" s="1358"/>
      <c r="EDE526" s="1358"/>
      <c r="EDF526" s="1358"/>
      <c r="EDG526" s="1358"/>
      <c r="EDH526" s="1358"/>
      <c r="EDI526" s="1358"/>
      <c r="EDJ526" s="1358"/>
      <c r="EDK526" s="1358"/>
      <c r="EDL526" s="1358"/>
      <c r="EDM526" s="1358"/>
      <c r="EDN526" s="1358"/>
      <c r="EDO526" s="1358"/>
      <c r="EDP526" s="1358"/>
      <c r="EDQ526" s="1358"/>
      <c r="EDR526" s="1358"/>
      <c r="EDS526" s="1358"/>
      <c r="EDT526" s="1358"/>
      <c r="EDU526" s="1358"/>
      <c r="EDV526" s="1358"/>
      <c r="EDW526" s="1358"/>
      <c r="EDX526" s="1358"/>
      <c r="EDY526" s="1358"/>
      <c r="EDZ526" s="1358"/>
      <c r="EEA526" s="1358"/>
      <c r="EEB526" s="1358"/>
      <c r="EEC526" s="1358"/>
      <c r="EED526" s="1358"/>
      <c r="EEE526" s="1358"/>
      <c r="EEF526" s="1358"/>
      <c r="EEG526" s="1358"/>
      <c r="EEH526" s="1358"/>
      <c r="EEI526" s="1358"/>
      <c r="EEJ526" s="1358"/>
      <c r="EEK526" s="1358"/>
      <c r="EEL526" s="1358"/>
      <c r="EEM526" s="1358"/>
      <c r="EEN526" s="1358"/>
      <c r="EEO526" s="1358"/>
      <c r="EEP526" s="1358"/>
      <c r="EEQ526" s="1358"/>
      <c r="EER526" s="1358"/>
      <c r="EES526" s="1358"/>
      <c r="EET526" s="1358"/>
      <c r="EEU526" s="1358"/>
      <c r="EEV526" s="1358"/>
      <c r="EEW526" s="1358"/>
      <c r="EEX526" s="1358"/>
      <c r="EEY526" s="1358"/>
      <c r="EEZ526" s="1358"/>
      <c r="EFA526" s="1358"/>
      <c r="EFB526" s="1358"/>
      <c r="EFC526" s="1358"/>
      <c r="EFD526" s="1358"/>
      <c r="EFE526" s="1358"/>
      <c r="EFF526" s="1358"/>
      <c r="EFG526" s="1358"/>
      <c r="EFH526" s="1358"/>
      <c r="EFI526" s="1358"/>
      <c r="EFJ526" s="1358"/>
      <c r="EFK526" s="1358"/>
      <c r="EFL526" s="1358"/>
      <c r="EFM526" s="1358"/>
      <c r="EFN526" s="1358"/>
      <c r="EFO526" s="1358"/>
      <c r="EFP526" s="1358"/>
      <c r="EFQ526" s="1358"/>
      <c r="EFR526" s="1358"/>
      <c r="EFS526" s="1358"/>
      <c r="EFT526" s="1358"/>
      <c r="EFU526" s="1358"/>
      <c r="EFV526" s="1358"/>
      <c r="EFW526" s="1358"/>
      <c r="EFX526" s="1358"/>
      <c r="EFY526" s="1358"/>
      <c r="EFZ526" s="1358"/>
      <c r="EGA526" s="1358"/>
      <c r="EGB526" s="1358"/>
      <c r="EGC526" s="1358"/>
      <c r="EGD526" s="1358"/>
      <c r="EGE526" s="1358"/>
      <c r="EGF526" s="1358"/>
      <c r="EGG526" s="1358"/>
      <c r="EGH526" s="1358"/>
      <c r="EGI526" s="1358"/>
      <c r="EGJ526" s="1358"/>
      <c r="EGK526" s="1358"/>
      <c r="EGL526" s="1358"/>
      <c r="EGM526" s="1358"/>
      <c r="EGN526" s="1358"/>
      <c r="EGO526" s="1358"/>
      <c r="EGP526" s="1358"/>
      <c r="EGQ526" s="1358"/>
      <c r="EGR526" s="1358"/>
      <c r="EGS526" s="1358"/>
      <c r="EGT526" s="1358"/>
      <c r="EGU526" s="1358"/>
      <c r="EGV526" s="1358"/>
      <c r="EGW526" s="1358"/>
      <c r="EGX526" s="1358"/>
      <c r="EGY526" s="1358"/>
      <c r="EGZ526" s="1358"/>
      <c r="EHA526" s="1358"/>
      <c r="EHB526" s="1358"/>
      <c r="EHC526" s="1358"/>
      <c r="EHD526" s="1358"/>
      <c r="EHE526" s="1358"/>
      <c r="EHF526" s="1358"/>
      <c r="EHG526" s="1358"/>
      <c r="EHH526" s="1358"/>
      <c r="EHI526" s="1358"/>
      <c r="EHJ526" s="1358"/>
      <c r="EHK526" s="1358"/>
      <c r="EHL526" s="1358"/>
      <c r="EHM526" s="1358"/>
      <c r="EHN526" s="1358"/>
      <c r="EHO526" s="1358"/>
      <c r="EHP526" s="1358"/>
      <c r="EHQ526" s="1358"/>
      <c r="EHR526" s="1358"/>
      <c r="EHS526" s="1358"/>
      <c r="EHT526" s="1358"/>
      <c r="EHU526" s="1358"/>
      <c r="EHV526" s="1358"/>
      <c r="EHW526" s="1358"/>
      <c r="EHX526" s="1358"/>
      <c r="EHY526" s="1358"/>
      <c r="EHZ526" s="1358"/>
      <c r="EIA526" s="1358"/>
      <c r="EIB526" s="1358"/>
      <c r="EIC526" s="1358"/>
      <c r="EID526" s="1358"/>
      <c r="EIE526" s="1358"/>
      <c r="EIF526" s="1358"/>
      <c r="EIG526" s="1358"/>
      <c r="EIH526" s="1358"/>
      <c r="EII526" s="1358"/>
      <c r="EIJ526" s="1358"/>
      <c r="EIK526" s="1358"/>
      <c r="EIL526" s="1358"/>
      <c r="EIM526" s="1358"/>
      <c r="EIN526" s="1358"/>
      <c r="EIO526" s="1358"/>
      <c r="EIP526" s="1358"/>
      <c r="EIQ526" s="1358"/>
      <c r="EIR526" s="1358"/>
      <c r="EIS526" s="1358"/>
      <c r="EIT526" s="1358"/>
      <c r="EIU526" s="1358"/>
      <c r="EIV526" s="1358"/>
      <c r="EIW526" s="1358"/>
      <c r="EIX526" s="1358"/>
      <c r="EIY526" s="1358"/>
      <c r="EIZ526" s="1358"/>
      <c r="EJA526" s="1358"/>
      <c r="EJB526" s="1358"/>
      <c r="EJC526" s="1358"/>
      <c r="EJD526" s="1358"/>
      <c r="EJE526" s="1358"/>
      <c r="EJF526" s="1358"/>
      <c r="EJG526" s="1358"/>
      <c r="EJH526" s="1358"/>
      <c r="EJI526" s="1358"/>
      <c r="EJJ526" s="1358"/>
      <c r="EJK526" s="1358"/>
      <c r="EJL526" s="1358"/>
      <c r="EJM526" s="1358"/>
      <c r="EJN526" s="1358"/>
      <c r="EJO526" s="1358"/>
      <c r="EJP526" s="1358"/>
      <c r="EJQ526" s="1358"/>
      <c r="EJR526" s="1358"/>
      <c r="EJS526" s="1358"/>
      <c r="EJT526" s="1358"/>
      <c r="EJU526" s="1358"/>
      <c r="EJV526" s="1358"/>
      <c r="EJW526" s="1358"/>
      <c r="EJX526" s="1358"/>
      <c r="EJY526" s="1358"/>
      <c r="EJZ526" s="1358"/>
      <c r="EKA526" s="1358"/>
      <c r="EKB526" s="1358"/>
      <c r="EKC526" s="1358"/>
      <c r="EKD526" s="1358"/>
      <c r="EKE526" s="1358"/>
      <c r="EKF526" s="1358"/>
      <c r="EKG526" s="1358"/>
      <c r="EKH526" s="1358"/>
      <c r="EKI526" s="1358"/>
      <c r="EKJ526" s="1358"/>
      <c r="EKK526" s="1358"/>
      <c r="EKL526" s="1358"/>
      <c r="EKM526" s="1358"/>
      <c r="EKN526" s="1358"/>
      <c r="EKO526" s="1358"/>
      <c r="EKP526" s="1358"/>
      <c r="EKQ526" s="1358"/>
      <c r="EKR526" s="1358"/>
      <c r="EKS526" s="1358"/>
      <c r="EKT526" s="1358"/>
      <c r="EKU526" s="1358"/>
      <c r="EKV526" s="1358"/>
      <c r="EKW526" s="1358"/>
      <c r="EKX526" s="1358"/>
      <c r="EKY526" s="1358"/>
      <c r="EKZ526" s="1358"/>
      <c r="ELA526" s="1358"/>
      <c r="ELB526" s="1358"/>
      <c r="ELC526" s="1358"/>
      <c r="ELD526" s="1358"/>
      <c r="ELE526" s="1358"/>
      <c r="ELF526" s="1358"/>
      <c r="ELG526" s="1358"/>
      <c r="ELH526" s="1358"/>
      <c r="ELI526" s="1358"/>
      <c r="ELJ526" s="1358"/>
      <c r="ELK526" s="1358"/>
      <c r="ELL526" s="1358"/>
      <c r="ELM526" s="1358"/>
      <c r="ELN526" s="1358"/>
      <c r="ELO526" s="1358"/>
      <c r="ELP526" s="1358"/>
      <c r="ELQ526" s="1358"/>
      <c r="ELR526" s="1358"/>
      <c r="ELS526" s="1358"/>
      <c r="ELT526" s="1358"/>
      <c r="ELU526" s="1358"/>
      <c r="ELV526" s="1358"/>
      <c r="ELW526" s="1358"/>
      <c r="ELX526" s="1358"/>
      <c r="ELY526" s="1358"/>
      <c r="ELZ526" s="1358"/>
      <c r="EMA526" s="1358"/>
      <c r="EMB526" s="1358"/>
      <c r="EMC526" s="1358"/>
      <c r="EMD526" s="1358"/>
      <c r="EME526" s="1358"/>
      <c r="EMF526" s="1358"/>
      <c r="EMG526" s="1358"/>
      <c r="EMH526" s="1358"/>
      <c r="EMI526" s="1358"/>
      <c r="EMJ526" s="1358"/>
      <c r="EMK526" s="1358"/>
      <c r="EML526" s="1358"/>
      <c r="EMM526" s="1358"/>
      <c r="EMN526" s="1358"/>
      <c r="EMO526" s="1358"/>
      <c r="EMP526" s="1358"/>
      <c r="EMQ526" s="1358"/>
      <c r="EMR526" s="1358"/>
      <c r="EMS526" s="1358"/>
      <c r="EMT526" s="1358"/>
      <c r="EMU526" s="1358"/>
      <c r="EMV526" s="1358"/>
      <c r="EMW526" s="1358"/>
      <c r="EMX526" s="1358"/>
      <c r="EMY526" s="1358"/>
      <c r="EMZ526" s="1358"/>
      <c r="ENA526" s="1358"/>
      <c r="ENB526" s="1358"/>
      <c r="ENC526" s="1358"/>
      <c r="END526" s="1358"/>
      <c r="ENE526" s="1358"/>
      <c r="ENF526" s="1358"/>
      <c r="ENG526" s="1358"/>
      <c r="ENH526" s="1358"/>
      <c r="ENI526" s="1358"/>
      <c r="ENJ526" s="1358"/>
      <c r="ENK526" s="1358"/>
      <c r="ENL526" s="1358"/>
      <c r="ENM526" s="1358"/>
      <c r="ENN526" s="1358"/>
      <c r="ENO526" s="1358"/>
      <c r="ENP526" s="1358"/>
      <c r="ENQ526" s="1358"/>
      <c r="ENR526" s="1358"/>
      <c r="ENS526" s="1358"/>
      <c r="ENT526" s="1358"/>
      <c r="ENU526" s="1358"/>
      <c r="ENV526" s="1358"/>
      <c r="ENW526" s="1358"/>
      <c r="ENX526" s="1358"/>
      <c r="ENY526" s="1358"/>
      <c r="ENZ526" s="1358"/>
      <c r="EOA526" s="1358"/>
      <c r="EOB526" s="1358"/>
      <c r="EOC526" s="1358"/>
      <c r="EOD526" s="1358"/>
      <c r="EOE526" s="1358"/>
      <c r="EOF526" s="1358"/>
      <c r="EOG526" s="1358"/>
      <c r="EOH526" s="1358"/>
      <c r="EOI526" s="1358"/>
      <c r="EOJ526" s="1358"/>
      <c r="EOK526" s="1358"/>
      <c r="EOL526" s="1358"/>
      <c r="EOM526" s="1358"/>
      <c r="EON526" s="1358"/>
      <c r="EOO526" s="1358"/>
      <c r="EOP526" s="1358"/>
      <c r="EOQ526" s="1358"/>
      <c r="EOR526" s="1358"/>
      <c r="EOS526" s="1358"/>
      <c r="EOT526" s="1358"/>
      <c r="EOU526" s="1358"/>
      <c r="EOV526" s="1358"/>
      <c r="EOW526" s="1358"/>
      <c r="EOX526" s="1358"/>
      <c r="EOY526" s="1358"/>
      <c r="EOZ526" s="1358"/>
      <c r="EPA526" s="1358"/>
      <c r="EPB526" s="1358"/>
      <c r="EPC526" s="1358"/>
      <c r="EPD526" s="1358"/>
      <c r="EPE526" s="1358"/>
      <c r="EPF526" s="1358"/>
      <c r="EPG526" s="1358"/>
      <c r="EPH526" s="1358"/>
      <c r="EPI526" s="1358"/>
      <c r="EPJ526" s="1358"/>
      <c r="EPK526" s="1358"/>
      <c r="EPL526" s="1358"/>
      <c r="EPM526" s="1358"/>
      <c r="EPN526" s="1358"/>
      <c r="EPO526" s="1358"/>
      <c r="EPP526" s="1358"/>
      <c r="EPQ526" s="1358"/>
      <c r="EPR526" s="1358"/>
      <c r="EPS526" s="1358"/>
      <c r="EPT526" s="1358"/>
      <c r="EPU526" s="1358"/>
      <c r="EPV526" s="1358"/>
      <c r="EPW526" s="1358"/>
      <c r="EPX526" s="1358"/>
      <c r="EPY526" s="1358"/>
      <c r="EPZ526" s="1358"/>
      <c r="EQA526" s="1358"/>
      <c r="EQB526" s="1358"/>
      <c r="EQC526" s="1358"/>
      <c r="EQD526" s="1358"/>
      <c r="EQE526" s="1358"/>
      <c r="EQF526" s="1358"/>
      <c r="EQG526" s="1358"/>
      <c r="EQH526" s="1358"/>
      <c r="EQI526" s="1358"/>
      <c r="EQJ526" s="1358"/>
      <c r="EQK526" s="1358"/>
      <c r="EQL526" s="1358"/>
      <c r="EQM526" s="1358"/>
      <c r="EQN526" s="1358"/>
      <c r="EQO526" s="1358"/>
      <c r="EQP526" s="1358"/>
      <c r="EQQ526" s="1358"/>
      <c r="EQR526" s="1358"/>
      <c r="EQS526" s="1358"/>
      <c r="EQT526" s="1358"/>
      <c r="EQU526" s="1358"/>
      <c r="EQV526" s="1358"/>
      <c r="EQW526" s="1358"/>
      <c r="EQX526" s="1358"/>
      <c r="EQY526" s="1358"/>
      <c r="EQZ526" s="1358"/>
      <c r="ERA526" s="1358"/>
      <c r="ERB526" s="1358"/>
      <c r="ERC526" s="1358"/>
      <c r="ERD526" s="1358"/>
      <c r="ERE526" s="1358"/>
      <c r="ERF526" s="1358"/>
      <c r="ERG526" s="1358"/>
      <c r="ERH526" s="1358"/>
      <c r="ERI526" s="1358"/>
      <c r="ERJ526" s="1358"/>
      <c r="ERK526" s="1358"/>
      <c r="ERL526" s="1358"/>
      <c r="ERM526" s="1358"/>
      <c r="ERN526" s="1358"/>
      <c r="ERO526" s="1358"/>
      <c r="ERP526" s="1358"/>
      <c r="ERQ526" s="1358"/>
      <c r="ERR526" s="1358"/>
      <c r="ERS526" s="1358"/>
      <c r="ERT526" s="1358"/>
      <c r="ERU526" s="1358"/>
      <c r="ERV526" s="1358"/>
      <c r="ERW526" s="1358"/>
      <c r="ERX526" s="1358"/>
      <c r="ERY526" s="1358"/>
      <c r="ERZ526" s="1358"/>
      <c r="ESA526" s="1358"/>
      <c r="ESB526" s="1358"/>
      <c r="ESC526" s="1358"/>
      <c r="ESD526" s="1358"/>
      <c r="ESE526" s="1358"/>
      <c r="ESF526" s="1358"/>
      <c r="ESG526" s="1358"/>
      <c r="ESH526" s="1358"/>
      <c r="ESI526" s="1358"/>
      <c r="ESJ526" s="1358"/>
      <c r="ESK526" s="1358"/>
      <c r="ESL526" s="1358"/>
      <c r="ESM526" s="1358"/>
      <c r="ESN526" s="1358"/>
      <c r="ESO526" s="1358"/>
      <c r="ESP526" s="1358"/>
      <c r="ESQ526" s="1358"/>
      <c r="ESR526" s="1358"/>
      <c r="ESS526" s="1358"/>
      <c r="EST526" s="1358"/>
      <c r="ESU526" s="1358"/>
      <c r="ESV526" s="1358"/>
      <c r="ESW526" s="1358"/>
      <c r="ESX526" s="1358"/>
      <c r="ESY526" s="1358"/>
      <c r="ESZ526" s="1358"/>
      <c r="ETA526" s="1358"/>
      <c r="ETB526" s="1358"/>
      <c r="ETC526" s="1358"/>
      <c r="ETD526" s="1358"/>
      <c r="ETE526" s="1358"/>
      <c r="ETF526" s="1358"/>
      <c r="ETG526" s="1358"/>
      <c r="ETH526" s="1358"/>
      <c r="ETI526" s="1358"/>
      <c r="ETJ526" s="1358"/>
      <c r="ETK526" s="1358"/>
      <c r="ETL526" s="1358"/>
      <c r="ETM526" s="1358"/>
      <c r="ETN526" s="1358"/>
      <c r="ETO526" s="1358"/>
      <c r="ETP526" s="1358"/>
      <c r="ETQ526" s="1358"/>
      <c r="ETR526" s="1358"/>
      <c r="ETS526" s="1358"/>
      <c r="ETT526" s="1358"/>
      <c r="ETU526" s="1358"/>
      <c r="ETV526" s="1358"/>
      <c r="ETW526" s="1358"/>
      <c r="ETX526" s="1358"/>
      <c r="ETY526" s="1358"/>
      <c r="ETZ526" s="1358"/>
      <c r="EUA526" s="1358"/>
      <c r="EUB526" s="1358"/>
      <c r="EUC526" s="1358"/>
      <c r="EUD526" s="1358"/>
      <c r="EUE526" s="1358"/>
      <c r="EUF526" s="1358"/>
      <c r="EUG526" s="1358"/>
      <c r="EUH526" s="1358"/>
      <c r="EUI526" s="1358"/>
      <c r="EUJ526" s="1358"/>
      <c r="EUK526" s="1358"/>
      <c r="EUL526" s="1358"/>
      <c r="EUM526" s="1358"/>
      <c r="EUN526" s="1358"/>
      <c r="EUO526" s="1358"/>
      <c r="EUP526" s="1358"/>
      <c r="EUQ526" s="1358"/>
      <c r="EUR526" s="1358"/>
      <c r="EUS526" s="1358"/>
      <c r="EUT526" s="1358"/>
      <c r="EUU526" s="1358"/>
      <c r="EUV526" s="1358"/>
      <c r="EUW526" s="1358"/>
      <c r="EUX526" s="1358"/>
      <c r="EUY526" s="1358"/>
      <c r="EUZ526" s="1358"/>
      <c r="EVA526" s="1358"/>
      <c r="EVB526" s="1358"/>
      <c r="EVC526" s="1358"/>
      <c r="EVD526" s="1358"/>
      <c r="EVE526" s="1358"/>
      <c r="EVF526" s="1358"/>
      <c r="EVG526" s="1358"/>
      <c r="EVH526" s="1358"/>
      <c r="EVI526" s="1358"/>
      <c r="EVJ526" s="1358"/>
      <c r="EVK526" s="1358"/>
      <c r="EVL526" s="1358"/>
      <c r="EVM526" s="1358"/>
      <c r="EVN526" s="1358"/>
      <c r="EVO526" s="1358"/>
      <c r="EVP526" s="1358"/>
      <c r="EVQ526" s="1358"/>
      <c r="EVR526" s="1358"/>
      <c r="EVS526" s="1358"/>
      <c r="EVT526" s="1358"/>
      <c r="EVU526" s="1358"/>
      <c r="EVV526" s="1358"/>
      <c r="EVW526" s="1358"/>
      <c r="EVX526" s="1358"/>
      <c r="EVY526" s="1358"/>
      <c r="EVZ526" s="1358"/>
      <c r="EWA526" s="1358"/>
      <c r="EWB526" s="1358"/>
      <c r="EWC526" s="1358"/>
      <c r="EWD526" s="1358"/>
      <c r="EWE526" s="1358"/>
      <c r="EWF526" s="1358"/>
      <c r="EWG526" s="1358"/>
      <c r="EWH526" s="1358"/>
      <c r="EWI526" s="1358"/>
      <c r="EWJ526" s="1358"/>
      <c r="EWK526" s="1358"/>
      <c r="EWL526" s="1358"/>
      <c r="EWM526" s="1358"/>
      <c r="EWN526" s="1358"/>
      <c r="EWO526" s="1358"/>
      <c r="EWP526" s="1358"/>
      <c r="EWQ526" s="1358"/>
      <c r="EWR526" s="1358"/>
      <c r="EWS526" s="1358"/>
      <c r="EWT526" s="1358"/>
      <c r="EWU526" s="1358"/>
      <c r="EWV526" s="1358"/>
      <c r="EWW526" s="1358"/>
      <c r="EWX526" s="1358"/>
      <c r="EWY526" s="1358"/>
      <c r="EWZ526" s="1358"/>
      <c r="EXA526" s="1358"/>
      <c r="EXB526" s="1358"/>
      <c r="EXC526" s="1358"/>
      <c r="EXD526" s="1358"/>
      <c r="EXE526" s="1358"/>
      <c r="EXF526" s="1358"/>
      <c r="EXG526" s="1358"/>
      <c r="EXH526" s="1358"/>
      <c r="EXI526" s="1358"/>
      <c r="EXJ526" s="1358"/>
      <c r="EXK526" s="1358"/>
      <c r="EXL526" s="1358"/>
      <c r="EXM526" s="1358"/>
      <c r="EXN526" s="1358"/>
      <c r="EXO526" s="1358"/>
      <c r="EXP526" s="1358"/>
      <c r="EXQ526" s="1358"/>
      <c r="EXR526" s="1358"/>
      <c r="EXS526" s="1358"/>
      <c r="EXT526" s="1358"/>
      <c r="EXU526" s="1358"/>
      <c r="EXV526" s="1358"/>
      <c r="EXW526" s="1358"/>
      <c r="EXX526" s="1358"/>
      <c r="EXY526" s="1358"/>
      <c r="EXZ526" s="1358"/>
      <c r="EYA526" s="1358"/>
      <c r="EYB526" s="1358"/>
      <c r="EYC526" s="1358"/>
      <c r="EYD526" s="1358"/>
      <c r="EYE526" s="1358"/>
      <c r="EYF526" s="1358"/>
      <c r="EYG526" s="1358"/>
      <c r="EYH526" s="1358"/>
      <c r="EYI526" s="1358"/>
      <c r="EYJ526" s="1358"/>
      <c r="EYK526" s="1358"/>
      <c r="EYL526" s="1358"/>
      <c r="EYM526" s="1358"/>
      <c r="EYN526" s="1358"/>
      <c r="EYO526" s="1358"/>
      <c r="EYP526" s="1358"/>
      <c r="EYQ526" s="1358"/>
      <c r="EYR526" s="1358"/>
      <c r="EYS526" s="1358"/>
      <c r="EYT526" s="1358"/>
      <c r="EYU526" s="1358"/>
      <c r="EYV526" s="1358"/>
      <c r="EYW526" s="1358"/>
      <c r="EYX526" s="1358"/>
      <c r="EYY526" s="1358"/>
      <c r="EYZ526" s="1358"/>
      <c r="EZA526" s="1358"/>
      <c r="EZB526" s="1358"/>
      <c r="EZC526" s="1358"/>
      <c r="EZD526" s="1358"/>
      <c r="EZE526" s="1358"/>
      <c r="EZF526" s="1358"/>
      <c r="EZG526" s="1358"/>
      <c r="EZH526" s="1358"/>
      <c r="EZI526" s="1358"/>
      <c r="EZJ526" s="1358"/>
      <c r="EZK526" s="1358"/>
      <c r="EZL526" s="1358"/>
      <c r="EZM526" s="1358"/>
      <c r="EZN526" s="1358"/>
      <c r="EZO526" s="1358"/>
      <c r="EZP526" s="1358"/>
      <c r="EZQ526" s="1358"/>
      <c r="EZR526" s="1358"/>
      <c r="EZS526" s="1358"/>
      <c r="EZT526" s="1358"/>
      <c r="EZU526" s="1358"/>
      <c r="EZV526" s="1358"/>
      <c r="EZW526" s="1358"/>
      <c r="EZX526" s="1358"/>
      <c r="EZY526" s="1358"/>
      <c r="EZZ526" s="1358"/>
      <c r="FAA526" s="1358"/>
      <c r="FAB526" s="1358"/>
      <c r="FAC526" s="1358"/>
      <c r="FAD526" s="1358"/>
      <c r="FAE526" s="1358"/>
      <c r="FAF526" s="1358"/>
      <c r="FAG526" s="1358"/>
      <c r="FAH526" s="1358"/>
      <c r="FAI526" s="1358"/>
      <c r="FAJ526" s="1358"/>
      <c r="FAK526" s="1358"/>
      <c r="FAL526" s="1358"/>
      <c r="FAM526" s="1358"/>
      <c r="FAN526" s="1358"/>
      <c r="FAO526" s="1358"/>
      <c r="FAP526" s="1358"/>
      <c r="FAQ526" s="1358"/>
      <c r="FAR526" s="1358"/>
      <c r="FAS526" s="1358"/>
      <c r="FAT526" s="1358"/>
      <c r="FAU526" s="1358"/>
      <c r="FAV526" s="1358"/>
      <c r="FAW526" s="1358"/>
      <c r="FAX526" s="1358"/>
      <c r="FAY526" s="1358"/>
      <c r="FAZ526" s="1358"/>
      <c r="FBA526" s="1358"/>
      <c r="FBB526" s="1358"/>
      <c r="FBC526" s="1358"/>
      <c r="FBD526" s="1358"/>
      <c r="FBE526" s="1358"/>
      <c r="FBF526" s="1358"/>
      <c r="FBG526" s="1358"/>
      <c r="FBH526" s="1358"/>
      <c r="FBI526" s="1358"/>
      <c r="FBJ526" s="1358"/>
      <c r="FBK526" s="1358"/>
      <c r="FBL526" s="1358"/>
      <c r="FBM526" s="1358"/>
      <c r="FBN526" s="1358"/>
      <c r="FBO526" s="1358"/>
      <c r="FBP526" s="1358"/>
      <c r="FBQ526" s="1358"/>
      <c r="FBR526" s="1358"/>
      <c r="FBS526" s="1358"/>
      <c r="FBT526" s="1358"/>
      <c r="FBU526" s="1358"/>
      <c r="FBV526" s="1358"/>
      <c r="FBW526" s="1358"/>
      <c r="FBX526" s="1358"/>
      <c r="FBY526" s="1358"/>
      <c r="FBZ526" s="1358"/>
      <c r="FCA526" s="1358"/>
      <c r="FCB526" s="1358"/>
      <c r="FCC526" s="1358"/>
      <c r="FCD526" s="1358"/>
      <c r="FCE526" s="1358"/>
      <c r="FCF526" s="1358"/>
      <c r="FCG526" s="1358"/>
      <c r="FCH526" s="1358"/>
      <c r="FCI526" s="1358"/>
      <c r="FCJ526" s="1358"/>
      <c r="FCK526" s="1358"/>
      <c r="FCL526" s="1358"/>
      <c r="FCM526" s="1358"/>
      <c r="FCN526" s="1358"/>
      <c r="FCO526" s="1358"/>
      <c r="FCP526" s="1358"/>
      <c r="FCQ526" s="1358"/>
      <c r="FCR526" s="1358"/>
      <c r="FCS526" s="1358"/>
      <c r="FCT526" s="1358"/>
      <c r="FCU526" s="1358"/>
      <c r="FCV526" s="1358"/>
      <c r="FCW526" s="1358"/>
      <c r="FCX526" s="1358"/>
      <c r="FCY526" s="1358"/>
      <c r="FCZ526" s="1358"/>
      <c r="FDA526" s="1358"/>
      <c r="FDB526" s="1358"/>
      <c r="FDC526" s="1358"/>
      <c r="FDD526" s="1358"/>
      <c r="FDE526" s="1358"/>
      <c r="FDF526" s="1358"/>
      <c r="FDG526" s="1358"/>
      <c r="FDH526" s="1358"/>
      <c r="FDI526" s="1358"/>
      <c r="FDJ526" s="1358"/>
      <c r="FDK526" s="1358"/>
      <c r="FDL526" s="1358"/>
      <c r="FDM526" s="1358"/>
      <c r="FDN526" s="1358"/>
      <c r="FDO526" s="1358"/>
      <c r="FDP526" s="1358"/>
      <c r="FDQ526" s="1358"/>
      <c r="FDR526" s="1358"/>
      <c r="FDS526" s="1358"/>
      <c r="FDT526" s="1358"/>
      <c r="FDU526" s="1358"/>
      <c r="FDV526" s="1358"/>
      <c r="FDW526" s="1358"/>
      <c r="FDX526" s="1358"/>
      <c r="FDY526" s="1358"/>
      <c r="FDZ526" s="1358"/>
      <c r="FEA526" s="1358"/>
      <c r="FEB526" s="1358"/>
      <c r="FEC526" s="1358"/>
      <c r="FED526" s="1358"/>
      <c r="FEE526" s="1358"/>
      <c r="FEF526" s="1358"/>
      <c r="FEG526" s="1358"/>
      <c r="FEH526" s="1358"/>
      <c r="FEI526" s="1358"/>
      <c r="FEJ526" s="1358"/>
      <c r="FEK526" s="1358"/>
      <c r="FEL526" s="1358"/>
      <c r="FEM526" s="1358"/>
      <c r="FEN526" s="1358"/>
      <c r="FEO526" s="1358"/>
      <c r="FEP526" s="1358"/>
      <c r="FEQ526" s="1358"/>
      <c r="FER526" s="1358"/>
      <c r="FES526" s="1358"/>
      <c r="FET526" s="1358"/>
      <c r="FEU526" s="1358"/>
      <c r="FEV526" s="1358"/>
      <c r="FEW526" s="1358"/>
      <c r="FEX526" s="1358"/>
      <c r="FEY526" s="1358"/>
      <c r="FEZ526" s="1358"/>
      <c r="FFA526" s="1358"/>
      <c r="FFB526" s="1358"/>
      <c r="FFC526" s="1358"/>
      <c r="FFD526" s="1358"/>
      <c r="FFE526" s="1358"/>
      <c r="FFF526" s="1358"/>
      <c r="FFG526" s="1358"/>
      <c r="FFH526" s="1358"/>
      <c r="FFI526" s="1358"/>
      <c r="FFJ526" s="1358"/>
      <c r="FFK526" s="1358"/>
      <c r="FFL526" s="1358"/>
      <c r="FFM526" s="1358"/>
      <c r="FFN526" s="1358"/>
      <c r="FFO526" s="1358"/>
      <c r="FFP526" s="1358"/>
      <c r="FFQ526" s="1358"/>
      <c r="FFR526" s="1358"/>
      <c r="FFS526" s="1358"/>
      <c r="FFT526" s="1358"/>
      <c r="FFU526" s="1358"/>
      <c r="FFV526" s="1358"/>
      <c r="FFW526" s="1358"/>
      <c r="FFX526" s="1358"/>
      <c r="FFY526" s="1358"/>
      <c r="FFZ526" s="1358"/>
      <c r="FGA526" s="1358"/>
      <c r="FGB526" s="1358"/>
      <c r="FGC526" s="1358"/>
      <c r="FGD526" s="1358"/>
      <c r="FGE526" s="1358"/>
      <c r="FGF526" s="1358"/>
      <c r="FGG526" s="1358"/>
      <c r="FGH526" s="1358"/>
      <c r="FGI526" s="1358"/>
      <c r="FGJ526" s="1358"/>
      <c r="FGK526" s="1358"/>
      <c r="FGL526" s="1358"/>
      <c r="FGM526" s="1358"/>
      <c r="FGN526" s="1358"/>
      <c r="FGO526" s="1358"/>
      <c r="FGP526" s="1358"/>
      <c r="FGQ526" s="1358"/>
      <c r="FGR526" s="1358"/>
      <c r="FGS526" s="1358"/>
      <c r="FGT526" s="1358"/>
      <c r="FGU526" s="1358"/>
      <c r="FGV526" s="1358"/>
      <c r="FGW526" s="1358"/>
      <c r="FGX526" s="1358"/>
      <c r="FGY526" s="1358"/>
      <c r="FGZ526" s="1358"/>
      <c r="FHA526" s="1358"/>
      <c r="FHB526" s="1358"/>
      <c r="FHC526" s="1358"/>
      <c r="FHD526" s="1358"/>
      <c r="FHE526" s="1358"/>
      <c r="FHF526" s="1358"/>
      <c r="FHG526" s="1358"/>
      <c r="FHH526" s="1358"/>
      <c r="FHI526" s="1358"/>
      <c r="FHJ526" s="1358"/>
      <c r="FHK526" s="1358"/>
      <c r="FHL526" s="1358"/>
      <c r="FHM526" s="1358"/>
      <c r="FHN526" s="1358"/>
      <c r="FHO526" s="1358"/>
      <c r="FHP526" s="1358"/>
      <c r="FHQ526" s="1358"/>
      <c r="FHR526" s="1358"/>
      <c r="FHS526" s="1358"/>
      <c r="FHT526" s="1358"/>
      <c r="FHU526" s="1358"/>
      <c r="FHV526" s="1358"/>
      <c r="FHW526" s="1358"/>
      <c r="FHX526" s="1358"/>
      <c r="FHY526" s="1358"/>
      <c r="FHZ526" s="1358"/>
      <c r="FIA526" s="1358"/>
      <c r="FIB526" s="1358"/>
      <c r="FIC526" s="1358"/>
      <c r="FID526" s="1358"/>
      <c r="FIE526" s="1358"/>
      <c r="FIF526" s="1358"/>
      <c r="FIG526" s="1358"/>
      <c r="FIH526" s="1358"/>
      <c r="FII526" s="1358"/>
      <c r="FIJ526" s="1358"/>
      <c r="FIK526" s="1358"/>
      <c r="FIL526" s="1358"/>
      <c r="FIM526" s="1358"/>
      <c r="FIN526" s="1358"/>
      <c r="FIO526" s="1358"/>
      <c r="FIP526" s="1358"/>
      <c r="FIQ526" s="1358"/>
      <c r="FIR526" s="1358"/>
      <c r="FIS526" s="1358"/>
      <c r="FIT526" s="1358"/>
      <c r="FIU526" s="1358"/>
      <c r="FIV526" s="1358"/>
      <c r="FIW526" s="1358"/>
      <c r="FIX526" s="1358"/>
      <c r="FIY526" s="1358"/>
      <c r="FIZ526" s="1358"/>
      <c r="FJA526" s="1358"/>
      <c r="FJB526" s="1358"/>
      <c r="FJC526" s="1358"/>
      <c r="FJD526" s="1358"/>
      <c r="FJE526" s="1358"/>
      <c r="FJF526" s="1358"/>
      <c r="FJG526" s="1358"/>
      <c r="FJH526" s="1358"/>
      <c r="FJI526" s="1358"/>
      <c r="FJJ526" s="1358"/>
      <c r="FJK526" s="1358"/>
      <c r="FJL526" s="1358"/>
      <c r="FJM526" s="1358"/>
      <c r="FJN526" s="1358"/>
      <c r="FJO526" s="1358"/>
      <c r="FJP526" s="1358"/>
      <c r="FJQ526" s="1358"/>
      <c r="FJR526" s="1358"/>
      <c r="FJS526" s="1358"/>
      <c r="FJT526" s="1358"/>
      <c r="FJU526" s="1358"/>
      <c r="FJV526" s="1358"/>
      <c r="FJW526" s="1358"/>
      <c r="FJX526" s="1358"/>
      <c r="FJY526" s="1358"/>
      <c r="FJZ526" s="1358"/>
      <c r="FKA526" s="1358"/>
      <c r="FKB526" s="1358"/>
      <c r="FKC526" s="1358"/>
      <c r="FKD526" s="1358"/>
      <c r="FKE526" s="1358"/>
      <c r="FKF526" s="1358"/>
      <c r="FKG526" s="1358"/>
      <c r="FKH526" s="1358"/>
      <c r="FKI526" s="1358"/>
      <c r="FKJ526" s="1358"/>
      <c r="FKK526" s="1358"/>
      <c r="FKL526" s="1358"/>
      <c r="FKM526" s="1358"/>
      <c r="FKN526" s="1358"/>
      <c r="FKO526" s="1358"/>
      <c r="FKP526" s="1358"/>
      <c r="FKQ526" s="1358"/>
      <c r="FKR526" s="1358"/>
      <c r="FKS526" s="1358"/>
      <c r="FKT526" s="1358"/>
      <c r="FKU526" s="1358"/>
      <c r="FKV526" s="1358"/>
      <c r="FKW526" s="1358"/>
      <c r="FKX526" s="1358"/>
      <c r="FKY526" s="1358"/>
      <c r="FKZ526" s="1358"/>
      <c r="FLA526" s="1358"/>
      <c r="FLB526" s="1358"/>
      <c r="FLC526" s="1358"/>
      <c r="FLD526" s="1358"/>
      <c r="FLE526" s="1358"/>
      <c r="FLF526" s="1358"/>
      <c r="FLG526" s="1358"/>
      <c r="FLH526" s="1358"/>
      <c r="FLI526" s="1358"/>
      <c r="FLJ526" s="1358"/>
      <c r="FLK526" s="1358"/>
      <c r="FLL526" s="1358"/>
      <c r="FLM526" s="1358"/>
      <c r="FLN526" s="1358"/>
      <c r="FLO526" s="1358"/>
      <c r="FLP526" s="1358"/>
      <c r="FLQ526" s="1358"/>
      <c r="FLR526" s="1358"/>
      <c r="FLS526" s="1358"/>
      <c r="FLT526" s="1358"/>
      <c r="FLU526" s="1358"/>
      <c r="FLV526" s="1358"/>
      <c r="FLW526" s="1358"/>
      <c r="FLX526" s="1358"/>
      <c r="FLY526" s="1358"/>
      <c r="FLZ526" s="1358"/>
      <c r="FMA526" s="1358"/>
      <c r="FMB526" s="1358"/>
      <c r="FMC526" s="1358"/>
      <c r="FMD526" s="1358"/>
      <c r="FME526" s="1358"/>
      <c r="FMF526" s="1358"/>
      <c r="FMG526" s="1358"/>
      <c r="FMH526" s="1358"/>
      <c r="FMI526" s="1358"/>
      <c r="FMJ526" s="1358"/>
      <c r="FMK526" s="1358"/>
      <c r="FML526" s="1358"/>
      <c r="FMM526" s="1358"/>
      <c r="FMN526" s="1358"/>
      <c r="FMO526" s="1358"/>
      <c r="FMP526" s="1358"/>
      <c r="FMQ526" s="1358"/>
      <c r="FMR526" s="1358"/>
      <c r="FMS526" s="1358"/>
      <c r="FMT526" s="1358"/>
      <c r="FMU526" s="1358"/>
      <c r="FMV526" s="1358"/>
      <c r="FMW526" s="1358"/>
      <c r="FMX526" s="1358"/>
      <c r="FMY526" s="1358"/>
      <c r="FMZ526" s="1358"/>
      <c r="FNA526" s="1358"/>
      <c r="FNB526" s="1358"/>
      <c r="FNC526" s="1358"/>
      <c r="FND526" s="1358"/>
      <c r="FNE526" s="1358"/>
      <c r="FNF526" s="1358"/>
      <c r="FNG526" s="1358"/>
      <c r="FNH526" s="1358"/>
      <c r="FNI526" s="1358"/>
      <c r="FNJ526" s="1358"/>
      <c r="FNK526" s="1358"/>
      <c r="FNL526" s="1358"/>
      <c r="FNM526" s="1358"/>
      <c r="FNN526" s="1358"/>
      <c r="FNO526" s="1358"/>
      <c r="FNP526" s="1358"/>
      <c r="FNQ526" s="1358"/>
      <c r="FNR526" s="1358"/>
      <c r="FNS526" s="1358"/>
      <c r="FNT526" s="1358"/>
      <c r="FNU526" s="1358"/>
      <c r="FNV526" s="1358"/>
      <c r="FNW526" s="1358"/>
      <c r="FNX526" s="1358"/>
      <c r="FNY526" s="1358"/>
      <c r="FNZ526" s="1358"/>
      <c r="FOA526" s="1358"/>
      <c r="FOB526" s="1358"/>
      <c r="FOC526" s="1358"/>
      <c r="FOD526" s="1358"/>
      <c r="FOE526" s="1358"/>
      <c r="FOF526" s="1358"/>
      <c r="FOG526" s="1358"/>
      <c r="FOH526" s="1358"/>
      <c r="FOI526" s="1358"/>
      <c r="FOJ526" s="1358"/>
      <c r="FOK526" s="1358"/>
      <c r="FOL526" s="1358"/>
      <c r="FOM526" s="1358"/>
      <c r="FON526" s="1358"/>
      <c r="FOO526" s="1358"/>
      <c r="FOP526" s="1358"/>
      <c r="FOQ526" s="1358"/>
      <c r="FOR526" s="1358"/>
      <c r="FOS526" s="1358"/>
      <c r="FOT526" s="1358"/>
      <c r="FOU526" s="1358"/>
      <c r="FOV526" s="1358"/>
      <c r="FOW526" s="1358"/>
      <c r="FOX526" s="1358"/>
      <c r="FOY526" s="1358"/>
      <c r="FOZ526" s="1358"/>
      <c r="FPA526" s="1358"/>
      <c r="FPB526" s="1358"/>
      <c r="FPC526" s="1358"/>
      <c r="FPD526" s="1358"/>
      <c r="FPE526" s="1358"/>
      <c r="FPF526" s="1358"/>
      <c r="FPG526" s="1358"/>
      <c r="FPH526" s="1358"/>
      <c r="FPI526" s="1358"/>
      <c r="FPJ526" s="1358"/>
      <c r="FPK526" s="1358"/>
      <c r="FPL526" s="1358"/>
      <c r="FPM526" s="1358"/>
      <c r="FPN526" s="1358"/>
      <c r="FPO526" s="1358"/>
      <c r="FPP526" s="1358"/>
      <c r="FPQ526" s="1358"/>
      <c r="FPR526" s="1358"/>
      <c r="FPS526" s="1358"/>
      <c r="FPT526" s="1358"/>
      <c r="FPU526" s="1358"/>
      <c r="FPV526" s="1358"/>
      <c r="FPW526" s="1358"/>
      <c r="FPX526" s="1358"/>
      <c r="FPY526" s="1358"/>
      <c r="FPZ526" s="1358"/>
      <c r="FQA526" s="1358"/>
      <c r="FQB526" s="1358"/>
      <c r="FQC526" s="1358"/>
      <c r="FQD526" s="1358"/>
      <c r="FQE526" s="1358"/>
      <c r="FQF526" s="1358"/>
      <c r="FQG526" s="1358"/>
      <c r="FQH526" s="1358"/>
      <c r="FQI526" s="1358"/>
      <c r="FQJ526" s="1358"/>
      <c r="FQK526" s="1358"/>
      <c r="FQL526" s="1358"/>
      <c r="FQM526" s="1358"/>
      <c r="FQN526" s="1358"/>
      <c r="FQO526" s="1358"/>
      <c r="FQP526" s="1358"/>
      <c r="FQQ526" s="1358"/>
      <c r="FQR526" s="1358"/>
      <c r="FQS526" s="1358"/>
      <c r="FQT526" s="1358"/>
      <c r="FQU526" s="1358"/>
      <c r="FQV526" s="1358"/>
      <c r="FQW526" s="1358"/>
      <c r="FQX526" s="1358"/>
      <c r="FQY526" s="1358"/>
      <c r="FQZ526" s="1358"/>
      <c r="FRA526" s="1358"/>
      <c r="FRB526" s="1358"/>
      <c r="FRC526" s="1358"/>
      <c r="FRD526" s="1358"/>
      <c r="FRE526" s="1358"/>
      <c r="FRF526" s="1358"/>
      <c r="FRG526" s="1358"/>
      <c r="FRH526" s="1358"/>
      <c r="FRI526" s="1358"/>
      <c r="FRJ526" s="1358"/>
      <c r="FRK526" s="1358"/>
      <c r="FRL526" s="1358"/>
      <c r="FRM526" s="1358"/>
      <c r="FRN526" s="1358"/>
      <c r="FRO526" s="1358"/>
      <c r="FRP526" s="1358"/>
      <c r="FRQ526" s="1358"/>
      <c r="FRR526" s="1358"/>
      <c r="FRS526" s="1358"/>
      <c r="FRT526" s="1358"/>
      <c r="FRU526" s="1358"/>
      <c r="FRV526" s="1358"/>
      <c r="FRW526" s="1358"/>
      <c r="FRX526" s="1358"/>
      <c r="FRY526" s="1358"/>
      <c r="FRZ526" s="1358"/>
      <c r="FSA526" s="1358"/>
      <c r="FSB526" s="1358"/>
      <c r="FSC526" s="1358"/>
      <c r="FSD526" s="1358"/>
      <c r="FSE526" s="1358"/>
      <c r="FSF526" s="1358"/>
      <c r="FSG526" s="1358"/>
      <c r="FSH526" s="1358"/>
      <c r="FSI526" s="1358"/>
      <c r="FSJ526" s="1358"/>
      <c r="FSK526" s="1358"/>
      <c r="FSL526" s="1358"/>
      <c r="FSM526" s="1358"/>
      <c r="FSN526" s="1358"/>
      <c r="FSO526" s="1358"/>
      <c r="FSP526" s="1358"/>
      <c r="FSQ526" s="1358"/>
      <c r="FSR526" s="1358"/>
      <c r="FSS526" s="1358"/>
      <c r="FST526" s="1358"/>
      <c r="FSU526" s="1358"/>
      <c r="FSV526" s="1358"/>
      <c r="FSW526" s="1358"/>
      <c r="FSX526" s="1358"/>
      <c r="FSY526" s="1358"/>
      <c r="FSZ526" s="1358"/>
      <c r="FTA526" s="1358"/>
      <c r="FTB526" s="1358"/>
      <c r="FTC526" s="1358"/>
      <c r="FTD526" s="1358"/>
      <c r="FTE526" s="1358"/>
      <c r="FTF526" s="1358"/>
      <c r="FTG526" s="1358"/>
      <c r="FTH526" s="1358"/>
      <c r="FTI526" s="1358"/>
      <c r="FTJ526" s="1358"/>
      <c r="FTK526" s="1358"/>
      <c r="FTL526" s="1358"/>
      <c r="FTM526" s="1358"/>
      <c r="FTN526" s="1358"/>
      <c r="FTO526" s="1358"/>
      <c r="FTP526" s="1358"/>
      <c r="FTQ526" s="1358"/>
      <c r="FTR526" s="1358"/>
      <c r="FTS526" s="1358"/>
      <c r="FTT526" s="1358"/>
      <c r="FTU526" s="1358"/>
      <c r="FTV526" s="1358"/>
      <c r="FTW526" s="1358"/>
      <c r="FTX526" s="1358"/>
      <c r="FTY526" s="1358"/>
      <c r="FTZ526" s="1358"/>
      <c r="FUA526" s="1358"/>
      <c r="FUB526" s="1358"/>
      <c r="FUC526" s="1358"/>
      <c r="FUD526" s="1358"/>
      <c r="FUE526" s="1358"/>
      <c r="FUF526" s="1358"/>
      <c r="FUG526" s="1358"/>
      <c r="FUH526" s="1358"/>
      <c r="FUI526" s="1358"/>
      <c r="FUJ526" s="1358"/>
      <c r="FUK526" s="1358"/>
      <c r="FUL526" s="1358"/>
      <c r="FUM526" s="1358"/>
      <c r="FUN526" s="1358"/>
      <c r="FUO526" s="1358"/>
      <c r="FUP526" s="1358"/>
      <c r="FUQ526" s="1358"/>
      <c r="FUR526" s="1358"/>
      <c r="FUS526" s="1358"/>
      <c r="FUT526" s="1358"/>
      <c r="FUU526" s="1358"/>
      <c r="FUV526" s="1358"/>
      <c r="FUW526" s="1358"/>
      <c r="FUX526" s="1358"/>
      <c r="FUY526" s="1358"/>
      <c r="FUZ526" s="1358"/>
      <c r="FVA526" s="1358"/>
      <c r="FVB526" s="1358"/>
      <c r="FVC526" s="1358"/>
      <c r="FVD526" s="1358"/>
      <c r="FVE526" s="1358"/>
      <c r="FVF526" s="1358"/>
      <c r="FVG526" s="1358"/>
      <c r="FVH526" s="1358"/>
      <c r="FVI526" s="1358"/>
      <c r="FVJ526" s="1358"/>
      <c r="FVK526" s="1358"/>
      <c r="FVL526" s="1358"/>
      <c r="FVM526" s="1358"/>
      <c r="FVN526" s="1358"/>
      <c r="FVO526" s="1358"/>
      <c r="FVP526" s="1358"/>
      <c r="FVQ526" s="1358"/>
      <c r="FVR526" s="1358"/>
      <c r="FVS526" s="1358"/>
      <c r="FVT526" s="1358"/>
      <c r="FVU526" s="1358"/>
      <c r="FVV526" s="1358"/>
      <c r="FVW526" s="1358"/>
      <c r="FVX526" s="1358"/>
      <c r="FVY526" s="1358"/>
      <c r="FVZ526" s="1358"/>
      <c r="FWA526" s="1358"/>
      <c r="FWB526" s="1358"/>
      <c r="FWC526" s="1358"/>
      <c r="FWD526" s="1358"/>
      <c r="FWE526" s="1358"/>
      <c r="FWF526" s="1358"/>
      <c r="FWG526" s="1358"/>
      <c r="FWH526" s="1358"/>
      <c r="FWI526" s="1358"/>
      <c r="FWJ526" s="1358"/>
      <c r="FWK526" s="1358"/>
      <c r="FWL526" s="1358"/>
      <c r="FWM526" s="1358"/>
      <c r="FWN526" s="1358"/>
      <c r="FWO526" s="1358"/>
      <c r="FWP526" s="1358"/>
      <c r="FWQ526" s="1358"/>
      <c r="FWR526" s="1358"/>
      <c r="FWS526" s="1358"/>
      <c r="FWT526" s="1358"/>
      <c r="FWU526" s="1358"/>
      <c r="FWV526" s="1358"/>
      <c r="FWW526" s="1358"/>
      <c r="FWX526" s="1358"/>
      <c r="FWY526" s="1358"/>
      <c r="FWZ526" s="1358"/>
      <c r="FXA526" s="1358"/>
      <c r="FXB526" s="1358"/>
      <c r="FXC526" s="1358"/>
      <c r="FXD526" s="1358"/>
      <c r="FXE526" s="1358"/>
      <c r="FXF526" s="1358"/>
      <c r="FXG526" s="1358"/>
      <c r="FXH526" s="1358"/>
      <c r="FXI526" s="1358"/>
      <c r="FXJ526" s="1358"/>
      <c r="FXK526" s="1358"/>
      <c r="FXL526" s="1358"/>
      <c r="FXM526" s="1358"/>
      <c r="FXN526" s="1358"/>
      <c r="FXO526" s="1358"/>
      <c r="FXP526" s="1358"/>
      <c r="FXQ526" s="1358"/>
      <c r="FXR526" s="1358"/>
      <c r="FXS526" s="1358"/>
      <c r="FXT526" s="1358"/>
      <c r="FXU526" s="1358"/>
      <c r="FXV526" s="1358"/>
      <c r="FXW526" s="1358"/>
      <c r="FXX526" s="1358"/>
      <c r="FXY526" s="1358"/>
      <c r="FXZ526" s="1358"/>
      <c r="FYA526" s="1358"/>
      <c r="FYB526" s="1358"/>
      <c r="FYC526" s="1358"/>
      <c r="FYD526" s="1358"/>
      <c r="FYE526" s="1358"/>
      <c r="FYF526" s="1358"/>
      <c r="FYG526" s="1358"/>
      <c r="FYH526" s="1358"/>
      <c r="FYI526" s="1358"/>
      <c r="FYJ526" s="1358"/>
      <c r="FYK526" s="1358"/>
      <c r="FYL526" s="1358"/>
      <c r="FYM526" s="1358"/>
      <c r="FYN526" s="1358"/>
      <c r="FYO526" s="1358"/>
      <c r="FYP526" s="1358"/>
      <c r="FYQ526" s="1358"/>
      <c r="FYR526" s="1358"/>
      <c r="FYS526" s="1358"/>
      <c r="FYT526" s="1358"/>
      <c r="FYU526" s="1358"/>
      <c r="FYV526" s="1358"/>
      <c r="FYW526" s="1358"/>
      <c r="FYX526" s="1358"/>
      <c r="FYY526" s="1358"/>
      <c r="FYZ526" s="1358"/>
      <c r="FZA526" s="1358"/>
      <c r="FZB526" s="1358"/>
      <c r="FZC526" s="1358"/>
      <c r="FZD526" s="1358"/>
      <c r="FZE526" s="1358"/>
      <c r="FZF526" s="1358"/>
      <c r="FZG526" s="1358"/>
      <c r="FZH526" s="1358"/>
      <c r="FZI526" s="1358"/>
      <c r="FZJ526" s="1358"/>
      <c r="FZK526" s="1358"/>
      <c r="FZL526" s="1358"/>
      <c r="FZM526" s="1358"/>
      <c r="FZN526" s="1358"/>
      <c r="FZO526" s="1358"/>
      <c r="FZP526" s="1358"/>
      <c r="FZQ526" s="1358"/>
      <c r="FZR526" s="1358"/>
      <c r="FZS526" s="1358"/>
      <c r="FZT526" s="1358"/>
      <c r="FZU526" s="1358"/>
      <c r="FZV526" s="1358"/>
      <c r="FZW526" s="1358"/>
      <c r="FZX526" s="1358"/>
      <c r="FZY526" s="1358"/>
      <c r="FZZ526" s="1358"/>
      <c r="GAA526" s="1358"/>
      <c r="GAB526" s="1358"/>
      <c r="GAC526" s="1358"/>
      <c r="GAD526" s="1358"/>
      <c r="GAE526" s="1358"/>
      <c r="GAF526" s="1358"/>
      <c r="GAG526" s="1358"/>
      <c r="GAH526" s="1358"/>
      <c r="GAI526" s="1358"/>
      <c r="GAJ526" s="1358"/>
      <c r="GAK526" s="1358"/>
      <c r="GAL526" s="1358"/>
      <c r="GAM526" s="1358"/>
      <c r="GAN526" s="1358"/>
      <c r="GAO526" s="1358"/>
      <c r="GAP526" s="1358"/>
      <c r="GAQ526" s="1358"/>
      <c r="GAR526" s="1358"/>
      <c r="GAS526" s="1358"/>
      <c r="GAT526" s="1358"/>
      <c r="GAU526" s="1358"/>
      <c r="GAV526" s="1358"/>
      <c r="GAW526" s="1358"/>
      <c r="GAX526" s="1358"/>
      <c r="GAY526" s="1358"/>
      <c r="GAZ526" s="1358"/>
      <c r="GBA526" s="1358"/>
      <c r="GBB526" s="1358"/>
      <c r="GBC526" s="1358"/>
      <c r="GBD526" s="1358"/>
      <c r="GBE526" s="1358"/>
      <c r="GBF526" s="1358"/>
      <c r="GBG526" s="1358"/>
      <c r="GBH526" s="1358"/>
      <c r="GBI526" s="1358"/>
      <c r="GBJ526" s="1358"/>
      <c r="GBK526" s="1358"/>
      <c r="GBL526" s="1358"/>
      <c r="GBM526" s="1358"/>
      <c r="GBN526" s="1358"/>
      <c r="GBO526" s="1358"/>
      <c r="GBP526" s="1358"/>
      <c r="GBQ526" s="1358"/>
      <c r="GBR526" s="1358"/>
      <c r="GBS526" s="1358"/>
      <c r="GBT526" s="1358"/>
      <c r="GBU526" s="1358"/>
      <c r="GBV526" s="1358"/>
      <c r="GBW526" s="1358"/>
      <c r="GBX526" s="1358"/>
      <c r="GBY526" s="1358"/>
      <c r="GBZ526" s="1358"/>
      <c r="GCA526" s="1358"/>
      <c r="GCB526" s="1358"/>
      <c r="GCC526" s="1358"/>
      <c r="GCD526" s="1358"/>
      <c r="GCE526" s="1358"/>
      <c r="GCF526" s="1358"/>
      <c r="GCG526" s="1358"/>
      <c r="GCH526" s="1358"/>
      <c r="GCI526" s="1358"/>
      <c r="GCJ526" s="1358"/>
      <c r="GCK526" s="1358"/>
      <c r="GCL526" s="1358"/>
      <c r="GCM526" s="1358"/>
      <c r="GCN526" s="1358"/>
      <c r="GCO526" s="1358"/>
      <c r="GCP526" s="1358"/>
      <c r="GCQ526" s="1358"/>
      <c r="GCR526" s="1358"/>
      <c r="GCS526" s="1358"/>
      <c r="GCT526" s="1358"/>
      <c r="GCU526" s="1358"/>
      <c r="GCV526" s="1358"/>
      <c r="GCW526" s="1358"/>
      <c r="GCX526" s="1358"/>
      <c r="GCY526" s="1358"/>
      <c r="GCZ526" s="1358"/>
      <c r="GDA526" s="1358"/>
      <c r="GDB526" s="1358"/>
      <c r="GDC526" s="1358"/>
      <c r="GDD526" s="1358"/>
      <c r="GDE526" s="1358"/>
      <c r="GDF526" s="1358"/>
      <c r="GDG526" s="1358"/>
      <c r="GDH526" s="1358"/>
      <c r="GDI526" s="1358"/>
      <c r="GDJ526" s="1358"/>
      <c r="GDK526" s="1358"/>
      <c r="GDL526" s="1358"/>
      <c r="GDM526" s="1358"/>
      <c r="GDN526" s="1358"/>
      <c r="GDO526" s="1358"/>
      <c r="GDP526" s="1358"/>
      <c r="GDQ526" s="1358"/>
      <c r="GDR526" s="1358"/>
      <c r="GDS526" s="1358"/>
      <c r="GDT526" s="1358"/>
      <c r="GDU526" s="1358"/>
      <c r="GDV526" s="1358"/>
      <c r="GDW526" s="1358"/>
      <c r="GDX526" s="1358"/>
      <c r="GDY526" s="1358"/>
      <c r="GDZ526" s="1358"/>
      <c r="GEA526" s="1358"/>
      <c r="GEB526" s="1358"/>
      <c r="GEC526" s="1358"/>
      <c r="GED526" s="1358"/>
      <c r="GEE526" s="1358"/>
      <c r="GEF526" s="1358"/>
      <c r="GEG526" s="1358"/>
      <c r="GEH526" s="1358"/>
      <c r="GEI526" s="1358"/>
      <c r="GEJ526" s="1358"/>
      <c r="GEK526" s="1358"/>
      <c r="GEL526" s="1358"/>
      <c r="GEM526" s="1358"/>
      <c r="GEN526" s="1358"/>
      <c r="GEO526" s="1358"/>
      <c r="GEP526" s="1358"/>
      <c r="GEQ526" s="1358"/>
      <c r="GER526" s="1358"/>
      <c r="GES526" s="1358"/>
      <c r="GET526" s="1358"/>
      <c r="GEU526" s="1358"/>
      <c r="GEV526" s="1358"/>
      <c r="GEW526" s="1358"/>
      <c r="GEX526" s="1358"/>
      <c r="GEY526" s="1358"/>
      <c r="GEZ526" s="1358"/>
      <c r="GFA526" s="1358"/>
      <c r="GFB526" s="1358"/>
      <c r="GFC526" s="1358"/>
      <c r="GFD526" s="1358"/>
      <c r="GFE526" s="1358"/>
      <c r="GFF526" s="1358"/>
      <c r="GFG526" s="1358"/>
      <c r="GFH526" s="1358"/>
      <c r="GFI526" s="1358"/>
      <c r="GFJ526" s="1358"/>
      <c r="GFK526" s="1358"/>
      <c r="GFL526" s="1358"/>
      <c r="GFM526" s="1358"/>
      <c r="GFN526" s="1358"/>
      <c r="GFO526" s="1358"/>
      <c r="GFP526" s="1358"/>
      <c r="GFQ526" s="1358"/>
      <c r="GFR526" s="1358"/>
      <c r="GFS526" s="1358"/>
      <c r="GFT526" s="1358"/>
      <c r="GFU526" s="1358"/>
      <c r="GFV526" s="1358"/>
      <c r="GFW526" s="1358"/>
      <c r="GFX526" s="1358"/>
      <c r="GFY526" s="1358"/>
      <c r="GFZ526" s="1358"/>
      <c r="GGA526" s="1358"/>
      <c r="GGB526" s="1358"/>
      <c r="GGC526" s="1358"/>
      <c r="GGD526" s="1358"/>
      <c r="GGE526" s="1358"/>
      <c r="GGF526" s="1358"/>
      <c r="GGG526" s="1358"/>
      <c r="GGH526" s="1358"/>
      <c r="GGI526" s="1358"/>
      <c r="GGJ526" s="1358"/>
      <c r="GGK526" s="1358"/>
      <c r="GGL526" s="1358"/>
      <c r="GGM526" s="1358"/>
      <c r="GGN526" s="1358"/>
      <c r="GGO526" s="1358"/>
      <c r="GGP526" s="1358"/>
      <c r="GGQ526" s="1358"/>
      <c r="GGR526" s="1358"/>
      <c r="GGS526" s="1358"/>
      <c r="GGT526" s="1358"/>
      <c r="GGU526" s="1358"/>
      <c r="GGV526" s="1358"/>
      <c r="GGW526" s="1358"/>
      <c r="GGX526" s="1358"/>
      <c r="GGY526" s="1358"/>
      <c r="GGZ526" s="1358"/>
      <c r="GHA526" s="1358"/>
      <c r="GHB526" s="1358"/>
      <c r="GHC526" s="1358"/>
      <c r="GHD526" s="1358"/>
      <c r="GHE526" s="1358"/>
      <c r="GHF526" s="1358"/>
      <c r="GHG526" s="1358"/>
      <c r="GHH526" s="1358"/>
      <c r="GHI526" s="1358"/>
      <c r="GHJ526" s="1358"/>
      <c r="GHK526" s="1358"/>
      <c r="GHL526" s="1358"/>
      <c r="GHM526" s="1358"/>
      <c r="GHN526" s="1358"/>
      <c r="GHO526" s="1358"/>
      <c r="GHP526" s="1358"/>
      <c r="GHQ526" s="1358"/>
      <c r="GHR526" s="1358"/>
      <c r="GHS526" s="1358"/>
      <c r="GHT526" s="1358"/>
      <c r="GHU526" s="1358"/>
      <c r="GHV526" s="1358"/>
      <c r="GHW526" s="1358"/>
      <c r="GHX526" s="1358"/>
      <c r="GHY526" s="1358"/>
      <c r="GHZ526" s="1358"/>
      <c r="GIA526" s="1358"/>
      <c r="GIB526" s="1358"/>
      <c r="GIC526" s="1358"/>
      <c r="GID526" s="1358"/>
      <c r="GIE526" s="1358"/>
      <c r="GIF526" s="1358"/>
      <c r="GIG526" s="1358"/>
      <c r="GIH526" s="1358"/>
      <c r="GII526" s="1358"/>
      <c r="GIJ526" s="1358"/>
      <c r="GIK526" s="1358"/>
      <c r="GIL526" s="1358"/>
      <c r="GIM526" s="1358"/>
      <c r="GIN526" s="1358"/>
      <c r="GIO526" s="1358"/>
      <c r="GIP526" s="1358"/>
      <c r="GIQ526" s="1358"/>
      <c r="GIR526" s="1358"/>
      <c r="GIS526" s="1358"/>
      <c r="GIT526" s="1358"/>
      <c r="GIU526" s="1358"/>
      <c r="GIV526" s="1358"/>
      <c r="GIW526" s="1358"/>
      <c r="GIX526" s="1358"/>
      <c r="GIY526" s="1358"/>
      <c r="GIZ526" s="1358"/>
      <c r="GJA526" s="1358"/>
      <c r="GJB526" s="1358"/>
      <c r="GJC526" s="1358"/>
      <c r="GJD526" s="1358"/>
      <c r="GJE526" s="1358"/>
      <c r="GJF526" s="1358"/>
      <c r="GJG526" s="1358"/>
      <c r="GJH526" s="1358"/>
      <c r="GJI526" s="1358"/>
      <c r="GJJ526" s="1358"/>
      <c r="GJK526" s="1358"/>
      <c r="GJL526" s="1358"/>
      <c r="GJM526" s="1358"/>
      <c r="GJN526" s="1358"/>
      <c r="GJO526" s="1358"/>
      <c r="GJP526" s="1358"/>
      <c r="GJQ526" s="1358"/>
      <c r="GJR526" s="1358"/>
      <c r="GJS526" s="1358"/>
      <c r="GJT526" s="1358"/>
      <c r="GJU526" s="1358"/>
      <c r="GJV526" s="1358"/>
      <c r="GJW526" s="1358"/>
      <c r="GJX526" s="1358"/>
      <c r="GJY526" s="1358"/>
      <c r="GJZ526" s="1358"/>
      <c r="GKA526" s="1358"/>
      <c r="GKB526" s="1358"/>
      <c r="GKC526" s="1358"/>
      <c r="GKD526" s="1358"/>
      <c r="GKE526" s="1358"/>
      <c r="GKF526" s="1358"/>
      <c r="GKG526" s="1358"/>
      <c r="GKH526" s="1358"/>
      <c r="GKI526" s="1358"/>
      <c r="GKJ526" s="1358"/>
      <c r="GKK526" s="1358"/>
      <c r="GKL526" s="1358"/>
      <c r="GKM526" s="1358"/>
      <c r="GKN526" s="1358"/>
      <c r="GKO526" s="1358"/>
      <c r="GKP526" s="1358"/>
      <c r="GKQ526" s="1358"/>
      <c r="GKR526" s="1358"/>
      <c r="GKS526" s="1358"/>
      <c r="GKT526" s="1358"/>
      <c r="GKU526" s="1358"/>
      <c r="GKV526" s="1358"/>
      <c r="GKW526" s="1358"/>
      <c r="GKX526" s="1358"/>
      <c r="GKY526" s="1358"/>
      <c r="GKZ526" s="1358"/>
      <c r="GLA526" s="1358"/>
      <c r="GLB526" s="1358"/>
      <c r="GLC526" s="1358"/>
      <c r="GLD526" s="1358"/>
      <c r="GLE526" s="1358"/>
      <c r="GLF526" s="1358"/>
      <c r="GLG526" s="1358"/>
      <c r="GLH526" s="1358"/>
      <c r="GLI526" s="1358"/>
      <c r="GLJ526" s="1358"/>
      <c r="GLK526" s="1358"/>
      <c r="GLL526" s="1358"/>
      <c r="GLM526" s="1358"/>
      <c r="GLN526" s="1358"/>
      <c r="GLO526" s="1358"/>
      <c r="GLP526" s="1358"/>
      <c r="GLQ526" s="1358"/>
      <c r="GLR526" s="1358"/>
      <c r="GLS526" s="1358"/>
      <c r="GLT526" s="1358"/>
      <c r="GLU526" s="1358"/>
      <c r="GLV526" s="1358"/>
      <c r="GLW526" s="1358"/>
      <c r="GLX526" s="1358"/>
      <c r="GLY526" s="1358"/>
      <c r="GLZ526" s="1358"/>
      <c r="GMA526" s="1358"/>
      <c r="GMB526" s="1358"/>
      <c r="GMC526" s="1358"/>
      <c r="GMD526" s="1358"/>
      <c r="GME526" s="1358"/>
      <c r="GMF526" s="1358"/>
      <c r="GMG526" s="1358"/>
      <c r="GMH526" s="1358"/>
      <c r="GMI526" s="1358"/>
      <c r="GMJ526" s="1358"/>
      <c r="GMK526" s="1358"/>
      <c r="GML526" s="1358"/>
      <c r="GMM526" s="1358"/>
      <c r="GMN526" s="1358"/>
      <c r="GMO526" s="1358"/>
      <c r="GMP526" s="1358"/>
      <c r="GMQ526" s="1358"/>
      <c r="GMR526" s="1358"/>
      <c r="GMS526" s="1358"/>
      <c r="GMT526" s="1358"/>
      <c r="GMU526" s="1358"/>
      <c r="GMV526" s="1358"/>
      <c r="GMW526" s="1358"/>
      <c r="GMX526" s="1358"/>
      <c r="GMY526" s="1358"/>
      <c r="GMZ526" s="1358"/>
      <c r="GNA526" s="1358"/>
      <c r="GNB526" s="1358"/>
      <c r="GNC526" s="1358"/>
      <c r="GND526" s="1358"/>
      <c r="GNE526" s="1358"/>
      <c r="GNF526" s="1358"/>
      <c r="GNG526" s="1358"/>
      <c r="GNH526" s="1358"/>
      <c r="GNI526" s="1358"/>
      <c r="GNJ526" s="1358"/>
      <c r="GNK526" s="1358"/>
      <c r="GNL526" s="1358"/>
      <c r="GNM526" s="1358"/>
      <c r="GNN526" s="1358"/>
      <c r="GNO526" s="1358"/>
      <c r="GNP526" s="1358"/>
      <c r="GNQ526" s="1358"/>
      <c r="GNR526" s="1358"/>
      <c r="GNS526" s="1358"/>
      <c r="GNT526" s="1358"/>
      <c r="GNU526" s="1358"/>
      <c r="GNV526" s="1358"/>
      <c r="GNW526" s="1358"/>
      <c r="GNX526" s="1358"/>
      <c r="GNY526" s="1358"/>
      <c r="GNZ526" s="1358"/>
      <c r="GOA526" s="1358"/>
      <c r="GOB526" s="1358"/>
      <c r="GOC526" s="1358"/>
      <c r="GOD526" s="1358"/>
      <c r="GOE526" s="1358"/>
      <c r="GOF526" s="1358"/>
      <c r="GOG526" s="1358"/>
      <c r="GOH526" s="1358"/>
      <c r="GOI526" s="1358"/>
      <c r="GOJ526" s="1358"/>
      <c r="GOK526" s="1358"/>
      <c r="GOL526" s="1358"/>
      <c r="GOM526" s="1358"/>
      <c r="GON526" s="1358"/>
      <c r="GOO526" s="1358"/>
      <c r="GOP526" s="1358"/>
      <c r="GOQ526" s="1358"/>
      <c r="GOR526" s="1358"/>
      <c r="GOS526" s="1358"/>
      <c r="GOT526" s="1358"/>
      <c r="GOU526" s="1358"/>
      <c r="GOV526" s="1358"/>
      <c r="GOW526" s="1358"/>
      <c r="GOX526" s="1358"/>
      <c r="GOY526" s="1358"/>
      <c r="GOZ526" s="1358"/>
      <c r="GPA526" s="1358"/>
      <c r="GPB526" s="1358"/>
      <c r="GPC526" s="1358"/>
      <c r="GPD526" s="1358"/>
      <c r="GPE526" s="1358"/>
      <c r="GPF526" s="1358"/>
      <c r="GPG526" s="1358"/>
      <c r="GPH526" s="1358"/>
      <c r="GPI526" s="1358"/>
      <c r="GPJ526" s="1358"/>
      <c r="GPK526" s="1358"/>
      <c r="GPL526" s="1358"/>
      <c r="GPM526" s="1358"/>
      <c r="GPN526" s="1358"/>
      <c r="GPO526" s="1358"/>
      <c r="GPP526" s="1358"/>
      <c r="GPQ526" s="1358"/>
      <c r="GPR526" s="1358"/>
      <c r="GPS526" s="1358"/>
      <c r="GPT526" s="1358"/>
      <c r="GPU526" s="1358"/>
      <c r="GPV526" s="1358"/>
      <c r="GPW526" s="1358"/>
      <c r="GPX526" s="1358"/>
      <c r="GPY526" s="1358"/>
      <c r="GPZ526" s="1358"/>
      <c r="GQA526" s="1358"/>
      <c r="GQB526" s="1358"/>
      <c r="GQC526" s="1358"/>
      <c r="GQD526" s="1358"/>
      <c r="GQE526" s="1358"/>
      <c r="GQF526" s="1358"/>
      <c r="GQG526" s="1358"/>
      <c r="GQH526" s="1358"/>
      <c r="GQI526" s="1358"/>
      <c r="GQJ526" s="1358"/>
      <c r="GQK526" s="1358"/>
      <c r="GQL526" s="1358"/>
      <c r="GQM526" s="1358"/>
      <c r="GQN526" s="1358"/>
      <c r="GQO526" s="1358"/>
      <c r="GQP526" s="1358"/>
      <c r="GQQ526" s="1358"/>
      <c r="GQR526" s="1358"/>
      <c r="GQS526" s="1358"/>
      <c r="GQT526" s="1358"/>
      <c r="GQU526" s="1358"/>
      <c r="GQV526" s="1358"/>
      <c r="GQW526" s="1358"/>
      <c r="GQX526" s="1358"/>
      <c r="GQY526" s="1358"/>
      <c r="GQZ526" s="1358"/>
      <c r="GRA526" s="1358"/>
      <c r="GRB526" s="1358"/>
      <c r="GRC526" s="1358"/>
      <c r="GRD526" s="1358"/>
      <c r="GRE526" s="1358"/>
      <c r="GRF526" s="1358"/>
      <c r="GRG526" s="1358"/>
      <c r="GRH526" s="1358"/>
      <c r="GRI526" s="1358"/>
      <c r="GRJ526" s="1358"/>
      <c r="GRK526" s="1358"/>
      <c r="GRL526" s="1358"/>
      <c r="GRM526" s="1358"/>
      <c r="GRN526" s="1358"/>
      <c r="GRO526" s="1358"/>
      <c r="GRP526" s="1358"/>
      <c r="GRQ526" s="1358"/>
      <c r="GRR526" s="1358"/>
      <c r="GRS526" s="1358"/>
      <c r="GRT526" s="1358"/>
      <c r="GRU526" s="1358"/>
      <c r="GRV526" s="1358"/>
      <c r="GRW526" s="1358"/>
      <c r="GRX526" s="1358"/>
      <c r="GRY526" s="1358"/>
      <c r="GRZ526" s="1358"/>
      <c r="GSA526" s="1358"/>
      <c r="GSB526" s="1358"/>
      <c r="GSC526" s="1358"/>
      <c r="GSD526" s="1358"/>
      <c r="GSE526" s="1358"/>
      <c r="GSF526" s="1358"/>
      <c r="GSG526" s="1358"/>
      <c r="GSH526" s="1358"/>
      <c r="GSI526" s="1358"/>
      <c r="GSJ526" s="1358"/>
      <c r="GSK526" s="1358"/>
      <c r="GSL526" s="1358"/>
      <c r="GSM526" s="1358"/>
      <c r="GSN526" s="1358"/>
      <c r="GSO526" s="1358"/>
      <c r="GSP526" s="1358"/>
      <c r="GSQ526" s="1358"/>
      <c r="GSR526" s="1358"/>
      <c r="GSS526" s="1358"/>
      <c r="GST526" s="1358"/>
      <c r="GSU526" s="1358"/>
      <c r="GSV526" s="1358"/>
      <c r="GSW526" s="1358"/>
      <c r="GSX526" s="1358"/>
      <c r="GSY526" s="1358"/>
      <c r="GSZ526" s="1358"/>
      <c r="GTA526" s="1358"/>
      <c r="GTB526" s="1358"/>
      <c r="GTC526" s="1358"/>
      <c r="GTD526" s="1358"/>
      <c r="GTE526" s="1358"/>
      <c r="GTF526" s="1358"/>
      <c r="GTG526" s="1358"/>
      <c r="GTH526" s="1358"/>
      <c r="GTI526" s="1358"/>
      <c r="GTJ526" s="1358"/>
      <c r="GTK526" s="1358"/>
      <c r="GTL526" s="1358"/>
      <c r="GTM526" s="1358"/>
      <c r="GTN526" s="1358"/>
      <c r="GTO526" s="1358"/>
      <c r="GTP526" s="1358"/>
      <c r="GTQ526" s="1358"/>
      <c r="GTR526" s="1358"/>
      <c r="GTS526" s="1358"/>
      <c r="GTT526" s="1358"/>
      <c r="GTU526" s="1358"/>
      <c r="GTV526" s="1358"/>
      <c r="GTW526" s="1358"/>
      <c r="GTX526" s="1358"/>
      <c r="GTY526" s="1358"/>
      <c r="GTZ526" s="1358"/>
      <c r="GUA526" s="1358"/>
      <c r="GUB526" s="1358"/>
      <c r="GUC526" s="1358"/>
      <c r="GUD526" s="1358"/>
      <c r="GUE526" s="1358"/>
      <c r="GUF526" s="1358"/>
      <c r="GUG526" s="1358"/>
      <c r="GUH526" s="1358"/>
      <c r="GUI526" s="1358"/>
      <c r="GUJ526" s="1358"/>
      <c r="GUK526" s="1358"/>
      <c r="GUL526" s="1358"/>
      <c r="GUM526" s="1358"/>
      <c r="GUN526" s="1358"/>
      <c r="GUO526" s="1358"/>
      <c r="GUP526" s="1358"/>
      <c r="GUQ526" s="1358"/>
      <c r="GUR526" s="1358"/>
      <c r="GUS526" s="1358"/>
      <c r="GUT526" s="1358"/>
      <c r="GUU526" s="1358"/>
      <c r="GUV526" s="1358"/>
      <c r="GUW526" s="1358"/>
      <c r="GUX526" s="1358"/>
      <c r="GUY526" s="1358"/>
      <c r="GUZ526" s="1358"/>
      <c r="GVA526" s="1358"/>
      <c r="GVB526" s="1358"/>
      <c r="GVC526" s="1358"/>
      <c r="GVD526" s="1358"/>
      <c r="GVE526" s="1358"/>
      <c r="GVF526" s="1358"/>
      <c r="GVG526" s="1358"/>
      <c r="GVH526" s="1358"/>
      <c r="GVI526" s="1358"/>
      <c r="GVJ526" s="1358"/>
      <c r="GVK526" s="1358"/>
      <c r="GVL526" s="1358"/>
      <c r="GVM526" s="1358"/>
      <c r="GVN526" s="1358"/>
      <c r="GVO526" s="1358"/>
      <c r="GVP526" s="1358"/>
      <c r="GVQ526" s="1358"/>
      <c r="GVR526" s="1358"/>
      <c r="GVS526" s="1358"/>
      <c r="GVT526" s="1358"/>
      <c r="GVU526" s="1358"/>
      <c r="GVV526" s="1358"/>
      <c r="GVW526" s="1358"/>
      <c r="GVX526" s="1358"/>
      <c r="GVY526" s="1358"/>
      <c r="GVZ526" s="1358"/>
      <c r="GWA526" s="1358"/>
      <c r="GWB526" s="1358"/>
      <c r="GWC526" s="1358"/>
      <c r="GWD526" s="1358"/>
      <c r="GWE526" s="1358"/>
      <c r="GWF526" s="1358"/>
      <c r="GWG526" s="1358"/>
      <c r="GWH526" s="1358"/>
      <c r="GWI526" s="1358"/>
      <c r="GWJ526" s="1358"/>
      <c r="GWK526" s="1358"/>
      <c r="GWL526" s="1358"/>
      <c r="GWM526" s="1358"/>
      <c r="GWN526" s="1358"/>
      <c r="GWO526" s="1358"/>
      <c r="GWP526" s="1358"/>
      <c r="GWQ526" s="1358"/>
      <c r="GWR526" s="1358"/>
      <c r="GWS526" s="1358"/>
      <c r="GWT526" s="1358"/>
      <c r="GWU526" s="1358"/>
      <c r="GWV526" s="1358"/>
      <c r="GWW526" s="1358"/>
      <c r="GWX526" s="1358"/>
      <c r="GWY526" s="1358"/>
      <c r="GWZ526" s="1358"/>
      <c r="GXA526" s="1358"/>
      <c r="GXB526" s="1358"/>
      <c r="GXC526" s="1358"/>
      <c r="GXD526" s="1358"/>
      <c r="GXE526" s="1358"/>
      <c r="GXF526" s="1358"/>
      <c r="GXG526" s="1358"/>
      <c r="GXH526" s="1358"/>
      <c r="GXI526" s="1358"/>
      <c r="GXJ526" s="1358"/>
      <c r="GXK526" s="1358"/>
      <c r="GXL526" s="1358"/>
      <c r="GXM526" s="1358"/>
      <c r="GXN526" s="1358"/>
      <c r="GXO526" s="1358"/>
      <c r="GXP526" s="1358"/>
      <c r="GXQ526" s="1358"/>
      <c r="GXR526" s="1358"/>
      <c r="GXS526" s="1358"/>
      <c r="GXT526" s="1358"/>
      <c r="GXU526" s="1358"/>
      <c r="GXV526" s="1358"/>
      <c r="GXW526" s="1358"/>
      <c r="GXX526" s="1358"/>
      <c r="GXY526" s="1358"/>
      <c r="GXZ526" s="1358"/>
      <c r="GYA526" s="1358"/>
      <c r="GYB526" s="1358"/>
      <c r="GYC526" s="1358"/>
      <c r="GYD526" s="1358"/>
      <c r="GYE526" s="1358"/>
      <c r="GYF526" s="1358"/>
      <c r="GYG526" s="1358"/>
      <c r="GYH526" s="1358"/>
      <c r="GYI526" s="1358"/>
      <c r="GYJ526" s="1358"/>
      <c r="GYK526" s="1358"/>
      <c r="GYL526" s="1358"/>
      <c r="GYM526" s="1358"/>
      <c r="GYN526" s="1358"/>
      <c r="GYO526" s="1358"/>
      <c r="GYP526" s="1358"/>
      <c r="GYQ526" s="1358"/>
      <c r="GYR526" s="1358"/>
      <c r="GYS526" s="1358"/>
      <c r="GYT526" s="1358"/>
      <c r="GYU526" s="1358"/>
      <c r="GYV526" s="1358"/>
      <c r="GYW526" s="1358"/>
      <c r="GYX526" s="1358"/>
      <c r="GYY526" s="1358"/>
      <c r="GYZ526" s="1358"/>
      <c r="GZA526" s="1358"/>
      <c r="GZB526" s="1358"/>
      <c r="GZC526" s="1358"/>
      <c r="GZD526" s="1358"/>
      <c r="GZE526" s="1358"/>
      <c r="GZF526" s="1358"/>
      <c r="GZG526" s="1358"/>
      <c r="GZH526" s="1358"/>
      <c r="GZI526" s="1358"/>
      <c r="GZJ526" s="1358"/>
      <c r="GZK526" s="1358"/>
      <c r="GZL526" s="1358"/>
      <c r="GZM526" s="1358"/>
      <c r="GZN526" s="1358"/>
      <c r="GZO526" s="1358"/>
      <c r="GZP526" s="1358"/>
      <c r="GZQ526" s="1358"/>
      <c r="GZR526" s="1358"/>
      <c r="GZS526" s="1358"/>
      <c r="GZT526" s="1358"/>
      <c r="GZU526" s="1358"/>
      <c r="GZV526" s="1358"/>
      <c r="GZW526" s="1358"/>
      <c r="GZX526" s="1358"/>
      <c r="GZY526" s="1358"/>
      <c r="GZZ526" s="1358"/>
      <c r="HAA526" s="1358"/>
      <c r="HAB526" s="1358"/>
      <c r="HAC526" s="1358"/>
      <c r="HAD526" s="1358"/>
      <c r="HAE526" s="1358"/>
      <c r="HAF526" s="1358"/>
      <c r="HAG526" s="1358"/>
      <c r="HAH526" s="1358"/>
      <c r="HAI526" s="1358"/>
      <c r="HAJ526" s="1358"/>
      <c r="HAK526" s="1358"/>
      <c r="HAL526" s="1358"/>
      <c r="HAM526" s="1358"/>
      <c r="HAN526" s="1358"/>
      <c r="HAO526" s="1358"/>
      <c r="HAP526" s="1358"/>
      <c r="HAQ526" s="1358"/>
      <c r="HAR526" s="1358"/>
      <c r="HAS526" s="1358"/>
      <c r="HAT526" s="1358"/>
      <c r="HAU526" s="1358"/>
      <c r="HAV526" s="1358"/>
      <c r="HAW526" s="1358"/>
      <c r="HAX526" s="1358"/>
      <c r="HAY526" s="1358"/>
      <c r="HAZ526" s="1358"/>
      <c r="HBA526" s="1358"/>
      <c r="HBB526" s="1358"/>
      <c r="HBC526" s="1358"/>
      <c r="HBD526" s="1358"/>
      <c r="HBE526" s="1358"/>
      <c r="HBF526" s="1358"/>
      <c r="HBG526" s="1358"/>
      <c r="HBH526" s="1358"/>
      <c r="HBI526" s="1358"/>
      <c r="HBJ526" s="1358"/>
      <c r="HBK526" s="1358"/>
      <c r="HBL526" s="1358"/>
      <c r="HBM526" s="1358"/>
      <c r="HBN526" s="1358"/>
      <c r="HBO526" s="1358"/>
      <c r="HBP526" s="1358"/>
      <c r="HBQ526" s="1358"/>
      <c r="HBR526" s="1358"/>
      <c r="HBS526" s="1358"/>
      <c r="HBT526" s="1358"/>
      <c r="HBU526" s="1358"/>
      <c r="HBV526" s="1358"/>
      <c r="HBW526" s="1358"/>
      <c r="HBX526" s="1358"/>
      <c r="HBY526" s="1358"/>
      <c r="HBZ526" s="1358"/>
      <c r="HCA526" s="1358"/>
      <c r="HCB526" s="1358"/>
      <c r="HCC526" s="1358"/>
      <c r="HCD526" s="1358"/>
      <c r="HCE526" s="1358"/>
      <c r="HCF526" s="1358"/>
      <c r="HCG526" s="1358"/>
      <c r="HCH526" s="1358"/>
      <c r="HCI526" s="1358"/>
      <c r="HCJ526" s="1358"/>
      <c r="HCK526" s="1358"/>
      <c r="HCL526" s="1358"/>
      <c r="HCM526" s="1358"/>
      <c r="HCN526" s="1358"/>
      <c r="HCO526" s="1358"/>
      <c r="HCP526" s="1358"/>
      <c r="HCQ526" s="1358"/>
      <c r="HCR526" s="1358"/>
      <c r="HCS526" s="1358"/>
      <c r="HCT526" s="1358"/>
      <c r="HCU526" s="1358"/>
      <c r="HCV526" s="1358"/>
      <c r="HCW526" s="1358"/>
      <c r="HCX526" s="1358"/>
      <c r="HCY526" s="1358"/>
      <c r="HCZ526" s="1358"/>
      <c r="HDA526" s="1358"/>
      <c r="HDB526" s="1358"/>
      <c r="HDC526" s="1358"/>
      <c r="HDD526" s="1358"/>
      <c r="HDE526" s="1358"/>
      <c r="HDF526" s="1358"/>
      <c r="HDG526" s="1358"/>
      <c r="HDH526" s="1358"/>
      <c r="HDI526" s="1358"/>
      <c r="HDJ526" s="1358"/>
      <c r="HDK526" s="1358"/>
      <c r="HDL526" s="1358"/>
      <c r="HDM526" s="1358"/>
      <c r="HDN526" s="1358"/>
      <c r="HDO526" s="1358"/>
      <c r="HDP526" s="1358"/>
      <c r="HDQ526" s="1358"/>
      <c r="HDR526" s="1358"/>
      <c r="HDS526" s="1358"/>
      <c r="HDT526" s="1358"/>
      <c r="HDU526" s="1358"/>
      <c r="HDV526" s="1358"/>
      <c r="HDW526" s="1358"/>
      <c r="HDX526" s="1358"/>
      <c r="HDY526" s="1358"/>
      <c r="HDZ526" s="1358"/>
      <c r="HEA526" s="1358"/>
      <c r="HEB526" s="1358"/>
      <c r="HEC526" s="1358"/>
      <c r="HED526" s="1358"/>
      <c r="HEE526" s="1358"/>
      <c r="HEF526" s="1358"/>
      <c r="HEG526" s="1358"/>
      <c r="HEH526" s="1358"/>
      <c r="HEI526" s="1358"/>
      <c r="HEJ526" s="1358"/>
      <c r="HEK526" s="1358"/>
      <c r="HEL526" s="1358"/>
      <c r="HEM526" s="1358"/>
      <c r="HEN526" s="1358"/>
      <c r="HEO526" s="1358"/>
      <c r="HEP526" s="1358"/>
      <c r="HEQ526" s="1358"/>
      <c r="HER526" s="1358"/>
      <c r="HES526" s="1358"/>
      <c r="HET526" s="1358"/>
      <c r="HEU526" s="1358"/>
      <c r="HEV526" s="1358"/>
      <c r="HEW526" s="1358"/>
      <c r="HEX526" s="1358"/>
      <c r="HEY526" s="1358"/>
      <c r="HEZ526" s="1358"/>
      <c r="HFA526" s="1358"/>
      <c r="HFB526" s="1358"/>
      <c r="HFC526" s="1358"/>
      <c r="HFD526" s="1358"/>
      <c r="HFE526" s="1358"/>
      <c r="HFF526" s="1358"/>
      <c r="HFG526" s="1358"/>
      <c r="HFH526" s="1358"/>
      <c r="HFI526" s="1358"/>
      <c r="HFJ526" s="1358"/>
      <c r="HFK526" s="1358"/>
      <c r="HFL526" s="1358"/>
      <c r="HFM526" s="1358"/>
      <c r="HFN526" s="1358"/>
      <c r="HFO526" s="1358"/>
      <c r="HFP526" s="1358"/>
      <c r="HFQ526" s="1358"/>
      <c r="HFR526" s="1358"/>
      <c r="HFS526" s="1358"/>
      <c r="HFT526" s="1358"/>
      <c r="HFU526" s="1358"/>
      <c r="HFV526" s="1358"/>
      <c r="HFW526" s="1358"/>
      <c r="HFX526" s="1358"/>
      <c r="HFY526" s="1358"/>
      <c r="HFZ526" s="1358"/>
      <c r="HGA526" s="1358"/>
      <c r="HGB526" s="1358"/>
      <c r="HGC526" s="1358"/>
      <c r="HGD526" s="1358"/>
      <c r="HGE526" s="1358"/>
      <c r="HGF526" s="1358"/>
      <c r="HGG526" s="1358"/>
      <c r="HGH526" s="1358"/>
      <c r="HGI526" s="1358"/>
      <c r="HGJ526" s="1358"/>
      <c r="HGK526" s="1358"/>
      <c r="HGL526" s="1358"/>
      <c r="HGM526" s="1358"/>
      <c r="HGN526" s="1358"/>
      <c r="HGO526" s="1358"/>
      <c r="HGP526" s="1358"/>
      <c r="HGQ526" s="1358"/>
      <c r="HGR526" s="1358"/>
      <c r="HGS526" s="1358"/>
      <c r="HGT526" s="1358"/>
      <c r="HGU526" s="1358"/>
      <c r="HGV526" s="1358"/>
      <c r="HGW526" s="1358"/>
      <c r="HGX526" s="1358"/>
      <c r="HGY526" s="1358"/>
      <c r="HGZ526" s="1358"/>
      <c r="HHA526" s="1358"/>
      <c r="HHB526" s="1358"/>
      <c r="HHC526" s="1358"/>
      <c r="HHD526" s="1358"/>
      <c r="HHE526" s="1358"/>
      <c r="HHF526" s="1358"/>
      <c r="HHG526" s="1358"/>
      <c r="HHH526" s="1358"/>
      <c r="HHI526" s="1358"/>
      <c r="HHJ526" s="1358"/>
      <c r="HHK526" s="1358"/>
      <c r="HHL526" s="1358"/>
      <c r="HHM526" s="1358"/>
      <c r="HHN526" s="1358"/>
      <c r="HHO526" s="1358"/>
      <c r="HHP526" s="1358"/>
      <c r="HHQ526" s="1358"/>
      <c r="HHR526" s="1358"/>
      <c r="HHS526" s="1358"/>
      <c r="HHT526" s="1358"/>
      <c r="HHU526" s="1358"/>
      <c r="HHV526" s="1358"/>
      <c r="HHW526" s="1358"/>
      <c r="HHX526" s="1358"/>
      <c r="HHY526" s="1358"/>
      <c r="HHZ526" s="1358"/>
      <c r="HIA526" s="1358"/>
      <c r="HIB526" s="1358"/>
      <c r="HIC526" s="1358"/>
      <c r="HID526" s="1358"/>
      <c r="HIE526" s="1358"/>
      <c r="HIF526" s="1358"/>
      <c r="HIG526" s="1358"/>
      <c r="HIH526" s="1358"/>
      <c r="HII526" s="1358"/>
      <c r="HIJ526" s="1358"/>
      <c r="HIK526" s="1358"/>
      <c r="HIL526" s="1358"/>
      <c r="HIM526" s="1358"/>
      <c r="HIN526" s="1358"/>
      <c r="HIO526" s="1358"/>
      <c r="HIP526" s="1358"/>
      <c r="HIQ526" s="1358"/>
      <c r="HIR526" s="1358"/>
      <c r="HIS526" s="1358"/>
      <c r="HIT526" s="1358"/>
      <c r="HIU526" s="1358"/>
      <c r="HIV526" s="1358"/>
      <c r="HIW526" s="1358"/>
      <c r="HIX526" s="1358"/>
      <c r="HIY526" s="1358"/>
      <c r="HIZ526" s="1358"/>
      <c r="HJA526" s="1358"/>
      <c r="HJB526" s="1358"/>
      <c r="HJC526" s="1358"/>
      <c r="HJD526" s="1358"/>
      <c r="HJE526" s="1358"/>
      <c r="HJF526" s="1358"/>
      <c r="HJG526" s="1358"/>
      <c r="HJH526" s="1358"/>
      <c r="HJI526" s="1358"/>
      <c r="HJJ526" s="1358"/>
      <c r="HJK526" s="1358"/>
      <c r="HJL526" s="1358"/>
      <c r="HJM526" s="1358"/>
      <c r="HJN526" s="1358"/>
      <c r="HJO526" s="1358"/>
      <c r="HJP526" s="1358"/>
      <c r="HJQ526" s="1358"/>
      <c r="HJR526" s="1358"/>
      <c r="HJS526" s="1358"/>
      <c r="HJT526" s="1358"/>
      <c r="HJU526" s="1358"/>
      <c r="HJV526" s="1358"/>
      <c r="HJW526" s="1358"/>
      <c r="HJX526" s="1358"/>
      <c r="HJY526" s="1358"/>
      <c r="HJZ526" s="1358"/>
      <c r="HKA526" s="1358"/>
      <c r="HKB526" s="1358"/>
      <c r="HKC526" s="1358"/>
      <c r="HKD526" s="1358"/>
      <c r="HKE526" s="1358"/>
      <c r="HKF526" s="1358"/>
      <c r="HKG526" s="1358"/>
      <c r="HKH526" s="1358"/>
      <c r="HKI526" s="1358"/>
      <c r="HKJ526" s="1358"/>
      <c r="HKK526" s="1358"/>
      <c r="HKL526" s="1358"/>
      <c r="HKM526" s="1358"/>
      <c r="HKN526" s="1358"/>
      <c r="HKO526" s="1358"/>
      <c r="HKP526" s="1358"/>
      <c r="HKQ526" s="1358"/>
      <c r="HKR526" s="1358"/>
      <c r="HKS526" s="1358"/>
      <c r="HKT526" s="1358"/>
      <c r="HKU526" s="1358"/>
      <c r="HKV526" s="1358"/>
      <c r="HKW526" s="1358"/>
      <c r="HKX526" s="1358"/>
      <c r="HKY526" s="1358"/>
      <c r="HKZ526" s="1358"/>
      <c r="HLA526" s="1358"/>
      <c r="HLB526" s="1358"/>
      <c r="HLC526" s="1358"/>
      <c r="HLD526" s="1358"/>
      <c r="HLE526" s="1358"/>
      <c r="HLF526" s="1358"/>
      <c r="HLG526" s="1358"/>
      <c r="HLH526" s="1358"/>
      <c r="HLI526" s="1358"/>
      <c r="HLJ526" s="1358"/>
      <c r="HLK526" s="1358"/>
      <c r="HLL526" s="1358"/>
      <c r="HLM526" s="1358"/>
      <c r="HLN526" s="1358"/>
      <c r="HLO526" s="1358"/>
      <c r="HLP526" s="1358"/>
      <c r="HLQ526" s="1358"/>
      <c r="HLR526" s="1358"/>
      <c r="HLS526" s="1358"/>
      <c r="HLT526" s="1358"/>
      <c r="HLU526" s="1358"/>
      <c r="HLV526" s="1358"/>
      <c r="HLW526" s="1358"/>
      <c r="HLX526" s="1358"/>
      <c r="HLY526" s="1358"/>
      <c r="HLZ526" s="1358"/>
      <c r="HMA526" s="1358"/>
      <c r="HMB526" s="1358"/>
      <c r="HMC526" s="1358"/>
      <c r="HMD526" s="1358"/>
      <c r="HME526" s="1358"/>
      <c r="HMF526" s="1358"/>
      <c r="HMG526" s="1358"/>
      <c r="HMH526" s="1358"/>
      <c r="HMI526" s="1358"/>
      <c r="HMJ526" s="1358"/>
      <c r="HMK526" s="1358"/>
      <c r="HML526" s="1358"/>
      <c r="HMM526" s="1358"/>
      <c r="HMN526" s="1358"/>
      <c r="HMO526" s="1358"/>
      <c r="HMP526" s="1358"/>
      <c r="HMQ526" s="1358"/>
      <c r="HMR526" s="1358"/>
      <c r="HMS526" s="1358"/>
      <c r="HMT526" s="1358"/>
      <c r="HMU526" s="1358"/>
      <c r="HMV526" s="1358"/>
      <c r="HMW526" s="1358"/>
      <c r="HMX526" s="1358"/>
      <c r="HMY526" s="1358"/>
      <c r="HMZ526" s="1358"/>
      <c r="HNA526" s="1358"/>
      <c r="HNB526" s="1358"/>
      <c r="HNC526" s="1358"/>
      <c r="HND526" s="1358"/>
      <c r="HNE526" s="1358"/>
      <c r="HNF526" s="1358"/>
      <c r="HNG526" s="1358"/>
      <c r="HNH526" s="1358"/>
      <c r="HNI526" s="1358"/>
      <c r="HNJ526" s="1358"/>
      <c r="HNK526" s="1358"/>
      <c r="HNL526" s="1358"/>
      <c r="HNM526" s="1358"/>
      <c r="HNN526" s="1358"/>
      <c r="HNO526" s="1358"/>
      <c r="HNP526" s="1358"/>
      <c r="HNQ526" s="1358"/>
      <c r="HNR526" s="1358"/>
      <c r="HNS526" s="1358"/>
      <c r="HNT526" s="1358"/>
      <c r="HNU526" s="1358"/>
      <c r="HNV526" s="1358"/>
      <c r="HNW526" s="1358"/>
      <c r="HNX526" s="1358"/>
      <c r="HNY526" s="1358"/>
      <c r="HNZ526" s="1358"/>
      <c r="HOA526" s="1358"/>
      <c r="HOB526" s="1358"/>
      <c r="HOC526" s="1358"/>
      <c r="HOD526" s="1358"/>
      <c r="HOE526" s="1358"/>
      <c r="HOF526" s="1358"/>
      <c r="HOG526" s="1358"/>
      <c r="HOH526" s="1358"/>
      <c r="HOI526" s="1358"/>
      <c r="HOJ526" s="1358"/>
      <c r="HOK526" s="1358"/>
      <c r="HOL526" s="1358"/>
      <c r="HOM526" s="1358"/>
      <c r="HON526" s="1358"/>
      <c r="HOO526" s="1358"/>
      <c r="HOP526" s="1358"/>
      <c r="HOQ526" s="1358"/>
      <c r="HOR526" s="1358"/>
      <c r="HOS526" s="1358"/>
      <c r="HOT526" s="1358"/>
      <c r="HOU526" s="1358"/>
      <c r="HOV526" s="1358"/>
      <c r="HOW526" s="1358"/>
      <c r="HOX526" s="1358"/>
      <c r="HOY526" s="1358"/>
      <c r="HOZ526" s="1358"/>
      <c r="HPA526" s="1358"/>
      <c r="HPB526" s="1358"/>
      <c r="HPC526" s="1358"/>
      <c r="HPD526" s="1358"/>
      <c r="HPE526" s="1358"/>
      <c r="HPF526" s="1358"/>
      <c r="HPG526" s="1358"/>
      <c r="HPH526" s="1358"/>
      <c r="HPI526" s="1358"/>
      <c r="HPJ526" s="1358"/>
      <c r="HPK526" s="1358"/>
      <c r="HPL526" s="1358"/>
      <c r="HPM526" s="1358"/>
      <c r="HPN526" s="1358"/>
      <c r="HPO526" s="1358"/>
      <c r="HPP526" s="1358"/>
      <c r="HPQ526" s="1358"/>
      <c r="HPR526" s="1358"/>
      <c r="HPS526" s="1358"/>
      <c r="HPT526" s="1358"/>
      <c r="HPU526" s="1358"/>
      <c r="HPV526" s="1358"/>
      <c r="HPW526" s="1358"/>
      <c r="HPX526" s="1358"/>
      <c r="HPY526" s="1358"/>
      <c r="HPZ526" s="1358"/>
      <c r="HQA526" s="1358"/>
      <c r="HQB526" s="1358"/>
      <c r="HQC526" s="1358"/>
      <c r="HQD526" s="1358"/>
      <c r="HQE526" s="1358"/>
      <c r="HQF526" s="1358"/>
      <c r="HQG526" s="1358"/>
      <c r="HQH526" s="1358"/>
      <c r="HQI526" s="1358"/>
      <c r="HQJ526" s="1358"/>
      <c r="HQK526" s="1358"/>
      <c r="HQL526" s="1358"/>
      <c r="HQM526" s="1358"/>
      <c r="HQN526" s="1358"/>
      <c r="HQO526" s="1358"/>
      <c r="HQP526" s="1358"/>
      <c r="HQQ526" s="1358"/>
      <c r="HQR526" s="1358"/>
      <c r="HQS526" s="1358"/>
      <c r="HQT526" s="1358"/>
      <c r="HQU526" s="1358"/>
      <c r="HQV526" s="1358"/>
      <c r="HQW526" s="1358"/>
      <c r="HQX526" s="1358"/>
      <c r="HQY526" s="1358"/>
      <c r="HQZ526" s="1358"/>
      <c r="HRA526" s="1358"/>
      <c r="HRB526" s="1358"/>
      <c r="HRC526" s="1358"/>
      <c r="HRD526" s="1358"/>
      <c r="HRE526" s="1358"/>
      <c r="HRF526" s="1358"/>
      <c r="HRG526" s="1358"/>
      <c r="HRH526" s="1358"/>
      <c r="HRI526" s="1358"/>
      <c r="HRJ526" s="1358"/>
      <c r="HRK526" s="1358"/>
      <c r="HRL526" s="1358"/>
      <c r="HRM526" s="1358"/>
      <c r="HRN526" s="1358"/>
      <c r="HRO526" s="1358"/>
      <c r="HRP526" s="1358"/>
      <c r="HRQ526" s="1358"/>
      <c r="HRR526" s="1358"/>
      <c r="HRS526" s="1358"/>
      <c r="HRT526" s="1358"/>
      <c r="HRU526" s="1358"/>
      <c r="HRV526" s="1358"/>
      <c r="HRW526" s="1358"/>
      <c r="HRX526" s="1358"/>
      <c r="HRY526" s="1358"/>
      <c r="HRZ526" s="1358"/>
      <c r="HSA526" s="1358"/>
      <c r="HSB526" s="1358"/>
      <c r="HSC526" s="1358"/>
      <c r="HSD526" s="1358"/>
      <c r="HSE526" s="1358"/>
      <c r="HSF526" s="1358"/>
      <c r="HSG526" s="1358"/>
      <c r="HSH526" s="1358"/>
      <c r="HSI526" s="1358"/>
      <c r="HSJ526" s="1358"/>
      <c r="HSK526" s="1358"/>
      <c r="HSL526" s="1358"/>
      <c r="HSM526" s="1358"/>
      <c r="HSN526" s="1358"/>
      <c r="HSO526" s="1358"/>
      <c r="HSP526" s="1358"/>
      <c r="HSQ526" s="1358"/>
      <c r="HSR526" s="1358"/>
      <c r="HSS526" s="1358"/>
      <c r="HST526" s="1358"/>
      <c r="HSU526" s="1358"/>
      <c r="HSV526" s="1358"/>
      <c r="HSW526" s="1358"/>
      <c r="HSX526" s="1358"/>
      <c r="HSY526" s="1358"/>
      <c r="HSZ526" s="1358"/>
      <c r="HTA526" s="1358"/>
      <c r="HTB526" s="1358"/>
      <c r="HTC526" s="1358"/>
      <c r="HTD526" s="1358"/>
      <c r="HTE526" s="1358"/>
      <c r="HTF526" s="1358"/>
      <c r="HTG526" s="1358"/>
      <c r="HTH526" s="1358"/>
      <c r="HTI526" s="1358"/>
      <c r="HTJ526" s="1358"/>
      <c r="HTK526" s="1358"/>
      <c r="HTL526" s="1358"/>
      <c r="HTM526" s="1358"/>
      <c r="HTN526" s="1358"/>
      <c r="HTO526" s="1358"/>
      <c r="HTP526" s="1358"/>
      <c r="HTQ526" s="1358"/>
      <c r="HTR526" s="1358"/>
      <c r="HTS526" s="1358"/>
      <c r="HTT526" s="1358"/>
      <c r="HTU526" s="1358"/>
      <c r="HTV526" s="1358"/>
      <c r="HTW526" s="1358"/>
      <c r="HTX526" s="1358"/>
      <c r="HTY526" s="1358"/>
      <c r="HTZ526" s="1358"/>
      <c r="HUA526" s="1358"/>
      <c r="HUB526" s="1358"/>
      <c r="HUC526" s="1358"/>
      <c r="HUD526" s="1358"/>
      <c r="HUE526" s="1358"/>
      <c r="HUF526" s="1358"/>
      <c r="HUG526" s="1358"/>
      <c r="HUH526" s="1358"/>
      <c r="HUI526" s="1358"/>
      <c r="HUJ526" s="1358"/>
      <c r="HUK526" s="1358"/>
      <c r="HUL526" s="1358"/>
      <c r="HUM526" s="1358"/>
      <c r="HUN526" s="1358"/>
      <c r="HUO526" s="1358"/>
      <c r="HUP526" s="1358"/>
      <c r="HUQ526" s="1358"/>
      <c r="HUR526" s="1358"/>
      <c r="HUS526" s="1358"/>
      <c r="HUT526" s="1358"/>
      <c r="HUU526" s="1358"/>
      <c r="HUV526" s="1358"/>
      <c r="HUW526" s="1358"/>
      <c r="HUX526" s="1358"/>
      <c r="HUY526" s="1358"/>
      <c r="HUZ526" s="1358"/>
      <c r="HVA526" s="1358"/>
      <c r="HVB526" s="1358"/>
      <c r="HVC526" s="1358"/>
      <c r="HVD526" s="1358"/>
      <c r="HVE526" s="1358"/>
      <c r="HVF526" s="1358"/>
      <c r="HVG526" s="1358"/>
      <c r="HVH526" s="1358"/>
      <c r="HVI526" s="1358"/>
      <c r="HVJ526" s="1358"/>
      <c r="HVK526" s="1358"/>
      <c r="HVL526" s="1358"/>
      <c r="HVM526" s="1358"/>
      <c r="HVN526" s="1358"/>
      <c r="HVO526" s="1358"/>
      <c r="HVP526" s="1358"/>
      <c r="HVQ526" s="1358"/>
      <c r="HVR526" s="1358"/>
      <c r="HVS526" s="1358"/>
      <c r="HVT526" s="1358"/>
      <c r="HVU526" s="1358"/>
      <c r="HVV526" s="1358"/>
      <c r="HVW526" s="1358"/>
      <c r="HVX526" s="1358"/>
      <c r="HVY526" s="1358"/>
      <c r="HVZ526" s="1358"/>
      <c r="HWA526" s="1358"/>
      <c r="HWB526" s="1358"/>
      <c r="HWC526" s="1358"/>
      <c r="HWD526" s="1358"/>
      <c r="HWE526" s="1358"/>
      <c r="HWF526" s="1358"/>
      <c r="HWG526" s="1358"/>
      <c r="HWH526" s="1358"/>
      <c r="HWI526" s="1358"/>
      <c r="HWJ526" s="1358"/>
      <c r="HWK526" s="1358"/>
      <c r="HWL526" s="1358"/>
      <c r="HWM526" s="1358"/>
      <c r="HWN526" s="1358"/>
      <c r="HWO526" s="1358"/>
      <c r="HWP526" s="1358"/>
      <c r="HWQ526" s="1358"/>
      <c r="HWR526" s="1358"/>
      <c r="HWS526" s="1358"/>
      <c r="HWT526" s="1358"/>
      <c r="HWU526" s="1358"/>
      <c r="HWV526" s="1358"/>
      <c r="HWW526" s="1358"/>
      <c r="HWX526" s="1358"/>
      <c r="HWY526" s="1358"/>
      <c r="HWZ526" s="1358"/>
      <c r="HXA526" s="1358"/>
      <c r="HXB526" s="1358"/>
      <c r="HXC526" s="1358"/>
      <c r="HXD526" s="1358"/>
      <c r="HXE526" s="1358"/>
      <c r="HXF526" s="1358"/>
      <c r="HXG526" s="1358"/>
      <c r="HXH526" s="1358"/>
      <c r="HXI526" s="1358"/>
      <c r="HXJ526" s="1358"/>
      <c r="HXK526" s="1358"/>
      <c r="HXL526" s="1358"/>
      <c r="HXM526" s="1358"/>
      <c r="HXN526" s="1358"/>
      <c r="HXO526" s="1358"/>
      <c r="HXP526" s="1358"/>
      <c r="HXQ526" s="1358"/>
      <c r="HXR526" s="1358"/>
      <c r="HXS526" s="1358"/>
      <c r="HXT526" s="1358"/>
      <c r="HXU526" s="1358"/>
      <c r="HXV526" s="1358"/>
      <c r="HXW526" s="1358"/>
      <c r="HXX526" s="1358"/>
      <c r="HXY526" s="1358"/>
      <c r="HXZ526" s="1358"/>
      <c r="HYA526" s="1358"/>
      <c r="HYB526" s="1358"/>
      <c r="HYC526" s="1358"/>
      <c r="HYD526" s="1358"/>
      <c r="HYE526" s="1358"/>
      <c r="HYF526" s="1358"/>
      <c r="HYG526" s="1358"/>
      <c r="HYH526" s="1358"/>
      <c r="HYI526" s="1358"/>
      <c r="HYJ526" s="1358"/>
      <c r="HYK526" s="1358"/>
      <c r="HYL526" s="1358"/>
      <c r="HYM526" s="1358"/>
      <c r="HYN526" s="1358"/>
      <c r="HYO526" s="1358"/>
      <c r="HYP526" s="1358"/>
      <c r="HYQ526" s="1358"/>
      <c r="HYR526" s="1358"/>
      <c r="HYS526" s="1358"/>
      <c r="HYT526" s="1358"/>
      <c r="HYU526" s="1358"/>
      <c r="HYV526" s="1358"/>
      <c r="HYW526" s="1358"/>
      <c r="HYX526" s="1358"/>
      <c r="HYY526" s="1358"/>
      <c r="HYZ526" s="1358"/>
      <c r="HZA526" s="1358"/>
      <c r="HZB526" s="1358"/>
      <c r="HZC526" s="1358"/>
      <c r="HZD526" s="1358"/>
      <c r="HZE526" s="1358"/>
      <c r="HZF526" s="1358"/>
      <c r="HZG526" s="1358"/>
      <c r="HZH526" s="1358"/>
      <c r="HZI526" s="1358"/>
      <c r="HZJ526" s="1358"/>
      <c r="HZK526" s="1358"/>
      <c r="HZL526" s="1358"/>
      <c r="HZM526" s="1358"/>
      <c r="HZN526" s="1358"/>
      <c r="HZO526" s="1358"/>
      <c r="HZP526" s="1358"/>
      <c r="HZQ526" s="1358"/>
      <c r="HZR526" s="1358"/>
      <c r="HZS526" s="1358"/>
      <c r="HZT526" s="1358"/>
      <c r="HZU526" s="1358"/>
      <c r="HZV526" s="1358"/>
      <c r="HZW526" s="1358"/>
      <c r="HZX526" s="1358"/>
      <c r="HZY526" s="1358"/>
      <c r="HZZ526" s="1358"/>
      <c r="IAA526" s="1358"/>
      <c r="IAB526" s="1358"/>
      <c r="IAC526" s="1358"/>
      <c r="IAD526" s="1358"/>
      <c r="IAE526" s="1358"/>
      <c r="IAF526" s="1358"/>
      <c r="IAG526" s="1358"/>
      <c r="IAH526" s="1358"/>
      <c r="IAI526" s="1358"/>
      <c r="IAJ526" s="1358"/>
      <c r="IAK526" s="1358"/>
      <c r="IAL526" s="1358"/>
      <c r="IAM526" s="1358"/>
      <c r="IAN526" s="1358"/>
      <c r="IAO526" s="1358"/>
      <c r="IAP526" s="1358"/>
      <c r="IAQ526" s="1358"/>
      <c r="IAR526" s="1358"/>
      <c r="IAS526" s="1358"/>
      <c r="IAT526" s="1358"/>
      <c r="IAU526" s="1358"/>
      <c r="IAV526" s="1358"/>
      <c r="IAW526" s="1358"/>
      <c r="IAX526" s="1358"/>
      <c r="IAY526" s="1358"/>
      <c r="IAZ526" s="1358"/>
      <c r="IBA526" s="1358"/>
      <c r="IBB526" s="1358"/>
      <c r="IBC526" s="1358"/>
      <c r="IBD526" s="1358"/>
      <c r="IBE526" s="1358"/>
      <c r="IBF526" s="1358"/>
      <c r="IBG526" s="1358"/>
      <c r="IBH526" s="1358"/>
      <c r="IBI526" s="1358"/>
      <c r="IBJ526" s="1358"/>
      <c r="IBK526" s="1358"/>
      <c r="IBL526" s="1358"/>
      <c r="IBM526" s="1358"/>
      <c r="IBN526" s="1358"/>
      <c r="IBO526" s="1358"/>
      <c r="IBP526" s="1358"/>
      <c r="IBQ526" s="1358"/>
      <c r="IBR526" s="1358"/>
      <c r="IBS526" s="1358"/>
      <c r="IBT526" s="1358"/>
      <c r="IBU526" s="1358"/>
      <c r="IBV526" s="1358"/>
      <c r="IBW526" s="1358"/>
      <c r="IBX526" s="1358"/>
      <c r="IBY526" s="1358"/>
      <c r="IBZ526" s="1358"/>
      <c r="ICA526" s="1358"/>
      <c r="ICB526" s="1358"/>
      <c r="ICC526" s="1358"/>
      <c r="ICD526" s="1358"/>
      <c r="ICE526" s="1358"/>
      <c r="ICF526" s="1358"/>
      <c r="ICG526" s="1358"/>
      <c r="ICH526" s="1358"/>
      <c r="ICI526" s="1358"/>
      <c r="ICJ526" s="1358"/>
      <c r="ICK526" s="1358"/>
      <c r="ICL526" s="1358"/>
      <c r="ICM526" s="1358"/>
      <c r="ICN526" s="1358"/>
      <c r="ICO526" s="1358"/>
      <c r="ICP526" s="1358"/>
      <c r="ICQ526" s="1358"/>
      <c r="ICR526" s="1358"/>
      <c r="ICS526" s="1358"/>
      <c r="ICT526" s="1358"/>
      <c r="ICU526" s="1358"/>
      <c r="ICV526" s="1358"/>
      <c r="ICW526" s="1358"/>
      <c r="ICX526" s="1358"/>
      <c r="ICY526" s="1358"/>
      <c r="ICZ526" s="1358"/>
      <c r="IDA526" s="1358"/>
      <c r="IDB526" s="1358"/>
      <c r="IDC526" s="1358"/>
      <c r="IDD526" s="1358"/>
      <c r="IDE526" s="1358"/>
      <c r="IDF526" s="1358"/>
      <c r="IDG526" s="1358"/>
      <c r="IDH526" s="1358"/>
      <c r="IDI526" s="1358"/>
      <c r="IDJ526" s="1358"/>
      <c r="IDK526" s="1358"/>
      <c r="IDL526" s="1358"/>
      <c r="IDM526" s="1358"/>
      <c r="IDN526" s="1358"/>
      <c r="IDO526" s="1358"/>
      <c r="IDP526" s="1358"/>
      <c r="IDQ526" s="1358"/>
      <c r="IDR526" s="1358"/>
      <c r="IDS526" s="1358"/>
      <c r="IDT526" s="1358"/>
      <c r="IDU526" s="1358"/>
      <c r="IDV526" s="1358"/>
      <c r="IDW526" s="1358"/>
      <c r="IDX526" s="1358"/>
      <c r="IDY526" s="1358"/>
      <c r="IDZ526" s="1358"/>
      <c r="IEA526" s="1358"/>
      <c r="IEB526" s="1358"/>
      <c r="IEC526" s="1358"/>
      <c r="IED526" s="1358"/>
      <c r="IEE526" s="1358"/>
      <c r="IEF526" s="1358"/>
      <c r="IEG526" s="1358"/>
      <c r="IEH526" s="1358"/>
      <c r="IEI526" s="1358"/>
      <c r="IEJ526" s="1358"/>
      <c r="IEK526" s="1358"/>
      <c r="IEL526" s="1358"/>
      <c r="IEM526" s="1358"/>
      <c r="IEN526" s="1358"/>
      <c r="IEO526" s="1358"/>
      <c r="IEP526" s="1358"/>
      <c r="IEQ526" s="1358"/>
      <c r="IER526" s="1358"/>
      <c r="IES526" s="1358"/>
      <c r="IET526" s="1358"/>
      <c r="IEU526" s="1358"/>
      <c r="IEV526" s="1358"/>
      <c r="IEW526" s="1358"/>
      <c r="IEX526" s="1358"/>
      <c r="IEY526" s="1358"/>
      <c r="IEZ526" s="1358"/>
      <c r="IFA526" s="1358"/>
      <c r="IFB526" s="1358"/>
      <c r="IFC526" s="1358"/>
      <c r="IFD526" s="1358"/>
      <c r="IFE526" s="1358"/>
      <c r="IFF526" s="1358"/>
      <c r="IFG526" s="1358"/>
      <c r="IFH526" s="1358"/>
      <c r="IFI526" s="1358"/>
      <c r="IFJ526" s="1358"/>
      <c r="IFK526" s="1358"/>
      <c r="IFL526" s="1358"/>
      <c r="IFM526" s="1358"/>
      <c r="IFN526" s="1358"/>
      <c r="IFO526" s="1358"/>
      <c r="IFP526" s="1358"/>
      <c r="IFQ526" s="1358"/>
      <c r="IFR526" s="1358"/>
      <c r="IFS526" s="1358"/>
      <c r="IFT526" s="1358"/>
      <c r="IFU526" s="1358"/>
      <c r="IFV526" s="1358"/>
      <c r="IFW526" s="1358"/>
      <c r="IFX526" s="1358"/>
      <c r="IFY526" s="1358"/>
      <c r="IFZ526" s="1358"/>
      <c r="IGA526" s="1358"/>
      <c r="IGB526" s="1358"/>
      <c r="IGC526" s="1358"/>
      <c r="IGD526" s="1358"/>
      <c r="IGE526" s="1358"/>
      <c r="IGF526" s="1358"/>
      <c r="IGG526" s="1358"/>
      <c r="IGH526" s="1358"/>
      <c r="IGI526" s="1358"/>
      <c r="IGJ526" s="1358"/>
      <c r="IGK526" s="1358"/>
      <c r="IGL526" s="1358"/>
      <c r="IGM526" s="1358"/>
      <c r="IGN526" s="1358"/>
      <c r="IGO526" s="1358"/>
      <c r="IGP526" s="1358"/>
      <c r="IGQ526" s="1358"/>
      <c r="IGR526" s="1358"/>
      <c r="IGS526" s="1358"/>
      <c r="IGT526" s="1358"/>
      <c r="IGU526" s="1358"/>
      <c r="IGV526" s="1358"/>
      <c r="IGW526" s="1358"/>
      <c r="IGX526" s="1358"/>
      <c r="IGY526" s="1358"/>
      <c r="IGZ526" s="1358"/>
      <c r="IHA526" s="1358"/>
      <c r="IHB526" s="1358"/>
      <c r="IHC526" s="1358"/>
      <c r="IHD526" s="1358"/>
      <c r="IHE526" s="1358"/>
      <c r="IHF526" s="1358"/>
      <c r="IHG526" s="1358"/>
      <c r="IHH526" s="1358"/>
      <c r="IHI526" s="1358"/>
      <c r="IHJ526" s="1358"/>
      <c r="IHK526" s="1358"/>
      <c r="IHL526" s="1358"/>
      <c r="IHM526" s="1358"/>
      <c r="IHN526" s="1358"/>
      <c r="IHO526" s="1358"/>
      <c r="IHP526" s="1358"/>
      <c r="IHQ526" s="1358"/>
      <c r="IHR526" s="1358"/>
      <c r="IHS526" s="1358"/>
      <c r="IHT526" s="1358"/>
      <c r="IHU526" s="1358"/>
      <c r="IHV526" s="1358"/>
      <c r="IHW526" s="1358"/>
      <c r="IHX526" s="1358"/>
      <c r="IHY526" s="1358"/>
      <c r="IHZ526" s="1358"/>
      <c r="IIA526" s="1358"/>
      <c r="IIB526" s="1358"/>
      <c r="IIC526" s="1358"/>
      <c r="IID526" s="1358"/>
      <c r="IIE526" s="1358"/>
      <c r="IIF526" s="1358"/>
      <c r="IIG526" s="1358"/>
      <c r="IIH526" s="1358"/>
      <c r="III526" s="1358"/>
      <c r="IIJ526" s="1358"/>
      <c r="IIK526" s="1358"/>
      <c r="IIL526" s="1358"/>
      <c r="IIM526" s="1358"/>
      <c r="IIN526" s="1358"/>
      <c r="IIO526" s="1358"/>
      <c r="IIP526" s="1358"/>
      <c r="IIQ526" s="1358"/>
      <c r="IIR526" s="1358"/>
      <c r="IIS526" s="1358"/>
      <c r="IIT526" s="1358"/>
      <c r="IIU526" s="1358"/>
      <c r="IIV526" s="1358"/>
      <c r="IIW526" s="1358"/>
      <c r="IIX526" s="1358"/>
      <c r="IIY526" s="1358"/>
      <c r="IIZ526" s="1358"/>
      <c r="IJA526" s="1358"/>
      <c r="IJB526" s="1358"/>
      <c r="IJC526" s="1358"/>
      <c r="IJD526" s="1358"/>
      <c r="IJE526" s="1358"/>
      <c r="IJF526" s="1358"/>
      <c r="IJG526" s="1358"/>
      <c r="IJH526" s="1358"/>
      <c r="IJI526" s="1358"/>
      <c r="IJJ526" s="1358"/>
      <c r="IJK526" s="1358"/>
      <c r="IJL526" s="1358"/>
      <c r="IJM526" s="1358"/>
      <c r="IJN526" s="1358"/>
      <c r="IJO526" s="1358"/>
      <c r="IJP526" s="1358"/>
      <c r="IJQ526" s="1358"/>
      <c r="IJR526" s="1358"/>
      <c r="IJS526" s="1358"/>
      <c r="IJT526" s="1358"/>
      <c r="IJU526" s="1358"/>
      <c r="IJV526" s="1358"/>
      <c r="IJW526" s="1358"/>
      <c r="IJX526" s="1358"/>
      <c r="IJY526" s="1358"/>
      <c r="IJZ526" s="1358"/>
      <c r="IKA526" s="1358"/>
      <c r="IKB526" s="1358"/>
      <c r="IKC526" s="1358"/>
      <c r="IKD526" s="1358"/>
      <c r="IKE526" s="1358"/>
      <c r="IKF526" s="1358"/>
      <c r="IKG526" s="1358"/>
      <c r="IKH526" s="1358"/>
      <c r="IKI526" s="1358"/>
      <c r="IKJ526" s="1358"/>
      <c r="IKK526" s="1358"/>
      <c r="IKL526" s="1358"/>
      <c r="IKM526" s="1358"/>
      <c r="IKN526" s="1358"/>
      <c r="IKO526" s="1358"/>
      <c r="IKP526" s="1358"/>
      <c r="IKQ526" s="1358"/>
      <c r="IKR526" s="1358"/>
      <c r="IKS526" s="1358"/>
      <c r="IKT526" s="1358"/>
      <c r="IKU526" s="1358"/>
      <c r="IKV526" s="1358"/>
      <c r="IKW526" s="1358"/>
      <c r="IKX526" s="1358"/>
      <c r="IKY526" s="1358"/>
      <c r="IKZ526" s="1358"/>
      <c r="ILA526" s="1358"/>
      <c r="ILB526" s="1358"/>
      <c r="ILC526" s="1358"/>
      <c r="ILD526" s="1358"/>
      <c r="ILE526" s="1358"/>
      <c r="ILF526" s="1358"/>
      <c r="ILG526" s="1358"/>
      <c r="ILH526" s="1358"/>
      <c r="ILI526" s="1358"/>
      <c r="ILJ526" s="1358"/>
      <c r="ILK526" s="1358"/>
      <c r="ILL526" s="1358"/>
      <c r="ILM526" s="1358"/>
      <c r="ILN526" s="1358"/>
      <c r="ILO526" s="1358"/>
      <c r="ILP526" s="1358"/>
      <c r="ILQ526" s="1358"/>
      <c r="ILR526" s="1358"/>
      <c r="ILS526" s="1358"/>
      <c r="ILT526" s="1358"/>
      <c r="ILU526" s="1358"/>
      <c r="ILV526" s="1358"/>
      <c r="ILW526" s="1358"/>
      <c r="ILX526" s="1358"/>
      <c r="ILY526" s="1358"/>
      <c r="ILZ526" s="1358"/>
      <c r="IMA526" s="1358"/>
      <c r="IMB526" s="1358"/>
      <c r="IMC526" s="1358"/>
      <c r="IMD526" s="1358"/>
      <c r="IME526" s="1358"/>
      <c r="IMF526" s="1358"/>
      <c r="IMG526" s="1358"/>
      <c r="IMH526" s="1358"/>
      <c r="IMI526" s="1358"/>
      <c r="IMJ526" s="1358"/>
      <c r="IMK526" s="1358"/>
      <c r="IML526" s="1358"/>
      <c r="IMM526" s="1358"/>
      <c r="IMN526" s="1358"/>
      <c r="IMO526" s="1358"/>
      <c r="IMP526" s="1358"/>
      <c r="IMQ526" s="1358"/>
      <c r="IMR526" s="1358"/>
      <c r="IMS526" s="1358"/>
      <c r="IMT526" s="1358"/>
      <c r="IMU526" s="1358"/>
      <c r="IMV526" s="1358"/>
      <c r="IMW526" s="1358"/>
      <c r="IMX526" s="1358"/>
      <c r="IMY526" s="1358"/>
      <c r="IMZ526" s="1358"/>
      <c r="INA526" s="1358"/>
      <c r="INB526" s="1358"/>
      <c r="INC526" s="1358"/>
      <c r="IND526" s="1358"/>
      <c r="INE526" s="1358"/>
      <c r="INF526" s="1358"/>
      <c r="ING526" s="1358"/>
      <c r="INH526" s="1358"/>
      <c r="INI526" s="1358"/>
      <c r="INJ526" s="1358"/>
      <c r="INK526" s="1358"/>
      <c r="INL526" s="1358"/>
      <c r="INM526" s="1358"/>
      <c r="INN526" s="1358"/>
      <c r="INO526" s="1358"/>
      <c r="INP526" s="1358"/>
      <c r="INQ526" s="1358"/>
      <c r="INR526" s="1358"/>
      <c r="INS526" s="1358"/>
      <c r="INT526" s="1358"/>
      <c r="INU526" s="1358"/>
      <c r="INV526" s="1358"/>
      <c r="INW526" s="1358"/>
      <c r="INX526" s="1358"/>
      <c r="INY526" s="1358"/>
      <c r="INZ526" s="1358"/>
      <c r="IOA526" s="1358"/>
      <c r="IOB526" s="1358"/>
      <c r="IOC526" s="1358"/>
      <c r="IOD526" s="1358"/>
      <c r="IOE526" s="1358"/>
      <c r="IOF526" s="1358"/>
      <c r="IOG526" s="1358"/>
      <c r="IOH526" s="1358"/>
      <c r="IOI526" s="1358"/>
      <c r="IOJ526" s="1358"/>
      <c r="IOK526" s="1358"/>
      <c r="IOL526" s="1358"/>
      <c r="IOM526" s="1358"/>
      <c r="ION526" s="1358"/>
      <c r="IOO526" s="1358"/>
      <c r="IOP526" s="1358"/>
      <c r="IOQ526" s="1358"/>
      <c r="IOR526" s="1358"/>
      <c r="IOS526" s="1358"/>
      <c r="IOT526" s="1358"/>
      <c r="IOU526" s="1358"/>
      <c r="IOV526" s="1358"/>
      <c r="IOW526" s="1358"/>
      <c r="IOX526" s="1358"/>
      <c r="IOY526" s="1358"/>
      <c r="IOZ526" s="1358"/>
      <c r="IPA526" s="1358"/>
      <c r="IPB526" s="1358"/>
      <c r="IPC526" s="1358"/>
      <c r="IPD526" s="1358"/>
      <c r="IPE526" s="1358"/>
      <c r="IPF526" s="1358"/>
      <c r="IPG526" s="1358"/>
      <c r="IPH526" s="1358"/>
      <c r="IPI526" s="1358"/>
      <c r="IPJ526" s="1358"/>
      <c r="IPK526" s="1358"/>
      <c r="IPL526" s="1358"/>
      <c r="IPM526" s="1358"/>
      <c r="IPN526" s="1358"/>
      <c r="IPO526" s="1358"/>
      <c r="IPP526" s="1358"/>
      <c r="IPQ526" s="1358"/>
      <c r="IPR526" s="1358"/>
      <c r="IPS526" s="1358"/>
      <c r="IPT526" s="1358"/>
      <c r="IPU526" s="1358"/>
      <c r="IPV526" s="1358"/>
      <c r="IPW526" s="1358"/>
      <c r="IPX526" s="1358"/>
      <c r="IPY526" s="1358"/>
      <c r="IPZ526" s="1358"/>
      <c r="IQA526" s="1358"/>
      <c r="IQB526" s="1358"/>
      <c r="IQC526" s="1358"/>
      <c r="IQD526" s="1358"/>
      <c r="IQE526" s="1358"/>
      <c r="IQF526" s="1358"/>
      <c r="IQG526" s="1358"/>
      <c r="IQH526" s="1358"/>
      <c r="IQI526" s="1358"/>
      <c r="IQJ526" s="1358"/>
      <c r="IQK526" s="1358"/>
      <c r="IQL526" s="1358"/>
      <c r="IQM526" s="1358"/>
      <c r="IQN526" s="1358"/>
      <c r="IQO526" s="1358"/>
      <c r="IQP526" s="1358"/>
      <c r="IQQ526" s="1358"/>
      <c r="IQR526" s="1358"/>
      <c r="IQS526" s="1358"/>
      <c r="IQT526" s="1358"/>
      <c r="IQU526" s="1358"/>
      <c r="IQV526" s="1358"/>
      <c r="IQW526" s="1358"/>
      <c r="IQX526" s="1358"/>
      <c r="IQY526" s="1358"/>
      <c r="IQZ526" s="1358"/>
      <c r="IRA526" s="1358"/>
      <c r="IRB526" s="1358"/>
      <c r="IRC526" s="1358"/>
      <c r="IRD526" s="1358"/>
      <c r="IRE526" s="1358"/>
      <c r="IRF526" s="1358"/>
      <c r="IRG526" s="1358"/>
      <c r="IRH526" s="1358"/>
      <c r="IRI526" s="1358"/>
      <c r="IRJ526" s="1358"/>
      <c r="IRK526" s="1358"/>
      <c r="IRL526" s="1358"/>
      <c r="IRM526" s="1358"/>
      <c r="IRN526" s="1358"/>
      <c r="IRO526" s="1358"/>
      <c r="IRP526" s="1358"/>
      <c r="IRQ526" s="1358"/>
      <c r="IRR526" s="1358"/>
      <c r="IRS526" s="1358"/>
      <c r="IRT526" s="1358"/>
      <c r="IRU526" s="1358"/>
      <c r="IRV526" s="1358"/>
      <c r="IRW526" s="1358"/>
      <c r="IRX526" s="1358"/>
      <c r="IRY526" s="1358"/>
      <c r="IRZ526" s="1358"/>
      <c r="ISA526" s="1358"/>
      <c r="ISB526" s="1358"/>
      <c r="ISC526" s="1358"/>
      <c r="ISD526" s="1358"/>
      <c r="ISE526" s="1358"/>
      <c r="ISF526" s="1358"/>
      <c r="ISG526" s="1358"/>
      <c r="ISH526" s="1358"/>
      <c r="ISI526" s="1358"/>
      <c r="ISJ526" s="1358"/>
      <c r="ISK526" s="1358"/>
      <c r="ISL526" s="1358"/>
      <c r="ISM526" s="1358"/>
      <c r="ISN526" s="1358"/>
      <c r="ISO526" s="1358"/>
      <c r="ISP526" s="1358"/>
      <c r="ISQ526" s="1358"/>
      <c r="ISR526" s="1358"/>
      <c r="ISS526" s="1358"/>
      <c r="IST526" s="1358"/>
      <c r="ISU526" s="1358"/>
      <c r="ISV526" s="1358"/>
      <c r="ISW526" s="1358"/>
      <c r="ISX526" s="1358"/>
      <c r="ISY526" s="1358"/>
      <c r="ISZ526" s="1358"/>
      <c r="ITA526" s="1358"/>
      <c r="ITB526" s="1358"/>
      <c r="ITC526" s="1358"/>
      <c r="ITD526" s="1358"/>
      <c r="ITE526" s="1358"/>
      <c r="ITF526" s="1358"/>
      <c r="ITG526" s="1358"/>
      <c r="ITH526" s="1358"/>
      <c r="ITI526" s="1358"/>
      <c r="ITJ526" s="1358"/>
      <c r="ITK526" s="1358"/>
      <c r="ITL526" s="1358"/>
      <c r="ITM526" s="1358"/>
      <c r="ITN526" s="1358"/>
      <c r="ITO526" s="1358"/>
      <c r="ITP526" s="1358"/>
      <c r="ITQ526" s="1358"/>
      <c r="ITR526" s="1358"/>
      <c r="ITS526" s="1358"/>
      <c r="ITT526" s="1358"/>
      <c r="ITU526" s="1358"/>
      <c r="ITV526" s="1358"/>
      <c r="ITW526" s="1358"/>
      <c r="ITX526" s="1358"/>
      <c r="ITY526" s="1358"/>
      <c r="ITZ526" s="1358"/>
      <c r="IUA526" s="1358"/>
      <c r="IUB526" s="1358"/>
      <c r="IUC526" s="1358"/>
      <c r="IUD526" s="1358"/>
      <c r="IUE526" s="1358"/>
      <c r="IUF526" s="1358"/>
      <c r="IUG526" s="1358"/>
      <c r="IUH526" s="1358"/>
      <c r="IUI526" s="1358"/>
      <c r="IUJ526" s="1358"/>
      <c r="IUK526" s="1358"/>
      <c r="IUL526" s="1358"/>
      <c r="IUM526" s="1358"/>
      <c r="IUN526" s="1358"/>
      <c r="IUO526" s="1358"/>
      <c r="IUP526" s="1358"/>
      <c r="IUQ526" s="1358"/>
      <c r="IUR526" s="1358"/>
      <c r="IUS526" s="1358"/>
      <c r="IUT526" s="1358"/>
      <c r="IUU526" s="1358"/>
      <c r="IUV526" s="1358"/>
      <c r="IUW526" s="1358"/>
      <c r="IUX526" s="1358"/>
      <c r="IUY526" s="1358"/>
      <c r="IUZ526" s="1358"/>
      <c r="IVA526" s="1358"/>
      <c r="IVB526" s="1358"/>
      <c r="IVC526" s="1358"/>
      <c r="IVD526" s="1358"/>
      <c r="IVE526" s="1358"/>
      <c r="IVF526" s="1358"/>
      <c r="IVG526" s="1358"/>
      <c r="IVH526" s="1358"/>
      <c r="IVI526" s="1358"/>
      <c r="IVJ526" s="1358"/>
      <c r="IVK526" s="1358"/>
      <c r="IVL526" s="1358"/>
      <c r="IVM526" s="1358"/>
      <c r="IVN526" s="1358"/>
      <c r="IVO526" s="1358"/>
      <c r="IVP526" s="1358"/>
      <c r="IVQ526" s="1358"/>
      <c r="IVR526" s="1358"/>
      <c r="IVS526" s="1358"/>
      <c r="IVT526" s="1358"/>
      <c r="IVU526" s="1358"/>
      <c r="IVV526" s="1358"/>
      <c r="IVW526" s="1358"/>
      <c r="IVX526" s="1358"/>
      <c r="IVY526" s="1358"/>
      <c r="IVZ526" s="1358"/>
      <c r="IWA526" s="1358"/>
      <c r="IWB526" s="1358"/>
      <c r="IWC526" s="1358"/>
      <c r="IWD526" s="1358"/>
      <c r="IWE526" s="1358"/>
      <c r="IWF526" s="1358"/>
      <c r="IWG526" s="1358"/>
      <c r="IWH526" s="1358"/>
      <c r="IWI526" s="1358"/>
      <c r="IWJ526" s="1358"/>
      <c r="IWK526" s="1358"/>
      <c r="IWL526" s="1358"/>
      <c r="IWM526" s="1358"/>
      <c r="IWN526" s="1358"/>
      <c r="IWO526" s="1358"/>
      <c r="IWP526" s="1358"/>
      <c r="IWQ526" s="1358"/>
      <c r="IWR526" s="1358"/>
      <c r="IWS526" s="1358"/>
      <c r="IWT526" s="1358"/>
      <c r="IWU526" s="1358"/>
      <c r="IWV526" s="1358"/>
      <c r="IWW526" s="1358"/>
      <c r="IWX526" s="1358"/>
      <c r="IWY526" s="1358"/>
      <c r="IWZ526" s="1358"/>
      <c r="IXA526" s="1358"/>
      <c r="IXB526" s="1358"/>
      <c r="IXC526" s="1358"/>
      <c r="IXD526" s="1358"/>
      <c r="IXE526" s="1358"/>
      <c r="IXF526" s="1358"/>
      <c r="IXG526" s="1358"/>
      <c r="IXH526" s="1358"/>
      <c r="IXI526" s="1358"/>
      <c r="IXJ526" s="1358"/>
      <c r="IXK526" s="1358"/>
      <c r="IXL526" s="1358"/>
      <c r="IXM526" s="1358"/>
      <c r="IXN526" s="1358"/>
      <c r="IXO526" s="1358"/>
      <c r="IXP526" s="1358"/>
      <c r="IXQ526" s="1358"/>
      <c r="IXR526" s="1358"/>
      <c r="IXS526" s="1358"/>
      <c r="IXT526" s="1358"/>
      <c r="IXU526" s="1358"/>
      <c r="IXV526" s="1358"/>
      <c r="IXW526" s="1358"/>
      <c r="IXX526" s="1358"/>
      <c r="IXY526" s="1358"/>
      <c r="IXZ526" s="1358"/>
      <c r="IYA526" s="1358"/>
      <c r="IYB526" s="1358"/>
      <c r="IYC526" s="1358"/>
      <c r="IYD526" s="1358"/>
      <c r="IYE526" s="1358"/>
      <c r="IYF526" s="1358"/>
      <c r="IYG526" s="1358"/>
      <c r="IYH526" s="1358"/>
      <c r="IYI526" s="1358"/>
      <c r="IYJ526" s="1358"/>
      <c r="IYK526" s="1358"/>
      <c r="IYL526" s="1358"/>
      <c r="IYM526" s="1358"/>
      <c r="IYN526" s="1358"/>
      <c r="IYO526" s="1358"/>
      <c r="IYP526" s="1358"/>
      <c r="IYQ526" s="1358"/>
      <c r="IYR526" s="1358"/>
      <c r="IYS526" s="1358"/>
      <c r="IYT526" s="1358"/>
      <c r="IYU526" s="1358"/>
      <c r="IYV526" s="1358"/>
      <c r="IYW526" s="1358"/>
      <c r="IYX526" s="1358"/>
      <c r="IYY526" s="1358"/>
      <c r="IYZ526" s="1358"/>
      <c r="IZA526" s="1358"/>
      <c r="IZB526" s="1358"/>
      <c r="IZC526" s="1358"/>
      <c r="IZD526" s="1358"/>
      <c r="IZE526" s="1358"/>
      <c r="IZF526" s="1358"/>
      <c r="IZG526" s="1358"/>
      <c r="IZH526" s="1358"/>
      <c r="IZI526" s="1358"/>
      <c r="IZJ526" s="1358"/>
      <c r="IZK526" s="1358"/>
      <c r="IZL526" s="1358"/>
      <c r="IZM526" s="1358"/>
      <c r="IZN526" s="1358"/>
      <c r="IZO526" s="1358"/>
      <c r="IZP526" s="1358"/>
      <c r="IZQ526" s="1358"/>
      <c r="IZR526" s="1358"/>
      <c r="IZS526" s="1358"/>
      <c r="IZT526" s="1358"/>
      <c r="IZU526" s="1358"/>
      <c r="IZV526" s="1358"/>
      <c r="IZW526" s="1358"/>
      <c r="IZX526" s="1358"/>
      <c r="IZY526" s="1358"/>
      <c r="IZZ526" s="1358"/>
      <c r="JAA526" s="1358"/>
      <c r="JAB526" s="1358"/>
      <c r="JAC526" s="1358"/>
      <c r="JAD526" s="1358"/>
      <c r="JAE526" s="1358"/>
      <c r="JAF526" s="1358"/>
      <c r="JAG526" s="1358"/>
      <c r="JAH526" s="1358"/>
      <c r="JAI526" s="1358"/>
      <c r="JAJ526" s="1358"/>
      <c r="JAK526" s="1358"/>
      <c r="JAL526" s="1358"/>
      <c r="JAM526" s="1358"/>
      <c r="JAN526" s="1358"/>
      <c r="JAO526" s="1358"/>
      <c r="JAP526" s="1358"/>
      <c r="JAQ526" s="1358"/>
      <c r="JAR526" s="1358"/>
      <c r="JAS526" s="1358"/>
      <c r="JAT526" s="1358"/>
      <c r="JAU526" s="1358"/>
      <c r="JAV526" s="1358"/>
      <c r="JAW526" s="1358"/>
      <c r="JAX526" s="1358"/>
      <c r="JAY526" s="1358"/>
      <c r="JAZ526" s="1358"/>
      <c r="JBA526" s="1358"/>
      <c r="JBB526" s="1358"/>
      <c r="JBC526" s="1358"/>
      <c r="JBD526" s="1358"/>
      <c r="JBE526" s="1358"/>
      <c r="JBF526" s="1358"/>
      <c r="JBG526" s="1358"/>
      <c r="JBH526" s="1358"/>
      <c r="JBI526" s="1358"/>
      <c r="JBJ526" s="1358"/>
      <c r="JBK526" s="1358"/>
      <c r="JBL526" s="1358"/>
      <c r="JBM526" s="1358"/>
      <c r="JBN526" s="1358"/>
      <c r="JBO526" s="1358"/>
      <c r="JBP526" s="1358"/>
      <c r="JBQ526" s="1358"/>
      <c r="JBR526" s="1358"/>
      <c r="JBS526" s="1358"/>
      <c r="JBT526" s="1358"/>
      <c r="JBU526" s="1358"/>
      <c r="JBV526" s="1358"/>
      <c r="JBW526" s="1358"/>
      <c r="JBX526" s="1358"/>
      <c r="JBY526" s="1358"/>
      <c r="JBZ526" s="1358"/>
      <c r="JCA526" s="1358"/>
      <c r="JCB526" s="1358"/>
      <c r="JCC526" s="1358"/>
      <c r="JCD526" s="1358"/>
      <c r="JCE526" s="1358"/>
      <c r="JCF526" s="1358"/>
      <c r="JCG526" s="1358"/>
      <c r="JCH526" s="1358"/>
      <c r="JCI526" s="1358"/>
      <c r="JCJ526" s="1358"/>
      <c r="JCK526" s="1358"/>
      <c r="JCL526" s="1358"/>
      <c r="JCM526" s="1358"/>
      <c r="JCN526" s="1358"/>
      <c r="JCO526" s="1358"/>
      <c r="JCP526" s="1358"/>
      <c r="JCQ526" s="1358"/>
      <c r="JCR526" s="1358"/>
      <c r="JCS526" s="1358"/>
      <c r="JCT526" s="1358"/>
      <c r="JCU526" s="1358"/>
      <c r="JCV526" s="1358"/>
      <c r="JCW526" s="1358"/>
      <c r="JCX526" s="1358"/>
      <c r="JCY526" s="1358"/>
      <c r="JCZ526" s="1358"/>
      <c r="JDA526" s="1358"/>
      <c r="JDB526" s="1358"/>
      <c r="JDC526" s="1358"/>
      <c r="JDD526" s="1358"/>
      <c r="JDE526" s="1358"/>
      <c r="JDF526" s="1358"/>
      <c r="JDG526" s="1358"/>
      <c r="JDH526" s="1358"/>
      <c r="JDI526" s="1358"/>
      <c r="JDJ526" s="1358"/>
      <c r="JDK526" s="1358"/>
      <c r="JDL526" s="1358"/>
      <c r="JDM526" s="1358"/>
      <c r="JDN526" s="1358"/>
      <c r="JDO526" s="1358"/>
      <c r="JDP526" s="1358"/>
      <c r="JDQ526" s="1358"/>
      <c r="JDR526" s="1358"/>
      <c r="JDS526" s="1358"/>
      <c r="JDT526" s="1358"/>
      <c r="JDU526" s="1358"/>
      <c r="JDV526" s="1358"/>
      <c r="JDW526" s="1358"/>
      <c r="JDX526" s="1358"/>
      <c r="JDY526" s="1358"/>
      <c r="JDZ526" s="1358"/>
      <c r="JEA526" s="1358"/>
      <c r="JEB526" s="1358"/>
      <c r="JEC526" s="1358"/>
      <c r="JED526" s="1358"/>
      <c r="JEE526" s="1358"/>
      <c r="JEF526" s="1358"/>
      <c r="JEG526" s="1358"/>
      <c r="JEH526" s="1358"/>
      <c r="JEI526" s="1358"/>
      <c r="JEJ526" s="1358"/>
      <c r="JEK526" s="1358"/>
      <c r="JEL526" s="1358"/>
      <c r="JEM526" s="1358"/>
      <c r="JEN526" s="1358"/>
      <c r="JEO526" s="1358"/>
      <c r="JEP526" s="1358"/>
      <c r="JEQ526" s="1358"/>
      <c r="JER526" s="1358"/>
      <c r="JES526" s="1358"/>
      <c r="JET526" s="1358"/>
      <c r="JEU526" s="1358"/>
      <c r="JEV526" s="1358"/>
      <c r="JEW526" s="1358"/>
      <c r="JEX526" s="1358"/>
      <c r="JEY526" s="1358"/>
      <c r="JEZ526" s="1358"/>
      <c r="JFA526" s="1358"/>
      <c r="JFB526" s="1358"/>
      <c r="JFC526" s="1358"/>
      <c r="JFD526" s="1358"/>
      <c r="JFE526" s="1358"/>
      <c r="JFF526" s="1358"/>
      <c r="JFG526" s="1358"/>
      <c r="JFH526" s="1358"/>
      <c r="JFI526" s="1358"/>
      <c r="JFJ526" s="1358"/>
      <c r="JFK526" s="1358"/>
      <c r="JFL526" s="1358"/>
      <c r="JFM526" s="1358"/>
      <c r="JFN526" s="1358"/>
      <c r="JFO526" s="1358"/>
      <c r="JFP526" s="1358"/>
      <c r="JFQ526" s="1358"/>
      <c r="JFR526" s="1358"/>
      <c r="JFS526" s="1358"/>
      <c r="JFT526" s="1358"/>
      <c r="JFU526" s="1358"/>
      <c r="JFV526" s="1358"/>
      <c r="JFW526" s="1358"/>
      <c r="JFX526" s="1358"/>
      <c r="JFY526" s="1358"/>
      <c r="JFZ526" s="1358"/>
      <c r="JGA526" s="1358"/>
      <c r="JGB526" s="1358"/>
      <c r="JGC526" s="1358"/>
      <c r="JGD526" s="1358"/>
      <c r="JGE526" s="1358"/>
      <c r="JGF526" s="1358"/>
      <c r="JGG526" s="1358"/>
      <c r="JGH526" s="1358"/>
      <c r="JGI526" s="1358"/>
      <c r="JGJ526" s="1358"/>
      <c r="JGK526" s="1358"/>
      <c r="JGL526" s="1358"/>
      <c r="JGM526" s="1358"/>
      <c r="JGN526" s="1358"/>
      <c r="JGO526" s="1358"/>
      <c r="JGP526" s="1358"/>
      <c r="JGQ526" s="1358"/>
      <c r="JGR526" s="1358"/>
      <c r="JGS526" s="1358"/>
      <c r="JGT526" s="1358"/>
      <c r="JGU526" s="1358"/>
      <c r="JGV526" s="1358"/>
      <c r="JGW526" s="1358"/>
      <c r="JGX526" s="1358"/>
      <c r="JGY526" s="1358"/>
      <c r="JGZ526" s="1358"/>
      <c r="JHA526" s="1358"/>
      <c r="JHB526" s="1358"/>
      <c r="JHC526" s="1358"/>
      <c r="JHD526" s="1358"/>
      <c r="JHE526" s="1358"/>
      <c r="JHF526" s="1358"/>
      <c r="JHG526" s="1358"/>
      <c r="JHH526" s="1358"/>
      <c r="JHI526" s="1358"/>
      <c r="JHJ526" s="1358"/>
      <c r="JHK526" s="1358"/>
      <c r="JHL526" s="1358"/>
      <c r="JHM526" s="1358"/>
      <c r="JHN526" s="1358"/>
      <c r="JHO526" s="1358"/>
      <c r="JHP526" s="1358"/>
      <c r="JHQ526" s="1358"/>
      <c r="JHR526" s="1358"/>
      <c r="JHS526" s="1358"/>
      <c r="JHT526" s="1358"/>
      <c r="JHU526" s="1358"/>
      <c r="JHV526" s="1358"/>
      <c r="JHW526" s="1358"/>
      <c r="JHX526" s="1358"/>
      <c r="JHY526" s="1358"/>
      <c r="JHZ526" s="1358"/>
      <c r="JIA526" s="1358"/>
      <c r="JIB526" s="1358"/>
      <c r="JIC526" s="1358"/>
      <c r="JID526" s="1358"/>
      <c r="JIE526" s="1358"/>
      <c r="JIF526" s="1358"/>
      <c r="JIG526" s="1358"/>
      <c r="JIH526" s="1358"/>
      <c r="JII526" s="1358"/>
      <c r="JIJ526" s="1358"/>
      <c r="JIK526" s="1358"/>
      <c r="JIL526" s="1358"/>
      <c r="JIM526" s="1358"/>
      <c r="JIN526" s="1358"/>
      <c r="JIO526" s="1358"/>
      <c r="JIP526" s="1358"/>
      <c r="JIQ526" s="1358"/>
      <c r="JIR526" s="1358"/>
      <c r="JIS526" s="1358"/>
      <c r="JIT526" s="1358"/>
      <c r="JIU526" s="1358"/>
      <c r="JIV526" s="1358"/>
      <c r="JIW526" s="1358"/>
      <c r="JIX526" s="1358"/>
      <c r="JIY526" s="1358"/>
      <c r="JIZ526" s="1358"/>
      <c r="JJA526" s="1358"/>
      <c r="JJB526" s="1358"/>
      <c r="JJC526" s="1358"/>
      <c r="JJD526" s="1358"/>
      <c r="JJE526" s="1358"/>
      <c r="JJF526" s="1358"/>
      <c r="JJG526" s="1358"/>
      <c r="JJH526" s="1358"/>
      <c r="JJI526" s="1358"/>
      <c r="JJJ526" s="1358"/>
      <c r="JJK526" s="1358"/>
      <c r="JJL526" s="1358"/>
      <c r="JJM526" s="1358"/>
      <c r="JJN526" s="1358"/>
      <c r="JJO526" s="1358"/>
      <c r="JJP526" s="1358"/>
      <c r="JJQ526" s="1358"/>
      <c r="JJR526" s="1358"/>
      <c r="JJS526" s="1358"/>
      <c r="JJT526" s="1358"/>
      <c r="JJU526" s="1358"/>
      <c r="JJV526" s="1358"/>
      <c r="JJW526" s="1358"/>
      <c r="JJX526" s="1358"/>
      <c r="JJY526" s="1358"/>
      <c r="JJZ526" s="1358"/>
      <c r="JKA526" s="1358"/>
      <c r="JKB526" s="1358"/>
      <c r="JKC526" s="1358"/>
      <c r="JKD526" s="1358"/>
      <c r="JKE526" s="1358"/>
      <c r="JKF526" s="1358"/>
      <c r="JKG526" s="1358"/>
      <c r="JKH526" s="1358"/>
      <c r="JKI526" s="1358"/>
      <c r="JKJ526" s="1358"/>
      <c r="JKK526" s="1358"/>
      <c r="JKL526" s="1358"/>
      <c r="JKM526" s="1358"/>
      <c r="JKN526" s="1358"/>
      <c r="JKO526" s="1358"/>
      <c r="JKP526" s="1358"/>
      <c r="JKQ526" s="1358"/>
      <c r="JKR526" s="1358"/>
      <c r="JKS526" s="1358"/>
      <c r="JKT526" s="1358"/>
      <c r="JKU526" s="1358"/>
      <c r="JKV526" s="1358"/>
      <c r="JKW526" s="1358"/>
      <c r="JKX526" s="1358"/>
      <c r="JKY526" s="1358"/>
      <c r="JKZ526" s="1358"/>
      <c r="JLA526" s="1358"/>
      <c r="JLB526" s="1358"/>
      <c r="JLC526" s="1358"/>
      <c r="JLD526" s="1358"/>
      <c r="JLE526" s="1358"/>
      <c r="JLF526" s="1358"/>
      <c r="JLG526" s="1358"/>
      <c r="JLH526" s="1358"/>
      <c r="JLI526" s="1358"/>
      <c r="JLJ526" s="1358"/>
      <c r="JLK526" s="1358"/>
      <c r="JLL526" s="1358"/>
      <c r="JLM526" s="1358"/>
      <c r="JLN526" s="1358"/>
      <c r="JLO526" s="1358"/>
      <c r="JLP526" s="1358"/>
      <c r="JLQ526" s="1358"/>
      <c r="JLR526" s="1358"/>
      <c r="JLS526" s="1358"/>
      <c r="JLT526" s="1358"/>
      <c r="JLU526" s="1358"/>
      <c r="JLV526" s="1358"/>
      <c r="JLW526" s="1358"/>
      <c r="JLX526" s="1358"/>
      <c r="JLY526" s="1358"/>
      <c r="JLZ526" s="1358"/>
      <c r="JMA526" s="1358"/>
      <c r="JMB526" s="1358"/>
      <c r="JMC526" s="1358"/>
      <c r="JMD526" s="1358"/>
      <c r="JME526" s="1358"/>
      <c r="JMF526" s="1358"/>
      <c r="JMG526" s="1358"/>
      <c r="JMH526" s="1358"/>
      <c r="JMI526" s="1358"/>
      <c r="JMJ526" s="1358"/>
      <c r="JMK526" s="1358"/>
      <c r="JML526" s="1358"/>
      <c r="JMM526" s="1358"/>
      <c r="JMN526" s="1358"/>
      <c r="JMO526" s="1358"/>
      <c r="JMP526" s="1358"/>
      <c r="JMQ526" s="1358"/>
      <c r="JMR526" s="1358"/>
      <c r="JMS526" s="1358"/>
      <c r="JMT526" s="1358"/>
      <c r="JMU526" s="1358"/>
      <c r="JMV526" s="1358"/>
      <c r="JMW526" s="1358"/>
      <c r="JMX526" s="1358"/>
      <c r="JMY526" s="1358"/>
      <c r="JMZ526" s="1358"/>
      <c r="JNA526" s="1358"/>
      <c r="JNB526" s="1358"/>
      <c r="JNC526" s="1358"/>
      <c r="JND526" s="1358"/>
      <c r="JNE526" s="1358"/>
      <c r="JNF526" s="1358"/>
      <c r="JNG526" s="1358"/>
      <c r="JNH526" s="1358"/>
      <c r="JNI526" s="1358"/>
      <c r="JNJ526" s="1358"/>
      <c r="JNK526" s="1358"/>
      <c r="JNL526" s="1358"/>
      <c r="JNM526" s="1358"/>
      <c r="JNN526" s="1358"/>
      <c r="JNO526" s="1358"/>
      <c r="JNP526" s="1358"/>
      <c r="JNQ526" s="1358"/>
      <c r="JNR526" s="1358"/>
      <c r="JNS526" s="1358"/>
      <c r="JNT526" s="1358"/>
      <c r="JNU526" s="1358"/>
      <c r="JNV526" s="1358"/>
      <c r="JNW526" s="1358"/>
      <c r="JNX526" s="1358"/>
      <c r="JNY526" s="1358"/>
      <c r="JNZ526" s="1358"/>
      <c r="JOA526" s="1358"/>
      <c r="JOB526" s="1358"/>
      <c r="JOC526" s="1358"/>
      <c r="JOD526" s="1358"/>
      <c r="JOE526" s="1358"/>
      <c r="JOF526" s="1358"/>
      <c r="JOG526" s="1358"/>
      <c r="JOH526" s="1358"/>
      <c r="JOI526" s="1358"/>
      <c r="JOJ526" s="1358"/>
      <c r="JOK526" s="1358"/>
      <c r="JOL526" s="1358"/>
      <c r="JOM526" s="1358"/>
      <c r="JON526" s="1358"/>
      <c r="JOO526" s="1358"/>
      <c r="JOP526" s="1358"/>
      <c r="JOQ526" s="1358"/>
      <c r="JOR526" s="1358"/>
      <c r="JOS526" s="1358"/>
      <c r="JOT526" s="1358"/>
      <c r="JOU526" s="1358"/>
      <c r="JOV526" s="1358"/>
      <c r="JOW526" s="1358"/>
      <c r="JOX526" s="1358"/>
      <c r="JOY526" s="1358"/>
      <c r="JOZ526" s="1358"/>
      <c r="JPA526" s="1358"/>
      <c r="JPB526" s="1358"/>
      <c r="JPC526" s="1358"/>
      <c r="JPD526" s="1358"/>
      <c r="JPE526" s="1358"/>
      <c r="JPF526" s="1358"/>
      <c r="JPG526" s="1358"/>
      <c r="JPH526" s="1358"/>
      <c r="JPI526" s="1358"/>
      <c r="JPJ526" s="1358"/>
      <c r="JPK526" s="1358"/>
      <c r="JPL526" s="1358"/>
      <c r="JPM526" s="1358"/>
      <c r="JPN526" s="1358"/>
      <c r="JPO526" s="1358"/>
      <c r="JPP526" s="1358"/>
      <c r="JPQ526" s="1358"/>
      <c r="JPR526" s="1358"/>
      <c r="JPS526" s="1358"/>
      <c r="JPT526" s="1358"/>
      <c r="JPU526" s="1358"/>
      <c r="JPV526" s="1358"/>
      <c r="JPW526" s="1358"/>
      <c r="JPX526" s="1358"/>
      <c r="JPY526" s="1358"/>
      <c r="JPZ526" s="1358"/>
      <c r="JQA526" s="1358"/>
      <c r="JQB526" s="1358"/>
      <c r="JQC526" s="1358"/>
      <c r="JQD526" s="1358"/>
      <c r="JQE526" s="1358"/>
      <c r="JQF526" s="1358"/>
      <c r="JQG526" s="1358"/>
      <c r="JQH526" s="1358"/>
      <c r="JQI526" s="1358"/>
      <c r="JQJ526" s="1358"/>
      <c r="JQK526" s="1358"/>
      <c r="JQL526" s="1358"/>
      <c r="JQM526" s="1358"/>
      <c r="JQN526" s="1358"/>
      <c r="JQO526" s="1358"/>
      <c r="JQP526" s="1358"/>
      <c r="JQQ526" s="1358"/>
      <c r="JQR526" s="1358"/>
      <c r="JQS526" s="1358"/>
      <c r="JQT526" s="1358"/>
      <c r="JQU526" s="1358"/>
      <c r="JQV526" s="1358"/>
      <c r="JQW526" s="1358"/>
      <c r="JQX526" s="1358"/>
      <c r="JQY526" s="1358"/>
      <c r="JQZ526" s="1358"/>
      <c r="JRA526" s="1358"/>
      <c r="JRB526" s="1358"/>
      <c r="JRC526" s="1358"/>
      <c r="JRD526" s="1358"/>
      <c r="JRE526" s="1358"/>
      <c r="JRF526" s="1358"/>
      <c r="JRG526" s="1358"/>
      <c r="JRH526" s="1358"/>
      <c r="JRI526" s="1358"/>
      <c r="JRJ526" s="1358"/>
      <c r="JRK526" s="1358"/>
      <c r="JRL526" s="1358"/>
      <c r="JRM526" s="1358"/>
      <c r="JRN526" s="1358"/>
      <c r="JRO526" s="1358"/>
      <c r="JRP526" s="1358"/>
      <c r="JRQ526" s="1358"/>
      <c r="JRR526" s="1358"/>
      <c r="JRS526" s="1358"/>
      <c r="JRT526" s="1358"/>
      <c r="JRU526" s="1358"/>
      <c r="JRV526" s="1358"/>
      <c r="JRW526" s="1358"/>
      <c r="JRX526" s="1358"/>
      <c r="JRY526" s="1358"/>
      <c r="JRZ526" s="1358"/>
      <c r="JSA526" s="1358"/>
      <c r="JSB526" s="1358"/>
      <c r="JSC526" s="1358"/>
      <c r="JSD526" s="1358"/>
      <c r="JSE526" s="1358"/>
      <c r="JSF526" s="1358"/>
      <c r="JSG526" s="1358"/>
      <c r="JSH526" s="1358"/>
      <c r="JSI526" s="1358"/>
      <c r="JSJ526" s="1358"/>
      <c r="JSK526" s="1358"/>
      <c r="JSL526" s="1358"/>
      <c r="JSM526" s="1358"/>
      <c r="JSN526" s="1358"/>
      <c r="JSO526" s="1358"/>
      <c r="JSP526" s="1358"/>
      <c r="JSQ526" s="1358"/>
      <c r="JSR526" s="1358"/>
      <c r="JSS526" s="1358"/>
      <c r="JST526" s="1358"/>
      <c r="JSU526" s="1358"/>
      <c r="JSV526" s="1358"/>
      <c r="JSW526" s="1358"/>
      <c r="JSX526" s="1358"/>
      <c r="JSY526" s="1358"/>
      <c r="JSZ526" s="1358"/>
      <c r="JTA526" s="1358"/>
      <c r="JTB526" s="1358"/>
      <c r="JTC526" s="1358"/>
      <c r="JTD526" s="1358"/>
      <c r="JTE526" s="1358"/>
      <c r="JTF526" s="1358"/>
      <c r="JTG526" s="1358"/>
      <c r="JTH526" s="1358"/>
      <c r="JTI526" s="1358"/>
      <c r="JTJ526" s="1358"/>
      <c r="JTK526" s="1358"/>
      <c r="JTL526" s="1358"/>
      <c r="JTM526" s="1358"/>
      <c r="JTN526" s="1358"/>
      <c r="JTO526" s="1358"/>
      <c r="JTP526" s="1358"/>
      <c r="JTQ526" s="1358"/>
      <c r="JTR526" s="1358"/>
      <c r="JTS526" s="1358"/>
      <c r="JTT526" s="1358"/>
      <c r="JTU526" s="1358"/>
      <c r="JTV526" s="1358"/>
      <c r="JTW526" s="1358"/>
      <c r="JTX526" s="1358"/>
      <c r="JTY526" s="1358"/>
      <c r="JTZ526" s="1358"/>
      <c r="JUA526" s="1358"/>
      <c r="JUB526" s="1358"/>
      <c r="JUC526" s="1358"/>
      <c r="JUD526" s="1358"/>
      <c r="JUE526" s="1358"/>
      <c r="JUF526" s="1358"/>
      <c r="JUG526" s="1358"/>
      <c r="JUH526" s="1358"/>
      <c r="JUI526" s="1358"/>
      <c r="JUJ526" s="1358"/>
      <c r="JUK526" s="1358"/>
      <c r="JUL526" s="1358"/>
      <c r="JUM526" s="1358"/>
      <c r="JUN526" s="1358"/>
      <c r="JUO526" s="1358"/>
      <c r="JUP526" s="1358"/>
      <c r="JUQ526" s="1358"/>
      <c r="JUR526" s="1358"/>
      <c r="JUS526" s="1358"/>
      <c r="JUT526" s="1358"/>
      <c r="JUU526" s="1358"/>
      <c r="JUV526" s="1358"/>
      <c r="JUW526" s="1358"/>
      <c r="JUX526" s="1358"/>
      <c r="JUY526" s="1358"/>
      <c r="JUZ526" s="1358"/>
      <c r="JVA526" s="1358"/>
      <c r="JVB526" s="1358"/>
      <c r="JVC526" s="1358"/>
      <c r="JVD526" s="1358"/>
      <c r="JVE526" s="1358"/>
      <c r="JVF526" s="1358"/>
      <c r="JVG526" s="1358"/>
      <c r="JVH526" s="1358"/>
      <c r="JVI526" s="1358"/>
      <c r="JVJ526" s="1358"/>
      <c r="JVK526" s="1358"/>
      <c r="JVL526" s="1358"/>
      <c r="JVM526" s="1358"/>
      <c r="JVN526" s="1358"/>
      <c r="JVO526" s="1358"/>
      <c r="JVP526" s="1358"/>
      <c r="JVQ526" s="1358"/>
      <c r="JVR526" s="1358"/>
      <c r="JVS526" s="1358"/>
      <c r="JVT526" s="1358"/>
      <c r="JVU526" s="1358"/>
      <c r="JVV526" s="1358"/>
      <c r="JVW526" s="1358"/>
      <c r="JVX526" s="1358"/>
      <c r="JVY526" s="1358"/>
      <c r="JVZ526" s="1358"/>
      <c r="JWA526" s="1358"/>
      <c r="JWB526" s="1358"/>
      <c r="JWC526" s="1358"/>
      <c r="JWD526" s="1358"/>
      <c r="JWE526" s="1358"/>
      <c r="JWF526" s="1358"/>
      <c r="JWG526" s="1358"/>
      <c r="JWH526" s="1358"/>
      <c r="JWI526" s="1358"/>
      <c r="JWJ526" s="1358"/>
      <c r="JWK526" s="1358"/>
      <c r="JWL526" s="1358"/>
      <c r="JWM526" s="1358"/>
      <c r="JWN526" s="1358"/>
      <c r="JWO526" s="1358"/>
      <c r="JWP526" s="1358"/>
      <c r="JWQ526" s="1358"/>
      <c r="JWR526" s="1358"/>
      <c r="JWS526" s="1358"/>
      <c r="JWT526" s="1358"/>
      <c r="JWU526" s="1358"/>
      <c r="JWV526" s="1358"/>
      <c r="JWW526" s="1358"/>
      <c r="JWX526" s="1358"/>
      <c r="JWY526" s="1358"/>
      <c r="JWZ526" s="1358"/>
      <c r="JXA526" s="1358"/>
      <c r="JXB526" s="1358"/>
      <c r="JXC526" s="1358"/>
      <c r="JXD526" s="1358"/>
      <c r="JXE526" s="1358"/>
      <c r="JXF526" s="1358"/>
      <c r="JXG526" s="1358"/>
      <c r="JXH526" s="1358"/>
      <c r="JXI526" s="1358"/>
      <c r="JXJ526" s="1358"/>
      <c r="JXK526" s="1358"/>
      <c r="JXL526" s="1358"/>
      <c r="JXM526" s="1358"/>
      <c r="JXN526" s="1358"/>
      <c r="JXO526" s="1358"/>
      <c r="JXP526" s="1358"/>
      <c r="JXQ526" s="1358"/>
      <c r="JXR526" s="1358"/>
      <c r="JXS526" s="1358"/>
      <c r="JXT526" s="1358"/>
      <c r="JXU526" s="1358"/>
      <c r="JXV526" s="1358"/>
      <c r="JXW526" s="1358"/>
      <c r="JXX526" s="1358"/>
      <c r="JXY526" s="1358"/>
      <c r="JXZ526" s="1358"/>
      <c r="JYA526" s="1358"/>
      <c r="JYB526" s="1358"/>
      <c r="JYC526" s="1358"/>
      <c r="JYD526" s="1358"/>
      <c r="JYE526" s="1358"/>
      <c r="JYF526" s="1358"/>
      <c r="JYG526" s="1358"/>
      <c r="JYH526" s="1358"/>
      <c r="JYI526" s="1358"/>
      <c r="JYJ526" s="1358"/>
      <c r="JYK526" s="1358"/>
      <c r="JYL526" s="1358"/>
      <c r="JYM526" s="1358"/>
      <c r="JYN526" s="1358"/>
      <c r="JYO526" s="1358"/>
      <c r="JYP526" s="1358"/>
      <c r="JYQ526" s="1358"/>
      <c r="JYR526" s="1358"/>
      <c r="JYS526" s="1358"/>
      <c r="JYT526" s="1358"/>
      <c r="JYU526" s="1358"/>
      <c r="JYV526" s="1358"/>
      <c r="JYW526" s="1358"/>
      <c r="JYX526" s="1358"/>
      <c r="JYY526" s="1358"/>
      <c r="JYZ526" s="1358"/>
      <c r="JZA526" s="1358"/>
      <c r="JZB526" s="1358"/>
      <c r="JZC526" s="1358"/>
      <c r="JZD526" s="1358"/>
      <c r="JZE526" s="1358"/>
      <c r="JZF526" s="1358"/>
      <c r="JZG526" s="1358"/>
      <c r="JZH526" s="1358"/>
      <c r="JZI526" s="1358"/>
      <c r="JZJ526" s="1358"/>
      <c r="JZK526" s="1358"/>
      <c r="JZL526" s="1358"/>
      <c r="JZM526" s="1358"/>
      <c r="JZN526" s="1358"/>
      <c r="JZO526" s="1358"/>
      <c r="JZP526" s="1358"/>
      <c r="JZQ526" s="1358"/>
      <c r="JZR526" s="1358"/>
      <c r="JZS526" s="1358"/>
      <c r="JZT526" s="1358"/>
      <c r="JZU526" s="1358"/>
      <c r="JZV526" s="1358"/>
      <c r="JZW526" s="1358"/>
      <c r="JZX526" s="1358"/>
      <c r="JZY526" s="1358"/>
      <c r="JZZ526" s="1358"/>
      <c r="KAA526" s="1358"/>
      <c r="KAB526" s="1358"/>
      <c r="KAC526" s="1358"/>
      <c r="KAD526" s="1358"/>
      <c r="KAE526" s="1358"/>
      <c r="KAF526" s="1358"/>
      <c r="KAG526" s="1358"/>
      <c r="KAH526" s="1358"/>
      <c r="KAI526" s="1358"/>
      <c r="KAJ526" s="1358"/>
      <c r="KAK526" s="1358"/>
      <c r="KAL526" s="1358"/>
      <c r="KAM526" s="1358"/>
      <c r="KAN526" s="1358"/>
      <c r="KAO526" s="1358"/>
      <c r="KAP526" s="1358"/>
      <c r="KAQ526" s="1358"/>
      <c r="KAR526" s="1358"/>
      <c r="KAS526" s="1358"/>
      <c r="KAT526" s="1358"/>
      <c r="KAU526" s="1358"/>
      <c r="KAV526" s="1358"/>
      <c r="KAW526" s="1358"/>
      <c r="KAX526" s="1358"/>
      <c r="KAY526" s="1358"/>
      <c r="KAZ526" s="1358"/>
      <c r="KBA526" s="1358"/>
      <c r="KBB526" s="1358"/>
      <c r="KBC526" s="1358"/>
      <c r="KBD526" s="1358"/>
      <c r="KBE526" s="1358"/>
      <c r="KBF526" s="1358"/>
      <c r="KBG526" s="1358"/>
      <c r="KBH526" s="1358"/>
      <c r="KBI526" s="1358"/>
      <c r="KBJ526" s="1358"/>
      <c r="KBK526" s="1358"/>
      <c r="KBL526" s="1358"/>
      <c r="KBM526" s="1358"/>
      <c r="KBN526" s="1358"/>
      <c r="KBO526" s="1358"/>
      <c r="KBP526" s="1358"/>
      <c r="KBQ526" s="1358"/>
      <c r="KBR526" s="1358"/>
      <c r="KBS526" s="1358"/>
      <c r="KBT526" s="1358"/>
      <c r="KBU526" s="1358"/>
      <c r="KBV526" s="1358"/>
      <c r="KBW526" s="1358"/>
      <c r="KBX526" s="1358"/>
      <c r="KBY526" s="1358"/>
      <c r="KBZ526" s="1358"/>
      <c r="KCA526" s="1358"/>
      <c r="KCB526" s="1358"/>
      <c r="KCC526" s="1358"/>
      <c r="KCD526" s="1358"/>
      <c r="KCE526" s="1358"/>
      <c r="KCF526" s="1358"/>
      <c r="KCG526" s="1358"/>
      <c r="KCH526" s="1358"/>
      <c r="KCI526" s="1358"/>
      <c r="KCJ526" s="1358"/>
      <c r="KCK526" s="1358"/>
      <c r="KCL526" s="1358"/>
      <c r="KCM526" s="1358"/>
      <c r="KCN526" s="1358"/>
      <c r="KCO526" s="1358"/>
      <c r="KCP526" s="1358"/>
      <c r="KCQ526" s="1358"/>
      <c r="KCR526" s="1358"/>
      <c r="KCS526" s="1358"/>
      <c r="KCT526" s="1358"/>
      <c r="KCU526" s="1358"/>
      <c r="KCV526" s="1358"/>
      <c r="KCW526" s="1358"/>
      <c r="KCX526" s="1358"/>
      <c r="KCY526" s="1358"/>
      <c r="KCZ526" s="1358"/>
      <c r="KDA526" s="1358"/>
      <c r="KDB526" s="1358"/>
      <c r="KDC526" s="1358"/>
      <c r="KDD526" s="1358"/>
      <c r="KDE526" s="1358"/>
      <c r="KDF526" s="1358"/>
      <c r="KDG526" s="1358"/>
      <c r="KDH526" s="1358"/>
      <c r="KDI526" s="1358"/>
      <c r="KDJ526" s="1358"/>
      <c r="KDK526" s="1358"/>
      <c r="KDL526" s="1358"/>
      <c r="KDM526" s="1358"/>
      <c r="KDN526" s="1358"/>
      <c r="KDO526" s="1358"/>
      <c r="KDP526" s="1358"/>
      <c r="KDQ526" s="1358"/>
      <c r="KDR526" s="1358"/>
      <c r="KDS526" s="1358"/>
      <c r="KDT526" s="1358"/>
      <c r="KDU526" s="1358"/>
      <c r="KDV526" s="1358"/>
      <c r="KDW526" s="1358"/>
      <c r="KDX526" s="1358"/>
      <c r="KDY526" s="1358"/>
      <c r="KDZ526" s="1358"/>
      <c r="KEA526" s="1358"/>
      <c r="KEB526" s="1358"/>
      <c r="KEC526" s="1358"/>
      <c r="KED526" s="1358"/>
      <c r="KEE526" s="1358"/>
      <c r="KEF526" s="1358"/>
      <c r="KEG526" s="1358"/>
      <c r="KEH526" s="1358"/>
      <c r="KEI526" s="1358"/>
      <c r="KEJ526" s="1358"/>
      <c r="KEK526" s="1358"/>
      <c r="KEL526" s="1358"/>
      <c r="KEM526" s="1358"/>
      <c r="KEN526" s="1358"/>
      <c r="KEO526" s="1358"/>
      <c r="KEP526" s="1358"/>
      <c r="KEQ526" s="1358"/>
      <c r="KER526" s="1358"/>
      <c r="KES526" s="1358"/>
      <c r="KET526" s="1358"/>
      <c r="KEU526" s="1358"/>
      <c r="KEV526" s="1358"/>
      <c r="KEW526" s="1358"/>
      <c r="KEX526" s="1358"/>
      <c r="KEY526" s="1358"/>
      <c r="KEZ526" s="1358"/>
      <c r="KFA526" s="1358"/>
      <c r="KFB526" s="1358"/>
      <c r="KFC526" s="1358"/>
      <c r="KFD526" s="1358"/>
      <c r="KFE526" s="1358"/>
      <c r="KFF526" s="1358"/>
      <c r="KFG526" s="1358"/>
      <c r="KFH526" s="1358"/>
      <c r="KFI526" s="1358"/>
      <c r="KFJ526" s="1358"/>
      <c r="KFK526" s="1358"/>
      <c r="KFL526" s="1358"/>
      <c r="KFM526" s="1358"/>
      <c r="KFN526" s="1358"/>
      <c r="KFO526" s="1358"/>
      <c r="KFP526" s="1358"/>
      <c r="KFQ526" s="1358"/>
      <c r="KFR526" s="1358"/>
      <c r="KFS526" s="1358"/>
      <c r="KFT526" s="1358"/>
      <c r="KFU526" s="1358"/>
      <c r="KFV526" s="1358"/>
      <c r="KFW526" s="1358"/>
      <c r="KFX526" s="1358"/>
      <c r="KFY526" s="1358"/>
      <c r="KFZ526" s="1358"/>
      <c r="KGA526" s="1358"/>
      <c r="KGB526" s="1358"/>
      <c r="KGC526" s="1358"/>
      <c r="KGD526" s="1358"/>
      <c r="KGE526" s="1358"/>
      <c r="KGF526" s="1358"/>
      <c r="KGG526" s="1358"/>
      <c r="KGH526" s="1358"/>
      <c r="KGI526" s="1358"/>
      <c r="KGJ526" s="1358"/>
      <c r="KGK526" s="1358"/>
      <c r="KGL526" s="1358"/>
      <c r="KGM526" s="1358"/>
      <c r="KGN526" s="1358"/>
      <c r="KGO526" s="1358"/>
      <c r="KGP526" s="1358"/>
      <c r="KGQ526" s="1358"/>
      <c r="KGR526" s="1358"/>
      <c r="KGS526" s="1358"/>
      <c r="KGT526" s="1358"/>
      <c r="KGU526" s="1358"/>
      <c r="KGV526" s="1358"/>
      <c r="KGW526" s="1358"/>
      <c r="KGX526" s="1358"/>
      <c r="KGY526" s="1358"/>
      <c r="KGZ526" s="1358"/>
      <c r="KHA526" s="1358"/>
      <c r="KHB526" s="1358"/>
      <c r="KHC526" s="1358"/>
      <c r="KHD526" s="1358"/>
      <c r="KHE526" s="1358"/>
      <c r="KHF526" s="1358"/>
      <c r="KHG526" s="1358"/>
      <c r="KHH526" s="1358"/>
      <c r="KHI526" s="1358"/>
      <c r="KHJ526" s="1358"/>
      <c r="KHK526" s="1358"/>
      <c r="KHL526" s="1358"/>
      <c r="KHM526" s="1358"/>
      <c r="KHN526" s="1358"/>
      <c r="KHO526" s="1358"/>
      <c r="KHP526" s="1358"/>
      <c r="KHQ526" s="1358"/>
      <c r="KHR526" s="1358"/>
      <c r="KHS526" s="1358"/>
      <c r="KHT526" s="1358"/>
      <c r="KHU526" s="1358"/>
      <c r="KHV526" s="1358"/>
      <c r="KHW526" s="1358"/>
      <c r="KHX526" s="1358"/>
      <c r="KHY526" s="1358"/>
      <c r="KHZ526" s="1358"/>
      <c r="KIA526" s="1358"/>
      <c r="KIB526" s="1358"/>
      <c r="KIC526" s="1358"/>
      <c r="KID526" s="1358"/>
      <c r="KIE526" s="1358"/>
      <c r="KIF526" s="1358"/>
      <c r="KIG526" s="1358"/>
      <c r="KIH526" s="1358"/>
      <c r="KII526" s="1358"/>
      <c r="KIJ526" s="1358"/>
      <c r="KIK526" s="1358"/>
      <c r="KIL526" s="1358"/>
      <c r="KIM526" s="1358"/>
      <c r="KIN526" s="1358"/>
      <c r="KIO526" s="1358"/>
      <c r="KIP526" s="1358"/>
      <c r="KIQ526" s="1358"/>
      <c r="KIR526" s="1358"/>
      <c r="KIS526" s="1358"/>
      <c r="KIT526" s="1358"/>
      <c r="KIU526" s="1358"/>
      <c r="KIV526" s="1358"/>
      <c r="KIW526" s="1358"/>
      <c r="KIX526" s="1358"/>
      <c r="KIY526" s="1358"/>
      <c r="KIZ526" s="1358"/>
      <c r="KJA526" s="1358"/>
      <c r="KJB526" s="1358"/>
      <c r="KJC526" s="1358"/>
      <c r="KJD526" s="1358"/>
      <c r="KJE526" s="1358"/>
      <c r="KJF526" s="1358"/>
      <c r="KJG526" s="1358"/>
      <c r="KJH526" s="1358"/>
      <c r="KJI526" s="1358"/>
      <c r="KJJ526" s="1358"/>
      <c r="KJK526" s="1358"/>
      <c r="KJL526" s="1358"/>
      <c r="KJM526" s="1358"/>
      <c r="KJN526" s="1358"/>
      <c r="KJO526" s="1358"/>
      <c r="KJP526" s="1358"/>
      <c r="KJQ526" s="1358"/>
      <c r="KJR526" s="1358"/>
      <c r="KJS526" s="1358"/>
      <c r="KJT526" s="1358"/>
      <c r="KJU526" s="1358"/>
      <c r="KJV526" s="1358"/>
      <c r="KJW526" s="1358"/>
      <c r="KJX526" s="1358"/>
      <c r="KJY526" s="1358"/>
      <c r="KJZ526" s="1358"/>
      <c r="KKA526" s="1358"/>
      <c r="KKB526" s="1358"/>
      <c r="KKC526" s="1358"/>
      <c r="KKD526" s="1358"/>
      <c r="KKE526" s="1358"/>
      <c r="KKF526" s="1358"/>
      <c r="KKG526" s="1358"/>
      <c r="KKH526" s="1358"/>
      <c r="KKI526" s="1358"/>
      <c r="KKJ526" s="1358"/>
      <c r="KKK526" s="1358"/>
      <c r="KKL526" s="1358"/>
      <c r="KKM526" s="1358"/>
      <c r="KKN526" s="1358"/>
      <c r="KKO526" s="1358"/>
      <c r="KKP526" s="1358"/>
      <c r="KKQ526" s="1358"/>
      <c r="KKR526" s="1358"/>
      <c r="KKS526" s="1358"/>
      <c r="KKT526" s="1358"/>
      <c r="KKU526" s="1358"/>
      <c r="KKV526" s="1358"/>
      <c r="KKW526" s="1358"/>
      <c r="KKX526" s="1358"/>
      <c r="KKY526" s="1358"/>
      <c r="KKZ526" s="1358"/>
      <c r="KLA526" s="1358"/>
      <c r="KLB526" s="1358"/>
      <c r="KLC526" s="1358"/>
      <c r="KLD526" s="1358"/>
      <c r="KLE526" s="1358"/>
      <c r="KLF526" s="1358"/>
      <c r="KLG526" s="1358"/>
      <c r="KLH526" s="1358"/>
      <c r="KLI526" s="1358"/>
      <c r="KLJ526" s="1358"/>
      <c r="KLK526" s="1358"/>
      <c r="KLL526" s="1358"/>
      <c r="KLM526" s="1358"/>
      <c r="KLN526" s="1358"/>
      <c r="KLO526" s="1358"/>
      <c r="KLP526" s="1358"/>
      <c r="KLQ526" s="1358"/>
      <c r="KLR526" s="1358"/>
      <c r="KLS526" s="1358"/>
      <c r="KLT526" s="1358"/>
      <c r="KLU526" s="1358"/>
      <c r="KLV526" s="1358"/>
      <c r="KLW526" s="1358"/>
      <c r="KLX526" s="1358"/>
      <c r="KLY526" s="1358"/>
      <c r="KLZ526" s="1358"/>
      <c r="KMA526" s="1358"/>
      <c r="KMB526" s="1358"/>
      <c r="KMC526" s="1358"/>
      <c r="KMD526" s="1358"/>
      <c r="KME526" s="1358"/>
      <c r="KMF526" s="1358"/>
      <c r="KMG526" s="1358"/>
      <c r="KMH526" s="1358"/>
      <c r="KMI526" s="1358"/>
      <c r="KMJ526" s="1358"/>
      <c r="KMK526" s="1358"/>
      <c r="KML526" s="1358"/>
      <c r="KMM526" s="1358"/>
      <c r="KMN526" s="1358"/>
      <c r="KMO526" s="1358"/>
      <c r="KMP526" s="1358"/>
      <c r="KMQ526" s="1358"/>
      <c r="KMR526" s="1358"/>
      <c r="KMS526" s="1358"/>
      <c r="KMT526" s="1358"/>
      <c r="KMU526" s="1358"/>
      <c r="KMV526" s="1358"/>
      <c r="KMW526" s="1358"/>
      <c r="KMX526" s="1358"/>
      <c r="KMY526" s="1358"/>
      <c r="KMZ526" s="1358"/>
      <c r="KNA526" s="1358"/>
      <c r="KNB526" s="1358"/>
      <c r="KNC526" s="1358"/>
      <c r="KND526" s="1358"/>
      <c r="KNE526" s="1358"/>
      <c r="KNF526" s="1358"/>
      <c r="KNG526" s="1358"/>
      <c r="KNH526" s="1358"/>
      <c r="KNI526" s="1358"/>
      <c r="KNJ526" s="1358"/>
      <c r="KNK526" s="1358"/>
      <c r="KNL526" s="1358"/>
      <c r="KNM526" s="1358"/>
      <c r="KNN526" s="1358"/>
      <c r="KNO526" s="1358"/>
      <c r="KNP526" s="1358"/>
      <c r="KNQ526" s="1358"/>
      <c r="KNR526" s="1358"/>
      <c r="KNS526" s="1358"/>
      <c r="KNT526" s="1358"/>
      <c r="KNU526" s="1358"/>
      <c r="KNV526" s="1358"/>
      <c r="KNW526" s="1358"/>
      <c r="KNX526" s="1358"/>
      <c r="KNY526" s="1358"/>
      <c r="KNZ526" s="1358"/>
      <c r="KOA526" s="1358"/>
      <c r="KOB526" s="1358"/>
      <c r="KOC526" s="1358"/>
      <c r="KOD526" s="1358"/>
      <c r="KOE526" s="1358"/>
      <c r="KOF526" s="1358"/>
      <c r="KOG526" s="1358"/>
      <c r="KOH526" s="1358"/>
      <c r="KOI526" s="1358"/>
      <c r="KOJ526" s="1358"/>
      <c r="KOK526" s="1358"/>
      <c r="KOL526" s="1358"/>
      <c r="KOM526" s="1358"/>
      <c r="KON526" s="1358"/>
      <c r="KOO526" s="1358"/>
      <c r="KOP526" s="1358"/>
      <c r="KOQ526" s="1358"/>
      <c r="KOR526" s="1358"/>
      <c r="KOS526" s="1358"/>
      <c r="KOT526" s="1358"/>
      <c r="KOU526" s="1358"/>
      <c r="KOV526" s="1358"/>
      <c r="KOW526" s="1358"/>
      <c r="KOX526" s="1358"/>
      <c r="KOY526" s="1358"/>
      <c r="KOZ526" s="1358"/>
      <c r="KPA526" s="1358"/>
      <c r="KPB526" s="1358"/>
      <c r="KPC526" s="1358"/>
      <c r="KPD526" s="1358"/>
      <c r="KPE526" s="1358"/>
      <c r="KPF526" s="1358"/>
      <c r="KPG526" s="1358"/>
      <c r="KPH526" s="1358"/>
      <c r="KPI526" s="1358"/>
      <c r="KPJ526" s="1358"/>
      <c r="KPK526" s="1358"/>
      <c r="KPL526" s="1358"/>
      <c r="KPM526" s="1358"/>
      <c r="KPN526" s="1358"/>
      <c r="KPO526" s="1358"/>
      <c r="KPP526" s="1358"/>
      <c r="KPQ526" s="1358"/>
      <c r="KPR526" s="1358"/>
      <c r="KPS526" s="1358"/>
      <c r="KPT526" s="1358"/>
      <c r="KPU526" s="1358"/>
      <c r="KPV526" s="1358"/>
      <c r="KPW526" s="1358"/>
      <c r="KPX526" s="1358"/>
      <c r="KPY526" s="1358"/>
      <c r="KPZ526" s="1358"/>
      <c r="KQA526" s="1358"/>
      <c r="KQB526" s="1358"/>
      <c r="KQC526" s="1358"/>
      <c r="KQD526" s="1358"/>
      <c r="KQE526" s="1358"/>
      <c r="KQF526" s="1358"/>
      <c r="KQG526" s="1358"/>
      <c r="KQH526" s="1358"/>
      <c r="KQI526" s="1358"/>
      <c r="KQJ526" s="1358"/>
      <c r="KQK526" s="1358"/>
      <c r="KQL526" s="1358"/>
      <c r="KQM526" s="1358"/>
      <c r="KQN526" s="1358"/>
      <c r="KQO526" s="1358"/>
      <c r="KQP526" s="1358"/>
      <c r="KQQ526" s="1358"/>
      <c r="KQR526" s="1358"/>
      <c r="KQS526" s="1358"/>
      <c r="KQT526" s="1358"/>
      <c r="KQU526" s="1358"/>
      <c r="KQV526" s="1358"/>
      <c r="KQW526" s="1358"/>
      <c r="KQX526" s="1358"/>
      <c r="KQY526" s="1358"/>
      <c r="KQZ526" s="1358"/>
      <c r="KRA526" s="1358"/>
      <c r="KRB526" s="1358"/>
      <c r="KRC526" s="1358"/>
      <c r="KRD526" s="1358"/>
      <c r="KRE526" s="1358"/>
      <c r="KRF526" s="1358"/>
      <c r="KRG526" s="1358"/>
      <c r="KRH526" s="1358"/>
      <c r="KRI526" s="1358"/>
      <c r="KRJ526" s="1358"/>
      <c r="KRK526" s="1358"/>
      <c r="KRL526" s="1358"/>
      <c r="KRM526" s="1358"/>
      <c r="KRN526" s="1358"/>
      <c r="KRO526" s="1358"/>
      <c r="KRP526" s="1358"/>
      <c r="KRQ526" s="1358"/>
      <c r="KRR526" s="1358"/>
      <c r="KRS526" s="1358"/>
      <c r="KRT526" s="1358"/>
      <c r="KRU526" s="1358"/>
      <c r="KRV526" s="1358"/>
      <c r="KRW526" s="1358"/>
      <c r="KRX526" s="1358"/>
      <c r="KRY526" s="1358"/>
      <c r="KRZ526" s="1358"/>
      <c r="KSA526" s="1358"/>
      <c r="KSB526" s="1358"/>
      <c r="KSC526" s="1358"/>
      <c r="KSD526" s="1358"/>
      <c r="KSE526" s="1358"/>
      <c r="KSF526" s="1358"/>
      <c r="KSG526" s="1358"/>
      <c r="KSH526" s="1358"/>
      <c r="KSI526" s="1358"/>
      <c r="KSJ526" s="1358"/>
      <c r="KSK526" s="1358"/>
      <c r="KSL526" s="1358"/>
      <c r="KSM526" s="1358"/>
      <c r="KSN526" s="1358"/>
      <c r="KSO526" s="1358"/>
      <c r="KSP526" s="1358"/>
      <c r="KSQ526" s="1358"/>
      <c r="KSR526" s="1358"/>
      <c r="KSS526" s="1358"/>
      <c r="KST526" s="1358"/>
      <c r="KSU526" s="1358"/>
      <c r="KSV526" s="1358"/>
      <c r="KSW526" s="1358"/>
      <c r="KSX526" s="1358"/>
      <c r="KSY526" s="1358"/>
      <c r="KSZ526" s="1358"/>
      <c r="KTA526" s="1358"/>
      <c r="KTB526" s="1358"/>
      <c r="KTC526" s="1358"/>
      <c r="KTD526" s="1358"/>
      <c r="KTE526" s="1358"/>
      <c r="KTF526" s="1358"/>
      <c r="KTG526" s="1358"/>
      <c r="KTH526" s="1358"/>
      <c r="KTI526" s="1358"/>
      <c r="KTJ526" s="1358"/>
      <c r="KTK526" s="1358"/>
      <c r="KTL526" s="1358"/>
      <c r="KTM526" s="1358"/>
      <c r="KTN526" s="1358"/>
      <c r="KTO526" s="1358"/>
      <c r="KTP526" s="1358"/>
      <c r="KTQ526" s="1358"/>
      <c r="KTR526" s="1358"/>
      <c r="KTS526" s="1358"/>
      <c r="KTT526" s="1358"/>
      <c r="KTU526" s="1358"/>
      <c r="KTV526" s="1358"/>
      <c r="KTW526" s="1358"/>
      <c r="KTX526" s="1358"/>
      <c r="KTY526" s="1358"/>
      <c r="KTZ526" s="1358"/>
      <c r="KUA526" s="1358"/>
      <c r="KUB526" s="1358"/>
      <c r="KUC526" s="1358"/>
      <c r="KUD526" s="1358"/>
      <c r="KUE526" s="1358"/>
      <c r="KUF526" s="1358"/>
      <c r="KUG526" s="1358"/>
      <c r="KUH526" s="1358"/>
      <c r="KUI526" s="1358"/>
      <c r="KUJ526" s="1358"/>
      <c r="KUK526" s="1358"/>
      <c r="KUL526" s="1358"/>
      <c r="KUM526" s="1358"/>
      <c r="KUN526" s="1358"/>
      <c r="KUO526" s="1358"/>
      <c r="KUP526" s="1358"/>
      <c r="KUQ526" s="1358"/>
      <c r="KUR526" s="1358"/>
      <c r="KUS526" s="1358"/>
      <c r="KUT526" s="1358"/>
      <c r="KUU526" s="1358"/>
      <c r="KUV526" s="1358"/>
      <c r="KUW526" s="1358"/>
      <c r="KUX526" s="1358"/>
      <c r="KUY526" s="1358"/>
      <c r="KUZ526" s="1358"/>
      <c r="KVA526" s="1358"/>
      <c r="KVB526" s="1358"/>
      <c r="KVC526" s="1358"/>
      <c r="KVD526" s="1358"/>
      <c r="KVE526" s="1358"/>
      <c r="KVF526" s="1358"/>
      <c r="KVG526" s="1358"/>
      <c r="KVH526" s="1358"/>
      <c r="KVI526" s="1358"/>
      <c r="KVJ526" s="1358"/>
      <c r="KVK526" s="1358"/>
      <c r="KVL526" s="1358"/>
      <c r="KVM526" s="1358"/>
      <c r="KVN526" s="1358"/>
      <c r="KVO526" s="1358"/>
      <c r="KVP526" s="1358"/>
      <c r="KVQ526" s="1358"/>
      <c r="KVR526" s="1358"/>
      <c r="KVS526" s="1358"/>
      <c r="KVT526" s="1358"/>
      <c r="KVU526" s="1358"/>
      <c r="KVV526" s="1358"/>
      <c r="KVW526" s="1358"/>
      <c r="KVX526" s="1358"/>
      <c r="KVY526" s="1358"/>
      <c r="KVZ526" s="1358"/>
      <c r="KWA526" s="1358"/>
      <c r="KWB526" s="1358"/>
      <c r="KWC526" s="1358"/>
      <c r="KWD526" s="1358"/>
      <c r="KWE526" s="1358"/>
      <c r="KWF526" s="1358"/>
      <c r="KWG526" s="1358"/>
      <c r="KWH526" s="1358"/>
      <c r="KWI526" s="1358"/>
      <c r="KWJ526" s="1358"/>
      <c r="KWK526" s="1358"/>
      <c r="KWL526" s="1358"/>
      <c r="KWM526" s="1358"/>
      <c r="KWN526" s="1358"/>
      <c r="KWO526" s="1358"/>
      <c r="KWP526" s="1358"/>
      <c r="KWQ526" s="1358"/>
      <c r="KWR526" s="1358"/>
      <c r="KWS526" s="1358"/>
      <c r="KWT526" s="1358"/>
      <c r="KWU526" s="1358"/>
      <c r="KWV526" s="1358"/>
      <c r="KWW526" s="1358"/>
      <c r="KWX526" s="1358"/>
      <c r="KWY526" s="1358"/>
      <c r="KWZ526" s="1358"/>
      <c r="KXA526" s="1358"/>
      <c r="KXB526" s="1358"/>
      <c r="KXC526" s="1358"/>
      <c r="KXD526" s="1358"/>
      <c r="KXE526" s="1358"/>
      <c r="KXF526" s="1358"/>
      <c r="KXG526" s="1358"/>
      <c r="KXH526" s="1358"/>
      <c r="KXI526" s="1358"/>
      <c r="KXJ526" s="1358"/>
      <c r="KXK526" s="1358"/>
      <c r="KXL526" s="1358"/>
      <c r="KXM526" s="1358"/>
      <c r="KXN526" s="1358"/>
      <c r="KXO526" s="1358"/>
      <c r="KXP526" s="1358"/>
      <c r="KXQ526" s="1358"/>
      <c r="KXR526" s="1358"/>
      <c r="KXS526" s="1358"/>
      <c r="KXT526" s="1358"/>
      <c r="KXU526" s="1358"/>
      <c r="KXV526" s="1358"/>
      <c r="KXW526" s="1358"/>
      <c r="KXX526" s="1358"/>
      <c r="KXY526" s="1358"/>
      <c r="KXZ526" s="1358"/>
      <c r="KYA526" s="1358"/>
      <c r="KYB526" s="1358"/>
      <c r="KYC526" s="1358"/>
      <c r="KYD526" s="1358"/>
      <c r="KYE526" s="1358"/>
      <c r="KYF526" s="1358"/>
      <c r="KYG526" s="1358"/>
      <c r="KYH526" s="1358"/>
      <c r="KYI526" s="1358"/>
      <c r="KYJ526" s="1358"/>
      <c r="KYK526" s="1358"/>
      <c r="KYL526" s="1358"/>
      <c r="KYM526" s="1358"/>
      <c r="KYN526" s="1358"/>
      <c r="KYO526" s="1358"/>
      <c r="KYP526" s="1358"/>
      <c r="KYQ526" s="1358"/>
      <c r="KYR526" s="1358"/>
      <c r="KYS526" s="1358"/>
      <c r="KYT526" s="1358"/>
      <c r="KYU526" s="1358"/>
      <c r="KYV526" s="1358"/>
      <c r="KYW526" s="1358"/>
      <c r="KYX526" s="1358"/>
      <c r="KYY526" s="1358"/>
      <c r="KYZ526" s="1358"/>
      <c r="KZA526" s="1358"/>
      <c r="KZB526" s="1358"/>
      <c r="KZC526" s="1358"/>
      <c r="KZD526" s="1358"/>
      <c r="KZE526" s="1358"/>
      <c r="KZF526" s="1358"/>
      <c r="KZG526" s="1358"/>
      <c r="KZH526" s="1358"/>
      <c r="KZI526" s="1358"/>
      <c r="KZJ526" s="1358"/>
      <c r="KZK526" s="1358"/>
      <c r="KZL526" s="1358"/>
      <c r="KZM526" s="1358"/>
      <c r="KZN526" s="1358"/>
      <c r="KZO526" s="1358"/>
      <c r="KZP526" s="1358"/>
      <c r="KZQ526" s="1358"/>
      <c r="KZR526" s="1358"/>
      <c r="KZS526" s="1358"/>
      <c r="KZT526" s="1358"/>
      <c r="KZU526" s="1358"/>
      <c r="KZV526" s="1358"/>
      <c r="KZW526" s="1358"/>
      <c r="KZX526" s="1358"/>
      <c r="KZY526" s="1358"/>
      <c r="KZZ526" s="1358"/>
      <c r="LAA526" s="1358"/>
      <c r="LAB526" s="1358"/>
      <c r="LAC526" s="1358"/>
      <c r="LAD526" s="1358"/>
      <c r="LAE526" s="1358"/>
      <c r="LAF526" s="1358"/>
      <c r="LAG526" s="1358"/>
      <c r="LAH526" s="1358"/>
      <c r="LAI526" s="1358"/>
      <c r="LAJ526" s="1358"/>
      <c r="LAK526" s="1358"/>
      <c r="LAL526" s="1358"/>
      <c r="LAM526" s="1358"/>
      <c r="LAN526" s="1358"/>
      <c r="LAO526" s="1358"/>
      <c r="LAP526" s="1358"/>
      <c r="LAQ526" s="1358"/>
      <c r="LAR526" s="1358"/>
      <c r="LAS526" s="1358"/>
      <c r="LAT526" s="1358"/>
      <c r="LAU526" s="1358"/>
      <c r="LAV526" s="1358"/>
      <c r="LAW526" s="1358"/>
      <c r="LAX526" s="1358"/>
      <c r="LAY526" s="1358"/>
      <c r="LAZ526" s="1358"/>
      <c r="LBA526" s="1358"/>
      <c r="LBB526" s="1358"/>
      <c r="LBC526" s="1358"/>
      <c r="LBD526" s="1358"/>
      <c r="LBE526" s="1358"/>
      <c r="LBF526" s="1358"/>
      <c r="LBG526" s="1358"/>
      <c r="LBH526" s="1358"/>
      <c r="LBI526" s="1358"/>
      <c r="LBJ526" s="1358"/>
      <c r="LBK526" s="1358"/>
      <c r="LBL526" s="1358"/>
      <c r="LBM526" s="1358"/>
      <c r="LBN526" s="1358"/>
      <c r="LBO526" s="1358"/>
      <c r="LBP526" s="1358"/>
      <c r="LBQ526" s="1358"/>
      <c r="LBR526" s="1358"/>
      <c r="LBS526" s="1358"/>
      <c r="LBT526" s="1358"/>
      <c r="LBU526" s="1358"/>
      <c r="LBV526" s="1358"/>
      <c r="LBW526" s="1358"/>
      <c r="LBX526" s="1358"/>
      <c r="LBY526" s="1358"/>
      <c r="LBZ526" s="1358"/>
      <c r="LCA526" s="1358"/>
      <c r="LCB526" s="1358"/>
      <c r="LCC526" s="1358"/>
      <c r="LCD526" s="1358"/>
      <c r="LCE526" s="1358"/>
      <c r="LCF526" s="1358"/>
      <c r="LCG526" s="1358"/>
      <c r="LCH526" s="1358"/>
      <c r="LCI526" s="1358"/>
      <c r="LCJ526" s="1358"/>
      <c r="LCK526" s="1358"/>
      <c r="LCL526" s="1358"/>
      <c r="LCM526" s="1358"/>
      <c r="LCN526" s="1358"/>
      <c r="LCO526" s="1358"/>
      <c r="LCP526" s="1358"/>
      <c r="LCQ526" s="1358"/>
      <c r="LCR526" s="1358"/>
      <c r="LCS526" s="1358"/>
      <c r="LCT526" s="1358"/>
      <c r="LCU526" s="1358"/>
      <c r="LCV526" s="1358"/>
      <c r="LCW526" s="1358"/>
      <c r="LCX526" s="1358"/>
      <c r="LCY526" s="1358"/>
      <c r="LCZ526" s="1358"/>
      <c r="LDA526" s="1358"/>
      <c r="LDB526" s="1358"/>
      <c r="LDC526" s="1358"/>
      <c r="LDD526" s="1358"/>
      <c r="LDE526" s="1358"/>
      <c r="LDF526" s="1358"/>
      <c r="LDG526" s="1358"/>
      <c r="LDH526" s="1358"/>
      <c r="LDI526" s="1358"/>
      <c r="LDJ526" s="1358"/>
      <c r="LDK526" s="1358"/>
      <c r="LDL526" s="1358"/>
      <c r="LDM526" s="1358"/>
      <c r="LDN526" s="1358"/>
      <c r="LDO526" s="1358"/>
      <c r="LDP526" s="1358"/>
      <c r="LDQ526" s="1358"/>
      <c r="LDR526" s="1358"/>
      <c r="LDS526" s="1358"/>
      <c r="LDT526" s="1358"/>
      <c r="LDU526" s="1358"/>
      <c r="LDV526" s="1358"/>
      <c r="LDW526" s="1358"/>
      <c r="LDX526" s="1358"/>
      <c r="LDY526" s="1358"/>
      <c r="LDZ526" s="1358"/>
      <c r="LEA526" s="1358"/>
      <c r="LEB526" s="1358"/>
      <c r="LEC526" s="1358"/>
      <c r="LED526" s="1358"/>
      <c r="LEE526" s="1358"/>
      <c r="LEF526" s="1358"/>
      <c r="LEG526" s="1358"/>
      <c r="LEH526" s="1358"/>
      <c r="LEI526" s="1358"/>
      <c r="LEJ526" s="1358"/>
      <c r="LEK526" s="1358"/>
      <c r="LEL526" s="1358"/>
      <c r="LEM526" s="1358"/>
      <c r="LEN526" s="1358"/>
      <c r="LEO526" s="1358"/>
      <c r="LEP526" s="1358"/>
      <c r="LEQ526" s="1358"/>
      <c r="LER526" s="1358"/>
      <c r="LES526" s="1358"/>
      <c r="LET526" s="1358"/>
      <c r="LEU526" s="1358"/>
      <c r="LEV526" s="1358"/>
      <c r="LEW526" s="1358"/>
      <c r="LEX526" s="1358"/>
      <c r="LEY526" s="1358"/>
      <c r="LEZ526" s="1358"/>
      <c r="LFA526" s="1358"/>
      <c r="LFB526" s="1358"/>
      <c r="LFC526" s="1358"/>
      <c r="LFD526" s="1358"/>
      <c r="LFE526" s="1358"/>
      <c r="LFF526" s="1358"/>
      <c r="LFG526" s="1358"/>
      <c r="LFH526" s="1358"/>
      <c r="LFI526" s="1358"/>
      <c r="LFJ526" s="1358"/>
      <c r="LFK526" s="1358"/>
      <c r="LFL526" s="1358"/>
      <c r="LFM526" s="1358"/>
      <c r="LFN526" s="1358"/>
      <c r="LFO526" s="1358"/>
      <c r="LFP526" s="1358"/>
      <c r="LFQ526" s="1358"/>
      <c r="LFR526" s="1358"/>
      <c r="LFS526" s="1358"/>
      <c r="LFT526" s="1358"/>
      <c r="LFU526" s="1358"/>
      <c r="LFV526" s="1358"/>
      <c r="LFW526" s="1358"/>
      <c r="LFX526" s="1358"/>
      <c r="LFY526" s="1358"/>
      <c r="LFZ526" s="1358"/>
      <c r="LGA526" s="1358"/>
      <c r="LGB526" s="1358"/>
      <c r="LGC526" s="1358"/>
      <c r="LGD526" s="1358"/>
      <c r="LGE526" s="1358"/>
      <c r="LGF526" s="1358"/>
      <c r="LGG526" s="1358"/>
      <c r="LGH526" s="1358"/>
      <c r="LGI526" s="1358"/>
      <c r="LGJ526" s="1358"/>
      <c r="LGK526" s="1358"/>
      <c r="LGL526" s="1358"/>
      <c r="LGM526" s="1358"/>
      <c r="LGN526" s="1358"/>
      <c r="LGO526" s="1358"/>
      <c r="LGP526" s="1358"/>
      <c r="LGQ526" s="1358"/>
      <c r="LGR526" s="1358"/>
      <c r="LGS526" s="1358"/>
      <c r="LGT526" s="1358"/>
      <c r="LGU526" s="1358"/>
      <c r="LGV526" s="1358"/>
      <c r="LGW526" s="1358"/>
      <c r="LGX526" s="1358"/>
      <c r="LGY526" s="1358"/>
      <c r="LGZ526" s="1358"/>
      <c r="LHA526" s="1358"/>
      <c r="LHB526" s="1358"/>
      <c r="LHC526" s="1358"/>
      <c r="LHD526" s="1358"/>
      <c r="LHE526" s="1358"/>
      <c r="LHF526" s="1358"/>
      <c r="LHG526" s="1358"/>
      <c r="LHH526" s="1358"/>
      <c r="LHI526" s="1358"/>
      <c r="LHJ526" s="1358"/>
      <c r="LHK526" s="1358"/>
      <c r="LHL526" s="1358"/>
      <c r="LHM526" s="1358"/>
      <c r="LHN526" s="1358"/>
      <c r="LHO526" s="1358"/>
      <c r="LHP526" s="1358"/>
      <c r="LHQ526" s="1358"/>
      <c r="LHR526" s="1358"/>
      <c r="LHS526" s="1358"/>
      <c r="LHT526" s="1358"/>
      <c r="LHU526" s="1358"/>
      <c r="LHV526" s="1358"/>
      <c r="LHW526" s="1358"/>
      <c r="LHX526" s="1358"/>
      <c r="LHY526" s="1358"/>
      <c r="LHZ526" s="1358"/>
      <c r="LIA526" s="1358"/>
      <c r="LIB526" s="1358"/>
      <c r="LIC526" s="1358"/>
      <c r="LID526" s="1358"/>
      <c r="LIE526" s="1358"/>
      <c r="LIF526" s="1358"/>
      <c r="LIG526" s="1358"/>
      <c r="LIH526" s="1358"/>
      <c r="LII526" s="1358"/>
      <c r="LIJ526" s="1358"/>
      <c r="LIK526" s="1358"/>
      <c r="LIL526" s="1358"/>
      <c r="LIM526" s="1358"/>
      <c r="LIN526" s="1358"/>
      <c r="LIO526" s="1358"/>
      <c r="LIP526" s="1358"/>
      <c r="LIQ526" s="1358"/>
      <c r="LIR526" s="1358"/>
      <c r="LIS526" s="1358"/>
      <c r="LIT526" s="1358"/>
      <c r="LIU526" s="1358"/>
      <c r="LIV526" s="1358"/>
      <c r="LIW526" s="1358"/>
      <c r="LIX526" s="1358"/>
      <c r="LIY526" s="1358"/>
      <c r="LIZ526" s="1358"/>
      <c r="LJA526" s="1358"/>
      <c r="LJB526" s="1358"/>
      <c r="LJC526" s="1358"/>
      <c r="LJD526" s="1358"/>
      <c r="LJE526" s="1358"/>
      <c r="LJF526" s="1358"/>
      <c r="LJG526" s="1358"/>
      <c r="LJH526" s="1358"/>
      <c r="LJI526" s="1358"/>
      <c r="LJJ526" s="1358"/>
      <c r="LJK526" s="1358"/>
      <c r="LJL526" s="1358"/>
      <c r="LJM526" s="1358"/>
      <c r="LJN526" s="1358"/>
      <c r="LJO526" s="1358"/>
      <c r="LJP526" s="1358"/>
      <c r="LJQ526" s="1358"/>
      <c r="LJR526" s="1358"/>
      <c r="LJS526" s="1358"/>
      <c r="LJT526" s="1358"/>
      <c r="LJU526" s="1358"/>
      <c r="LJV526" s="1358"/>
      <c r="LJW526" s="1358"/>
      <c r="LJX526" s="1358"/>
      <c r="LJY526" s="1358"/>
      <c r="LJZ526" s="1358"/>
      <c r="LKA526" s="1358"/>
      <c r="LKB526" s="1358"/>
      <c r="LKC526" s="1358"/>
      <c r="LKD526" s="1358"/>
      <c r="LKE526" s="1358"/>
      <c r="LKF526" s="1358"/>
      <c r="LKG526" s="1358"/>
      <c r="LKH526" s="1358"/>
      <c r="LKI526" s="1358"/>
      <c r="LKJ526" s="1358"/>
      <c r="LKK526" s="1358"/>
      <c r="LKL526" s="1358"/>
      <c r="LKM526" s="1358"/>
      <c r="LKN526" s="1358"/>
      <c r="LKO526" s="1358"/>
      <c r="LKP526" s="1358"/>
      <c r="LKQ526" s="1358"/>
      <c r="LKR526" s="1358"/>
      <c r="LKS526" s="1358"/>
      <c r="LKT526" s="1358"/>
      <c r="LKU526" s="1358"/>
      <c r="LKV526" s="1358"/>
      <c r="LKW526" s="1358"/>
      <c r="LKX526" s="1358"/>
      <c r="LKY526" s="1358"/>
      <c r="LKZ526" s="1358"/>
      <c r="LLA526" s="1358"/>
      <c r="LLB526" s="1358"/>
      <c r="LLC526" s="1358"/>
      <c r="LLD526" s="1358"/>
      <c r="LLE526" s="1358"/>
      <c r="LLF526" s="1358"/>
      <c r="LLG526" s="1358"/>
      <c r="LLH526" s="1358"/>
      <c r="LLI526" s="1358"/>
      <c r="LLJ526" s="1358"/>
      <c r="LLK526" s="1358"/>
      <c r="LLL526" s="1358"/>
      <c r="LLM526" s="1358"/>
      <c r="LLN526" s="1358"/>
      <c r="LLO526" s="1358"/>
      <c r="LLP526" s="1358"/>
      <c r="LLQ526" s="1358"/>
      <c r="LLR526" s="1358"/>
      <c r="LLS526" s="1358"/>
      <c r="LLT526" s="1358"/>
      <c r="LLU526" s="1358"/>
      <c r="LLV526" s="1358"/>
      <c r="LLW526" s="1358"/>
      <c r="LLX526" s="1358"/>
      <c r="LLY526" s="1358"/>
      <c r="LLZ526" s="1358"/>
      <c r="LMA526" s="1358"/>
      <c r="LMB526" s="1358"/>
      <c r="LMC526" s="1358"/>
      <c r="LMD526" s="1358"/>
      <c r="LME526" s="1358"/>
      <c r="LMF526" s="1358"/>
      <c r="LMG526" s="1358"/>
      <c r="LMH526" s="1358"/>
      <c r="LMI526" s="1358"/>
      <c r="LMJ526" s="1358"/>
      <c r="LMK526" s="1358"/>
      <c r="LML526" s="1358"/>
      <c r="LMM526" s="1358"/>
      <c r="LMN526" s="1358"/>
      <c r="LMO526" s="1358"/>
      <c r="LMP526" s="1358"/>
      <c r="LMQ526" s="1358"/>
      <c r="LMR526" s="1358"/>
      <c r="LMS526" s="1358"/>
      <c r="LMT526" s="1358"/>
      <c r="LMU526" s="1358"/>
      <c r="LMV526" s="1358"/>
      <c r="LMW526" s="1358"/>
      <c r="LMX526" s="1358"/>
      <c r="LMY526" s="1358"/>
      <c r="LMZ526" s="1358"/>
      <c r="LNA526" s="1358"/>
      <c r="LNB526" s="1358"/>
      <c r="LNC526" s="1358"/>
      <c r="LND526" s="1358"/>
      <c r="LNE526" s="1358"/>
      <c r="LNF526" s="1358"/>
      <c r="LNG526" s="1358"/>
      <c r="LNH526" s="1358"/>
      <c r="LNI526" s="1358"/>
      <c r="LNJ526" s="1358"/>
      <c r="LNK526" s="1358"/>
      <c r="LNL526" s="1358"/>
      <c r="LNM526" s="1358"/>
      <c r="LNN526" s="1358"/>
      <c r="LNO526" s="1358"/>
      <c r="LNP526" s="1358"/>
      <c r="LNQ526" s="1358"/>
      <c r="LNR526" s="1358"/>
      <c r="LNS526" s="1358"/>
      <c r="LNT526" s="1358"/>
      <c r="LNU526" s="1358"/>
      <c r="LNV526" s="1358"/>
      <c r="LNW526" s="1358"/>
      <c r="LNX526" s="1358"/>
      <c r="LNY526" s="1358"/>
      <c r="LNZ526" s="1358"/>
      <c r="LOA526" s="1358"/>
      <c r="LOB526" s="1358"/>
      <c r="LOC526" s="1358"/>
      <c r="LOD526" s="1358"/>
      <c r="LOE526" s="1358"/>
      <c r="LOF526" s="1358"/>
      <c r="LOG526" s="1358"/>
      <c r="LOH526" s="1358"/>
      <c r="LOI526" s="1358"/>
      <c r="LOJ526" s="1358"/>
      <c r="LOK526" s="1358"/>
      <c r="LOL526" s="1358"/>
      <c r="LOM526" s="1358"/>
      <c r="LON526" s="1358"/>
      <c r="LOO526" s="1358"/>
      <c r="LOP526" s="1358"/>
      <c r="LOQ526" s="1358"/>
      <c r="LOR526" s="1358"/>
      <c r="LOS526" s="1358"/>
      <c r="LOT526" s="1358"/>
      <c r="LOU526" s="1358"/>
      <c r="LOV526" s="1358"/>
      <c r="LOW526" s="1358"/>
      <c r="LOX526" s="1358"/>
      <c r="LOY526" s="1358"/>
      <c r="LOZ526" s="1358"/>
      <c r="LPA526" s="1358"/>
      <c r="LPB526" s="1358"/>
      <c r="LPC526" s="1358"/>
      <c r="LPD526" s="1358"/>
      <c r="LPE526" s="1358"/>
      <c r="LPF526" s="1358"/>
      <c r="LPG526" s="1358"/>
      <c r="LPH526" s="1358"/>
      <c r="LPI526" s="1358"/>
      <c r="LPJ526" s="1358"/>
      <c r="LPK526" s="1358"/>
      <c r="LPL526" s="1358"/>
      <c r="LPM526" s="1358"/>
      <c r="LPN526" s="1358"/>
      <c r="LPO526" s="1358"/>
      <c r="LPP526" s="1358"/>
      <c r="LPQ526" s="1358"/>
      <c r="LPR526" s="1358"/>
      <c r="LPS526" s="1358"/>
      <c r="LPT526" s="1358"/>
      <c r="LPU526" s="1358"/>
      <c r="LPV526" s="1358"/>
      <c r="LPW526" s="1358"/>
      <c r="LPX526" s="1358"/>
      <c r="LPY526" s="1358"/>
      <c r="LPZ526" s="1358"/>
      <c r="LQA526" s="1358"/>
      <c r="LQB526" s="1358"/>
      <c r="LQC526" s="1358"/>
      <c r="LQD526" s="1358"/>
      <c r="LQE526" s="1358"/>
      <c r="LQF526" s="1358"/>
      <c r="LQG526" s="1358"/>
      <c r="LQH526" s="1358"/>
      <c r="LQI526" s="1358"/>
      <c r="LQJ526" s="1358"/>
      <c r="LQK526" s="1358"/>
      <c r="LQL526" s="1358"/>
      <c r="LQM526" s="1358"/>
      <c r="LQN526" s="1358"/>
      <c r="LQO526" s="1358"/>
      <c r="LQP526" s="1358"/>
      <c r="LQQ526" s="1358"/>
      <c r="LQR526" s="1358"/>
      <c r="LQS526" s="1358"/>
      <c r="LQT526" s="1358"/>
      <c r="LQU526" s="1358"/>
      <c r="LQV526" s="1358"/>
      <c r="LQW526" s="1358"/>
      <c r="LQX526" s="1358"/>
      <c r="LQY526" s="1358"/>
      <c r="LQZ526" s="1358"/>
      <c r="LRA526" s="1358"/>
      <c r="LRB526" s="1358"/>
      <c r="LRC526" s="1358"/>
      <c r="LRD526" s="1358"/>
      <c r="LRE526" s="1358"/>
      <c r="LRF526" s="1358"/>
      <c r="LRG526" s="1358"/>
      <c r="LRH526" s="1358"/>
      <c r="LRI526" s="1358"/>
      <c r="LRJ526" s="1358"/>
      <c r="LRK526" s="1358"/>
      <c r="LRL526" s="1358"/>
      <c r="LRM526" s="1358"/>
      <c r="LRN526" s="1358"/>
      <c r="LRO526" s="1358"/>
      <c r="LRP526" s="1358"/>
      <c r="LRQ526" s="1358"/>
      <c r="LRR526" s="1358"/>
      <c r="LRS526" s="1358"/>
      <c r="LRT526" s="1358"/>
      <c r="LRU526" s="1358"/>
      <c r="LRV526" s="1358"/>
      <c r="LRW526" s="1358"/>
      <c r="LRX526" s="1358"/>
      <c r="LRY526" s="1358"/>
      <c r="LRZ526" s="1358"/>
      <c r="LSA526" s="1358"/>
      <c r="LSB526" s="1358"/>
      <c r="LSC526" s="1358"/>
      <c r="LSD526" s="1358"/>
      <c r="LSE526" s="1358"/>
      <c r="LSF526" s="1358"/>
      <c r="LSG526" s="1358"/>
      <c r="LSH526" s="1358"/>
      <c r="LSI526" s="1358"/>
      <c r="LSJ526" s="1358"/>
      <c r="LSK526" s="1358"/>
      <c r="LSL526" s="1358"/>
      <c r="LSM526" s="1358"/>
      <c r="LSN526" s="1358"/>
      <c r="LSO526" s="1358"/>
      <c r="LSP526" s="1358"/>
      <c r="LSQ526" s="1358"/>
      <c r="LSR526" s="1358"/>
      <c r="LSS526" s="1358"/>
      <c r="LST526" s="1358"/>
      <c r="LSU526" s="1358"/>
      <c r="LSV526" s="1358"/>
      <c r="LSW526" s="1358"/>
      <c r="LSX526" s="1358"/>
      <c r="LSY526" s="1358"/>
      <c r="LSZ526" s="1358"/>
      <c r="LTA526" s="1358"/>
      <c r="LTB526" s="1358"/>
      <c r="LTC526" s="1358"/>
      <c r="LTD526" s="1358"/>
      <c r="LTE526" s="1358"/>
      <c r="LTF526" s="1358"/>
      <c r="LTG526" s="1358"/>
      <c r="LTH526" s="1358"/>
      <c r="LTI526" s="1358"/>
      <c r="LTJ526" s="1358"/>
      <c r="LTK526" s="1358"/>
      <c r="LTL526" s="1358"/>
      <c r="LTM526" s="1358"/>
      <c r="LTN526" s="1358"/>
      <c r="LTO526" s="1358"/>
      <c r="LTP526" s="1358"/>
      <c r="LTQ526" s="1358"/>
      <c r="LTR526" s="1358"/>
      <c r="LTS526" s="1358"/>
      <c r="LTT526" s="1358"/>
      <c r="LTU526" s="1358"/>
      <c r="LTV526" s="1358"/>
      <c r="LTW526" s="1358"/>
      <c r="LTX526" s="1358"/>
      <c r="LTY526" s="1358"/>
      <c r="LTZ526" s="1358"/>
      <c r="LUA526" s="1358"/>
      <c r="LUB526" s="1358"/>
      <c r="LUC526" s="1358"/>
      <c r="LUD526" s="1358"/>
      <c r="LUE526" s="1358"/>
      <c r="LUF526" s="1358"/>
      <c r="LUG526" s="1358"/>
      <c r="LUH526" s="1358"/>
      <c r="LUI526" s="1358"/>
      <c r="LUJ526" s="1358"/>
      <c r="LUK526" s="1358"/>
      <c r="LUL526" s="1358"/>
      <c r="LUM526" s="1358"/>
      <c r="LUN526" s="1358"/>
      <c r="LUO526" s="1358"/>
      <c r="LUP526" s="1358"/>
      <c r="LUQ526" s="1358"/>
      <c r="LUR526" s="1358"/>
      <c r="LUS526" s="1358"/>
      <c r="LUT526" s="1358"/>
      <c r="LUU526" s="1358"/>
      <c r="LUV526" s="1358"/>
      <c r="LUW526" s="1358"/>
      <c r="LUX526" s="1358"/>
      <c r="LUY526" s="1358"/>
      <c r="LUZ526" s="1358"/>
      <c r="LVA526" s="1358"/>
      <c r="LVB526" s="1358"/>
      <c r="LVC526" s="1358"/>
      <c r="LVD526" s="1358"/>
      <c r="LVE526" s="1358"/>
      <c r="LVF526" s="1358"/>
      <c r="LVG526" s="1358"/>
      <c r="LVH526" s="1358"/>
      <c r="LVI526" s="1358"/>
      <c r="LVJ526" s="1358"/>
      <c r="LVK526" s="1358"/>
      <c r="LVL526" s="1358"/>
      <c r="LVM526" s="1358"/>
      <c r="LVN526" s="1358"/>
      <c r="LVO526" s="1358"/>
      <c r="LVP526" s="1358"/>
      <c r="LVQ526" s="1358"/>
      <c r="LVR526" s="1358"/>
      <c r="LVS526" s="1358"/>
      <c r="LVT526" s="1358"/>
      <c r="LVU526" s="1358"/>
      <c r="LVV526" s="1358"/>
      <c r="LVW526" s="1358"/>
      <c r="LVX526" s="1358"/>
      <c r="LVY526" s="1358"/>
      <c r="LVZ526" s="1358"/>
      <c r="LWA526" s="1358"/>
      <c r="LWB526" s="1358"/>
      <c r="LWC526" s="1358"/>
      <c r="LWD526" s="1358"/>
      <c r="LWE526" s="1358"/>
      <c r="LWF526" s="1358"/>
      <c r="LWG526" s="1358"/>
      <c r="LWH526" s="1358"/>
      <c r="LWI526" s="1358"/>
      <c r="LWJ526" s="1358"/>
      <c r="LWK526" s="1358"/>
      <c r="LWL526" s="1358"/>
      <c r="LWM526" s="1358"/>
      <c r="LWN526" s="1358"/>
      <c r="LWO526" s="1358"/>
      <c r="LWP526" s="1358"/>
      <c r="LWQ526" s="1358"/>
      <c r="LWR526" s="1358"/>
      <c r="LWS526" s="1358"/>
      <c r="LWT526" s="1358"/>
      <c r="LWU526" s="1358"/>
      <c r="LWV526" s="1358"/>
      <c r="LWW526" s="1358"/>
      <c r="LWX526" s="1358"/>
      <c r="LWY526" s="1358"/>
      <c r="LWZ526" s="1358"/>
      <c r="LXA526" s="1358"/>
      <c r="LXB526" s="1358"/>
      <c r="LXC526" s="1358"/>
      <c r="LXD526" s="1358"/>
      <c r="LXE526" s="1358"/>
      <c r="LXF526" s="1358"/>
      <c r="LXG526" s="1358"/>
      <c r="LXH526" s="1358"/>
      <c r="LXI526" s="1358"/>
      <c r="LXJ526" s="1358"/>
      <c r="LXK526" s="1358"/>
      <c r="LXL526" s="1358"/>
      <c r="LXM526" s="1358"/>
      <c r="LXN526" s="1358"/>
      <c r="LXO526" s="1358"/>
      <c r="LXP526" s="1358"/>
      <c r="LXQ526" s="1358"/>
      <c r="LXR526" s="1358"/>
      <c r="LXS526" s="1358"/>
      <c r="LXT526" s="1358"/>
      <c r="LXU526" s="1358"/>
      <c r="LXV526" s="1358"/>
      <c r="LXW526" s="1358"/>
      <c r="LXX526" s="1358"/>
      <c r="LXY526" s="1358"/>
      <c r="LXZ526" s="1358"/>
      <c r="LYA526" s="1358"/>
      <c r="LYB526" s="1358"/>
      <c r="LYC526" s="1358"/>
      <c r="LYD526" s="1358"/>
      <c r="LYE526" s="1358"/>
      <c r="LYF526" s="1358"/>
      <c r="LYG526" s="1358"/>
      <c r="LYH526" s="1358"/>
      <c r="LYI526" s="1358"/>
      <c r="LYJ526" s="1358"/>
      <c r="LYK526" s="1358"/>
      <c r="LYL526" s="1358"/>
      <c r="LYM526" s="1358"/>
      <c r="LYN526" s="1358"/>
      <c r="LYO526" s="1358"/>
      <c r="LYP526" s="1358"/>
      <c r="LYQ526" s="1358"/>
      <c r="LYR526" s="1358"/>
      <c r="LYS526" s="1358"/>
      <c r="LYT526" s="1358"/>
      <c r="LYU526" s="1358"/>
      <c r="LYV526" s="1358"/>
      <c r="LYW526" s="1358"/>
      <c r="LYX526" s="1358"/>
      <c r="LYY526" s="1358"/>
      <c r="LYZ526" s="1358"/>
      <c r="LZA526" s="1358"/>
      <c r="LZB526" s="1358"/>
      <c r="LZC526" s="1358"/>
      <c r="LZD526" s="1358"/>
      <c r="LZE526" s="1358"/>
      <c r="LZF526" s="1358"/>
      <c r="LZG526" s="1358"/>
      <c r="LZH526" s="1358"/>
      <c r="LZI526" s="1358"/>
      <c r="LZJ526" s="1358"/>
      <c r="LZK526" s="1358"/>
      <c r="LZL526" s="1358"/>
      <c r="LZM526" s="1358"/>
      <c r="LZN526" s="1358"/>
      <c r="LZO526" s="1358"/>
      <c r="LZP526" s="1358"/>
      <c r="LZQ526" s="1358"/>
      <c r="LZR526" s="1358"/>
      <c r="LZS526" s="1358"/>
      <c r="LZT526" s="1358"/>
      <c r="LZU526" s="1358"/>
      <c r="LZV526" s="1358"/>
      <c r="LZW526" s="1358"/>
      <c r="LZX526" s="1358"/>
      <c r="LZY526" s="1358"/>
      <c r="LZZ526" s="1358"/>
      <c r="MAA526" s="1358"/>
      <c r="MAB526" s="1358"/>
      <c r="MAC526" s="1358"/>
      <c r="MAD526" s="1358"/>
      <c r="MAE526" s="1358"/>
      <c r="MAF526" s="1358"/>
      <c r="MAG526" s="1358"/>
      <c r="MAH526" s="1358"/>
      <c r="MAI526" s="1358"/>
      <c r="MAJ526" s="1358"/>
      <c r="MAK526" s="1358"/>
      <c r="MAL526" s="1358"/>
      <c r="MAM526" s="1358"/>
      <c r="MAN526" s="1358"/>
      <c r="MAO526" s="1358"/>
      <c r="MAP526" s="1358"/>
      <c r="MAQ526" s="1358"/>
      <c r="MAR526" s="1358"/>
      <c r="MAS526" s="1358"/>
      <c r="MAT526" s="1358"/>
      <c r="MAU526" s="1358"/>
      <c r="MAV526" s="1358"/>
      <c r="MAW526" s="1358"/>
      <c r="MAX526" s="1358"/>
      <c r="MAY526" s="1358"/>
      <c r="MAZ526" s="1358"/>
      <c r="MBA526" s="1358"/>
      <c r="MBB526" s="1358"/>
      <c r="MBC526" s="1358"/>
      <c r="MBD526" s="1358"/>
      <c r="MBE526" s="1358"/>
      <c r="MBF526" s="1358"/>
      <c r="MBG526" s="1358"/>
      <c r="MBH526" s="1358"/>
      <c r="MBI526" s="1358"/>
      <c r="MBJ526" s="1358"/>
      <c r="MBK526" s="1358"/>
      <c r="MBL526" s="1358"/>
      <c r="MBM526" s="1358"/>
      <c r="MBN526" s="1358"/>
      <c r="MBO526" s="1358"/>
      <c r="MBP526" s="1358"/>
      <c r="MBQ526" s="1358"/>
      <c r="MBR526" s="1358"/>
      <c r="MBS526" s="1358"/>
      <c r="MBT526" s="1358"/>
      <c r="MBU526" s="1358"/>
      <c r="MBV526" s="1358"/>
      <c r="MBW526" s="1358"/>
      <c r="MBX526" s="1358"/>
      <c r="MBY526" s="1358"/>
      <c r="MBZ526" s="1358"/>
      <c r="MCA526" s="1358"/>
      <c r="MCB526" s="1358"/>
      <c r="MCC526" s="1358"/>
      <c r="MCD526" s="1358"/>
      <c r="MCE526" s="1358"/>
      <c r="MCF526" s="1358"/>
      <c r="MCG526" s="1358"/>
      <c r="MCH526" s="1358"/>
      <c r="MCI526" s="1358"/>
      <c r="MCJ526" s="1358"/>
      <c r="MCK526" s="1358"/>
      <c r="MCL526" s="1358"/>
      <c r="MCM526" s="1358"/>
      <c r="MCN526" s="1358"/>
      <c r="MCO526" s="1358"/>
      <c r="MCP526" s="1358"/>
      <c r="MCQ526" s="1358"/>
      <c r="MCR526" s="1358"/>
      <c r="MCS526" s="1358"/>
      <c r="MCT526" s="1358"/>
      <c r="MCU526" s="1358"/>
      <c r="MCV526" s="1358"/>
      <c r="MCW526" s="1358"/>
      <c r="MCX526" s="1358"/>
      <c r="MCY526" s="1358"/>
      <c r="MCZ526" s="1358"/>
      <c r="MDA526" s="1358"/>
      <c r="MDB526" s="1358"/>
      <c r="MDC526" s="1358"/>
      <c r="MDD526" s="1358"/>
      <c r="MDE526" s="1358"/>
      <c r="MDF526" s="1358"/>
      <c r="MDG526" s="1358"/>
      <c r="MDH526" s="1358"/>
      <c r="MDI526" s="1358"/>
      <c r="MDJ526" s="1358"/>
      <c r="MDK526" s="1358"/>
      <c r="MDL526" s="1358"/>
      <c r="MDM526" s="1358"/>
      <c r="MDN526" s="1358"/>
      <c r="MDO526" s="1358"/>
      <c r="MDP526" s="1358"/>
      <c r="MDQ526" s="1358"/>
      <c r="MDR526" s="1358"/>
      <c r="MDS526" s="1358"/>
      <c r="MDT526" s="1358"/>
      <c r="MDU526" s="1358"/>
      <c r="MDV526" s="1358"/>
      <c r="MDW526" s="1358"/>
      <c r="MDX526" s="1358"/>
      <c r="MDY526" s="1358"/>
      <c r="MDZ526" s="1358"/>
      <c r="MEA526" s="1358"/>
      <c r="MEB526" s="1358"/>
      <c r="MEC526" s="1358"/>
      <c r="MED526" s="1358"/>
      <c r="MEE526" s="1358"/>
      <c r="MEF526" s="1358"/>
      <c r="MEG526" s="1358"/>
      <c r="MEH526" s="1358"/>
      <c r="MEI526" s="1358"/>
      <c r="MEJ526" s="1358"/>
      <c r="MEK526" s="1358"/>
      <c r="MEL526" s="1358"/>
      <c r="MEM526" s="1358"/>
      <c r="MEN526" s="1358"/>
      <c r="MEO526" s="1358"/>
      <c r="MEP526" s="1358"/>
      <c r="MEQ526" s="1358"/>
      <c r="MER526" s="1358"/>
      <c r="MES526" s="1358"/>
      <c r="MET526" s="1358"/>
      <c r="MEU526" s="1358"/>
      <c r="MEV526" s="1358"/>
      <c r="MEW526" s="1358"/>
      <c r="MEX526" s="1358"/>
      <c r="MEY526" s="1358"/>
      <c r="MEZ526" s="1358"/>
      <c r="MFA526" s="1358"/>
      <c r="MFB526" s="1358"/>
      <c r="MFC526" s="1358"/>
      <c r="MFD526" s="1358"/>
      <c r="MFE526" s="1358"/>
      <c r="MFF526" s="1358"/>
      <c r="MFG526" s="1358"/>
      <c r="MFH526" s="1358"/>
      <c r="MFI526" s="1358"/>
      <c r="MFJ526" s="1358"/>
      <c r="MFK526" s="1358"/>
      <c r="MFL526" s="1358"/>
      <c r="MFM526" s="1358"/>
      <c r="MFN526" s="1358"/>
      <c r="MFO526" s="1358"/>
      <c r="MFP526" s="1358"/>
      <c r="MFQ526" s="1358"/>
      <c r="MFR526" s="1358"/>
      <c r="MFS526" s="1358"/>
      <c r="MFT526" s="1358"/>
      <c r="MFU526" s="1358"/>
      <c r="MFV526" s="1358"/>
      <c r="MFW526" s="1358"/>
      <c r="MFX526" s="1358"/>
      <c r="MFY526" s="1358"/>
      <c r="MFZ526" s="1358"/>
      <c r="MGA526" s="1358"/>
      <c r="MGB526" s="1358"/>
      <c r="MGC526" s="1358"/>
      <c r="MGD526" s="1358"/>
      <c r="MGE526" s="1358"/>
      <c r="MGF526" s="1358"/>
      <c r="MGG526" s="1358"/>
      <c r="MGH526" s="1358"/>
      <c r="MGI526" s="1358"/>
      <c r="MGJ526" s="1358"/>
      <c r="MGK526" s="1358"/>
      <c r="MGL526" s="1358"/>
      <c r="MGM526" s="1358"/>
      <c r="MGN526" s="1358"/>
      <c r="MGO526" s="1358"/>
      <c r="MGP526" s="1358"/>
      <c r="MGQ526" s="1358"/>
      <c r="MGR526" s="1358"/>
      <c r="MGS526" s="1358"/>
      <c r="MGT526" s="1358"/>
      <c r="MGU526" s="1358"/>
      <c r="MGV526" s="1358"/>
      <c r="MGW526" s="1358"/>
      <c r="MGX526" s="1358"/>
      <c r="MGY526" s="1358"/>
      <c r="MGZ526" s="1358"/>
      <c r="MHA526" s="1358"/>
      <c r="MHB526" s="1358"/>
      <c r="MHC526" s="1358"/>
      <c r="MHD526" s="1358"/>
      <c r="MHE526" s="1358"/>
      <c r="MHF526" s="1358"/>
      <c r="MHG526" s="1358"/>
      <c r="MHH526" s="1358"/>
      <c r="MHI526" s="1358"/>
      <c r="MHJ526" s="1358"/>
      <c r="MHK526" s="1358"/>
      <c r="MHL526" s="1358"/>
      <c r="MHM526" s="1358"/>
      <c r="MHN526" s="1358"/>
      <c r="MHO526" s="1358"/>
      <c r="MHP526" s="1358"/>
      <c r="MHQ526" s="1358"/>
      <c r="MHR526" s="1358"/>
      <c r="MHS526" s="1358"/>
      <c r="MHT526" s="1358"/>
      <c r="MHU526" s="1358"/>
      <c r="MHV526" s="1358"/>
      <c r="MHW526" s="1358"/>
      <c r="MHX526" s="1358"/>
      <c r="MHY526" s="1358"/>
      <c r="MHZ526" s="1358"/>
      <c r="MIA526" s="1358"/>
      <c r="MIB526" s="1358"/>
      <c r="MIC526" s="1358"/>
      <c r="MID526" s="1358"/>
      <c r="MIE526" s="1358"/>
      <c r="MIF526" s="1358"/>
      <c r="MIG526" s="1358"/>
      <c r="MIH526" s="1358"/>
      <c r="MII526" s="1358"/>
      <c r="MIJ526" s="1358"/>
      <c r="MIK526" s="1358"/>
      <c r="MIL526" s="1358"/>
      <c r="MIM526" s="1358"/>
      <c r="MIN526" s="1358"/>
      <c r="MIO526" s="1358"/>
      <c r="MIP526" s="1358"/>
      <c r="MIQ526" s="1358"/>
      <c r="MIR526" s="1358"/>
      <c r="MIS526" s="1358"/>
      <c r="MIT526" s="1358"/>
      <c r="MIU526" s="1358"/>
      <c r="MIV526" s="1358"/>
      <c r="MIW526" s="1358"/>
      <c r="MIX526" s="1358"/>
      <c r="MIY526" s="1358"/>
      <c r="MIZ526" s="1358"/>
      <c r="MJA526" s="1358"/>
      <c r="MJB526" s="1358"/>
      <c r="MJC526" s="1358"/>
      <c r="MJD526" s="1358"/>
      <c r="MJE526" s="1358"/>
      <c r="MJF526" s="1358"/>
      <c r="MJG526" s="1358"/>
      <c r="MJH526" s="1358"/>
      <c r="MJI526" s="1358"/>
      <c r="MJJ526" s="1358"/>
      <c r="MJK526" s="1358"/>
      <c r="MJL526" s="1358"/>
      <c r="MJM526" s="1358"/>
      <c r="MJN526" s="1358"/>
      <c r="MJO526" s="1358"/>
      <c r="MJP526" s="1358"/>
      <c r="MJQ526" s="1358"/>
      <c r="MJR526" s="1358"/>
      <c r="MJS526" s="1358"/>
      <c r="MJT526" s="1358"/>
      <c r="MJU526" s="1358"/>
      <c r="MJV526" s="1358"/>
      <c r="MJW526" s="1358"/>
      <c r="MJX526" s="1358"/>
      <c r="MJY526" s="1358"/>
      <c r="MJZ526" s="1358"/>
      <c r="MKA526" s="1358"/>
      <c r="MKB526" s="1358"/>
      <c r="MKC526" s="1358"/>
      <c r="MKD526" s="1358"/>
      <c r="MKE526" s="1358"/>
      <c r="MKF526" s="1358"/>
      <c r="MKG526" s="1358"/>
      <c r="MKH526" s="1358"/>
      <c r="MKI526" s="1358"/>
      <c r="MKJ526" s="1358"/>
      <c r="MKK526" s="1358"/>
      <c r="MKL526" s="1358"/>
      <c r="MKM526" s="1358"/>
      <c r="MKN526" s="1358"/>
      <c r="MKO526" s="1358"/>
      <c r="MKP526" s="1358"/>
      <c r="MKQ526" s="1358"/>
      <c r="MKR526" s="1358"/>
      <c r="MKS526" s="1358"/>
      <c r="MKT526" s="1358"/>
      <c r="MKU526" s="1358"/>
      <c r="MKV526" s="1358"/>
      <c r="MKW526" s="1358"/>
      <c r="MKX526" s="1358"/>
      <c r="MKY526" s="1358"/>
      <c r="MKZ526" s="1358"/>
      <c r="MLA526" s="1358"/>
      <c r="MLB526" s="1358"/>
      <c r="MLC526" s="1358"/>
      <c r="MLD526" s="1358"/>
      <c r="MLE526" s="1358"/>
      <c r="MLF526" s="1358"/>
      <c r="MLG526" s="1358"/>
      <c r="MLH526" s="1358"/>
      <c r="MLI526" s="1358"/>
      <c r="MLJ526" s="1358"/>
      <c r="MLK526" s="1358"/>
      <c r="MLL526" s="1358"/>
      <c r="MLM526" s="1358"/>
      <c r="MLN526" s="1358"/>
      <c r="MLO526" s="1358"/>
      <c r="MLP526" s="1358"/>
      <c r="MLQ526" s="1358"/>
      <c r="MLR526" s="1358"/>
      <c r="MLS526" s="1358"/>
      <c r="MLT526" s="1358"/>
      <c r="MLU526" s="1358"/>
      <c r="MLV526" s="1358"/>
      <c r="MLW526" s="1358"/>
      <c r="MLX526" s="1358"/>
      <c r="MLY526" s="1358"/>
      <c r="MLZ526" s="1358"/>
      <c r="MMA526" s="1358"/>
      <c r="MMB526" s="1358"/>
      <c r="MMC526" s="1358"/>
      <c r="MMD526" s="1358"/>
      <c r="MME526" s="1358"/>
      <c r="MMF526" s="1358"/>
      <c r="MMG526" s="1358"/>
      <c r="MMH526" s="1358"/>
      <c r="MMI526" s="1358"/>
      <c r="MMJ526" s="1358"/>
      <c r="MMK526" s="1358"/>
      <c r="MML526" s="1358"/>
      <c r="MMM526" s="1358"/>
      <c r="MMN526" s="1358"/>
      <c r="MMO526" s="1358"/>
      <c r="MMP526" s="1358"/>
      <c r="MMQ526" s="1358"/>
      <c r="MMR526" s="1358"/>
      <c r="MMS526" s="1358"/>
      <c r="MMT526" s="1358"/>
      <c r="MMU526" s="1358"/>
      <c r="MMV526" s="1358"/>
      <c r="MMW526" s="1358"/>
      <c r="MMX526" s="1358"/>
      <c r="MMY526" s="1358"/>
      <c r="MMZ526" s="1358"/>
      <c r="MNA526" s="1358"/>
      <c r="MNB526" s="1358"/>
      <c r="MNC526" s="1358"/>
      <c r="MND526" s="1358"/>
      <c r="MNE526" s="1358"/>
      <c r="MNF526" s="1358"/>
      <c r="MNG526" s="1358"/>
      <c r="MNH526" s="1358"/>
      <c r="MNI526" s="1358"/>
      <c r="MNJ526" s="1358"/>
      <c r="MNK526" s="1358"/>
      <c r="MNL526" s="1358"/>
      <c r="MNM526" s="1358"/>
      <c r="MNN526" s="1358"/>
      <c r="MNO526" s="1358"/>
      <c r="MNP526" s="1358"/>
      <c r="MNQ526" s="1358"/>
      <c r="MNR526" s="1358"/>
      <c r="MNS526" s="1358"/>
      <c r="MNT526" s="1358"/>
      <c r="MNU526" s="1358"/>
      <c r="MNV526" s="1358"/>
      <c r="MNW526" s="1358"/>
      <c r="MNX526" s="1358"/>
      <c r="MNY526" s="1358"/>
      <c r="MNZ526" s="1358"/>
      <c r="MOA526" s="1358"/>
      <c r="MOB526" s="1358"/>
      <c r="MOC526" s="1358"/>
      <c r="MOD526" s="1358"/>
      <c r="MOE526" s="1358"/>
      <c r="MOF526" s="1358"/>
      <c r="MOG526" s="1358"/>
      <c r="MOH526" s="1358"/>
      <c r="MOI526" s="1358"/>
      <c r="MOJ526" s="1358"/>
      <c r="MOK526" s="1358"/>
      <c r="MOL526" s="1358"/>
      <c r="MOM526" s="1358"/>
      <c r="MON526" s="1358"/>
      <c r="MOO526" s="1358"/>
      <c r="MOP526" s="1358"/>
      <c r="MOQ526" s="1358"/>
      <c r="MOR526" s="1358"/>
      <c r="MOS526" s="1358"/>
      <c r="MOT526" s="1358"/>
      <c r="MOU526" s="1358"/>
      <c r="MOV526" s="1358"/>
      <c r="MOW526" s="1358"/>
      <c r="MOX526" s="1358"/>
      <c r="MOY526" s="1358"/>
      <c r="MOZ526" s="1358"/>
      <c r="MPA526" s="1358"/>
      <c r="MPB526" s="1358"/>
      <c r="MPC526" s="1358"/>
      <c r="MPD526" s="1358"/>
      <c r="MPE526" s="1358"/>
      <c r="MPF526" s="1358"/>
      <c r="MPG526" s="1358"/>
      <c r="MPH526" s="1358"/>
      <c r="MPI526" s="1358"/>
      <c r="MPJ526" s="1358"/>
      <c r="MPK526" s="1358"/>
      <c r="MPL526" s="1358"/>
      <c r="MPM526" s="1358"/>
      <c r="MPN526" s="1358"/>
      <c r="MPO526" s="1358"/>
      <c r="MPP526" s="1358"/>
      <c r="MPQ526" s="1358"/>
      <c r="MPR526" s="1358"/>
      <c r="MPS526" s="1358"/>
      <c r="MPT526" s="1358"/>
      <c r="MPU526" s="1358"/>
      <c r="MPV526" s="1358"/>
      <c r="MPW526" s="1358"/>
      <c r="MPX526" s="1358"/>
      <c r="MPY526" s="1358"/>
      <c r="MPZ526" s="1358"/>
      <c r="MQA526" s="1358"/>
      <c r="MQB526" s="1358"/>
      <c r="MQC526" s="1358"/>
      <c r="MQD526" s="1358"/>
      <c r="MQE526" s="1358"/>
      <c r="MQF526" s="1358"/>
      <c r="MQG526" s="1358"/>
      <c r="MQH526" s="1358"/>
      <c r="MQI526" s="1358"/>
      <c r="MQJ526" s="1358"/>
      <c r="MQK526" s="1358"/>
      <c r="MQL526" s="1358"/>
      <c r="MQM526" s="1358"/>
      <c r="MQN526" s="1358"/>
      <c r="MQO526" s="1358"/>
      <c r="MQP526" s="1358"/>
      <c r="MQQ526" s="1358"/>
      <c r="MQR526" s="1358"/>
      <c r="MQS526" s="1358"/>
      <c r="MQT526" s="1358"/>
      <c r="MQU526" s="1358"/>
      <c r="MQV526" s="1358"/>
      <c r="MQW526" s="1358"/>
      <c r="MQX526" s="1358"/>
      <c r="MQY526" s="1358"/>
      <c r="MQZ526" s="1358"/>
      <c r="MRA526" s="1358"/>
      <c r="MRB526" s="1358"/>
      <c r="MRC526" s="1358"/>
      <c r="MRD526" s="1358"/>
      <c r="MRE526" s="1358"/>
      <c r="MRF526" s="1358"/>
      <c r="MRG526" s="1358"/>
      <c r="MRH526" s="1358"/>
      <c r="MRI526" s="1358"/>
      <c r="MRJ526" s="1358"/>
      <c r="MRK526" s="1358"/>
      <c r="MRL526" s="1358"/>
      <c r="MRM526" s="1358"/>
      <c r="MRN526" s="1358"/>
      <c r="MRO526" s="1358"/>
      <c r="MRP526" s="1358"/>
      <c r="MRQ526" s="1358"/>
      <c r="MRR526" s="1358"/>
      <c r="MRS526" s="1358"/>
      <c r="MRT526" s="1358"/>
      <c r="MRU526" s="1358"/>
      <c r="MRV526" s="1358"/>
      <c r="MRW526" s="1358"/>
      <c r="MRX526" s="1358"/>
      <c r="MRY526" s="1358"/>
      <c r="MRZ526" s="1358"/>
      <c r="MSA526" s="1358"/>
      <c r="MSB526" s="1358"/>
      <c r="MSC526" s="1358"/>
      <c r="MSD526" s="1358"/>
      <c r="MSE526" s="1358"/>
      <c r="MSF526" s="1358"/>
      <c r="MSG526" s="1358"/>
      <c r="MSH526" s="1358"/>
      <c r="MSI526" s="1358"/>
      <c r="MSJ526" s="1358"/>
      <c r="MSK526" s="1358"/>
      <c r="MSL526" s="1358"/>
      <c r="MSM526" s="1358"/>
      <c r="MSN526" s="1358"/>
      <c r="MSO526" s="1358"/>
      <c r="MSP526" s="1358"/>
      <c r="MSQ526" s="1358"/>
      <c r="MSR526" s="1358"/>
      <c r="MSS526" s="1358"/>
      <c r="MST526" s="1358"/>
      <c r="MSU526" s="1358"/>
      <c r="MSV526" s="1358"/>
      <c r="MSW526" s="1358"/>
      <c r="MSX526" s="1358"/>
      <c r="MSY526" s="1358"/>
      <c r="MSZ526" s="1358"/>
      <c r="MTA526" s="1358"/>
      <c r="MTB526" s="1358"/>
      <c r="MTC526" s="1358"/>
      <c r="MTD526" s="1358"/>
      <c r="MTE526" s="1358"/>
      <c r="MTF526" s="1358"/>
      <c r="MTG526" s="1358"/>
      <c r="MTH526" s="1358"/>
      <c r="MTI526" s="1358"/>
      <c r="MTJ526" s="1358"/>
      <c r="MTK526" s="1358"/>
      <c r="MTL526" s="1358"/>
      <c r="MTM526" s="1358"/>
      <c r="MTN526" s="1358"/>
      <c r="MTO526" s="1358"/>
      <c r="MTP526" s="1358"/>
      <c r="MTQ526" s="1358"/>
      <c r="MTR526" s="1358"/>
      <c r="MTS526" s="1358"/>
      <c r="MTT526" s="1358"/>
      <c r="MTU526" s="1358"/>
      <c r="MTV526" s="1358"/>
      <c r="MTW526" s="1358"/>
      <c r="MTX526" s="1358"/>
      <c r="MTY526" s="1358"/>
      <c r="MTZ526" s="1358"/>
      <c r="MUA526" s="1358"/>
      <c r="MUB526" s="1358"/>
      <c r="MUC526" s="1358"/>
      <c r="MUD526" s="1358"/>
      <c r="MUE526" s="1358"/>
      <c r="MUF526" s="1358"/>
      <c r="MUG526" s="1358"/>
      <c r="MUH526" s="1358"/>
      <c r="MUI526" s="1358"/>
      <c r="MUJ526" s="1358"/>
      <c r="MUK526" s="1358"/>
      <c r="MUL526" s="1358"/>
      <c r="MUM526" s="1358"/>
      <c r="MUN526" s="1358"/>
      <c r="MUO526" s="1358"/>
      <c r="MUP526" s="1358"/>
      <c r="MUQ526" s="1358"/>
      <c r="MUR526" s="1358"/>
      <c r="MUS526" s="1358"/>
      <c r="MUT526" s="1358"/>
      <c r="MUU526" s="1358"/>
      <c r="MUV526" s="1358"/>
      <c r="MUW526" s="1358"/>
      <c r="MUX526" s="1358"/>
      <c r="MUY526" s="1358"/>
      <c r="MUZ526" s="1358"/>
      <c r="MVA526" s="1358"/>
      <c r="MVB526" s="1358"/>
      <c r="MVC526" s="1358"/>
      <c r="MVD526" s="1358"/>
      <c r="MVE526" s="1358"/>
      <c r="MVF526" s="1358"/>
      <c r="MVG526" s="1358"/>
      <c r="MVH526" s="1358"/>
      <c r="MVI526" s="1358"/>
      <c r="MVJ526" s="1358"/>
      <c r="MVK526" s="1358"/>
      <c r="MVL526" s="1358"/>
      <c r="MVM526" s="1358"/>
      <c r="MVN526" s="1358"/>
      <c r="MVO526" s="1358"/>
      <c r="MVP526" s="1358"/>
      <c r="MVQ526" s="1358"/>
      <c r="MVR526" s="1358"/>
      <c r="MVS526" s="1358"/>
      <c r="MVT526" s="1358"/>
      <c r="MVU526" s="1358"/>
      <c r="MVV526" s="1358"/>
      <c r="MVW526" s="1358"/>
      <c r="MVX526" s="1358"/>
      <c r="MVY526" s="1358"/>
      <c r="MVZ526" s="1358"/>
      <c r="MWA526" s="1358"/>
      <c r="MWB526" s="1358"/>
      <c r="MWC526" s="1358"/>
      <c r="MWD526" s="1358"/>
      <c r="MWE526" s="1358"/>
      <c r="MWF526" s="1358"/>
      <c r="MWG526" s="1358"/>
      <c r="MWH526" s="1358"/>
      <c r="MWI526" s="1358"/>
      <c r="MWJ526" s="1358"/>
      <c r="MWK526" s="1358"/>
      <c r="MWL526" s="1358"/>
      <c r="MWM526" s="1358"/>
      <c r="MWN526" s="1358"/>
      <c r="MWO526" s="1358"/>
      <c r="MWP526" s="1358"/>
      <c r="MWQ526" s="1358"/>
      <c r="MWR526" s="1358"/>
      <c r="MWS526" s="1358"/>
      <c r="MWT526" s="1358"/>
      <c r="MWU526" s="1358"/>
      <c r="MWV526" s="1358"/>
      <c r="MWW526" s="1358"/>
      <c r="MWX526" s="1358"/>
      <c r="MWY526" s="1358"/>
      <c r="MWZ526" s="1358"/>
      <c r="MXA526" s="1358"/>
      <c r="MXB526" s="1358"/>
      <c r="MXC526" s="1358"/>
      <c r="MXD526" s="1358"/>
      <c r="MXE526" s="1358"/>
      <c r="MXF526" s="1358"/>
      <c r="MXG526" s="1358"/>
      <c r="MXH526" s="1358"/>
      <c r="MXI526" s="1358"/>
      <c r="MXJ526" s="1358"/>
      <c r="MXK526" s="1358"/>
      <c r="MXL526" s="1358"/>
      <c r="MXM526" s="1358"/>
      <c r="MXN526" s="1358"/>
      <c r="MXO526" s="1358"/>
      <c r="MXP526" s="1358"/>
      <c r="MXQ526" s="1358"/>
      <c r="MXR526" s="1358"/>
      <c r="MXS526" s="1358"/>
      <c r="MXT526" s="1358"/>
      <c r="MXU526" s="1358"/>
      <c r="MXV526" s="1358"/>
      <c r="MXW526" s="1358"/>
      <c r="MXX526" s="1358"/>
      <c r="MXY526" s="1358"/>
      <c r="MXZ526" s="1358"/>
      <c r="MYA526" s="1358"/>
      <c r="MYB526" s="1358"/>
      <c r="MYC526" s="1358"/>
      <c r="MYD526" s="1358"/>
      <c r="MYE526" s="1358"/>
      <c r="MYF526" s="1358"/>
      <c r="MYG526" s="1358"/>
      <c r="MYH526" s="1358"/>
      <c r="MYI526" s="1358"/>
      <c r="MYJ526" s="1358"/>
      <c r="MYK526" s="1358"/>
      <c r="MYL526" s="1358"/>
      <c r="MYM526" s="1358"/>
      <c r="MYN526" s="1358"/>
      <c r="MYO526" s="1358"/>
      <c r="MYP526" s="1358"/>
      <c r="MYQ526" s="1358"/>
      <c r="MYR526" s="1358"/>
      <c r="MYS526" s="1358"/>
      <c r="MYT526" s="1358"/>
      <c r="MYU526" s="1358"/>
      <c r="MYV526" s="1358"/>
      <c r="MYW526" s="1358"/>
      <c r="MYX526" s="1358"/>
      <c r="MYY526" s="1358"/>
      <c r="MYZ526" s="1358"/>
      <c r="MZA526" s="1358"/>
      <c r="MZB526" s="1358"/>
      <c r="MZC526" s="1358"/>
      <c r="MZD526" s="1358"/>
      <c r="MZE526" s="1358"/>
      <c r="MZF526" s="1358"/>
      <c r="MZG526" s="1358"/>
      <c r="MZH526" s="1358"/>
      <c r="MZI526" s="1358"/>
      <c r="MZJ526" s="1358"/>
      <c r="MZK526" s="1358"/>
      <c r="MZL526" s="1358"/>
      <c r="MZM526" s="1358"/>
      <c r="MZN526" s="1358"/>
      <c r="MZO526" s="1358"/>
      <c r="MZP526" s="1358"/>
      <c r="MZQ526" s="1358"/>
      <c r="MZR526" s="1358"/>
      <c r="MZS526" s="1358"/>
      <c r="MZT526" s="1358"/>
      <c r="MZU526" s="1358"/>
      <c r="MZV526" s="1358"/>
      <c r="MZW526" s="1358"/>
      <c r="MZX526" s="1358"/>
      <c r="MZY526" s="1358"/>
      <c r="MZZ526" s="1358"/>
      <c r="NAA526" s="1358"/>
      <c r="NAB526" s="1358"/>
      <c r="NAC526" s="1358"/>
      <c r="NAD526" s="1358"/>
      <c r="NAE526" s="1358"/>
      <c r="NAF526" s="1358"/>
      <c r="NAG526" s="1358"/>
      <c r="NAH526" s="1358"/>
      <c r="NAI526" s="1358"/>
      <c r="NAJ526" s="1358"/>
      <c r="NAK526" s="1358"/>
      <c r="NAL526" s="1358"/>
      <c r="NAM526" s="1358"/>
      <c r="NAN526" s="1358"/>
      <c r="NAO526" s="1358"/>
      <c r="NAP526" s="1358"/>
      <c r="NAQ526" s="1358"/>
      <c r="NAR526" s="1358"/>
      <c r="NAS526" s="1358"/>
      <c r="NAT526" s="1358"/>
      <c r="NAU526" s="1358"/>
      <c r="NAV526" s="1358"/>
      <c r="NAW526" s="1358"/>
      <c r="NAX526" s="1358"/>
      <c r="NAY526" s="1358"/>
      <c r="NAZ526" s="1358"/>
      <c r="NBA526" s="1358"/>
      <c r="NBB526" s="1358"/>
      <c r="NBC526" s="1358"/>
      <c r="NBD526" s="1358"/>
      <c r="NBE526" s="1358"/>
      <c r="NBF526" s="1358"/>
      <c r="NBG526" s="1358"/>
      <c r="NBH526" s="1358"/>
      <c r="NBI526" s="1358"/>
      <c r="NBJ526" s="1358"/>
      <c r="NBK526" s="1358"/>
      <c r="NBL526" s="1358"/>
      <c r="NBM526" s="1358"/>
      <c r="NBN526" s="1358"/>
      <c r="NBO526" s="1358"/>
      <c r="NBP526" s="1358"/>
      <c r="NBQ526" s="1358"/>
      <c r="NBR526" s="1358"/>
      <c r="NBS526" s="1358"/>
      <c r="NBT526" s="1358"/>
      <c r="NBU526" s="1358"/>
      <c r="NBV526" s="1358"/>
      <c r="NBW526" s="1358"/>
      <c r="NBX526" s="1358"/>
      <c r="NBY526" s="1358"/>
      <c r="NBZ526" s="1358"/>
      <c r="NCA526" s="1358"/>
      <c r="NCB526" s="1358"/>
      <c r="NCC526" s="1358"/>
      <c r="NCD526" s="1358"/>
      <c r="NCE526" s="1358"/>
      <c r="NCF526" s="1358"/>
      <c r="NCG526" s="1358"/>
      <c r="NCH526" s="1358"/>
      <c r="NCI526" s="1358"/>
      <c r="NCJ526" s="1358"/>
      <c r="NCK526" s="1358"/>
      <c r="NCL526" s="1358"/>
      <c r="NCM526" s="1358"/>
      <c r="NCN526" s="1358"/>
      <c r="NCO526" s="1358"/>
      <c r="NCP526" s="1358"/>
      <c r="NCQ526" s="1358"/>
      <c r="NCR526" s="1358"/>
      <c r="NCS526" s="1358"/>
      <c r="NCT526" s="1358"/>
      <c r="NCU526" s="1358"/>
      <c r="NCV526" s="1358"/>
      <c r="NCW526" s="1358"/>
      <c r="NCX526" s="1358"/>
      <c r="NCY526" s="1358"/>
      <c r="NCZ526" s="1358"/>
      <c r="NDA526" s="1358"/>
      <c r="NDB526" s="1358"/>
      <c r="NDC526" s="1358"/>
      <c r="NDD526" s="1358"/>
      <c r="NDE526" s="1358"/>
      <c r="NDF526" s="1358"/>
      <c r="NDG526" s="1358"/>
      <c r="NDH526" s="1358"/>
      <c r="NDI526" s="1358"/>
      <c r="NDJ526" s="1358"/>
      <c r="NDK526" s="1358"/>
      <c r="NDL526" s="1358"/>
      <c r="NDM526" s="1358"/>
      <c r="NDN526" s="1358"/>
      <c r="NDO526" s="1358"/>
      <c r="NDP526" s="1358"/>
      <c r="NDQ526" s="1358"/>
      <c r="NDR526" s="1358"/>
      <c r="NDS526" s="1358"/>
      <c r="NDT526" s="1358"/>
      <c r="NDU526" s="1358"/>
      <c r="NDV526" s="1358"/>
      <c r="NDW526" s="1358"/>
      <c r="NDX526" s="1358"/>
      <c r="NDY526" s="1358"/>
      <c r="NDZ526" s="1358"/>
      <c r="NEA526" s="1358"/>
      <c r="NEB526" s="1358"/>
      <c r="NEC526" s="1358"/>
      <c r="NED526" s="1358"/>
      <c r="NEE526" s="1358"/>
      <c r="NEF526" s="1358"/>
      <c r="NEG526" s="1358"/>
      <c r="NEH526" s="1358"/>
      <c r="NEI526" s="1358"/>
      <c r="NEJ526" s="1358"/>
      <c r="NEK526" s="1358"/>
      <c r="NEL526" s="1358"/>
      <c r="NEM526" s="1358"/>
      <c r="NEN526" s="1358"/>
      <c r="NEO526" s="1358"/>
      <c r="NEP526" s="1358"/>
      <c r="NEQ526" s="1358"/>
      <c r="NER526" s="1358"/>
      <c r="NES526" s="1358"/>
      <c r="NET526" s="1358"/>
      <c r="NEU526" s="1358"/>
      <c r="NEV526" s="1358"/>
      <c r="NEW526" s="1358"/>
      <c r="NEX526" s="1358"/>
      <c r="NEY526" s="1358"/>
      <c r="NEZ526" s="1358"/>
      <c r="NFA526" s="1358"/>
      <c r="NFB526" s="1358"/>
      <c r="NFC526" s="1358"/>
      <c r="NFD526" s="1358"/>
      <c r="NFE526" s="1358"/>
      <c r="NFF526" s="1358"/>
      <c r="NFG526" s="1358"/>
      <c r="NFH526" s="1358"/>
      <c r="NFI526" s="1358"/>
      <c r="NFJ526" s="1358"/>
      <c r="NFK526" s="1358"/>
      <c r="NFL526" s="1358"/>
      <c r="NFM526" s="1358"/>
      <c r="NFN526" s="1358"/>
      <c r="NFO526" s="1358"/>
      <c r="NFP526" s="1358"/>
      <c r="NFQ526" s="1358"/>
      <c r="NFR526" s="1358"/>
      <c r="NFS526" s="1358"/>
      <c r="NFT526" s="1358"/>
      <c r="NFU526" s="1358"/>
      <c r="NFV526" s="1358"/>
      <c r="NFW526" s="1358"/>
      <c r="NFX526" s="1358"/>
      <c r="NFY526" s="1358"/>
      <c r="NFZ526" s="1358"/>
      <c r="NGA526" s="1358"/>
      <c r="NGB526" s="1358"/>
      <c r="NGC526" s="1358"/>
      <c r="NGD526" s="1358"/>
      <c r="NGE526" s="1358"/>
      <c r="NGF526" s="1358"/>
      <c r="NGG526" s="1358"/>
      <c r="NGH526" s="1358"/>
      <c r="NGI526" s="1358"/>
      <c r="NGJ526" s="1358"/>
      <c r="NGK526" s="1358"/>
      <c r="NGL526" s="1358"/>
      <c r="NGM526" s="1358"/>
      <c r="NGN526" s="1358"/>
      <c r="NGO526" s="1358"/>
      <c r="NGP526" s="1358"/>
      <c r="NGQ526" s="1358"/>
      <c r="NGR526" s="1358"/>
      <c r="NGS526" s="1358"/>
      <c r="NGT526" s="1358"/>
      <c r="NGU526" s="1358"/>
      <c r="NGV526" s="1358"/>
      <c r="NGW526" s="1358"/>
      <c r="NGX526" s="1358"/>
      <c r="NGY526" s="1358"/>
      <c r="NGZ526" s="1358"/>
      <c r="NHA526" s="1358"/>
      <c r="NHB526" s="1358"/>
      <c r="NHC526" s="1358"/>
      <c r="NHD526" s="1358"/>
      <c r="NHE526" s="1358"/>
      <c r="NHF526" s="1358"/>
      <c r="NHG526" s="1358"/>
      <c r="NHH526" s="1358"/>
      <c r="NHI526" s="1358"/>
      <c r="NHJ526" s="1358"/>
      <c r="NHK526" s="1358"/>
      <c r="NHL526" s="1358"/>
      <c r="NHM526" s="1358"/>
      <c r="NHN526" s="1358"/>
      <c r="NHO526" s="1358"/>
      <c r="NHP526" s="1358"/>
      <c r="NHQ526" s="1358"/>
      <c r="NHR526" s="1358"/>
      <c r="NHS526" s="1358"/>
      <c r="NHT526" s="1358"/>
      <c r="NHU526" s="1358"/>
      <c r="NHV526" s="1358"/>
      <c r="NHW526" s="1358"/>
      <c r="NHX526" s="1358"/>
      <c r="NHY526" s="1358"/>
      <c r="NHZ526" s="1358"/>
      <c r="NIA526" s="1358"/>
      <c r="NIB526" s="1358"/>
      <c r="NIC526" s="1358"/>
      <c r="NID526" s="1358"/>
      <c r="NIE526" s="1358"/>
      <c r="NIF526" s="1358"/>
      <c r="NIG526" s="1358"/>
      <c r="NIH526" s="1358"/>
      <c r="NII526" s="1358"/>
      <c r="NIJ526" s="1358"/>
      <c r="NIK526" s="1358"/>
      <c r="NIL526" s="1358"/>
      <c r="NIM526" s="1358"/>
      <c r="NIN526" s="1358"/>
      <c r="NIO526" s="1358"/>
      <c r="NIP526" s="1358"/>
      <c r="NIQ526" s="1358"/>
      <c r="NIR526" s="1358"/>
      <c r="NIS526" s="1358"/>
      <c r="NIT526" s="1358"/>
      <c r="NIU526" s="1358"/>
      <c r="NIV526" s="1358"/>
      <c r="NIW526" s="1358"/>
      <c r="NIX526" s="1358"/>
      <c r="NIY526" s="1358"/>
      <c r="NIZ526" s="1358"/>
      <c r="NJA526" s="1358"/>
      <c r="NJB526" s="1358"/>
      <c r="NJC526" s="1358"/>
      <c r="NJD526" s="1358"/>
      <c r="NJE526" s="1358"/>
      <c r="NJF526" s="1358"/>
      <c r="NJG526" s="1358"/>
      <c r="NJH526" s="1358"/>
      <c r="NJI526" s="1358"/>
      <c r="NJJ526" s="1358"/>
      <c r="NJK526" s="1358"/>
      <c r="NJL526" s="1358"/>
      <c r="NJM526" s="1358"/>
      <c r="NJN526" s="1358"/>
      <c r="NJO526" s="1358"/>
      <c r="NJP526" s="1358"/>
      <c r="NJQ526" s="1358"/>
      <c r="NJR526" s="1358"/>
      <c r="NJS526" s="1358"/>
      <c r="NJT526" s="1358"/>
      <c r="NJU526" s="1358"/>
      <c r="NJV526" s="1358"/>
      <c r="NJW526" s="1358"/>
      <c r="NJX526" s="1358"/>
      <c r="NJY526" s="1358"/>
      <c r="NJZ526" s="1358"/>
      <c r="NKA526" s="1358"/>
      <c r="NKB526" s="1358"/>
      <c r="NKC526" s="1358"/>
      <c r="NKD526" s="1358"/>
      <c r="NKE526" s="1358"/>
      <c r="NKF526" s="1358"/>
      <c r="NKG526" s="1358"/>
      <c r="NKH526" s="1358"/>
      <c r="NKI526" s="1358"/>
      <c r="NKJ526" s="1358"/>
      <c r="NKK526" s="1358"/>
      <c r="NKL526" s="1358"/>
      <c r="NKM526" s="1358"/>
      <c r="NKN526" s="1358"/>
      <c r="NKO526" s="1358"/>
      <c r="NKP526" s="1358"/>
      <c r="NKQ526" s="1358"/>
      <c r="NKR526" s="1358"/>
      <c r="NKS526" s="1358"/>
      <c r="NKT526" s="1358"/>
      <c r="NKU526" s="1358"/>
      <c r="NKV526" s="1358"/>
      <c r="NKW526" s="1358"/>
      <c r="NKX526" s="1358"/>
      <c r="NKY526" s="1358"/>
      <c r="NKZ526" s="1358"/>
      <c r="NLA526" s="1358"/>
      <c r="NLB526" s="1358"/>
      <c r="NLC526" s="1358"/>
      <c r="NLD526" s="1358"/>
      <c r="NLE526" s="1358"/>
      <c r="NLF526" s="1358"/>
      <c r="NLG526" s="1358"/>
      <c r="NLH526" s="1358"/>
      <c r="NLI526" s="1358"/>
      <c r="NLJ526" s="1358"/>
      <c r="NLK526" s="1358"/>
      <c r="NLL526" s="1358"/>
      <c r="NLM526" s="1358"/>
      <c r="NLN526" s="1358"/>
      <c r="NLO526" s="1358"/>
      <c r="NLP526" s="1358"/>
      <c r="NLQ526" s="1358"/>
      <c r="NLR526" s="1358"/>
      <c r="NLS526" s="1358"/>
      <c r="NLT526" s="1358"/>
      <c r="NLU526" s="1358"/>
      <c r="NLV526" s="1358"/>
      <c r="NLW526" s="1358"/>
      <c r="NLX526" s="1358"/>
      <c r="NLY526" s="1358"/>
      <c r="NLZ526" s="1358"/>
      <c r="NMA526" s="1358"/>
      <c r="NMB526" s="1358"/>
      <c r="NMC526" s="1358"/>
      <c r="NMD526" s="1358"/>
      <c r="NME526" s="1358"/>
      <c r="NMF526" s="1358"/>
      <c r="NMG526" s="1358"/>
      <c r="NMH526" s="1358"/>
      <c r="NMI526" s="1358"/>
      <c r="NMJ526" s="1358"/>
      <c r="NMK526" s="1358"/>
      <c r="NML526" s="1358"/>
      <c r="NMM526" s="1358"/>
      <c r="NMN526" s="1358"/>
      <c r="NMO526" s="1358"/>
      <c r="NMP526" s="1358"/>
      <c r="NMQ526" s="1358"/>
      <c r="NMR526" s="1358"/>
      <c r="NMS526" s="1358"/>
      <c r="NMT526" s="1358"/>
      <c r="NMU526" s="1358"/>
      <c r="NMV526" s="1358"/>
      <c r="NMW526" s="1358"/>
      <c r="NMX526" s="1358"/>
      <c r="NMY526" s="1358"/>
      <c r="NMZ526" s="1358"/>
      <c r="NNA526" s="1358"/>
      <c r="NNB526" s="1358"/>
      <c r="NNC526" s="1358"/>
      <c r="NND526" s="1358"/>
      <c r="NNE526" s="1358"/>
      <c r="NNF526" s="1358"/>
      <c r="NNG526" s="1358"/>
      <c r="NNH526" s="1358"/>
      <c r="NNI526" s="1358"/>
      <c r="NNJ526" s="1358"/>
      <c r="NNK526" s="1358"/>
      <c r="NNL526" s="1358"/>
      <c r="NNM526" s="1358"/>
      <c r="NNN526" s="1358"/>
      <c r="NNO526" s="1358"/>
      <c r="NNP526" s="1358"/>
      <c r="NNQ526" s="1358"/>
      <c r="NNR526" s="1358"/>
      <c r="NNS526" s="1358"/>
      <c r="NNT526" s="1358"/>
      <c r="NNU526" s="1358"/>
      <c r="NNV526" s="1358"/>
      <c r="NNW526" s="1358"/>
      <c r="NNX526" s="1358"/>
      <c r="NNY526" s="1358"/>
      <c r="NNZ526" s="1358"/>
      <c r="NOA526" s="1358"/>
      <c r="NOB526" s="1358"/>
      <c r="NOC526" s="1358"/>
      <c r="NOD526" s="1358"/>
      <c r="NOE526" s="1358"/>
      <c r="NOF526" s="1358"/>
      <c r="NOG526" s="1358"/>
      <c r="NOH526" s="1358"/>
      <c r="NOI526" s="1358"/>
      <c r="NOJ526" s="1358"/>
      <c r="NOK526" s="1358"/>
      <c r="NOL526" s="1358"/>
      <c r="NOM526" s="1358"/>
      <c r="NON526" s="1358"/>
      <c r="NOO526" s="1358"/>
      <c r="NOP526" s="1358"/>
      <c r="NOQ526" s="1358"/>
      <c r="NOR526" s="1358"/>
      <c r="NOS526" s="1358"/>
      <c r="NOT526" s="1358"/>
      <c r="NOU526" s="1358"/>
      <c r="NOV526" s="1358"/>
      <c r="NOW526" s="1358"/>
      <c r="NOX526" s="1358"/>
      <c r="NOY526" s="1358"/>
      <c r="NOZ526" s="1358"/>
      <c r="NPA526" s="1358"/>
      <c r="NPB526" s="1358"/>
      <c r="NPC526" s="1358"/>
      <c r="NPD526" s="1358"/>
      <c r="NPE526" s="1358"/>
      <c r="NPF526" s="1358"/>
      <c r="NPG526" s="1358"/>
      <c r="NPH526" s="1358"/>
      <c r="NPI526" s="1358"/>
      <c r="NPJ526" s="1358"/>
      <c r="NPK526" s="1358"/>
      <c r="NPL526" s="1358"/>
      <c r="NPM526" s="1358"/>
      <c r="NPN526" s="1358"/>
      <c r="NPO526" s="1358"/>
      <c r="NPP526" s="1358"/>
      <c r="NPQ526" s="1358"/>
      <c r="NPR526" s="1358"/>
      <c r="NPS526" s="1358"/>
      <c r="NPT526" s="1358"/>
      <c r="NPU526" s="1358"/>
      <c r="NPV526" s="1358"/>
      <c r="NPW526" s="1358"/>
      <c r="NPX526" s="1358"/>
      <c r="NPY526" s="1358"/>
      <c r="NPZ526" s="1358"/>
      <c r="NQA526" s="1358"/>
      <c r="NQB526" s="1358"/>
      <c r="NQC526" s="1358"/>
      <c r="NQD526" s="1358"/>
      <c r="NQE526" s="1358"/>
      <c r="NQF526" s="1358"/>
      <c r="NQG526" s="1358"/>
      <c r="NQH526" s="1358"/>
      <c r="NQI526" s="1358"/>
      <c r="NQJ526" s="1358"/>
      <c r="NQK526" s="1358"/>
      <c r="NQL526" s="1358"/>
      <c r="NQM526" s="1358"/>
      <c r="NQN526" s="1358"/>
      <c r="NQO526" s="1358"/>
      <c r="NQP526" s="1358"/>
      <c r="NQQ526" s="1358"/>
      <c r="NQR526" s="1358"/>
      <c r="NQS526" s="1358"/>
      <c r="NQT526" s="1358"/>
      <c r="NQU526" s="1358"/>
      <c r="NQV526" s="1358"/>
      <c r="NQW526" s="1358"/>
      <c r="NQX526" s="1358"/>
      <c r="NQY526" s="1358"/>
      <c r="NQZ526" s="1358"/>
      <c r="NRA526" s="1358"/>
      <c r="NRB526" s="1358"/>
      <c r="NRC526" s="1358"/>
      <c r="NRD526" s="1358"/>
      <c r="NRE526" s="1358"/>
      <c r="NRF526" s="1358"/>
      <c r="NRG526" s="1358"/>
      <c r="NRH526" s="1358"/>
      <c r="NRI526" s="1358"/>
      <c r="NRJ526" s="1358"/>
      <c r="NRK526" s="1358"/>
      <c r="NRL526" s="1358"/>
      <c r="NRM526" s="1358"/>
      <c r="NRN526" s="1358"/>
      <c r="NRO526" s="1358"/>
      <c r="NRP526" s="1358"/>
      <c r="NRQ526" s="1358"/>
      <c r="NRR526" s="1358"/>
      <c r="NRS526" s="1358"/>
      <c r="NRT526" s="1358"/>
      <c r="NRU526" s="1358"/>
      <c r="NRV526" s="1358"/>
      <c r="NRW526" s="1358"/>
      <c r="NRX526" s="1358"/>
      <c r="NRY526" s="1358"/>
      <c r="NRZ526" s="1358"/>
      <c r="NSA526" s="1358"/>
      <c r="NSB526" s="1358"/>
      <c r="NSC526" s="1358"/>
      <c r="NSD526" s="1358"/>
      <c r="NSE526" s="1358"/>
      <c r="NSF526" s="1358"/>
      <c r="NSG526" s="1358"/>
      <c r="NSH526" s="1358"/>
      <c r="NSI526" s="1358"/>
      <c r="NSJ526" s="1358"/>
      <c r="NSK526" s="1358"/>
      <c r="NSL526" s="1358"/>
      <c r="NSM526" s="1358"/>
      <c r="NSN526" s="1358"/>
      <c r="NSO526" s="1358"/>
      <c r="NSP526" s="1358"/>
      <c r="NSQ526" s="1358"/>
      <c r="NSR526" s="1358"/>
      <c r="NSS526" s="1358"/>
      <c r="NST526" s="1358"/>
      <c r="NSU526" s="1358"/>
      <c r="NSV526" s="1358"/>
      <c r="NSW526" s="1358"/>
      <c r="NSX526" s="1358"/>
      <c r="NSY526" s="1358"/>
      <c r="NSZ526" s="1358"/>
      <c r="NTA526" s="1358"/>
      <c r="NTB526" s="1358"/>
      <c r="NTC526" s="1358"/>
      <c r="NTD526" s="1358"/>
      <c r="NTE526" s="1358"/>
      <c r="NTF526" s="1358"/>
      <c r="NTG526" s="1358"/>
      <c r="NTH526" s="1358"/>
      <c r="NTI526" s="1358"/>
      <c r="NTJ526" s="1358"/>
      <c r="NTK526" s="1358"/>
      <c r="NTL526" s="1358"/>
      <c r="NTM526" s="1358"/>
      <c r="NTN526" s="1358"/>
      <c r="NTO526" s="1358"/>
      <c r="NTP526" s="1358"/>
      <c r="NTQ526" s="1358"/>
      <c r="NTR526" s="1358"/>
      <c r="NTS526" s="1358"/>
      <c r="NTT526" s="1358"/>
      <c r="NTU526" s="1358"/>
      <c r="NTV526" s="1358"/>
      <c r="NTW526" s="1358"/>
      <c r="NTX526" s="1358"/>
      <c r="NTY526" s="1358"/>
      <c r="NTZ526" s="1358"/>
      <c r="NUA526" s="1358"/>
      <c r="NUB526" s="1358"/>
      <c r="NUC526" s="1358"/>
      <c r="NUD526" s="1358"/>
      <c r="NUE526" s="1358"/>
      <c r="NUF526" s="1358"/>
      <c r="NUG526" s="1358"/>
      <c r="NUH526" s="1358"/>
      <c r="NUI526" s="1358"/>
      <c r="NUJ526" s="1358"/>
      <c r="NUK526" s="1358"/>
      <c r="NUL526" s="1358"/>
      <c r="NUM526" s="1358"/>
      <c r="NUN526" s="1358"/>
      <c r="NUO526" s="1358"/>
      <c r="NUP526" s="1358"/>
      <c r="NUQ526" s="1358"/>
      <c r="NUR526" s="1358"/>
      <c r="NUS526" s="1358"/>
      <c r="NUT526" s="1358"/>
      <c r="NUU526" s="1358"/>
      <c r="NUV526" s="1358"/>
      <c r="NUW526" s="1358"/>
      <c r="NUX526" s="1358"/>
      <c r="NUY526" s="1358"/>
      <c r="NUZ526" s="1358"/>
      <c r="NVA526" s="1358"/>
      <c r="NVB526" s="1358"/>
      <c r="NVC526" s="1358"/>
      <c r="NVD526" s="1358"/>
      <c r="NVE526" s="1358"/>
      <c r="NVF526" s="1358"/>
      <c r="NVG526" s="1358"/>
      <c r="NVH526" s="1358"/>
      <c r="NVI526" s="1358"/>
      <c r="NVJ526" s="1358"/>
      <c r="NVK526" s="1358"/>
      <c r="NVL526" s="1358"/>
      <c r="NVM526" s="1358"/>
      <c r="NVN526" s="1358"/>
      <c r="NVO526" s="1358"/>
      <c r="NVP526" s="1358"/>
      <c r="NVQ526" s="1358"/>
      <c r="NVR526" s="1358"/>
      <c r="NVS526" s="1358"/>
      <c r="NVT526" s="1358"/>
      <c r="NVU526" s="1358"/>
      <c r="NVV526" s="1358"/>
      <c r="NVW526" s="1358"/>
      <c r="NVX526" s="1358"/>
      <c r="NVY526" s="1358"/>
      <c r="NVZ526" s="1358"/>
      <c r="NWA526" s="1358"/>
      <c r="NWB526" s="1358"/>
      <c r="NWC526" s="1358"/>
      <c r="NWD526" s="1358"/>
      <c r="NWE526" s="1358"/>
      <c r="NWF526" s="1358"/>
      <c r="NWG526" s="1358"/>
      <c r="NWH526" s="1358"/>
      <c r="NWI526" s="1358"/>
      <c r="NWJ526" s="1358"/>
      <c r="NWK526" s="1358"/>
      <c r="NWL526" s="1358"/>
      <c r="NWM526" s="1358"/>
      <c r="NWN526" s="1358"/>
      <c r="NWO526" s="1358"/>
      <c r="NWP526" s="1358"/>
      <c r="NWQ526" s="1358"/>
      <c r="NWR526" s="1358"/>
      <c r="NWS526" s="1358"/>
      <c r="NWT526" s="1358"/>
      <c r="NWU526" s="1358"/>
      <c r="NWV526" s="1358"/>
      <c r="NWW526" s="1358"/>
      <c r="NWX526" s="1358"/>
      <c r="NWY526" s="1358"/>
      <c r="NWZ526" s="1358"/>
      <c r="NXA526" s="1358"/>
      <c r="NXB526" s="1358"/>
      <c r="NXC526" s="1358"/>
      <c r="NXD526" s="1358"/>
      <c r="NXE526" s="1358"/>
      <c r="NXF526" s="1358"/>
      <c r="NXG526" s="1358"/>
      <c r="NXH526" s="1358"/>
      <c r="NXI526" s="1358"/>
      <c r="NXJ526" s="1358"/>
      <c r="NXK526" s="1358"/>
      <c r="NXL526" s="1358"/>
      <c r="NXM526" s="1358"/>
      <c r="NXN526" s="1358"/>
      <c r="NXO526" s="1358"/>
      <c r="NXP526" s="1358"/>
      <c r="NXQ526" s="1358"/>
      <c r="NXR526" s="1358"/>
      <c r="NXS526" s="1358"/>
      <c r="NXT526" s="1358"/>
      <c r="NXU526" s="1358"/>
      <c r="NXV526" s="1358"/>
      <c r="NXW526" s="1358"/>
      <c r="NXX526" s="1358"/>
      <c r="NXY526" s="1358"/>
      <c r="NXZ526" s="1358"/>
      <c r="NYA526" s="1358"/>
      <c r="NYB526" s="1358"/>
      <c r="NYC526" s="1358"/>
      <c r="NYD526" s="1358"/>
      <c r="NYE526" s="1358"/>
      <c r="NYF526" s="1358"/>
      <c r="NYG526" s="1358"/>
      <c r="NYH526" s="1358"/>
      <c r="NYI526" s="1358"/>
      <c r="NYJ526" s="1358"/>
      <c r="NYK526" s="1358"/>
      <c r="NYL526" s="1358"/>
      <c r="NYM526" s="1358"/>
      <c r="NYN526" s="1358"/>
      <c r="NYO526" s="1358"/>
      <c r="NYP526" s="1358"/>
      <c r="NYQ526" s="1358"/>
      <c r="NYR526" s="1358"/>
      <c r="NYS526" s="1358"/>
      <c r="NYT526" s="1358"/>
      <c r="NYU526" s="1358"/>
      <c r="NYV526" s="1358"/>
      <c r="NYW526" s="1358"/>
      <c r="NYX526" s="1358"/>
      <c r="NYY526" s="1358"/>
      <c r="NYZ526" s="1358"/>
      <c r="NZA526" s="1358"/>
      <c r="NZB526" s="1358"/>
      <c r="NZC526" s="1358"/>
      <c r="NZD526" s="1358"/>
      <c r="NZE526" s="1358"/>
      <c r="NZF526" s="1358"/>
      <c r="NZG526" s="1358"/>
      <c r="NZH526" s="1358"/>
      <c r="NZI526" s="1358"/>
      <c r="NZJ526" s="1358"/>
      <c r="NZK526" s="1358"/>
      <c r="NZL526" s="1358"/>
      <c r="NZM526" s="1358"/>
      <c r="NZN526" s="1358"/>
      <c r="NZO526" s="1358"/>
      <c r="NZP526" s="1358"/>
      <c r="NZQ526" s="1358"/>
      <c r="NZR526" s="1358"/>
      <c r="NZS526" s="1358"/>
      <c r="NZT526" s="1358"/>
      <c r="NZU526" s="1358"/>
      <c r="NZV526" s="1358"/>
      <c r="NZW526" s="1358"/>
      <c r="NZX526" s="1358"/>
      <c r="NZY526" s="1358"/>
      <c r="NZZ526" s="1358"/>
      <c r="OAA526" s="1358"/>
      <c r="OAB526" s="1358"/>
      <c r="OAC526" s="1358"/>
      <c r="OAD526" s="1358"/>
      <c r="OAE526" s="1358"/>
      <c r="OAF526" s="1358"/>
      <c r="OAG526" s="1358"/>
      <c r="OAH526" s="1358"/>
      <c r="OAI526" s="1358"/>
      <c r="OAJ526" s="1358"/>
      <c r="OAK526" s="1358"/>
      <c r="OAL526" s="1358"/>
      <c r="OAM526" s="1358"/>
      <c r="OAN526" s="1358"/>
      <c r="OAO526" s="1358"/>
      <c r="OAP526" s="1358"/>
      <c r="OAQ526" s="1358"/>
      <c r="OAR526" s="1358"/>
      <c r="OAS526" s="1358"/>
      <c r="OAT526" s="1358"/>
      <c r="OAU526" s="1358"/>
      <c r="OAV526" s="1358"/>
      <c r="OAW526" s="1358"/>
      <c r="OAX526" s="1358"/>
      <c r="OAY526" s="1358"/>
      <c r="OAZ526" s="1358"/>
      <c r="OBA526" s="1358"/>
      <c r="OBB526" s="1358"/>
      <c r="OBC526" s="1358"/>
      <c r="OBD526" s="1358"/>
      <c r="OBE526" s="1358"/>
      <c r="OBF526" s="1358"/>
      <c r="OBG526" s="1358"/>
      <c r="OBH526" s="1358"/>
      <c r="OBI526" s="1358"/>
      <c r="OBJ526" s="1358"/>
      <c r="OBK526" s="1358"/>
      <c r="OBL526" s="1358"/>
      <c r="OBM526" s="1358"/>
      <c r="OBN526" s="1358"/>
      <c r="OBO526" s="1358"/>
      <c r="OBP526" s="1358"/>
      <c r="OBQ526" s="1358"/>
      <c r="OBR526" s="1358"/>
      <c r="OBS526" s="1358"/>
      <c r="OBT526" s="1358"/>
      <c r="OBU526" s="1358"/>
      <c r="OBV526" s="1358"/>
      <c r="OBW526" s="1358"/>
      <c r="OBX526" s="1358"/>
      <c r="OBY526" s="1358"/>
      <c r="OBZ526" s="1358"/>
      <c r="OCA526" s="1358"/>
      <c r="OCB526" s="1358"/>
      <c r="OCC526" s="1358"/>
      <c r="OCD526" s="1358"/>
      <c r="OCE526" s="1358"/>
      <c r="OCF526" s="1358"/>
      <c r="OCG526" s="1358"/>
      <c r="OCH526" s="1358"/>
      <c r="OCI526" s="1358"/>
      <c r="OCJ526" s="1358"/>
      <c r="OCK526" s="1358"/>
      <c r="OCL526" s="1358"/>
      <c r="OCM526" s="1358"/>
      <c r="OCN526" s="1358"/>
      <c r="OCO526" s="1358"/>
      <c r="OCP526" s="1358"/>
      <c r="OCQ526" s="1358"/>
      <c r="OCR526" s="1358"/>
      <c r="OCS526" s="1358"/>
      <c r="OCT526" s="1358"/>
      <c r="OCU526" s="1358"/>
      <c r="OCV526" s="1358"/>
      <c r="OCW526" s="1358"/>
      <c r="OCX526" s="1358"/>
      <c r="OCY526" s="1358"/>
      <c r="OCZ526" s="1358"/>
      <c r="ODA526" s="1358"/>
      <c r="ODB526" s="1358"/>
      <c r="ODC526" s="1358"/>
      <c r="ODD526" s="1358"/>
      <c r="ODE526" s="1358"/>
      <c r="ODF526" s="1358"/>
      <c r="ODG526" s="1358"/>
      <c r="ODH526" s="1358"/>
      <c r="ODI526" s="1358"/>
      <c r="ODJ526" s="1358"/>
      <c r="ODK526" s="1358"/>
      <c r="ODL526" s="1358"/>
      <c r="ODM526" s="1358"/>
      <c r="ODN526" s="1358"/>
      <c r="ODO526" s="1358"/>
      <c r="ODP526" s="1358"/>
      <c r="ODQ526" s="1358"/>
      <c r="ODR526" s="1358"/>
      <c r="ODS526" s="1358"/>
      <c r="ODT526" s="1358"/>
      <c r="ODU526" s="1358"/>
      <c r="ODV526" s="1358"/>
      <c r="ODW526" s="1358"/>
      <c r="ODX526" s="1358"/>
      <c r="ODY526" s="1358"/>
      <c r="ODZ526" s="1358"/>
      <c r="OEA526" s="1358"/>
      <c r="OEB526" s="1358"/>
      <c r="OEC526" s="1358"/>
      <c r="OED526" s="1358"/>
      <c r="OEE526" s="1358"/>
      <c r="OEF526" s="1358"/>
      <c r="OEG526" s="1358"/>
      <c r="OEH526" s="1358"/>
      <c r="OEI526" s="1358"/>
      <c r="OEJ526" s="1358"/>
      <c r="OEK526" s="1358"/>
      <c r="OEL526" s="1358"/>
      <c r="OEM526" s="1358"/>
      <c r="OEN526" s="1358"/>
      <c r="OEO526" s="1358"/>
      <c r="OEP526" s="1358"/>
      <c r="OEQ526" s="1358"/>
      <c r="OER526" s="1358"/>
      <c r="OES526" s="1358"/>
      <c r="OET526" s="1358"/>
      <c r="OEU526" s="1358"/>
      <c r="OEV526" s="1358"/>
      <c r="OEW526" s="1358"/>
      <c r="OEX526" s="1358"/>
      <c r="OEY526" s="1358"/>
      <c r="OEZ526" s="1358"/>
      <c r="OFA526" s="1358"/>
      <c r="OFB526" s="1358"/>
      <c r="OFC526" s="1358"/>
      <c r="OFD526" s="1358"/>
      <c r="OFE526" s="1358"/>
      <c r="OFF526" s="1358"/>
      <c r="OFG526" s="1358"/>
      <c r="OFH526" s="1358"/>
      <c r="OFI526" s="1358"/>
      <c r="OFJ526" s="1358"/>
      <c r="OFK526" s="1358"/>
      <c r="OFL526" s="1358"/>
      <c r="OFM526" s="1358"/>
      <c r="OFN526" s="1358"/>
      <c r="OFO526" s="1358"/>
      <c r="OFP526" s="1358"/>
      <c r="OFQ526" s="1358"/>
      <c r="OFR526" s="1358"/>
      <c r="OFS526" s="1358"/>
      <c r="OFT526" s="1358"/>
      <c r="OFU526" s="1358"/>
      <c r="OFV526" s="1358"/>
      <c r="OFW526" s="1358"/>
      <c r="OFX526" s="1358"/>
      <c r="OFY526" s="1358"/>
      <c r="OFZ526" s="1358"/>
      <c r="OGA526" s="1358"/>
      <c r="OGB526" s="1358"/>
      <c r="OGC526" s="1358"/>
      <c r="OGD526" s="1358"/>
      <c r="OGE526" s="1358"/>
      <c r="OGF526" s="1358"/>
      <c r="OGG526" s="1358"/>
      <c r="OGH526" s="1358"/>
      <c r="OGI526" s="1358"/>
      <c r="OGJ526" s="1358"/>
      <c r="OGK526" s="1358"/>
      <c r="OGL526" s="1358"/>
      <c r="OGM526" s="1358"/>
      <c r="OGN526" s="1358"/>
      <c r="OGO526" s="1358"/>
      <c r="OGP526" s="1358"/>
      <c r="OGQ526" s="1358"/>
      <c r="OGR526" s="1358"/>
      <c r="OGS526" s="1358"/>
      <c r="OGT526" s="1358"/>
      <c r="OGU526" s="1358"/>
      <c r="OGV526" s="1358"/>
      <c r="OGW526" s="1358"/>
      <c r="OGX526" s="1358"/>
      <c r="OGY526" s="1358"/>
      <c r="OGZ526" s="1358"/>
      <c r="OHA526" s="1358"/>
      <c r="OHB526" s="1358"/>
      <c r="OHC526" s="1358"/>
      <c r="OHD526" s="1358"/>
      <c r="OHE526" s="1358"/>
      <c r="OHF526" s="1358"/>
      <c r="OHG526" s="1358"/>
      <c r="OHH526" s="1358"/>
      <c r="OHI526" s="1358"/>
      <c r="OHJ526" s="1358"/>
      <c r="OHK526" s="1358"/>
      <c r="OHL526" s="1358"/>
      <c r="OHM526" s="1358"/>
      <c r="OHN526" s="1358"/>
      <c r="OHO526" s="1358"/>
      <c r="OHP526" s="1358"/>
      <c r="OHQ526" s="1358"/>
      <c r="OHR526" s="1358"/>
      <c r="OHS526" s="1358"/>
      <c r="OHT526" s="1358"/>
      <c r="OHU526" s="1358"/>
      <c r="OHV526" s="1358"/>
      <c r="OHW526" s="1358"/>
      <c r="OHX526" s="1358"/>
      <c r="OHY526" s="1358"/>
      <c r="OHZ526" s="1358"/>
      <c r="OIA526" s="1358"/>
      <c r="OIB526" s="1358"/>
      <c r="OIC526" s="1358"/>
      <c r="OID526" s="1358"/>
      <c r="OIE526" s="1358"/>
      <c r="OIF526" s="1358"/>
      <c r="OIG526" s="1358"/>
      <c r="OIH526" s="1358"/>
      <c r="OII526" s="1358"/>
      <c r="OIJ526" s="1358"/>
      <c r="OIK526" s="1358"/>
      <c r="OIL526" s="1358"/>
      <c r="OIM526" s="1358"/>
      <c r="OIN526" s="1358"/>
      <c r="OIO526" s="1358"/>
      <c r="OIP526" s="1358"/>
      <c r="OIQ526" s="1358"/>
      <c r="OIR526" s="1358"/>
      <c r="OIS526" s="1358"/>
      <c r="OIT526" s="1358"/>
      <c r="OIU526" s="1358"/>
      <c r="OIV526" s="1358"/>
      <c r="OIW526" s="1358"/>
      <c r="OIX526" s="1358"/>
      <c r="OIY526" s="1358"/>
      <c r="OIZ526" s="1358"/>
      <c r="OJA526" s="1358"/>
      <c r="OJB526" s="1358"/>
      <c r="OJC526" s="1358"/>
      <c r="OJD526" s="1358"/>
      <c r="OJE526" s="1358"/>
      <c r="OJF526" s="1358"/>
      <c r="OJG526" s="1358"/>
      <c r="OJH526" s="1358"/>
      <c r="OJI526" s="1358"/>
      <c r="OJJ526" s="1358"/>
      <c r="OJK526" s="1358"/>
      <c r="OJL526" s="1358"/>
      <c r="OJM526" s="1358"/>
      <c r="OJN526" s="1358"/>
      <c r="OJO526" s="1358"/>
      <c r="OJP526" s="1358"/>
      <c r="OJQ526" s="1358"/>
      <c r="OJR526" s="1358"/>
      <c r="OJS526" s="1358"/>
      <c r="OJT526" s="1358"/>
      <c r="OJU526" s="1358"/>
      <c r="OJV526" s="1358"/>
      <c r="OJW526" s="1358"/>
      <c r="OJX526" s="1358"/>
      <c r="OJY526" s="1358"/>
      <c r="OJZ526" s="1358"/>
      <c r="OKA526" s="1358"/>
      <c r="OKB526" s="1358"/>
      <c r="OKC526" s="1358"/>
      <c r="OKD526" s="1358"/>
      <c r="OKE526" s="1358"/>
      <c r="OKF526" s="1358"/>
      <c r="OKG526" s="1358"/>
      <c r="OKH526" s="1358"/>
      <c r="OKI526" s="1358"/>
      <c r="OKJ526" s="1358"/>
      <c r="OKK526" s="1358"/>
      <c r="OKL526" s="1358"/>
      <c r="OKM526" s="1358"/>
      <c r="OKN526" s="1358"/>
      <c r="OKO526" s="1358"/>
      <c r="OKP526" s="1358"/>
      <c r="OKQ526" s="1358"/>
      <c r="OKR526" s="1358"/>
      <c r="OKS526" s="1358"/>
      <c r="OKT526" s="1358"/>
      <c r="OKU526" s="1358"/>
      <c r="OKV526" s="1358"/>
      <c r="OKW526" s="1358"/>
      <c r="OKX526" s="1358"/>
      <c r="OKY526" s="1358"/>
      <c r="OKZ526" s="1358"/>
      <c r="OLA526" s="1358"/>
      <c r="OLB526" s="1358"/>
      <c r="OLC526" s="1358"/>
      <c r="OLD526" s="1358"/>
      <c r="OLE526" s="1358"/>
      <c r="OLF526" s="1358"/>
      <c r="OLG526" s="1358"/>
      <c r="OLH526" s="1358"/>
      <c r="OLI526" s="1358"/>
      <c r="OLJ526" s="1358"/>
      <c r="OLK526" s="1358"/>
      <c r="OLL526" s="1358"/>
      <c r="OLM526" s="1358"/>
      <c r="OLN526" s="1358"/>
      <c r="OLO526" s="1358"/>
      <c r="OLP526" s="1358"/>
      <c r="OLQ526" s="1358"/>
      <c r="OLR526" s="1358"/>
      <c r="OLS526" s="1358"/>
      <c r="OLT526" s="1358"/>
      <c r="OLU526" s="1358"/>
      <c r="OLV526" s="1358"/>
      <c r="OLW526" s="1358"/>
      <c r="OLX526" s="1358"/>
      <c r="OLY526" s="1358"/>
      <c r="OLZ526" s="1358"/>
      <c r="OMA526" s="1358"/>
      <c r="OMB526" s="1358"/>
      <c r="OMC526" s="1358"/>
      <c r="OMD526" s="1358"/>
      <c r="OME526" s="1358"/>
      <c r="OMF526" s="1358"/>
      <c r="OMG526" s="1358"/>
      <c r="OMH526" s="1358"/>
      <c r="OMI526" s="1358"/>
      <c r="OMJ526" s="1358"/>
      <c r="OMK526" s="1358"/>
      <c r="OML526" s="1358"/>
      <c r="OMM526" s="1358"/>
      <c r="OMN526" s="1358"/>
      <c r="OMO526" s="1358"/>
      <c r="OMP526" s="1358"/>
      <c r="OMQ526" s="1358"/>
      <c r="OMR526" s="1358"/>
      <c r="OMS526" s="1358"/>
      <c r="OMT526" s="1358"/>
      <c r="OMU526" s="1358"/>
      <c r="OMV526" s="1358"/>
      <c r="OMW526" s="1358"/>
      <c r="OMX526" s="1358"/>
      <c r="OMY526" s="1358"/>
      <c r="OMZ526" s="1358"/>
      <c r="ONA526" s="1358"/>
      <c r="ONB526" s="1358"/>
      <c r="ONC526" s="1358"/>
      <c r="OND526" s="1358"/>
      <c r="ONE526" s="1358"/>
      <c r="ONF526" s="1358"/>
      <c r="ONG526" s="1358"/>
      <c r="ONH526" s="1358"/>
      <c r="ONI526" s="1358"/>
      <c r="ONJ526" s="1358"/>
      <c r="ONK526" s="1358"/>
      <c r="ONL526" s="1358"/>
      <c r="ONM526" s="1358"/>
      <c r="ONN526" s="1358"/>
      <c r="ONO526" s="1358"/>
      <c r="ONP526" s="1358"/>
      <c r="ONQ526" s="1358"/>
      <c r="ONR526" s="1358"/>
      <c r="ONS526" s="1358"/>
      <c r="ONT526" s="1358"/>
      <c r="ONU526" s="1358"/>
      <c r="ONV526" s="1358"/>
      <c r="ONW526" s="1358"/>
      <c r="ONX526" s="1358"/>
      <c r="ONY526" s="1358"/>
      <c r="ONZ526" s="1358"/>
      <c r="OOA526" s="1358"/>
      <c r="OOB526" s="1358"/>
      <c r="OOC526" s="1358"/>
      <c r="OOD526" s="1358"/>
      <c r="OOE526" s="1358"/>
      <c r="OOF526" s="1358"/>
      <c r="OOG526" s="1358"/>
      <c r="OOH526" s="1358"/>
      <c r="OOI526" s="1358"/>
      <c r="OOJ526" s="1358"/>
      <c r="OOK526" s="1358"/>
      <c r="OOL526" s="1358"/>
      <c r="OOM526" s="1358"/>
      <c r="OON526" s="1358"/>
      <c r="OOO526" s="1358"/>
      <c r="OOP526" s="1358"/>
      <c r="OOQ526" s="1358"/>
      <c r="OOR526" s="1358"/>
      <c r="OOS526" s="1358"/>
      <c r="OOT526" s="1358"/>
      <c r="OOU526" s="1358"/>
      <c r="OOV526" s="1358"/>
      <c r="OOW526" s="1358"/>
      <c r="OOX526" s="1358"/>
      <c r="OOY526" s="1358"/>
      <c r="OOZ526" s="1358"/>
      <c r="OPA526" s="1358"/>
      <c r="OPB526" s="1358"/>
      <c r="OPC526" s="1358"/>
      <c r="OPD526" s="1358"/>
      <c r="OPE526" s="1358"/>
      <c r="OPF526" s="1358"/>
      <c r="OPG526" s="1358"/>
      <c r="OPH526" s="1358"/>
      <c r="OPI526" s="1358"/>
      <c r="OPJ526" s="1358"/>
      <c r="OPK526" s="1358"/>
      <c r="OPL526" s="1358"/>
      <c r="OPM526" s="1358"/>
      <c r="OPN526" s="1358"/>
      <c r="OPO526" s="1358"/>
      <c r="OPP526" s="1358"/>
      <c r="OPQ526" s="1358"/>
      <c r="OPR526" s="1358"/>
      <c r="OPS526" s="1358"/>
      <c r="OPT526" s="1358"/>
      <c r="OPU526" s="1358"/>
      <c r="OPV526" s="1358"/>
      <c r="OPW526" s="1358"/>
      <c r="OPX526" s="1358"/>
      <c r="OPY526" s="1358"/>
      <c r="OPZ526" s="1358"/>
      <c r="OQA526" s="1358"/>
      <c r="OQB526" s="1358"/>
      <c r="OQC526" s="1358"/>
      <c r="OQD526" s="1358"/>
      <c r="OQE526" s="1358"/>
      <c r="OQF526" s="1358"/>
      <c r="OQG526" s="1358"/>
      <c r="OQH526" s="1358"/>
      <c r="OQI526" s="1358"/>
      <c r="OQJ526" s="1358"/>
      <c r="OQK526" s="1358"/>
      <c r="OQL526" s="1358"/>
      <c r="OQM526" s="1358"/>
      <c r="OQN526" s="1358"/>
      <c r="OQO526" s="1358"/>
      <c r="OQP526" s="1358"/>
      <c r="OQQ526" s="1358"/>
      <c r="OQR526" s="1358"/>
      <c r="OQS526" s="1358"/>
      <c r="OQT526" s="1358"/>
      <c r="OQU526" s="1358"/>
      <c r="OQV526" s="1358"/>
      <c r="OQW526" s="1358"/>
      <c r="OQX526" s="1358"/>
      <c r="OQY526" s="1358"/>
      <c r="OQZ526" s="1358"/>
      <c r="ORA526" s="1358"/>
      <c r="ORB526" s="1358"/>
      <c r="ORC526" s="1358"/>
      <c r="ORD526" s="1358"/>
      <c r="ORE526" s="1358"/>
      <c r="ORF526" s="1358"/>
      <c r="ORG526" s="1358"/>
      <c r="ORH526" s="1358"/>
      <c r="ORI526" s="1358"/>
      <c r="ORJ526" s="1358"/>
      <c r="ORK526" s="1358"/>
      <c r="ORL526" s="1358"/>
      <c r="ORM526" s="1358"/>
      <c r="ORN526" s="1358"/>
      <c r="ORO526" s="1358"/>
      <c r="ORP526" s="1358"/>
      <c r="ORQ526" s="1358"/>
      <c r="ORR526" s="1358"/>
      <c r="ORS526" s="1358"/>
      <c r="ORT526" s="1358"/>
      <c r="ORU526" s="1358"/>
      <c r="ORV526" s="1358"/>
      <c r="ORW526" s="1358"/>
      <c r="ORX526" s="1358"/>
      <c r="ORY526" s="1358"/>
      <c r="ORZ526" s="1358"/>
      <c r="OSA526" s="1358"/>
      <c r="OSB526" s="1358"/>
      <c r="OSC526" s="1358"/>
      <c r="OSD526" s="1358"/>
      <c r="OSE526" s="1358"/>
      <c r="OSF526" s="1358"/>
      <c r="OSG526" s="1358"/>
      <c r="OSH526" s="1358"/>
      <c r="OSI526" s="1358"/>
      <c r="OSJ526" s="1358"/>
      <c r="OSK526" s="1358"/>
      <c r="OSL526" s="1358"/>
      <c r="OSM526" s="1358"/>
      <c r="OSN526" s="1358"/>
      <c r="OSO526" s="1358"/>
      <c r="OSP526" s="1358"/>
      <c r="OSQ526" s="1358"/>
      <c r="OSR526" s="1358"/>
      <c r="OSS526" s="1358"/>
      <c r="OST526" s="1358"/>
      <c r="OSU526" s="1358"/>
      <c r="OSV526" s="1358"/>
      <c r="OSW526" s="1358"/>
      <c r="OSX526" s="1358"/>
      <c r="OSY526" s="1358"/>
      <c r="OSZ526" s="1358"/>
      <c r="OTA526" s="1358"/>
      <c r="OTB526" s="1358"/>
      <c r="OTC526" s="1358"/>
      <c r="OTD526" s="1358"/>
      <c r="OTE526" s="1358"/>
      <c r="OTF526" s="1358"/>
      <c r="OTG526" s="1358"/>
      <c r="OTH526" s="1358"/>
      <c r="OTI526" s="1358"/>
      <c r="OTJ526" s="1358"/>
      <c r="OTK526" s="1358"/>
      <c r="OTL526" s="1358"/>
      <c r="OTM526" s="1358"/>
      <c r="OTN526" s="1358"/>
      <c r="OTO526" s="1358"/>
      <c r="OTP526" s="1358"/>
      <c r="OTQ526" s="1358"/>
      <c r="OTR526" s="1358"/>
      <c r="OTS526" s="1358"/>
      <c r="OTT526" s="1358"/>
      <c r="OTU526" s="1358"/>
      <c r="OTV526" s="1358"/>
      <c r="OTW526" s="1358"/>
      <c r="OTX526" s="1358"/>
      <c r="OTY526" s="1358"/>
      <c r="OTZ526" s="1358"/>
      <c r="OUA526" s="1358"/>
      <c r="OUB526" s="1358"/>
      <c r="OUC526" s="1358"/>
      <c r="OUD526" s="1358"/>
      <c r="OUE526" s="1358"/>
      <c r="OUF526" s="1358"/>
      <c r="OUG526" s="1358"/>
      <c r="OUH526" s="1358"/>
      <c r="OUI526" s="1358"/>
      <c r="OUJ526" s="1358"/>
      <c r="OUK526" s="1358"/>
      <c r="OUL526" s="1358"/>
      <c r="OUM526" s="1358"/>
      <c r="OUN526" s="1358"/>
      <c r="OUO526" s="1358"/>
      <c r="OUP526" s="1358"/>
      <c r="OUQ526" s="1358"/>
      <c r="OUR526" s="1358"/>
      <c r="OUS526" s="1358"/>
      <c r="OUT526" s="1358"/>
      <c r="OUU526" s="1358"/>
      <c r="OUV526" s="1358"/>
      <c r="OUW526" s="1358"/>
      <c r="OUX526" s="1358"/>
      <c r="OUY526" s="1358"/>
      <c r="OUZ526" s="1358"/>
      <c r="OVA526" s="1358"/>
      <c r="OVB526" s="1358"/>
      <c r="OVC526" s="1358"/>
      <c r="OVD526" s="1358"/>
      <c r="OVE526" s="1358"/>
      <c r="OVF526" s="1358"/>
      <c r="OVG526" s="1358"/>
      <c r="OVH526" s="1358"/>
      <c r="OVI526" s="1358"/>
      <c r="OVJ526" s="1358"/>
      <c r="OVK526" s="1358"/>
      <c r="OVL526" s="1358"/>
      <c r="OVM526" s="1358"/>
      <c r="OVN526" s="1358"/>
      <c r="OVO526" s="1358"/>
      <c r="OVP526" s="1358"/>
      <c r="OVQ526" s="1358"/>
      <c r="OVR526" s="1358"/>
      <c r="OVS526" s="1358"/>
      <c r="OVT526" s="1358"/>
      <c r="OVU526" s="1358"/>
      <c r="OVV526" s="1358"/>
      <c r="OVW526" s="1358"/>
      <c r="OVX526" s="1358"/>
      <c r="OVY526" s="1358"/>
      <c r="OVZ526" s="1358"/>
      <c r="OWA526" s="1358"/>
      <c r="OWB526" s="1358"/>
      <c r="OWC526" s="1358"/>
      <c r="OWD526" s="1358"/>
      <c r="OWE526" s="1358"/>
      <c r="OWF526" s="1358"/>
      <c r="OWG526" s="1358"/>
      <c r="OWH526" s="1358"/>
      <c r="OWI526" s="1358"/>
      <c r="OWJ526" s="1358"/>
      <c r="OWK526" s="1358"/>
      <c r="OWL526" s="1358"/>
      <c r="OWM526" s="1358"/>
      <c r="OWN526" s="1358"/>
      <c r="OWO526" s="1358"/>
      <c r="OWP526" s="1358"/>
      <c r="OWQ526" s="1358"/>
      <c r="OWR526" s="1358"/>
      <c r="OWS526" s="1358"/>
      <c r="OWT526" s="1358"/>
      <c r="OWU526" s="1358"/>
      <c r="OWV526" s="1358"/>
      <c r="OWW526" s="1358"/>
      <c r="OWX526" s="1358"/>
      <c r="OWY526" s="1358"/>
      <c r="OWZ526" s="1358"/>
      <c r="OXA526" s="1358"/>
      <c r="OXB526" s="1358"/>
      <c r="OXC526" s="1358"/>
      <c r="OXD526" s="1358"/>
      <c r="OXE526" s="1358"/>
      <c r="OXF526" s="1358"/>
      <c r="OXG526" s="1358"/>
      <c r="OXH526" s="1358"/>
      <c r="OXI526" s="1358"/>
      <c r="OXJ526" s="1358"/>
      <c r="OXK526" s="1358"/>
      <c r="OXL526" s="1358"/>
      <c r="OXM526" s="1358"/>
      <c r="OXN526" s="1358"/>
      <c r="OXO526" s="1358"/>
      <c r="OXP526" s="1358"/>
      <c r="OXQ526" s="1358"/>
      <c r="OXR526" s="1358"/>
      <c r="OXS526" s="1358"/>
      <c r="OXT526" s="1358"/>
      <c r="OXU526" s="1358"/>
      <c r="OXV526" s="1358"/>
      <c r="OXW526" s="1358"/>
      <c r="OXX526" s="1358"/>
      <c r="OXY526" s="1358"/>
      <c r="OXZ526" s="1358"/>
      <c r="OYA526" s="1358"/>
      <c r="OYB526" s="1358"/>
      <c r="OYC526" s="1358"/>
      <c r="OYD526" s="1358"/>
      <c r="OYE526" s="1358"/>
      <c r="OYF526" s="1358"/>
      <c r="OYG526" s="1358"/>
      <c r="OYH526" s="1358"/>
      <c r="OYI526" s="1358"/>
      <c r="OYJ526" s="1358"/>
      <c r="OYK526" s="1358"/>
      <c r="OYL526" s="1358"/>
      <c r="OYM526" s="1358"/>
      <c r="OYN526" s="1358"/>
      <c r="OYO526" s="1358"/>
      <c r="OYP526" s="1358"/>
      <c r="OYQ526" s="1358"/>
      <c r="OYR526" s="1358"/>
      <c r="OYS526" s="1358"/>
      <c r="OYT526" s="1358"/>
      <c r="OYU526" s="1358"/>
      <c r="OYV526" s="1358"/>
      <c r="OYW526" s="1358"/>
      <c r="OYX526" s="1358"/>
      <c r="OYY526" s="1358"/>
      <c r="OYZ526" s="1358"/>
      <c r="OZA526" s="1358"/>
      <c r="OZB526" s="1358"/>
      <c r="OZC526" s="1358"/>
      <c r="OZD526" s="1358"/>
      <c r="OZE526" s="1358"/>
      <c r="OZF526" s="1358"/>
      <c r="OZG526" s="1358"/>
      <c r="OZH526" s="1358"/>
      <c r="OZI526" s="1358"/>
      <c r="OZJ526" s="1358"/>
      <c r="OZK526" s="1358"/>
      <c r="OZL526" s="1358"/>
      <c r="OZM526" s="1358"/>
      <c r="OZN526" s="1358"/>
      <c r="OZO526" s="1358"/>
      <c r="OZP526" s="1358"/>
      <c r="OZQ526" s="1358"/>
      <c r="OZR526" s="1358"/>
      <c r="OZS526" s="1358"/>
      <c r="OZT526" s="1358"/>
      <c r="OZU526" s="1358"/>
      <c r="OZV526" s="1358"/>
      <c r="OZW526" s="1358"/>
      <c r="OZX526" s="1358"/>
      <c r="OZY526" s="1358"/>
      <c r="OZZ526" s="1358"/>
      <c r="PAA526" s="1358"/>
      <c r="PAB526" s="1358"/>
      <c r="PAC526" s="1358"/>
      <c r="PAD526" s="1358"/>
      <c r="PAE526" s="1358"/>
      <c r="PAF526" s="1358"/>
      <c r="PAG526" s="1358"/>
      <c r="PAH526" s="1358"/>
      <c r="PAI526" s="1358"/>
      <c r="PAJ526" s="1358"/>
      <c r="PAK526" s="1358"/>
      <c r="PAL526" s="1358"/>
      <c r="PAM526" s="1358"/>
      <c r="PAN526" s="1358"/>
      <c r="PAO526" s="1358"/>
      <c r="PAP526" s="1358"/>
      <c r="PAQ526" s="1358"/>
      <c r="PAR526" s="1358"/>
      <c r="PAS526" s="1358"/>
      <c r="PAT526" s="1358"/>
      <c r="PAU526" s="1358"/>
      <c r="PAV526" s="1358"/>
      <c r="PAW526" s="1358"/>
      <c r="PAX526" s="1358"/>
      <c r="PAY526" s="1358"/>
      <c r="PAZ526" s="1358"/>
      <c r="PBA526" s="1358"/>
      <c r="PBB526" s="1358"/>
      <c r="PBC526" s="1358"/>
      <c r="PBD526" s="1358"/>
      <c r="PBE526" s="1358"/>
      <c r="PBF526" s="1358"/>
      <c r="PBG526" s="1358"/>
      <c r="PBH526" s="1358"/>
      <c r="PBI526" s="1358"/>
      <c r="PBJ526" s="1358"/>
      <c r="PBK526" s="1358"/>
      <c r="PBL526" s="1358"/>
      <c r="PBM526" s="1358"/>
      <c r="PBN526" s="1358"/>
      <c r="PBO526" s="1358"/>
      <c r="PBP526" s="1358"/>
      <c r="PBQ526" s="1358"/>
      <c r="PBR526" s="1358"/>
      <c r="PBS526" s="1358"/>
      <c r="PBT526" s="1358"/>
      <c r="PBU526" s="1358"/>
      <c r="PBV526" s="1358"/>
      <c r="PBW526" s="1358"/>
      <c r="PBX526" s="1358"/>
      <c r="PBY526" s="1358"/>
      <c r="PBZ526" s="1358"/>
      <c r="PCA526" s="1358"/>
      <c r="PCB526" s="1358"/>
      <c r="PCC526" s="1358"/>
      <c r="PCD526" s="1358"/>
      <c r="PCE526" s="1358"/>
      <c r="PCF526" s="1358"/>
      <c r="PCG526" s="1358"/>
      <c r="PCH526" s="1358"/>
      <c r="PCI526" s="1358"/>
      <c r="PCJ526" s="1358"/>
      <c r="PCK526" s="1358"/>
      <c r="PCL526" s="1358"/>
      <c r="PCM526" s="1358"/>
      <c r="PCN526" s="1358"/>
      <c r="PCO526" s="1358"/>
      <c r="PCP526" s="1358"/>
      <c r="PCQ526" s="1358"/>
      <c r="PCR526" s="1358"/>
      <c r="PCS526" s="1358"/>
      <c r="PCT526" s="1358"/>
      <c r="PCU526" s="1358"/>
      <c r="PCV526" s="1358"/>
      <c r="PCW526" s="1358"/>
      <c r="PCX526" s="1358"/>
      <c r="PCY526" s="1358"/>
      <c r="PCZ526" s="1358"/>
      <c r="PDA526" s="1358"/>
      <c r="PDB526" s="1358"/>
      <c r="PDC526" s="1358"/>
      <c r="PDD526" s="1358"/>
      <c r="PDE526" s="1358"/>
      <c r="PDF526" s="1358"/>
      <c r="PDG526" s="1358"/>
      <c r="PDH526" s="1358"/>
      <c r="PDI526" s="1358"/>
      <c r="PDJ526" s="1358"/>
      <c r="PDK526" s="1358"/>
      <c r="PDL526" s="1358"/>
      <c r="PDM526" s="1358"/>
      <c r="PDN526" s="1358"/>
      <c r="PDO526" s="1358"/>
      <c r="PDP526" s="1358"/>
      <c r="PDQ526" s="1358"/>
      <c r="PDR526" s="1358"/>
      <c r="PDS526" s="1358"/>
      <c r="PDT526" s="1358"/>
      <c r="PDU526" s="1358"/>
      <c r="PDV526" s="1358"/>
      <c r="PDW526" s="1358"/>
      <c r="PDX526" s="1358"/>
      <c r="PDY526" s="1358"/>
      <c r="PDZ526" s="1358"/>
      <c r="PEA526" s="1358"/>
      <c r="PEB526" s="1358"/>
      <c r="PEC526" s="1358"/>
      <c r="PED526" s="1358"/>
      <c r="PEE526" s="1358"/>
      <c r="PEF526" s="1358"/>
      <c r="PEG526" s="1358"/>
      <c r="PEH526" s="1358"/>
      <c r="PEI526" s="1358"/>
      <c r="PEJ526" s="1358"/>
      <c r="PEK526" s="1358"/>
      <c r="PEL526" s="1358"/>
      <c r="PEM526" s="1358"/>
      <c r="PEN526" s="1358"/>
      <c r="PEO526" s="1358"/>
      <c r="PEP526" s="1358"/>
      <c r="PEQ526" s="1358"/>
      <c r="PER526" s="1358"/>
      <c r="PES526" s="1358"/>
      <c r="PET526" s="1358"/>
      <c r="PEU526" s="1358"/>
      <c r="PEV526" s="1358"/>
      <c r="PEW526" s="1358"/>
      <c r="PEX526" s="1358"/>
      <c r="PEY526" s="1358"/>
      <c r="PEZ526" s="1358"/>
      <c r="PFA526" s="1358"/>
      <c r="PFB526" s="1358"/>
      <c r="PFC526" s="1358"/>
      <c r="PFD526" s="1358"/>
      <c r="PFE526" s="1358"/>
      <c r="PFF526" s="1358"/>
      <c r="PFG526" s="1358"/>
      <c r="PFH526" s="1358"/>
      <c r="PFI526" s="1358"/>
      <c r="PFJ526" s="1358"/>
      <c r="PFK526" s="1358"/>
      <c r="PFL526" s="1358"/>
      <c r="PFM526" s="1358"/>
      <c r="PFN526" s="1358"/>
      <c r="PFO526" s="1358"/>
      <c r="PFP526" s="1358"/>
      <c r="PFQ526" s="1358"/>
      <c r="PFR526" s="1358"/>
      <c r="PFS526" s="1358"/>
      <c r="PFT526" s="1358"/>
      <c r="PFU526" s="1358"/>
      <c r="PFV526" s="1358"/>
      <c r="PFW526" s="1358"/>
      <c r="PFX526" s="1358"/>
      <c r="PFY526" s="1358"/>
      <c r="PFZ526" s="1358"/>
      <c r="PGA526" s="1358"/>
      <c r="PGB526" s="1358"/>
      <c r="PGC526" s="1358"/>
      <c r="PGD526" s="1358"/>
      <c r="PGE526" s="1358"/>
      <c r="PGF526" s="1358"/>
      <c r="PGG526" s="1358"/>
      <c r="PGH526" s="1358"/>
      <c r="PGI526" s="1358"/>
      <c r="PGJ526" s="1358"/>
      <c r="PGK526" s="1358"/>
      <c r="PGL526" s="1358"/>
      <c r="PGM526" s="1358"/>
      <c r="PGN526" s="1358"/>
      <c r="PGO526" s="1358"/>
      <c r="PGP526" s="1358"/>
      <c r="PGQ526" s="1358"/>
      <c r="PGR526" s="1358"/>
      <c r="PGS526" s="1358"/>
      <c r="PGT526" s="1358"/>
      <c r="PGU526" s="1358"/>
      <c r="PGV526" s="1358"/>
      <c r="PGW526" s="1358"/>
      <c r="PGX526" s="1358"/>
      <c r="PGY526" s="1358"/>
      <c r="PGZ526" s="1358"/>
      <c r="PHA526" s="1358"/>
      <c r="PHB526" s="1358"/>
      <c r="PHC526" s="1358"/>
      <c r="PHD526" s="1358"/>
      <c r="PHE526" s="1358"/>
      <c r="PHF526" s="1358"/>
      <c r="PHG526" s="1358"/>
      <c r="PHH526" s="1358"/>
      <c r="PHI526" s="1358"/>
      <c r="PHJ526" s="1358"/>
      <c r="PHK526" s="1358"/>
      <c r="PHL526" s="1358"/>
      <c r="PHM526" s="1358"/>
      <c r="PHN526" s="1358"/>
      <c r="PHO526" s="1358"/>
      <c r="PHP526" s="1358"/>
      <c r="PHQ526" s="1358"/>
      <c r="PHR526" s="1358"/>
      <c r="PHS526" s="1358"/>
      <c r="PHT526" s="1358"/>
      <c r="PHU526" s="1358"/>
      <c r="PHV526" s="1358"/>
      <c r="PHW526" s="1358"/>
      <c r="PHX526" s="1358"/>
      <c r="PHY526" s="1358"/>
      <c r="PHZ526" s="1358"/>
      <c r="PIA526" s="1358"/>
      <c r="PIB526" s="1358"/>
      <c r="PIC526" s="1358"/>
      <c r="PID526" s="1358"/>
      <c r="PIE526" s="1358"/>
      <c r="PIF526" s="1358"/>
      <c r="PIG526" s="1358"/>
      <c r="PIH526" s="1358"/>
      <c r="PII526" s="1358"/>
      <c r="PIJ526" s="1358"/>
      <c r="PIK526" s="1358"/>
      <c r="PIL526" s="1358"/>
      <c r="PIM526" s="1358"/>
      <c r="PIN526" s="1358"/>
      <c r="PIO526" s="1358"/>
      <c r="PIP526" s="1358"/>
      <c r="PIQ526" s="1358"/>
      <c r="PIR526" s="1358"/>
      <c r="PIS526" s="1358"/>
      <c r="PIT526" s="1358"/>
      <c r="PIU526" s="1358"/>
      <c r="PIV526" s="1358"/>
      <c r="PIW526" s="1358"/>
      <c r="PIX526" s="1358"/>
      <c r="PIY526" s="1358"/>
      <c r="PIZ526" s="1358"/>
      <c r="PJA526" s="1358"/>
      <c r="PJB526" s="1358"/>
      <c r="PJC526" s="1358"/>
      <c r="PJD526" s="1358"/>
      <c r="PJE526" s="1358"/>
      <c r="PJF526" s="1358"/>
      <c r="PJG526" s="1358"/>
      <c r="PJH526" s="1358"/>
      <c r="PJI526" s="1358"/>
      <c r="PJJ526" s="1358"/>
      <c r="PJK526" s="1358"/>
      <c r="PJL526" s="1358"/>
      <c r="PJM526" s="1358"/>
      <c r="PJN526" s="1358"/>
      <c r="PJO526" s="1358"/>
      <c r="PJP526" s="1358"/>
      <c r="PJQ526" s="1358"/>
      <c r="PJR526" s="1358"/>
      <c r="PJS526" s="1358"/>
      <c r="PJT526" s="1358"/>
      <c r="PJU526" s="1358"/>
      <c r="PJV526" s="1358"/>
      <c r="PJW526" s="1358"/>
      <c r="PJX526" s="1358"/>
      <c r="PJY526" s="1358"/>
      <c r="PJZ526" s="1358"/>
      <c r="PKA526" s="1358"/>
      <c r="PKB526" s="1358"/>
      <c r="PKC526" s="1358"/>
      <c r="PKD526" s="1358"/>
      <c r="PKE526" s="1358"/>
      <c r="PKF526" s="1358"/>
      <c r="PKG526" s="1358"/>
      <c r="PKH526" s="1358"/>
      <c r="PKI526" s="1358"/>
      <c r="PKJ526" s="1358"/>
      <c r="PKK526" s="1358"/>
      <c r="PKL526" s="1358"/>
      <c r="PKM526" s="1358"/>
      <c r="PKN526" s="1358"/>
      <c r="PKO526" s="1358"/>
      <c r="PKP526" s="1358"/>
      <c r="PKQ526" s="1358"/>
      <c r="PKR526" s="1358"/>
      <c r="PKS526" s="1358"/>
      <c r="PKT526" s="1358"/>
      <c r="PKU526" s="1358"/>
      <c r="PKV526" s="1358"/>
      <c r="PKW526" s="1358"/>
      <c r="PKX526" s="1358"/>
      <c r="PKY526" s="1358"/>
      <c r="PKZ526" s="1358"/>
      <c r="PLA526" s="1358"/>
      <c r="PLB526" s="1358"/>
      <c r="PLC526" s="1358"/>
      <c r="PLD526" s="1358"/>
      <c r="PLE526" s="1358"/>
      <c r="PLF526" s="1358"/>
      <c r="PLG526" s="1358"/>
      <c r="PLH526" s="1358"/>
      <c r="PLI526" s="1358"/>
      <c r="PLJ526" s="1358"/>
      <c r="PLK526" s="1358"/>
      <c r="PLL526" s="1358"/>
      <c r="PLM526" s="1358"/>
      <c r="PLN526" s="1358"/>
      <c r="PLO526" s="1358"/>
      <c r="PLP526" s="1358"/>
      <c r="PLQ526" s="1358"/>
      <c r="PLR526" s="1358"/>
      <c r="PLS526" s="1358"/>
      <c r="PLT526" s="1358"/>
      <c r="PLU526" s="1358"/>
      <c r="PLV526" s="1358"/>
      <c r="PLW526" s="1358"/>
      <c r="PLX526" s="1358"/>
      <c r="PLY526" s="1358"/>
      <c r="PLZ526" s="1358"/>
      <c r="PMA526" s="1358"/>
      <c r="PMB526" s="1358"/>
      <c r="PMC526" s="1358"/>
      <c r="PMD526" s="1358"/>
      <c r="PME526" s="1358"/>
      <c r="PMF526" s="1358"/>
      <c r="PMG526" s="1358"/>
      <c r="PMH526" s="1358"/>
      <c r="PMI526" s="1358"/>
      <c r="PMJ526" s="1358"/>
      <c r="PMK526" s="1358"/>
      <c r="PML526" s="1358"/>
      <c r="PMM526" s="1358"/>
      <c r="PMN526" s="1358"/>
      <c r="PMO526" s="1358"/>
      <c r="PMP526" s="1358"/>
      <c r="PMQ526" s="1358"/>
      <c r="PMR526" s="1358"/>
      <c r="PMS526" s="1358"/>
      <c r="PMT526" s="1358"/>
      <c r="PMU526" s="1358"/>
      <c r="PMV526" s="1358"/>
      <c r="PMW526" s="1358"/>
      <c r="PMX526" s="1358"/>
      <c r="PMY526" s="1358"/>
      <c r="PMZ526" s="1358"/>
      <c r="PNA526" s="1358"/>
      <c r="PNB526" s="1358"/>
      <c r="PNC526" s="1358"/>
      <c r="PND526" s="1358"/>
      <c r="PNE526" s="1358"/>
      <c r="PNF526" s="1358"/>
      <c r="PNG526" s="1358"/>
      <c r="PNH526" s="1358"/>
      <c r="PNI526" s="1358"/>
      <c r="PNJ526" s="1358"/>
      <c r="PNK526" s="1358"/>
      <c r="PNL526" s="1358"/>
      <c r="PNM526" s="1358"/>
      <c r="PNN526" s="1358"/>
      <c r="PNO526" s="1358"/>
      <c r="PNP526" s="1358"/>
      <c r="PNQ526" s="1358"/>
      <c r="PNR526" s="1358"/>
      <c r="PNS526" s="1358"/>
      <c r="PNT526" s="1358"/>
      <c r="PNU526" s="1358"/>
      <c r="PNV526" s="1358"/>
      <c r="PNW526" s="1358"/>
      <c r="PNX526" s="1358"/>
      <c r="PNY526" s="1358"/>
      <c r="PNZ526" s="1358"/>
      <c r="POA526" s="1358"/>
      <c r="POB526" s="1358"/>
      <c r="POC526" s="1358"/>
      <c r="POD526" s="1358"/>
      <c r="POE526" s="1358"/>
      <c r="POF526" s="1358"/>
      <c r="POG526" s="1358"/>
      <c r="POH526" s="1358"/>
      <c r="POI526" s="1358"/>
      <c r="POJ526" s="1358"/>
      <c r="POK526" s="1358"/>
      <c r="POL526" s="1358"/>
      <c r="POM526" s="1358"/>
      <c r="PON526" s="1358"/>
      <c r="POO526" s="1358"/>
      <c r="POP526" s="1358"/>
      <c r="POQ526" s="1358"/>
      <c r="POR526" s="1358"/>
      <c r="POS526" s="1358"/>
      <c r="POT526" s="1358"/>
      <c r="POU526" s="1358"/>
      <c r="POV526" s="1358"/>
      <c r="POW526" s="1358"/>
      <c r="POX526" s="1358"/>
      <c r="POY526" s="1358"/>
      <c r="POZ526" s="1358"/>
      <c r="PPA526" s="1358"/>
      <c r="PPB526" s="1358"/>
      <c r="PPC526" s="1358"/>
      <c r="PPD526" s="1358"/>
      <c r="PPE526" s="1358"/>
      <c r="PPF526" s="1358"/>
      <c r="PPG526" s="1358"/>
      <c r="PPH526" s="1358"/>
      <c r="PPI526" s="1358"/>
      <c r="PPJ526" s="1358"/>
      <c r="PPK526" s="1358"/>
      <c r="PPL526" s="1358"/>
      <c r="PPM526" s="1358"/>
      <c r="PPN526" s="1358"/>
      <c r="PPO526" s="1358"/>
      <c r="PPP526" s="1358"/>
      <c r="PPQ526" s="1358"/>
      <c r="PPR526" s="1358"/>
      <c r="PPS526" s="1358"/>
      <c r="PPT526" s="1358"/>
      <c r="PPU526" s="1358"/>
      <c r="PPV526" s="1358"/>
      <c r="PPW526" s="1358"/>
      <c r="PPX526" s="1358"/>
      <c r="PPY526" s="1358"/>
      <c r="PPZ526" s="1358"/>
      <c r="PQA526" s="1358"/>
      <c r="PQB526" s="1358"/>
      <c r="PQC526" s="1358"/>
      <c r="PQD526" s="1358"/>
      <c r="PQE526" s="1358"/>
      <c r="PQF526" s="1358"/>
      <c r="PQG526" s="1358"/>
      <c r="PQH526" s="1358"/>
      <c r="PQI526" s="1358"/>
      <c r="PQJ526" s="1358"/>
      <c r="PQK526" s="1358"/>
      <c r="PQL526" s="1358"/>
      <c r="PQM526" s="1358"/>
      <c r="PQN526" s="1358"/>
      <c r="PQO526" s="1358"/>
      <c r="PQP526" s="1358"/>
      <c r="PQQ526" s="1358"/>
      <c r="PQR526" s="1358"/>
      <c r="PQS526" s="1358"/>
      <c r="PQT526" s="1358"/>
      <c r="PQU526" s="1358"/>
      <c r="PQV526" s="1358"/>
      <c r="PQW526" s="1358"/>
      <c r="PQX526" s="1358"/>
      <c r="PQY526" s="1358"/>
      <c r="PQZ526" s="1358"/>
      <c r="PRA526" s="1358"/>
      <c r="PRB526" s="1358"/>
      <c r="PRC526" s="1358"/>
      <c r="PRD526" s="1358"/>
      <c r="PRE526" s="1358"/>
      <c r="PRF526" s="1358"/>
      <c r="PRG526" s="1358"/>
      <c r="PRH526" s="1358"/>
      <c r="PRI526" s="1358"/>
      <c r="PRJ526" s="1358"/>
      <c r="PRK526" s="1358"/>
      <c r="PRL526" s="1358"/>
      <c r="PRM526" s="1358"/>
      <c r="PRN526" s="1358"/>
      <c r="PRO526" s="1358"/>
      <c r="PRP526" s="1358"/>
      <c r="PRQ526" s="1358"/>
      <c r="PRR526" s="1358"/>
      <c r="PRS526" s="1358"/>
      <c r="PRT526" s="1358"/>
      <c r="PRU526" s="1358"/>
      <c r="PRV526" s="1358"/>
      <c r="PRW526" s="1358"/>
      <c r="PRX526" s="1358"/>
      <c r="PRY526" s="1358"/>
      <c r="PRZ526" s="1358"/>
      <c r="PSA526" s="1358"/>
      <c r="PSB526" s="1358"/>
      <c r="PSC526" s="1358"/>
      <c r="PSD526" s="1358"/>
      <c r="PSE526" s="1358"/>
      <c r="PSF526" s="1358"/>
      <c r="PSG526" s="1358"/>
      <c r="PSH526" s="1358"/>
      <c r="PSI526" s="1358"/>
      <c r="PSJ526" s="1358"/>
      <c r="PSK526" s="1358"/>
      <c r="PSL526" s="1358"/>
      <c r="PSM526" s="1358"/>
      <c r="PSN526" s="1358"/>
      <c r="PSO526" s="1358"/>
      <c r="PSP526" s="1358"/>
      <c r="PSQ526" s="1358"/>
      <c r="PSR526" s="1358"/>
      <c r="PSS526" s="1358"/>
      <c r="PST526" s="1358"/>
      <c r="PSU526" s="1358"/>
      <c r="PSV526" s="1358"/>
      <c r="PSW526" s="1358"/>
      <c r="PSX526" s="1358"/>
      <c r="PSY526" s="1358"/>
      <c r="PSZ526" s="1358"/>
      <c r="PTA526" s="1358"/>
      <c r="PTB526" s="1358"/>
      <c r="PTC526" s="1358"/>
      <c r="PTD526" s="1358"/>
      <c r="PTE526" s="1358"/>
      <c r="PTF526" s="1358"/>
      <c r="PTG526" s="1358"/>
      <c r="PTH526" s="1358"/>
      <c r="PTI526" s="1358"/>
      <c r="PTJ526" s="1358"/>
      <c r="PTK526" s="1358"/>
      <c r="PTL526" s="1358"/>
      <c r="PTM526" s="1358"/>
      <c r="PTN526" s="1358"/>
      <c r="PTO526" s="1358"/>
      <c r="PTP526" s="1358"/>
      <c r="PTQ526" s="1358"/>
      <c r="PTR526" s="1358"/>
      <c r="PTS526" s="1358"/>
      <c r="PTT526" s="1358"/>
      <c r="PTU526" s="1358"/>
      <c r="PTV526" s="1358"/>
      <c r="PTW526" s="1358"/>
      <c r="PTX526" s="1358"/>
      <c r="PTY526" s="1358"/>
      <c r="PTZ526" s="1358"/>
      <c r="PUA526" s="1358"/>
      <c r="PUB526" s="1358"/>
      <c r="PUC526" s="1358"/>
      <c r="PUD526" s="1358"/>
      <c r="PUE526" s="1358"/>
      <c r="PUF526" s="1358"/>
      <c r="PUG526" s="1358"/>
      <c r="PUH526" s="1358"/>
      <c r="PUI526" s="1358"/>
      <c r="PUJ526" s="1358"/>
      <c r="PUK526" s="1358"/>
      <c r="PUL526" s="1358"/>
      <c r="PUM526" s="1358"/>
      <c r="PUN526" s="1358"/>
      <c r="PUO526" s="1358"/>
      <c r="PUP526" s="1358"/>
      <c r="PUQ526" s="1358"/>
      <c r="PUR526" s="1358"/>
      <c r="PUS526" s="1358"/>
      <c r="PUT526" s="1358"/>
      <c r="PUU526" s="1358"/>
      <c r="PUV526" s="1358"/>
      <c r="PUW526" s="1358"/>
      <c r="PUX526" s="1358"/>
      <c r="PUY526" s="1358"/>
      <c r="PUZ526" s="1358"/>
      <c r="PVA526" s="1358"/>
      <c r="PVB526" s="1358"/>
      <c r="PVC526" s="1358"/>
      <c r="PVD526" s="1358"/>
      <c r="PVE526" s="1358"/>
      <c r="PVF526" s="1358"/>
      <c r="PVG526" s="1358"/>
      <c r="PVH526" s="1358"/>
      <c r="PVI526" s="1358"/>
      <c r="PVJ526" s="1358"/>
      <c r="PVK526" s="1358"/>
      <c r="PVL526" s="1358"/>
      <c r="PVM526" s="1358"/>
      <c r="PVN526" s="1358"/>
      <c r="PVO526" s="1358"/>
      <c r="PVP526" s="1358"/>
      <c r="PVQ526" s="1358"/>
      <c r="PVR526" s="1358"/>
      <c r="PVS526" s="1358"/>
      <c r="PVT526" s="1358"/>
      <c r="PVU526" s="1358"/>
      <c r="PVV526" s="1358"/>
      <c r="PVW526" s="1358"/>
      <c r="PVX526" s="1358"/>
      <c r="PVY526" s="1358"/>
      <c r="PVZ526" s="1358"/>
      <c r="PWA526" s="1358"/>
      <c r="PWB526" s="1358"/>
      <c r="PWC526" s="1358"/>
      <c r="PWD526" s="1358"/>
      <c r="PWE526" s="1358"/>
      <c r="PWF526" s="1358"/>
      <c r="PWG526" s="1358"/>
      <c r="PWH526" s="1358"/>
      <c r="PWI526" s="1358"/>
      <c r="PWJ526" s="1358"/>
      <c r="PWK526" s="1358"/>
      <c r="PWL526" s="1358"/>
      <c r="PWM526" s="1358"/>
      <c r="PWN526" s="1358"/>
      <c r="PWO526" s="1358"/>
      <c r="PWP526" s="1358"/>
      <c r="PWQ526" s="1358"/>
      <c r="PWR526" s="1358"/>
      <c r="PWS526" s="1358"/>
      <c r="PWT526" s="1358"/>
      <c r="PWU526" s="1358"/>
      <c r="PWV526" s="1358"/>
      <c r="PWW526" s="1358"/>
      <c r="PWX526" s="1358"/>
      <c r="PWY526" s="1358"/>
      <c r="PWZ526" s="1358"/>
      <c r="PXA526" s="1358"/>
      <c r="PXB526" s="1358"/>
      <c r="PXC526" s="1358"/>
      <c r="PXD526" s="1358"/>
      <c r="PXE526" s="1358"/>
      <c r="PXF526" s="1358"/>
      <c r="PXG526" s="1358"/>
      <c r="PXH526" s="1358"/>
      <c r="PXI526" s="1358"/>
      <c r="PXJ526" s="1358"/>
      <c r="PXK526" s="1358"/>
      <c r="PXL526" s="1358"/>
      <c r="PXM526" s="1358"/>
      <c r="PXN526" s="1358"/>
      <c r="PXO526" s="1358"/>
      <c r="PXP526" s="1358"/>
      <c r="PXQ526" s="1358"/>
      <c r="PXR526" s="1358"/>
      <c r="PXS526" s="1358"/>
      <c r="PXT526" s="1358"/>
      <c r="PXU526" s="1358"/>
      <c r="PXV526" s="1358"/>
      <c r="PXW526" s="1358"/>
      <c r="PXX526" s="1358"/>
      <c r="PXY526" s="1358"/>
      <c r="PXZ526" s="1358"/>
      <c r="PYA526" s="1358"/>
      <c r="PYB526" s="1358"/>
      <c r="PYC526" s="1358"/>
      <c r="PYD526" s="1358"/>
      <c r="PYE526" s="1358"/>
      <c r="PYF526" s="1358"/>
      <c r="PYG526" s="1358"/>
      <c r="PYH526" s="1358"/>
      <c r="PYI526" s="1358"/>
      <c r="PYJ526" s="1358"/>
      <c r="PYK526" s="1358"/>
      <c r="PYL526" s="1358"/>
      <c r="PYM526" s="1358"/>
      <c r="PYN526" s="1358"/>
      <c r="PYO526" s="1358"/>
      <c r="PYP526" s="1358"/>
      <c r="PYQ526" s="1358"/>
      <c r="PYR526" s="1358"/>
      <c r="PYS526" s="1358"/>
      <c r="PYT526" s="1358"/>
      <c r="PYU526" s="1358"/>
      <c r="PYV526" s="1358"/>
      <c r="PYW526" s="1358"/>
      <c r="PYX526" s="1358"/>
      <c r="PYY526" s="1358"/>
      <c r="PYZ526" s="1358"/>
      <c r="PZA526" s="1358"/>
      <c r="PZB526" s="1358"/>
      <c r="PZC526" s="1358"/>
      <c r="PZD526" s="1358"/>
      <c r="PZE526" s="1358"/>
      <c r="PZF526" s="1358"/>
      <c r="PZG526" s="1358"/>
      <c r="PZH526" s="1358"/>
      <c r="PZI526" s="1358"/>
      <c r="PZJ526" s="1358"/>
      <c r="PZK526" s="1358"/>
      <c r="PZL526" s="1358"/>
      <c r="PZM526" s="1358"/>
      <c r="PZN526" s="1358"/>
      <c r="PZO526" s="1358"/>
      <c r="PZP526" s="1358"/>
      <c r="PZQ526" s="1358"/>
      <c r="PZR526" s="1358"/>
      <c r="PZS526" s="1358"/>
      <c r="PZT526" s="1358"/>
      <c r="PZU526" s="1358"/>
      <c r="PZV526" s="1358"/>
      <c r="PZW526" s="1358"/>
      <c r="PZX526" s="1358"/>
      <c r="PZY526" s="1358"/>
      <c r="PZZ526" s="1358"/>
      <c r="QAA526" s="1358"/>
      <c r="QAB526" s="1358"/>
      <c r="QAC526" s="1358"/>
      <c r="QAD526" s="1358"/>
      <c r="QAE526" s="1358"/>
      <c r="QAF526" s="1358"/>
      <c r="QAG526" s="1358"/>
      <c r="QAH526" s="1358"/>
      <c r="QAI526" s="1358"/>
      <c r="QAJ526" s="1358"/>
      <c r="QAK526" s="1358"/>
      <c r="QAL526" s="1358"/>
      <c r="QAM526" s="1358"/>
      <c r="QAN526" s="1358"/>
      <c r="QAO526" s="1358"/>
      <c r="QAP526" s="1358"/>
      <c r="QAQ526" s="1358"/>
      <c r="QAR526" s="1358"/>
      <c r="QAS526" s="1358"/>
      <c r="QAT526" s="1358"/>
      <c r="QAU526" s="1358"/>
      <c r="QAV526" s="1358"/>
      <c r="QAW526" s="1358"/>
      <c r="QAX526" s="1358"/>
      <c r="QAY526" s="1358"/>
      <c r="QAZ526" s="1358"/>
      <c r="QBA526" s="1358"/>
      <c r="QBB526" s="1358"/>
      <c r="QBC526" s="1358"/>
      <c r="QBD526" s="1358"/>
      <c r="QBE526" s="1358"/>
      <c r="QBF526" s="1358"/>
      <c r="QBG526" s="1358"/>
      <c r="QBH526" s="1358"/>
      <c r="QBI526" s="1358"/>
      <c r="QBJ526" s="1358"/>
      <c r="QBK526" s="1358"/>
      <c r="QBL526" s="1358"/>
      <c r="QBM526" s="1358"/>
      <c r="QBN526" s="1358"/>
      <c r="QBO526" s="1358"/>
      <c r="QBP526" s="1358"/>
      <c r="QBQ526" s="1358"/>
      <c r="QBR526" s="1358"/>
      <c r="QBS526" s="1358"/>
      <c r="QBT526" s="1358"/>
      <c r="QBU526" s="1358"/>
      <c r="QBV526" s="1358"/>
      <c r="QBW526" s="1358"/>
      <c r="QBX526" s="1358"/>
      <c r="QBY526" s="1358"/>
      <c r="QBZ526" s="1358"/>
      <c r="QCA526" s="1358"/>
      <c r="QCB526" s="1358"/>
      <c r="QCC526" s="1358"/>
      <c r="QCD526" s="1358"/>
      <c r="QCE526" s="1358"/>
      <c r="QCF526" s="1358"/>
      <c r="QCG526" s="1358"/>
      <c r="QCH526" s="1358"/>
      <c r="QCI526" s="1358"/>
      <c r="QCJ526" s="1358"/>
      <c r="QCK526" s="1358"/>
      <c r="QCL526" s="1358"/>
      <c r="QCM526" s="1358"/>
      <c r="QCN526" s="1358"/>
      <c r="QCO526" s="1358"/>
      <c r="QCP526" s="1358"/>
      <c r="QCQ526" s="1358"/>
      <c r="QCR526" s="1358"/>
      <c r="QCS526" s="1358"/>
      <c r="QCT526" s="1358"/>
      <c r="QCU526" s="1358"/>
      <c r="QCV526" s="1358"/>
      <c r="QCW526" s="1358"/>
      <c r="QCX526" s="1358"/>
      <c r="QCY526" s="1358"/>
      <c r="QCZ526" s="1358"/>
      <c r="QDA526" s="1358"/>
      <c r="QDB526" s="1358"/>
      <c r="QDC526" s="1358"/>
      <c r="QDD526" s="1358"/>
      <c r="QDE526" s="1358"/>
      <c r="QDF526" s="1358"/>
      <c r="QDG526" s="1358"/>
      <c r="QDH526" s="1358"/>
      <c r="QDI526" s="1358"/>
      <c r="QDJ526" s="1358"/>
      <c r="QDK526" s="1358"/>
      <c r="QDL526" s="1358"/>
      <c r="QDM526" s="1358"/>
      <c r="QDN526" s="1358"/>
      <c r="QDO526" s="1358"/>
      <c r="QDP526" s="1358"/>
      <c r="QDQ526" s="1358"/>
      <c r="QDR526" s="1358"/>
      <c r="QDS526" s="1358"/>
      <c r="QDT526" s="1358"/>
      <c r="QDU526" s="1358"/>
      <c r="QDV526" s="1358"/>
      <c r="QDW526" s="1358"/>
      <c r="QDX526" s="1358"/>
      <c r="QDY526" s="1358"/>
      <c r="QDZ526" s="1358"/>
      <c r="QEA526" s="1358"/>
      <c r="QEB526" s="1358"/>
      <c r="QEC526" s="1358"/>
      <c r="QED526" s="1358"/>
      <c r="QEE526" s="1358"/>
      <c r="QEF526" s="1358"/>
      <c r="QEG526" s="1358"/>
      <c r="QEH526" s="1358"/>
      <c r="QEI526" s="1358"/>
      <c r="QEJ526" s="1358"/>
      <c r="QEK526" s="1358"/>
      <c r="QEL526" s="1358"/>
      <c r="QEM526" s="1358"/>
      <c r="QEN526" s="1358"/>
      <c r="QEO526" s="1358"/>
      <c r="QEP526" s="1358"/>
      <c r="QEQ526" s="1358"/>
      <c r="QER526" s="1358"/>
      <c r="QES526" s="1358"/>
      <c r="QET526" s="1358"/>
      <c r="QEU526" s="1358"/>
      <c r="QEV526" s="1358"/>
      <c r="QEW526" s="1358"/>
      <c r="QEX526" s="1358"/>
      <c r="QEY526" s="1358"/>
      <c r="QEZ526" s="1358"/>
      <c r="QFA526" s="1358"/>
      <c r="QFB526" s="1358"/>
      <c r="QFC526" s="1358"/>
      <c r="QFD526" s="1358"/>
      <c r="QFE526" s="1358"/>
      <c r="QFF526" s="1358"/>
      <c r="QFG526" s="1358"/>
      <c r="QFH526" s="1358"/>
      <c r="QFI526" s="1358"/>
      <c r="QFJ526" s="1358"/>
      <c r="QFK526" s="1358"/>
      <c r="QFL526" s="1358"/>
      <c r="QFM526" s="1358"/>
      <c r="QFN526" s="1358"/>
      <c r="QFO526" s="1358"/>
      <c r="QFP526" s="1358"/>
      <c r="QFQ526" s="1358"/>
      <c r="QFR526" s="1358"/>
      <c r="QFS526" s="1358"/>
      <c r="QFT526" s="1358"/>
      <c r="QFU526" s="1358"/>
      <c r="QFV526" s="1358"/>
      <c r="QFW526" s="1358"/>
      <c r="QFX526" s="1358"/>
      <c r="QFY526" s="1358"/>
      <c r="QFZ526" s="1358"/>
      <c r="QGA526" s="1358"/>
      <c r="QGB526" s="1358"/>
      <c r="QGC526" s="1358"/>
      <c r="QGD526" s="1358"/>
      <c r="QGE526" s="1358"/>
      <c r="QGF526" s="1358"/>
      <c r="QGG526" s="1358"/>
      <c r="QGH526" s="1358"/>
      <c r="QGI526" s="1358"/>
      <c r="QGJ526" s="1358"/>
      <c r="QGK526" s="1358"/>
      <c r="QGL526" s="1358"/>
      <c r="QGM526" s="1358"/>
      <c r="QGN526" s="1358"/>
      <c r="QGO526" s="1358"/>
      <c r="QGP526" s="1358"/>
      <c r="QGQ526" s="1358"/>
      <c r="QGR526" s="1358"/>
      <c r="QGS526" s="1358"/>
      <c r="QGT526" s="1358"/>
      <c r="QGU526" s="1358"/>
      <c r="QGV526" s="1358"/>
      <c r="QGW526" s="1358"/>
      <c r="QGX526" s="1358"/>
      <c r="QGY526" s="1358"/>
      <c r="QGZ526" s="1358"/>
      <c r="QHA526" s="1358"/>
      <c r="QHB526" s="1358"/>
      <c r="QHC526" s="1358"/>
      <c r="QHD526" s="1358"/>
      <c r="QHE526" s="1358"/>
      <c r="QHF526" s="1358"/>
      <c r="QHG526" s="1358"/>
      <c r="QHH526" s="1358"/>
      <c r="QHI526" s="1358"/>
      <c r="QHJ526" s="1358"/>
      <c r="QHK526" s="1358"/>
      <c r="QHL526" s="1358"/>
      <c r="QHM526" s="1358"/>
      <c r="QHN526" s="1358"/>
      <c r="QHO526" s="1358"/>
      <c r="QHP526" s="1358"/>
      <c r="QHQ526" s="1358"/>
      <c r="QHR526" s="1358"/>
      <c r="QHS526" s="1358"/>
      <c r="QHT526" s="1358"/>
      <c r="QHU526" s="1358"/>
      <c r="QHV526" s="1358"/>
      <c r="QHW526" s="1358"/>
      <c r="QHX526" s="1358"/>
      <c r="QHY526" s="1358"/>
      <c r="QHZ526" s="1358"/>
      <c r="QIA526" s="1358"/>
      <c r="QIB526" s="1358"/>
      <c r="QIC526" s="1358"/>
      <c r="QID526" s="1358"/>
      <c r="QIE526" s="1358"/>
      <c r="QIF526" s="1358"/>
      <c r="QIG526" s="1358"/>
      <c r="QIH526" s="1358"/>
      <c r="QII526" s="1358"/>
      <c r="QIJ526" s="1358"/>
      <c r="QIK526" s="1358"/>
      <c r="QIL526" s="1358"/>
      <c r="QIM526" s="1358"/>
      <c r="QIN526" s="1358"/>
      <c r="QIO526" s="1358"/>
      <c r="QIP526" s="1358"/>
      <c r="QIQ526" s="1358"/>
      <c r="QIR526" s="1358"/>
      <c r="QIS526" s="1358"/>
      <c r="QIT526" s="1358"/>
      <c r="QIU526" s="1358"/>
      <c r="QIV526" s="1358"/>
      <c r="QIW526" s="1358"/>
      <c r="QIX526" s="1358"/>
      <c r="QIY526" s="1358"/>
      <c r="QIZ526" s="1358"/>
      <c r="QJA526" s="1358"/>
      <c r="QJB526" s="1358"/>
      <c r="QJC526" s="1358"/>
      <c r="QJD526" s="1358"/>
      <c r="QJE526" s="1358"/>
      <c r="QJF526" s="1358"/>
      <c r="QJG526" s="1358"/>
      <c r="QJH526" s="1358"/>
      <c r="QJI526" s="1358"/>
      <c r="QJJ526" s="1358"/>
      <c r="QJK526" s="1358"/>
      <c r="QJL526" s="1358"/>
      <c r="QJM526" s="1358"/>
      <c r="QJN526" s="1358"/>
      <c r="QJO526" s="1358"/>
      <c r="QJP526" s="1358"/>
      <c r="QJQ526" s="1358"/>
      <c r="QJR526" s="1358"/>
      <c r="QJS526" s="1358"/>
      <c r="QJT526" s="1358"/>
      <c r="QJU526" s="1358"/>
      <c r="QJV526" s="1358"/>
      <c r="QJW526" s="1358"/>
      <c r="QJX526" s="1358"/>
      <c r="QJY526" s="1358"/>
      <c r="QJZ526" s="1358"/>
      <c r="QKA526" s="1358"/>
      <c r="QKB526" s="1358"/>
      <c r="QKC526" s="1358"/>
      <c r="QKD526" s="1358"/>
      <c r="QKE526" s="1358"/>
      <c r="QKF526" s="1358"/>
      <c r="QKG526" s="1358"/>
      <c r="QKH526" s="1358"/>
      <c r="QKI526" s="1358"/>
      <c r="QKJ526" s="1358"/>
      <c r="QKK526" s="1358"/>
      <c r="QKL526" s="1358"/>
      <c r="QKM526" s="1358"/>
      <c r="QKN526" s="1358"/>
      <c r="QKO526" s="1358"/>
      <c r="QKP526" s="1358"/>
      <c r="QKQ526" s="1358"/>
      <c r="QKR526" s="1358"/>
      <c r="QKS526" s="1358"/>
      <c r="QKT526" s="1358"/>
      <c r="QKU526" s="1358"/>
      <c r="QKV526" s="1358"/>
      <c r="QKW526" s="1358"/>
      <c r="QKX526" s="1358"/>
      <c r="QKY526" s="1358"/>
      <c r="QKZ526" s="1358"/>
      <c r="QLA526" s="1358"/>
      <c r="QLB526" s="1358"/>
      <c r="QLC526" s="1358"/>
      <c r="QLD526" s="1358"/>
      <c r="QLE526" s="1358"/>
      <c r="QLF526" s="1358"/>
      <c r="QLG526" s="1358"/>
      <c r="QLH526" s="1358"/>
      <c r="QLI526" s="1358"/>
      <c r="QLJ526" s="1358"/>
      <c r="QLK526" s="1358"/>
      <c r="QLL526" s="1358"/>
      <c r="QLM526" s="1358"/>
      <c r="QLN526" s="1358"/>
      <c r="QLO526" s="1358"/>
      <c r="QLP526" s="1358"/>
      <c r="QLQ526" s="1358"/>
      <c r="QLR526" s="1358"/>
      <c r="QLS526" s="1358"/>
      <c r="QLT526" s="1358"/>
      <c r="QLU526" s="1358"/>
      <c r="QLV526" s="1358"/>
      <c r="QLW526" s="1358"/>
      <c r="QLX526" s="1358"/>
      <c r="QLY526" s="1358"/>
      <c r="QLZ526" s="1358"/>
      <c r="QMA526" s="1358"/>
      <c r="QMB526" s="1358"/>
      <c r="QMC526" s="1358"/>
      <c r="QMD526" s="1358"/>
      <c r="QME526" s="1358"/>
      <c r="QMF526" s="1358"/>
      <c r="QMG526" s="1358"/>
      <c r="QMH526" s="1358"/>
      <c r="QMI526" s="1358"/>
      <c r="QMJ526" s="1358"/>
      <c r="QMK526" s="1358"/>
      <c r="QML526" s="1358"/>
      <c r="QMM526" s="1358"/>
      <c r="QMN526" s="1358"/>
      <c r="QMO526" s="1358"/>
      <c r="QMP526" s="1358"/>
      <c r="QMQ526" s="1358"/>
      <c r="QMR526" s="1358"/>
      <c r="QMS526" s="1358"/>
      <c r="QMT526" s="1358"/>
      <c r="QMU526" s="1358"/>
      <c r="QMV526" s="1358"/>
      <c r="QMW526" s="1358"/>
      <c r="QMX526" s="1358"/>
      <c r="QMY526" s="1358"/>
      <c r="QMZ526" s="1358"/>
      <c r="QNA526" s="1358"/>
      <c r="QNB526" s="1358"/>
      <c r="QNC526" s="1358"/>
      <c r="QND526" s="1358"/>
      <c r="QNE526" s="1358"/>
      <c r="QNF526" s="1358"/>
      <c r="QNG526" s="1358"/>
      <c r="QNH526" s="1358"/>
      <c r="QNI526" s="1358"/>
      <c r="QNJ526" s="1358"/>
      <c r="QNK526" s="1358"/>
      <c r="QNL526" s="1358"/>
      <c r="QNM526" s="1358"/>
      <c r="QNN526" s="1358"/>
      <c r="QNO526" s="1358"/>
      <c r="QNP526" s="1358"/>
      <c r="QNQ526" s="1358"/>
      <c r="QNR526" s="1358"/>
      <c r="QNS526" s="1358"/>
      <c r="QNT526" s="1358"/>
      <c r="QNU526" s="1358"/>
      <c r="QNV526" s="1358"/>
      <c r="QNW526" s="1358"/>
      <c r="QNX526" s="1358"/>
      <c r="QNY526" s="1358"/>
      <c r="QNZ526" s="1358"/>
      <c r="QOA526" s="1358"/>
      <c r="QOB526" s="1358"/>
      <c r="QOC526" s="1358"/>
      <c r="QOD526" s="1358"/>
      <c r="QOE526" s="1358"/>
      <c r="QOF526" s="1358"/>
      <c r="QOG526" s="1358"/>
      <c r="QOH526" s="1358"/>
      <c r="QOI526" s="1358"/>
      <c r="QOJ526" s="1358"/>
      <c r="QOK526" s="1358"/>
      <c r="QOL526" s="1358"/>
      <c r="QOM526" s="1358"/>
      <c r="QON526" s="1358"/>
      <c r="QOO526" s="1358"/>
      <c r="QOP526" s="1358"/>
      <c r="QOQ526" s="1358"/>
      <c r="QOR526" s="1358"/>
      <c r="QOS526" s="1358"/>
      <c r="QOT526" s="1358"/>
      <c r="QOU526" s="1358"/>
      <c r="QOV526" s="1358"/>
      <c r="QOW526" s="1358"/>
      <c r="QOX526" s="1358"/>
      <c r="QOY526" s="1358"/>
      <c r="QOZ526" s="1358"/>
      <c r="QPA526" s="1358"/>
      <c r="QPB526" s="1358"/>
      <c r="QPC526" s="1358"/>
      <c r="QPD526" s="1358"/>
      <c r="QPE526" s="1358"/>
      <c r="QPF526" s="1358"/>
      <c r="QPG526" s="1358"/>
      <c r="QPH526" s="1358"/>
      <c r="QPI526" s="1358"/>
      <c r="QPJ526" s="1358"/>
      <c r="QPK526" s="1358"/>
      <c r="QPL526" s="1358"/>
      <c r="QPM526" s="1358"/>
      <c r="QPN526" s="1358"/>
      <c r="QPO526" s="1358"/>
      <c r="QPP526" s="1358"/>
      <c r="QPQ526" s="1358"/>
      <c r="QPR526" s="1358"/>
      <c r="QPS526" s="1358"/>
      <c r="QPT526" s="1358"/>
      <c r="QPU526" s="1358"/>
      <c r="QPV526" s="1358"/>
      <c r="QPW526" s="1358"/>
      <c r="QPX526" s="1358"/>
      <c r="QPY526" s="1358"/>
      <c r="QPZ526" s="1358"/>
      <c r="QQA526" s="1358"/>
      <c r="QQB526" s="1358"/>
      <c r="QQC526" s="1358"/>
      <c r="QQD526" s="1358"/>
      <c r="QQE526" s="1358"/>
      <c r="QQF526" s="1358"/>
      <c r="QQG526" s="1358"/>
      <c r="QQH526" s="1358"/>
      <c r="QQI526" s="1358"/>
      <c r="QQJ526" s="1358"/>
      <c r="QQK526" s="1358"/>
      <c r="QQL526" s="1358"/>
      <c r="QQM526" s="1358"/>
      <c r="QQN526" s="1358"/>
      <c r="QQO526" s="1358"/>
      <c r="QQP526" s="1358"/>
      <c r="QQQ526" s="1358"/>
      <c r="QQR526" s="1358"/>
      <c r="QQS526" s="1358"/>
      <c r="QQT526" s="1358"/>
      <c r="QQU526" s="1358"/>
      <c r="QQV526" s="1358"/>
      <c r="QQW526" s="1358"/>
      <c r="QQX526" s="1358"/>
      <c r="QQY526" s="1358"/>
      <c r="QQZ526" s="1358"/>
      <c r="QRA526" s="1358"/>
      <c r="QRB526" s="1358"/>
      <c r="QRC526" s="1358"/>
      <c r="QRD526" s="1358"/>
      <c r="QRE526" s="1358"/>
      <c r="QRF526" s="1358"/>
      <c r="QRG526" s="1358"/>
      <c r="QRH526" s="1358"/>
      <c r="QRI526" s="1358"/>
      <c r="QRJ526" s="1358"/>
      <c r="QRK526" s="1358"/>
      <c r="QRL526" s="1358"/>
      <c r="QRM526" s="1358"/>
      <c r="QRN526" s="1358"/>
      <c r="QRO526" s="1358"/>
      <c r="QRP526" s="1358"/>
      <c r="QRQ526" s="1358"/>
      <c r="QRR526" s="1358"/>
      <c r="QRS526" s="1358"/>
      <c r="QRT526" s="1358"/>
      <c r="QRU526" s="1358"/>
      <c r="QRV526" s="1358"/>
      <c r="QRW526" s="1358"/>
      <c r="QRX526" s="1358"/>
      <c r="QRY526" s="1358"/>
      <c r="QRZ526" s="1358"/>
      <c r="QSA526" s="1358"/>
      <c r="QSB526" s="1358"/>
      <c r="QSC526" s="1358"/>
      <c r="QSD526" s="1358"/>
      <c r="QSE526" s="1358"/>
      <c r="QSF526" s="1358"/>
      <c r="QSG526" s="1358"/>
      <c r="QSH526" s="1358"/>
      <c r="QSI526" s="1358"/>
      <c r="QSJ526" s="1358"/>
      <c r="QSK526" s="1358"/>
      <c r="QSL526" s="1358"/>
      <c r="QSM526" s="1358"/>
      <c r="QSN526" s="1358"/>
      <c r="QSO526" s="1358"/>
      <c r="QSP526" s="1358"/>
      <c r="QSQ526" s="1358"/>
      <c r="QSR526" s="1358"/>
      <c r="QSS526" s="1358"/>
      <c r="QST526" s="1358"/>
      <c r="QSU526" s="1358"/>
      <c r="QSV526" s="1358"/>
      <c r="QSW526" s="1358"/>
      <c r="QSX526" s="1358"/>
      <c r="QSY526" s="1358"/>
      <c r="QSZ526" s="1358"/>
      <c r="QTA526" s="1358"/>
      <c r="QTB526" s="1358"/>
      <c r="QTC526" s="1358"/>
      <c r="QTD526" s="1358"/>
      <c r="QTE526" s="1358"/>
      <c r="QTF526" s="1358"/>
      <c r="QTG526" s="1358"/>
      <c r="QTH526" s="1358"/>
      <c r="QTI526" s="1358"/>
      <c r="QTJ526" s="1358"/>
      <c r="QTK526" s="1358"/>
      <c r="QTL526" s="1358"/>
      <c r="QTM526" s="1358"/>
      <c r="QTN526" s="1358"/>
      <c r="QTO526" s="1358"/>
      <c r="QTP526" s="1358"/>
      <c r="QTQ526" s="1358"/>
      <c r="QTR526" s="1358"/>
      <c r="QTS526" s="1358"/>
      <c r="QTT526" s="1358"/>
      <c r="QTU526" s="1358"/>
      <c r="QTV526" s="1358"/>
      <c r="QTW526" s="1358"/>
      <c r="QTX526" s="1358"/>
      <c r="QTY526" s="1358"/>
      <c r="QTZ526" s="1358"/>
      <c r="QUA526" s="1358"/>
      <c r="QUB526" s="1358"/>
      <c r="QUC526" s="1358"/>
      <c r="QUD526" s="1358"/>
      <c r="QUE526" s="1358"/>
      <c r="QUF526" s="1358"/>
      <c r="QUG526" s="1358"/>
      <c r="QUH526" s="1358"/>
      <c r="QUI526" s="1358"/>
      <c r="QUJ526" s="1358"/>
      <c r="QUK526" s="1358"/>
      <c r="QUL526" s="1358"/>
      <c r="QUM526" s="1358"/>
      <c r="QUN526" s="1358"/>
      <c r="QUO526" s="1358"/>
      <c r="QUP526" s="1358"/>
      <c r="QUQ526" s="1358"/>
      <c r="QUR526" s="1358"/>
      <c r="QUS526" s="1358"/>
      <c r="QUT526" s="1358"/>
      <c r="QUU526" s="1358"/>
      <c r="QUV526" s="1358"/>
      <c r="QUW526" s="1358"/>
      <c r="QUX526" s="1358"/>
      <c r="QUY526" s="1358"/>
      <c r="QUZ526" s="1358"/>
      <c r="QVA526" s="1358"/>
      <c r="QVB526" s="1358"/>
      <c r="QVC526" s="1358"/>
      <c r="QVD526" s="1358"/>
      <c r="QVE526" s="1358"/>
      <c r="QVF526" s="1358"/>
      <c r="QVG526" s="1358"/>
      <c r="QVH526" s="1358"/>
      <c r="QVI526" s="1358"/>
      <c r="QVJ526" s="1358"/>
      <c r="QVK526" s="1358"/>
      <c r="QVL526" s="1358"/>
      <c r="QVM526" s="1358"/>
      <c r="QVN526" s="1358"/>
      <c r="QVO526" s="1358"/>
      <c r="QVP526" s="1358"/>
      <c r="QVQ526" s="1358"/>
      <c r="QVR526" s="1358"/>
      <c r="QVS526" s="1358"/>
      <c r="QVT526" s="1358"/>
      <c r="QVU526" s="1358"/>
      <c r="QVV526" s="1358"/>
      <c r="QVW526" s="1358"/>
      <c r="QVX526" s="1358"/>
      <c r="QVY526" s="1358"/>
      <c r="QVZ526" s="1358"/>
      <c r="QWA526" s="1358"/>
      <c r="QWB526" s="1358"/>
      <c r="QWC526" s="1358"/>
      <c r="QWD526" s="1358"/>
      <c r="QWE526" s="1358"/>
      <c r="QWF526" s="1358"/>
      <c r="QWG526" s="1358"/>
      <c r="QWH526" s="1358"/>
      <c r="QWI526" s="1358"/>
      <c r="QWJ526" s="1358"/>
      <c r="QWK526" s="1358"/>
      <c r="QWL526" s="1358"/>
      <c r="QWM526" s="1358"/>
      <c r="QWN526" s="1358"/>
      <c r="QWO526" s="1358"/>
      <c r="QWP526" s="1358"/>
      <c r="QWQ526" s="1358"/>
      <c r="QWR526" s="1358"/>
      <c r="QWS526" s="1358"/>
      <c r="QWT526" s="1358"/>
      <c r="QWU526" s="1358"/>
      <c r="QWV526" s="1358"/>
      <c r="QWW526" s="1358"/>
      <c r="QWX526" s="1358"/>
      <c r="QWY526" s="1358"/>
      <c r="QWZ526" s="1358"/>
      <c r="QXA526" s="1358"/>
      <c r="QXB526" s="1358"/>
      <c r="QXC526" s="1358"/>
      <c r="QXD526" s="1358"/>
      <c r="QXE526" s="1358"/>
      <c r="QXF526" s="1358"/>
      <c r="QXG526" s="1358"/>
      <c r="QXH526" s="1358"/>
      <c r="QXI526" s="1358"/>
      <c r="QXJ526" s="1358"/>
      <c r="QXK526" s="1358"/>
      <c r="QXL526" s="1358"/>
      <c r="QXM526" s="1358"/>
      <c r="QXN526" s="1358"/>
      <c r="QXO526" s="1358"/>
      <c r="QXP526" s="1358"/>
      <c r="QXQ526" s="1358"/>
      <c r="QXR526" s="1358"/>
      <c r="QXS526" s="1358"/>
      <c r="QXT526" s="1358"/>
      <c r="QXU526" s="1358"/>
      <c r="QXV526" s="1358"/>
      <c r="QXW526" s="1358"/>
      <c r="QXX526" s="1358"/>
      <c r="QXY526" s="1358"/>
      <c r="QXZ526" s="1358"/>
      <c r="QYA526" s="1358"/>
      <c r="QYB526" s="1358"/>
      <c r="QYC526" s="1358"/>
      <c r="QYD526" s="1358"/>
      <c r="QYE526" s="1358"/>
      <c r="QYF526" s="1358"/>
      <c r="QYG526" s="1358"/>
      <c r="QYH526" s="1358"/>
      <c r="QYI526" s="1358"/>
      <c r="QYJ526" s="1358"/>
      <c r="QYK526" s="1358"/>
      <c r="QYL526" s="1358"/>
      <c r="QYM526" s="1358"/>
      <c r="QYN526" s="1358"/>
      <c r="QYO526" s="1358"/>
      <c r="QYP526" s="1358"/>
      <c r="QYQ526" s="1358"/>
      <c r="QYR526" s="1358"/>
      <c r="QYS526" s="1358"/>
      <c r="QYT526" s="1358"/>
      <c r="QYU526" s="1358"/>
      <c r="QYV526" s="1358"/>
      <c r="QYW526" s="1358"/>
      <c r="QYX526" s="1358"/>
      <c r="QYY526" s="1358"/>
      <c r="QYZ526" s="1358"/>
      <c r="QZA526" s="1358"/>
      <c r="QZB526" s="1358"/>
      <c r="QZC526" s="1358"/>
      <c r="QZD526" s="1358"/>
      <c r="QZE526" s="1358"/>
      <c r="QZF526" s="1358"/>
      <c r="QZG526" s="1358"/>
      <c r="QZH526" s="1358"/>
      <c r="QZI526" s="1358"/>
      <c r="QZJ526" s="1358"/>
      <c r="QZK526" s="1358"/>
      <c r="QZL526" s="1358"/>
      <c r="QZM526" s="1358"/>
      <c r="QZN526" s="1358"/>
      <c r="QZO526" s="1358"/>
      <c r="QZP526" s="1358"/>
      <c r="QZQ526" s="1358"/>
      <c r="QZR526" s="1358"/>
      <c r="QZS526" s="1358"/>
      <c r="QZT526" s="1358"/>
      <c r="QZU526" s="1358"/>
      <c r="QZV526" s="1358"/>
      <c r="QZW526" s="1358"/>
      <c r="QZX526" s="1358"/>
      <c r="QZY526" s="1358"/>
      <c r="QZZ526" s="1358"/>
      <c r="RAA526" s="1358"/>
      <c r="RAB526" s="1358"/>
      <c r="RAC526" s="1358"/>
      <c r="RAD526" s="1358"/>
      <c r="RAE526" s="1358"/>
      <c r="RAF526" s="1358"/>
      <c r="RAG526" s="1358"/>
      <c r="RAH526" s="1358"/>
      <c r="RAI526" s="1358"/>
      <c r="RAJ526" s="1358"/>
      <c r="RAK526" s="1358"/>
      <c r="RAL526" s="1358"/>
      <c r="RAM526" s="1358"/>
      <c r="RAN526" s="1358"/>
      <c r="RAO526" s="1358"/>
      <c r="RAP526" s="1358"/>
      <c r="RAQ526" s="1358"/>
      <c r="RAR526" s="1358"/>
      <c r="RAS526" s="1358"/>
      <c r="RAT526" s="1358"/>
      <c r="RAU526" s="1358"/>
      <c r="RAV526" s="1358"/>
      <c r="RAW526" s="1358"/>
      <c r="RAX526" s="1358"/>
      <c r="RAY526" s="1358"/>
      <c r="RAZ526" s="1358"/>
      <c r="RBA526" s="1358"/>
      <c r="RBB526" s="1358"/>
      <c r="RBC526" s="1358"/>
      <c r="RBD526" s="1358"/>
      <c r="RBE526" s="1358"/>
      <c r="RBF526" s="1358"/>
      <c r="RBG526" s="1358"/>
      <c r="RBH526" s="1358"/>
      <c r="RBI526" s="1358"/>
      <c r="RBJ526" s="1358"/>
      <c r="RBK526" s="1358"/>
      <c r="RBL526" s="1358"/>
      <c r="RBM526" s="1358"/>
      <c r="RBN526" s="1358"/>
      <c r="RBO526" s="1358"/>
      <c r="RBP526" s="1358"/>
      <c r="RBQ526" s="1358"/>
      <c r="RBR526" s="1358"/>
      <c r="RBS526" s="1358"/>
      <c r="RBT526" s="1358"/>
      <c r="RBU526" s="1358"/>
      <c r="RBV526" s="1358"/>
      <c r="RBW526" s="1358"/>
      <c r="RBX526" s="1358"/>
      <c r="RBY526" s="1358"/>
      <c r="RBZ526" s="1358"/>
      <c r="RCA526" s="1358"/>
      <c r="RCB526" s="1358"/>
      <c r="RCC526" s="1358"/>
      <c r="RCD526" s="1358"/>
      <c r="RCE526" s="1358"/>
      <c r="RCF526" s="1358"/>
      <c r="RCG526" s="1358"/>
      <c r="RCH526" s="1358"/>
      <c r="RCI526" s="1358"/>
      <c r="RCJ526" s="1358"/>
      <c r="RCK526" s="1358"/>
      <c r="RCL526" s="1358"/>
      <c r="RCM526" s="1358"/>
      <c r="RCN526" s="1358"/>
      <c r="RCO526" s="1358"/>
      <c r="RCP526" s="1358"/>
      <c r="RCQ526" s="1358"/>
      <c r="RCR526" s="1358"/>
      <c r="RCS526" s="1358"/>
      <c r="RCT526" s="1358"/>
      <c r="RCU526" s="1358"/>
      <c r="RCV526" s="1358"/>
      <c r="RCW526" s="1358"/>
      <c r="RCX526" s="1358"/>
      <c r="RCY526" s="1358"/>
      <c r="RCZ526" s="1358"/>
      <c r="RDA526" s="1358"/>
      <c r="RDB526" s="1358"/>
      <c r="RDC526" s="1358"/>
      <c r="RDD526" s="1358"/>
      <c r="RDE526" s="1358"/>
      <c r="RDF526" s="1358"/>
      <c r="RDG526" s="1358"/>
      <c r="RDH526" s="1358"/>
      <c r="RDI526" s="1358"/>
      <c r="RDJ526" s="1358"/>
      <c r="RDK526" s="1358"/>
      <c r="RDL526" s="1358"/>
      <c r="RDM526" s="1358"/>
      <c r="RDN526" s="1358"/>
      <c r="RDO526" s="1358"/>
      <c r="RDP526" s="1358"/>
      <c r="RDQ526" s="1358"/>
      <c r="RDR526" s="1358"/>
      <c r="RDS526" s="1358"/>
      <c r="RDT526" s="1358"/>
      <c r="RDU526" s="1358"/>
      <c r="RDV526" s="1358"/>
      <c r="RDW526" s="1358"/>
      <c r="RDX526" s="1358"/>
      <c r="RDY526" s="1358"/>
      <c r="RDZ526" s="1358"/>
      <c r="REA526" s="1358"/>
      <c r="REB526" s="1358"/>
      <c r="REC526" s="1358"/>
      <c r="RED526" s="1358"/>
      <c r="REE526" s="1358"/>
      <c r="REF526" s="1358"/>
      <c r="REG526" s="1358"/>
      <c r="REH526" s="1358"/>
      <c r="REI526" s="1358"/>
      <c r="REJ526" s="1358"/>
      <c r="REK526" s="1358"/>
      <c r="REL526" s="1358"/>
      <c r="REM526" s="1358"/>
      <c r="REN526" s="1358"/>
      <c r="REO526" s="1358"/>
      <c r="REP526" s="1358"/>
      <c r="REQ526" s="1358"/>
      <c r="RER526" s="1358"/>
      <c r="RES526" s="1358"/>
      <c r="RET526" s="1358"/>
      <c r="REU526" s="1358"/>
      <c r="REV526" s="1358"/>
      <c r="REW526" s="1358"/>
      <c r="REX526" s="1358"/>
      <c r="REY526" s="1358"/>
      <c r="REZ526" s="1358"/>
      <c r="RFA526" s="1358"/>
      <c r="RFB526" s="1358"/>
      <c r="RFC526" s="1358"/>
      <c r="RFD526" s="1358"/>
      <c r="RFE526" s="1358"/>
      <c r="RFF526" s="1358"/>
      <c r="RFG526" s="1358"/>
      <c r="RFH526" s="1358"/>
      <c r="RFI526" s="1358"/>
      <c r="RFJ526" s="1358"/>
      <c r="RFK526" s="1358"/>
      <c r="RFL526" s="1358"/>
      <c r="RFM526" s="1358"/>
      <c r="RFN526" s="1358"/>
      <c r="RFO526" s="1358"/>
      <c r="RFP526" s="1358"/>
      <c r="RFQ526" s="1358"/>
      <c r="RFR526" s="1358"/>
      <c r="RFS526" s="1358"/>
      <c r="RFT526" s="1358"/>
      <c r="RFU526" s="1358"/>
      <c r="RFV526" s="1358"/>
      <c r="RFW526" s="1358"/>
      <c r="RFX526" s="1358"/>
      <c r="RFY526" s="1358"/>
      <c r="RFZ526" s="1358"/>
      <c r="RGA526" s="1358"/>
      <c r="RGB526" s="1358"/>
      <c r="RGC526" s="1358"/>
      <c r="RGD526" s="1358"/>
      <c r="RGE526" s="1358"/>
      <c r="RGF526" s="1358"/>
      <c r="RGG526" s="1358"/>
      <c r="RGH526" s="1358"/>
      <c r="RGI526" s="1358"/>
      <c r="RGJ526" s="1358"/>
      <c r="RGK526" s="1358"/>
      <c r="RGL526" s="1358"/>
      <c r="RGM526" s="1358"/>
      <c r="RGN526" s="1358"/>
      <c r="RGO526" s="1358"/>
      <c r="RGP526" s="1358"/>
      <c r="RGQ526" s="1358"/>
      <c r="RGR526" s="1358"/>
      <c r="RGS526" s="1358"/>
      <c r="RGT526" s="1358"/>
      <c r="RGU526" s="1358"/>
      <c r="RGV526" s="1358"/>
      <c r="RGW526" s="1358"/>
      <c r="RGX526" s="1358"/>
      <c r="RGY526" s="1358"/>
      <c r="RGZ526" s="1358"/>
      <c r="RHA526" s="1358"/>
      <c r="RHB526" s="1358"/>
      <c r="RHC526" s="1358"/>
      <c r="RHD526" s="1358"/>
      <c r="RHE526" s="1358"/>
      <c r="RHF526" s="1358"/>
      <c r="RHG526" s="1358"/>
      <c r="RHH526" s="1358"/>
      <c r="RHI526" s="1358"/>
      <c r="RHJ526" s="1358"/>
      <c r="RHK526" s="1358"/>
      <c r="RHL526" s="1358"/>
      <c r="RHM526" s="1358"/>
      <c r="RHN526" s="1358"/>
      <c r="RHO526" s="1358"/>
      <c r="RHP526" s="1358"/>
      <c r="RHQ526" s="1358"/>
      <c r="RHR526" s="1358"/>
      <c r="RHS526" s="1358"/>
      <c r="RHT526" s="1358"/>
      <c r="RHU526" s="1358"/>
      <c r="RHV526" s="1358"/>
      <c r="RHW526" s="1358"/>
      <c r="RHX526" s="1358"/>
      <c r="RHY526" s="1358"/>
      <c r="RHZ526" s="1358"/>
      <c r="RIA526" s="1358"/>
      <c r="RIB526" s="1358"/>
      <c r="RIC526" s="1358"/>
      <c r="RID526" s="1358"/>
      <c r="RIE526" s="1358"/>
      <c r="RIF526" s="1358"/>
      <c r="RIG526" s="1358"/>
      <c r="RIH526" s="1358"/>
      <c r="RII526" s="1358"/>
      <c r="RIJ526" s="1358"/>
      <c r="RIK526" s="1358"/>
      <c r="RIL526" s="1358"/>
      <c r="RIM526" s="1358"/>
      <c r="RIN526" s="1358"/>
      <c r="RIO526" s="1358"/>
      <c r="RIP526" s="1358"/>
      <c r="RIQ526" s="1358"/>
      <c r="RIR526" s="1358"/>
      <c r="RIS526" s="1358"/>
      <c r="RIT526" s="1358"/>
      <c r="RIU526" s="1358"/>
      <c r="RIV526" s="1358"/>
      <c r="RIW526" s="1358"/>
      <c r="RIX526" s="1358"/>
      <c r="RIY526" s="1358"/>
      <c r="RIZ526" s="1358"/>
      <c r="RJA526" s="1358"/>
      <c r="RJB526" s="1358"/>
      <c r="RJC526" s="1358"/>
      <c r="RJD526" s="1358"/>
      <c r="RJE526" s="1358"/>
      <c r="RJF526" s="1358"/>
      <c r="RJG526" s="1358"/>
      <c r="RJH526" s="1358"/>
      <c r="RJI526" s="1358"/>
      <c r="RJJ526" s="1358"/>
      <c r="RJK526" s="1358"/>
      <c r="RJL526" s="1358"/>
      <c r="RJM526" s="1358"/>
      <c r="RJN526" s="1358"/>
      <c r="RJO526" s="1358"/>
      <c r="RJP526" s="1358"/>
      <c r="RJQ526" s="1358"/>
      <c r="RJR526" s="1358"/>
      <c r="RJS526" s="1358"/>
      <c r="RJT526" s="1358"/>
      <c r="RJU526" s="1358"/>
      <c r="RJV526" s="1358"/>
      <c r="RJW526" s="1358"/>
      <c r="RJX526" s="1358"/>
      <c r="RJY526" s="1358"/>
      <c r="RJZ526" s="1358"/>
      <c r="RKA526" s="1358"/>
      <c r="RKB526" s="1358"/>
      <c r="RKC526" s="1358"/>
      <c r="RKD526" s="1358"/>
      <c r="RKE526" s="1358"/>
      <c r="RKF526" s="1358"/>
      <c r="RKG526" s="1358"/>
      <c r="RKH526" s="1358"/>
      <c r="RKI526" s="1358"/>
      <c r="RKJ526" s="1358"/>
      <c r="RKK526" s="1358"/>
      <c r="RKL526" s="1358"/>
      <c r="RKM526" s="1358"/>
      <c r="RKN526" s="1358"/>
      <c r="RKO526" s="1358"/>
      <c r="RKP526" s="1358"/>
      <c r="RKQ526" s="1358"/>
      <c r="RKR526" s="1358"/>
      <c r="RKS526" s="1358"/>
      <c r="RKT526" s="1358"/>
      <c r="RKU526" s="1358"/>
      <c r="RKV526" s="1358"/>
      <c r="RKW526" s="1358"/>
      <c r="RKX526" s="1358"/>
      <c r="RKY526" s="1358"/>
      <c r="RKZ526" s="1358"/>
      <c r="RLA526" s="1358"/>
      <c r="RLB526" s="1358"/>
      <c r="RLC526" s="1358"/>
      <c r="RLD526" s="1358"/>
      <c r="RLE526" s="1358"/>
      <c r="RLF526" s="1358"/>
      <c r="RLG526" s="1358"/>
      <c r="RLH526" s="1358"/>
      <c r="RLI526" s="1358"/>
      <c r="RLJ526" s="1358"/>
      <c r="RLK526" s="1358"/>
      <c r="RLL526" s="1358"/>
      <c r="RLM526" s="1358"/>
      <c r="RLN526" s="1358"/>
      <c r="RLO526" s="1358"/>
      <c r="RLP526" s="1358"/>
      <c r="RLQ526" s="1358"/>
      <c r="RLR526" s="1358"/>
      <c r="RLS526" s="1358"/>
      <c r="RLT526" s="1358"/>
      <c r="RLU526" s="1358"/>
      <c r="RLV526" s="1358"/>
      <c r="RLW526" s="1358"/>
      <c r="RLX526" s="1358"/>
      <c r="RLY526" s="1358"/>
      <c r="RLZ526" s="1358"/>
      <c r="RMA526" s="1358"/>
      <c r="RMB526" s="1358"/>
      <c r="RMC526" s="1358"/>
      <c r="RMD526" s="1358"/>
      <c r="RME526" s="1358"/>
      <c r="RMF526" s="1358"/>
      <c r="RMG526" s="1358"/>
      <c r="RMH526" s="1358"/>
      <c r="RMI526" s="1358"/>
      <c r="RMJ526" s="1358"/>
      <c r="RMK526" s="1358"/>
      <c r="RML526" s="1358"/>
      <c r="RMM526" s="1358"/>
      <c r="RMN526" s="1358"/>
      <c r="RMO526" s="1358"/>
      <c r="RMP526" s="1358"/>
      <c r="RMQ526" s="1358"/>
      <c r="RMR526" s="1358"/>
      <c r="RMS526" s="1358"/>
      <c r="RMT526" s="1358"/>
      <c r="RMU526" s="1358"/>
      <c r="RMV526" s="1358"/>
      <c r="RMW526" s="1358"/>
      <c r="RMX526" s="1358"/>
      <c r="RMY526" s="1358"/>
      <c r="RMZ526" s="1358"/>
      <c r="RNA526" s="1358"/>
      <c r="RNB526" s="1358"/>
      <c r="RNC526" s="1358"/>
      <c r="RND526" s="1358"/>
      <c r="RNE526" s="1358"/>
      <c r="RNF526" s="1358"/>
      <c r="RNG526" s="1358"/>
      <c r="RNH526" s="1358"/>
      <c r="RNI526" s="1358"/>
      <c r="RNJ526" s="1358"/>
      <c r="RNK526" s="1358"/>
      <c r="RNL526" s="1358"/>
      <c r="RNM526" s="1358"/>
      <c r="RNN526" s="1358"/>
      <c r="RNO526" s="1358"/>
      <c r="RNP526" s="1358"/>
      <c r="RNQ526" s="1358"/>
      <c r="RNR526" s="1358"/>
      <c r="RNS526" s="1358"/>
      <c r="RNT526" s="1358"/>
      <c r="RNU526" s="1358"/>
      <c r="RNV526" s="1358"/>
      <c r="RNW526" s="1358"/>
      <c r="RNX526" s="1358"/>
      <c r="RNY526" s="1358"/>
      <c r="RNZ526" s="1358"/>
      <c r="ROA526" s="1358"/>
      <c r="ROB526" s="1358"/>
      <c r="ROC526" s="1358"/>
      <c r="ROD526" s="1358"/>
      <c r="ROE526" s="1358"/>
      <c r="ROF526" s="1358"/>
      <c r="ROG526" s="1358"/>
      <c r="ROH526" s="1358"/>
      <c r="ROI526" s="1358"/>
      <c r="ROJ526" s="1358"/>
      <c r="ROK526" s="1358"/>
      <c r="ROL526" s="1358"/>
      <c r="ROM526" s="1358"/>
      <c r="RON526" s="1358"/>
      <c r="ROO526" s="1358"/>
      <c r="ROP526" s="1358"/>
      <c r="ROQ526" s="1358"/>
      <c r="ROR526" s="1358"/>
      <c r="ROS526" s="1358"/>
      <c r="ROT526" s="1358"/>
      <c r="ROU526" s="1358"/>
      <c r="ROV526" s="1358"/>
      <c r="ROW526" s="1358"/>
      <c r="ROX526" s="1358"/>
      <c r="ROY526" s="1358"/>
      <c r="ROZ526" s="1358"/>
      <c r="RPA526" s="1358"/>
      <c r="RPB526" s="1358"/>
      <c r="RPC526" s="1358"/>
      <c r="RPD526" s="1358"/>
      <c r="RPE526" s="1358"/>
      <c r="RPF526" s="1358"/>
      <c r="RPG526" s="1358"/>
      <c r="RPH526" s="1358"/>
      <c r="RPI526" s="1358"/>
      <c r="RPJ526" s="1358"/>
      <c r="RPK526" s="1358"/>
      <c r="RPL526" s="1358"/>
      <c r="RPM526" s="1358"/>
      <c r="RPN526" s="1358"/>
      <c r="RPO526" s="1358"/>
      <c r="RPP526" s="1358"/>
      <c r="RPQ526" s="1358"/>
      <c r="RPR526" s="1358"/>
      <c r="RPS526" s="1358"/>
      <c r="RPT526" s="1358"/>
      <c r="RPU526" s="1358"/>
      <c r="RPV526" s="1358"/>
      <c r="RPW526" s="1358"/>
      <c r="RPX526" s="1358"/>
      <c r="RPY526" s="1358"/>
      <c r="RPZ526" s="1358"/>
      <c r="RQA526" s="1358"/>
      <c r="RQB526" s="1358"/>
      <c r="RQC526" s="1358"/>
      <c r="RQD526" s="1358"/>
      <c r="RQE526" s="1358"/>
      <c r="RQF526" s="1358"/>
      <c r="RQG526" s="1358"/>
      <c r="RQH526" s="1358"/>
      <c r="RQI526" s="1358"/>
      <c r="RQJ526" s="1358"/>
      <c r="RQK526" s="1358"/>
      <c r="RQL526" s="1358"/>
      <c r="RQM526" s="1358"/>
      <c r="RQN526" s="1358"/>
      <c r="RQO526" s="1358"/>
      <c r="RQP526" s="1358"/>
      <c r="RQQ526" s="1358"/>
      <c r="RQR526" s="1358"/>
      <c r="RQS526" s="1358"/>
      <c r="RQT526" s="1358"/>
      <c r="RQU526" s="1358"/>
      <c r="RQV526" s="1358"/>
      <c r="RQW526" s="1358"/>
      <c r="RQX526" s="1358"/>
      <c r="RQY526" s="1358"/>
      <c r="RQZ526" s="1358"/>
      <c r="RRA526" s="1358"/>
      <c r="RRB526" s="1358"/>
      <c r="RRC526" s="1358"/>
      <c r="RRD526" s="1358"/>
      <c r="RRE526" s="1358"/>
      <c r="RRF526" s="1358"/>
      <c r="RRG526" s="1358"/>
      <c r="RRH526" s="1358"/>
      <c r="RRI526" s="1358"/>
      <c r="RRJ526" s="1358"/>
      <c r="RRK526" s="1358"/>
      <c r="RRL526" s="1358"/>
      <c r="RRM526" s="1358"/>
      <c r="RRN526" s="1358"/>
      <c r="RRO526" s="1358"/>
      <c r="RRP526" s="1358"/>
      <c r="RRQ526" s="1358"/>
      <c r="RRR526" s="1358"/>
      <c r="RRS526" s="1358"/>
      <c r="RRT526" s="1358"/>
      <c r="RRU526" s="1358"/>
      <c r="RRV526" s="1358"/>
      <c r="RRW526" s="1358"/>
      <c r="RRX526" s="1358"/>
      <c r="RRY526" s="1358"/>
      <c r="RRZ526" s="1358"/>
      <c r="RSA526" s="1358"/>
      <c r="RSB526" s="1358"/>
      <c r="RSC526" s="1358"/>
      <c r="RSD526" s="1358"/>
      <c r="RSE526" s="1358"/>
      <c r="RSF526" s="1358"/>
      <c r="RSG526" s="1358"/>
      <c r="RSH526" s="1358"/>
      <c r="RSI526" s="1358"/>
      <c r="RSJ526" s="1358"/>
      <c r="RSK526" s="1358"/>
      <c r="RSL526" s="1358"/>
      <c r="RSM526" s="1358"/>
      <c r="RSN526" s="1358"/>
      <c r="RSO526" s="1358"/>
      <c r="RSP526" s="1358"/>
      <c r="RSQ526" s="1358"/>
      <c r="RSR526" s="1358"/>
      <c r="RSS526" s="1358"/>
      <c r="RST526" s="1358"/>
      <c r="RSU526" s="1358"/>
      <c r="RSV526" s="1358"/>
      <c r="RSW526" s="1358"/>
      <c r="RSX526" s="1358"/>
      <c r="RSY526" s="1358"/>
      <c r="RSZ526" s="1358"/>
      <c r="RTA526" s="1358"/>
      <c r="RTB526" s="1358"/>
      <c r="RTC526" s="1358"/>
      <c r="RTD526" s="1358"/>
      <c r="RTE526" s="1358"/>
      <c r="RTF526" s="1358"/>
      <c r="RTG526" s="1358"/>
      <c r="RTH526" s="1358"/>
      <c r="RTI526" s="1358"/>
      <c r="RTJ526" s="1358"/>
      <c r="RTK526" s="1358"/>
      <c r="RTL526" s="1358"/>
      <c r="RTM526" s="1358"/>
      <c r="RTN526" s="1358"/>
      <c r="RTO526" s="1358"/>
      <c r="RTP526" s="1358"/>
      <c r="RTQ526" s="1358"/>
      <c r="RTR526" s="1358"/>
      <c r="RTS526" s="1358"/>
      <c r="RTT526" s="1358"/>
      <c r="RTU526" s="1358"/>
      <c r="RTV526" s="1358"/>
      <c r="RTW526" s="1358"/>
      <c r="RTX526" s="1358"/>
      <c r="RTY526" s="1358"/>
      <c r="RTZ526" s="1358"/>
      <c r="RUA526" s="1358"/>
      <c r="RUB526" s="1358"/>
      <c r="RUC526" s="1358"/>
      <c r="RUD526" s="1358"/>
      <c r="RUE526" s="1358"/>
      <c r="RUF526" s="1358"/>
      <c r="RUG526" s="1358"/>
      <c r="RUH526" s="1358"/>
      <c r="RUI526" s="1358"/>
      <c r="RUJ526" s="1358"/>
      <c r="RUK526" s="1358"/>
      <c r="RUL526" s="1358"/>
      <c r="RUM526" s="1358"/>
      <c r="RUN526" s="1358"/>
      <c r="RUO526" s="1358"/>
      <c r="RUP526" s="1358"/>
      <c r="RUQ526" s="1358"/>
      <c r="RUR526" s="1358"/>
      <c r="RUS526" s="1358"/>
      <c r="RUT526" s="1358"/>
      <c r="RUU526" s="1358"/>
      <c r="RUV526" s="1358"/>
      <c r="RUW526" s="1358"/>
      <c r="RUX526" s="1358"/>
      <c r="RUY526" s="1358"/>
      <c r="RUZ526" s="1358"/>
      <c r="RVA526" s="1358"/>
      <c r="RVB526" s="1358"/>
      <c r="RVC526" s="1358"/>
      <c r="RVD526" s="1358"/>
      <c r="RVE526" s="1358"/>
      <c r="RVF526" s="1358"/>
      <c r="RVG526" s="1358"/>
      <c r="RVH526" s="1358"/>
      <c r="RVI526" s="1358"/>
      <c r="RVJ526" s="1358"/>
      <c r="RVK526" s="1358"/>
      <c r="RVL526" s="1358"/>
      <c r="RVM526" s="1358"/>
      <c r="RVN526" s="1358"/>
      <c r="RVO526" s="1358"/>
      <c r="RVP526" s="1358"/>
      <c r="RVQ526" s="1358"/>
      <c r="RVR526" s="1358"/>
      <c r="RVS526" s="1358"/>
      <c r="RVT526" s="1358"/>
      <c r="RVU526" s="1358"/>
      <c r="RVV526" s="1358"/>
      <c r="RVW526" s="1358"/>
      <c r="RVX526" s="1358"/>
      <c r="RVY526" s="1358"/>
      <c r="RVZ526" s="1358"/>
      <c r="RWA526" s="1358"/>
      <c r="RWB526" s="1358"/>
      <c r="RWC526" s="1358"/>
      <c r="RWD526" s="1358"/>
      <c r="RWE526" s="1358"/>
      <c r="RWF526" s="1358"/>
      <c r="RWG526" s="1358"/>
      <c r="RWH526" s="1358"/>
      <c r="RWI526" s="1358"/>
      <c r="RWJ526" s="1358"/>
      <c r="RWK526" s="1358"/>
      <c r="RWL526" s="1358"/>
      <c r="RWM526" s="1358"/>
      <c r="RWN526" s="1358"/>
      <c r="RWO526" s="1358"/>
      <c r="RWP526" s="1358"/>
      <c r="RWQ526" s="1358"/>
      <c r="RWR526" s="1358"/>
      <c r="RWS526" s="1358"/>
      <c r="RWT526" s="1358"/>
      <c r="RWU526" s="1358"/>
      <c r="RWV526" s="1358"/>
      <c r="RWW526" s="1358"/>
      <c r="RWX526" s="1358"/>
      <c r="RWY526" s="1358"/>
      <c r="RWZ526" s="1358"/>
      <c r="RXA526" s="1358"/>
      <c r="RXB526" s="1358"/>
      <c r="RXC526" s="1358"/>
      <c r="RXD526" s="1358"/>
      <c r="RXE526" s="1358"/>
      <c r="RXF526" s="1358"/>
      <c r="RXG526" s="1358"/>
      <c r="RXH526" s="1358"/>
      <c r="RXI526" s="1358"/>
      <c r="RXJ526" s="1358"/>
      <c r="RXK526" s="1358"/>
      <c r="RXL526" s="1358"/>
      <c r="RXM526" s="1358"/>
      <c r="RXN526" s="1358"/>
      <c r="RXO526" s="1358"/>
      <c r="RXP526" s="1358"/>
      <c r="RXQ526" s="1358"/>
      <c r="RXR526" s="1358"/>
      <c r="RXS526" s="1358"/>
      <c r="RXT526" s="1358"/>
      <c r="RXU526" s="1358"/>
      <c r="RXV526" s="1358"/>
      <c r="RXW526" s="1358"/>
      <c r="RXX526" s="1358"/>
      <c r="RXY526" s="1358"/>
      <c r="RXZ526" s="1358"/>
      <c r="RYA526" s="1358"/>
      <c r="RYB526" s="1358"/>
      <c r="RYC526" s="1358"/>
      <c r="RYD526" s="1358"/>
      <c r="RYE526" s="1358"/>
      <c r="RYF526" s="1358"/>
      <c r="RYG526" s="1358"/>
      <c r="RYH526" s="1358"/>
      <c r="RYI526" s="1358"/>
      <c r="RYJ526" s="1358"/>
      <c r="RYK526" s="1358"/>
      <c r="RYL526" s="1358"/>
      <c r="RYM526" s="1358"/>
      <c r="RYN526" s="1358"/>
      <c r="RYO526" s="1358"/>
      <c r="RYP526" s="1358"/>
      <c r="RYQ526" s="1358"/>
      <c r="RYR526" s="1358"/>
      <c r="RYS526" s="1358"/>
      <c r="RYT526" s="1358"/>
      <c r="RYU526" s="1358"/>
      <c r="RYV526" s="1358"/>
      <c r="RYW526" s="1358"/>
      <c r="RYX526" s="1358"/>
      <c r="RYY526" s="1358"/>
      <c r="RYZ526" s="1358"/>
      <c r="RZA526" s="1358"/>
      <c r="RZB526" s="1358"/>
      <c r="RZC526" s="1358"/>
      <c r="RZD526" s="1358"/>
      <c r="RZE526" s="1358"/>
      <c r="RZF526" s="1358"/>
      <c r="RZG526" s="1358"/>
      <c r="RZH526" s="1358"/>
      <c r="RZI526" s="1358"/>
      <c r="RZJ526" s="1358"/>
      <c r="RZK526" s="1358"/>
      <c r="RZL526" s="1358"/>
      <c r="RZM526" s="1358"/>
      <c r="RZN526" s="1358"/>
      <c r="RZO526" s="1358"/>
      <c r="RZP526" s="1358"/>
      <c r="RZQ526" s="1358"/>
      <c r="RZR526" s="1358"/>
      <c r="RZS526" s="1358"/>
      <c r="RZT526" s="1358"/>
      <c r="RZU526" s="1358"/>
      <c r="RZV526" s="1358"/>
      <c r="RZW526" s="1358"/>
      <c r="RZX526" s="1358"/>
      <c r="RZY526" s="1358"/>
      <c r="RZZ526" s="1358"/>
      <c r="SAA526" s="1358"/>
      <c r="SAB526" s="1358"/>
      <c r="SAC526" s="1358"/>
      <c r="SAD526" s="1358"/>
      <c r="SAE526" s="1358"/>
      <c r="SAF526" s="1358"/>
      <c r="SAG526" s="1358"/>
      <c r="SAH526" s="1358"/>
      <c r="SAI526" s="1358"/>
      <c r="SAJ526" s="1358"/>
      <c r="SAK526" s="1358"/>
      <c r="SAL526" s="1358"/>
      <c r="SAM526" s="1358"/>
      <c r="SAN526" s="1358"/>
      <c r="SAO526" s="1358"/>
      <c r="SAP526" s="1358"/>
      <c r="SAQ526" s="1358"/>
      <c r="SAR526" s="1358"/>
      <c r="SAS526" s="1358"/>
      <c r="SAT526" s="1358"/>
      <c r="SAU526" s="1358"/>
      <c r="SAV526" s="1358"/>
      <c r="SAW526" s="1358"/>
      <c r="SAX526" s="1358"/>
      <c r="SAY526" s="1358"/>
      <c r="SAZ526" s="1358"/>
      <c r="SBA526" s="1358"/>
      <c r="SBB526" s="1358"/>
      <c r="SBC526" s="1358"/>
      <c r="SBD526" s="1358"/>
      <c r="SBE526" s="1358"/>
      <c r="SBF526" s="1358"/>
      <c r="SBG526" s="1358"/>
      <c r="SBH526" s="1358"/>
      <c r="SBI526" s="1358"/>
      <c r="SBJ526" s="1358"/>
      <c r="SBK526" s="1358"/>
      <c r="SBL526" s="1358"/>
      <c r="SBM526" s="1358"/>
      <c r="SBN526" s="1358"/>
      <c r="SBO526" s="1358"/>
      <c r="SBP526" s="1358"/>
      <c r="SBQ526" s="1358"/>
      <c r="SBR526" s="1358"/>
      <c r="SBS526" s="1358"/>
      <c r="SBT526" s="1358"/>
      <c r="SBU526" s="1358"/>
      <c r="SBV526" s="1358"/>
      <c r="SBW526" s="1358"/>
      <c r="SBX526" s="1358"/>
      <c r="SBY526" s="1358"/>
      <c r="SBZ526" s="1358"/>
      <c r="SCA526" s="1358"/>
      <c r="SCB526" s="1358"/>
      <c r="SCC526" s="1358"/>
      <c r="SCD526" s="1358"/>
      <c r="SCE526" s="1358"/>
      <c r="SCF526" s="1358"/>
      <c r="SCG526" s="1358"/>
      <c r="SCH526" s="1358"/>
      <c r="SCI526" s="1358"/>
      <c r="SCJ526" s="1358"/>
      <c r="SCK526" s="1358"/>
      <c r="SCL526" s="1358"/>
      <c r="SCM526" s="1358"/>
      <c r="SCN526" s="1358"/>
      <c r="SCO526" s="1358"/>
      <c r="SCP526" s="1358"/>
      <c r="SCQ526" s="1358"/>
      <c r="SCR526" s="1358"/>
      <c r="SCS526" s="1358"/>
      <c r="SCT526" s="1358"/>
      <c r="SCU526" s="1358"/>
      <c r="SCV526" s="1358"/>
      <c r="SCW526" s="1358"/>
      <c r="SCX526" s="1358"/>
      <c r="SCY526" s="1358"/>
      <c r="SCZ526" s="1358"/>
      <c r="SDA526" s="1358"/>
      <c r="SDB526" s="1358"/>
      <c r="SDC526" s="1358"/>
      <c r="SDD526" s="1358"/>
      <c r="SDE526" s="1358"/>
      <c r="SDF526" s="1358"/>
      <c r="SDG526" s="1358"/>
      <c r="SDH526" s="1358"/>
      <c r="SDI526" s="1358"/>
      <c r="SDJ526" s="1358"/>
      <c r="SDK526" s="1358"/>
      <c r="SDL526" s="1358"/>
      <c r="SDM526" s="1358"/>
      <c r="SDN526" s="1358"/>
      <c r="SDO526" s="1358"/>
      <c r="SDP526" s="1358"/>
      <c r="SDQ526" s="1358"/>
      <c r="SDR526" s="1358"/>
      <c r="SDS526" s="1358"/>
      <c r="SDT526" s="1358"/>
      <c r="SDU526" s="1358"/>
      <c r="SDV526" s="1358"/>
      <c r="SDW526" s="1358"/>
      <c r="SDX526" s="1358"/>
      <c r="SDY526" s="1358"/>
      <c r="SDZ526" s="1358"/>
      <c r="SEA526" s="1358"/>
      <c r="SEB526" s="1358"/>
      <c r="SEC526" s="1358"/>
      <c r="SED526" s="1358"/>
      <c r="SEE526" s="1358"/>
      <c r="SEF526" s="1358"/>
      <c r="SEG526" s="1358"/>
      <c r="SEH526" s="1358"/>
      <c r="SEI526" s="1358"/>
      <c r="SEJ526" s="1358"/>
      <c r="SEK526" s="1358"/>
      <c r="SEL526" s="1358"/>
      <c r="SEM526" s="1358"/>
      <c r="SEN526" s="1358"/>
      <c r="SEO526" s="1358"/>
      <c r="SEP526" s="1358"/>
      <c r="SEQ526" s="1358"/>
      <c r="SER526" s="1358"/>
      <c r="SES526" s="1358"/>
      <c r="SET526" s="1358"/>
      <c r="SEU526" s="1358"/>
      <c r="SEV526" s="1358"/>
      <c r="SEW526" s="1358"/>
      <c r="SEX526" s="1358"/>
      <c r="SEY526" s="1358"/>
      <c r="SEZ526" s="1358"/>
      <c r="SFA526" s="1358"/>
      <c r="SFB526" s="1358"/>
      <c r="SFC526" s="1358"/>
      <c r="SFD526" s="1358"/>
      <c r="SFE526" s="1358"/>
      <c r="SFF526" s="1358"/>
      <c r="SFG526" s="1358"/>
      <c r="SFH526" s="1358"/>
      <c r="SFI526" s="1358"/>
      <c r="SFJ526" s="1358"/>
      <c r="SFK526" s="1358"/>
      <c r="SFL526" s="1358"/>
      <c r="SFM526" s="1358"/>
      <c r="SFN526" s="1358"/>
      <c r="SFO526" s="1358"/>
      <c r="SFP526" s="1358"/>
      <c r="SFQ526" s="1358"/>
      <c r="SFR526" s="1358"/>
      <c r="SFS526" s="1358"/>
      <c r="SFT526" s="1358"/>
      <c r="SFU526" s="1358"/>
      <c r="SFV526" s="1358"/>
      <c r="SFW526" s="1358"/>
      <c r="SFX526" s="1358"/>
      <c r="SFY526" s="1358"/>
      <c r="SFZ526" s="1358"/>
      <c r="SGA526" s="1358"/>
      <c r="SGB526" s="1358"/>
      <c r="SGC526" s="1358"/>
      <c r="SGD526" s="1358"/>
      <c r="SGE526" s="1358"/>
      <c r="SGF526" s="1358"/>
      <c r="SGG526" s="1358"/>
      <c r="SGH526" s="1358"/>
      <c r="SGI526" s="1358"/>
      <c r="SGJ526" s="1358"/>
      <c r="SGK526" s="1358"/>
      <c r="SGL526" s="1358"/>
      <c r="SGM526" s="1358"/>
      <c r="SGN526" s="1358"/>
      <c r="SGO526" s="1358"/>
      <c r="SGP526" s="1358"/>
      <c r="SGQ526" s="1358"/>
      <c r="SGR526" s="1358"/>
      <c r="SGS526" s="1358"/>
      <c r="SGT526" s="1358"/>
      <c r="SGU526" s="1358"/>
      <c r="SGV526" s="1358"/>
      <c r="SGW526" s="1358"/>
      <c r="SGX526" s="1358"/>
      <c r="SGY526" s="1358"/>
      <c r="SGZ526" s="1358"/>
      <c r="SHA526" s="1358"/>
      <c r="SHB526" s="1358"/>
      <c r="SHC526" s="1358"/>
      <c r="SHD526" s="1358"/>
      <c r="SHE526" s="1358"/>
      <c r="SHF526" s="1358"/>
      <c r="SHG526" s="1358"/>
      <c r="SHH526" s="1358"/>
      <c r="SHI526" s="1358"/>
      <c r="SHJ526" s="1358"/>
      <c r="SHK526" s="1358"/>
      <c r="SHL526" s="1358"/>
      <c r="SHM526" s="1358"/>
      <c r="SHN526" s="1358"/>
      <c r="SHO526" s="1358"/>
      <c r="SHP526" s="1358"/>
      <c r="SHQ526" s="1358"/>
      <c r="SHR526" s="1358"/>
      <c r="SHS526" s="1358"/>
      <c r="SHT526" s="1358"/>
      <c r="SHU526" s="1358"/>
      <c r="SHV526" s="1358"/>
      <c r="SHW526" s="1358"/>
      <c r="SHX526" s="1358"/>
      <c r="SHY526" s="1358"/>
      <c r="SHZ526" s="1358"/>
      <c r="SIA526" s="1358"/>
      <c r="SIB526" s="1358"/>
      <c r="SIC526" s="1358"/>
      <c r="SID526" s="1358"/>
      <c r="SIE526" s="1358"/>
      <c r="SIF526" s="1358"/>
      <c r="SIG526" s="1358"/>
      <c r="SIH526" s="1358"/>
      <c r="SII526" s="1358"/>
      <c r="SIJ526" s="1358"/>
      <c r="SIK526" s="1358"/>
      <c r="SIL526" s="1358"/>
      <c r="SIM526" s="1358"/>
      <c r="SIN526" s="1358"/>
      <c r="SIO526" s="1358"/>
      <c r="SIP526" s="1358"/>
      <c r="SIQ526" s="1358"/>
      <c r="SIR526" s="1358"/>
      <c r="SIS526" s="1358"/>
      <c r="SIT526" s="1358"/>
      <c r="SIU526" s="1358"/>
      <c r="SIV526" s="1358"/>
      <c r="SIW526" s="1358"/>
      <c r="SIX526" s="1358"/>
      <c r="SIY526" s="1358"/>
      <c r="SIZ526" s="1358"/>
      <c r="SJA526" s="1358"/>
      <c r="SJB526" s="1358"/>
      <c r="SJC526" s="1358"/>
      <c r="SJD526" s="1358"/>
      <c r="SJE526" s="1358"/>
      <c r="SJF526" s="1358"/>
      <c r="SJG526" s="1358"/>
      <c r="SJH526" s="1358"/>
      <c r="SJI526" s="1358"/>
      <c r="SJJ526" s="1358"/>
      <c r="SJK526" s="1358"/>
      <c r="SJL526" s="1358"/>
      <c r="SJM526" s="1358"/>
      <c r="SJN526" s="1358"/>
      <c r="SJO526" s="1358"/>
      <c r="SJP526" s="1358"/>
      <c r="SJQ526" s="1358"/>
      <c r="SJR526" s="1358"/>
      <c r="SJS526" s="1358"/>
      <c r="SJT526" s="1358"/>
      <c r="SJU526" s="1358"/>
      <c r="SJV526" s="1358"/>
      <c r="SJW526" s="1358"/>
      <c r="SJX526" s="1358"/>
      <c r="SJY526" s="1358"/>
      <c r="SJZ526" s="1358"/>
      <c r="SKA526" s="1358"/>
      <c r="SKB526" s="1358"/>
      <c r="SKC526" s="1358"/>
      <c r="SKD526" s="1358"/>
      <c r="SKE526" s="1358"/>
      <c r="SKF526" s="1358"/>
      <c r="SKG526" s="1358"/>
      <c r="SKH526" s="1358"/>
      <c r="SKI526" s="1358"/>
      <c r="SKJ526" s="1358"/>
      <c r="SKK526" s="1358"/>
      <c r="SKL526" s="1358"/>
      <c r="SKM526" s="1358"/>
      <c r="SKN526" s="1358"/>
      <c r="SKO526" s="1358"/>
      <c r="SKP526" s="1358"/>
      <c r="SKQ526" s="1358"/>
      <c r="SKR526" s="1358"/>
      <c r="SKS526" s="1358"/>
      <c r="SKT526" s="1358"/>
      <c r="SKU526" s="1358"/>
      <c r="SKV526" s="1358"/>
      <c r="SKW526" s="1358"/>
      <c r="SKX526" s="1358"/>
      <c r="SKY526" s="1358"/>
      <c r="SKZ526" s="1358"/>
      <c r="SLA526" s="1358"/>
      <c r="SLB526" s="1358"/>
      <c r="SLC526" s="1358"/>
      <c r="SLD526" s="1358"/>
      <c r="SLE526" s="1358"/>
      <c r="SLF526" s="1358"/>
      <c r="SLG526" s="1358"/>
      <c r="SLH526" s="1358"/>
      <c r="SLI526" s="1358"/>
      <c r="SLJ526" s="1358"/>
      <c r="SLK526" s="1358"/>
      <c r="SLL526" s="1358"/>
      <c r="SLM526" s="1358"/>
      <c r="SLN526" s="1358"/>
      <c r="SLO526" s="1358"/>
      <c r="SLP526" s="1358"/>
      <c r="SLQ526" s="1358"/>
      <c r="SLR526" s="1358"/>
      <c r="SLS526" s="1358"/>
      <c r="SLT526" s="1358"/>
      <c r="SLU526" s="1358"/>
      <c r="SLV526" s="1358"/>
      <c r="SLW526" s="1358"/>
      <c r="SLX526" s="1358"/>
      <c r="SLY526" s="1358"/>
      <c r="SLZ526" s="1358"/>
      <c r="SMA526" s="1358"/>
      <c r="SMB526" s="1358"/>
      <c r="SMC526" s="1358"/>
      <c r="SMD526" s="1358"/>
      <c r="SME526" s="1358"/>
      <c r="SMF526" s="1358"/>
      <c r="SMG526" s="1358"/>
      <c r="SMH526" s="1358"/>
      <c r="SMI526" s="1358"/>
      <c r="SMJ526" s="1358"/>
      <c r="SMK526" s="1358"/>
      <c r="SML526" s="1358"/>
      <c r="SMM526" s="1358"/>
      <c r="SMN526" s="1358"/>
      <c r="SMO526" s="1358"/>
      <c r="SMP526" s="1358"/>
      <c r="SMQ526" s="1358"/>
      <c r="SMR526" s="1358"/>
      <c r="SMS526" s="1358"/>
      <c r="SMT526" s="1358"/>
      <c r="SMU526" s="1358"/>
      <c r="SMV526" s="1358"/>
      <c r="SMW526" s="1358"/>
      <c r="SMX526" s="1358"/>
      <c r="SMY526" s="1358"/>
      <c r="SMZ526" s="1358"/>
      <c r="SNA526" s="1358"/>
      <c r="SNB526" s="1358"/>
      <c r="SNC526" s="1358"/>
      <c r="SND526" s="1358"/>
      <c r="SNE526" s="1358"/>
      <c r="SNF526" s="1358"/>
      <c r="SNG526" s="1358"/>
      <c r="SNH526" s="1358"/>
      <c r="SNI526" s="1358"/>
      <c r="SNJ526" s="1358"/>
      <c r="SNK526" s="1358"/>
      <c r="SNL526" s="1358"/>
      <c r="SNM526" s="1358"/>
      <c r="SNN526" s="1358"/>
      <c r="SNO526" s="1358"/>
      <c r="SNP526" s="1358"/>
      <c r="SNQ526" s="1358"/>
      <c r="SNR526" s="1358"/>
      <c r="SNS526" s="1358"/>
      <c r="SNT526" s="1358"/>
      <c r="SNU526" s="1358"/>
      <c r="SNV526" s="1358"/>
      <c r="SNW526" s="1358"/>
      <c r="SNX526" s="1358"/>
      <c r="SNY526" s="1358"/>
      <c r="SNZ526" s="1358"/>
      <c r="SOA526" s="1358"/>
      <c r="SOB526" s="1358"/>
      <c r="SOC526" s="1358"/>
      <c r="SOD526" s="1358"/>
      <c r="SOE526" s="1358"/>
      <c r="SOF526" s="1358"/>
      <c r="SOG526" s="1358"/>
      <c r="SOH526" s="1358"/>
      <c r="SOI526" s="1358"/>
      <c r="SOJ526" s="1358"/>
      <c r="SOK526" s="1358"/>
      <c r="SOL526" s="1358"/>
      <c r="SOM526" s="1358"/>
      <c r="SON526" s="1358"/>
      <c r="SOO526" s="1358"/>
      <c r="SOP526" s="1358"/>
      <c r="SOQ526" s="1358"/>
      <c r="SOR526" s="1358"/>
      <c r="SOS526" s="1358"/>
      <c r="SOT526" s="1358"/>
      <c r="SOU526" s="1358"/>
      <c r="SOV526" s="1358"/>
      <c r="SOW526" s="1358"/>
      <c r="SOX526" s="1358"/>
      <c r="SOY526" s="1358"/>
      <c r="SOZ526" s="1358"/>
      <c r="SPA526" s="1358"/>
      <c r="SPB526" s="1358"/>
      <c r="SPC526" s="1358"/>
      <c r="SPD526" s="1358"/>
      <c r="SPE526" s="1358"/>
      <c r="SPF526" s="1358"/>
      <c r="SPG526" s="1358"/>
      <c r="SPH526" s="1358"/>
      <c r="SPI526" s="1358"/>
      <c r="SPJ526" s="1358"/>
      <c r="SPK526" s="1358"/>
      <c r="SPL526" s="1358"/>
      <c r="SPM526" s="1358"/>
      <c r="SPN526" s="1358"/>
      <c r="SPO526" s="1358"/>
      <c r="SPP526" s="1358"/>
      <c r="SPQ526" s="1358"/>
      <c r="SPR526" s="1358"/>
      <c r="SPS526" s="1358"/>
      <c r="SPT526" s="1358"/>
      <c r="SPU526" s="1358"/>
      <c r="SPV526" s="1358"/>
      <c r="SPW526" s="1358"/>
      <c r="SPX526" s="1358"/>
      <c r="SPY526" s="1358"/>
      <c r="SPZ526" s="1358"/>
      <c r="SQA526" s="1358"/>
      <c r="SQB526" s="1358"/>
      <c r="SQC526" s="1358"/>
      <c r="SQD526" s="1358"/>
      <c r="SQE526" s="1358"/>
      <c r="SQF526" s="1358"/>
      <c r="SQG526" s="1358"/>
      <c r="SQH526" s="1358"/>
      <c r="SQI526" s="1358"/>
      <c r="SQJ526" s="1358"/>
      <c r="SQK526" s="1358"/>
      <c r="SQL526" s="1358"/>
      <c r="SQM526" s="1358"/>
      <c r="SQN526" s="1358"/>
      <c r="SQO526" s="1358"/>
      <c r="SQP526" s="1358"/>
      <c r="SQQ526" s="1358"/>
      <c r="SQR526" s="1358"/>
      <c r="SQS526" s="1358"/>
      <c r="SQT526" s="1358"/>
      <c r="SQU526" s="1358"/>
      <c r="SQV526" s="1358"/>
      <c r="SQW526" s="1358"/>
      <c r="SQX526" s="1358"/>
      <c r="SQY526" s="1358"/>
      <c r="SQZ526" s="1358"/>
      <c r="SRA526" s="1358"/>
      <c r="SRB526" s="1358"/>
      <c r="SRC526" s="1358"/>
      <c r="SRD526" s="1358"/>
      <c r="SRE526" s="1358"/>
      <c r="SRF526" s="1358"/>
      <c r="SRG526" s="1358"/>
      <c r="SRH526" s="1358"/>
      <c r="SRI526" s="1358"/>
      <c r="SRJ526" s="1358"/>
      <c r="SRK526" s="1358"/>
      <c r="SRL526" s="1358"/>
      <c r="SRM526" s="1358"/>
      <c r="SRN526" s="1358"/>
      <c r="SRO526" s="1358"/>
      <c r="SRP526" s="1358"/>
      <c r="SRQ526" s="1358"/>
      <c r="SRR526" s="1358"/>
      <c r="SRS526" s="1358"/>
      <c r="SRT526" s="1358"/>
      <c r="SRU526" s="1358"/>
      <c r="SRV526" s="1358"/>
      <c r="SRW526" s="1358"/>
      <c r="SRX526" s="1358"/>
      <c r="SRY526" s="1358"/>
      <c r="SRZ526" s="1358"/>
      <c r="SSA526" s="1358"/>
      <c r="SSB526" s="1358"/>
      <c r="SSC526" s="1358"/>
      <c r="SSD526" s="1358"/>
      <c r="SSE526" s="1358"/>
      <c r="SSF526" s="1358"/>
      <c r="SSG526" s="1358"/>
      <c r="SSH526" s="1358"/>
      <c r="SSI526" s="1358"/>
      <c r="SSJ526" s="1358"/>
      <c r="SSK526" s="1358"/>
      <c r="SSL526" s="1358"/>
      <c r="SSM526" s="1358"/>
      <c r="SSN526" s="1358"/>
      <c r="SSO526" s="1358"/>
      <c r="SSP526" s="1358"/>
      <c r="SSQ526" s="1358"/>
      <c r="SSR526" s="1358"/>
      <c r="SSS526" s="1358"/>
      <c r="SST526" s="1358"/>
      <c r="SSU526" s="1358"/>
      <c r="SSV526" s="1358"/>
      <c r="SSW526" s="1358"/>
      <c r="SSX526" s="1358"/>
      <c r="SSY526" s="1358"/>
      <c r="SSZ526" s="1358"/>
      <c r="STA526" s="1358"/>
      <c r="STB526" s="1358"/>
      <c r="STC526" s="1358"/>
      <c r="STD526" s="1358"/>
      <c r="STE526" s="1358"/>
      <c r="STF526" s="1358"/>
      <c r="STG526" s="1358"/>
      <c r="STH526" s="1358"/>
      <c r="STI526" s="1358"/>
      <c r="STJ526" s="1358"/>
      <c r="STK526" s="1358"/>
      <c r="STL526" s="1358"/>
      <c r="STM526" s="1358"/>
      <c r="STN526" s="1358"/>
      <c r="STO526" s="1358"/>
      <c r="STP526" s="1358"/>
      <c r="STQ526" s="1358"/>
      <c r="STR526" s="1358"/>
      <c r="STS526" s="1358"/>
      <c r="STT526" s="1358"/>
      <c r="STU526" s="1358"/>
      <c r="STV526" s="1358"/>
      <c r="STW526" s="1358"/>
      <c r="STX526" s="1358"/>
      <c r="STY526" s="1358"/>
      <c r="STZ526" s="1358"/>
      <c r="SUA526" s="1358"/>
      <c r="SUB526" s="1358"/>
      <c r="SUC526" s="1358"/>
      <c r="SUD526" s="1358"/>
      <c r="SUE526" s="1358"/>
      <c r="SUF526" s="1358"/>
      <c r="SUG526" s="1358"/>
      <c r="SUH526" s="1358"/>
      <c r="SUI526" s="1358"/>
      <c r="SUJ526" s="1358"/>
      <c r="SUK526" s="1358"/>
      <c r="SUL526" s="1358"/>
      <c r="SUM526" s="1358"/>
      <c r="SUN526" s="1358"/>
      <c r="SUO526" s="1358"/>
      <c r="SUP526" s="1358"/>
      <c r="SUQ526" s="1358"/>
      <c r="SUR526" s="1358"/>
      <c r="SUS526" s="1358"/>
      <c r="SUT526" s="1358"/>
      <c r="SUU526" s="1358"/>
      <c r="SUV526" s="1358"/>
      <c r="SUW526" s="1358"/>
      <c r="SUX526" s="1358"/>
      <c r="SUY526" s="1358"/>
      <c r="SUZ526" s="1358"/>
      <c r="SVA526" s="1358"/>
      <c r="SVB526" s="1358"/>
      <c r="SVC526" s="1358"/>
      <c r="SVD526" s="1358"/>
      <c r="SVE526" s="1358"/>
      <c r="SVF526" s="1358"/>
      <c r="SVG526" s="1358"/>
      <c r="SVH526" s="1358"/>
      <c r="SVI526" s="1358"/>
      <c r="SVJ526" s="1358"/>
      <c r="SVK526" s="1358"/>
      <c r="SVL526" s="1358"/>
      <c r="SVM526" s="1358"/>
      <c r="SVN526" s="1358"/>
      <c r="SVO526" s="1358"/>
      <c r="SVP526" s="1358"/>
      <c r="SVQ526" s="1358"/>
      <c r="SVR526" s="1358"/>
      <c r="SVS526" s="1358"/>
      <c r="SVT526" s="1358"/>
      <c r="SVU526" s="1358"/>
      <c r="SVV526" s="1358"/>
      <c r="SVW526" s="1358"/>
      <c r="SVX526" s="1358"/>
      <c r="SVY526" s="1358"/>
      <c r="SVZ526" s="1358"/>
      <c r="SWA526" s="1358"/>
      <c r="SWB526" s="1358"/>
      <c r="SWC526" s="1358"/>
      <c r="SWD526" s="1358"/>
      <c r="SWE526" s="1358"/>
      <c r="SWF526" s="1358"/>
      <c r="SWG526" s="1358"/>
      <c r="SWH526" s="1358"/>
      <c r="SWI526" s="1358"/>
      <c r="SWJ526" s="1358"/>
      <c r="SWK526" s="1358"/>
      <c r="SWL526" s="1358"/>
      <c r="SWM526" s="1358"/>
      <c r="SWN526" s="1358"/>
      <c r="SWO526" s="1358"/>
      <c r="SWP526" s="1358"/>
      <c r="SWQ526" s="1358"/>
      <c r="SWR526" s="1358"/>
      <c r="SWS526" s="1358"/>
      <c r="SWT526" s="1358"/>
      <c r="SWU526" s="1358"/>
      <c r="SWV526" s="1358"/>
      <c r="SWW526" s="1358"/>
      <c r="SWX526" s="1358"/>
      <c r="SWY526" s="1358"/>
      <c r="SWZ526" s="1358"/>
      <c r="SXA526" s="1358"/>
      <c r="SXB526" s="1358"/>
      <c r="SXC526" s="1358"/>
      <c r="SXD526" s="1358"/>
      <c r="SXE526" s="1358"/>
      <c r="SXF526" s="1358"/>
      <c r="SXG526" s="1358"/>
      <c r="SXH526" s="1358"/>
      <c r="SXI526" s="1358"/>
      <c r="SXJ526" s="1358"/>
      <c r="SXK526" s="1358"/>
      <c r="SXL526" s="1358"/>
      <c r="SXM526" s="1358"/>
      <c r="SXN526" s="1358"/>
      <c r="SXO526" s="1358"/>
      <c r="SXP526" s="1358"/>
      <c r="SXQ526" s="1358"/>
      <c r="SXR526" s="1358"/>
      <c r="SXS526" s="1358"/>
      <c r="SXT526" s="1358"/>
      <c r="SXU526" s="1358"/>
      <c r="SXV526" s="1358"/>
      <c r="SXW526" s="1358"/>
      <c r="SXX526" s="1358"/>
      <c r="SXY526" s="1358"/>
      <c r="SXZ526" s="1358"/>
      <c r="SYA526" s="1358"/>
      <c r="SYB526" s="1358"/>
      <c r="SYC526" s="1358"/>
      <c r="SYD526" s="1358"/>
      <c r="SYE526" s="1358"/>
      <c r="SYF526" s="1358"/>
      <c r="SYG526" s="1358"/>
      <c r="SYH526" s="1358"/>
      <c r="SYI526" s="1358"/>
      <c r="SYJ526" s="1358"/>
      <c r="SYK526" s="1358"/>
      <c r="SYL526" s="1358"/>
      <c r="SYM526" s="1358"/>
      <c r="SYN526" s="1358"/>
      <c r="SYO526" s="1358"/>
      <c r="SYP526" s="1358"/>
      <c r="SYQ526" s="1358"/>
      <c r="SYR526" s="1358"/>
      <c r="SYS526" s="1358"/>
      <c r="SYT526" s="1358"/>
      <c r="SYU526" s="1358"/>
      <c r="SYV526" s="1358"/>
      <c r="SYW526" s="1358"/>
      <c r="SYX526" s="1358"/>
      <c r="SYY526" s="1358"/>
      <c r="SYZ526" s="1358"/>
      <c r="SZA526" s="1358"/>
      <c r="SZB526" s="1358"/>
      <c r="SZC526" s="1358"/>
      <c r="SZD526" s="1358"/>
      <c r="SZE526" s="1358"/>
      <c r="SZF526" s="1358"/>
      <c r="SZG526" s="1358"/>
      <c r="SZH526" s="1358"/>
      <c r="SZI526" s="1358"/>
      <c r="SZJ526" s="1358"/>
      <c r="SZK526" s="1358"/>
      <c r="SZL526" s="1358"/>
      <c r="SZM526" s="1358"/>
      <c r="SZN526" s="1358"/>
      <c r="SZO526" s="1358"/>
      <c r="SZP526" s="1358"/>
      <c r="SZQ526" s="1358"/>
      <c r="SZR526" s="1358"/>
      <c r="SZS526" s="1358"/>
      <c r="SZT526" s="1358"/>
      <c r="SZU526" s="1358"/>
      <c r="SZV526" s="1358"/>
      <c r="SZW526" s="1358"/>
      <c r="SZX526" s="1358"/>
      <c r="SZY526" s="1358"/>
      <c r="SZZ526" s="1358"/>
      <c r="TAA526" s="1358"/>
      <c r="TAB526" s="1358"/>
      <c r="TAC526" s="1358"/>
      <c r="TAD526" s="1358"/>
      <c r="TAE526" s="1358"/>
      <c r="TAF526" s="1358"/>
      <c r="TAG526" s="1358"/>
      <c r="TAH526" s="1358"/>
      <c r="TAI526" s="1358"/>
      <c r="TAJ526" s="1358"/>
      <c r="TAK526" s="1358"/>
      <c r="TAL526" s="1358"/>
      <c r="TAM526" s="1358"/>
      <c r="TAN526" s="1358"/>
      <c r="TAO526" s="1358"/>
      <c r="TAP526" s="1358"/>
      <c r="TAQ526" s="1358"/>
      <c r="TAR526" s="1358"/>
      <c r="TAS526" s="1358"/>
      <c r="TAT526" s="1358"/>
      <c r="TAU526" s="1358"/>
      <c r="TAV526" s="1358"/>
      <c r="TAW526" s="1358"/>
      <c r="TAX526" s="1358"/>
      <c r="TAY526" s="1358"/>
      <c r="TAZ526" s="1358"/>
      <c r="TBA526" s="1358"/>
      <c r="TBB526" s="1358"/>
      <c r="TBC526" s="1358"/>
      <c r="TBD526" s="1358"/>
      <c r="TBE526" s="1358"/>
      <c r="TBF526" s="1358"/>
      <c r="TBG526" s="1358"/>
      <c r="TBH526" s="1358"/>
      <c r="TBI526" s="1358"/>
      <c r="TBJ526" s="1358"/>
      <c r="TBK526" s="1358"/>
      <c r="TBL526" s="1358"/>
      <c r="TBM526" s="1358"/>
      <c r="TBN526" s="1358"/>
      <c r="TBO526" s="1358"/>
      <c r="TBP526" s="1358"/>
      <c r="TBQ526" s="1358"/>
      <c r="TBR526" s="1358"/>
      <c r="TBS526" s="1358"/>
      <c r="TBT526" s="1358"/>
      <c r="TBU526" s="1358"/>
      <c r="TBV526" s="1358"/>
      <c r="TBW526" s="1358"/>
      <c r="TBX526" s="1358"/>
      <c r="TBY526" s="1358"/>
      <c r="TBZ526" s="1358"/>
      <c r="TCA526" s="1358"/>
      <c r="TCB526" s="1358"/>
      <c r="TCC526" s="1358"/>
      <c r="TCD526" s="1358"/>
      <c r="TCE526" s="1358"/>
      <c r="TCF526" s="1358"/>
      <c r="TCG526" s="1358"/>
      <c r="TCH526" s="1358"/>
      <c r="TCI526" s="1358"/>
      <c r="TCJ526" s="1358"/>
      <c r="TCK526" s="1358"/>
      <c r="TCL526" s="1358"/>
      <c r="TCM526" s="1358"/>
      <c r="TCN526" s="1358"/>
      <c r="TCO526" s="1358"/>
      <c r="TCP526" s="1358"/>
      <c r="TCQ526" s="1358"/>
      <c r="TCR526" s="1358"/>
      <c r="TCS526" s="1358"/>
      <c r="TCT526" s="1358"/>
      <c r="TCU526" s="1358"/>
      <c r="TCV526" s="1358"/>
      <c r="TCW526" s="1358"/>
      <c r="TCX526" s="1358"/>
      <c r="TCY526" s="1358"/>
      <c r="TCZ526" s="1358"/>
      <c r="TDA526" s="1358"/>
      <c r="TDB526" s="1358"/>
      <c r="TDC526" s="1358"/>
      <c r="TDD526" s="1358"/>
      <c r="TDE526" s="1358"/>
      <c r="TDF526" s="1358"/>
      <c r="TDG526" s="1358"/>
      <c r="TDH526" s="1358"/>
      <c r="TDI526" s="1358"/>
      <c r="TDJ526" s="1358"/>
      <c r="TDK526" s="1358"/>
      <c r="TDL526" s="1358"/>
      <c r="TDM526" s="1358"/>
      <c r="TDN526" s="1358"/>
      <c r="TDO526" s="1358"/>
      <c r="TDP526" s="1358"/>
      <c r="TDQ526" s="1358"/>
      <c r="TDR526" s="1358"/>
      <c r="TDS526" s="1358"/>
      <c r="TDT526" s="1358"/>
      <c r="TDU526" s="1358"/>
      <c r="TDV526" s="1358"/>
      <c r="TDW526" s="1358"/>
      <c r="TDX526" s="1358"/>
      <c r="TDY526" s="1358"/>
      <c r="TDZ526" s="1358"/>
      <c r="TEA526" s="1358"/>
      <c r="TEB526" s="1358"/>
      <c r="TEC526" s="1358"/>
      <c r="TED526" s="1358"/>
      <c r="TEE526" s="1358"/>
      <c r="TEF526" s="1358"/>
      <c r="TEG526" s="1358"/>
      <c r="TEH526" s="1358"/>
      <c r="TEI526" s="1358"/>
      <c r="TEJ526" s="1358"/>
      <c r="TEK526" s="1358"/>
      <c r="TEL526" s="1358"/>
      <c r="TEM526" s="1358"/>
      <c r="TEN526" s="1358"/>
      <c r="TEO526" s="1358"/>
      <c r="TEP526" s="1358"/>
      <c r="TEQ526" s="1358"/>
      <c r="TER526" s="1358"/>
      <c r="TES526" s="1358"/>
      <c r="TET526" s="1358"/>
      <c r="TEU526" s="1358"/>
      <c r="TEV526" s="1358"/>
      <c r="TEW526" s="1358"/>
      <c r="TEX526" s="1358"/>
      <c r="TEY526" s="1358"/>
      <c r="TEZ526" s="1358"/>
      <c r="TFA526" s="1358"/>
      <c r="TFB526" s="1358"/>
      <c r="TFC526" s="1358"/>
      <c r="TFD526" s="1358"/>
      <c r="TFE526" s="1358"/>
      <c r="TFF526" s="1358"/>
      <c r="TFG526" s="1358"/>
      <c r="TFH526" s="1358"/>
      <c r="TFI526" s="1358"/>
      <c r="TFJ526" s="1358"/>
      <c r="TFK526" s="1358"/>
      <c r="TFL526" s="1358"/>
      <c r="TFM526" s="1358"/>
      <c r="TFN526" s="1358"/>
      <c r="TFO526" s="1358"/>
      <c r="TFP526" s="1358"/>
      <c r="TFQ526" s="1358"/>
      <c r="TFR526" s="1358"/>
      <c r="TFS526" s="1358"/>
      <c r="TFT526" s="1358"/>
      <c r="TFU526" s="1358"/>
      <c r="TFV526" s="1358"/>
      <c r="TFW526" s="1358"/>
      <c r="TFX526" s="1358"/>
      <c r="TFY526" s="1358"/>
      <c r="TFZ526" s="1358"/>
      <c r="TGA526" s="1358"/>
      <c r="TGB526" s="1358"/>
      <c r="TGC526" s="1358"/>
      <c r="TGD526" s="1358"/>
      <c r="TGE526" s="1358"/>
      <c r="TGF526" s="1358"/>
      <c r="TGG526" s="1358"/>
      <c r="TGH526" s="1358"/>
      <c r="TGI526" s="1358"/>
      <c r="TGJ526" s="1358"/>
      <c r="TGK526" s="1358"/>
      <c r="TGL526" s="1358"/>
      <c r="TGM526" s="1358"/>
      <c r="TGN526" s="1358"/>
      <c r="TGO526" s="1358"/>
      <c r="TGP526" s="1358"/>
      <c r="TGQ526" s="1358"/>
      <c r="TGR526" s="1358"/>
      <c r="TGS526" s="1358"/>
      <c r="TGT526" s="1358"/>
      <c r="TGU526" s="1358"/>
      <c r="TGV526" s="1358"/>
      <c r="TGW526" s="1358"/>
      <c r="TGX526" s="1358"/>
      <c r="TGY526" s="1358"/>
      <c r="TGZ526" s="1358"/>
      <c r="THA526" s="1358"/>
      <c r="THB526" s="1358"/>
      <c r="THC526" s="1358"/>
      <c r="THD526" s="1358"/>
      <c r="THE526" s="1358"/>
      <c r="THF526" s="1358"/>
      <c r="THG526" s="1358"/>
      <c r="THH526" s="1358"/>
      <c r="THI526" s="1358"/>
      <c r="THJ526" s="1358"/>
      <c r="THK526" s="1358"/>
      <c r="THL526" s="1358"/>
      <c r="THM526" s="1358"/>
      <c r="THN526" s="1358"/>
      <c r="THO526" s="1358"/>
      <c r="THP526" s="1358"/>
      <c r="THQ526" s="1358"/>
      <c r="THR526" s="1358"/>
      <c r="THS526" s="1358"/>
      <c r="THT526" s="1358"/>
      <c r="THU526" s="1358"/>
      <c r="THV526" s="1358"/>
      <c r="THW526" s="1358"/>
      <c r="THX526" s="1358"/>
      <c r="THY526" s="1358"/>
      <c r="THZ526" s="1358"/>
      <c r="TIA526" s="1358"/>
      <c r="TIB526" s="1358"/>
      <c r="TIC526" s="1358"/>
      <c r="TID526" s="1358"/>
      <c r="TIE526" s="1358"/>
      <c r="TIF526" s="1358"/>
      <c r="TIG526" s="1358"/>
      <c r="TIH526" s="1358"/>
      <c r="TII526" s="1358"/>
      <c r="TIJ526" s="1358"/>
      <c r="TIK526" s="1358"/>
      <c r="TIL526" s="1358"/>
      <c r="TIM526" s="1358"/>
      <c r="TIN526" s="1358"/>
      <c r="TIO526" s="1358"/>
      <c r="TIP526" s="1358"/>
      <c r="TIQ526" s="1358"/>
      <c r="TIR526" s="1358"/>
      <c r="TIS526" s="1358"/>
      <c r="TIT526" s="1358"/>
      <c r="TIU526" s="1358"/>
      <c r="TIV526" s="1358"/>
      <c r="TIW526" s="1358"/>
      <c r="TIX526" s="1358"/>
      <c r="TIY526" s="1358"/>
      <c r="TIZ526" s="1358"/>
      <c r="TJA526" s="1358"/>
      <c r="TJB526" s="1358"/>
      <c r="TJC526" s="1358"/>
      <c r="TJD526" s="1358"/>
      <c r="TJE526" s="1358"/>
      <c r="TJF526" s="1358"/>
      <c r="TJG526" s="1358"/>
      <c r="TJH526" s="1358"/>
      <c r="TJI526" s="1358"/>
      <c r="TJJ526" s="1358"/>
      <c r="TJK526" s="1358"/>
      <c r="TJL526" s="1358"/>
      <c r="TJM526" s="1358"/>
      <c r="TJN526" s="1358"/>
      <c r="TJO526" s="1358"/>
      <c r="TJP526" s="1358"/>
      <c r="TJQ526" s="1358"/>
      <c r="TJR526" s="1358"/>
      <c r="TJS526" s="1358"/>
      <c r="TJT526" s="1358"/>
      <c r="TJU526" s="1358"/>
      <c r="TJV526" s="1358"/>
      <c r="TJW526" s="1358"/>
      <c r="TJX526" s="1358"/>
      <c r="TJY526" s="1358"/>
      <c r="TJZ526" s="1358"/>
      <c r="TKA526" s="1358"/>
      <c r="TKB526" s="1358"/>
      <c r="TKC526" s="1358"/>
      <c r="TKD526" s="1358"/>
      <c r="TKE526" s="1358"/>
      <c r="TKF526" s="1358"/>
      <c r="TKG526" s="1358"/>
      <c r="TKH526" s="1358"/>
      <c r="TKI526" s="1358"/>
      <c r="TKJ526" s="1358"/>
      <c r="TKK526" s="1358"/>
      <c r="TKL526" s="1358"/>
      <c r="TKM526" s="1358"/>
      <c r="TKN526" s="1358"/>
      <c r="TKO526" s="1358"/>
      <c r="TKP526" s="1358"/>
      <c r="TKQ526" s="1358"/>
      <c r="TKR526" s="1358"/>
      <c r="TKS526" s="1358"/>
      <c r="TKT526" s="1358"/>
      <c r="TKU526" s="1358"/>
      <c r="TKV526" s="1358"/>
      <c r="TKW526" s="1358"/>
      <c r="TKX526" s="1358"/>
      <c r="TKY526" s="1358"/>
      <c r="TKZ526" s="1358"/>
      <c r="TLA526" s="1358"/>
      <c r="TLB526" s="1358"/>
      <c r="TLC526" s="1358"/>
      <c r="TLD526" s="1358"/>
      <c r="TLE526" s="1358"/>
      <c r="TLF526" s="1358"/>
      <c r="TLG526" s="1358"/>
      <c r="TLH526" s="1358"/>
      <c r="TLI526" s="1358"/>
      <c r="TLJ526" s="1358"/>
      <c r="TLK526" s="1358"/>
      <c r="TLL526" s="1358"/>
      <c r="TLM526" s="1358"/>
      <c r="TLN526" s="1358"/>
      <c r="TLO526" s="1358"/>
      <c r="TLP526" s="1358"/>
      <c r="TLQ526" s="1358"/>
      <c r="TLR526" s="1358"/>
      <c r="TLS526" s="1358"/>
      <c r="TLT526" s="1358"/>
      <c r="TLU526" s="1358"/>
      <c r="TLV526" s="1358"/>
      <c r="TLW526" s="1358"/>
      <c r="TLX526" s="1358"/>
      <c r="TLY526" s="1358"/>
      <c r="TLZ526" s="1358"/>
      <c r="TMA526" s="1358"/>
      <c r="TMB526" s="1358"/>
      <c r="TMC526" s="1358"/>
      <c r="TMD526" s="1358"/>
      <c r="TME526" s="1358"/>
      <c r="TMF526" s="1358"/>
      <c r="TMG526" s="1358"/>
      <c r="TMH526" s="1358"/>
      <c r="TMI526" s="1358"/>
      <c r="TMJ526" s="1358"/>
      <c r="TMK526" s="1358"/>
      <c r="TML526" s="1358"/>
      <c r="TMM526" s="1358"/>
      <c r="TMN526" s="1358"/>
      <c r="TMO526" s="1358"/>
      <c r="TMP526" s="1358"/>
      <c r="TMQ526" s="1358"/>
      <c r="TMR526" s="1358"/>
      <c r="TMS526" s="1358"/>
      <c r="TMT526" s="1358"/>
      <c r="TMU526" s="1358"/>
      <c r="TMV526" s="1358"/>
      <c r="TMW526" s="1358"/>
      <c r="TMX526" s="1358"/>
      <c r="TMY526" s="1358"/>
      <c r="TMZ526" s="1358"/>
      <c r="TNA526" s="1358"/>
      <c r="TNB526" s="1358"/>
      <c r="TNC526" s="1358"/>
      <c r="TND526" s="1358"/>
      <c r="TNE526" s="1358"/>
      <c r="TNF526" s="1358"/>
      <c r="TNG526" s="1358"/>
      <c r="TNH526" s="1358"/>
      <c r="TNI526" s="1358"/>
      <c r="TNJ526" s="1358"/>
      <c r="TNK526" s="1358"/>
      <c r="TNL526" s="1358"/>
      <c r="TNM526" s="1358"/>
      <c r="TNN526" s="1358"/>
      <c r="TNO526" s="1358"/>
      <c r="TNP526" s="1358"/>
      <c r="TNQ526" s="1358"/>
      <c r="TNR526" s="1358"/>
      <c r="TNS526" s="1358"/>
      <c r="TNT526" s="1358"/>
      <c r="TNU526" s="1358"/>
      <c r="TNV526" s="1358"/>
      <c r="TNW526" s="1358"/>
      <c r="TNX526" s="1358"/>
      <c r="TNY526" s="1358"/>
      <c r="TNZ526" s="1358"/>
      <c r="TOA526" s="1358"/>
      <c r="TOB526" s="1358"/>
      <c r="TOC526" s="1358"/>
      <c r="TOD526" s="1358"/>
      <c r="TOE526" s="1358"/>
      <c r="TOF526" s="1358"/>
      <c r="TOG526" s="1358"/>
      <c r="TOH526" s="1358"/>
      <c r="TOI526" s="1358"/>
      <c r="TOJ526" s="1358"/>
      <c r="TOK526" s="1358"/>
      <c r="TOL526" s="1358"/>
      <c r="TOM526" s="1358"/>
      <c r="TON526" s="1358"/>
      <c r="TOO526" s="1358"/>
      <c r="TOP526" s="1358"/>
      <c r="TOQ526" s="1358"/>
      <c r="TOR526" s="1358"/>
      <c r="TOS526" s="1358"/>
      <c r="TOT526" s="1358"/>
      <c r="TOU526" s="1358"/>
      <c r="TOV526" s="1358"/>
      <c r="TOW526" s="1358"/>
      <c r="TOX526" s="1358"/>
      <c r="TOY526" s="1358"/>
      <c r="TOZ526" s="1358"/>
      <c r="TPA526" s="1358"/>
      <c r="TPB526" s="1358"/>
      <c r="TPC526" s="1358"/>
      <c r="TPD526" s="1358"/>
      <c r="TPE526" s="1358"/>
      <c r="TPF526" s="1358"/>
      <c r="TPG526" s="1358"/>
      <c r="TPH526" s="1358"/>
      <c r="TPI526" s="1358"/>
      <c r="TPJ526" s="1358"/>
      <c r="TPK526" s="1358"/>
      <c r="TPL526" s="1358"/>
      <c r="TPM526" s="1358"/>
      <c r="TPN526" s="1358"/>
      <c r="TPO526" s="1358"/>
      <c r="TPP526" s="1358"/>
      <c r="TPQ526" s="1358"/>
      <c r="TPR526" s="1358"/>
      <c r="TPS526" s="1358"/>
      <c r="TPT526" s="1358"/>
      <c r="TPU526" s="1358"/>
      <c r="TPV526" s="1358"/>
      <c r="TPW526" s="1358"/>
      <c r="TPX526" s="1358"/>
      <c r="TPY526" s="1358"/>
      <c r="TPZ526" s="1358"/>
      <c r="TQA526" s="1358"/>
      <c r="TQB526" s="1358"/>
      <c r="TQC526" s="1358"/>
      <c r="TQD526" s="1358"/>
      <c r="TQE526" s="1358"/>
      <c r="TQF526" s="1358"/>
      <c r="TQG526" s="1358"/>
      <c r="TQH526" s="1358"/>
      <c r="TQI526" s="1358"/>
      <c r="TQJ526" s="1358"/>
      <c r="TQK526" s="1358"/>
      <c r="TQL526" s="1358"/>
      <c r="TQM526" s="1358"/>
      <c r="TQN526" s="1358"/>
      <c r="TQO526" s="1358"/>
      <c r="TQP526" s="1358"/>
      <c r="TQQ526" s="1358"/>
      <c r="TQR526" s="1358"/>
      <c r="TQS526" s="1358"/>
      <c r="TQT526" s="1358"/>
      <c r="TQU526" s="1358"/>
      <c r="TQV526" s="1358"/>
      <c r="TQW526" s="1358"/>
      <c r="TQX526" s="1358"/>
      <c r="TQY526" s="1358"/>
      <c r="TQZ526" s="1358"/>
      <c r="TRA526" s="1358"/>
      <c r="TRB526" s="1358"/>
      <c r="TRC526" s="1358"/>
      <c r="TRD526" s="1358"/>
      <c r="TRE526" s="1358"/>
      <c r="TRF526" s="1358"/>
      <c r="TRG526" s="1358"/>
      <c r="TRH526" s="1358"/>
      <c r="TRI526" s="1358"/>
      <c r="TRJ526" s="1358"/>
      <c r="TRK526" s="1358"/>
      <c r="TRL526" s="1358"/>
      <c r="TRM526" s="1358"/>
      <c r="TRN526" s="1358"/>
      <c r="TRO526" s="1358"/>
      <c r="TRP526" s="1358"/>
      <c r="TRQ526" s="1358"/>
      <c r="TRR526" s="1358"/>
      <c r="TRS526" s="1358"/>
      <c r="TRT526" s="1358"/>
      <c r="TRU526" s="1358"/>
      <c r="TRV526" s="1358"/>
      <c r="TRW526" s="1358"/>
      <c r="TRX526" s="1358"/>
      <c r="TRY526" s="1358"/>
      <c r="TRZ526" s="1358"/>
      <c r="TSA526" s="1358"/>
      <c r="TSB526" s="1358"/>
      <c r="TSC526" s="1358"/>
      <c r="TSD526" s="1358"/>
      <c r="TSE526" s="1358"/>
      <c r="TSF526" s="1358"/>
      <c r="TSG526" s="1358"/>
      <c r="TSH526" s="1358"/>
      <c r="TSI526" s="1358"/>
      <c r="TSJ526" s="1358"/>
      <c r="TSK526" s="1358"/>
      <c r="TSL526" s="1358"/>
      <c r="TSM526" s="1358"/>
      <c r="TSN526" s="1358"/>
      <c r="TSO526" s="1358"/>
      <c r="TSP526" s="1358"/>
      <c r="TSQ526" s="1358"/>
      <c r="TSR526" s="1358"/>
      <c r="TSS526" s="1358"/>
      <c r="TST526" s="1358"/>
      <c r="TSU526" s="1358"/>
      <c r="TSV526" s="1358"/>
      <c r="TSW526" s="1358"/>
      <c r="TSX526" s="1358"/>
      <c r="TSY526" s="1358"/>
      <c r="TSZ526" s="1358"/>
      <c r="TTA526" s="1358"/>
      <c r="TTB526" s="1358"/>
      <c r="TTC526" s="1358"/>
      <c r="TTD526" s="1358"/>
      <c r="TTE526" s="1358"/>
      <c r="TTF526" s="1358"/>
      <c r="TTG526" s="1358"/>
      <c r="TTH526" s="1358"/>
      <c r="TTI526" s="1358"/>
      <c r="TTJ526" s="1358"/>
      <c r="TTK526" s="1358"/>
      <c r="TTL526" s="1358"/>
      <c r="TTM526" s="1358"/>
      <c r="TTN526" s="1358"/>
      <c r="TTO526" s="1358"/>
      <c r="TTP526" s="1358"/>
      <c r="TTQ526" s="1358"/>
      <c r="TTR526" s="1358"/>
      <c r="TTS526" s="1358"/>
      <c r="TTT526" s="1358"/>
      <c r="TTU526" s="1358"/>
      <c r="TTV526" s="1358"/>
      <c r="TTW526" s="1358"/>
      <c r="TTX526" s="1358"/>
      <c r="TTY526" s="1358"/>
      <c r="TTZ526" s="1358"/>
      <c r="TUA526" s="1358"/>
      <c r="TUB526" s="1358"/>
      <c r="TUC526" s="1358"/>
      <c r="TUD526" s="1358"/>
      <c r="TUE526" s="1358"/>
      <c r="TUF526" s="1358"/>
      <c r="TUG526" s="1358"/>
      <c r="TUH526" s="1358"/>
      <c r="TUI526" s="1358"/>
      <c r="TUJ526" s="1358"/>
      <c r="TUK526" s="1358"/>
      <c r="TUL526" s="1358"/>
      <c r="TUM526" s="1358"/>
      <c r="TUN526" s="1358"/>
      <c r="TUO526" s="1358"/>
      <c r="TUP526" s="1358"/>
      <c r="TUQ526" s="1358"/>
      <c r="TUR526" s="1358"/>
      <c r="TUS526" s="1358"/>
      <c r="TUT526" s="1358"/>
      <c r="TUU526" s="1358"/>
      <c r="TUV526" s="1358"/>
      <c r="TUW526" s="1358"/>
      <c r="TUX526" s="1358"/>
      <c r="TUY526" s="1358"/>
      <c r="TUZ526" s="1358"/>
      <c r="TVA526" s="1358"/>
      <c r="TVB526" s="1358"/>
      <c r="TVC526" s="1358"/>
      <c r="TVD526" s="1358"/>
      <c r="TVE526" s="1358"/>
      <c r="TVF526" s="1358"/>
      <c r="TVG526" s="1358"/>
      <c r="TVH526" s="1358"/>
      <c r="TVI526" s="1358"/>
      <c r="TVJ526" s="1358"/>
      <c r="TVK526" s="1358"/>
      <c r="TVL526" s="1358"/>
      <c r="TVM526" s="1358"/>
      <c r="TVN526" s="1358"/>
      <c r="TVO526" s="1358"/>
      <c r="TVP526" s="1358"/>
      <c r="TVQ526" s="1358"/>
      <c r="TVR526" s="1358"/>
      <c r="TVS526" s="1358"/>
      <c r="TVT526" s="1358"/>
      <c r="TVU526" s="1358"/>
      <c r="TVV526" s="1358"/>
      <c r="TVW526" s="1358"/>
      <c r="TVX526" s="1358"/>
      <c r="TVY526" s="1358"/>
      <c r="TVZ526" s="1358"/>
      <c r="TWA526" s="1358"/>
      <c r="TWB526" s="1358"/>
      <c r="TWC526" s="1358"/>
      <c r="TWD526" s="1358"/>
      <c r="TWE526" s="1358"/>
      <c r="TWF526" s="1358"/>
      <c r="TWG526" s="1358"/>
      <c r="TWH526" s="1358"/>
      <c r="TWI526" s="1358"/>
      <c r="TWJ526" s="1358"/>
      <c r="TWK526" s="1358"/>
      <c r="TWL526" s="1358"/>
      <c r="TWM526" s="1358"/>
      <c r="TWN526" s="1358"/>
      <c r="TWO526" s="1358"/>
      <c r="TWP526" s="1358"/>
      <c r="TWQ526" s="1358"/>
      <c r="TWR526" s="1358"/>
      <c r="TWS526" s="1358"/>
      <c r="TWT526" s="1358"/>
      <c r="TWU526" s="1358"/>
      <c r="TWV526" s="1358"/>
      <c r="TWW526" s="1358"/>
      <c r="TWX526" s="1358"/>
      <c r="TWY526" s="1358"/>
      <c r="TWZ526" s="1358"/>
      <c r="TXA526" s="1358"/>
      <c r="TXB526" s="1358"/>
      <c r="TXC526" s="1358"/>
      <c r="TXD526" s="1358"/>
      <c r="TXE526" s="1358"/>
      <c r="TXF526" s="1358"/>
      <c r="TXG526" s="1358"/>
      <c r="TXH526" s="1358"/>
      <c r="TXI526" s="1358"/>
      <c r="TXJ526" s="1358"/>
      <c r="TXK526" s="1358"/>
      <c r="TXL526" s="1358"/>
      <c r="TXM526" s="1358"/>
      <c r="TXN526" s="1358"/>
      <c r="TXO526" s="1358"/>
      <c r="TXP526" s="1358"/>
      <c r="TXQ526" s="1358"/>
      <c r="TXR526" s="1358"/>
      <c r="TXS526" s="1358"/>
      <c r="TXT526" s="1358"/>
      <c r="TXU526" s="1358"/>
      <c r="TXV526" s="1358"/>
      <c r="TXW526" s="1358"/>
      <c r="TXX526" s="1358"/>
      <c r="TXY526" s="1358"/>
      <c r="TXZ526" s="1358"/>
      <c r="TYA526" s="1358"/>
      <c r="TYB526" s="1358"/>
      <c r="TYC526" s="1358"/>
      <c r="TYD526" s="1358"/>
      <c r="TYE526" s="1358"/>
      <c r="TYF526" s="1358"/>
      <c r="TYG526" s="1358"/>
      <c r="TYH526" s="1358"/>
      <c r="TYI526" s="1358"/>
      <c r="TYJ526" s="1358"/>
      <c r="TYK526" s="1358"/>
      <c r="TYL526" s="1358"/>
      <c r="TYM526" s="1358"/>
      <c r="TYN526" s="1358"/>
      <c r="TYO526" s="1358"/>
      <c r="TYP526" s="1358"/>
      <c r="TYQ526" s="1358"/>
      <c r="TYR526" s="1358"/>
      <c r="TYS526" s="1358"/>
      <c r="TYT526" s="1358"/>
      <c r="TYU526" s="1358"/>
      <c r="TYV526" s="1358"/>
      <c r="TYW526" s="1358"/>
      <c r="TYX526" s="1358"/>
      <c r="TYY526" s="1358"/>
      <c r="TYZ526" s="1358"/>
      <c r="TZA526" s="1358"/>
      <c r="TZB526" s="1358"/>
      <c r="TZC526" s="1358"/>
      <c r="TZD526" s="1358"/>
      <c r="TZE526" s="1358"/>
      <c r="TZF526" s="1358"/>
      <c r="TZG526" s="1358"/>
      <c r="TZH526" s="1358"/>
      <c r="TZI526" s="1358"/>
      <c r="TZJ526" s="1358"/>
      <c r="TZK526" s="1358"/>
      <c r="TZL526" s="1358"/>
      <c r="TZM526" s="1358"/>
      <c r="TZN526" s="1358"/>
      <c r="TZO526" s="1358"/>
      <c r="TZP526" s="1358"/>
      <c r="TZQ526" s="1358"/>
      <c r="TZR526" s="1358"/>
      <c r="TZS526" s="1358"/>
      <c r="TZT526" s="1358"/>
      <c r="TZU526" s="1358"/>
      <c r="TZV526" s="1358"/>
      <c r="TZW526" s="1358"/>
      <c r="TZX526" s="1358"/>
      <c r="TZY526" s="1358"/>
      <c r="TZZ526" s="1358"/>
      <c r="UAA526" s="1358"/>
      <c r="UAB526" s="1358"/>
      <c r="UAC526" s="1358"/>
      <c r="UAD526" s="1358"/>
      <c r="UAE526" s="1358"/>
      <c r="UAF526" s="1358"/>
      <c r="UAG526" s="1358"/>
      <c r="UAH526" s="1358"/>
      <c r="UAI526" s="1358"/>
      <c r="UAJ526" s="1358"/>
      <c r="UAK526" s="1358"/>
      <c r="UAL526" s="1358"/>
      <c r="UAM526" s="1358"/>
      <c r="UAN526" s="1358"/>
      <c r="UAO526" s="1358"/>
      <c r="UAP526" s="1358"/>
      <c r="UAQ526" s="1358"/>
      <c r="UAR526" s="1358"/>
      <c r="UAS526" s="1358"/>
      <c r="UAT526" s="1358"/>
      <c r="UAU526" s="1358"/>
      <c r="UAV526" s="1358"/>
      <c r="UAW526" s="1358"/>
      <c r="UAX526" s="1358"/>
      <c r="UAY526" s="1358"/>
      <c r="UAZ526" s="1358"/>
      <c r="UBA526" s="1358"/>
      <c r="UBB526" s="1358"/>
      <c r="UBC526" s="1358"/>
      <c r="UBD526" s="1358"/>
      <c r="UBE526" s="1358"/>
      <c r="UBF526" s="1358"/>
      <c r="UBG526" s="1358"/>
      <c r="UBH526" s="1358"/>
      <c r="UBI526" s="1358"/>
      <c r="UBJ526" s="1358"/>
      <c r="UBK526" s="1358"/>
      <c r="UBL526" s="1358"/>
      <c r="UBM526" s="1358"/>
      <c r="UBN526" s="1358"/>
      <c r="UBO526" s="1358"/>
      <c r="UBP526" s="1358"/>
      <c r="UBQ526" s="1358"/>
      <c r="UBR526" s="1358"/>
      <c r="UBS526" s="1358"/>
      <c r="UBT526" s="1358"/>
      <c r="UBU526" s="1358"/>
      <c r="UBV526" s="1358"/>
      <c r="UBW526" s="1358"/>
      <c r="UBX526" s="1358"/>
      <c r="UBY526" s="1358"/>
      <c r="UBZ526" s="1358"/>
      <c r="UCA526" s="1358"/>
      <c r="UCB526" s="1358"/>
      <c r="UCC526" s="1358"/>
      <c r="UCD526" s="1358"/>
      <c r="UCE526" s="1358"/>
      <c r="UCF526" s="1358"/>
      <c r="UCG526" s="1358"/>
      <c r="UCH526" s="1358"/>
      <c r="UCI526" s="1358"/>
      <c r="UCJ526" s="1358"/>
      <c r="UCK526" s="1358"/>
      <c r="UCL526" s="1358"/>
      <c r="UCM526" s="1358"/>
      <c r="UCN526" s="1358"/>
      <c r="UCO526" s="1358"/>
      <c r="UCP526" s="1358"/>
      <c r="UCQ526" s="1358"/>
      <c r="UCR526" s="1358"/>
      <c r="UCS526" s="1358"/>
      <c r="UCT526" s="1358"/>
      <c r="UCU526" s="1358"/>
      <c r="UCV526" s="1358"/>
      <c r="UCW526" s="1358"/>
      <c r="UCX526" s="1358"/>
      <c r="UCY526" s="1358"/>
      <c r="UCZ526" s="1358"/>
      <c r="UDA526" s="1358"/>
      <c r="UDB526" s="1358"/>
      <c r="UDC526" s="1358"/>
      <c r="UDD526" s="1358"/>
      <c r="UDE526" s="1358"/>
      <c r="UDF526" s="1358"/>
      <c r="UDG526" s="1358"/>
      <c r="UDH526" s="1358"/>
      <c r="UDI526" s="1358"/>
      <c r="UDJ526" s="1358"/>
      <c r="UDK526" s="1358"/>
      <c r="UDL526" s="1358"/>
      <c r="UDM526" s="1358"/>
      <c r="UDN526" s="1358"/>
      <c r="UDO526" s="1358"/>
      <c r="UDP526" s="1358"/>
      <c r="UDQ526" s="1358"/>
      <c r="UDR526" s="1358"/>
      <c r="UDS526" s="1358"/>
      <c r="UDT526" s="1358"/>
      <c r="UDU526" s="1358"/>
      <c r="UDV526" s="1358"/>
      <c r="UDW526" s="1358"/>
      <c r="UDX526" s="1358"/>
      <c r="UDY526" s="1358"/>
      <c r="UDZ526" s="1358"/>
      <c r="UEA526" s="1358"/>
      <c r="UEB526" s="1358"/>
      <c r="UEC526" s="1358"/>
      <c r="UED526" s="1358"/>
      <c r="UEE526" s="1358"/>
      <c r="UEF526" s="1358"/>
      <c r="UEG526" s="1358"/>
      <c r="UEH526" s="1358"/>
      <c r="UEI526" s="1358"/>
      <c r="UEJ526" s="1358"/>
      <c r="UEK526" s="1358"/>
      <c r="UEL526" s="1358"/>
      <c r="UEM526" s="1358"/>
      <c r="UEN526" s="1358"/>
      <c r="UEO526" s="1358"/>
      <c r="UEP526" s="1358"/>
      <c r="UEQ526" s="1358"/>
      <c r="UER526" s="1358"/>
      <c r="UES526" s="1358"/>
      <c r="UET526" s="1358"/>
      <c r="UEU526" s="1358"/>
      <c r="UEV526" s="1358"/>
      <c r="UEW526" s="1358"/>
      <c r="UEX526" s="1358"/>
      <c r="UEY526" s="1358"/>
      <c r="UEZ526" s="1358"/>
      <c r="UFA526" s="1358"/>
      <c r="UFB526" s="1358"/>
      <c r="UFC526" s="1358"/>
      <c r="UFD526" s="1358"/>
      <c r="UFE526" s="1358"/>
      <c r="UFF526" s="1358"/>
      <c r="UFG526" s="1358"/>
      <c r="UFH526" s="1358"/>
      <c r="UFI526" s="1358"/>
      <c r="UFJ526" s="1358"/>
      <c r="UFK526" s="1358"/>
      <c r="UFL526" s="1358"/>
      <c r="UFM526" s="1358"/>
      <c r="UFN526" s="1358"/>
      <c r="UFO526" s="1358"/>
      <c r="UFP526" s="1358"/>
      <c r="UFQ526" s="1358"/>
      <c r="UFR526" s="1358"/>
      <c r="UFS526" s="1358"/>
      <c r="UFT526" s="1358"/>
      <c r="UFU526" s="1358"/>
      <c r="UFV526" s="1358"/>
      <c r="UFW526" s="1358"/>
      <c r="UFX526" s="1358"/>
      <c r="UFY526" s="1358"/>
      <c r="UFZ526" s="1358"/>
      <c r="UGA526" s="1358"/>
      <c r="UGB526" s="1358"/>
      <c r="UGC526" s="1358"/>
      <c r="UGD526" s="1358"/>
      <c r="UGE526" s="1358"/>
      <c r="UGF526" s="1358"/>
      <c r="UGG526" s="1358"/>
      <c r="UGH526" s="1358"/>
      <c r="UGI526" s="1358"/>
      <c r="UGJ526" s="1358"/>
      <c r="UGK526" s="1358"/>
      <c r="UGL526" s="1358"/>
      <c r="UGM526" s="1358"/>
      <c r="UGN526" s="1358"/>
      <c r="UGO526" s="1358"/>
      <c r="UGP526" s="1358"/>
      <c r="UGQ526" s="1358"/>
      <c r="UGR526" s="1358"/>
      <c r="UGS526" s="1358"/>
      <c r="UGT526" s="1358"/>
      <c r="UGU526" s="1358"/>
      <c r="UGV526" s="1358"/>
      <c r="UGW526" s="1358"/>
      <c r="UGX526" s="1358"/>
      <c r="UGY526" s="1358"/>
      <c r="UGZ526" s="1358"/>
      <c r="UHA526" s="1358"/>
      <c r="UHB526" s="1358"/>
      <c r="UHC526" s="1358"/>
      <c r="UHD526" s="1358"/>
      <c r="UHE526" s="1358"/>
      <c r="UHF526" s="1358"/>
      <c r="UHG526" s="1358"/>
      <c r="UHH526" s="1358"/>
      <c r="UHI526" s="1358"/>
      <c r="UHJ526" s="1358"/>
      <c r="UHK526" s="1358"/>
      <c r="UHL526" s="1358"/>
      <c r="UHM526" s="1358"/>
      <c r="UHN526" s="1358"/>
      <c r="UHO526" s="1358"/>
      <c r="UHP526" s="1358"/>
      <c r="UHQ526" s="1358"/>
      <c r="UHR526" s="1358"/>
      <c r="UHS526" s="1358"/>
      <c r="UHT526" s="1358"/>
      <c r="UHU526" s="1358"/>
      <c r="UHV526" s="1358"/>
      <c r="UHW526" s="1358"/>
      <c r="UHX526" s="1358"/>
      <c r="UHY526" s="1358"/>
      <c r="UHZ526" s="1358"/>
      <c r="UIA526" s="1358"/>
      <c r="UIB526" s="1358"/>
      <c r="UIC526" s="1358"/>
      <c r="UID526" s="1358"/>
      <c r="UIE526" s="1358"/>
      <c r="UIF526" s="1358"/>
      <c r="UIG526" s="1358"/>
      <c r="UIH526" s="1358"/>
      <c r="UII526" s="1358"/>
      <c r="UIJ526" s="1358"/>
      <c r="UIK526" s="1358"/>
      <c r="UIL526" s="1358"/>
      <c r="UIM526" s="1358"/>
      <c r="UIN526" s="1358"/>
      <c r="UIO526" s="1358"/>
      <c r="UIP526" s="1358"/>
      <c r="UIQ526" s="1358"/>
      <c r="UIR526" s="1358"/>
      <c r="UIS526" s="1358"/>
      <c r="UIT526" s="1358"/>
      <c r="UIU526" s="1358"/>
      <c r="UIV526" s="1358"/>
      <c r="UIW526" s="1358"/>
      <c r="UIX526" s="1358"/>
      <c r="UIY526" s="1358"/>
      <c r="UIZ526" s="1358"/>
      <c r="UJA526" s="1358"/>
      <c r="UJB526" s="1358"/>
      <c r="UJC526" s="1358"/>
      <c r="UJD526" s="1358"/>
      <c r="UJE526" s="1358"/>
      <c r="UJF526" s="1358"/>
      <c r="UJG526" s="1358"/>
      <c r="UJH526" s="1358"/>
      <c r="UJI526" s="1358"/>
      <c r="UJJ526" s="1358"/>
      <c r="UJK526" s="1358"/>
      <c r="UJL526" s="1358"/>
      <c r="UJM526" s="1358"/>
      <c r="UJN526" s="1358"/>
      <c r="UJO526" s="1358"/>
      <c r="UJP526" s="1358"/>
      <c r="UJQ526" s="1358"/>
      <c r="UJR526" s="1358"/>
      <c r="UJS526" s="1358"/>
      <c r="UJT526" s="1358"/>
      <c r="UJU526" s="1358"/>
      <c r="UJV526" s="1358"/>
      <c r="UJW526" s="1358"/>
      <c r="UJX526" s="1358"/>
      <c r="UJY526" s="1358"/>
      <c r="UJZ526" s="1358"/>
      <c r="UKA526" s="1358"/>
      <c r="UKB526" s="1358"/>
      <c r="UKC526" s="1358"/>
      <c r="UKD526" s="1358"/>
      <c r="UKE526" s="1358"/>
      <c r="UKF526" s="1358"/>
      <c r="UKG526" s="1358"/>
      <c r="UKH526" s="1358"/>
      <c r="UKI526" s="1358"/>
      <c r="UKJ526" s="1358"/>
      <c r="UKK526" s="1358"/>
      <c r="UKL526" s="1358"/>
      <c r="UKM526" s="1358"/>
      <c r="UKN526" s="1358"/>
      <c r="UKO526" s="1358"/>
      <c r="UKP526" s="1358"/>
      <c r="UKQ526" s="1358"/>
      <c r="UKR526" s="1358"/>
      <c r="UKS526" s="1358"/>
      <c r="UKT526" s="1358"/>
      <c r="UKU526" s="1358"/>
      <c r="UKV526" s="1358"/>
      <c r="UKW526" s="1358"/>
      <c r="UKX526" s="1358"/>
      <c r="UKY526" s="1358"/>
      <c r="UKZ526" s="1358"/>
      <c r="ULA526" s="1358"/>
      <c r="ULB526" s="1358"/>
      <c r="ULC526" s="1358"/>
      <c r="ULD526" s="1358"/>
      <c r="ULE526" s="1358"/>
      <c r="ULF526" s="1358"/>
      <c r="ULG526" s="1358"/>
      <c r="ULH526" s="1358"/>
      <c r="ULI526" s="1358"/>
      <c r="ULJ526" s="1358"/>
      <c r="ULK526" s="1358"/>
      <c r="ULL526" s="1358"/>
      <c r="ULM526" s="1358"/>
      <c r="ULN526" s="1358"/>
      <c r="ULO526" s="1358"/>
      <c r="ULP526" s="1358"/>
      <c r="ULQ526" s="1358"/>
      <c r="ULR526" s="1358"/>
      <c r="ULS526" s="1358"/>
      <c r="ULT526" s="1358"/>
      <c r="ULU526" s="1358"/>
      <c r="ULV526" s="1358"/>
      <c r="ULW526" s="1358"/>
      <c r="ULX526" s="1358"/>
      <c r="ULY526" s="1358"/>
      <c r="ULZ526" s="1358"/>
      <c r="UMA526" s="1358"/>
      <c r="UMB526" s="1358"/>
      <c r="UMC526" s="1358"/>
      <c r="UMD526" s="1358"/>
      <c r="UME526" s="1358"/>
      <c r="UMF526" s="1358"/>
      <c r="UMG526" s="1358"/>
      <c r="UMH526" s="1358"/>
      <c r="UMI526" s="1358"/>
      <c r="UMJ526" s="1358"/>
      <c r="UMK526" s="1358"/>
      <c r="UML526" s="1358"/>
      <c r="UMM526" s="1358"/>
      <c r="UMN526" s="1358"/>
      <c r="UMO526" s="1358"/>
      <c r="UMP526" s="1358"/>
      <c r="UMQ526" s="1358"/>
      <c r="UMR526" s="1358"/>
      <c r="UMS526" s="1358"/>
      <c r="UMT526" s="1358"/>
      <c r="UMU526" s="1358"/>
      <c r="UMV526" s="1358"/>
      <c r="UMW526" s="1358"/>
      <c r="UMX526" s="1358"/>
      <c r="UMY526" s="1358"/>
      <c r="UMZ526" s="1358"/>
      <c r="UNA526" s="1358"/>
      <c r="UNB526" s="1358"/>
      <c r="UNC526" s="1358"/>
      <c r="UND526" s="1358"/>
      <c r="UNE526" s="1358"/>
      <c r="UNF526" s="1358"/>
      <c r="UNG526" s="1358"/>
      <c r="UNH526" s="1358"/>
      <c r="UNI526" s="1358"/>
      <c r="UNJ526" s="1358"/>
      <c r="UNK526" s="1358"/>
      <c r="UNL526" s="1358"/>
      <c r="UNM526" s="1358"/>
      <c r="UNN526" s="1358"/>
      <c r="UNO526" s="1358"/>
      <c r="UNP526" s="1358"/>
      <c r="UNQ526" s="1358"/>
      <c r="UNR526" s="1358"/>
      <c r="UNS526" s="1358"/>
      <c r="UNT526" s="1358"/>
      <c r="UNU526" s="1358"/>
      <c r="UNV526" s="1358"/>
      <c r="UNW526" s="1358"/>
      <c r="UNX526" s="1358"/>
      <c r="UNY526" s="1358"/>
      <c r="UNZ526" s="1358"/>
      <c r="UOA526" s="1358"/>
      <c r="UOB526" s="1358"/>
      <c r="UOC526" s="1358"/>
      <c r="UOD526" s="1358"/>
      <c r="UOE526" s="1358"/>
      <c r="UOF526" s="1358"/>
      <c r="UOG526" s="1358"/>
      <c r="UOH526" s="1358"/>
      <c r="UOI526" s="1358"/>
      <c r="UOJ526" s="1358"/>
      <c r="UOK526" s="1358"/>
      <c r="UOL526" s="1358"/>
      <c r="UOM526" s="1358"/>
      <c r="UON526" s="1358"/>
      <c r="UOO526" s="1358"/>
      <c r="UOP526" s="1358"/>
      <c r="UOQ526" s="1358"/>
      <c r="UOR526" s="1358"/>
      <c r="UOS526" s="1358"/>
      <c r="UOT526" s="1358"/>
      <c r="UOU526" s="1358"/>
      <c r="UOV526" s="1358"/>
      <c r="UOW526" s="1358"/>
      <c r="UOX526" s="1358"/>
      <c r="UOY526" s="1358"/>
      <c r="UOZ526" s="1358"/>
      <c r="UPA526" s="1358"/>
      <c r="UPB526" s="1358"/>
      <c r="UPC526" s="1358"/>
      <c r="UPD526" s="1358"/>
      <c r="UPE526" s="1358"/>
      <c r="UPF526" s="1358"/>
      <c r="UPG526" s="1358"/>
      <c r="UPH526" s="1358"/>
      <c r="UPI526" s="1358"/>
      <c r="UPJ526" s="1358"/>
      <c r="UPK526" s="1358"/>
      <c r="UPL526" s="1358"/>
      <c r="UPM526" s="1358"/>
      <c r="UPN526" s="1358"/>
      <c r="UPO526" s="1358"/>
      <c r="UPP526" s="1358"/>
      <c r="UPQ526" s="1358"/>
      <c r="UPR526" s="1358"/>
      <c r="UPS526" s="1358"/>
      <c r="UPT526" s="1358"/>
      <c r="UPU526" s="1358"/>
      <c r="UPV526" s="1358"/>
      <c r="UPW526" s="1358"/>
      <c r="UPX526" s="1358"/>
      <c r="UPY526" s="1358"/>
      <c r="UPZ526" s="1358"/>
      <c r="UQA526" s="1358"/>
      <c r="UQB526" s="1358"/>
      <c r="UQC526" s="1358"/>
      <c r="UQD526" s="1358"/>
      <c r="UQE526" s="1358"/>
      <c r="UQF526" s="1358"/>
      <c r="UQG526" s="1358"/>
      <c r="UQH526" s="1358"/>
      <c r="UQI526" s="1358"/>
      <c r="UQJ526" s="1358"/>
      <c r="UQK526" s="1358"/>
      <c r="UQL526" s="1358"/>
      <c r="UQM526" s="1358"/>
      <c r="UQN526" s="1358"/>
      <c r="UQO526" s="1358"/>
      <c r="UQP526" s="1358"/>
      <c r="UQQ526" s="1358"/>
      <c r="UQR526" s="1358"/>
      <c r="UQS526" s="1358"/>
      <c r="UQT526" s="1358"/>
      <c r="UQU526" s="1358"/>
      <c r="UQV526" s="1358"/>
      <c r="UQW526" s="1358"/>
      <c r="UQX526" s="1358"/>
      <c r="UQY526" s="1358"/>
      <c r="UQZ526" s="1358"/>
      <c r="URA526" s="1358"/>
      <c r="URB526" s="1358"/>
      <c r="URC526" s="1358"/>
      <c r="URD526" s="1358"/>
      <c r="URE526" s="1358"/>
      <c r="URF526" s="1358"/>
      <c r="URG526" s="1358"/>
      <c r="URH526" s="1358"/>
      <c r="URI526" s="1358"/>
      <c r="URJ526" s="1358"/>
      <c r="URK526" s="1358"/>
      <c r="URL526" s="1358"/>
      <c r="URM526" s="1358"/>
      <c r="URN526" s="1358"/>
      <c r="URO526" s="1358"/>
      <c r="URP526" s="1358"/>
      <c r="URQ526" s="1358"/>
      <c r="URR526" s="1358"/>
      <c r="URS526" s="1358"/>
      <c r="URT526" s="1358"/>
      <c r="URU526" s="1358"/>
      <c r="URV526" s="1358"/>
      <c r="URW526" s="1358"/>
      <c r="URX526" s="1358"/>
      <c r="URY526" s="1358"/>
      <c r="URZ526" s="1358"/>
      <c r="USA526" s="1358"/>
      <c r="USB526" s="1358"/>
      <c r="USC526" s="1358"/>
      <c r="USD526" s="1358"/>
      <c r="USE526" s="1358"/>
      <c r="USF526" s="1358"/>
      <c r="USG526" s="1358"/>
      <c r="USH526" s="1358"/>
      <c r="USI526" s="1358"/>
      <c r="USJ526" s="1358"/>
      <c r="USK526" s="1358"/>
      <c r="USL526" s="1358"/>
      <c r="USM526" s="1358"/>
      <c r="USN526" s="1358"/>
      <c r="USO526" s="1358"/>
      <c r="USP526" s="1358"/>
      <c r="USQ526" s="1358"/>
      <c r="USR526" s="1358"/>
      <c r="USS526" s="1358"/>
      <c r="UST526" s="1358"/>
      <c r="USU526" s="1358"/>
      <c r="USV526" s="1358"/>
      <c r="USW526" s="1358"/>
      <c r="USX526" s="1358"/>
      <c r="USY526" s="1358"/>
      <c r="USZ526" s="1358"/>
      <c r="UTA526" s="1358"/>
      <c r="UTB526" s="1358"/>
      <c r="UTC526" s="1358"/>
      <c r="UTD526" s="1358"/>
      <c r="UTE526" s="1358"/>
      <c r="UTF526" s="1358"/>
      <c r="UTG526" s="1358"/>
      <c r="UTH526" s="1358"/>
      <c r="UTI526" s="1358"/>
      <c r="UTJ526" s="1358"/>
      <c r="UTK526" s="1358"/>
      <c r="UTL526" s="1358"/>
      <c r="UTM526" s="1358"/>
      <c r="UTN526" s="1358"/>
      <c r="UTO526" s="1358"/>
      <c r="UTP526" s="1358"/>
      <c r="UTQ526" s="1358"/>
      <c r="UTR526" s="1358"/>
      <c r="UTS526" s="1358"/>
      <c r="UTT526" s="1358"/>
      <c r="UTU526" s="1358"/>
      <c r="UTV526" s="1358"/>
      <c r="UTW526" s="1358"/>
      <c r="UTX526" s="1358"/>
      <c r="UTY526" s="1358"/>
      <c r="UTZ526" s="1358"/>
      <c r="UUA526" s="1358"/>
      <c r="UUB526" s="1358"/>
      <c r="UUC526" s="1358"/>
      <c r="UUD526" s="1358"/>
      <c r="UUE526" s="1358"/>
      <c r="UUF526" s="1358"/>
      <c r="UUG526" s="1358"/>
      <c r="UUH526" s="1358"/>
      <c r="UUI526" s="1358"/>
      <c r="UUJ526" s="1358"/>
      <c r="UUK526" s="1358"/>
      <c r="UUL526" s="1358"/>
      <c r="UUM526" s="1358"/>
      <c r="UUN526" s="1358"/>
      <c r="UUO526" s="1358"/>
      <c r="UUP526" s="1358"/>
      <c r="UUQ526" s="1358"/>
      <c r="UUR526" s="1358"/>
      <c r="UUS526" s="1358"/>
      <c r="UUT526" s="1358"/>
      <c r="UUU526" s="1358"/>
      <c r="UUV526" s="1358"/>
      <c r="UUW526" s="1358"/>
      <c r="UUX526" s="1358"/>
      <c r="UUY526" s="1358"/>
      <c r="UUZ526" s="1358"/>
      <c r="UVA526" s="1358"/>
      <c r="UVB526" s="1358"/>
      <c r="UVC526" s="1358"/>
      <c r="UVD526" s="1358"/>
      <c r="UVE526" s="1358"/>
      <c r="UVF526" s="1358"/>
      <c r="UVG526" s="1358"/>
      <c r="UVH526" s="1358"/>
      <c r="UVI526" s="1358"/>
      <c r="UVJ526" s="1358"/>
      <c r="UVK526" s="1358"/>
      <c r="UVL526" s="1358"/>
      <c r="UVM526" s="1358"/>
      <c r="UVN526" s="1358"/>
      <c r="UVO526" s="1358"/>
      <c r="UVP526" s="1358"/>
      <c r="UVQ526" s="1358"/>
      <c r="UVR526" s="1358"/>
      <c r="UVS526" s="1358"/>
      <c r="UVT526" s="1358"/>
      <c r="UVU526" s="1358"/>
      <c r="UVV526" s="1358"/>
      <c r="UVW526" s="1358"/>
      <c r="UVX526" s="1358"/>
      <c r="UVY526" s="1358"/>
      <c r="UVZ526" s="1358"/>
      <c r="UWA526" s="1358"/>
      <c r="UWB526" s="1358"/>
      <c r="UWC526" s="1358"/>
      <c r="UWD526" s="1358"/>
      <c r="UWE526" s="1358"/>
      <c r="UWF526" s="1358"/>
      <c r="UWG526" s="1358"/>
      <c r="UWH526" s="1358"/>
      <c r="UWI526" s="1358"/>
      <c r="UWJ526" s="1358"/>
      <c r="UWK526" s="1358"/>
      <c r="UWL526" s="1358"/>
      <c r="UWM526" s="1358"/>
      <c r="UWN526" s="1358"/>
      <c r="UWO526" s="1358"/>
      <c r="UWP526" s="1358"/>
      <c r="UWQ526" s="1358"/>
      <c r="UWR526" s="1358"/>
      <c r="UWS526" s="1358"/>
      <c r="UWT526" s="1358"/>
      <c r="UWU526" s="1358"/>
      <c r="UWV526" s="1358"/>
      <c r="UWW526" s="1358"/>
      <c r="UWX526" s="1358"/>
      <c r="UWY526" s="1358"/>
      <c r="UWZ526" s="1358"/>
      <c r="UXA526" s="1358"/>
      <c r="UXB526" s="1358"/>
      <c r="UXC526" s="1358"/>
      <c r="UXD526" s="1358"/>
      <c r="UXE526" s="1358"/>
      <c r="UXF526" s="1358"/>
      <c r="UXG526" s="1358"/>
      <c r="UXH526" s="1358"/>
      <c r="UXI526" s="1358"/>
      <c r="UXJ526" s="1358"/>
      <c r="UXK526" s="1358"/>
      <c r="UXL526" s="1358"/>
      <c r="UXM526" s="1358"/>
      <c r="UXN526" s="1358"/>
      <c r="UXO526" s="1358"/>
      <c r="UXP526" s="1358"/>
      <c r="UXQ526" s="1358"/>
      <c r="UXR526" s="1358"/>
      <c r="UXS526" s="1358"/>
      <c r="UXT526" s="1358"/>
      <c r="UXU526" s="1358"/>
      <c r="UXV526" s="1358"/>
      <c r="UXW526" s="1358"/>
      <c r="UXX526" s="1358"/>
      <c r="UXY526" s="1358"/>
      <c r="UXZ526" s="1358"/>
      <c r="UYA526" s="1358"/>
      <c r="UYB526" s="1358"/>
      <c r="UYC526" s="1358"/>
      <c r="UYD526" s="1358"/>
      <c r="UYE526" s="1358"/>
      <c r="UYF526" s="1358"/>
      <c r="UYG526" s="1358"/>
      <c r="UYH526" s="1358"/>
      <c r="UYI526" s="1358"/>
      <c r="UYJ526" s="1358"/>
      <c r="UYK526" s="1358"/>
      <c r="UYL526" s="1358"/>
      <c r="UYM526" s="1358"/>
      <c r="UYN526" s="1358"/>
      <c r="UYO526" s="1358"/>
      <c r="UYP526" s="1358"/>
      <c r="UYQ526" s="1358"/>
      <c r="UYR526" s="1358"/>
      <c r="UYS526" s="1358"/>
      <c r="UYT526" s="1358"/>
      <c r="UYU526" s="1358"/>
      <c r="UYV526" s="1358"/>
      <c r="UYW526" s="1358"/>
      <c r="UYX526" s="1358"/>
      <c r="UYY526" s="1358"/>
      <c r="UYZ526" s="1358"/>
      <c r="UZA526" s="1358"/>
      <c r="UZB526" s="1358"/>
      <c r="UZC526" s="1358"/>
      <c r="UZD526" s="1358"/>
      <c r="UZE526" s="1358"/>
      <c r="UZF526" s="1358"/>
      <c r="UZG526" s="1358"/>
      <c r="UZH526" s="1358"/>
      <c r="UZI526" s="1358"/>
      <c r="UZJ526" s="1358"/>
      <c r="UZK526" s="1358"/>
      <c r="UZL526" s="1358"/>
      <c r="UZM526" s="1358"/>
      <c r="UZN526" s="1358"/>
      <c r="UZO526" s="1358"/>
      <c r="UZP526" s="1358"/>
      <c r="UZQ526" s="1358"/>
      <c r="UZR526" s="1358"/>
      <c r="UZS526" s="1358"/>
      <c r="UZT526" s="1358"/>
      <c r="UZU526" s="1358"/>
      <c r="UZV526" s="1358"/>
      <c r="UZW526" s="1358"/>
      <c r="UZX526" s="1358"/>
      <c r="UZY526" s="1358"/>
      <c r="UZZ526" s="1358"/>
      <c r="VAA526" s="1358"/>
      <c r="VAB526" s="1358"/>
      <c r="VAC526" s="1358"/>
      <c r="VAD526" s="1358"/>
      <c r="VAE526" s="1358"/>
      <c r="VAF526" s="1358"/>
      <c r="VAG526" s="1358"/>
      <c r="VAH526" s="1358"/>
      <c r="VAI526" s="1358"/>
      <c r="VAJ526" s="1358"/>
      <c r="VAK526" s="1358"/>
      <c r="VAL526" s="1358"/>
      <c r="VAM526" s="1358"/>
      <c r="VAN526" s="1358"/>
      <c r="VAO526" s="1358"/>
      <c r="VAP526" s="1358"/>
      <c r="VAQ526" s="1358"/>
      <c r="VAR526" s="1358"/>
      <c r="VAS526" s="1358"/>
      <c r="VAT526" s="1358"/>
      <c r="VAU526" s="1358"/>
      <c r="VAV526" s="1358"/>
      <c r="VAW526" s="1358"/>
      <c r="VAX526" s="1358"/>
      <c r="VAY526" s="1358"/>
      <c r="VAZ526" s="1358"/>
      <c r="VBA526" s="1358"/>
      <c r="VBB526" s="1358"/>
      <c r="VBC526" s="1358"/>
      <c r="VBD526" s="1358"/>
      <c r="VBE526" s="1358"/>
      <c r="VBF526" s="1358"/>
      <c r="VBG526" s="1358"/>
      <c r="VBH526" s="1358"/>
      <c r="VBI526" s="1358"/>
      <c r="VBJ526" s="1358"/>
      <c r="VBK526" s="1358"/>
      <c r="VBL526" s="1358"/>
      <c r="VBM526" s="1358"/>
      <c r="VBN526" s="1358"/>
      <c r="VBO526" s="1358"/>
      <c r="VBP526" s="1358"/>
      <c r="VBQ526" s="1358"/>
      <c r="VBR526" s="1358"/>
      <c r="VBS526" s="1358"/>
      <c r="VBT526" s="1358"/>
      <c r="VBU526" s="1358"/>
      <c r="VBV526" s="1358"/>
      <c r="VBW526" s="1358"/>
      <c r="VBX526" s="1358"/>
      <c r="VBY526" s="1358"/>
      <c r="VBZ526" s="1358"/>
      <c r="VCA526" s="1358"/>
      <c r="VCB526" s="1358"/>
      <c r="VCC526" s="1358"/>
      <c r="VCD526" s="1358"/>
      <c r="VCE526" s="1358"/>
      <c r="VCF526" s="1358"/>
      <c r="VCG526" s="1358"/>
      <c r="VCH526" s="1358"/>
      <c r="VCI526" s="1358"/>
      <c r="VCJ526" s="1358"/>
      <c r="VCK526" s="1358"/>
      <c r="VCL526" s="1358"/>
      <c r="VCM526" s="1358"/>
      <c r="VCN526" s="1358"/>
      <c r="VCO526" s="1358"/>
      <c r="VCP526" s="1358"/>
      <c r="VCQ526" s="1358"/>
      <c r="VCR526" s="1358"/>
      <c r="VCS526" s="1358"/>
      <c r="VCT526" s="1358"/>
      <c r="VCU526" s="1358"/>
      <c r="VCV526" s="1358"/>
      <c r="VCW526" s="1358"/>
      <c r="VCX526" s="1358"/>
      <c r="VCY526" s="1358"/>
      <c r="VCZ526" s="1358"/>
      <c r="VDA526" s="1358"/>
      <c r="VDB526" s="1358"/>
      <c r="VDC526" s="1358"/>
      <c r="VDD526" s="1358"/>
      <c r="VDE526" s="1358"/>
      <c r="VDF526" s="1358"/>
      <c r="VDG526" s="1358"/>
      <c r="VDH526" s="1358"/>
      <c r="VDI526" s="1358"/>
      <c r="VDJ526" s="1358"/>
      <c r="VDK526" s="1358"/>
      <c r="VDL526" s="1358"/>
      <c r="VDM526" s="1358"/>
      <c r="VDN526" s="1358"/>
      <c r="VDO526" s="1358"/>
      <c r="VDP526" s="1358"/>
      <c r="VDQ526" s="1358"/>
      <c r="VDR526" s="1358"/>
      <c r="VDS526" s="1358"/>
      <c r="VDT526" s="1358"/>
      <c r="VDU526" s="1358"/>
      <c r="VDV526" s="1358"/>
      <c r="VDW526" s="1358"/>
      <c r="VDX526" s="1358"/>
      <c r="VDY526" s="1358"/>
      <c r="VDZ526" s="1358"/>
      <c r="VEA526" s="1358"/>
      <c r="VEB526" s="1358"/>
      <c r="VEC526" s="1358"/>
      <c r="VED526" s="1358"/>
      <c r="VEE526" s="1358"/>
      <c r="VEF526" s="1358"/>
      <c r="VEG526" s="1358"/>
      <c r="VEH526" s="1358"/>
      <c r="VEI526" s="1358"/>
      <c r="VEJ526" s="1358"/>
      <c r="VEK526" s="1358"/>
      <c r="VEL526" s="1358"/>
      <c r="VEM526" s="1358"/>
      <c r="VEN526" s="1358"/>
      <c r="VEO526" s="1358"/>
      <c r="VEP526" s="1358"/>
      <c r="VEQ526" s="1358"/>
      <c r="VER526" s="1358"/>
      <c r="VES526" s="1358"/>
      <c r="VET526" s="1358"/>
      <c r="VEU526" s="1358"/>
      <c r="VEV526" s="1358"/>
      <c r="VEW526" s="1358"/>
      <c r="VEX526" s="1358"/>
      <c r="VEY526" s="1358"/>
      <c r="VEZ526" s="1358"/>
      <c r="VFA526" s="1358"/>
      <c r="VFB526" s="1358"/>
      <c r="VFC526" s="1358"/>
      <c r="VFD526" s="1358"/>
      <c r="VFE526" s="1358"/>
      <c r="VFF526" s="1358"/>
      <c r="VFG526" s="1358"/>
      <c r="VFH526" s="1358"/>
      <c r="VFI526" s="1358"/>
      <c r="VFJ526" s="1358"/>
      <c r="VFK526" s="1358"/>
      <c r="VFL526" s="1358"/>
      <c r="VFM526" s="1358"/>
      <c r="VFN526" s="1358"/>
      <c r="VFO526" s="1358"/>
      <c r="VFP526" s="1358"/>
      <c r="VFQ526" s="1358"/>
      <c r="VFR526" s="1358"/>
      <c r="VFS526" s="1358"/>
      <c r="VFT526" s="1358"/>
      <c r="VFU526" s="1358"/>
      <c r="VFV526" s="1358"/>
      <c r="VFW526" s="1358"/>
      <c r="VFX526" s="1358"/>
      <c r="VFY526" s="1358"/>
      <c r="VFZ526" s="1358"/>
      <c r="VGA526" s="1358"/>
      <c r="VGB526" s="1358"/>
      <c r="VGC526" s="1358"/>
      <c r="VGD526" s="1358"/>
      <c r="VGE526" s="1358"/>
      <c r="VGF526" s="1358"/>
      <c r="VGG526" s="1358"/>
      <c r="VGH526" s="1358"/>
      <c r="VGI526" s="1358"/>
      <c r="VGJ526" s="1358"/>
      <c r="VGK526" s="1358"/>
      <c r="VGL526" s="1358"/>
      <c r="VGM526" s="1358"/>
      <c r="VGN526" s="1358"/>
      <c r="VGO526" s="1358"/>
      <c r="VGP526" s="1358"/>
      <c r="VGQ526" s="1358"/>
      <c r="VGR526" s="1358"/>
      <c r="VGS526" s="1358"/>
      <c r="VGT526" s="1358"/>
      <c r="VGU526" s="1358"/>
      <c r="VGV526" s="1358"/>
      <c r="VGW526" s="1358"/>
      <c r="VGX526" s="1358"/>
      <c r="VGY526" s="1358"/>
      <c r="VGZ526" s="1358"/>
      <c r="VHA526" s="1358"/>
      <c r="VHB526" s="1358"/>
      <c r="VHC526" s="1358"/>
      <c r="VHD526" s="1358"/>
      <c r="VHE526" s="1358"/>
      <c r="VHF526" s="1358"/>
      <c r="VHG526" s="1358"/>
      <c r="VHH526" s="1358"/>
      <c r="VHI526" s="1358"/>
      <c r="VHJ526" s="1358"/>
      <c r="VHK526" s="1358"/>
      <c r="VHL526" s="1358"/>
      <c r="VHM526" s="1358"/>
      <c r="VHN526" s="1358"/>
      <c r="VHO526" s="1358"/>
      <c r="VHP526" s="1358"/>
      <c r="VHQ526" s="1358"/>
      <c r="VHR526" s="1358"/>
      <c r="VHS526" s="1358"/>
      <c r="VHT526" s="1358"/>
      <c r="VHU526" s="1358"/>
      <c r="VHV526" s="1358"/>
      <c r="VHW526" s="1358"/>
      <c r="VHX526" s="1358"/>
      <c r="VHY526" s="1358"/>
      <c r="VHZ526" s="1358"/>
      <c r="VIA526" s="1358"/>
      <c r="VIB526" s="1358"/>
      <c r="VIC526" s="1358"/>
      <c r="VID526" s="1358"/>
      <c r="VIE526" s="1358"/>
      <c r="VIF526" s="1358"/>
      <c r="VIG526" s="1358"/>
      <c r="VIH526" s="1358"/>
      <c r="VII526" s="1358"/>
      <c r="VIJ526" s="1358"/>
      <c r="VIK526" s="1358"/>
      <c r="VIL526" s="1358"/>
      <c r="VIM526" s="1358"/>
      <c r="VIN526" s="1358"/>
      <c r="VIO526" s="1358"/>
      <c r="VIP526" s="1358"/>
      <c r="VIQ526" s="1358"/>
      <c r="VIR526" s="1358"/>
      <c r="VIS526" s="1358"/>
      <c r="VIT526" s="1358"/>
      <c r="VIU526" s="1358"/>
      <c r="VIV526" s="1358"/>
      <c r="VIW526" s="1358"/>
      <c r="VIX526" s="1358"/>
      <c r="VIY526" s="1358"/>
      <c r="VIZ526" s="1358"/>
      <c r="VJA526" s="1358"/>
      <c r="VJB526" s="1358"/>
      <c r="VJC526" s="1358"/>
      <c r="VJD526" s="1358"/>
      <c r="VJE526" s="1358"/>
      <c r="VJF526" s="1358"/>
      <c r="VJG526" s="1358"/>
      <c r="VJH526" s="1358"/>
      <c r="VJI526" s="1358"/>
      <c r="VJJ526" s="1358"/>
      <c r="VJK526" s="1358"/>
      <c r="VJL526" s="1358"/>
      <c r="VJM526" s="1358"/>
      <c r="VJN526" s="1358"/>
      <c r="VJO526" s="1358"/>
      <c r="VJP526" s="1358"/>
      <c r="VJQ526" s="1358"/>
      <c r="VJR526" s="1358"/>
      <c r="VJS526" s="1358"/>
      <c r="VJT526" s="1358"/>
      <c r="VJU526" s="1358"/>
      <c r="VJV526" s="1358"/>
      <c r="VJW526" s="1358"/>
      <c r="VJX526" s="1358"/>
      <c r="VJY526" s="1358"/>
      <c r="VJZ526" s="1358"/>
      <c r="VKA526" s="1358"/>
      <c r="VKB526" s="1358"/>
      <c r="VKC526" s="1358"/>
      <c r="VKD526" s="1358"/>
      <c r="VKE526" s="1358"/>
      <c r="VKF526" s="1358"/>
      <c r="VKG526" s="1358"/>
      <c r="VKH526" s="1358"/>
      <c r="VKI526" s="1358"/>
      <c r="VKJ526" s="1358"/>
      <c r="VKK526" s="1358"/>
      <c r="VKL526" s="1358"/>
      <c r="VKM526" s="1358"/>
      <c r="VKN526" s="1358"/>
      <c r="VKO526" s="1358"/>
      <c r="VKP526" s="1358"/>
      <c r="VKQ526" s="1358"/>
      <c r="VKR526" s="1358"/>
      <c r="VKS526" s="1358"/>
      <c r="VKT526" s="1358"/>
      <c r="VKU526" s="1358"/>
      <c r="VKV526" s="1358"/>
      <c r="VKW526" s="1358"/>
      <c r="VKX526" s="1358"/>
      <c r="VKY526" s="1358"/>
      <c r="VKZ526" s="1358"/>
      <c r="VLA526" s="1358"/>
      <c r="VLB526" s="1358"/>
      <c r="VLC526" s="1358"/>
      <c r="VLD526" s="1358"/>
      <c r="VLE526" s="1358"/>
      <c r="VLF526" s="1358"/>
      <c r="VLG526" s="1358"/>
      <c r="VLH526" s="1358"/>
      <c r="VLI526" s="1358"/>
      <c r="VLJ526" s="1358"/>
      <c r="VLK526" s="1358"/>
      <c r="VLL526" s="1358"/>
      <c r="VLM526" s="1358"/>
      <c r="VLN526" s="1358"/>
      <c r="VLO526" s="1358"/>
      <c r="VLP526" s="1358"/>
      <c r="VLQ526" s="1358"/>
      <c r="VLR526" s="1358"/>
      <c r="VLS526" s="1358"/>
      <c r="VLT526" s="1358"/>
      <c r="VLU526" s="1358"/>
      <c r="VLV526" s="1358"/>
      <c r="VLW526" s="1358"/>
      <c r="VLX526" s="1358"/>
      <c r="VLY526" s="1358"/>
      <c r="VLZ526" s="1358"/>
      <c r="VMA526" s="1358"/>
      <c r="VMB526" s="1358"/>
      <c r="VMC526" s="1358"/>
      <c r="VMD526" s="1358"/>
      <c r="VME526" s="1358"/>
      <c r="VMF526" s="1358"/>
      <c r="VMG526" s="1358"/>
      <c r="VMH526" s="1358"/>
      <c r="VMI526" s="1358"/>
      <c r="VMJ526" s="1358"/>
      <c r="VMK526" s="1358"/>
      <c r="VML526" s="1358"/>
      <c r="VMM526" s="1358"/>
      <c r="VMN526" s="1358"/>
      <c r="VMO526" s="1358"/>
      <c r="VMP526" s="1358"/>
      <c r="VMQ526" s="1358"/>
      <c r="VMR526" s="1358"/>
      <c r="VMS526" s="1358"/>
      <c r="VMT526" s="1358"/>
      <c r="VMU526" s="1358"/>
      <c r="VMV526" s="1358"/>
      <c r="VMW526" s="1358"/>
      <c r="VMX526" s="1358"/>
      <c r="VMY526" s="1358"/>
      <c r="VMZ526" s="1358"/>
      <c r="VNA526" s="1358"/>
      <c r="VNB526" s="1358"/>
      <c r="VNC526" s="1358"/>
      <c r="VND526" s="1358"/>
      <c r="VNE526" s="1358"/>
      <c r="VNF526" s="1358"/>
      <c r="VNG526" s="1358"/>
      <c r="VNH526" s="1358"/>
      <c r="VNI526" s="1358"/>
      <c r="VNJ526" s="1358"/>
      <c r="VNK526" s="1358"/>
      <c r="VNL526" s="1358"/>
      <c r="VNM526" s="1358"/>
      <c r="VNN526" s="1358"/>
      <c r="VNO526" s="1358"/>
      <c r="VNP526" s="1358"/>
      <c r="VNQ526" s="1358"/>
      <c r="VNR526" s="1358"/>
      <c r="VNS526" s="1358"/>
      <c r="VNT526" s="1358"/>
      <c r="VNU526" s="1358"/>
      <c r="VNV526" s="1358"/>
      <c r="VNW526" s="1358"/>
      <c r="VNX526" s="1358"/>
      <c r="VNY526" s="1358"/>
      <c r="VNZ526" s="1358"/>
      <c r="VOA526" s="1358"/>
      <c r="VOB526" s="1358"/>
      <c r="VOC526" s="1358"/>
      <c r="VOD526" s="1358"/>
      <c r="VOE526" s="1358"/>
      <c r="VOF526" s="1358"/>
      <c r="VOG526" s="1358"/>
      <c r="VOH526" s="1358"/>
      <c r="VOI526" s="1358"/>
      <c r="VOJ526" s="1358"/>
      <c r="VOK526" s="1358"/>
      <c r="VOL526" s="1358"/>
      <c r="VOM526" s="1358"/>
      <c r="VON526" s="1358"/>
      <c r="VOO526" s="1358"/>
      <c r="VOP526" s="1358"/>
      <c r="VOQ526" s="1358"/>
      <c r="VOR526" s="1358"/>
      <c r="VOS526" s="1358"/>
      <c r="VOT526" s="1358"/>
      <c r="VOU526" s="1358"/>
      <c r="VOV526" s="1358"/>
      <c r="VOW526" s="1358"/>
      <c r="VOX526" s="1358"/>
      <c r="VOY526" s="1358"/>
      <c r="VOZ526" s="1358"/>
      <c r="VPA526" s="1358"/>
      <c r="VPB526" s="1358"/>
      <c r="VPC526" s="1358"/>
      <c r="VPD526" s="1358"/>
      <c r="VPE526" s="1358"/>
      <c r="VPF526" s="1358"/>
      <c r="VPG526" s="1358"/>
      <c r="VPH526" s="1358"/>
      <c r="VPI526" s="1358"/>
      <c r="VPJ526" s="1358"/>
      <c r="VPK526" s="1358"/>
      <c r="VPL526" s="1358"/>
      <c r="VPM526" s="1358"/>
      <c r="VPN526" s="1358"/>
      <c r="VPO526" s="1358"/>
      <c r="VPP526" s="1358"/>
      <c r="VPQ526" s="1358"/>
      <c r="VPR526" s="1358"/>
      <c r="VPS526" s="1358"/>
      <c r="VPT526" s="1358"/>
      <c r="VPU526" s="1358"/>
      <c r="VPV526" s="1358"/>
      <c r="VPW526" s="1358"/>
      <c r="VPX526" s="1358"/>
      <c r="VPY526" s="1358"/>
      <c r="VPZ526" s="1358"/>
      <c r="VQA526" s="1358"/>
      <c r="VQB526" s="1358"/>
      <c r="VQC526" s="1358"/>
      <c r="VQD526" s="1358"/>
      <c r="VQE526" s="1358"/>
      <c r="VQF526" s="1358"/>
      <c r="VQG526" s="1358"/>
      <c r="VQH526" s="1358"/>
      <c r="VQI526" s="1358"/>
      <c r="VQJ526" s="1358"/>
      <c r="VQK526" s="1358"/>
      <c r="VQL526" s="1358"/>
      <c r="VQM526" s="1358"/>
      <c r="VQN526" s="1358"/>
      <c r="VQO526" s="1358"/>
      <c r="VQP526" s="1358"/>
      <c r="VQQ526" s="1358"/>
      <c r="VQR526" s="1358"/>
      <c r="VQS526" s="1358"/>
      <c r="VQT526" s="1358"/>
      <c r="VQU526" s="1358"/>
      <c r="VQV526" s="1358"/>
      <c r="VQW526" s="1358"/>
      <c r="VQX526" s="1358"/>
      <c r="VQY526" s="1358"/>
      <c r="VQZ526" s="1358"/>
      <c r="VRA526" s="1358"/>
      <c r="VRB526" s="1358"/>
      <c r="VRC526" s="1358"/>
      <c r="VRD526" s="1358"/>
      <c r="VRE526" s="1358"/>
      <c r="VRF526" s="1358"/>
      <c r="VRG526" s="1358"/>
      <c r="VRH526" s="1358"/>
      <c r="VRI526" s="1358"/>
      <c r="VRJ526" s="1358"/>
      <c r="VRK526" s="1358"/>
      <c r="VRL526" s="1358"/>
      <c r="VRM526" s="1358"/>
      <c r="VRN526" s="1358"/>
      <c r="VRO526" s="1358"/>
      <c r="VRP526" s="1358"/>
      <c r="VRQ526" s="1358"/>
      <c r="VRR526" s="1358"/>
      <c r="VRS526" s="1358"/>
      <c r="VRT526" s="1358"/>
      <c r="VRU526" s="1358"/>
      <c r="VRV526" s="1358"/>
      <c r="VRW526" s="1358"/>
      <c r="VRX526" s="1358"/>
      <c r="VRY526" s="1358"/>
      <c r="VRZ526" s="1358"/>
      <c r="VSA526" s="1358"/>
      <c r="VSB526" s="1358"/>
      <c r="VSC526" s="1358"/>
      <c r="VSD526" s="1358"/>
      <c r="VSE526" s="1358"/>
      <c r="VSF526" s="1358"/>
      <c r="VSG526" s="1358"/>
      <c r="VSH526" s="1358"/>
      <c r="VSI526" s="1358"/>
      <c r="VSJ526" s="1358"/>
      <c r="VSK526" s="1358"/>
      <c r="VSL526" s="1358"/>
      <c r="VSM526" s="1358"/>
      <c r="VSN526" s="1358"/>
      <c r="VSO526" s="1358"/>
      <c r="VSP526" s="1358"/>
      <c r="VSQ526" s="1358"/>
      <c r="VSR526" s="1358"/>
      <c r="VSS526" s="1358"/>
      <c r="VST526" s="1358"/>
      <c r="VSU526" s="1358"/>
      <c r="VSV526" s="1358"/>
      <c r="VSW526" s="1358"/>
      <c r="VSX526" s="1358"/>
      <c r="VSY526" s="1358"/>
      <c r="VSZ526" s="1358"/>
      <c r="VTA526" s="1358"/>
      <c r="VTB526" s="1358"/>
      <c r="VTC526" s="1358"/>
      <c r="VTD526" s="1358"/>
      <c r="VTE526" s="1358"/>
      <c r="VTF526" s="1358"/>
      <c r="VTG526" s="1358"/>
      <c r="VTH526" s="1358"/>
      <c r="VTI526" s="1358"/>
      <c r="VTJ526" s="1358"/>
      <c r="VTK526" s="1358"/>
      <c r="VTL526" s="1358"/>
      <c r="VTM526" s="1358"/>
      <c r="VTN526" s="1358"/>
      <c r="VTO526" s="1358"/>
      <c r="VTP526" s="1358"/>
      <c r="VTQ526" s="1358"/>
      <c r="VTR526" s="1358"/>
      <c r="VTS526" s="1358"/>
      <c r="VTT526" s="1358"/>
      <c r="VTU526" s="1358"/>
      <c r="VTV526" s="1358"/>
      <c r="VTW526" s="1358"/>
      <c r="VTX526" s="1358"/>
      <c r="VTY526" s="1358"/>
      <c r="VTZ526" s="1358"/>
      <c r="VUA526" s="1358"/>
      <c r="VUB526" s="1358"/>
      <c r="VUC526" s="1358"/>
      <c r="VUD526" s="1358"/>
      <c r="VUE526" s="1358"/>
      <c r="VUF526" s="1358"/>
      <c r="VUG526" s="1358"/>
      <c r="VUH526" s="1358"/>
      <c r="VUI526" s="1358"/>
      <c r="VUJ526" s="1358"/>
      <c r="VUK526" s="1358"/>
      <c r="VUL526" s="1358"/>
      <c r="VUM526" s="1358"/>
      <c r="VUN526" s="1358"/>
      <c r="VUO526" s="1358"/>
      <c r="VUP526" s="1358"/>
      <c r="VUQ526" s="1358"/>
      <c r="VUR526" s="1358"/>
      <c r="VUS526" s="1358"/>
      <c r="VUT526" s="1358"/>
      <c r="VUU526" s="1358"/>
      <c r="VUV526" s="1358"/>
      <c r="VUW526" s="1358"/>
      <c r="VUX526" s="1358"/>
      <c r="VUY526" s="1358"/>
      <c r="VUZ526" s="1358"/>
      <c r="VVA526" s="1358"/>
      <c r="VVB526" s="1358"/>
      <c r="VVC526" s="1358"/>
      <c r="VVD526" s="1358"/>
      <c r="VVE526" s="1358"/>
      <c r="VVF526" s="1358"/>
      <c r="VVG526" s="1358"/>
      <c r="VVH526" s="1358"/>
      <c r="VVI526" s="1358"/>
      <c r="VVJ526" s="1358"/>
      <c r="VVK526" s="1358"/>
      <c r="VVL526" s="1358"/>
      <c r="VVM526" s="1358"/>
      <c r="VVN526" s="1358"/>
      <c r="VVO526" s="1358"/>
      <c r="VVP526" s="1358"/>
      <c r="VVQ526" s="1358"/>
      <c r="VVR526" s="1358"/>
      <c r="VVS526" s="1358"/>
      <c r="VVT526" s="1358"/>
      <c r="VVU526" s="1358"/>
      <c r="VVV526" s="1358"/>
      <c r="VVW526" s="1358"/>
      <c r="VVX526" s="1358"/>
      <c r="VVY526" s="1358"/>
      <c r="VVZ526" s="1358"/>
      <c r="VWA526" s="1358"/>
      <c r="VWB526" s="1358"/>
      <c r="VWC526" s="1358"/>
      <c r="VWD526" s="1358"/>
      <c r="VWE526" s="1358"/>
      <c r="VWF526" s="1358"/>
      <c r="VWG526" s="1358"/>
      <c r="VWH526" s="1358"/>
      <c r="VWI526" s="1358"/>
      <c r="VWJ526" s="1358"/>
      <c r="VWK526" s="1358"/>
      <c r="VWL526" s="1358"/>
      <c r="VWM526" s="1358"/>
      <c r="VWN526" s="1358"/>
      <c r="VWO526" s="1358"/>
      <c r="VWP526" s="1358"/>
      <c r="VWQ526" s="1358"/>
      <c r="VWR526" s="1358"/>
      <c r="VWS526" s="1358"/>
      <c r="VWT526" s="1358"/>
      <c r="VWU526" s="1358"/>
      <c r="VWV526" s="1358"/>
      <c r="VWW526" s="1358"/>
      <c r="VWX526" s="1358"/>
      <c r="VWY526" s="1358"/>
      <c r="VWZ526" s="1358"/>
      <c r="VXA526" s="1358"/>
      <c r="VXB526" s="1358"/>
      <c r="VXC526" s="1358"/>
      <c r="VXD526" s="1358"/>
      <c r="VXE526" s="1358"/>
      <c r="VXF526" s="1358"/>
      <c r="VXG526" s="1358"/>
      <c r="VXH526" s="1358"/>
      <c r="VXI526" s="1358"/>
      <c r="VXJ526" s="1358"/>
      <c r="VXK526" s="1358"/>
      <c r="VXL526" s="1358"/>
      <c r="VXM526" s="1358"/>
      <c r="VXN526" s="1358"/>
      <c r="VXO526" s="1358"/>
      <c r="VXP526" s="1358"/>
      <c r="VXQ526" s="1358"/>
      <c r="VXR526" s="1358"/>
      <c r="VXS526" s="1358"/>
      <c r="VXT526" s="1358"/>
      <c r="VXU526" s="1358"/>
      <c r="VXV526" s="1358"/>
      <c r="VXW526" s="1358"/>
      <c r="VXX526" s="1358"/>
      <c r="VXY526" s="1358"/>
      <c r="VXZ526" s="1358"/>
      <c r="VYA526" s="1358"/>
      <c r="VYB526" s="1358"/>
      <c r="VYC526" s="1358"/>
      <c r="VYD526" s="1358"/>
      <c r="VYE526" s="1358"/>
      <c r="VYF526" s="1358"/>
      <c r="VYG526" s="1358"/>
      <c r="VYH526" s="1358"/>
      <c r="VYI526" s="1358"/>
      <c r="VYJ526" s="1358"/>
      <c r="VYK526" s="1358"/>
      <c r="VYL526" s="1358"/>
      <c r="VYM526" s="1358"/>
      <c r="VYN526" s="1358"/>
      <c r="VYO526" s="1358"/>
      <c r="VYP526" s="1358"/>
      <c r="VYQ526" s="1358"/>
      <c r="VYR526" s="1358"/>
      <c r="VYS526" s="1358"/>
      <c r="VYT526" s="1358"/>
      <c r="VYU526" s="1358"/>
      <c r="VYV526" s="1358"/>
      <c r="VYW526" s="1358"/>
      <c r="VYX526" s="1358"/>
      <c r="VYY526" s="1358"/>
      <c r="VYZ526" s="1358"/>
      <c r="VZA526" s="1358"/>
      <c r="VZB526" s="1358"/>
      <c r="VZC526" s="1358"/>
      <c r="VZD526" s="1358"/>
      <c r="VZE526" s="1358"/>
      <c r="VZF526" s="1358"/>
      <c r="VZG526" s="1358"/>
      <c r="VZH526" s="1358"/>
      <c r="VZI526" s="1358"/>
      <c r="VZJ526" s="1358"/>
      <c r="VZK526" s="1358"/>
      <c r="VZL526" s="1358"/>
      <c r="VZM526" s="1358"/>
      <c r="VZN526" s="1358"/>
      <c r="VZO526" s="1358"/>
      <c r="VZP526" s="1358"/>
      <c r="VZQ526" s="1358"/>
      <c r="VZR526" s="1358"/>
      <c r="VZS526" s="1358"/>
      <c r="VZT526" s="1358"/>
      <c r="VZU526" s="1358"/>
      <c r="VZV526" s="1358"/>
      <c r="VZW526" s="1358"/>
      <c r="VZX526" s="1358"/>
      <c r="VZY526" s="1358"/>
      <c r="VZZ526" s="1358"/>
      <c r="WAA526" s="1358"/>
      <c r="WAB526" s="1358"/>
      <c r="WAC526" s="1358"/>
      <c r="WAD526" s="1358"/>
      <c r="WAE526" s="1358"/>
      <c r="WAF526" s="1358"/>
      <c r="WAG526" s="1358"/>
      <c r="WAH526" s="1358"/>
      <c r="WAI526" s="1358"/>
      <c r="WAJ526" s="1358"/>
      <c r="WAK526" s="1358"/>
      <c r="WAL526" s="1358"/>
      <c r="WAM526" s="1358"/>
      <c r="WAN526" s="1358"/>
      <c r="WAO526" s="1358"/>
      <c r="WAP526" s="1358"/>
      <c r="WAQ526" s="1358"/>
      <c r="WAR526" s="1358"/>
      <c r="WAS526" s="1358"/>
      <c r="WAT526" s="1358"/>
      <c r="WAU526" s="1358"/>
      <c r="WAV526" s="1358"/>
      <c r="WAW526" s="1358"/>
      <c r="WAX526" s="1358"/>
      <c r="WAY526" s="1358"/>
      <c r="WAZ526" s="1358"/>
      <c r="WBA526" s="1358"/>
      <c r="WBB526" s="1358"/>
      <c r="WBC526" s="1358"/>
      <c r="WBD526" s="1358"/>
      <c r="WBE526" s="1358"/>
      <c r="WBF526" s="1358"/>
      <c r="WBG526" s="1358"/>
      <c r="WBH526" s="1358"/>
      <c r="WBI526" s="1358"/>
      <c r="WBJ526" s="1358"/>
      <c r="WBK526" s="1358"/>
      <c r="WBL526" s="1358"/>
      <c r="WBM526" s="1358"/>
      <c r="WBN526" s="1358"/>
      <c r="WBO526" s="1358"/>
      <c r="WBP526" s="1358"/>
      <c r="WBQ526" s="1358"/>
      <c r="WBR526" s="1358"/>
      <c r="WBS526" s="1358"/>
      <c r="WBT526" s="1358"/>
      <c r="WBU526" s="1358"/>
      <c r="WBV526" s="1358"/>
      <c r="WBW526" s="1358"/>
      <c r="WBX526" s="1358"/>
      <c r="WBY526" s="1358"/>
      <c r="WBZ526" s="1358"/>
      <c r="WCA526" s="1358"/>
      <c r="WCB526" s="1358"/>
      <c r="WCC526" s="1358"/>
      <c r="WCD526" s="1358"/>
      <c r="WCE526" s="1358"/>
      <c r="WCF526" s="1358"/>
      <c r="WCG526" s="1358"/>
      <c r="WCH526" s="1358"/>
      <c r="WCI526" s="1358"/>
      <c r="WCJ526" s="1358"/>
      <c r="WCK526" s="1358"/>
      <c r="WCL526" s="1358"/>
      <c r="WCM526" s="1358"/>
      <c r="WCN526" s="1358"/>
      <c r="WCO526" s="1358"/>
      <c r="WCP526" s="1358"/>
      <c r="WCQ526" s="1358"/>
      <c r="WCR526" s="1358"/>
      <c r="WCS526" s="1358"/>
      <c r="WCT526" s="1358"/>
      <c r="WCU526" s="1358"/>
      <c r="WCV526" s="1358"/>
      <c r="WCW526" s="1358"/>
      <c r="WCX526" s="1358"/>
      <c r="WCY526" s="1358"/>
      <c r="WCZ526" s="1358"/>
      <c r="WDA526" s="1358"/>
      <c r="WDB526" s="1358"/>
      <c r="WDC526" s="1358"/>
      <c r="WDD526" s="1358"/>
      <c r="WDE526" s="1358"/>
      <c r="WDF526" s="1358"/>
      <c r="WDG526" s="1358"/>
      <c r="WDH526" s="1358"/>
      <c r="WDI526" s="1358"/>
      <c r="WDJ526" s="1358"/>
      <c r="WDK526" s="1358"/>
      <c r="WDL526" s="1358"/>
      <c r="WDM526" s="1358"/>
      <c r="WDN526" s="1358"/>
      <c r="WDO526" s="1358"/>
      <c r="WDP526" s="1358"/>
      <c r="WDQ526" s="1358"/>
      <c r="WDR526" s="1358"/>
      <c r="WDS526" s="1358"/>
      <c r="WDT526" s="1358"/>
      <c r="WDU526" s="1358"/>
      <c r="WDV526" s="1358"/>
      <c r="WDW526" s="1358"/>
      <c r="WDX526" s="1358"/>
      <c r="WDY526" s="1358"/>
      <c r="WDZ526" s="1358"/>
      <c r="WEA526" s="1358"/>
      <c r="WEB526" s="1358"/>
      <c r="WEC526" s="1358"/>
      <c r="WED526" s="1358"/>
      <c r="WEE526" s="1358"/>
      <c r="WEF526" s="1358"/>
      <c r="WEG526" s="1358"/>
      <c r="WEH526" s="1358"/>
      <c r="WEI526" s="1358"/>
      <c r="WEJ526" s="1358"/>
      <c r="WEK526" s="1358"/>
      <c r="WEL526" s="1358"/>
      <c r="WEM526" s="1358"/>
      <c r="WEN526" s="1358"/>
      <c r="WEO526" s="1358"/>
      <c r="WEP526" s="1358"/>
      <c r="WEQ526" s="1358"/>
      <c r="WER526" s="1358"/>
      <c r="WES526" s="1358"/>
      <c r="WET526" s="1358"/>
      <c r="WEU526" s="1358"/>
      <c r="WEV526" s="1358"/>
      <c r="WEW526" s="1358"/>
      <c r="WEX526" s="1358"/>
      <c r="WEY526" s="1358"/>
      <c r="WEZ526" s="1358"/>
      <c r="WFA526" s="1358"/>
      <c r="WFB526" s="1358"/>
      <c r="WFC526" s="1358"/>
      <c r="WFD526" s="1358"/>
      <c r="WFE526" s="1358"/>
      <c r="WFF526" s="1358"/>
      <c r="WFG526" s="1358"/>
      <c r="WFH526" s="1358"/>
      <c r="WFI526" s="1358"/>
      <c r="WFJ526" s="1358"/>
      <c r="WFK526" s="1358"/>
      <c r="WFL526" s="1358"/>
      <c r="WFM526" s="1358"/>
      <c r="WFN526" s="1358"/>
      <c r="WFO526" s="1358"/>
      <c r="WFP526" s="1358"/>
      <c r="WFQ526" s="1358"/>
      <c r="WFR526" s="1358"/>
      <c r="WFS526" s="1358"/>
      <c r="WFT526" s="1358"/>
      <c r="WFU526" s="1358"/>
      <c r="WFV526" s="1358"/>
      <c r="WFW526" s="1358"/>
      <c r="WFX526" s="1358"/>
      <c r="WFY526" s="1358"/>
      <c r="WFZ526" s="1358"/>
      <c r="WGA526" s="1358"/>
      <c r="WGB526" s="1358"/>
      <c r="WGC526" s="1358"/>
      <c r="WGD526" s="1358"/>
      <c r="WGE526" s="1358"/>
      <c r="WGF526" s="1358"/>
      <c r="WGG526" s="1358"/>
      <c r="WGH526" s="1358"/>
      <c r="WGI526" s="1358"/>
      <c r="WGJ526" s="1358"/>
      <c r="WGK526" s="1358"/>
      <c r="WGL526" s="1358"/>
      <c r="WGM526" s="1358"/>
      <c r="WGN526" s="1358"/>
      <c r="WGO526" s="1358"/>
      <c r="WGP526" s="1358"/>
      <c r="WGQ526" s="1358"/>
      <c r="WGR526" s="1358"/>
      <c r="WGS526" s="1358"/>
      <c r="WGT526" s="1358"/>
      <c r="WGU526" s="1358"/>
      <c r="WGV526" s="1358"/>
      <c r="WGW526" s="1358"/>
      <c r="WGX526" s="1358"/>
      <c r="WGY526" s="1358"/>
      <c r="WGZ526" s="1358"/>
      <c r="WHA526" s="1358"/>
      <c r="WHB526" s="1358"/>
      <c r="WHC526" s="1358"/>
      <c r="WHD526" s="1358"/>
      <c r="WHE526" s="1358"/>
      <c r="WHF526" s="1358"/>
      <c r="WHG526" s="1358"/>
      <c r="WHH526" s="1358"/>
      <c r="WHI526" s="1358"/>
      <c r="WHJ526" s="1358"/>
      <c r="WHK526" s="1358"/>
      <c r="WHL526" s="1358"/>
      <c r="WHM526" s="1358"/>
      <c r="WHN526" s="1358"/>
      <c r="WHO526" s="1358"/>
      <c r="WHP526" s="1358"/>
      <c r="WHQ526" s="1358"/>
      <c r="WHR526" s="1358"/>
      <c r="WHS526" s="1358"/>
      <c r="WHT526" s="1358"/>
      <c r="WHU526" s="1358"/>
      <c r="WHV526" s="1358"/>
      <c r="WHW526" s="1358"/>
      <c r="WHX526" s="1358"/>
      <c r="WHY526" s="1358"/>
      <c r="WHZ526" s="1358"/>
      <c r="WIA526" s="1358"/>
      <c r="WIB526" s="1358"/>
      <c r="WIC526" s="1358"/>
      <c r="WID526" s="1358"/>
      <c r="WIE526" s="1358"/>
      <c r="WIF526" s="1358"/>
      <c r="WIG526" s="1358"/>
      <c r="WIH526" s="1358"/>
      <c r="WII526" s="1358"/>
      <c r="WIJ526" s="1358"/>
      <c r="WIK526" s="1358"/>
      <c r="WIL526" s="1358"/>
      <c r="WIM526" s="1358"/>
      <c r="WIN526" s="1358"/>
      <c r="WIO526" s="1358"/>
      <c r="WIP526" s="1358"/>
      <c r="WIQ526" s="1358"/>
      <c r="WIR526" s="1358"/>
      <c r="WIS526" s="1358"/>
      <c r="WIT526" s="1358"/>
      <c r="WIU526" s="1358"/>
      <c r="WIV526" s="1358"/>
      <c r="WIW526" s="1358"/>
      <c r="WIX526" s="1358"/>
      <c r="WIY526" s="1358"/>
      <c r="WIZ526" s="1358"/>
      <c r="WJA526" s="1358"/>
      <c r="WJB526" s="1358"/>
      <c r="WJC526" s="1358"/>
      <c r="WJD526" s="1358"/>
      <c r="WJE526" s="1358"/>
      <c r="WJF526" s="1358"/>
      <c r="WJG526" s="1358"/>
      <c r="WJH526" s="1358"/>
      <c r="WJI526" s="1358"/>
      <c r="WJJ526" s="1358"/>
      <c r="WJK526" s="1358"/>
      <c r="WJL526" s="1358"/>
      <c r="WJM526" s="1358"/>
      <c r="WJN526" s="1358"/>
      <c r="WJO526" s="1358"/>
      <c r="WJP526" s="1358"/>
      <c r="WJQ526" s="1358"/>
      <c r="WJR526" s="1358"/>
      <c r="WJS526" s="1358"/>
      <c r="WJT526" s="1358"/>
      <c r="WJU526" s="1358"/>
      <c r="WJV526" s="1358"/>
      <c r="WJW526" s="1358"/>
      <c r="WJX526" s="1358"/>
      <c r="WJY526" s="1358"/>
      <c r="WJZ526" s="1358"/>
      <c r="WKA526" s="1358"/>
      <c r="WKB526" s="1358"/>
      <c r="WKC526" s="1358"/>
      <c r="WKD526" s="1358"/>
      <c r="WKE526" s="1358"/>
      <c r="WKF526" s="1358"/>
      <c r="WKG526" s="1358"/>
      <c r="WKH526" s="1358"/>
      <c r="WKI526" s="1358"/>
      <c r="WKJ526" s="1358"/>
      <c r="WKK526" s="1358"/>
      <c r="WKL526" s="1358"/>
      <c r="WKM526" s="1358"/>
      <c r="WKN526" s="1358"/>
      <c r="WKO526" s="1358"/>
      <c r="WKP526" s="1358"/>
      <c r="WKQ526" s="1358"/>
      <c r="WKR526" s="1358"/>
      <c r="WKS526" s="1358"/>
      <c r="WKT526" s="1358"/>
      <c r="WKU526" s="1358"/>
      <c r="WKV526" s="1358"/>
      <c r="WKW526" s="1358"/>
      <c r="WKX526" s="1358"/>
      <c r="WKY526" s="1358"/>
      <c r="WKZ526" s="1358"/>
      <c r="WLA526" s="1358"/>
      <c r="WLB526" s="1358"/>
      <c r="WLC526" s="1358"/>
      <c r="WLD526" s="1358"/>
      <c r="WLE526" s="1358"/>
      <c r="WLF526" s="1358"/>
      <c r="WLG526" s="1358"/>
      <c r="WLH526" s="1358"/>
      <c r="WLI526" s="1358"/>
      <c r="WLJ526" s="1358"/>
      <c r="WLK526" s="1358"/>
      <c r="WLL526" s="1358"/>
      <c r="WLM526" s="1358"/>
      <c r="WLN526" s="1358"/>
      <c r="WLO526" s="1358"/>
      <c r="WLP526" s="1358"/>
      <c r="WLQ526" s="1358"/>
      <c r="WLR526" s="1358"/>
      <c r="WLS526" s="1358"/>
      <c r="WLT526" s="1358"/>
      <c r="WLU526" s="1358"/>
      <c r="WLV526" s="1358"/>
      <c r="WLW526" s="1358"/>
      <c r="WLX526" s="1358"/>
      <c r="WLY526" s="1358"/>
      <c r="WLZ526" s="1358"/>
      <c r="WMA526" s="1358"/>
      <c r="WMB526" s="1358"/>
      <c r="WMC526" s="1358"/>
      <c r="WMD526" s="1358"/>
      <c r="WME526" s="1358"/>
      <c r="WMF526" s="1358"/>
      <c r="WMG526" s="1358"/>
      <c r="WMH526" s="1358"/>
      <c r="WMI526" s="1358"/>
      <c r="WMJ526" s="1358"/>
      <c r="WMK526" s="1358"/>
      <c r="WML526" s="1358"/>
      <c r="WMM526" s="1358"/>
      <c r="WMN526" s="1358"/>
      <c r="WMO526" s="1358"/>
      <c r="WMP526" s="1358"/>
      <c r="WMQ526" s="1358"/>
      <c r="WMR526" s="1358"/>
      <c r="WMS526" s="1358"/>
      <c r="WMT526" s="1358"/>
      <c r="WMU526" s="1358"/>
      <c r="WMV526" s="1358"/>
      <c r="WMW526" s="1358"/>
      <c r="WMX526" s="1358"/>
      <c r="WMY526" s="1358"/>
      <c r="WMZ526" s="1358"/>
      <c r="WNA526" s="1358"/>
      <c r="WNB526" s="1358"/>
      <c r="WNC526" s="1358"/>
      <c r="WND526" s="1358"/>
      <c r="WNE526" s="1358"/>
      <c r="WNF526" s="1358"/>
      <c r="WNG526" s="1358"/>
      <c r="WNH526" s="1358"/>
      <c r="WNI526" s="1358"/>
      <c r="WNJ526" s="1358"/>
      <c r="WNK526" s="1358"/>
      <c r="WNL526" s="1358"/>
      <c r="WNM526" s="1358"/>
      <c r="WNN526" s="1358"/>
      <c r="WNO526" s="1358"/>
      <c r="WNP526" s="1358"/>
      <c r="WNQ526" s="1358"/>
      <c r="WNR526" s="1358"/>
      <c r="WNS526" s="1358"/>
      <c r="WNT526" s="1358"/>
      <c r="WNU526" s="1358"/>
      <c r="WNV526" s="1358"/>
      <c r="WNW526" s="1358"/>
      <c r="WNX526" s="1358"/>
      <c r="WNY526" s="1358"/>
      <c r="WNZ526" s="1358"/>
      <c r="WOA526" s="1358"/>
      <c r="WOB526" s="1358"/>
      <c r="WOC526" s="1358"/>
      <c r="WOD526" s="1358"/>
      <c r="WOE526" s="1358"/>
      <c r="WOF526" s="1358"/>
      <c r="WOG526" s="1358"/>
      <c r="WOH526" s="1358"/>
      <c r="WOI526" s="1358"/>
      <c r="WOJ526" s="1358"/>
      <c r="WOK526" s="1358"/>
      <c r="WOL526" s="1358"/>
      <c r="WOM526" s="1358"/>
      <c r="WON526" s="1358"/>
      <c r="WOO526" s="1358"/>
      <c r="WOP526" s="1358"/>
      <c r="WOQ526" s="1358"/>
      <c r="WOR526" s="1358"/>
      <c r="WOS526" s="1358"/>
      <c r="WOT526" s="1358"/>
      <c r="WOU526" s="1358"/>
      <c r="WOV526" s="1358"/>
      <c r="WOW526" s="1358"/>
      <c r="WOX526" s="1358"/>
      <c r="WOY526" s="1358"/>
      <c r="WOZ526" s="1358"/>
      <c r="WPA526" s="1358"/>
      <c r="WPB526" s="1358"/>
      <c r="WPC526" s="1358"/>
      <c r="WPD526" s="1358"/>
      <c r="WPE526" s="1358"/>
      <c r="WPF526" s="1358"/>
      <c r="WPG526" s="1358"/>
      <c r="WPH526" s="1358"/>
      <c r="WPI526" s="1358"/>
      <c r="WPJ526" s="1358"/>
      <c r="WPK526" s="1358"/>
      <c r="WPL526" s="1358"/>
      <c r="WPM526" s="1358"/>
      <c r="WPN526" s="1358"/>
      <c r="WPO526" s="1358"/>
      <c r="WPP526" s="1358"/>
      <c r="WPQ526" s="1358"/>
      <c r="WPR526" s="1358"/>
      <c r="WPS526" s="1358"/>
      <c r="WPT526" s="1358"/>
      <c r="WPU526" s="1358"/>
      <c r="WPV526" s="1358"/>
      <c r="WPW526" s="1358"/>
      <c r="WPX526" s="1358"/>
      <c r="WPY526" s="1358"/>
      <c r="WPZ526" s="1358"/>
      <c r="WQA526" s="1358"/>
      <c r="WQB526" s="1358"/>
      <c r="WQC526" s="1358"/>
      <c r="WQD526" s="1358"/>
      <c r="WQE526" s="1358"/>
      <c r="WQF526" s="1358"/>
      <c r="WQG526" s="1358"/>
      <c r="WQH526" s="1358"/>
      <c r="WQI526" s="1358"/>
      <c r="WQJ526" s="1358"/>
      <c r="WQK526" s="1358"/>
      <c r="WQL526" s="1358"/>
      <c r="WQM526" s="1358"/>
      <c r="WQN526" s="1358"/>
      <c r="WQO526" s="1358"/>
      <c r="WQP526" s="1358"/>
      <c r="WQQ526" s="1358"/>
      <c r="WQR526" s="1358"/>
      <c r="WQS526" s="1358"/>
      <c r="WQT526" s="1358"/>
      <c r="WQU526" s="1358"/>
      <c r="WQV526" s="1358"/>
      <c r="WQW526" s="1358"/>
      <c r="WQX526" s="1358"/>
      <c r="WQY526" s="1358"/>
      <c r="WQZ526" s="1358"/>
      <c r="WRA526" s="1358"/>
      <c r="WRB526" s="1358"/>
      <c r="WRC526" s="1358"/>
      <c r="WRD526" s="1358"/>
      <c r="WRE526" s="1358"/>
      <c r="WRF526" s="1358"/>
      <c r="WRG526" s="1358"/>
      <c r="WRH526" s="1358"/>
      <c r="WRI526" s="1358"/>
      <c r="WRJ526" s="1359"/>
      <c r="WRK526" s="1360"/>
      <c r="WRL526" s="1361"/>
      <c r="WRM526" s="1362"/>
      <c r="WRN526" s="1368"/>
      <c r="WRO526" s="1363"/>
      <c r="WRP526" s="1364"/>
      <c r="WRQ526" s="1365"/>
      <c r="WRR526" s="1364"/>
      <c r="WRS526" s="1366"/>
      <c r="WRT526" s="1367"/>
      <c r="WRU526" s="1363"/>
      <c r="WRV526" s="1363"/>
      <c r="WRW526" s="1363"/>
      <c r="WRX526" s="1358"/>
      <c r="WRY526" s="1358"/>
      <c r="WRZ526" s="1358"/>
      <c r="WSA526" s="1358"/>
      <c r="WSB526" s="1359"/>
      <c r="WSC526" s="1360"/>
      <c r="WSD526" s="1361"/>
      <c r="WSE526" s="1362"/>
      <c r="WSF526" s="1368"/>
      <c r="WSG526" s="1363"/>
      <c r="WSH526" s="1364"/>
      <c r="WSI526" s="1365"/>
      <c r="WSJ526" s="1364"/>
      <c r="WSK526" s="1366"/>
      <c r="WSL526" s="1367"/>
      <c r="WSM526" s="1363"/>
      <c r="WSN526" s="1363"/>
      <c r="WSO526" s="1363"/>
      <c r="WSP526" s="1358"/>
      <c r="WSQ526" s="1358"/>
      <c r="WSR526" s="1358"/>
      <c r="WSS526" s="1358"/>
      <c r="WST526" s="1359"/>
      <c r="WSU526" s="1360"/>
      <c r="WSV526" s="1361"/>
      <c r="WSW526" s="1362"/>
      <c r="WSX526" s="1368"/>
      <c r="WSY526" s="1363"/>
      <c r="WSZ526" s="1364"/>
      <c r="WTA526" s="1365"/>
      <c r="WTB526" s="1364"/>
      <c r="WTC526" s="1366"/>
      <c r="WTD526" s="1367"/>
      <c r="WTE526" s="1363"/>
      <c r="WTF526" s="1363"/>
      <c r="WTG526" s="1363"/>
      <c r="WTH526" s="1358"/>
      <c r="WTI526" s="1358"/>
      <c r="WTJ526" s="1358"/>
      <c r="WTK526" s="1358"/>
      <c r="WTL526" s="1359"/>
      <c r="WTM526" s="1360"/>
      <c r="WTN526" s="1361"/>
      <c r="WTO526" s="1362"/>
      <c r="WTP526" s="1368"/>
      <c r="WTQ526" s="1363"/>
      <c r="WTR526" s="1364"/>
      <c r="WTS526" s="1365"/>
      <c r="WTT526" s="1364"/>
      <c r="WTU526" s="1366"/>
      <c r="WTV526" s="1367"/>
      <c r="WTW526" s="1363"/>
      <c r="WTX526" s="1363"/>
      <c r="WTY526" s="1363"/>
      <c r="WTZ526" s="1358"/>
      <c r="WUA526" s="1358"/>
      <c r="WUB526" s="1358"/>
      <c r="WUC526" s="1358"/>
      <c r="WUD526" s="1359"/>
      <c r="WUE526" s="1360"/>
      <c r="WUF526" s="1361"/>
      <c r="WUG526" s="1362"/>
      <c r="WUH526" s="1368"/>
      <c r="WUI526" s="1363"/>
      <c r="WUJ526" s="1364"/>
      <c r="WUK526" s="1365"/>
      <c r="WUL526" s="1364"/>
      <c r="WUM526" s="1366"/>
      <c r="WUN526" s="1367"/>
      <c r="WUO526" s="1363"/>
      <c r="WUP526" s="1363"/>
      <c r="WUQ526" s="1363"/>
      <c r="WUR526" s="1358"/>
      <c r="WUS526" s="1358"/>
      <c r="WUT526" s="1358"/>
      <c r="WUU526" s="1358"/>
      <c r="WUV526" s="1359"/>
      <c r="WUW526" s="1360"/>
      <c r="WUX526" s="1361"/>
      <c r="WUY526" s="1362"/>
      <c r="WUZ526" s="1368"/>
      <c r="WVA526" s="1363"/>
      <c r="WVB526" s="1364"/>
      <c r="WVC526" s="1365"/>
      <c r="WVD526" s="1364"/>
      <c r="WVE526" s="1366"/>
      <c r="WVF526" s="1367"/>
      <c r="WVG526" s="1363"/>
      <c r="WVH526" s="1363"/>
      <c r="WVI526" s="1363"/>
      <c r="WVJ526" s="1358"/>
      <c r="WVK526" s="1358"/>
      <c r="WVL526" s="1358"/>
      <c r="WVM526" s="1358"/>
      <c r="WVN526" s="1359"/>
      <c r="WVO526" s="1360"/>
      <c r="WVP526" s="1361"/>
      <c r="WVQ526" s="1362"/>
      <c r="WVR526" s="1368"/>
      <c r="WVS526" s="1363"/>
      <c r="WVT526" s="1364"/>
      <c r="WVU526" s="1365"/>
      <c r="WVV526" s="1364"/>
      <c r="WVW526" s="1366"/>
      <c r="WVX526" s="1367"/>
      <c r="WVY526" s="1363"/>
      <c r="WVZ526" s="1363"/>
      <c r="WWA526" s="1363"/>
      <c r="WWB526" s="1358"/>
      <c r="WWC526" s="1358"/>
      <c r="WWD526" s="1358"/>
      <c r="WWE526" s="1358"/>
      <c r="WWF526" s="1359"/>
      <c r="WWG526" s="1360"/>
      <c r="WWH526" s="1361"/>
      <c r="WWI526" s="1362"/>
      <c r="WWJ526" s="1368"/>
      <c r="WWK526" s="1363"/>
      <c r="WWL526" s="1364"/>
      <c r="WWM526" s="1365"/>
      <c r="WWN526" s="1364"/>
      <c r="WWO526" s="1366"/>
      <c r="WWP526" s="1367"/>
      <c r="WWQ526" s="1363"/>
      <c r="WWR526" s="1363"/>
      <c r="WWS526" s="1363"/>
      <c r="WWT526" s="1358"/>
      <c r="WWU526" s="1358"/>
      <c r="WWV526" s="1358"/>
      <c r="WWW526" s="1358"/>
      <c r="WWX526" s="1359"/>
      <c r="WWY526" s="1360"/>
      <c r="WWZ526" s="1361"/>
      <c r="WXA526" s="1362"/>
      <c r="WXB526" s="1368"/>
      <c r="WXC526" s="1363"/>
      <c r="WXD526" s="1364"/>
      <c r="WXE526" s="1365"/>
      <c r="WXF526" s="1364"/>
      <c r="WXG526" s="1366"/>
      <c r="WXH526" s="1367"/>
      <c r="WXI526" s="1363"/>
      <c r="WXJ526" s="1363"/>
      <c r="WXK526" s="1363"/>
      <c r="WXL526" s="1358"/>
      <c r="WXM526" s="1358"/>
      <c r="WXN526" s="1358"/>
      <c r="WXO526" s="1358"/>
      <c r="WXP526" s="1359"/>
      <c r="WXQ526" s="1360"/>
      <c r="WXR526" s="1361"/>
      <c r="WXS526" s="1362"/>
      <c r="WXT526" s="1368"/>
      <c r="WXU526" s="1363"/>
      <c r="WXV526" s="1364"/>
      <c r="WXW526" s="1365"/>
      <c r="WXX526" s="1364"/>
      <c r="WXY526" s="1366"/>
      <c r="WXZ526" s="1367"/>
      <c r="WYA526" s="1363"/>
      <c r="WYB526" s="1363"/>
      <c r="WYC526" s="1363"/>
      <c r="WYD526" s="1358"/>
      <c r="WYE526" s="1358"/>
      <c r="WYF526" s="1358"/>
      <c r="WYG526" s="1358"/>
      <c r="WYH526" s="1359"/>
      <c r="WYI526" s="1360"/>
      <c r="WYJ526" s="1361"/>
      <c r="WYK526" s="1362"/>
      <c r="WYL526" s="1368"/>
      <c r="WYM526" s="1363"/>
      <c r="WYN526" s="1364"/>
      <c r="WYO526" s="1365"/>
      <c r="WYP526" s="1364"/>
      <c r="WYQ526" s="1366"/>
      <c r="WYR526" s="1367"/>
      <c r="WYS526" s="1363"/>
      <c r="WYT526" s="1363"/>
      <c r="WYU526" s="1363"/>
      <c r="WYV526" s="1358"/>
      <c r="WYW526" s="1358"/>
      <c r="WYX526" s="1358"/>
      <c r="WYY526" s="1358"/>
      <c r="WYZ526" s="1359"/>
      <c r="WZA526" s="1360"/>
      <c r="WZB526" s="1361"/>
      <c r="WZC526" s="1362"/>
      <c r="WZD526" s="1368"/>
      <c r="WZE526" s="1363"/>
      <c r="WZF526" s="1364"/>
      <c r="WZG526" s="1365"/>
      <c r="WZH526" s="1364"/>
      <c r="WZI526" s="1366"/>
      <c r="WZJ526" s="1367"/>
      <c r="WZK526" s="1363"/>
      <c r="WZL526" s="1363"/>
      <c r="WZM526" s="1363"/>
      <c r="WZN526" s="1358"/>
      <c r="WZO526" s="1358"/>
      <c r="WZP526" s="1358"/>
      <c r="WZQ526" s="1358"/>
      <c r="WZR526" s="1359"/>
      <c r="WZS526" s="1360"/>
      <c r="WZT526" s="1361"/>
      <c r="WZU526" s="1362"/>
      <c r="WZV526" s="1368"/>
      <c r="WZW526" s="1363"/>
      <c r="WZX526" s="1364"/>
      <c r="WZY526" s="1365"/>
      <c r="WZZ526" s="1364"/>
      <c r="XAA526" s="1366"/>
      <c r="XAB526" s="1367"/>
      <c r="XAC526" s="1363"/>
      <c r="XAD526" s="1363"/>
      <c r="XAE526" s="1363"/>
      <c r="XAF526" s="1358"/>
      <c r="XAG526" s="1358"/>
      <c r="XAH526" s="1358"/>
      <c r="XAI526" s="1358"/>
      <c r="XAJ526" s="1359"/>
      <c r="XAK526" s="1360"/>
      <c r="XAL526" s="1361"/>
      <c r="XAM526" s="1362"/>
      <c r="XAN526" s="1368"/>
      <c r="XAO526" s="1363"/>
      <c r="XAP526" s="1364"/>
      <c r="XAQ526" s="1365"/>
      <c r="XAR526" s="1364"/>
      <c r="XAS526" s="1366"/>
      <c r="XAT526" s="1367"/>
      <c r="XAU526" s="1363"/>
      <c r="XAV526" s="1363"/>
      <c r="XAW526" s="1363"/>
      <c r="XAX526" s="1358"/>
      <c r="XAY526" s="1358"/>
      <c r="XAZ526" s="1358"/>
      <c r="XBA526" s="1358"/>
      <c r="XBB526" s="1359"/>
      <c r="XBC526" s="1360"/>
      <c r="XBD526" s="1361"/>
      <c r="XBE526" s="1362"/>
      <c r="XBF526" s="1368"/>
      <c r="XBG526" s="1363"/>
      <c r="XBH526" s="1364"/>
      <c r="XBI526" s="1365"/>
      <c r="XBJ526" s="1364"/>
      <c r="XBK526" s="1366"/>
      <c r="XBL526" s="1367"/>
      <c r="XBM526" s="1363"/>
      <c r="XBN526" s="1363"/>
      <c r="XBO526" s="1363"/>
      <c r="XBP526" s="1358"/>
      <c r="XBQ526" s="1358"/>
      <c r="XBR526" s="1358"/>
      <c r="XBS526" s="1358"/>
      <c r="XBT526" s="1359"/>
      <c r="XBU526" s="1360"/>
      <c r="XBV526" s="1361"/>
      <c r="XBW526" s="1362"/>
      <c r="XBX526" s="1368"/>
      <c r="XBY526" s="1363"/>
      <c r="XBZ526" s="1364"/>
      <c r="XCA526" s="1365"/>
      <c r="XCB526" s="1364"/>
      <c r="XCC526" s="1366"/>
      <c r="XCD526" s="1367"/>
      <c r="XCE526" s="1363"/>
      <c r="XCF526" s="1363"/>
      <c r="XCG526" s="1363"/>
      <c r="XCH526" s="1358"/>
      <c r="XCI526" s="1358"/>
      <c r="XCJ526" s="1358"/>
      <c r="XCK526" s="1358"/>
      <c r="XCL526" s="1359"/>
      <c r="XCM526" s="1360"/>
      <c r="XCN526" s="1361"/>
      <c r="XCO526" s="1362"/>
      <c r="XCP526" s="1368"/>
      <c r="XCQ526" s="1363"/>
      <c r="XCR526" s="1364"/>
      <c r="XCS526" s="1365"/>
      <c r="XCT526" s="1364"/>
      <c r="XCU526" s="1366"/>
      <c r="XCV526" s="1367"/>
      <c r="XCW526" s="1363"/>
      <c r="XCX526" s="1363"/>
      <c r="XCY526" s="1363"/>
      <c r="XCZ526" s="1358"/>
      <c r="XDA526" s="1358"/>
      <c r="XDB526" s="1358"/>
      <c r="XDC526" s="1358"/>
      <c r="XDD526" s="1359"/>
      <c r="XDE526" s="1360"/>
      <c r="XDF526" s="1361"/>
      <c r="XDG526" s="1362"/>
      <c r="XDH526" s="1368"/>
      <c r="XDI526" s="1363"/>
      <c r="XDJ526" s="1364"/>
      <c r="XDK526" s="1365"/>
      <c r="XDL526" s="1364"/>
      <c r="XDM526" s="1366"/>
      <c r="XDN526" s="1367"/>
      <c r="XDO526" s="1363"/>
      <c r="XDP526" s="1363"/>
      <c r="XDQ526" s="1363"/>
      <c r="XDR526" s="1358"/>
      <c r="XDS526" s="1358"/>
      <c r="XDT526" s="1358"/>
      <c r="XDU526" s="1358"/>
      <c r="XDV526" s="1359"/>
      <c r="XDW526" s="1360"/>
      <c r="XDX526" s="1361"/>
      <c r="XDY526" s="1362"/>
      <c r="XDZ526" s="1368"/>
      <c r="XEA526" s="1363"/>
      <c r="XEB526" s="1364"/>
      <c r="XEC526" s="1365"/>
      <c r="XED526" s="1364"/>
      <c r="XEE526" s="1366"/>
      <c r="XEF526" s="1367"/>
      <c r="XEG526" s="1363"/>
      <c r="XEH526" s="1363"/>
      <c r="XEI526" s="1363"/>
      <c r="XEJ526" s="1358"/>
      <c r="XEK526" s="1358"/>
      <c r="XEL526" s="1358"/>
      <c r="XEM526" s="1358"/>
      <c r="XEN526" s="1359"/>
      <c r="XEO526" s="1360"/>
      <c r="XEP526" s="1361"/>
      <c r="XEQ526" s="1362"/>
      <c r="XER526" s="1368"/>
      <c r="XES526" s="1363"/>
      <c r="XET526" s="1364"/>
      <c r="XEU526" s="1365"/>
      <c r="XEV526" s="1364"/>
      <c r="XEW526" s="1366"/>
      <c r="XEX526" s="1367"/>
      <c r="XEY526" s="1363"/>
      <c r="XEZ526" s="1363"/>
      <c r="XFA526" s="1363"/>
    </row>
    <row r="527" spans="1:16381" s="1414" customFormat="1" ht="28.8" x14ac:dyDescent="0.3">
      <c r="A527" s="1358" t="s">
        <v>264</v>
      </c>
      <c r="B527" s="1359" t="s">
        <v>280</v>
      </c>
      <c r="C527" s="1360" t="s">
        <v>3896</v>
      </c>
      <c r="D527" s="1361" t="s">
        <v>34</v>
      </c>
      <c r="E527" s="1362" t="s">
        <v>282</v>
      </c>
      <c r="F527" s="1368" t="s">
        <v>285</v>
      </c>
      <c r="G527" s="1363">
        <v>1.2144999999999999</v>
      </c>
      <c r="H527" s="1364">
        <v>22736.74</v>
      </c>
      <c r="I527" s="1365" t="s">
        <v>267</v>
      </c>
      <c r="J527" s="1364">
        <v>22736.74</v>
      </c>
      <c r="K527" s="1366">
        <v>0</v>
      </c>
      <c r="L527" s="1367">
        <v>0</v>
      </c>
      <c r="M527" s="1363" t="s">
        <v>290</v>
      </c>
      <c r="N527" s="1363" t="s">
        <v>766</v>
      </c>
      <c r="O527" s="1599" t="s">
        <v>3897</v>
      </c>
      <c r="P527" s="1358" t="s">
        <v>40</v>
      </c>
      <c r="Q527" s="1358"/>
      <c r="R527" s="1358" t="s">
        <v>64</v>
      </c>
      <c r="S527" s="1358"/>
      <c r="T527" s="1358"/>
      <c r="U527" s="1358"/>
      <c r="V527" s="1358" t="s">
        <v>40</v>
      </c>
      <c r="W527" s="1358"/>
      <c r="X527" s="1358" t="s">
        <v>40</v>
      </c>
      <c r="Y527" s="1358"/>
      <c r="Z527" s="1358" t="s">
        <v>64</v>
      </c>
      <c r="AA527" s="1358"/>
      <c r="AB527" s="1358" t="s">
        <v>40</v>
      </c>
      <c r="AC527" s="1358"/>
      <c r="AD527" s="1358"/>
      <c r="AE527" s="1598">
        <v>46203</v>
      </c>
      <c r="AF527" s="1358" t="s">
        <v>247</v>
      </c>
      <c r="AG527" s="1358">
        <v>2023</v>
      </c>
      <c r="AH527" s="1364">
        <v>112503.67</v>
      </c>
      <c r="AI527" s="1564" t="s">
        <v>3898</v>
      </c>
      <c r="AJ527" s="1358"/>
      <c r="AK527" s="1358" t="s">
        <v>43</v>
      </c>
      <c r="AL527" s="1358" t="s">
        <v>41</v>
      </c>
      <c r="AM527" s="1358">
        <v>0</v>
      </c>
      <c r="AN527" s="1358" t="s">
        <v>40</v>
      </c>
      <c r="AO527" s="1358"/>
      <c r="AP527" s="1358"/>
      <c r="AQ527" s="1358"/>
      <c r="AR527" s="1358"/>
      <c r="AS527" s="1358"/>
      <c r="AT527" s="1358"/>
      <c r="AU527" s="1358"/>
      <c r="AV527" s="1358"/>
      <c r="AW527" s="1358"/>
      <c r="AX527" s="1358"/>
      <c r="AY527" s="1358"/>
      <c r="AZ527" s="1358"/>
      <c r="BA527" s="1358"/>
      <c r="BB527" s="1358"/>
      <c r="BC527" s="1358"/>
      <c r="BD527" s="1358"/>
      <c r="BE527" s="1358"/>
      <c r="BF527" s="1358"/>
      <c r="BG527" s="1358"/>
      <c r="BH527" s="1358"/>
      <c r="BI527" s="1358"/>
      <c r="BJ527" s="1358"/>
      <c r="BK527" s="1358"/>
      <c r="BL527" s="1358"/>
      <c r="BM527" s="1358"/>
      <c r="BN527" s="1358"/>
      <c r="BO527" s="1358"/>
      <c r="BP527" s="1358"/>
      <c r="BQ527" s="1358"/>
      <c r="BR527" s="1358"/>
      <c r="BS527" s="1358"/>
      <c r="BT527" s="1358"/>
      <c r="BU527" s="1358"/>
      <c r="BV527" s="1358"/>
      <c r="BW527" s="1358"/>
      <c r="BX527" s="1358"/>
      <c r="BY527" s="1358"/>
      <c r="BZ527" s="1358"/>
      <c r="CA527" s="1358"/>
      <c r="CB527" s="1358"/>
      <c r="CC527" s="1358"/>
      <c r="CD527" s="1358"/>
      <c r="CE527" s="1358"/>
      <c r="CF527" s="1358"/>
      <c r="CG527" s="1358"/>
      <c r="CH527" s="1358"/>
      <c r="CI527" s="1358"/>
      <c r="CJ527" s="1358"/>
      <c r="CK527" s="1358"/>
      <c r="CL527" s="1358"/>
      <c r="CM527" s="1358"/>
      <c r="CN527" s="1358"/>
      <c r="CO527" s="1358"/>
      <c r="CP527" s="1358"/>
      <c r="CQ527" s="1358"/>
      <c r="CR527" s="1358"/>
      <c r="CS527" s="1358"/>
      <c r="CT527" s="1358"/>
      <c r="CU527" s="1358"/>
      <c r="CV527" s="1358"/>
      <c r="CW527" s="1358"/>
      <c r="CX527" s="1358"/>
      <c r="CY527" s="1358"/>
      <c r="CZ527" s="1358"/>
      <c r="DA527" s="1358"/>
      <c r="DB527" s="1358"/>
      <c r="DC527" s="1358"/>
      <c r="DD527" s="1358"/>
      <c r="DE527" s="1358"/>
      <c r="DF527" s="1358"/>
      <c r="DG527" s="1358"/>
      <c r="DH527" s="1358"/>
      <c r="DI527" s="1358"/>
      <c r="DJ527" s="1358"/>
      <c r="DK527" s="1358"/>
      <c r="DL527" s="1358"/>
      <c r="DM527" s="1358"/>
      <c r="DN527" s="1358"/>
      <c r="DO527" s="1358"/>
      <c r="DP527" s="1358"/>
      <c r="DQ527" s="1358"/>
      <c r="DR527" s="1358"/>
      <c r="DS527" s="1358"/>
      <c r="DT527" s="1358"/>
      <c r="DU527" s="1358"/>
      <c r="DV527" s="1358"/>
      <c r="DW527" s="1358"/>
      <c r="DX527" s="1358"/>
      <c r="DY527" s="1358"/>
      <c r="DZ527" s="1358"/>
      <c r="EA527" s="1358"/>
      <c r="EB527" s="1358"/>
      <c r="EC527" s="1358"/>
      <c r="ED527" s="1358"/>
      <c r="EE527" s="1358"/>
      <c r="EF527" s="1358"/>
      <c r="EG527" s="1358"/>
      <c r="EH527" s="1358"/>
      <c r="EI527" s="1358"/>
      <c r="EJ527" s="1358"/>
      <c r="EK527" s="1358"/>
      <c r="EL527" s="1358"/>
      <c r="EM527" s="1358"/>
      <c r="EN527" s="1358"/>
      <c r="EO527" s="1358"/>
      <c r="EP527" s="1358"/>
      <c r="EQ527" s="1358"/>
      <c r="ER527" s="1358"/>
      <c r="ES527" s="1358"/>
      <c r="ET527" s="1358"/>
      <c r="EU527" s="1358"/>
      <c r="EV527" s="1358"/>
      <c r="EW527" s="1358"/>
      <c r="EX527" s="1358"/>
      <c r="EY527" s="1358"/>
      <c r="EZ527" s="1358"/>
      <c r="FA527" s="1358"/>
      <c r="FB527" s="1358"/>
      <c r="FC527" s="1358"/>
      <c r="FD527" s="1358"/>
      <c r="FE527" s="1358"/>
      <c r="FF527" s="1358"/>
      <c r="FG527" s="1358"/>
      <c r="FH527" s="1358"/>
      <c r="FI527" s="1358"/>
      <c r="FJ527" s="1358"/>
      <c r="FK527" s="1358"/>
      <c r="FL527" s="1358"/>
      <c r="FM527" s="1358"/>
      <c r="FN527" s="1358"/>
      <c r="FO527" s="1358"/>
      <c r="FP527" s="1358"/>
      <c r="FQ527" s="1358"/>
      <c r="FR527" s="1358"/>
      <c r="FS527" s="1358"/>
      <c r="FT527" s="1358"/>
      <c r="FU527" s="1358"/>
      <c r="FV527" s="1358"/>
      <c r="FW527" s="1358"/>
      <c r="FX527" s="1358"/>
      <c r="FY527" s="1358"/>
      <c r="FZ527" s="1358"/>
      <c r="GA527" s="1358"/>
      <c r="GB527" s="1358"/>
      <c r="GC527" s="1358"/>
      <c r="GD527" s="1358"/>
      <c r="GE527" s="1358"/>
      <c r="GF527" s="1358"/>
      <c r="GG527" s="1358"/>
      <c r="GH527" s="1358"/>
      <c r="GI527" s="1358"/>
      <c r="GJ527" s="1358"/>
      <c r="GK527" s="1358"/>
      <c r="GL527" s="1358"/>
      <c r="GM527" s="1358"/>
      <c r="GN527" s="1358"/>
      <c r="GO527" s="1358"/>
      <c r="GP527" s="1358"/>
      <c r="GQ527" s="1358"/>
      <c r="GR527" s="1358"/>
      <c r="GS527" s="1358"/>
      <c r="GT527" s="1358"/>
      <c r="GU527" s="1358"/>
      <c r="GV527" s="1358"/>
      <c r="GW527" s="1358"/>
      <c r="GX527" s="1358"/>
      <c r="GY527" s="1358"/>
      <c r="GZ527" s="1358"/>
      <c r="HA527" s="1358"/>
      <c r="HB527" s="1358"/>
      <c r="HC527" s="1358"/>
      <c r="HD527" s="1358"/>
      <c r="HE527" s="1358"/>
      <c r="HF527" s="1358"/>
      <c r="HG527" s="1358"/>
      <c r="HH527" s="1358"/>
      <c r="HI527" s="1358"/>
      <c r="HJ527" s="1358"/>
      <c r="HK527" s="1358"/>
      <c r="HL527" s="1358"/>
      <c r="HM527" s="1358"/>
      <c r="HN527" s="1358"/>
      <c r="HO527" s="1358"/>
      <c r="HP527" s="1358"/>
      <c r="HQ527" s="1358"/>
      <c r="HR527" s="1358"/>
      <c r="HS527" s="1358"/>
      <c r="HT527" s="1358"/>
      <c r="HU527" s="1358"/>
      <c r="HV527" s="1358"/>
      <c r="HW527" s="1358"/>
      <c r="HX527" s="1358"/>
      <c r="HY527" s="1358"/>
      <c r="HZ527" s="1358"/>
      <c r="IA527" s="1358"/>
      <c r="IB527" s="1358"/>
      <c r="IC527" s="1358"/>
      <c r="ID527" s="1358"/>
      <c r="IE527" s="1358"/>
      <c r="IF527" s="1358"/>
      <c r="IG527" s="1358"/>
      <c r="IH527" s="1358"/>
      <c r="II527" s="1358"/>
      <c r="IJ527" s="1358"/>
      <c r="IK527" s="1358"/>
      <c r="IL527" s="1358"/>
      <c r="IM527" s="1358"/>
      <c r="IN527" s="1358"/>
      <c r="IO527" s="1358"/>
      <c r="IP527" s="1358"/>
      <c r="IQ527" s="1358"/>
      <c r="IR527" s="1358"/>
      <c r="IS527" s="1358"/>
      <c r="IT527" s="1358"/>
      <c r="IU527" s="1358"/>
      <c r="IV527" s="1358"/>
      <c r="IW527" s="1358"/>
      <c r="IX527" s="1358"/>
      <c r="IY527" s="1358"/>
      <c r="IZ527" s="1358"/>
      <c r="JA527" s="1358"/>
      <c r="JB527" s="1358"/>
      <c r="JC527" s="1358"/>
      <c r="JD527" s="1358"/>
      <c r="JE527" s="1358"/>
      <c r="JF527" s="1358"/>
      <c r="JG527" s="1358"/>
      <c r="JH527" s="1358"/>
      <c r="JI527" s="1358"/>
      <c r="JJ527" s="1358"/>
      <c r="JK527" s="1358"/>
      <c r="JL527" s="1358"/>
      <c r="JM527" s="1358"/>
      <c r="JN527" s="1358"/>
      <c r="JO527" s="1358"/>
      <c r="JP527" s="1358"/>
      <c r="JQ527" s="1358"/>
      <c r="JR527" s="1358"/>
      <c r="JS527" s="1358"/>
      <c r="JT527" s="1358"/>
      <c r="JU527" s="1358"/>
      <c r="JV527" s="1358"/>
      <c r="JW527" s="1358"/>
      <c r="JX527" s="1358"/>
      <c r="JY527" s="1358"/>
      <c r="JZ527" s="1358"/>
      <c r="KA527" s="1358"/>
      <c r="KB527" s="1358"/>
      <c r="KC527" s="1358"/>
      <c r="KD527" s="1358"/>
      <c r="KE527" s="1358"/>
      <c r="KF527" s="1358"/>
      <c r="KG527" s="1358"/>
      <c r="KH527" s="1358"/>
      <c r="KI527" s="1358"/>
      <c r="KJ527" s="1358"/>
      <c r="KK527" s="1358"/>
      <c r="KL527" s="1358"/>
      <c r="KM527" s="1358"/>
      <c r="KN527" s="1358"/>
      <c r="KO527" s="1358"/>
      <c r="KP527" s="1358"/>
      <c r="KQ527" s="1358"/>
      <c r="KR527" s="1358"/>
      <c r="KS527" s="1358"/>
      <c r="KT527" s="1358"/>
      <c r="KU527" s="1358"/>
      <c r="KV527" s="1358"/>
      <c r="KW527" s="1358"/>
      <c r="KX527" s="1358"/>
      <c r="KY527" s="1358"/>
      <c r="KZ527" s="1358"/>
      <c r="LA527" s="1358"/>
      <c r="LB527" s="1358"/>
      <c r="LC527" s="1358"/>
      <c r="LD527" s="1358"/>
      <c r="LE527" s="1358"/>
      <c r="LF527" s="1358"/>
      <c r="LG527" s="1358"/>
      <c r="LH527" s="1358"/>
      <c r="LI527" s="1358"/>
      <c r="LJ527" s="1358"/>
      <c r="LK527" s="1358"/>
      <c r="LL527" s="1358"/>
      <c r="LM527" s="1358"/>
      <c r="LN527" s="1358"/>
      <c r="LO527" s="1358"/>
      <c r="LP527" s="1358"/>
      <c r="LQ527" s="1358"/>
      <c r="LR527" s="1358"/>
      <c r="LS527" s="1358"/>
      <c r="LT527" s="1358"/>
      <c r="LU527" s="1358"/>
      <c r="LV527" s="1358"/>
      <c r="LW527" s="1358"/>
      <c r="LX527" s="1358"/>
      <c r="LY527" s="1358"/>
      <c r="LZ527" s="1358"/>
      <c r="MA527" s="1358"/>
      <c r="MB527" s="1358"/>
      <c r="MC527" s="1358"/>
      <c r="MD527" s="1358"/>
      <c r="ME527" s="1358"/>
      <c r="MF527" s="1358"/>
      <c r="MG527" s="1358"/>
      <c r="MH527" s="1358"/>
      <c r="MI527" s="1358"/>
      <c r="MJ527" s="1358"/>
      <c r="MK527" s="1358"/>
      <c r="ML527" s="1358"/>
      <c r="MM527" s="1358"/>
      <c r="MN527" s="1358"/>
      <c r="MO527" s="1358"/>
      <c r="MP527" s="1358"/>
      <c r="MQ527" s="1358"/>
      <c r="MR527" s="1358"/>
      <c r="MS527" s="1358"/>
      <c r="MT527" s="1358"/>
      <c r="MU527" s="1358"/>
      <c r="MV527" s="1358"/>
      <c r="MW527" s="1358"/>
      <c r="MX527" s="1358"/>
      <c r="MY527" s="1358"/>
      <c r="MZ527" s="1358"/>
      <c r="NA527" s="1358"/>
      <c r="NB527" s="1358"/>
      <c r="NC527" s="1358"/>
      <c r="ND527" s="1358"/>
      <c r="NE527" s="1358"/>
      <c r="NF527" s="1358"/>
      <c r="NG527" s="1358"/>
      <c r="NH527" s="1358"/>
      <c r="NI527" s="1358"/>
      <c r="NJ527" s="1358"/>
      <c r="NK527" s="1358"/>
      <c r="NL527" s="1358"/>
      <c r="NM527" s="1358"/>
      <c r="NN527" s="1358"/>
      <c r="NO527" s="1358"/>
      <c r="NP527" s="1358"/>
      <c r="NQ527" s="1358"/>
      <c r="NR527" s="1358"/>
      <c r="NS527" s="1358"/>
      <c r="NT527" s="1358"/>
      <c r="NU527" s="1358"/>
      <c r="NV527" s="1358"/>
      <c r="NW527" s="1358"/>
      <c r="NX527" s="1358"/>
      <c r="NY527" s="1358"/>
      <c r="NZ527" s="1358"/>
      <c r="OA527" s="1358"/>
      <c r="OB527" s="1358"/>
      <c r="OC527" s="1358"/>
      <c r="OD527" s="1358"/>
      <c r="OE527" s="1358"/>
      <c r="OF527" s="1358"/>
      <c r="OG527" s="1358"/>
      <c r="OH527" s="1358"/>
      <c r="OI527" s="1358"/>
      <c r="OJ527" s="1358"/>
      <c r="OK527" s="1358"/>
      <c r="OL527" s="1358"/>
      <c r="OM527" s="1358"/>
      <c r="ON527" s="1358"/>
      <c r="OO527" s="1358"/>
      <c r="OP527" s="1358"/>
      <c r="OQ527" s="1358"/>
      <c r="OR527" s="1358"/>
      <c r="OS527" s="1358"/>
      <c r="OT527" s="1358"/>
      <c r="OU527" s="1358"/>
      <c r="OV527" s="1358"/>
      <c r="OW527" s="1358"/>
      <c r="OX527" s="1358"/>
      <c r="OY527" s="1358"/>
      <c r="OZ527" s="1358"/>
      <c r="PA527" s="1358"/>
      <c r="PB527" s="1358"/>
      <c r="PC527" s="1358"/>
      <c r="PD527" s="1358"/>
      <c r="PE527" s="1358"/>
      <c r="PF527" s="1358"/>
      <c r="PG527" s="1358"/>
      <c r="PH527" s="1358"/>
      <c r="PI527" s="1358"/>
      <c r="PJ527" s="1358"/>
      <c r="PK527" s="1358"/>
      <c r="PL527" s="1358"/>
      <c r="PM527" s="1358"/>
      <c r="PN527" s="1358"/>
      <c r="PO527" s="1358"/>
      <c r="PP527" s="1358"/>
      <c r="PQ527" s="1358"/>
      <c r="PR527" s="1358"/>
      <c r="PS527" s="1358"/>
      <c r="PT527" s="1358"/>
      <c r="PU527" s="1358"/>
      <c r="PV527" s="1358"/>
      <c r="PW527" s="1358"/>
      <c r="PX527" s="1358"/>
      <c r="PY527" s="1358"/>
      <c r="PZ527" s="1358"/>
      <c r="QA527" s="1358"/>
      <c r="QB527" s="1358"/>
      <c r="QC527" s="1358"/>
      <c r="QD527" s="1358"/>
      <c r="QE527" s="1358"/>
      <c r="QF527" s="1358"/>
      <c r="QG527" s="1358"/>
      <c r="QH527" s="1358"/>
      <c r="QI527" s="1358"/>
      <c r="QJ527" s="1358"/>
      <c r="QK527" s="1358"/>
      <c r="QL527" s="1358"/>
      <c r="QM527" s="1358"/>
      <c r="QN527" s="1358"/>
      <c r="QO527" s="1358"/>
      <c r="QP527" s="1358"/>
      <c r="QQ527" s="1358"/>
      <c r="QR527" s="1358"/>
      <c r="QS527" s="1358"/>
      <c r="QT527" s="1358"/>
      <c r="QU527" s="1358"/>
      <c r="QV527" s="1358"/>
      <c r="QW527" s="1358"/>
      <c r="QX527" s="1358"/>
      <c r="QY527" s="1358"/>
      <c r="QZ527" s="1358"/>
      <c r="RA527" s="1358"/>
      <c r="RB527" s="1358"/>
      <c r="RC527" s="1358"/>
      <c r="RD527" s="1358"/>
      <c r="RE527" s="1358"/>
      <c r="RF527" s="1358"/>
      <c r="RG527" s="1358"/>
      <c r="RH527" s="1358"/>
      <c r="RI527" s="1358"/>
      <c r="RJ527" s="1358"/>
      <c r="RK527" s="1358"/>
      <c r="RL527" s="1358"/>
      <c r="RM527" s="1358"/>
      <c r="RN527" s="1358"/>
      <c r="RO527" s="1358"/>
      <c r="RP527" s="1358"/>
      <c r="RQ527" s="1358"/>
      <c r="RR527" s="1358"/>
      <c r="RS527" s="1358"/>
      <c r="RT527" s="1358"/>
      <c r="RU527" s="1358"/>
      <c r="RV527" s="1358"/>
      <c r="RW527" s="1358"/>
      <c r="RX527" s="1358"/>
      <c r="RY527" s="1358"/>
      <c r="RZ527" s="1358"/>
      <c r="SA527" s="1358"/>
      <c r="SB527" s="1358"/>
      <c r="SC527" s="1358"/>
      <c r="SD527" s="1358"/>
      <c r="SE527" s="1358"/>
      <c r="SF527" s="1358"/>
      <c r="SG527" s="1358"/>
      <c r="SH527" s="1358"/>
      <c r="SI527" s="1358"/>
      <c r="SJ527" s="1358"/>
      <c r="SK527" s="1358"/>
      <c r="SL527" s="1358"/>
      <c r="SM527" s="1358"/>
      <c r="SN527" s="1358"/>
      <c r="SO527" s="1358"/>
      <c r="SP527" s="1358"/>
      <c r="SQ527" s="1358"/>
      <c r="SR527" s="1358"/>
      <c r="SS527" s="1358"/>
      <c r="ST527" s="1358"/>
      <c r="SU527" s="1358"/>
      <c r="SV527" s="1358"/>
      <c r="SW527" s="1358"/>
      <c r="SX527" s="1358"/>
      <c r="SY527" s="1358"/>
      <c r="SZ527" s="1358"/>
      <c r="TA527" s="1358"/>
      <c r="TB527" s="1358"/>
      <c r="TC527" s="1358"/>
      <c r="TD527" s="1358"/>
      <c r="TE527" s="1358"/>
      <c r="TF527" s="1358"/>
      <c r="TG527" s="1358"/>
      <c r="TH527" s="1358"/>
      <c r="TI527" s="1358"/>
      <c r="TJ527" s="1358"/>
      <c r="TK527" s="1358"/>
      <c r="TL527" s="1358"/>
      <c r="TM527" s="1358"/>
      <c r="TN527" s="1358"/>
      <c r="TO527" s="1358"/>
      <c r="TP527" s="1358"/>
      <c r="TQ527" s="1358"/>
      <c r="TR527" s="1358"/>
      <c r="TS527" s="1358"/>
      <c r="TT527" s="1358"/>
      <c r="TU527" s="1358"/>
      <c r="TV527" s="1358"/>
      <c r="TW527" s="1358"/>
      <c r="TX527" s="1358"/>
      <c r="TY527" s="1358"/>
      <c r="TZ527" s="1358"/>
      <c r="UA527" s="1358"/>
      <c r="UB527" s="1358"/>
      <c r="UC527" s="1358"/>
      <c r="UD527" s="1358"/>
      <c r="UE527" s="1358"/>
      <c r="UF527" s="1358"/>
      <c r="UG527" s="1358"/>
      <c r="UH527" s="1358"/>
      <c r="UI527" s="1358"/>
      <c r="UJ527" s="1358"/>
      <c r="UK527" s="1358"/>
      <c r="UL527" s="1358"/>
      <c r="UM527" s="1358"/>
      <c r="UN527" s="1358"/>
      <c r="UO527" s="1358"/>
      <c r="UP527" s="1358"/>
      <c r="UQ527" s="1358"/>
      <c r="UR527" s="1358"/>
      <c r="US527" s="1358"/>
      <c r="UT527" s="1358"/>
      <c r="UU527" s="1358"/>
      <c r="UV527" s="1358"/>
      <c r="UW527" s="1358"/>
      <c r="UX527" s="1358"/>
      <c r="UY527" s="1358"/>
      <c r="UZ527" s="1358"/>
      <c r="VA527" s="1358"/>
      <c r="VB527" s="1358"/>
      <c r="VC527" s="1358"/>
      <c r="VD527" s="1358"/>
      <c r="VE527" s="1358"/>
      <c r="VF527" s="1358"/>
      <c r="VG527" s="1358"/>
      <c r="VH527" s="1358"/>
      <c r="VI527" s="1358"/>
      <c r="VJ527" s="1358"/>
      <c r="VK527" s="1358"/>
      <c r="VL527" s="1358"/>
      <c r="VM527" s="1358"/>
      <c r="VN527" s="1358"/>
      <c r="VO527" s="1358"/>
      <c r="VP527" s="1358"/>
      <c r="VQ527" s="1358"/>
      <c r="VR527" s="1358"/>
      <c r="VS527" s="1358"/>
      <c r="VT527" s="1358"/>
      <c r="VU527" s="1358"/>
      <c r="VV527" s="1358"/>
      <c r="VW527" s="1358"/>
      <c r="VX527" s="1358"/>
      <c r="VY527" s="1358"/>
      <c r="VZ527" s="1358"/>
      <c r="WA527" s="1358"/>
      <c r="WB527" s="1358"/>
      <c r="WC527" s="1358"/>
      <c r="WD527" s="1358"/>
      <c r="WE527" s="1358"/>
      <c r="WF527" s="1358"/>
      <c r="WG527" s="1358"/>
      <c r="WH527" s="1358"/>
      <c r="WI527" s="1358"/>
      <c r="WJ527" s="1358"/>
      <c r="WK527" s="1358"/>
      <c r="WL527" s="1358"/>
      <c r="WM527" s="1358"/>
      <c r="WN527" s="1358"/>
      <c r="WO527" s="1358"/>
      <c r="WP527" s="1358"/>
      <c r="WQ527" s="1358"/>
      <c r="WR527" s="1358"/>
      <c r="WS527" s="1358"/>
      <c r="WT527" s="1358"/>
      <c r="WU527" s="1358"/>
      <c r="WV527" s="1358"/>
      <c r="WW527" s="1358"/>
      <c r="WX527" s="1358"/>
      <c r="WY527" s="1358"/>
      <c r="WZ527" s="1358"/>
      <c r="XA527" s="1358"/>
      <c r="XB527" s="1358"/>
      <c r="XC527" s="1358"/>
      <c r="XD527" s="1358"/>
      <c r="XE527" s="1358"/>
      <c r="XF527" s="1358"/>
      <c r="XG527" s="1358"/>
      <c r="XH527" s="1358"/>
      <c r="XI527" s="1358"/>
      <c r="XJ527" s="1358"/>
      <c r="XK527" s="1358"/>
      <c r="XL527" s="1358"/>
      <c r="XM527" s="1358"/>
      <c r="XN527" s="1358"/>
      <c r="XO527" s="1358"/>
      <c r="XP527" s="1358"/>
      <c r="XQ527" s="1358"/>
      <c r="XR527" s="1358"/>
      <c r="XS527" s="1358"/>
      <c r="XT527" s="1358"/>
      <c r="XU527" s="1358"/>
      <c r="XV527" s="1358"/>
      <c r="XW527" s="1358"/>
      <c r="XX527" s="1358"/>
      <c r="XY527" s="1358"/>
      <c r="XZ527" s="1358"/>
      <c r="YA527" s="1358"/>
      <c r="YB527" s="1358"/>
      <c r="YC527" s="1358"/>
      <c r="YD527" s="1358"/>
      <c r="YE527" s="1358"/>
      <c r="YF527" s="1358"/>
      <c r="YG527" s="1358"/>
      <c r="YH527" s="1358"/>
      <c r="YI527" s="1358"/>
      <c r="YJ527" s="1358"/>
      <c r="YK527" s="1358"/>
      <c r="YL527" s="1358"/>
      <c r="YM527" s="1358"/>
      <c r="YN527" s="1358"/>
      <c r="YO527" s="1358"/>
      <c r="YP527" s="1358"/>
      <c r="YQ527" s="1358"/>
      <c r="YR527" s="1358"/>
      <c r="YS527" s="1358"/>
      <c r="YT527" s="1358"/>
      <c r="YU527" s="1358"/>
      <c r="YV527" s="1358"/>
      <c r="YW527" s="1358"/>
      <c r="YX527" s="1358"/>
      <c r="YY527" s="1358"/>
      <c r="YZ527" s="1358"/>
      <c r="ZA527" s="1358"/>
      <c r="ZB527" s="1358"/>
      <c r="ZC527" s="1358"/>
      <c r="ZD527" s="1358"/>
      <c r="ZE527" s="1358"/>
      <c r="ZF527" s="1358"/>
      <c r="ZG527" s="1358"/>
      <c r="ZH527" s="1358"/>
      <c r="ZI527" s="1358"/>
      <c r="ZJ527" s="1358"/>
      <c r="ZK527" s="1358"/>
      <c r="ZL527" s="1358"/>
      <c r="ZM527" s="1358"/>
      <c r="ZN527" s="1358"/>
      <c r="ZO527" s="1358"/>
      <c r="ZP527" s="1358"/>
      <c r="ZQ527" s="1358"/>
      <c r="ZR527" s="1358"/>
      <c r="ZS527" s="1358"/>
      <c r="ZT527" s="1358"/>
      <c r="ZU527" s="1358"/>
      <c r="ZV527" s="1358"/>
      <c r="ZW527" s="1358"/>
      <c r="ZX527" s="1358"/>
      <c r="ZY527" s="1358"/>
      <c r="ZZ527" s="1358"/>
      <c r="AAA527" s="1358"/>
      <c r="AAB527" s="1358"/>
      <c r="AAC527" s="1358"/>
      <c r="AAD527" s="1358"/>
      <c r="AAE527" s="1358"/>
      <c r="AAF527" s="1358"/>
      <c r="AAG527" s="1358"/>
      <c r="AAH527" s="1358"/>
      <c r="AAI527" s="1358"/>
      <c r="AAJ527" s="1358"/>
      <c r="AAK527" s="1358"/>
      <c r="AAL527" s="1358"/>
      <c r="AAM527" s="1358"/>
      <c r="AAN527" s="1358"/>
      <c r="AAO527" s="1358"/>
      <c r="AAP527" s="1358"/>
      <c r="AAQ527" s="1358"/>
      <c r="AAR527" s="1358"/>
      <c r="AAS527" s="1358"/>
      <c r="AAT527" s="1358"/>
      <c r="AAU527" s="1358"/>
      <c r="AAV527" s="1358"/>
      <c r="AAW527" s="1358"/>
      <c r="AAX527" s="1358"/>
      <c r="AAY527" s="1358"/>
      <c r="AAZ527" s="1358"/>
      <c r="ABA527" s="1358"/>
      <c r="ABB527" s="1358"/>
      <c r="ABC527" s="1358"/>
      <c r="ABD527" s="1358"/>
      <c r="ABE527" s="1358"/>
      <c r="ABF527" s="1358"/>
      <c r="ABG527" s="1358"/>
      <c r="ABH527" s="1358"/>
      <c r="ABI527" s="1358"/>
      <c r="ABJ527" s="1358"/>
      <c r="ABK527" s="1358"/>
      <c r="ABL527" s="1358"/>
      <c r="ABM527" s="1358"/>
      <c r="ABN527" s="1358"/>
      <c r="ABO527" s="1358"/>
      <c r="ABP527" s="1358"/>
      <c r="ABQ527" s="1358"/>
      <c r="ABR527" s="1358"/>
      <c r="ABS527" s="1358"/>
      <c r="ABT527" s="1358"/>
      <c r="ABU527" s="1358"/>
      <c r="ABV527" s="1358"/>
      <c r="ABW527" s="1358"/>
      <c r="ABX527" s="1358"/>
      <c r="ABY527" s="1358"/>
      <c r="ABZ527" s="1358"/>
      <c r="ACA527" s="1358"/>
      <c r="ACB527" s="1358"/>
      <c r="ACC527" s="1358"/>
      <c r="ACD527" s="1358"/>
      <c r="ACE527" s="1358"/>
      <c r="ACF527" s="1358"/>
      <c r="ACG527" s="1358"/>
      <c r="ACH527" s="1358"/>
      <c r="ACI527" s="1358"/>
      <c r="ACJ527" s="1358"/>
      <c r="ACK527" s="1358"/>
      <c r="ACL527" s="1358"/>
      <c r="ACM527" s="1358"/>
      <c r="ACN527" s="1358"/>
      <c r="ACO527" s="1358"/>
      <c r="ACP527" s="1358"/>
      <c r="ACQ527" s="1358"/>
      <c r="ACR527" s="1358"/>
      <c r="ACS527" s="1358"/>
      <c r="ACT527" s="1358"/>
      <c r="ACU527" s="1358"/>
      <c r="ACV527" s="1358"/>
      <c r="ACW527" s="1358"/>
      <c r="ACX527" s="1358"/>
      <c r="ACY527" s="1358"/>
      <c r="ACZ527" s="1358"/>
      <c r="ADA527" s="1358"/>
      <c r="ADB527" s="1358"/>
      <c r="ADC527" s="1358"/>
      <c r="ADD527" s="1358"/>
      <c r="ADE527" s="1358"/>
      <c r="ADF527" s="1358"/>
      <c r="ADG527" s="1358"/>
      <c r="ADH527" s="1358"/>
      <c r="ADI527" s="1358"/>
      <c r="ADJ527" s="1358"/>
      <c r="ADK527" s="1358"/>
      <c r="ADL527" s="1358"/>
      <c r="ADM527" s="1358"/>
      <c r="ADN527" s="1358"/>
      <c r="ADO527" s="1358"/>
      <c r="ADP527" s="1358"/>
      <c r="ADQ527" s="1358"/>
      <c r="ADR527" s="1358"/>
      <c r="ADS527" s="1358"/>
      <c r="ADT527" s="1358"/>
      <c r="ADU527" s="1358"/>
      <c r="ADV527" s="1358"/>
      <c r="ADW527" s="1358"/>
      <c r="ADX527" s="1358"/>
      <c r="ADY527" s="1358"/>
      <c r="ADZ527" s="1358"/>
      <c r="AEA527" s="1358"/>
      <c r="AEB527" s="1358"/>
      <c r="AEC527" s="1358"/>
      <c r="AED527" s="1358"/>
      <c r="AEE527" s="1358"/>
      <c r="AEF527" s="1358"/>
      <c r="AEG527" s="1358"/>
      <c r="AEH527" s="1358"/>
      <c r="AEI527" s="1358"/>
      <c r="AEJ527" s="1358"/>
      <c r="AEK527" s="1358"/>
      <c r="AEL527" s="1358"/>
      <c r="AEM527" s="1358"/>
      <c r="AEN527" s="1358"/>
      <c r="AEO527" s="1358"/>
      <c r="AEP527" s="1358"/>
      <c r="AEQ527" s="1358"/>
      <c r="AER527" s="1358"/>
      <c r="AES527" s="1358"/>
      <c r="AET527" s="1358"/>
      <c r="AEU527" s="1358"/>
      <c r="AEV527" s="1358"/>
      <c r="AEW527" s="1358"/>
      <c r="AEX527" s="1358"/>
      <c r="AEY527" s="1358"/>
      <c r="AEZ527" s="1358"/>
      <c r="AFA527" s="1358"/>
      <c r="AFB527" s="1358"/>
      <c r="AFC527" s="1358"/>
      <c r="AFD527" s="1358"/>
      <c r="AFE527" s="1358"/>
      <c r="AFF527" s="1358"/>
      <c r="AFG527" s="1358"/>
      <c r="AFH527" s="1358"/>
      <c r="AFI527" s="1358"/>
      <c r="AFJ527" s="1358"/>
      <c r="AFK527" s="1358"/>
      <c r="AFL527" s="1358"/>
      <c r="AFM527" s="1358"/>
      <c r="AFN527" s="1358"/>
      <c r="AFO527" s="1358"/>
      <c r="AFP527" s="1358"/>
      <c r="AFQ527" s="1358"/>
      <c r="AFR527" s="1358"/>
      <c r="AFS527" s="1358"/>
      <c r="AFT527" s="1358"/>
      <c r="AFU527" s="1358"/>
      <c r="AFV527" s="1358"/>
      <c r="AFW527" s="1358"/>
      <c r="AFX527" s="1358"/>
      <c r="AFY527" s="1358"/>
      <c r="AFZ527" s="1358"/>
      <c r="AGA527" s="1358"/>
      <c r="AGB527" s="1358"/>
      <c r="AGC527" s="1358"/>
      <c r="AGD527" s="1358"/>
      <c r="AGE527" s="1358"/>
      <c r="AGF527" s="1358"/>
      <c r="AGG527" s="1358"/>
      <c r="AGH527" s="1358"/>
      <c r="AGI527" s="1358"/>
      <c r="AGJ527" s="1358"/>
      <c r="AGK527" s="1358"/>
      <c r="AGL527" s="1358"/>
      <c r="AGM527" s="1358"/>
      <c r="AGN527" s="1358"/>
      <c r="AGO527" s="1358"/>
      <c r="AGP527" s="1358"/>
      <c r="AGQ527" s="1358"/>
      <c r="AGR527" s="1358"/>
      <c r="AGS527" s="1358"/>
      <c r="AGT527" s="1358"/>
      <c r="AGU527" s="1358"/>
      <c r="AGV527" s="1358"/>
      <c r="AGW527" s="1358"/>
      <c r="AGX527" s="1358"/>
      <c r="AGY527" s="1358"/>
      <c r="AGZ527" s="1358"/>
      <c r="AHA527" s="1358"/>
      <c r="AHB527" s="1358"/>
      <c r="AHC527" s="1358"/>
      <c r="AHD527" s="1358"/>
      <c r="AHE527" s="1358"/>
      <c r="AHF527" s="1358"/>
      <c r="AHG527" s="1358"/>
      <c r="AHH527" s="1358"/>
      <c r="AHI527" s="1358"/>
      <c r="AHJ527" s="1358"/>
      <c r="AHK527" s="1358"/>
      <c r="AHL527" s="1358"/>
      <c r="AHM527" s="1358"/>
      <c r="AHN527" s="1358"/>
      <c r="AHO527" s="1358"/>
      <c r="AHP527" s="1358"/>
      <c r="AHQ527" s="1358"/>
      <c r="AHR527" s="1358"/>
      <c r="AHS527" s="1358"/>
      <c r="AHT527" s="1358"/>
      <c r="AHU527" s="1358"/>
      <c r="AHV527" s="1358"/>
      <c r="AHW527" s="1358"/>
      <c r="AHX527" s="1358"/>
      <c r="AHY527" s="1358"/>
      <c r="AHZ527" s="1358"/>
      <c r="AIA527" s="1358"/>
      <c r="AIB527" s="1358"/>
      <c r="AIC527" s="1358"/>
      <c r="AID527" s="1358"/>
      <c r="AIE527" s="1358"/>
      <c r="AIF527" s="1358"/>
      <c r="AIG527" s="1358"/>
      <c r="AIH527" s="1358"/>
      <c r="AII527" s="1358"/>
      <c r="AIJ527" s="1358"/>
      <c r="AIK527" s="1358"/>
      <c r="AIL527" s="1358"/>
      <c r="AIM527" s="1358"/>
      <c r="AIN527" s="1358"/>
      <c r="AIO527" s="1358"/>
      <c r="AIP527" s="1358"/>
      <c r="AIQ527" s="1358"/>
      <c r="AIR527" s="1358"/>
      <c r="AIS527" s="1358"/>
      <c r="AIT527" s="1358"/>
      <c r="AIU527" s="1358"/>
      <c r="AIV527" s="1358"/>
      <c r="AIW527" s="1358"/>
      <c r="AIX527" s="1358"/>
      <c r="AIY527" s="1358"/>
      <c r="AIZ527" s="1358"/>
      <c r="AJA527" s="1358"/>
      <c r="AJB527" s="1358"/>
      <c r="AJC527" s="1358"/>
      <c r="AJD527" s="1358"/>
      <c r="AJE527" s="1358"/>
      <c r="AJF527" s="1358"/>
      <c r="AJG527" s="1358"/>
      <c r="AJH527" s="1358"/>
      <c r="AJI527" s="1358"/>
      <c r="AJJ527" s="1358"/>
      <c r="AJK527" s="1358"/>
      <c r="AJL527" s="1358"/>
      <c r="AJM527" s="1358"/>
      <c r="AJN527" s="1358"/>
      <c r="AJO527" s="1358"/>
      <c r="AJP527" s="1358"/>
      <c r="AJQ527" s="1358"/>
      <c r="AJR527" s="1358"/>
      <c r="AJS527" s="1358"/>
      <c r="AJT527" s="1358"/>
      <c r="AJU527" s="1358"/>
      <c r="AJV527" s="1358"/>
      <c r="AJW527" s="1358"/>
      <c r="AJX527" s="1358"/>
      <c r="AJY527" s="1358"/>
      <c r="AJZ527" s="1358"/>
      <c r="AKA527" s="1358"/>
      <c r="AKB527" s="1358"/>
      <c r="AKC527" s="1358"/>
      <c r="AKD527" s="1358"/>
      <c r="AKE527" s="1358"/>
      <c r="AKF527" s="1358"/>
      <c r="AKG527" s="1358"/>
      <c r="AKH527" s="1358"/>
      <c r="AKI527" s="1358"/>
      <c r="AKJ527" s="1358"/>
      <c r="AKK527" s="1358"/>
      <c r="AKL527" s="1358"/>
      <c r="AKM527" s="1358"/>
      <c r="AKN527" s="1358"/>
      <c r="AKO527" s="1358"/>
      <c r="AKP527" s="1358"/>
      <c r="AKQ527" s="1358"/>
      <c r="AKR527" s="1358"/>
      <c r="AKS527" s="1358"/>
      <c r="AKT527" s="1358"/>
      <c r="AKU527" s="1358"/>
      <c r="AKV527" s="1358"/>
      <c r="AKW527" s="1358"/>
      <c r="AKX527" s="1358"/>
      <c r="AKY527" s="1358"/>
      <c r="AKZ527" s="1358"/>
      <c r="ALA527" s="1358"/>
      <c r="ALB527" s="1358"/>
      <c r="ALC527" s="1358"/>
      <c r="ALD527" s="1358"/>
      <c r="ALE527" s="1358"/>
      <c r="ALF527" s="1358"/>
      <c r="ALG527" s="1358"/>
      <c r="ALH527" s="1358"/>
      <c r="ALI527" s="1358"/>
      <c r="ALJ527" s="1358"/>
      <c r="ALK527" s="1358"/>
      <c r="ALL527" s="1358"/>
      <c r="ALM527" s="1358"/>
      <c r="ALN527" s="1358"/>
      <c r="ALO527" s="1358"/>
      <c r="ALP527" s="1358"/>
      <c r="ALQ527" s="1358"/>
      <c r="ALR527" s="1358"/>
      <c r="ALS527" s="1358"/>
      <c r="ALT527" s="1358"/>
      <c r="ALU527" s="1358"/>
      <c r="ALV527" s="1358"/>
      <c r="ALW527" s="1358"/>
      <c r="ALX527" s="1358"/>
      <c r="ALY527" s="1358"/>
      <c r="ALZ527" s="1358"/>
      <c r="AMA527" s="1358"/>
      <c r="AMB527" s="1358"/>
      <c r="AMC527" s="1358"/>
      <c r="AMD527" s="1358"/>
      <c r="AME527" s="1358"/>
      <c r="AMF527" s="1358"/>
      <c r="AMG527" s="1358"/>
      <c r="AMH527" s="1358"/>
      <c r="AMI527" s="1358"/>
      <c r="AMJ527" s="1358"/>
      <c r="AMK527" s="1358"/>
      <c r="AML527" s="1358"/>
      <c r="AMM527" s="1358"/>
      <c r="AMN527" s="1358"/>
      <c r="AMO527" s="1358"/>
      <c r="AMP527" s="1358"/>
      <c r="AMQ527" s="1358"/>
      <c r="AMR527" s="1358"/>
      <c r="AMS527" s="1358"/>
      <c r="AMT527" s="1358"/>
      <c r="AMU527" s="1358"/>
      <c r="AMV527" s="1358"/>
      <c r="AMW527" s="1358"/>
      <c r="AMX527" s="1358"/>
      <c r="AMY527" s="1358"/>
      <c r="AMZ527" s="1358"/>
      <c r="ANA527" s="1358"/>
      <c r="ANB527" s="1358"/>
      <c r="ANC527" s="1358"/>
      <c r="AND527" s="1358"/>
      <c r="ANE527" s="1358"/>
      <c r="ANF527" s="1358"/>
      <c r="ANG527" s="1358"/>
      <c r="ANH527" s="1358"/>
      <c r="ANI527" s="1358"/>
      <c r="ANJ527" s="1358"/>
      <c r="ANK527" s="1358"/>
      <c r="ANL527" s="1358"/>
      <c r="ANM527" s="1358"/>
      <c r="ANN527" s="1358"/>
      <c r="ANO527" s="1358"/>
      <c r="ANP527" s="1358"/>
      <c r="ANQ527" s="1358"/>
      <c r="ANR527" s="1358"/>
      <c r="ANS527" s="1358"/>
      <c r="ANT527" s="1358"/>
      <c r="ANU527" s="1358"/>
      <c r="ANV527" s="1358"/>
      <c r="ANW527" s="1358"/>
      <c r="ANX527" s="1358"/>
      <c r="ANY527" s="1358"/>
      <c r="ANZ527" s="1358"/>
      <c r="AOA527" s="1358"/>
      <c r="AOB527" s="1358"/>
      <c r="AOC527" s="1358"/>
      <c r="AOD527" s="1358"/>
      <c r="AOE527" s="1358"/>
      <c r="AOF527" s="1358"/>
      <c r="AOG527" s="1358"/>
      <c r="AOH527" s="1358"/>
      <c r="AOI527" s="1358"/>
      <c r="AOJ527" s="1358"/>
      <c r="AOK527" s="1358"/>
      <c r="AOL527" s="1358"/>
      <c r="AOM527" s="1358"/>
      <c r="AON527" s="1358"/>
      <c r="AOO527" s="1358"/>
      <c r="AOP527" s="1358"/>
      <c r="AOQ527" s="1358"/>
      <c r="AOR527" s="1358"/>
      <c r="AOS527" s="1358"/>
      <c r="AOT527" s="1358"/>
      <c r="AOU527" s="1358"/>
      <c r="AOV527" s="1358"/>
      <c r="AOW527" s="1358"/>
      <c r="AOX527" s="1358"/>
      <c r="AOY527" s="1358"/>
      <c r="AOZ527" s="1358"/>
      <c r="APA527" s="1358"/>
      <c r="APB527" s="1358"/>
      <c r="APC527" s="1358"/>
      <c r="APD527" s="1358"/>
      <c r="APE527" s="1358"/>
      <c r="APF527" s="1358"/>
      <c r="APG527" s="1358"/>
      <c r="APH527" s="1358"/>
      <c r="API527" s="1358"/>
      <c r="APJ527" s="1358"/>
      <c r="APK527" s="1358"/>
      <c r="APL527" s="1358"/>
      <c r="APM527" s="1358"/>
      <c r="APN527" s="1358"/>
      <c r="APO527" s="1358"/>
      <c r="APP527" s="1358"/>
      <c r="APQ527" s="1358"/>
      <c r="APR527" s="1358"/>
      <c r="APS527" s="1358"/>
      <c r="APT527" s="1358"/>
      <c r="APU527" s="1358"/>
      <c r="APV527" s="1358"/>
      <c r="APW527" s="1358"/>
      <c r="APX527" s="1358"/>
      <c r="APY527" s="1358"/>
      <c r="APZ527" s="1358"/>
      <c r="AQA527" s="1358"/>
      <c r="AQB527" s="1358"/>
      <c r="AQC527" s="1358"/>
      <c r="AQD527" s="1358"/>
      <c r="AQE527" s="1358"/>
      <c r="AQF527" s="1358"/>
      <c r="AQG527" s="1358"/>
      <c r="AQH527" s="1358"/>
      <c r="AQI527" s="1358"/>
      <c r="AQJ527" s="1358"/>
      <c r="AQK527" s="1358"/>
      <c r="AQL527" s="1358"/>
      <c r="AQM527" s="1358"/>
      <c r="AQN527" s="1358"/>
      <c r="AQO527" s="1358"/>
      <c r="AQP527" s="1358"/>
      <c r="AQQ527" s="1358"/>
      <c r="AQR527" s="1358"/>
      <c r="AQS527" s="1358"/>
      <c r="AQT527" s="1358"/>
      <c r="AQU527" s="1358"/>
      <c r="AQV527" s="1358"/>
      <c r="AQW527" s="1358"/>
      <c r="AQX527" s="1358"/>
      <c r="AQY527" s="1358"/>
      <c r="AQZ527" s="1358"/>
      <c r="ARA527" s="1358"/>
      <c r="ARB527" s="1358"/>
      <c r="ARC527" s="1358"/>
      <c r="ARD527" s="1358"/>
      <c r="ARE527" s="1358"/>
      <c r="ARF527" s="1358"/>
      <c r="ARG527" s="1358"/>
      <c r="ARH527" s="1358"/>
      <c r="ARI527" s="1358"/>
      <c r="ARJ527" s="1358"/>
      <c r="ARK527" s="1358"/>
      <c r="ARL527" s="1358"/>
      <c r="ARM527" s="1358"/>
      <c r="ARN527" s="1358"/>
      <c r="ARO527" s="1358"/>
      <c r="ARP527" s="1358"/>
      <c r="ARQ527" s="1358"/>
      <c r="ARR527" s="1358"/>
      <c r="ARS527" s="1358"/>
      <c r="ART527" s="1358"/>
      <c r="ARU527" s="1358"/>
      <c r="ARV527" s="1358"/>
      <c r="ARW527" s="1358"/>
      <c r="ARX527" s="1358"/>
      <c r="ARY527" s="1358"/>
      <c r="ARZ527" s="1358"/>
      <c r="ASA527" s="1358"/>
      <c r="ASB527" s="1358"/>
      <c r="ASC527" s="1358"/>
      <c r="ASD527" s="1358"/>
      <c r="ASE527" s="1358"/>
      <c r="ASF527" s="1358"/>
      <c r="ASG527" s="1358"/>
      <c r="ASH527" s="1358"/>
      <c r="ASI527" s="1358"/>
      <c r="ASJ527" s="1358"/>
      <c r="ASK527" s="1358"/>
      <c r="ASL527" s="1358"/>
      <c r="ASM527" s="1358"/>
      <c r="ASN527" s="1358"/>
      <c r="ASO527" s="1358"/>
      <c r="ASP527" s="1358"/>
      <c r="ASQ527" s="1358"/>
      <c r="ASR527" s="1358"/>
      <c r="ASS527" s="1358"/>
      <c r="AST527" s="1358"/>
      <c r="ASU527" s="1358"/>
      <c r="ASV527" s="1358"/>
      <c r="ASW527" s="1358"/>
      <c r="ASX527" s="1358"/>
      <c r="ASY527" s="1358"/>
      <c r="ASZ527" s="1358"/>
      <c r="ATA527" s="1358"/>
      <c r="ATB527" s="1358"/>
      <c r="ATC527" s="1358"/>
      <c r="ATD527" s="1358"/>
      <c r="ATE527" s="1358"/>
      <c r="ATF527" s="1358"/>
      <c r="ATG527" s="1358"/>
      <c r="ATH527" s="1358"/>
      <c r="ATI527" s="1358"/>
      <c r="ATJ527" s="1358"/>
      <c r="ATK527" s="1358"/>
      <c r="ATL527" s="1358"/>
      <c r="ATM527" s="1358"/>
      <c r="ATN527" s="1358"/>
      <c r="ATO527" s="1358"/>
      <c r="ATP527" s="1358"/>
      <c r="ATQ527" s="1358"/>
      <c r="ATR527" s="1358"/>
      <c r="ATS527" s="1358"/>
      <c r="ATT527" s="1358"/>
      <c r="ATU527" s="1358"/>
      <c r="ATV527" s="1358"/>
      <c r="ATW527" s="1358"/>
      <c r="ATX527" s="1358"/>
      <c r="ATY527" s="1358"/>
      <c r="ATZ527" s="1358"/>
      <c r="AUA527" s="1358"/>
      <c r="AUB527" s="1358"/>
      <c r="AUC527" s="1358"/>
      <c r="AUD527" s="1358"/>
      <c r="AUE527" s="1358"/>
      <c r="AUF527" s="1358"/>
      <c r="AUG527" s="1358"/>
      <c r="AUH527" s="1358"/>
      <c r="AUI527" s="1358"/>
      <c r="AUJ527" s="1358"/>
      <c r="AUK527" s="1358"/>
      <c r="AUL527" s="1358"/>
      <c r="AUM527" s="1358"/>
      <c r="AUN527" s="1358"/>
      <c r="AUO527" s="1358"/>
      <c r="AUP527" s="1358"/>
      <c r="AUQ527" s="1358"/>
      <c r="AUR527" s="1358"/>
      <c r="AUS527" s="1358"/>
      <c r="AUT527" s="1358"/>
      <c r="AUU527" s="1358"/>
      <c r="AUV527" s="1358"/>
      <c r="AUW527" s="1358"/>
      <c r="AUX527" s="1358"/>
      <c r="AUY527" s="1358"/>
      <c r="AUZ527" s="1358"/>
      <c r="AVA527" s="1358"/>
      <c r="AVB527" s="1358"/>
      <c r="AVC527" s="1358"/>
      <c r="AVD527" s="1358"/>
      <c r="AVE527" s="1358"/>
      <c r="AVF527" s="1358"/>
      <c r="AVG527" s="1358"/>
      <c r="AVH527" s="1358"/>
      <c r="AVI527" s="1358"/>
      <c r="AVJ527" s="1358"/>
      <c r="AVK527" s="1358"/>
      <c r="AVL527" s="1358"/>
      <c r="AVM527" s="1358"/>
      <c r="AVN527" s="1358"/>
      <c r="AVO527" s="1358"/>
      <c r="AVP527" s="1358"/>
      <c r="AVQ527" s="1358"/>
      <c r="AVR527" s="1358"/>
      <c r="AVS527" s="1358"/>
      <c r="AVT527" s="1358"/>
      <c r="AVU527" s="1358"/>
      <c r="AVV527" s="1358"/>
      <c r="AVW527" s="1358"/>
      <c r="AVX527" s="1358"/>
      <c r="AVY527" s="1358"/>
      <c r="AVZ527" s="1358"/>
      <c r="AWA527" s="1358"/>
      <c r="AWB527" s="1358"/>
      <c r="AWC527" s="1358"/>
      <c r="AWD527" s="1358"/>
      <c r="AWE527" s="1358"/>
      <c r="AWF527" s="1358"/>
      <c r="AWG527" s="1358"/>
      <c r="AWH527" s="1358"/>
      <c r="AWI527" s="1358"/>
      <c r="AWJ527" s="1358"/>
      <c r="AWK527" s="1358"/>
      <c r="AWL527" s="1358"/>
      <c r="AWM527" s="1358"/>
      <c r="AWN527" s="1358"/>
      <c r="AWO527" s="1358"/>
      <c r="AWP527" s="1358"/>
      <c r="AWQ527" s="1358"/>
      <c r="AWR527" s="1358"/>
      <c r="AWS527" s="1358"/>
      <c r="AWT527" s="1358"/>
      <c r="AWU527" s="1358"/>
      <c r="AWV527" s="1358"/>
      <c r="AWW527" s="1358"/>
      <c r="AWX527" s="1358"/>
      <c r="AWY527" s="1358"/>
      <c r="AWZ527" s="1358"/>
      <c r="AXA527" s="1358"/>
      <c r="AXB527" s="1358"/>
      <c r="AXC527" s="1358"/>
      <c r="AXD527" s="1358"/>
      <c r="AXE527" s="1358"/>
      <c r="AXF527" s="1358"/>
      <c r="AXG527" s="1358"/>
      <c r="AXH527" s="1358"/>
      <c r="AXI527" s="1358"/>
      <c r="AXJ527" s="1358"/>
      <c r="AXK527" s="1358"/>
      <c r="AXL527" s="1358"/>
      <c r="AXM527" s="1358"/>
      <c r="AXN527" s="1358"/>
      <c r="AXO527" s="1358"/>
      <c r="AXP527" s="1358"/>
      <c r="AXQ527" s="1358"/>
      <c r="AXR527" s="1358"/>
      <c r="AXS527" s="1358"/>
      <c r="AXT527" s="1358"/>
      <c r="AXU527" s="1358"/>
      <c r="AXV527" s="1358"/>
      <c r="AXW527" s="1358"/>
      <c r="AXX527" s="1358"/>
      <c r="AXY527" s="1358"/>
      <c r="AXZ527" s="1358"/>
      <c r="AYA527" s="1358"/>
      <c r="AYB527" s="1358"/>
      <c r="AYC527" s="1358"/>
      <c r="AYD527" s="1358"/>
      <c r="AYE527" s="1358"/>
      <c r="AYF527" s="1358"/>
      <c r="AYG527" s="1358"/>
      <c r="AYH527" s="1358"/>
      <c r="AYI527" s="1358"/>
      <c r="AYJ527" s="1358"/>
      <c r="AYK527" s="1358"/>
      <c r="AYL527" s="1358"/>
      <c r="AYM527" s="1358"/>
      <c r="AYN527" s="1358"/>
      <c r="AYO527" s="1358"/>
      <c r="AYP527" s="1358"/>
      <c r="AYQ527" s="1358"/>
      <c r="AYR527" s="1358"/>
      <c r="AYS527" s="1358"/>
      <c r="AYT527" s="1358"/>
      <c r="AYU527" s="1358"/>
      <c r="AYV527" s="1358"/>
      <c r="AYW527" s="1358"/>
      <c r="AYX527" s="1358"/>
      <c r="AYY527" s="1358"/>
      <c r="AYZ527" s="1358"/>
      <c r="AZA527" s="1358"/>
      <c r="AZB527" s="1358"/>
      <c r="AZC527" s="1358"/>
      <c r="AZD527" s="1358"/>
      <c r="AZE527" s="1358"/>
      <c r="AZF527" s="1358"/>
      <c r="AZG527" s="1358"/>
      <c r="AZH527" s="1358"/>
      <c r="AZI527" s="1358"/>
      <c r="AZJ527" s="1358"/>
      <c r="AZK527" s="1358"/>
      <c r="AZL527" s="1358"/>
      <c r="AZM527" s="1358"/>
      <c r="AZN527" s="1358"/>
      <c r="AZO527" s="1358"/>
      <c r="AZP527" s="1358"/>
      <c r="AZQ527" s="1358"/>
      <c r="AZR527" s="1358"/>
      <c r="AZS527" s="1358"/>
      <c r="AZT527" s="1358"/>
      <c r="AZU527" s="1358"/>
      <c r="AZV527" s="1358"/>
      <c r="AZW527" s="1358"/>
      <c r="AZX527" s="1358"/>
      <c r="AZY527" s="1358"/>
      <c r="AZZ527" s="1358"/>
      <c r="BAA527" s="1358"/>
      <c r="BAB527" s="1358"/>
      <c r="BAC527" s="1358"/>
      <c r="BAD527" s="1358"/>
      <c r="BAE527" s="1358"/>
      <c r="BAF527" s="1358"/>
      <c r="BAG527" s="1358"/>
      <c r="BAH527" s="1358"/>
      <c r="BAI527" s="1358"/>
      <c r="BAJ527" s="1358"/>
      <c r="BAK527" s="1358"/>
      <c r="BAL527" s="1358"/>
      <c r="BAM527" s="1358"/>
      <c r="BAN527" s="1358"/>
      <c r="BAO527" s="1358"/>
      <c r="BAP527" s="1358"/>
      <c r="BAQ527" s="1358"/>
      <c r="BAR527" s="1358"/>
      <c r="BAS527" s="1358"/>
      <c r="BAT527" s="1358"/>
      <c r="BAU527" s="1358"/>
      <c r="BAV527" s="1358"/>
      <c r="BAW527" s="1358"/>
      <c r="BAX527" s="1358"/>
      <c r="BAY527" s="1358"/>
      <c r="BAZ527" s="1358"/>
      <c r="BBA527" s="1358"/>
      <c r="BBB527" s="1358"/>
      <c r="BBC527" s="1358"/>
      <c r="BBD527" s="1358"/>
      <c r="BBE527" s="1358"/>
      <c r="BBF527" s="1358"/>
      <c r="BBG527" s="1358"/>
      <c r="BBH527" s="1358"/>
      <c r="BBI527" s="1358"/>
      <c r="BBJ527" s="1358"/>
      <c r="BBK527" s="1358"/>
      <c r="BBL527" s="1358"/>
      <c r="BBM527" s="1358"/>
      <c r="BBN527" s="1358"/>
      <c r="BBO527" s="1358"/>
      <c r="BBP527" s="1358"/>
      <c r="BBQ527" s="1358"/>
      <c r="BBR527" s="1358"/>
      <c r="BBS527" s="1358"/>
      <c r="BBT527" s="1358"/>
      <c r="BBU527" s="1358"/>
      <c r="BBV527" s="1358"/>
      <c r="BBW527" s="1358"/>
      <c r="BBX527" s="1358"/>
      <c r="BBY527" s="1358"/>
      <c r="BBZ527" s="1358"/>
      <c r="BCA527" s="1358"/>
      <c r="BCB527" s="1358"/>
      <c r="BCC527" s="1358"/>
      <c r="BCD527" s="1358"/>
      <c r="BCE527" s="1358"/>
      <c r="BCF527" s="1358"/>
      <c r="BCG527" s="1358"/>
      <c r="BCH527" s="1358"/>
      <c r="BCI527" s="1358"/>
      <c r="BCJ527" s="1358"/>
      <c r="BCK527" s="1358"/>
      <c r="BCL527" s="1358"/>
      <c r="BCM527" s="1358"/>
      <c r="BCN527" s="1358"/>
      <c r="BCO527" s="1358"/>
      <c r="BCP527" s="1358"/>
      <c r="BCQ527" s="1358"/>
      <c r="BCR527" s="1358"/>
      <c r="BCS527" s="1358"/>
      <c r="BCT527" s="1358"/>
      <c r="BCU527" s="1358"/>
      <c r="BCV527" s="1358"/>
      <c r="BCW527" s="1358"/>
      <c r="BCX527" s="1358"/>
      <c r="BCY527" s="1358"/>
      <c r="BCZ527" s="1358"/>
      <c r="BDA527" s="1358"/>
      <c r="BDB527" s="1358"/>
      <c r="BDC527" s="1358"/>
      <c r="BDD527" s="1358"/>
      <c r="BDE527" s="1358"/>
      <c r="BDF527" s="1358"/>
      <c r="BDG527" s="1358"/>
      <c r="BDH527" s="1358"/>
      <c r="BDI527" s="1358"/>
      <c r="BDJ527" s="1358"/>
      <c r="BDK527" s="1358"/>
      <c r="BDL527" s="1358"/>
      <c r="BDM527" s="1358"/>
      <c r="BDN527" s="1358"/>
      <c r="BDO527" s="1358"/>
      <c r="BDP527" s="1358"/>
      <c r="BDQ527" s="1358"/>
      <c r="BDR527" s="1358"/>
      <c r="BDS527" s="1358"/>
      <c r="BDT527" s="1358"/>
      <c r="BDU527" s="1358"/>
      <c r="BDV527" s="1358"/>
      <c r="BDW527" s="1358"/>
      <c r="BDX527" s="1358"/>
      <c r="BDY527" s="1358"/>
      <c r="BDZ527" s="1358"/>
      <c r="BEA527" s="1358"/>
      <c r="BEB527" s="1358"/>
      <c r="BEC527" s="1358"/>
      <c r="BED527" s="1358"/>
      <c r="BEE527" s="1358"/>
      <c r="BEF527" s="1358"/>
      <c r="BEG527" s="1358"/>
      <c r="BEH527" s="1358"/>
      <c r="BEI527" s="1358"/>
      <c r="BEJ527" s="1358"/>
      <c r="BEK527" s="1358"/>
      <c r="BEL527" s="1358"/>
      <c r="BEM527" s="1358"/>
      <c r="BEN527" s="1358"/>
      <c r="BEO527" s="1358"/>
      <c r="BEP527" s="1358"/>
      <c r="BEQ527" s="1358"/>
      <c r="BER527" s="1358"/>
      <c r="BES527" s="1358"/>
      <c r="BET527" s="1358"/>
      <c r="BEU527" s="1358"/>
      <c r="BEV527" s="1358"/>
      <c r="BEW527" s="1358"/>
      <c r="BEX527" s="1358"/>
      <c r="BEY527" s="1358"/>
      <c r="BEZ527" s="1358"/>
      <c r="BFA527" s="1358"/>
      <c r="BFB527" s="1358"/>
      <c r="BFC527" s="1358"/>
      <c r="BFD527" s="1358"/>
      <c r="BFE527" s="1358"/>
      <c r="BFF527" s="1358"/>
      <c r="BFG527" s="1358"/>
      <c r="BFH527" s="1358"/>
      <c r="BFI527" s="1358"/>
      <c r="BFJ527" s="1358"/>
      <c r="BFK527" s="1358"/>
      <c r="BFL527" s="1358"/>
      <c r="BFM527" s="1358"/>
      <c r="BFN527" s="1358"/>
      <c r="BFO527" s="1358"/>
      <c r="BFP527" s="1358"/>
      <c r="BFQ527" s="1358"/>
      <c r="BFR527" s="1358"/>
      <c r="BFS527" s="1358"/>
      <c r="BFT527" s="1358"/>
      <c r="BFU527" s="1358"/>
      <c r="BFV527" s="1358"/>
      <c r="BFW527" s="1358"/>
      <c r="BFX527" s="1358"/>
      <c r="BFY527" s="1358"/>
      <c r="BFZ527" s="1358"/>
      <c r="BGA527" s="1358"/>
      <c r="BGB527" s="1358"/>
      <c r="BGC527" s="1358"/>
      <c r="BGD527" s="1358"/>
      <c r="BGE527" s="1358"/>
      <c r="BGF527" s="1358"/>
      <c r="BGG527" s="1358"/>
      <c r="BGH527" s="1358"/>
      <c r="BGI527" s="1358"/>
      <c r="BGJ527" s="1358"/>
      <c r="BGK527" s="1358"/>
      <c r="BGL527" s="1358"/>
      <c r="BGM527" s="1358"/>
      <c r="BGN527" s="1358"/>
      <c r="BGO527" s="1358"/>
      <c r="BGP527" s="1358"/>
      <c r="BGQ527" s="1358"/>
      <c r="BGR527" s="1358"/>
      <c r="BGS527" s="1358"/>
      <c r="BGT527" s="1358"/>
      <c r="BGU527" s="1358"/>
      <c r="BGV527" s="1358"/>
      <c r="BGW527" s="1358"/>
      <c r="BGX527" s="1358"/>
      <c r="BGY527" s="1358"/>
      <c r="BGZ527" s="1358"/>
      <c r="BHA527" s="1358"/>
      <c r="BHB527" s="1358"/>
      <c r="BHC527" s="1358"/>
      <c r="BHD527" s="1358"/>
      <c r="BHE527" s="1358"/>
      <c r="BHF527" s="1358"/>
      <c r="BHG527" s="1358"/>
      <c r="BHH527" s="1358"/>
      <c r="BHI527" s="1358"/>
      <c r="BHJ527" s="1358"/>
      <c r="BHK527" s="1358"/>
      <c r="BHL527" s="1358"/>
      <c r="BHM527" s="1358"/>
      <c r="BHN527" s="1358"/>
      <c r="BHO527" s="1358"/>
      <c r="BHP527" s="1358"/>
      <c r="BHQ527" s="1358"/>
      <c r="BHR527" s="1358"/>
      <c r="BHS527" s="1358"/>
      <c r="BHT527" s="1358"/>
      <c r="BHU527" s="1358"/>
      <c r="BHV527" s="1358"/>
      <c r="BHW527" s="1358"/>
      <c r="BHX527" s="1358"/>
      <c r="BHY527" s="1358"/>
      <c r="BHZ527" s="1358"/>
      <c r="BIA527" s="1358"/>
      <c r="BIB527" s="1358"/>
      <c r="BIC527" s="1358"/>
      <c r="BID527" s="1358"/>
      <c r="BIE527" s="1358"/>
      <c r="BIF527" s="1358"/>
      <c r="BIG527" s="1358"/>
      <c r="BIH527" s="1358"/>
      <c r="BII527" s="1358"/>
      <c r="BIJ527" s="1358"/>
      <c r="BIK527" s="1358"/>
      <c r="BIL527" s="1358"/>
      <c r="BIM527" s="1358"/>
      <c r="BIN527" s="1358"/>
      <c r="BIO527" s="1358"/>
      <c r="BIP527" s="1358"/>
      <c r="BIQ527" s="1358"/>
      <c r="BIR527" s="1358"/>
      <c r="BIS527" s="1358"/>
      <c r="BIT527" s="1358"/>
      <c r="BIU527" s="1358"/>
      <c r="BIV527" s="1358"/>
      <c r="BIW527" s="1358"/>
      <c r="BIX527" s="1358"/>
      <c r="BIY527" s="1358"/>
      <c r="BIZ527" s="1358"/>
      <c r="BJA527" s="1358"/>
      <c r="BJB527" s="1358"/>
      <c r="BJC527" s="1358"/>
      <c r="BJD527" s="1358"/>
      <c r="BJE527" s="1358"/>
      <c r="BJF527" s="1358"/>
      <c r="BJG527" s="1358"/>
      <c r="BJH527" s="1358"/>
      <c r="BJI527" s="1358"/>
      <c r="BJJ527" s="1358"/>
      <c r="BJK527" s="1358"/>
      <c r="BJL527" s="1358"/>
      <c r="BJM527" s="1358"/>
      <c r="BJN527" s="1358"/>
      <c r="BJO527" s="1358"/>
      <c r="BJP527" s="1358"/>
      <c r="BJQ527" s="1358"/>
      <c r="BJR527" s="1358"/>
      <c r="BJS527" s="1358"/>
      <c r="BJT527" s="1358"/>
      <c r="BJU527" s="1358"/>
      <c r="BJV527" s="1358"/>
      <c r="BJW527" s="1358"/>
      <c r="BJX527" s="1358"/>
      <c r="BJY527" s="1358"/>
      <c r="BJZ527" s="1358"/>
      <c r="BKA527" s="1358"/>
      <c r="BKB527" s="1358"/>
      <c r="BKC527" s="1358"/>
      <c r="BKD527" s="1358"/>
      <c r="BKE527" s="1358"/>
      <c r="BKF527" s="1358"/>
      <c r="BKG527" s="1358"/>
      <c r="BKH527" s="1358"/>
      <c r="BKI527" s="1358"/>
      <c r="BKJ527" s="1358"/>
      <c r="BKK527" s="1358"/>
      <c r="BKL527" s="1358"/>
      <c r="BKM527" s="1358"/>
      <c r="BKN527" s="1358"/>
      <c r="BKO527" s="1358"/>
      <c r="BKP527" s="1358"/>
      <c r="BKQ527" s="1358"/>
      <c r="BKR527" s="1358"/>
      <c r="BKS527" s="1358"/>
      <c r="BKT527" s="1358"/>
      <c r="BKU527" s="1358"/>
      <c r="BKV527" s="1358"/>
      <c r="BKW527" s="1358"/>
      <c r="BKX527" s="1358"/>
      <c r="BKY527" s="1358"/>
      <c r="BKZ527" s="1358"/>
      <c r="BLA527" s="1358"/>
      <c r="BLB527" s="1358"/>
      <c r="BLC527" s="1358"/>
      <c r="BLD527" s="1358"/>
      <c r="BLE527" s="1358"/>
      <c r="BLF527" s="1358"/>
      <c r="BLG527" s="1358"/>
      <c r="BLH527" s="1358"/>
      <c r="BLI527" s="1358"/>
      <c r="BLJ527" s="1358"/>
      <c r="BLK527" s="1358"/>
      <c r="BLL527" s="1358"/>
      <c r="BLM527" s="1358"/>
      <c r="BLN527" s="1358"/>
      <c r="BLO527" s="1358"/>
      <c r="BLP527" s="1358"/>
      <c r="BLQ527" s="1358"/>
      <c r="BLR527" s="1358"/>
      <c r="BLS527" s="1358"/>
      <c r="BLT527" s="1358"/>
      <c r="BLU527" s="1358"/>
      <c r="BLV527" s="1358"/>
      <c r="BLW527" s="1358"/>
      <c r="BLX527" s="1358"/>
      <c r="BLY527" s="1358"/>
      <c r="BLZ527" s="1358"/>
      <c r="BMA527" s="1358"/>
      <c r="BMB527" s="1358"/>
      <c r="BMC527" s="1358"/>
      <c r="BMD527" s="1358"/>
      <c r="BME527" s="1358"/>
      <c r="BMF527" s="1358"/>
      <c r="BMG527" s="1358"/>
      <c r="BMH527" s="1358"/>
      <c r="BMI527" s="1358"/>
      <c r="BMJ527" s="1358"/>
      <c r="BMK527" s="1358"/>
      <c r="BML527" s="1358"/>
      <c r="BMM527" s="1358"/>
      <c r="BMN527" s="1358"/>
      <c r="BMO527" s="1358"/>
      <c r="BMP527" s="1358"/>
      <c r="BMQ527" s="1358"/>
      <c r="BMR527" s="1358"/>
      <c r="BMS527" s="1358"/>
      <c r="BMT527" s="1358"/>
      <c r="BMU527" s="1358"/>
      <c r="BMV527" s="1358"/>
      <c r="BMW527" s="1358"/>
      <c r="BMX527" s="1358"/>
      <c r="BMY527" s="1358"/>
      <c r="BMZ527" s="1358"/>
      <c r="BNA527" s="1358"/>
      <c r="BNB527" s="1358"/>
      <c r="BNC527" s="1358"/>
      <c r="BND527" s="1358"/>
      <c r="BNE527" s="1358"/>
      <c r="BNF527" s="1358"/>
      <c r="BNG527" s="1358"/>
      <c r="BNH527" s="1358"/>
      <c r="BNI527" s="1358"/>
      <c r="BNJ527" s="1358"/>
      <c r="BNK527" s="1358"/>
      <c r="BNL527" s="1358"/>
      <c r="BNM527" s="1358"/>
      <c r="BNN527" s="1358"/>
      <c r="BNO527" s="1358"/>
      <c r="BNP527" s="1358"/>
      <c r="BNQ527" s="1358"/>
      <c r="BNR527" s="1358"/>
      <c r="BNS527" s="1358"/>
      <c r="BNT527" s="1358"/>
      <c r="BNU527" s="1358"/>
      <c r="BNV527" s="1358"/>
      <c r="BNW527" s="1358"/>
      <c r="BNX527" s="1358"/>
      <c r="BNY527" s="1358"/>
      <c r="BNZ527" s="1358"/>
      <c r="BOA527" s="1358"/>
      <c r="BOB527" s="1358"/>
      <c r="BOC527" s="1358"/>
      <c r="BOD527" s="1358"/>
      <c r="BOE527" s="1358"/>
      <c r="BOF527" s="1358"/>
      <c r="BOG527" s="1358"/>
      <c r="BOH527" s="1358"/>
      <c r="BOI527" s="1358"/>
      <c r="BOJ527" s="1358"/>
      <c r="BOK527" s="1358"/>
      <c r="BOL527" s="1358"/>
      <c r="BOM527" s="1358"/>
      <c r="BON527" s="1358"/>
      <c r="BOO527" s="1358"/>
      <c r="BOP527" s="1358"/>
      <c r="BOQ527" s="1358"/>
      <c r="BOR527" s="1358"/>
      <c r="BOS527" s="1358"/>
      <c r="BOT527" s="1358"/>
      <c r="BOU527" s="1358"/>
      <c r="BOV527" s="1358"/>
      <c r="BOW527" s="1358"/>
      <c r="BOX527" s="1358"/>
      <c r="BOY527" s="1358"/>
      <c r="BOZ527" s="1358"/>
      <c r="BPA527" s="1358"/>
      <c r="BPB527" s="1358"/>
      <c r="BPC527" s="1358"/>
      <c r="BPD527" s="1358"/>
      <c r="BPE527" s="1358"/>
      <c r="BPF527" s="1358"/>
      <c r="BPG527" s="1358"/>
      <c r="BPH527" s="1358"/>
      <c r="BPI527" s="1358"/>
      <c r="BPJ527" s="1358"/>
      <c r="BPK527" s="1358"/>
      <c r="BPL527" s="1358"/>
      <c r="BPM527" s="1358"/>
      <c r="BPN527" s="1358"/>
      <c r="BPO527" s="1358"/>
      <c r="BPP527" s="1358"/>
      <c r="BPQ527" s="1358"/>
      <c r="BPR527" s="1358"/>
      <c r="BPS527" s="1358"/>
      <c r="BPT527" s="1358"/>
      <c r="BPU527" s="1358"/>
      <c r="BPV527" s="1358"/>
      <c r="BPW527" s="1358"/>
      <c r="BPX527" s="1358"/>
      <c r="BPY527" s="1358"/>
      <c r="BPZ527" s="1358"/>
      <c r="BQA527" s="1358"/>
      <c r="BQB527" s="1358"/>
      <c r="BQC527" s="1358"/>
      <c r="BQD527" s="1358"/>
      <c r="BQE527" s="1358"/>
      <c r="BQF527" s="1358"/>
      <c r="BQG527" s="1358"/>
      <c r="BQH527" s="1358"/>
      <c r="BQI527" s="1358"/>
      <c r="BQJ527" s="1358"/>
      <c r="BQK527" s="1358"/>
      <c r="BQL527" s="1358"/>
      <c r="BQM527" s="1358"/>
      <c r="BQN527" s="1358"/>
      <c r="BQO527" s="1358"/>
      <c r="BQP527" s="1358"/>
      <c r="BQQ527" s="1358"/>
      <c r="BQR527" s="1358"/>
      <c r="BQS527" s="1358"/>
      <c r="BQT527" s="1358"/>
      <c r="BQU527" s="1358"/>
      <c r="BQV527" s="1358"/>
      <c r="BQW527" s="1358"/>
      <c r="BQX527" s="1358"/>
      <c r="BQY527" s="1358"/>
      <c r="BQZ527" s="1358"/>
      <c r="BRA527" s="1358"/>
      <c r="BRB527" s="1358"/>
      <c r="BRC527" s="1358"/>
      <c r="BRD527" s="1358"/>
      <c r="BRE527" s="1358"/>
      <c r="BRF527" s="1358"/>
      <c r="BRG527" s="1358"/>
      <c r="BRH527" s="1358"/>
      <c r="BRI527" s="1358"/>
      <c r="BRJ527" s="1358"/>
      <c r="BRK527" s="1358"/>
      <c r="BRL527" s="1358"/>
      <c r="BRM527" s="1358"/>
      <c r="BRN527" s="1358"/>
      <c r="BRO527" s="1358"/>
      <c r="BRP527" s="1358"/>
      <c r="BRQ527" s="1358"/>
      <c r="BRR527" s="1358"/>
      <c r="BRS527" s="1358"/>
      <c r="BRT527" s="1358"/>
      <c r="BRU527" s="1358"/>
      <c r="BRV527" s="1358"/>
      <c r="BRW527" s="1358"/>
      <c r="BRX527" s="1358"/>
      <c r="BRY527" s="1358"/>
      <c r="BRZ527" s="1358"/>
      <c r="BSA527" s="1358"/>
      <c r="BSB527" s="1358"/>
      <c r="BSC527" s="1358"/>
      <c r="BSD527" s="1358"/>
      <c r="BSE527" s="1358"/>
      <c r="BSF527" s="1358"/>
      <c r="BSG527" s="1358"/>
      <c r="BSH527" s="1358"/>
      <c r="BSI527" s="1358"/>
      <c r="BSJ527" s="1358"/>
      <c r="BSK527" s="1358"/>
      <c r="BSL527" s="1358"/>
      <c r="BSM527" s="1358"/>
      <c r="BSN527" s="1358"/>
      <c r="BSO527" s="1358"/>
      <c r="BSP527" s="1358"/>
      <c r="BSQ527" s="1358"/>
      <c r="BSR527" s="1358"/>
      <c r="BSS527" s="1358"/>
      <c r="BST527" s="1358"/>
      <c r="BSU527" s="1358"/>
      <c r="BSV527" s="1358"/>
      <c r="BSW527" s="1358"/>
      <c r="BSX527" s="1358"/>
      <c r="BSY527" s="1358"/>
      <c r="BSZ527" s="1358"/>
      <c r="BTA527" s="1358"/>
      <c r="BTB527" s="1358"/>
      <c r="BTC527" s="1358"/>
      <c r="BTD527" s="1358"/>
      <c r="BTE527" s="1358"/>
      <c r="BTF527" s="1358"/>
      <c r="BTG527" s="1358"/>
      <c r="BTH527" s="1358"/>
      <c r="BTI527" s="1358"/>
      <c r="BTJ527" s="1358"/>
      <c r="BTK527" s="1358"/>
      <c r="BTL527" s="1358"/>
      <c r="BTM527" s="1358"/>
      <c r="BTN527" s="1358"/>
      <c r="BTO527" s="1358"/>
      <c r="BTP527" s="1358"/>
      <c r="BTQ527" s="1358"/>
      <c r="BTR527" s="1358"/>
      <c r="BTS527" s="1358"/>
      <c r="BTT527" s="1358"/>
      <c r="BTU527" s="1358"/>
      <c r="BTV527" s="1358"/>
      <c r="BTW527" s="1358"/>
      <c r="BTX527" s="1358"/>
      <c r="BTY527" s="1358"/>
      <c r="BTZ527" s="1358"/>
      <c r="BUA527" s="1358"/>
      <c r="BUB527" s="1358"/>
      <c r="BUC527" s="1358"/>
      <c r="BUD527" s="1358"/>
      <c r="BUE527" s="1358"/>
      <c r="BUF527" s="1358"/>
      <c r="BUG527" s="1358"/>
      <c r="BUH527" s="1358"/>
      <c r="BUI527" s="1358"/>
      <c r="BUJ527" s="1358"/>
      <c r="BUK527" s="1358"/>
      <c r="BUL527" s="1358"/>
      <c r="BUM527" s="1358"/>
      <c r="BUN527" s="1358"/>
      <c r="BUO527" s="1358"/>
      <c r="BUP527" s="1358"/>
      <c r="BUQ527" s="1358"/>
      <c r="BUR527" s="1358"/>
      <c r="BUS527" s="1358"/>
      <c r="BUT527" s="1358"/>
      <c r="BUU527" s="1358"/>
      <c r="BUV527" s="1358"/>
      <c r="BUW527" s="1358"/>
      <c r="BUX527" s="1358"/>
      <c r="BUY527" s="1358"/>
      <c r="BUZ527" s="1358"/>
      <c r="BVA527" s="1358"/>
      <c r="BVB527" s="1358"/>
      <c r="BVC527" s="1358"/>
      <c r="BVD527" s="1358"/>
      <c r="BVE527" s="1358"/>
      <c r="BVF527" s="1358"/>
      <c r="BVG527" s="1358"/>
      <c r="BVH527" s="1358"/>
      <c r="BVI527" s="1358"/>
      <c r="BVJ527" s="1358"/>
      <c r="BVK527" s="1358"/>
      <c r="BVL527" s="1358"/>
      <c r="BVM527" s="1358"/>
      <c r="BVN527" s="1358"/>
      <c r="BVO527" s="1358"/>
      <c r="BVP527" s="1358"/>
      <c r="BVQ527" s="1358"/>
      <c r="BVR527" s="1358"/>
      <c r="BVS527" s="1358"/>
      <c r="BVT527" s="1358"/>
      <c r="BVU527" s="1358"/>
      <c r="BVV527" s="1358"/>
      <c r="BVW527" s="1358"/>
      <c r="BVX527" s="1358"/>
      <c r="BVY527" s="1358"/>
      <c r="BVZ527" s="1358"/>
      <c r="BWA527" s="1358"/>
      <c r="BWB527" s="1358"/>
      <c r="BWC527" s="1358"/>
      <c r="BWD527" s="1358"/>
      <c r="BWE527" s="1358"/>
      <c r="BWF527" s="1358"/>
      <c r="BWG527" s="1358"/>
      <c r="BWH527" s="1358"/>
      <c r="BWI527" s="1358"/>
      <c r="BWJ527" s="1358"/>
      <c r="BWK527" s="1358"/>
      <c r="BWL527" s="1358"/>
      <c r="BWM527" s="1358"/>
      <c r="BWN527" s="1358"/>
      <c r="BWO527" s="1358"/>
      <c r="BWP527" s="1358"/>
      <c r="BWQ527" s="1358"/>
      <c r="BWR527" s="1358"/>
      <c r="BWS527" s="1358"/>
      <c r="BWT527" s="1358"/>
      <c r="BWU527" s="1358"/>
      <c r="BWV527" s="1358"/>
      <c r="BWW527" s="1358"/>
      <c r="BWX527" s="1358"/>
      <c r="BWY527" s="1358"/>
      <c r="BWZ527" s="1358"/>
      <c r="BXA527" s="1358"/>
      <c r="BXB527" s="1358"/>
      <c r="BXC527" s="1358"/>
      <c r="BXD527" s="1358"/>
      <c r="BXE527" s="1358"/>
      <c r="BXF527" s="1358"/>
      <c r="BXG527" s="1358"/>
      <c r="BXH527" s="1358"/>
      <c r="BXI527" s="1358"/>
      <c r="BXJ527" s="1358"/>
      <c r="BXK527" s="1358"/>
      <c r="BXL527" s="1358"/>
      <c r="BXM527" s="1358"/>
      <c r="BXN527" s="1358"/>
      <c r="BXO527" s="1358"/>
      <c r="BXP527" s="1358"/>
      <c r="BXQ527" s="1358"/>
      <c r="BXR527" s="1358"/>
      <c r="BXS527" s="1358"/>
      <c r="BXT527" s="1358"/>
      <c r="BXU527" s="1358"/>
      <c r="BXV527" s="1358"/>
      <c r="BXW527" s="1358"/>
      <c r="BXX527" s="1358"/>
      <c r="BXY527" s="1358"/>
      <c r="BXZ527" s="1358"/>
      <c r="BYA527" s="1358"/>
      <c r="BYB527" s="1358"/>
      <c r="BYC527" s="1358"/>
      <c r="BYD527" s="1358"/>
      <c r="BYE527" s="1358"/>
      <c r="BYF527" s="1358"/>
      <c r="BYG527" s="1358"/>
      <c r="BYH527" s="1358"/>
      <c r="BYI527" s="1358"/>
      <c r="BYJ527" s="1358"/>
      <c r="BYK527" s="1358"/>
      <c r="BYL527" s="1358"/>
      <c r="BYM527" s="1358"/>
      <c r="BYN527" s="1358"/>
      <c r="BYO527" s="1358"/>
      <c r="BYP527" s="1358"/>
      <c r="BYQ527" s="1358"/>
      <c r="BYR527" s="1358"/>
      <c r="BYS527" s="1358"/>
      <c r="BYT527" s="1358"/>
      <c r="BYU527" s="1358"/>
      <c r="BYV527" s="1358"/>
      <c r="BYW527" s="1358"/>
      <c r="BYX527" s="1358"/>
      <c r="BYY527" s="1358"/>
      <c r="BYZ527" s="1358"/>
      <c r="BZA527" s="1358"/>
      <c r="BZB527" s="1358"/>
      <c r="BZC527" s="1358"/>
      <c r="BZD527" s="1358"/>
      <c r="BZE527" s="1358"/>
      <c r="BZF527" s="1358"/>
      <c r="BZG527" s="1358"/>
      <c r="BZH527" s="1358"/>
      <c r="BZI527" s="1358"/>
      <c r="BZJ527" s="1358"/>
      <c r="BZK527" s="1358"/>
      <c r="BZL527" s="1358"/>
      <c r="BZM527" s="1358"/>
      <c r="BZN527" s="1358"/>
      <c r="BZO527" s="1358"/>
      <c r="BZP527" s="1358"/>
      <c r="BZQ527" s="1358"/>
      <c r="BZR527" s="1358"/>
      <c r="BZS527" s="1358"/>
      <c r="BZT527" s="1358"/>
      <c r="BZU527" s="1358"/>
      <c r="BZV527" s="1358"/>
      <c r="BZW527" s="1358"/>
      <c r="BZX527" s="1358"/>
      <c r="BZY527" s="1358"/>
      <c r="BZZ527" s="1358"/>
      <c r="CAA527" s="1358"/>
      <c r="CAB527" s="1358"/>
      <c r="CAC527" s="1358"/>
      <c r="CAD527" s="1358"/>
      <c r="CAE527" s="1358"/>
      <c r="CAF527" s="1358"/>
      <c r="CAG527" s="1358"/>
      <c r="CAH527" s="1358"/>
      <c r="CAI527" s="1358"/>
      <c r="CAJ527" s="1358"/>
      <c r="CAK527" s="1358"/>
      <c r="CAL527" s="1358"/>
      <c r="CAM527" s="1358"/>
      <c r="CAN527" s="1358"/>
      <c r="CAO527" s="1358"/>
      <c r="CAP527" s="1358"/>
      <c r="CAQ527" s="1358"/>
      <c r="CAR527" s="1358"/>
      <c r="CAS527" s="1358"/>
      <c r="CAT527" s="1358"/>
      <c r="CAU527" s="1358"/>
      <c r="CAV527" s="1358"/>
      <c r="CAW527" s="1358"/>
      <c r="CAX527" s="1358"/>
      <c r="CAY527" s="1358"/>
      <c r="CAZ527" s="1358"/>
      <c r="CBA527" s="1358"/>
      <c r="CBB527" s="1358"/>
      <c r="CBC527" s="1358"/>
      <c r="CBD527" s="1358"/>
      <c r="CBE527" s="1358"/>
      <c r="CBF527" s="1358"/>
      <c r="CBG527" s="1358"/>
      <c r="CBH527" s="1358"/>
      <c r="CBI527" s="1358"/>
      <c r="CBJ527" s="1358"/>
      <c r="CBK527" s="1358"/>
      <c r="CBL527" s="1358"/>
      <c r="CBM527" s="1358"/>
      <c r="CBN527" s="1358"/>
      <c r="CBO527" s="1358"/>
      <c r="CBP527" s="1358"/>
      <c r="CBQ527" s="1358"/>
      <c r="CBR527" s="1358"/>
      <c r="CBS527" s="1358"/>
      <c r="CBT527" s="1358"/>
      <c r="CBU527" s="1358"/>
      <c r="CBV527" s="1358"/>
      <c r="CBW527" s="1358"/>
      <c r="CBX527" s="1358"/>
      <c r="CBY527" s="1358"/>
      <c r="CBZ527" s="1358"/>
      <c r="CCA527" s="1358"/>
      <c r="CCB527" s="1358"/>
      <c r="CCC527" s="1358"/>
      <c r="CCD527" s="1358"/>
      <c r="CCE527" s="1358"/>
      <c r="CCF527" s="1358"/>
      <c r="CCG527" s="1358"/>
      <c r="CCH527" s="1358"/>
      <c r="CCI527" s="1358"/>
      <c r="CCJ527" s="1358"/>
      <c r="CCK527" s="1358"/>
      <c r="CCL527" s="1358"/>
      <c r="CCM527" s="1358"/>
      <c r="CCN527" s="1358"/>
      <c r="CCO527" s="1358"/>
      <c r="CCP527" s="1358"/>
      <c r="CCQ527" s="1358"/>
      <c r="CCR527" s="1358"/>
      <c r="CCS527" s="1358"/>
      <c r="CCT527" s="1358"/>
      <c r="CCU527" s="1358"/>
      <c r="CCV527" s="1358"/>
      <c r="CCW527" s="1358"/>
      <c r="CCX527" s="1358"/>
      <c r="CCY527" s="1358"/>
      <c r="CCZ527" s="1358"/>
      <c r="CDA527" s="1358"/>
      <c r="CDB527" s="1358"/>
      <c r="CDC527" s="1358"/>
      <c r="CDD527" s="1358"/>
      <c r="CDE527" s="1358"/>
      <c r="CDF527" s="1358"/>
      <c r="CDG527" s="1358"/>
      <c r="CDH527" s="1358"/>
      <c r="CDI527" s="1358"/>
      <c r="CDJ527" s="1358"/>
      <c r="CDK527" s="1358"/>
      <c r="CDL527" s="1358"/>
      <c r="CDM527" s="1358"/>
      <c r="CDN527" s="1358"/>
      <c r="CDO527" s="1358"/>
      <c r="CDP527" s="1358"/>
      <c r="CDQ527" s="1358"/>
      <c r="CDR527" s="1358"/>
      <c r="CDS527" s="1358"/>
      <c r="CDT527" s="1358"/>
      <c r="CDU527" s="1358"/>
      <c r="CDV527" s="1358"/>
      <c r="CDW527" s="1358"/>
      <c r="CDX527" s="1358"/>
      <c r="CDY527" s="1358"/>
      <c r="CDZ527" s="1358"/>
      <c r="CEA527" s="1358"/>
      <c r="CEB527" s="1358"/>
      <c r="CEC527" s="1358"/>
      <c r="CED527" s="1358"/>
      <c r="CEE527" s="1358"/>
      <c r="CEF527" s="1358"/>
      <c r="CEG527" s="1358"/>
      <c r="CEH527" s="1358"/>
      <c r="CEI527" s="1358"/>
      <c r="CEJ527" s="1358"/>
      <c r="CEK527" s="1358"/>
      <c r="CEL527" s="1358"/>
      <c r="CEM527" s="1358"/>
      <c r="CEN527" s="1358"/>
      <c r="CEO527" s="1358"/>
      <c r="CEP527" s="1358"/>
      <c r="CEQ527" s="1358"/>
      <c r="CER527" s="1358"/>
      <c r="CES527" s="1358"/>
      <c r="CET527" s="1358"/>
      <c r="CEU527" s="1358"/>
      <c r="CEV527" s="1358"/>
      <c r="CEW527" s="1358"/>
      <c r="CEX527" s="1358"/>
      <c r="CEY527" s="1358"/>
      <c r="CEZ527" s="1358"/>
      <c r="CFA527" s="1358"/>
      <c r="CFB527" s="1358"/>
      <c r="CFC527" s="1358"/>
      <c r="CFD527" s="1358"/>
      <c r="CFE527" s="1358"/>
      <c r="CFF527" s="1358"/>
      <c r="CFG527" s="1358"/>
      <c r="CFH527" s="1358"/>
      <c r="CFI527" s="1358"/>
      <c r="CFJ527" s="1358"/>
      <c r="CFK527" s="1358"/>
      <c r="CFL527" s="1358"/>
      <c r="CFM527" s="1358"/>
      <c r="CFN527" s="1358"/>
      <c r="CFO527" s="1358"/>
      <c r="CFP527" s="1358"/>
      <c r="CFQ527" s="1358"/>
      <c r="CFR527" s="1358"/>
      <c r="CFS527" s="1358"/>
      <c r="CFT527" s="1358"/>
      <c r="CFU527" s="1358"/>
      <c r="CFV527" s="1358"/>
      <c r="CFW527" s="1358"/>
      <c r="CFX527" s="1358"/>
      <c r="CFY527" s="1358"/>
      <c r="CFZ527" s="1358"/>
      <c r="CGA527" s="1358"/>
      <c r="CGB527" s="1358"/>
      <c r="CGC527" s="1358"/>
      <c r="CGD527" s="1358"/>
      <c r="CGE527" s="1358"/>
      <c r="CGF527" s="1358"/>
      <c r="CGG527" s="1358"/>
      <c r="CGH527" s="1358"/>
      <c r="CGI527" s="1358"/>
      <c r="CGJ527" s="1358"/>
      <c r="CGK527" s="1358"/>
      <c r="CGL527" s="1358"/>
      <c r="CGM527" s="1358"/>
      <c r="CGN527" s="1358"/>
      <c r="CGO527" s="1358"/>
      <c r="CGP527" s="1358"/>
      <c r="CGQ527" s="1358"/>
      <c r="CGR527" s="1358"/>
      <c r="CGS527" s="1358"/>
      <c r="CGT527" s="1358"/>
      <c r="CGU527" s="1358"/>
      <c r="CGV527" s="1358"/>
      <c r="CGW527" s="1358"/>
      <c r="CGX527" s="1358"/>
      <c r="CGY527" s="1358"/>
      <c r="CGZ527" s="1358"/>
      <c r="CHA527" s="1358"/>
      <c r="CHB527" s="1358"/>
      <c r="CHC527" s="1358"/>
      <c r="CHD527" s="1358"/>
      <c r="CHE527" s="1358"/>
      <c r="CHF527" s="1358"/>
      <c r="CHG527" s="1358"/>
      <c r="CHH527" s="1358"/>
      <c r="CHI527" s="1358"/>
      <c r="CHJ527" s="1358"/>
      <c r="CHK527" s="1358"/>
      <c r="CHL527" s="1358"/>
      <c r="CHM527" s="1358"/>
      <c r="CHN527" s="1358"/>
      <c r="CHO527" s="1358"/>
      <c r="CHP527" s="1358"/>
      <c r="CHQ527" s="1358"/>
      <c r="CHR527" s="1358"/>
      <c r="CHS527" s="1358"/>
      <c r="CHT527" s="1358"/>
      <c r="CHU527" s="1358"/>
      <c r="CHV527" s="1358"/>
      <c r="CHW527" s="1358"/>
      <c r="CHX527" s="1358"/>
      <c r="CHY527" s="1358"/>
      <c r="CHZ527" s="1358"/>
      <c r="CIA527" s="1358"/>
      <c r="CIB527" s="1358"/>
      <c r="CIC527" s="1358"/>
      <c r="CID527" s="1358"/>
      <c r="CIE527" s="1358"/>
      <c r="CIF527" s="1358"/>
      <c r="CIG527" s="1358"/>
      <c r="CIH527" s="1358"/>
      <c r="CII527" s="1358"/>
      <c r="CIJ527" s="1358"/>
      <c r="CIK527" s="1358"/>
      <c r="CIL527" s="1358"/>
      <c r="CIM527" s="1358"/>
      <c r="CIN527" s="1358"/>
      <c r="CIO527" s="1358"/>
      <c r="CIP527" s="1358"/>
      <c r="CIQ527" s="1358"/>
      <c r="CIR527" s="1358"/>
      <c r="CIS527" s="1358"/>
      <c r="CIT527" s="1358"/>
      <c r="CIU527" s="1358"/>
      <c r="CIV527" s="1358"/>
      <c r="CIW527" s="1358"/>
      <c r="CIX527" s="1358"/>
      <c r="CIY527" s="1358"/>
      <c r="CIZ527" s="1358"/>
      <c r="CJA527" s="1358"/>
      <c r="CJB527" s="1358"/>
      <c r="CJC527" s="1358"/>
      <c r="CJD527" s="1358"/>
      <c r="CJE527" s="1358"/>
      <c r="CJF527" s="1358"/>
      <c r="CJG527" s="1358"/>
      <c r="CJH527" s="1358"/>
      <c r="CJI527" s="1358"/>
      <c r="CJJ527" s="1358"/>
      <c r="CJK527" s="1358"/>
      <c r="CJL527" s="1358"/>
      <c r="CJM527" s="1358"/>
      <c r="CJN527" s="1358"/>
      <c r="CJO527" s="1358"/>
      <c r="CJP527" s="1358"/>
      <c r="CJQ527" s="1358"/>
      <c r="CJR527" s="1358"/>
      <c r="CJS527" s="1358"/>
      <c r="CJT527" s="1358"/>
      <c r="CJU527" s="1358"/>
      <c r="CJV527" s="1358"/>
      <c r="CJW527" s="1358"/>
      <c r="CJX527" s="1358"/>
      <c r="CJY527" s="1358"/>
      <c r="CJZ527" s="1358"/>
      <c r="CKA527" s="1358"/>
      <c r="CKB527" s="1358"/>
      <c r="CKC527" s="1358"/>
      <c r="CKD527" s="1358"/>
      <c r="CKE527" s="1358"/>
      <c r="CKF527" s="1358"/>
      <c r="CKG527" s="1358"/>
      <c r="CKH527" s="1358"/>
      <c r="CKI527" s="1358"/>
      <c r="CKJ527" s="1358"/>
      <c r="CKK527" s="1358"/>
      <c r="CKL527" s="1358"/>
      <c r="CKM527" s="1358"/>
      <c r="CKN527" s="1358"/>
      <c r="CKO527" s="1358"/>
      <c r="CKP527" s="1358"/>
      <c r="CKQ527" s="1358"/>
      <c r="CKR527" s="1358"/>
      <c r="CKS527" s="1358"/>
      <c r="CKT527" s="1358"/>
      <c r="CKU527" s="1358"/>
      <c r="CKV527" s="1358"/>
      <c r="CKW527" s="1358"/>
      <c r="CKX527" s="1358"/>
      <c r="CKY527" s="1358"/>
      <c r="CKZ527" s="1358"/>
      <c r="CLA527" s="1358"/>
      <c r="CLB527" s="1358"/>
      <c r="CLC527" s="1358"/>
      <c r="CLD527" s="1358"/>
      <c r="CLE527" s="1358"/>
      <c r="CLF527" s="1358"/>
      <c r="CLG527" s="1358"/>
      <c r="CLH527" s="1358"/>
      <c r="CLI527" s="1358"/>
      <c r="CLJ527" s="1358"/>
      <c r="CLK527" s="1358"/>
      <c r="CLL527" s="1358"/>
      <c r="CLM527" s="1358"/>
      <c r="CLN527" s="1358"/>
      <c r="CLO527" s="1358"/>
      <c r="CLP527" s="1358"/>
      <c r="CLQ527" s="1358"/>
      <c r="CLR527" s="1358"/>
      <c r="CLS527" s="1358"/>
      <c r="CLT527" s="1358"/>
      <c r="CLU527" s="1358"/>
      <c r="CLV527" s="1358"/>
      <c r="CLW527" s="1358"/>
      <c r="CLX527" s="1358"/>
      <c r="CLY527" s="1358"/>
      <c r="CLZ527" s="1358"/>
      <c r="CMA527" s="1358"/>
      <c r="CMB527" s="1358"/>
      <c r="CMC527" s="1358"/>
      <c r="CMD527" s="1358"/>
      <c r="CME527" s="1358"/>
      <c r="CMF527" s="1358"/>
      <c r="CMG527" s="1358"/>
      <c r="CMH527" s="1358"/>
      <c r="CMI527" s="1358"/>
      <c r="CMJ527" s="1358"/>
      <c r="CMK527" s="1358"/>
      <c r="CML527" s="1358"/>
      <c r="CMM527" s="1358"/>
      <c r="CMN527" s="1358"/>
      <c r="CMO527" s="1358"/>
      <c r="CMP527" s="1358"/>
      <c r="CMQ527" s="1358"/>
      <c r="CMR527" s="1358"/>
      <c r="CMS527" s="1358"/>
      <c r="CMT527" s="1358"/>
      <c r="CMU527" s="1358"/>
      <c r="CMV527" s="1358"/>
      <c r="CMW527" s="1358"/>
      <c r="CMX527" s="1358"/>
      <c r="CMY527" s="1358"/>
      <c r="CMZ527" s="1358"/>
      <c r="CNA527" s="1358"/>
      <c r="CNB527" s="1358"/>
      <c r="CNC527" s="1358"/>
      <c r="CND527" s="1358"/>
      <c r="CNE527" s="1358"/>
      <c r="CNF527" s="1358"/>
      <c r="CNG527" s="1358"/>
      <c r="CNH527" s="1358"/>
      <c r="CNI527" s="1358"/>
      <c r="CNJ527" s="1358"/>
      <c r="CNK527" s="1358"/>
      <c r="CNL527" s="1358"/>
      <c r="CNM527" s="1358"/>
      <c r="CNN527" s="1358"/>
      <c r="CNO527" s="1358"/>
      <c r="CNP527" s="1358"/>
      <c r="CNQ527" s="1358"/>
      <c r="CNR527" s="1358"/>
      <c r="CNS527" s="1358"/>
      <c r="CNT527" s="1358"/>
      <c r="CNU527" s="1358"/>
      <c r="CNV527" s="1358"/>
      <c r="CNW527" s="1358"/>
      <c r="CNX527" s="1358"/>
      <c r="CNY527" s="1358"/>
      <c r="CNZ527" s="1358"/>
      <c r="COA527" s="1358"/>
      <c r="COB527" s="1358"/>
      <c r="COC527" s="1358"/>
      <c r="COD527" s="1358"/>
      <c r="COE527" s="1358"/>
      <c r="COF527" s="1358"/>
      <c r="COG527" s="1358"/>
      <c r="COH527" s="1358"/>
      <c r="COI527" s="1358"/>
      <c r="COJ527" s="1358"/>
      <c r="COK527" s="1358"/>
      <c r="COL527" s="1358"/>
      <c r="COM527" s="1358"/>
      <c r="CON527" s="1358"/>
      <c r="COO527" s="1358"/>
      <c r="COP527" s="1358"/>
      <c r="COQ527" s="1358"/>
      <c r="COR527" s="1358"/>
      <c r="COS527" s="1358"/>
      <c r="COT527" s="1358"/>
      <c r="COU527" s="1358"/>
      <c r="COV527" s="1358"/>
      <c r="COW527" s="1358"/>
      <c r="COX527" s="1358"/>
      <c r="COY527" s="1358"/>
      <c r="COZ527" s="1358"/>
      <c r="CPA527" s="1358"/>
      <c r="CPB527" s="1358"/>
      <c r="CPC527" s="1358"/>
      <c r="CPD527" s="1358"/>
      <c r="CPE527" s="1358"/>
      <c r="CPF527" s="1358"/>
      <c r="CPG527" s="1358"/>
      <c r="CPH527" s="1358"/>
      <c r="CPI527" s="1358"/>
      <c r="CPJ527" s="1358"/>
      <c r="CPK527" s="1358"/>
      <c r="CPL527" s="1358"/>
      <c r="CPM527" s="1358"/>
      <c r="CPN527" s="1358"/>
      <c r="CPO527" s="1358"/>
      <c r="CPP527" s="1358"/>
      <c r="CPQ527" s="1358"/>
      <c r="CPR527" s="1358"/>
      <c r="CPS527" s="1358"/>
      <c r="CPT527" s="1358"/>
      <c r="CPU527" s="1358"/>
      <c r="CPV527" s="1358"/>
      <c r="CPW527" s="1358"/>
      <c r="CPX527" s="1358"/>
      <c r="CPY527" s="1358"/>
      <c r="CPZ527" s="1358"/>
      <c r="CQA527" s="1358"/>
      <c r="CQB527" s="1358"/>
      <c r="CQC527" s="1358"/>
      <c r="CQD527" s="1358"/>
      <c r="CQE527" s="1358"/>
      <c r="CQF527" s="1358"/>
      <c r="CQG527" s="1358"/>
      <c r="CQH527" s="1358"/>
      <c r="CQI527" s="1358"/>
      <c r="CQJ527" s="1358"/>
      <c r="CQK527" s="1358"/>
      <c r="CQL527" s="1358"/>
      <c r="CQM527" s="1358"/>
      <c r="CQN527" s="1358"/>
      <c r="CQO527" s="1358"/>
      <c r="CQP527" s="1358"/>
      <c r="CQQ527" s="1358"/>
      <c r="CQR527" s="1358"/>
      <c r="CQS527" s="1358"/>
      <c r="CQT527" s="1358"/>
      <c r="CQU527" s="1358"/>
      <c r="CQV527" s="1358"/>
      <c r="CQW527" s="1358"/>
      <c r="CQX527" s="1358"/>
      <c r="CQY527" s="1358"/>
      <c r="CQZ527" s="1358"/>
      <c r="CRA527" s="1358"/>
      <c r="CRB527" s="1358"/>
      <c r="CRC527" s="1358"/>
      <c r="CRD527" s="1358"/>
      <c r="CRE527" s="1358"/>
      <c r="CRF527" s="1358"/>
      <c r="CRG527" s="1358"/>
      <c r="CRH527" s="1358"/>
      <c r="CRI527" s="1358"/>
      <c r="CRJ527" s="1358"/>
      <c r="CRK527" s="1358"/>
      <c r="CRL527" s="1358"/>
      <c r="CRM527" s="1358"/>
      <c r="CRN527" s="1358"/>
      <c r="CRO527" s="1358"/>
      <c r="CRP527" s="1358"/>
      <c r="CRQ527" s="1358"/>
      <c r="CRR527" s="1358"/>
      <c r="CRS527" s="1358"/>
      <c r="CRT527" s="1358"/>
      <c r="CRU527" s="1358"/>
      <c r="CRV527" s="1358"/>
      <c r="CRW527" s="1358"/>
      <c r="CRX527" s="1358"/>
      <c r="CRY527" s="1358"/>
      <c r="CRZ527" s="1358"/>
      <c r="CSA527" s="1358"/>
      <c r="CSB527" s="1358"/>
      <c r="CSC527" s="1358"/>
      <c r="CSD527" s="1358"/>
      <c r="CSE527" s="1358"/>
      <c r="CSF527" s="1358"/>
      <c r="CSG527" s="1358"/>
      <c r="CSH527" s="1358"/>
      <c r="CSI527" s="1358"/>
      <c r="CSJ527" s="1358"/>
      <c r="CSK527" s="1358"/>
      <c r="CSL527" s="1358"/>
      <c r="CSM527" s="1358"/>
      <c r="CSN527" s="1358"/>
      <c r="CSO527" s="1358"/>
      <c r="CSP527" s="1358"/>
      <c r="CSQ527" s="1358"/>
      <c r="CSR527" s="1358"/>
      <c r="CSS527" s="1358"/>
      <c r="CST527" s="1358"/>
      <c r="CSU527" s="1358"/>
      <c r="CSV527" s="1358"/>
      <c r="CSW527" s="1358"/>
      <c r="CSX527" s="1358"/>
      <c r="CSY527" s="1358"/>
      <c r="CSZ527" s="1358"/>
      <c r="CTA527" s="1358"/>
      <c r="CTB527" s="1358"/>
      <c r="CTC527" s="1358"/>
      <c r="CTD527" s="1358"/>
      <c r="CTE527" s="1358"/>
      <c r="CTF527" s="1358"/>
      <c r="CTG527" s="1358"/>
      <c r="CTH527" s="1358"/>
      <c r="CTI527" s="1358"/>
      <c r="CTJ527" s="1358"/>
      <c r="CTK527" s="1358"/>
      <c r="CTL527" s="1358"/>
      <c r="CTM527" s="1358"/>
      <c r="CTN527" s="1358"/>
      <c r="CTO527" s="1358"/>
      <c r="CTP527" s="1358"/>
      <c r="CTQ527" s="1358"/>
      <c r="CTR527" s="1358"/>
      <c r="CTS527" s="1358"/>
      <c r="CTT527" s="1358"/>
      <c r="CTU527" s="1358"/>
      <c r="CTV527" s="1358"/>
      <c r="CTW527" s="1358"/>
      <c r="CTX527" s="1358"/>
      <c r="CTY527" s="1358"/>
      <c r="CTZ527" s="1358"/>
      <c r="CUA527" s="1358"/>
      <c r="CUB527" s="1358"/>
      <c r="CUC527" s="1358"/>
      <c r="CUD527" s="1358"/>
      <c r="CUE527" s="1358"/>
      <c r="CUF527" s="1358"/>
      <c r="CUG527" s="1358"/>
      <c r="CUH527" s="1358"/>
      <c r="CUI527" s="1358"/>
      <c r="CUJ527" s="1358"/>
      <c r="CUK527" s="1358"/>
      <c r="CUL527" s="1358"/>
      <c r="CUM527" s="1358"/>
      <c r="CUN527" s="1358"/>
      <c r="CUO527" s="1358"/>
      <c r="CUP527" s="1358"/>
      <c r="CUQ527" s="1358"/>
      <c r="CUR527" s="1358"/>
      <c r="CUS527" s="1358"/>
      <c r="CUT527" s="1358"/>
      <c r="CUU527" s="1358"/>
      <c r="CUV527" s="1358"/>
      <c r="CUW527" s="1358"/>
      <c r="CUX527" s="1358"/>
      <c r="CUY527" s="1358"/>
      <c r="CUZ527" s="1358"/>
      <c r="CVA527" s="1358"/>
      <c r="CVB527" s="1358"/>
      <c r="CVC527" s="1358"/>
      <c r="CVD527" s="1358"/>
      <c r="CVE527" s="1358"/>
      <c r="CVF527" s="1358"/>
      <c r="CVG527" s="1358"/>
      <c r="CVH527" s="1358"/>
      <c r="CVI527" s="1358"/>
      <c r="CVJ527" s="1358"/>
      <c r="CVK527" s="1358"/>
      <c r="CVL527" s="1358"/>
      <c r="CVM527" s="1358"/>
      <c r="CVN527" s="1358"/>
      <c r="CVO527" s="1358"/>
      <c r="CVP527" s="1358"/>
      <c r="CVQ527" s="1358"/>
      <c r="CVR527" s="1358"/>
      <c r="CVS527" s="1358"/>
      <c r="CVT527" s="1358"/>
      <c r="CVU527" s="1358"/>
      <c r="CVV527" s="1358"/>
      <c r="CVW527" s="1358"/>
      <c r="CVX527" s="1358"/>
      <c r="CVY527" s="1358"/>
      <c r="CVZ527" s="1358"/>
      <c r="CWA527" s="1358"/>
      <c r="CWB527" s="1358"/>
      <c r="CWC527" s="1358"/>
      <c r="CWD527" s="1358"/>
      <c r="CWE527" s="1358"/>
      <c r="CWF527" s="1358"/>
      <c r="CWG527" s="1358"/>
      <c r="CWH527" s="1358"/>
      <c r="CWI527" s="1358"/>
      <c r="CWJ527" s="1358"/>
      <c r="CWK527" s="1358"/>
      <c r="CWL527" s="1358"/>
      <c r="CWM527" s="1358"/>
      <c r="CWN527" s="1358"/>
      <c r="CWO527" s="1358"/>
      <c r="CWP527" s="1358"/>
      <c r="CWQ527" s="1358"/>
      <c r="CWR527" s="1358"/>
      <c r="CWS527" s="1358"/>
      <c r="CWT527" s="1358"/>
      <c r="CWU527" s="1358"/>
      <c r="CWV527" s="1358"/>
      <c r="CWW527" s="1358"/>
      <c r="CWX527" s="1358"/>
      <c r="CWY527" s="1358"/>
      <c r="CWZ527" s="1358"/>
      <c r="CXA527" s="1358"/>
      <c r="CXB527" s="1358"/>
      <c r="CXC527" s="1358"/>
      <c r="CXD527" s="1358"/>
      <c r="CXE527" s="1358"/>
      <c r="CXF527" s="1358"/>
      <c r="CXG527" s="1358"/>
      <c r="CXH527" s="1358"/>
      <c r="CXI527" s="1358"/>
      <c r="CXJ527" s="1358"/>
      <c r="CXK527" s="1358"/>
      <c r="CXL527" s="1358"/>
      <c r="CXM527" s="1358"/>
      <c r="CXN527" s="1358"/>
      <c r="CXO527" s="1358"/>
      <c r="CXP527" s="1358"/>
      <c r="CXQ527" s="1358"/>
      <c r="CXR527" s="1358"/>
      <c r="CXS527" s="1358"/>
      <c r="CXT527" s="1358"/>
      <c r="CXU527" s="1358"/>
      <c r="CXV527" s="1358"/>
      <c r="CXW527" s="1358"/>
      <c r="CXX527" s="1358"/>
      <c r="CXY527" s="1358"/>
      <c r="CXZ527" s="1358"/>
      <c r="CYA527" s="1358"/>
      <c r="CYB527" s="1358"/>
      <c r="CYC527" s="1358"/>
      <c r="CYD527" s="1358"/>
      <c r="CYE527" s="1358"/>
      <c r="CYF527" s="1358"/>
      <c r="CYG527" s="1358"/>
      <c r="CYH527" s="1358"/>
      <c r="CYI527" s="1358"/>
      <c r="CYJ527" s="1358"/>
      <c r="CYK527" s="1358"/>
      <c r="CYL527" s="1358"/>
      <c r="CYM527" s="1358"/>
      <c r="CYN527" s="1358"/>
      <c r="CYO527" s="1358"/>
      <c r="CYP527" s="1358"/>
      <c r="CYQ527" s="1358"/>
      <c r="CYR527" s="1358"/>
      <c r="CYS527" s="1358"/>
      <c r="CYT527" s="1358"/>
      <c r="CYU527" s="1358"/>
      <c r="CYV527" s="1358"/>
      <c r="CYW527" s="1358"/>
      <c r="CYX527" s="1358"/>
      <c r="CYY527" s="1358"/>
      <c r="CYZ527" s="1358"/>
      <c r="CZA527" s="1358"/>
      <c r="CZB527" s="1358"/>
      <c r="CZC527" s="1358"/>
      <c r="CZD527" s="1358"/>
      <c r="CZE527" s="1358"/>
      <c r="CZF527" s="1358"/>
      <c r="CZG527" s="1358"/>
      <c r="CZH527" s="1358"/>
      <c r="CZI527" s="1358"/>
      <c r="CZJ527" s="1358"/>
      <c r="CZK527" s="1358"/>
      <c r="CZL527" s="1358"/>
      <c r="CZM527" s="1358"/>
      <c r="CZN527" s="1358"/>
      <c r="CZO527" s="1358"/>
      <c r="CZP527" s="1358"/>
      <c r="CZQ527" s="1358"/>
      <c r="CZR527" s="1358"/>
      <c r="CZS527" s="1358"/>
      <c r="CZT527" s="1358"/>
      <c r="CZU527" s="1358"/>
      <c r="CZV527" s="1358"/>
      <c r="CZW527" s="1358"/>
      <c r="CZX527" s="1358"/>
      <c r="CZY527" s="1358"/>
      <c r="CZZ527" s="1358"/>
      <c r="DAA527" s="1358"/>
      <c r="DAB527" s="1358"/>
      <c r="DAC527" s="1358"/>
      <c r="DAD527" s="1358"/>
      <c r="DAE527" s="1358"/>
      <c r="DAF527" s="1358"/>
      <c r="DAG527" s="1358"/>
      <c r="DAH527" s="1358"/>
      <c r="DAI527" s="1358"/>
      <c r="DAJ527" s="1358"/>
      <c r="DAK527" s="1358"/>
      <c r="DAL527" s="1358"/>
      <c r="DAM527" s="1358"/>
      <c r="DAN527" s="1358"/>
      <c r="DAO527" s="1358"/>
      <c r="DAP527" s="1358"/>
      <c r="DAQ527" s="1358"/>
      <c r="DAR527" s="1358"/>
      <c r="DAS527" s="1358"/>
      <c r="DAT527" s="1358"/>
      <c r="DAU527" s="1358"/>
      <c r="DAV527" s="1358"/>
      <c r="DAW527" s="1358"/>
      <c r="DAX527" s="1358"/>
      <c r="DAY527" s="1358"/>
      <c r="DAZ527" s="1358"/>
      <c r="DBA527" s="1358"/>
      <c r="DBB527" s="1358"/>
      <c r="DBC527" s="1358"/>
      <c r="DBD527" s="1358"/>
      <c r="DBE527" s="1358"/>
      <c r="DBF527" s="1358"/>
      <c r="DBG527" s="1358"/>
      <c r="DBH527" s="1358"/>
      <c r="DBI527" s="1358"/>
      <c r="DBJ527" s="1358"/>
      <c r="DBK527" s="1358"/>
      <c r="DBL527" s="1358"/>
      <c r="DBM527" s="1358"/>
      <c r="DBN527" s="1358"/>
      <c r="DBO527" s="1358"/>
      <c r="DBP527" s="1358"/>
      <c r="DBQ527" s="1358"/>
      <c r="DBR527" s="1358"/>
      <c r="DBS527" s="1358"/>
      <c r="DBT527" s="1358"/>
      <c r="DBU527" s="1358"/>
      <c r="DBV527" s="1358"/>
      <c r="DBW527" s="1358"/>
      <c r="DBX527" s="1358"/>
      <c r="DBY527" s="1358"/>
      <c r="DBZ527" s="1358"/>
      <c r="DCA527" s="1358"/>
      <c r="DCB527" s="1358"/>
      <c r="DCC527" s="1358"/>
      <c r="DCD527" s="1358"/>
      <c r="DCE527" s="1358"/>
      <c r="DCF527" s="1358"/>
      <c r="DCG527" s="1358"/>
      <c r="DCH527" s="1358"/>
      <c r="DCI527" s="1358"/>
      <c r="DCJ527" s="1358"/>
      <c r="DCK527" s="1358"/>
      <c r="DCL527" s="1358"/>
      <c r="DCM527" s="1358"/>
      <c r="DCN527" s="1358"/>
      <c r="DCO527" s="1358"/>
      <c r="DCP527" s="1358"/>
      <c r="DCQ527" s="1358"/>
      <c r="DCR527" s="1358"/>
      <c r="DCS527" s="1358"/>
      <c r="DCT527" s="1358"/>
      <c r="DCU527" s="1358"/>
      <c r="DCV527" s="1358"/>
      <c r="DCW527" s="1358"/>
      <c r="DCX527" s="1358"/>
      <c r="DCY527" s="1358"/>
      <c r="DCZ527" s="1358"/>
      <c r="DDA527" s="1358"/>
      <c r="DDB527" s="1358"/>
      <c r="DDC527" s="1358"/>
      <c r="DDD527" s="1358"/>
      <c r="DDE527" s="1358"/>
      <c r="DDF527" s="1358"/>
      <c r="DDG527" s="1358"/>
      <c r="DDH527" s="1358"/>
      <c r="DDI527" s="1358"/>
      <c r="DDJ527" s="1358"/>
      <c r="DDK527" s="1358"/>
      <c r="DDL527" s="1358"/>
      <c r="DDM527" s="1358"/>
      <c r="DDN527" s="1358"/>
      <c r="DDO527" s="1358"/>
      <c r="DDP527" s="1358"/>
      <c r="DDQ527" s="1358"/>
      <c r="DDR527" s="1358"/>
      <c r="DDS527" s="1358"/>
      <c r="DDT527" s="1358"/>
      <c r="DDU527" s="1358"/>
      <c r="DDV527" s="1358"/>
      <c r="DDW527" s="1358"/>
      <c r="DDX527" s="1358"/>
      <c r="DDY527" s="1358"/>
      <c r="DDZ527" s="1358"/>
      <c r="DEA527" s="1358"/>
      <c r="DEB527" s="1358"/>
      <c r="DEC527" s="1358"/>
      <c r="DED527" s="1358"/>
      <c r="DEE527" s="1358"/>
      <c r="DEF527" s="1358"/>
      <c r="DEG527" s="1358"/>
      <c r="DEH527" s="1358"/>
      <c r="DEI527" s="1358"/>
      <c r="DEJ527" s="1358"/>
      <c r="DEK527" s="1358"/>
      <c r="DEL527" s="1358"/>
      <c r="DEM527" s="1358"/>
      <c r="DEN527" s="1358"/>
      <c r="DEO527" s="1358"/>
      <c r="DEP527" s="1358"/>
      <c r="DEQ527" s="1358"/>
      <c r="DER527" s="1358"/>
      <c r="DES527" s="1358"/>
      <c r="DET527" s="1358"/>
      <c r="DEU527" s="1358"/>
      <c r="DEV527" s="1358"/>
      <c r="DEW527" s="1358"/>
      <c r="DEX527" s="1358"/>
      <c r="DEY527" s="1358"/>
      <c r="DEZ527" s="1358"/>
      <c r="DFA527" s="1358"/>
      <c r="DFB527" s="1358"/>
      <c r="DFC527" s="1358"/>
      <c r="DFD527" s="1358"/>
      <c r="DFE527" s="1358"/>
      <c r="DFF527" s="1358"/>
      <c r="DFG527" s="1358"/>
      <c r="DFH527" s="1358"/>
      <c r="DFI527" s="1358"/>
      <c r="DFJ527" s="1358"/>
      <c r="DFK527" s="1358"/>
      <c r="DFL527" s="1358"/>
      <c r="DFM527" s="1358"/>
      <c r="DFN527" s="1358"/>
      <c r="DFO527" s="1358"/>
      <c r="DFP527" s="1358"/>
      <c r="DFQ527" s="1358"/>
      <c r="DFR527" s="1358"/>
      <c r="DFS527" s="1358"/>
      <c r="DFT527" s="1358"/>
      <c r="DFU527" s="1358"/>
      <c r="DFV527" s="1358"/>
      <c r="DFW527" s="1358"/>
      <c r="DFX527" s="1358"/>
      <c r="DFY527" s="1358"/>
      <c r="DFZ527" s="1358"/>
      <c r="DGA527" s="1358"/>
      <c r="DGB527" s="1358"/>
      <c r="DGC527" s="1358"/>
      <c r="DGD527" s="1358"/>
      <c r="DGE527" s="1358"/>
      <c r="DGF527" s="1358"/>
      <c r="DGG527" s="1358"/>
      <c r="DGH527" s="1358"/>
      <c r="DGI527" s="1358"/>
      <c r="DGJ527" s="1358"/>
      <c r="DGK527" s="1358"/>
      <c r="DGL527" s="1358"/>
      <c r="DGM527" s="1358"/>
      <c r="DGN527" s="1358"/>
      <c r="DGO527" s="1358"/>
      <c r="DGP527" s="1358"/>
      <c r="DGQ527" s="1358"/>
      <c r="DGR527" s="1358"/>
      <c r="DGS527" s="1358"/>
      <c r="DGT527" s="1358"/>
      <c r="DGU527" s="1358"/>
      <c r="DGV527" s="1358"/>
      <c r="DGW527" s="1358"/>
      <c r="DGX527" s="1358"/>
      <c r="DGY527" s="1358"/>
      <c r="DGZ527" s="1358"/>
      <c r="DHA527" s="1358"/>
      <c r="DHB527" s="1358"/>
      <c r="DHC527" s="1358"/>
      <c r="DHD527" s="1358"/>
      <c r="DHE527" s="1358"/>
      <c r="DHF527" s="1358"/>
      <c r="DHG527" s="1358"/>
      <c r="DHH527" s="1358"/>
      <c r="DHI527" s="1358"/>
      <c r="DHJ527" s="1358"/>
      <c r="DHK527" s="1358"/>
      <c r="DHL527" s="1358"/>
      <c r="DHM527" s="1358"/>
      <c r="DHN527" s="1358"/>
      <c r="DHO527" s="1358"/>
      <c r="DHP527" s="1358"/>
      <c r="DHQ527" s="1358"/>
      <c r="DHR527" s="1358"/>
      <c r="DHS527" s="1358"/>
      <c r="DHT527" s="1358"/>
      <c r="DHU527" s="1358"/>
      <c r="DHV527" s="1358"/>
      <c r="DHW527" s="1358"/>
      <c r="DHX527" s="1358"/>
      <c r="DHY527" s="1358"/>
      <c r="DHZ527" s="1358"/>
      <c r="DIA527" s="1358"/>
      <c r="DIB527" s="1358"/>
      <c r="DIC527" s="1358"/>
      <c r="DID527" s="1358"/>
      <c r="DIE527" s="1358"/>
      <c r="DIF527" s="1358"/>
      <c r="DIG527" s="1358"/>
      <c r="DIH527" s="1358"/>
      <c r="DII527" s="1358"/>
      <c r="DIJ527" s="1358"/>
      <c r="DIK527" s="1358"/>
      <c r="DIL527" s="1358"/>
      <c r="DIM527" s="1358"/>
      <c r="DIN527" s="1358"/>
      <c r="DIO527" s="1358"/>
      <c r="DIP527" s="1358"/>
      <c r="DIQ527" s="1358"/>
      <c r="DIR527" s="1358"/>
      <c r="DIS527" s="1358"/>
      <c r="DIT527" s="1358"/>
      <c r="DIU527" s="1358"/>
      <c r="DIV527" s="1358"/>
      <c r="DIW527" s="1358"/>
      <c r="DIX527" s="1358"/>
      <c r="DIY527" s="1358"/>
      <c r="DIZ527" s="1358"/>
      <c r="DJA527" s="1358"/>
      <c r="DJB527" s="1358"/>
      <c r="DJC527" s="1358"/>
      <c r="DJD527" s="1358"/>
      <c r="DJE527" s="1358"/>
      <c r="DJF527" s="1358"/>
      <c r="DJG527" s="1358"/>
      <c r="DJH527" s="1358"/>
      <c r="DJI527" s="1358"/>
      <c r="DJJ527" s="1358"/>
      <c r="DJK527" s="1358"/>
      <c r="DJL527" s="1358"/>
      <c r="DJM527" s="1358"/>
      <c r="DJN527" s="1358"/>
      <c r="DJO527" s="1358"/>
      <c r="DJP527" s="1358"/>
      <c r="DJQ527" s="1358"/>
      <c r="DJR527" s="1358"/>
      <c r="DJS527" s="1358"/>
      <c r="DJT527" s="1358"/>
      <c r="DJU527" s="1358"/>
      <c r="DJV527" s="1358"/>
      <c r="DJW527" s="1358"/>
      <c r="DJX527" s="1358"/>
      <c r="DJY527" s="1358"/>
      <c r="DJZ527" s="1358"/>
      <c r="DKA527" s="1358"/>
      <c r="DKB527" s="1358"/>
      <c r="DKC527" s="1358"/>
      <c r="DKD527" s="1358"/>
      <c r="DKE527" s="1358"/>
      <c r="DKF527" s="1358"/>
      <c r="DKG527" s="1358"/>
      <c r="DKH527" s="1358"/>
      <c r="DKI527" s="1358"/>
      <c r="DKJ527" s="1358"/>
      <c r="DKK527" s="1358"/>
      <c r="DKL527" s="1358"/>
      <c r="DKM527" s="1358"/>
      <c r="DKN527" s="1358"/>
      <c r="DKO527" s="1358"/>
      <c r="DKP527" s="1358"/>
      <c r="DKQ527" s="1358"/>
      <c r="DKR527" s="1358"/>
      <c r="DKS527" s="1358"/>
      <c r="DKT527" s="1358"/>
      <c r="DKU527" s="1358"/>
      <c r="DKV527" s="1358"/>
      <c r="DKW527" s="1358"/>
      <c r="DKX527" s="1358"/>
      <c r="DKY527" s="1358"/>
      <c r="DKZ527" s="1358"/>
      <c r="DLA527" s="1358"/>
      <c r="DLB527" s="1358"/>
      <c r="DLC527" s="1358"/>
      <c r="DLD527" s="1358"/>
      <c r="DLE527" s="1358"/>
      <c r="DLF527" s="1358"/>
      <c r="DLG527" s="1358"/>
      <c r="DLH527" s="1358"/>
      <c r="DLI527" s="1358"/>
      <c r="DLJ527" s="1358"/>
      <c r="DLK527" s="1358"/>
      <c r="DLL527" s="1358"/>
      <c r="DLM527" s="1358"/>
      <c r="DLN527" s="1358"/>
      <c r="DLO527" s="1358"/>
      <c r="DLP527" s="1358"/>
      <c r="DLQ527" s="1358"/>
      <c r="DLR527" s="1358"/>
      <c r="DLS527" s="1358"/>
      <c r="DLT527" s="1358"/>
      <c r="DLU527" s="1358"/>
      <c r="DLV527" s="1358"/>
      <c r="DLW527" s="1358"/>
      <c r="DLX527" s="1358"/>
      <c r="DLY527" s="1358"/>
      <c r="DLZ527" s="1358"/>
      <c r="DMA527" s="1358"/>
      <c r="DMB527" s="1358"/>
      <c r="DMC527" s="1358"/>
      <c r="DMD527" s="1358"/>
      <c r="DME527" s="1358"/>
      <c r="DMF527" s="1358"/>
      <c r="DMG527" s="1358"/>
      <c r="DMH527" s="1358"/>
      <c r="DMI527" s="1358"/>
      <c r="DMJ527" s="1358"/>
      <c r="DMK527" s="1358"/>
      <c r="DML527" s="1358"/>
      <c r="DMM527" s="1358"/>
      <c r="DMN527" s="1358"/>
      <c r="DMO527" s="1358"/>
      <c r="DMP527" s="1358"/>
      <c r="DMQ527" s="1358"/>
      <c r="DMR527" s="1358"/>
      <c r="DMS527" s="1358"/>
      <c r="DMT527" s="1358"/>
      <c r="DMU527" s="1358"/>
      <c r="DMV527" s="1358"/>
      <c r="DMW527" s="1358"/>
      <c r="DMX527" s="1358"/>
      <c r="DMY527" s="1358"/>
      <c r="DMZ527" s="1358"/>
      <c r="DNA527" s="1358"/>
      <c r="DNB527" s="1358"/>
      <c r="DNC527" s="1358"/>
      <c r="DND527" s="1358"/>
      <c r="DNE527" s="1358"/>
      <c r="DNF527" s="1358"/>
      <c r="DNG527" s="1358"/>
      <c r="DNH527" s="1358"/>
      <c r="DNI527" s="1358"/>
      <c r="DNJ527" s="1358"/>
      <c r="DNK527" s="1358"/>
      <c r="DNL527" s="1358"/>
      <c r="DNM527" s="1358"/>
      <c r="DNN527" s="1358"/>
      <c r="DNO527" s="1358"/>
      <c r="DNP527" s="1358"/>
      <c r="DNQ527" s="1358"/>
      <c r="DNR527" s="1358"/>
      <c r="DNS527" s="1358"/>
      <c r="DNT527" s="1358"/>
      <c r="DNU527" s="1358"/>
      <c r="DNV527" s="1358"/>
      <c r="DNW527" s="1358"/>
      <c r="DNX527" s="1358"/>
      <c r="DNY527" s="1358"/>
      <c r="DNZ527" s="1358"/>
      <c r="DOA527" s="1358"/>
      <c r="DOB527" s="1358"/>
      <c r="DOC527" s="1358"/>
      <c r="DOD527" s="1358"/>
      <c r="DOE527" s="1358"/>
      <c r="DOF527" s="1358"/>
      <c r="DOG527" s="1358"/>
      <c r="DOH527" s="1358"/>
      <c r="DOI527" s="1358"/>
      <c r="DOJ527" s="1358"/>
      <c r="DOK527" s="1358"/>
      <c r="DOL527" s="1358"/>
      <c r="DOM527" s="1358"/>
      <c r="DON527" s="1358"/>
      <c r="DOO527" s="1358"/>
      <c r="DOP527" s="1358"/>
      <c r="DOQ527" s="1358"/>
      <c r="DOR527" s="1358"/>
      <c r="DOS527" s="1358"/>
      <c r="DOT527" s="1358"/>
      <c r="DOU527" s="1358"/>
      <c r="DOV527" s="1358"/>
      <c r="DOW527" s="1358"/>
      <c r="DOX527" s="1358"/>
      <c r="DOY527" s="1358"/>
      <c r="DOZ527" s="1358"/>
      <c r="DPA527" s="1358"/>
      <c r="DPB527" s="1358"/>
      <c r="DPC527" s="1358"/>
      <c r="DPD527" s="1358"/>
      <c r="DPE527" s="1358"/>
      <c r="DPF527" s="1358"/>
      <c r="DPG527" s="1358"/>
      <c r="DPH527" s="1358"/>
      <c r="DPI527" s="1358"/>
      <c r="DPJ527" s="1358"/>
      <c r="DPK527" s="1358"/>
      <c r="DPL527" s="1358"/>
      <c r="DPM527" s="1358"/>
      <c r="DPN527" s="1358"/>
      <c r="DPO527" s="1358"/>
      <c r="DPP527" s="1358"/>
      <c r="DPQ527" s="1358"/>
      <c r="DPR527" s="1358"/>
      <c r="DPS527" s="1358"/>
      <c r="DPT527" s="1358"/>
      <c r="DPU527" s="1358"/>
      <c r="DPV527" s="1358"/>
      <c r="DPW527" s="1358"/>
      <c r="DPX527" s="1358"/>
      <c r="DPY527" s="1358"/>
      <c r="DPZ527" s="1358"/>
      <c r="DQA527" s="1358"/>
      <c r="DQB527" s="1358"/>
      <c r="DQC527" s="1358"/>
      <c r="DQD527" s="1358"/>
      <c r="DQE527" s="1358"/>
      <c r="DQF527" s="1358"/>
      <c r="DQG527" s="1358"/>
      <c r="DQH527" s="1358"/>
      <c r="DQI527" s="1358"/>
      <c r="DQJ527" s="1358"/>
      <c r="DQK527" s="1358"/>
      <c r="DQL527" s="1358"/>
      <c r="DQM527" s="1358"/>
      <c r="DQN527" s="1358"/>
      <c r="DQO527" s="1358"/>
      <c r="DQP527" s="1358"/>
      <c r="DQQ527" s="1358"/>
      <c r="DQR527" s="1358"/>
      <c r="DQS527" s="1358"/>
      <c r="DQT527" s="1358"/>
      <c r="DQU527" s="1358"/>
      <c r="DQV527" s="1358"/>
      <c r="DQW527" s="1358"/>
      <c r="DQX527" s="1358"/>
      <c r="DQY527" s="1358"/>
      <c r="DQZ527" s="1358"/>
      <c r="DRA527" s="1358"/>
      <c r="DRB527" s="1358"/>
      <c r="DRC527" s="1358"/>
      <c r="DRD527" s="1358"/>
      <c r="DRE527" s="1358"/>
      <c r="DRF527" s="1358"/>
      <c r="DRG527" s="1358"/>
      <c r="DRH527" s="1358"/>
      <c r="DRI527" s="1358"/>
      <c r="DRJ527" s="1358"/>
      <c r="DRK527" s="1358"/>
      <c r="DRL527" s="1358"/>
      <c r="DRM527" s="1358"/>
      <c r="DRN527" s="1358"/>
      <c r="DRO527" s="1358"/>
      <c r="DRP527" s="1358"/>
      <c r="DRQ527" s="1358"/>
      <c r="DRR527" s="1358"/>
      <c r="DRS527" s="1358"/>
      <c r="DRT527" s="1358"/>
      <c r="DRU527" s="1358"/>
      <c r="DRV527" s="1358"/>
      <c r="DRW527" s="1358"/>
      <c r="DRX527" s="1358"/>
      <c r="DRY527" s="1358"/>
      <c r="DRZ527" s="1358"/>
      <c r="DSA527" s="1358"/>
      <c r="DSB527" s="1358"/>
      <c r="DSC527" s="1358"/>
      <c r="DSD527" s="1358"/>
      <c r="DSE527" s="1358"/>
      <c r="DSF527" s="1358"/>
      <c r="DSG527" s="1358"/>
      <c r="DSH527" s="1358"/>
      <c r="DSI527" s="1358"/>
      <c r="DSJ527" s="1358"/>
      <c r="DSK527" s="1358"/>
      <c r="DSL527" s="1358"/>
      <c r="DSM527" s="1358"/>
      <c r="DSN527" s="1358"/>
      <c r="DSO527" s="1358"/>
      <c r="DSP527" s="1358"/>
      <c r="DSQ527" s="1358"/>
      <c r="DSR527" s="1358"/>
      <c r="DSS527" s="1358"/>
      <c r="DST527" s="1358"/>
      <c r="DSU527" s="1358"/>
      <c r="DSV527" s="1358"/>
      <c r="DSW527" s="1358"/>
      <c r="DSX527" s="1358"/>
      <c r="DSY527" s="1358"/>
      <c r="DSZ527" s="1358"/>
      <c r="DTA527" s="1358"/>
      <c r="DTB527" s="1358"/>
      <c r="DTC527" s="1358"/>
      <c r="DTD527" s="1358"/>
      <c r="DTE527" s="1358"/>
      <c r="DTF527" s="1358"/>
      <c r="DTG527" s="1358"/>
      <c r="DTH527" s="1358"/>
      <c r="DTI527" s="1358"/>
      <c r="DTJ527" s="1358"/>
      <c r="DTK527" s="1358"/>
      <c r="DTL527" s="1358"/>
      <c r="DTM527" s="1358"/>
      <c r="DTN527" s="1358"/>
      <c r="DTO527" s="1358"/>
      <c r="DTP527" s="1358"/>
      <c r="DTQ527" s="1358"/>
      <c r="DTR527" s="1358"/>
      <c r="DTS527" s="1358"/>
      <c r="DTT527" s="1358"/>
      <c r="DTU527" s="1358"/>
      <c r="DTV527" s="1358"/>
      <c r="DTW527" s="1358"/>
      <c r="DTX527" s="1358"/>
      <c r="DTY527" s="1358"/>
      <c r="DTZ527" s="1358"/>
      <c r="DUA527" s="1358"/>
      <c r="DUB527" s="1358"/>
      <c r="DUC527" s="1358"/>
      <c r="DUD527" s="1358"/>
      <c r="DUE527" s="1358"/>
      <c r="DUF527" s="1358"/>
      <c r="DUG527" s="1358"/>
      <c r="DUH527" s="1358"/>
      <c r="DUI527" s="1358"/>
      <c r="DUJ527" s="1358"/>
      <c r="DUK527" s="1358"/>
      <c r="DUL527" s="1358"/>
      <c r="DUM527" s="1358"/>
      <c r="DUN527" s="1358"/>
      <c r="DUO527" s="1358"/>
      <c r="DUP527" s="1358"/>
      <c r="DUQ527" s="1358"/>
      <c r="DUR527" s="1358"/>
      <c r="DUS527" s="1358"/>
      <c r="DUT527" s="1358"/>
      <c r="DUU527" s="1358"/>
      <c r="DUV527" s="1358"/>
      <c r="DUW527" s="1358"/>
      <c r="DUX527" s="1358"/>
      <c r="DUY527" s="1358"/>
      <c r="DUZ527" s="1358"/>
      <c r="DVA527" s="1358"/>
      <c r="DVB527" s="1358"/>
      <c r="DVC527" s="1358"/>
      <c r="DVD527" s="1358"/>
      <c r="DVE527" s="1358"/>
      <c r="DVF527" s="1358"/>
      <c r="DVG527" s="1358"/>
      <c r="DVH527" s="1358"/>
      <c r="DVI527" s="1358"/>
      <c r="DVJ527" s="1358"/>
      <c r="DVK527" s="1358"/>
      <c r="DVL527" s="1358"/>
      <c r="DVM527" s="1358"/>
      <c r="DVN527" s="1358"/>
      <c r="DVO527" s="1358"/>
      <c r="DVP527" s="1358"/>
      <c r="DVQ527" s="1358"/>
      <c r="DVR527" s="1358"/>
      <c r="DVS527" s="1358"/>
      <c r="DVT527" s="1358"/>
      <c r="DVU527" s="1358"/>
      <c r="DVV527" s="1358"/>
      <c r="DVW527" s="1358"/>
      <c r="DVX527" s="1358"/>
      <c r="DVY527" s="1358"/>
      <c r="DVZ527" s="1358"/>
      <c r="DWA527" s="1358"/>
      <c r="DWB527" s="1358"/>
      <c r="DWC527" s="1358"/>
      <c r="DWD527" s="1358"/>
      <c r="DWE527" s="1358"/>
      <c r="DWF527" s="1358"/>
      <c r="DWG527" s="1358"/>
      <c r="DWH527" s="1358"/>
      <c r="DWI527" s="1358"/>
      <c r="DWJ527" s="1358"/>
      <c r="DWK527" s="1358"/>
      <c r="DWL527" s="1358"/>
      <c r="DWM527" s="1358"/>
      <c r="DWN527" s="1358"/>
      <c r="DWO527" s="1358"/>
      <c r="DWP527" s="1358"/>
      <c r="DWQ527" s="1358"/>
      <c r="DWR527" s="1358"/>
      <c r="DWS527" s="1358"/>
      <c r="DWT527" s="1358"/>
      <c r="DWU527" s="1358"/>
      <c r="DWV527" s="1358"/>
      <c r="DWW527" s="1358"/>
      <c r="DWX527" s="1358"/>
      <c r="DWY527" s="1358"/>
      <c r="DWZ527" s="1358"/>
      <c r="DXA527" s="1358"/>
      <c r="DXB527" s="1358"/>
      <c r="DXC527" s="1358"/>
      <c r="DXD527" s="1358"/>
      <c r="DXE527" s="1358"/>
      <c r="DXF527" s="1358"/>
      <c r="DXG527" s="1358"/>
      <c r="DXH527" s="1358"/>
      <c r="DXI527" s="1358"/>
      <c r="DXJ527" s="1358"/>
      <c r="DXK527" s="1358"/>
      <c r="DXL527" s="1358"/>
      <c r="DXM527" s="1358"/>
      <c r="DXN527" s="1358"/>
      <c r="DXO527" s="1358"/>
      <c r="DXP527" s="1358"/>
      <c r="DXQ527" s="1358"/>
      <c r="DXR527" s="1358"/>
      <c r="DXS527" s="1358"/>
      <c r="DXT527" s="1358"/>
      <c r="DXU527" s="1358"/>
      <c r="DXV527" s="1358"/>
      <c r="DXW527" s="1358"/>
      <c r="DXX527" s="1358"/>
      <c r="DXY527" s="1358"/>
      <c r="DXZ527" s="1358"/>
      <c r="DYA527" s="1358"/>
      <c r="DYB527" s="1358"/>
      <c r="DYC527" s="1358"/>
      <c r="DYD527" s="1358"/>
      <c r="DYE527" s="1358"/>
      <c r="DYF527" s="1358"/>
      <c r="DYG527" s="1358"/>
      <c r="DYH527" s="1358"/>
      <c r="DYI527" s="1358"/>
      <c r="DYJ527" s="1358"/>
      <c r="DYK527" s="1358"/>
      <c r="DYL527" s="1358"/>
      <c r="DYM527" s="1358"/>
      <c r="DYN527" s="1358"/>
      <c r="DYO527" s="1358"/>
      <c r="DYP527" s="1358"/>
      <c r="DYQ527" s="1358"/>
      <c r="DYR527" s="1358"/>
      <c r="DYS527" s="1358"/>
      <c r="DYT527" s="1358"/>
      <c r="DYU527" s="1358"/>
      <c r="DYV527" s="1358"/>
      <c r="DYW527" s="1358"/>
      <c r="DYX527" s="1358"/>
      <c r="DYY527" s="1358"/>
      <c r="DYZ527" s="1358"/>
      <c r="DZA527" s="1358"/>
      <c r="DZB527" s="1358"/>
      <c r="DZC527" s="1358"/>
      <c r="DZD527" s="1358"/>
      <c r="DZE527" s="1358"/>
      <c r="DZF527" s="1358"/>
      <c r="DZG527" s="1358"/>
      <c r="DZH527" s="1358"/>
      <c r="DZI527" s="1358"/>
      <c r="DZJ527" s="1358"/>
      <c r="DZK527" s="1358"/>
      <c r="DZL527" s="1358"/>
      <c r="DZM527" s="1358"/>
      <c r="DZN527" s="1358"/>
      <c r="DZO527" s="1358"/>
      <c r="DZP527" s="1358"/>
      <c r="DZQ527" s="1358"/>
      <c r="DZR527" s="1358"/>
      <c r="DZS527" s="1358"/>
      <c r="DZT527" s="1358"/>
      <c r="DZU527" s="1358"/>
      <c r="DZV527" s="1358"/>
      <c r="DZW527" s="1358"/>
      <c r="DZX527" s="1358"/>
      <c r="DZY527" s="1358"/>
      <c r="DZZ527" s="1358"/>
      <c r="EAA527" s="1358"/>
      <c r="EAB527" s="1358"/>
      <c r="EAC527" s="1358"/>
      <c r="EAD527" s="1358"/>
      <c r="EAE527" s="1358"/>
      <c r="EAF527" s="1358"/>
      <c r="EAG527" s="1358"/>
      <c r="EAH527" s="1358"/>
      <c r="EAI527" s="1358"/>
      <c r="EAJ527" s="1358"/>
      <c r="EAK527" s="1358"/>
      <c r="EAL527" s="1358"/>
      <c r="EAM527" s="1358"/>
      <c r="EAN527" s="1358"/>
      <c r="EAO527" s="1358"/>
      <c r="EAP527" s="1358"/>
      <c r="EAQ527" s="1358"/>
      <c r="EAR527" s="1358"/>
      <c r="EAS527" s="1358"/>
      <c r="EAT527" s="1358"/>
      <c r="EAU527" s="1358"/>
      <c r="EAV527" s="1358"/>
      <c r="EAW527" s="1358"/>
      <c r="EAX527" s="1358"/>
      <c r="EAY527" s="1358"/>
      <c r="EAZ527" s="1358"/>
      <c r="EBA527" s="1358"/>
      <c r="EBB527" s="1358"/>
      <c r="EBC527" s="1358"/>
      <c r="EBD527" s="1358"/>
      <c r="EBE527" s="1358"/>
      <c r="EBF527" s="1358"/>
      <c r="EBG527" s="1358"/>
      <c r="EBH527" s="1358"/>
      <c r="EBI527" s="1358"/>
      <c r="EBJ527" s="1358"/>
      <c r="EBK527" s="1358"/>
      <c r="EBL527" s="1358"/>
      <c r="EBM527" s="1358"/>
      <c r="EBN527" s="1358"/>
      <c r="EBO527" s="1358"/>
      <c r="EBP527" s="1358"/>
      <c r="EBQ527" s="1358"/>
      <c r="EBR527" s="1358"/>
      <c r="EBS527" s="1358"/>
      <c r="EBT527" s="1358"/>
      <c r="EBU527" s="1358"/>
      <c r="EBV527" s="1358"/>
      <c r="EBW527" s="1358"/>
      <c r="EBX527" s="1358"/>
      <c r="EBY527" s="1358"/>
      <c r="EBZ527" s="1358"/>
      <c r="ECA527" s="1358"/>
      <c r="ECB527" s="1358"/>
      <c r="ECC527" s="1358"/>
      <c r="ECD527" s="1358"/>
      <c r="ECE527" s="1358"/>
      <c r="ECF527" s="1358"/>
      <c r="ECG527" s="1358"/>
      <c r="ECH527" s="1358"/>
      <c r="ECI527" s="1358"/>
      <c r="ECJ527" s="1358"/>
      <c r="ECK527" s="1358"/>
      <c r="ECL527" s="1358"/>
      <c r="ECM527" s="1358"/>
      <c r="ECN527" s="1358"/>
      <c r="ECO527" s="1358"/>
      <c r="ECP527" s="1358"/>
      <c r="ECQ527" s="1358"/>
      <c r="ECR527" s="1358"/>
      <c r="ECS527" s="1358"/>
      <c r="ECT527" s="1358"/>
      <c r="ECU527" s="1358"/>
      <c r="ECV527" s="1358"/>
      <c r="ECW527" s="1358"/>
      <c r="ECX527" s="1358"/>
      <c r="ECY527" s="1358"/>
      <c r="ECZ527" s="1358"/>
      <c r="EDA527" s="1358"/>
      <c r="EDB527" s="1358"/>
      <c r="EDC527" s="1358"/>
      <c r="EDD527" s="1358"/>
      <c r="EDE527" s="1358"/>
      <c r="EDF527" s="1358"/>
      <c r="EDG527" s="1358"/>
      <c r="EDH527" s="1358"/>
      <c r="EDI527" s="1358"/>
      <c r="EDJ527" s="1358"/>
      <c r="EDK527" s="1358"/>
      <c r="EDL527" s="1358"/>
      <c r="EDM527" s="1358"/>
      <c r="EDN527" s="1358"/>
      <c r="EDO527" s="1358"/>
      <c r="EDP527" s="1358"/>
      <c r="EDQ527" s="1358"/>
      <c r="EDR527" s="1358"/>
      <c r="EDS527" s="1358"/>
      <c r="EDT527" s="1358"/>
      <c r="EDU527" s="1358"/>
      <c r="EDV527" s="1358"/>
      <c r="EDW527" s="1358"/>
      <c r="EDX527" s="1358"/>
      <c r="EDY527" s="1358"/>
      <c r="EDZ527" s="1358"/>
      <c r="EEA527" s="1358"/>
      <c r="EEB527" s="1358"/>
      <c r="EEC527" s="1358"/>
      <c r="EED527" s="1358"/>
      <c r="EEE527" s="1358"/>
      <c r="EEF527" s="1358"/>
      <c r="EEG527" s="1358"/>
      <c r="EEH527" s="1358"/>
      <c r="EEI527" s="1358"/>
      <c r="EEJ527" s="1358"/>
      <c r="EEK527" s="1358"/>
      <c r="EEL527" s="1358"/>
      <c r="EEM527" s="1358"/>
      <c r="EEN527" s="1358"/>
      <c r="EEO527" s="1358"/>
      <c r="EEP527" s="1358"/>
      <c r="EEQ527" s="1358"/>
      <c r="EER527" s="1358"/>
      <c r="EES527" s="1358"/>
      <c r="EET527" s="1358"/>
      <c r="EEU527" s="1358"/>
      <c r="EEV527" s="1358"/>
      <c r="EEW527" s="1358"/>
      <c r="EEX527" s="1358"/>
      <c r="EEY527" s="1358"/>
      <c r="EEZ527" s="1358"/>
      <c r="EFA527" s="1358"/>
      <c r="EFB527" s="1358"/>
      <c r="EFC527" s="1358"/>
      <c r="EFD527" s="1358"/>
      <c r="EFE527" s="1358"/>
      <c r="EFF527" s="1358"/>
      <c r="EFG527" s="1358"/>
      <c r="EFH527" s="1358"/>
      <c r="EFI527" s="1358"/>
      <c r="EFJ527" s="1358"/>
      <c r="EFK527" s="1358"/>
      <c r="EFL527" s="1358"/>
      <c r="EFM527" s="1358"/>
      <c r="EFN527" s="1358"/>
      <c r="EFO527" s="1358"/>
      <c r="EFP527" s="1358"/>
      <c r="EFQ527" s="1358"/>
      <c r="EFR527" s="1358"/>
      <c r="EFS527" s="1358"/>
      <c r="EFT527" s="1358"/>
      <c r="EFU527" s="1358"/>
      <c r="EFV527" s="1358"/>
      <c r="EFW527" s="1358"/>
      <c r="EFX527" s="1358"/>
      <c r="EFY527" s="1358"/>
      <c r="EFZ527" s="1358"/>
      <c r="EGA527" s="1358"/>
      <c r="EGB527" s="1358"/>
      <c r="EGC527" s="1358"/>
      <c r="EGD527" s="1358"/>
      <c r="EGE527" s="1358"/>
      <c r="EGF527" s="1358"/>
      <c r="EGG527" s="1358"/>
      <c r="EGH527" s="1358"/>
      <c r="EGI527" s="1358"/>
      <c r="EGJ527" s="1358"/>
      <c r="EGK527" s="1358"/>
      <c r="EGL527" s="1358"/>
      <c r="EGM527" s="1358"/>
      <c r="EGN527" s="1358"/>
      <c r="EGO527" s="1358"/>
      <c r="EGP527" s="1358"/>
      <c r="EGQ527" s="1358"/>
      <c r="EGR527" s="1358"/>
      <c r="EGS527" s="1358"/>
      <c r="EGT527" s="1358"/>
      <c r="EGU527" s="1358"/>
      <c r="EGV527" s="1358"/>
      <c r="EGW527" s="1358"/>
      <c r="EGX527" s="1358"/>
      <c r="EGY527" s="1358"/>
      <c r="EGZ527" s="1358"/>
      <c r="EHA527" s="1358"/>
      <c r="EHB527" s="1358"/>
      <c r="EHC527" s="1358"/>
      <c r="EHD527" s="1358"/>
      <c r="EHE527" s="1358"/>
      <c r="EHF527" s="1358"/>
      <c r="EHG527" s="1358"/>
      <c r="EHH527" s="1358"/>
      <c r="EHI527" s="1358"/>
      <c r="EHJ527" s="1358"/>
      <c r="EHK527" s="1358"/>
      <c r="EHL527" s="1358"/>
      <c r="EHM527" s="1358"/>
      <c r="EHN527" s="1358"/>
      <c r="EHO527" s="1358"/>
      <c r="EHP527" s="1358"/>
      <c r="EHQ527" s="1358"/>
      <c r="EHR527" s="1358"/>
      <c r="EHS527" s="1358"/>
      <c r="EHT527" s="1358"/>
      <c r="EHU527" s="1358"/>
      <c r="EHV527" s="1358"/>
      <c r="EHW527" s="1358"/>
      <c r="EHX527" s="1358"/>
      <c r="EHY527" s="1358"/>
      <c r="EHZ527" s="1358"/>
      <c r="EIA527" s="1358"/>
      <c r="EIB527" s="1358"/>
      <c r="EIC527" s="1358"/>
      <c r="EID527" s="1358"/>
      <c r="EIE527" s="1358"/>
      <c r="EIF527" s="1358"/>
      <c r="EIG527" s="1358"/>
      <c r="EIH527" s="1358"/>
      <c r="EII527" s="1358"/>
      <c r="EIJ527" s="1358"/>
      <c r="EIK527" s="1358"/>
      <c r="EIL527" s="1358"/>
      <c r="EIM527" s="1358"/>
      <c r="EIN527" s="1358"/>
      <c r="EIO527" s="1358"/>
      <c r="EIP527" s="1358"/>
      <c r="EIQ527" s="1358"/>
      <c r="EIR527" s="1358"/>
      <c r="EIS527" s="1358"/>
      <c r="EIT527" s="1358"/>
      <c r="EIU527" s="1358"/>
      <c r="EIV527" s="1358"/>
      <c r="EIW527" s="1358"/>
      <c r="EIX527" s="1358"/>
      <c r="EIY527" s="1358"/>
      <c r="EIZ527" s="1358"/>
      <c r="EJA527" s="1358"/>
      <c r="EJB527" s="1358"/>
      <c r="EJC527" s="1358"/>
      <c r="EJD527" s="1358"/>
      <c r="EJE527" s="1358"/>
      <c r="EJF527" s="1358"/>
      <c r="EJG527" s="1358"/>
      <c r="EJH527" s="1358"/>
      <c r="EJI527" s="1358"/>
      <c r="EJJ527" s="1358"/>
      <c r="EJK527" s="1358"/>
      <c r="EJL527" s="1358"/>
      <c r="EJM527" s="1358"/>
      <c r="EJN527" s="1358"/>
      <c r="EJO527" s="1358"/>
      <c r="EJP527" s="1358"/>
      <c r="EJQ527" s="1358"/>
      <c r="EJR527" s="1358"/>
      <c r="EJS527" s="1358"/>
      <c r="EJT527" s="1358"/>
      <c r="EJU527" s="1358"/>
      <c r="EJV527" s="1358"/>
      <c r="EJW527" s="1358"/>
      <c r="EJX527" s="1358"/>
      <c r="EJY527" s="1358"/>
      <c r="EJZ527" s="1358"/>
      <c r="EKA527" s="1358"/>
      <c r="EKB527" s="1358"/>
      <c r="EKC527" s="1358"/>
      <c r="EKD527" s="1358"/>
      <c r="EKE527" s="1358"/>
      <c r="EKF527" s="1358"/>
      <c r="EKG527" s="1358"/>
      <c r="EKH527" s="1358"/>
      <c r="EKI527" s="1358"/>
      <c r="EKJ527" s="1358"/>
      <c r="EKK527" s="1358"/>
      <c r="EKL527" s="1358"/>
      <c r="EKM527" s="1358"/>
      <c r="EKN527" s="1358"/>
      <c r="EKO527" s="1358"/>
      <c r="EKP527" s="1358"/>
      <c r="EKQ527" s="1358"/>
      <c r="EKR527" s="1358"/>
      <c r="EKS527" s="1358"/>
      <c r="EKT527" s="1358"/>
      <c r="EKU527" s="1358"/>
      <c r="EKV527" s="1358"/>
      <c r="EKW527" s="1358"/>
      <c r="EKX527" s="1358"/>
      <c r="EKY527" s="1358"/>
      <c r="EKZ527" s="1358"/>
      <c r="ELA527" s="1358"/>
      <c r="ELB527" s="1358"/>
      <c r="ELC527" s="1358"/>
      <c r="ELD527" s="1358"/>
      <c r="ELE527" s="1358"/>
      <c r="ELF527" s="1358"/>
      <c r="ELG527" s="1358"/>
      <c r="ELH527" s="1358"/>
      <c r="ELI527" s="1358"/>
      <c r="ELJ527" s="1358"/>
      <c r="ELK527" s="1358"/>
      <c r="ELL527" s="1358"/>
      <c r="ELM527" s="1358"/>
      <c r="ELN527" s="1358"/>
      <c r="ELO527" s="1358"/>
      <c r="ELP527" s="1358"/>
      <c r="ELQ527" s="1358"/>
      <c r="ELR527" s="1358"/>
      <c r="ELS527" s="1358"/>
      <c r="ELT527" s="1358"/>
      <c r="ELU527" s="1358"/>
      <c r="ELV527" s="1358"/>
      <c r="ELW527" s="1358"/>
      <c r="ELX527" s="1358"/>
      <c r="ELY527" s="1358"/>
      <c r="ELZ527" s="1358"/>
      <c r="EMA527" s="1358"/>
      <c r="EMB527" s="1358"/>
      <c r="EMC527" s="1358"/>
      <c r="EMD527" s="1358"/>
      <c r="EME527" s="1358"/>
      <c r="EMF527" s="1358"/>
      <c r="EMG527" s="1358"/>
      <c r="EMH527" s="1358"/>
      <c r="EMI527" s="1358"/>
      <c r="EMJ527" s="1358"/>
      <c r="EMK527" s="1358"/>
      <c r="EML527" s="1358"/>
      <c r="EMM527" s="1358"/>
      <c r="EMN527" s="1358"/>
      <c r="EMO527" s="1358"/>
      <c r="EMP527" s="1358"/>
      <c r="EMQ527" s="1358"/>
      <c r="EMR527" s="1358"/>
      <c r="EMS527" s="1358"/>
      <c r="EMT527" s="1358"/>
      <c r="EMU527" s="1358"/>
      <c r="EMV527" s="1358"/>
      <c r="EMW527" s="1358"/>
      <c r="EMX527" s="1358"/>
      <c r="EMY527" s="1358"/>
      <c r="EMZ527" s="1358"/>
      <c r="ENA527" s="1358"/>
      <c r="ENB527" s="1358"/>
      <c r="ENC527" s="1358"/>
      <c r="END527" s="1358"/>
      <c r="ENE527" s="1358"/>
      <c r="ENF527" s="1358"/>
      <c r="ENG527" s="1358"/>
      <c r="ENH527" s="1358"/>
      <c r="ENI527" s="1358"/>
      <c r="ENJ527" s="1358"/>
      <c r="ENK527" s="1358"/>
      <c r="ENL527" s="1358"/>
      <c r="ENM527" s="1358"/>
      <c r="ENN527" s="1358"/>
      <c r="ENO527" s="1358"/>
      <c r="ENP527" s="1358"/>
      <c r="ENQ527" s="1358"/>
      <c r="ENR527" s="1358"/>
      <c r="ENS527" s="1358"/>
      <c r="ENT527" s="1358"/>
      <c r="ENU527" s="1358"/>
      <c r="ENV527" s="1358"/>
      <c r="ENW527" s="1358"/>
      <c r="ENX527" s="1358"/>
      <c r="ENY527" s="1358"/>
      <c r="ENZ527" s="1358"/>
      <c r="EOA527" s="1358"/>
      <c r="EOB527" s="1358"/>
      <c r="EOC527" s="1358"/>
      <c r="EOD527" s="1358"/>
      <c r="EOE527" s="1358"/>
      <c r="EOF527" s="1358"/>
      <c r="EOG527" s="1358"/>
      <c r="EOH527" s="1358"/>
      <c r="EOI527" s="1358"/>
      <c r="EOJ527" s="1358"/>
      <c r="EOK527" s="1358"/>
      <c r="EOL527" s="1358"/>
      <c r="EOM527" s="1358"/>
      <c r="EON527" s="1358"/>
      <c r="EOO527" s="1358"/>
      <c r="EOP527" s="1358"/>
      <c r="EOQ527" s="1358"/>
      <c r="EOR527" s="1358"/>
      <c r="EOS527" s="1358"/>
      <c r="EOT527" s="1358"/>
      <c r="EOU527" s="1358"/>
      <c r="EOV527" s="1358"/>
      <c r="EOW527" s="1358"/>
      <c r="EOX527" s="1358"/>
      <c r="EOY527" s="1358"/>
      <c r="EOZ527" s="1358"/>
      <c r="EPA527" s="1358"/>
      <c r="EPB527" s="1358"/>
      <c r="EPC527" s="1358"/>
      <c r="EPD527" s="1358"/>
      <c r="EPE527" s="1358"/>
      <c r="EPF527" s="1358"/>
      <c r="EPG527" s="1358"/>
      <c r="EPH527" s="1358"/>
      <c r="EPI527" s="1358"/>
      <c r="EPJ527" s="1358"/>
      <c r="EPK527" s="1358"/>
      <c r="EPL527" s="1358"/>
      <c r="EPM527" s="1358"/>
      <c r="EPN527" s="1358"/>
      <c r="EPO527" s="1358"/>
      <c r="EPP527" s="1358"/>
      <c r="EPQ527" s="1358"/>
      <c r="EPR527" s="1358"/>
      <c r="EPS527" s="1358"/>
      <c r="EPT527" s="1358"/>
      <c r="EPU527" s="1358"/>
      <c r="EPV527" s="1358"/>
      <c r="EPW527" s="1358"/>
      <c r="EPX527" s="1358"/>
      <c r="EPY527" s="1358"/>
      <c r="EPZ527" s="1358"/>
      <c r="EQA527" s="1358"/>
      <c r="EQB527" s="1358"/>
      <c r="EQC527" s="1358"/>
      <c r="EQD527" s="1358"/>
      <c r="EQE527" s="1358"/>
      <c r="EQF527" s="1358"/>
      <c r="EQG527" s="1358"/>
      <c r="EQH527" s="1358"/>
      <c r="EQI527" s="1358"/>
      <c r="EQJ527" s="1358"/>
      <c r="EQK527" s="1358"/>
      <c r="EQL527" s="1358"/>
      <c r="EQM527" s="1358"/>
      <c r="EQN527" s="1358"/>
      <c r="EQO527" s="1358"/>
      <c r="EQP527" s="1358"/>
      <c r="EQQ527" s="1358"/>
      <c r="EQR527" s="1358"/>
      <c r="EQS527" s="1358"/>
      <c r="EQT527" s="1358"/>
      <c r="EQU527" s="1358"/>
      <c r="EQV527" s="1358"/>
      <c r="EQW527" s="1358"/>
      <c r="EQX527" s="1358"/>
      <c r="EQY527" s="1358"/>
      <c r="EQZ527" s="1358"/>
      <c r="ERA527" s="1358"/>
      <c r="ERB527" s="1358"/>
      <c r="ERC527" s="1358"/>
      <c r="ERD527" s="1358"/>
      <c r="ERE527" s="1358"/>
      <c r="ERF527" s="1358"/>
      <c r="ERG527" s="1358"/>
      <c r="ERH527" s="1358"/>
      <c r="ERI527" s="1358"/>
      <c r="ERJ527" s="1358"/>
      <c r="ERK527" s="1358"/>
      <c r="ERL527" s="1358"/>
      <c r="ERM527" s="1358"/>
      <c r="ERN527" s="1358"/>
      <c r="ERO527" s="1358"/>
      <c r="ERP527" s="1358"/>
      <c r="ERQ527" s="1358"/>
      <c r="ERR527" s="1358"/>
      <c r="ERS527" s="1358"/>
      <c r="ERT527" s="1358"/>
      <c r="ERU527" s="1358"/>
      <c r="ERV527" s="1358"/>
      <c r="ERW527" s="1358"/>
      <c r="ERX527" s="1358"/>
      <c r="ERY527" s="1358"/>
      <c r="ERZ527" s="1358"/>
      <c r="ESA527" s="1358"/>
      <c r="ESB527" s="1358"/>
      <c r="ESC527" s="1358"/>
      <c r="ESD527" s="1358"/>
      <c r="ESE527" s="1358"/>
      <c r="ESF527" s="1358"/>
      <c r="ESG527" s="1358"/>
      <c r="ESH527" s="1358"/>
      <c r="ESI527" s="1358"/>
      <c r="ESJ527" s="1358"/>
      <c r="ESK527" s="1358"/>
      <c r="ESL527" s="1358"/>
      <c r="ESM527" s="1358"/>
      <c r="ESN527" s="1358"/>
      <c r="ESO527" s="1358"/>
      <c r="ESP527" s="1358"/>
      <c r="ESQ527" s="1358"/>
      <c r="ESR527" s="1358"/>
      <c r="ESS527" s="1358"/>
      <c r="EST527" s="1358"/>
      <c r="ESU527" s="1358"/>
      <c r="ESV527" s="1358"/>
      <c r="ESW527" s="1358"/>
      <c r="ESX527" s="1358"/>
      <c r="ESY527" s="1358"/>
      <c r="ESZ527" s="1358"/>
      <c r="ETA527" s="1358"/>
      <c r="ETB527" s="1358"/>
      <c r="ETC527" s="1358"/>
      <c r="ETD527" s="1358"/>
      <c r="ETE527" s="1358"/>
      <c r="ETF527" s="1358"/>
      <c r="ETG527" s="1358"/>
      <c r="ETH527" s="1358"/>
      <c r="ETI527" s="1358"/>
      <c r="ETJ527" s="1358"/>
      <c r="ETK527" s="1358"/>
      <c r="ETL527" s="1358"/>
      <c r="ETM527" s="1358"/>
      <c r="ETN527" s="1358"/>
      <c r="ETO527" s="1358"/>
      <c r="ETP527" s="1358"/>
      <c r="ETQ527" s="1358"/>
      <c r="ETR527" s="1358"/>
      <c r="ETS527" s="1358"/>
      <c r="ETT527" s="1358"/>
      <c r="ETU527" s="1358"/>
      <c r="ETV527" s="1358"/>
      <c r="ETW527" s="1358"/>
      <c r="ETX527" s="1358"/>
      <c r="ETY527" s="1358"/>
      <c r="ETZ527" s="1358"/>
      <c r="EUA527" s="1358"/>
      <c r="EUB527" s="1358"/>
      <c r="EUC527" s="1358"/>
      <c r="EUD527" s="1358"/>
      <c r="EUE527" s="1358"/>
      <c r="EUF527" s="1358"/>
      <c r="EUG527" s="1358"/>
      <c r="EUH527" s="1358"/>
      <c r="EUI527" s="1358"/>
      <c r="EUJ527" s="1358"/>
      <c r="EUK527" s="1358"/>
      <c r="EUL527" s="1358"/>
      <c r="EUM527" s="1358"/>
      <c r="EUN527" s="1358"/>
      <c r="EUO527" s="1358"/>
      <c r="EUP527" s="1358"/>
      <c r="EUQ527" s="1358"/>
      <c r="EUR527" s="1358"/>
      <c r="EUS527" s="1358"/>
      <c r="EUT527" s="1358"/>
      <c r="EUU527" s="1358"/>
      <c r="EUV527" s="1358"/>
      <c r="EUW527" s="1358"/>
      <c r="EUX527" s="1358"/>
      <c r="EUY527" s="1358"/>
      <c r="EUZ527" s="1358"/>
      <c r="EVA527" s="1358"/>
      <c r="EVB527" s="1358"/>
      <c r="EVC527" s="1358"/>
      <c r="EVD527" s="1358"/>
      <c r="EVE527" s="1358"/>
      <c r="EVF527" s="1358"/>
      <c r="EVG527" s="1358"/>
      <c r="EVH527" s="1358"/>
      <c r="EVI527" s="1358"/>
      <c r="EVJ527" s="1358"/>
      <c r="EVK527" s="1358"/>
      <c r="EVL527" s="1358"/>
      <c r="EVM527" s="1358"/>
      <c r="EVN527" s="1358"/>
      <c r="EVO527" s="1358"/>
      <c r="EVP527" s="1358"/>
      <c r="EVQ527" s="1358"/>
      <c r="EVR527" s="1358"/>
      <c r="EVS527" s="1358"/>
      <c r="EVT527" s="1358"/>
      <c r="EVU527" s="1358"/>
      <c r="EVV527" s="1358"/>
      <c r="EVW527" s="1358"/>
      <c r="EVX527" s="1358"/>
      <c r="EVY527" s="1358"/>
      <c r="EVZ527" s="1358"/>
      <c r="EWA527" s="1358"/>
      <c r="EWB527" s="1358"/>
      <c r="EWC527" s="1358"/>
      <c r="EWD527" s="1358"/>
      <c r="EWE527" s="1358"/>
      <c r="EWF527" s="1358"/>
      <c r="EWG527" s="1358"/>
      <c r="EWH527" s="1358"/>
      <c r="EWI527" s="1358"/>
      <c r="EWJ527" s="1358"/>
      <c r="EWK527" s="1358"/>
      <c r="EWL527" s="1358"/>
      <c r="EWM527" s="1358"/>
      <c r="EWN527" s="1358"/>
      <c r="EWO527" s="1358"/>
      <c r="EWP527" s="1358"/>
      <c r="EWQ527" s="1358"/>
      <c r="EWR527" s="1358"/>
      <c r="EWS527" s="1358"/>
      <c r="EWT527" s="1358"/>
      <c r="EWU527" s="1358"/>
      <c r="EWV527" s="1358"/>
      <c r="EWW527" s="1358"/>
      <c r="EWX527" s="1358"/>
      <c r="EWY527" s="1358"/>
      <c r="EWZ527" s="1358"/>
      <c r="EXA527" s="1358"/>
      <c r="EXB527" s="1358"/>
      <c r="EXC527" s="1358"/>
      <c r="EXD527" s="1358"/>
      <c r="EXE527" s="1358"/>
      <c r="EXF527" s="1358"/>
      <c r="EXG527" s="1358"/>
      <c r="EXH527" s="1358"/>
      <c r="EXI527" s="1358"/>
      <c r="EXJ527" s="1358"/>
      <c r="EXK527" s="1358"/>
      <c r="EXL527" s="1358"/>
      <c r="EXM527" s="1358"/>
      <c r="EXN527" s="1358"/>
      <c r="EXO527" s="1358"/>
      <c r="EXP527" s="1358"/>
      <c r="EXQ527" s="1358"/>
      <c r="EXR527" s="1358"/>
      <c r="EXS527" s="1358"/>
      <c r="EXT527" s="1358"/>
      <c r="EXU527" s="1358"/>
      <c r="EXV527" s="1358"/>
      <c r="EXW527" s="1358"/>
      <c r="EXX527" s="1358"/>
      <c r="EXY527" s="1358"/>
      <c r="EXZ527" s="1358"/>
      <c r="EYA527" s="1358"/>
      <c r="EYB527" s="1358"/>
      <c r="EYC527" s="1358"/>
      <c r="EYD527" s="1358"/>
      <c r="EYE527" s="1358"/>
      <c r="EYF527" s="1358"/>
      <c r="EYG527" s="1358"/>
      <c r="EYH527" s="1358"/>
      <c r="EYI527" s="1358"/>
      <c r="EYJ527" s="1358"/>
      <c r="EYK527" s="1358"/>
      <c r="EYL527" s="1358"/>
      <c r="EYM527" s="1358"/>
      <c r="EYN527" s="1358"/>
      <c r="EYO527" s="1358"/>
      <c r="EYP527" s="1358"/>
      <c r="EYQ527" s="1358"/>
      <c r="EYR527" s="1358"/>
      <c r="EYS527" s="1358"/>
      <c r="EYT527" s="1358"/>
      <c r="EYU527" s="1358"/>
      <c r="EYV527" s="1358"/>
      <c r="EYW527" s="1358"/>
      <c r="EYX527" s="1358"/>
      <c r="EYY527" s="1358"/>
      <c r="EYZ527" s="1358"/>
      <c r="EZA527" s="1358"/>
      <c r="EZB527" s="1358"/>
      <c r="EZC527" s="1358"/>
      <c r="EZD527" s="1358"/>
      <c r="EZE527" s="1358"/>
      <c r="EZF527" s="1358"/>
      <c r="EZG527" s="1358"/>
      <c r="EZH527" s="1358"/>
      <c r="EZI527" s="1358"/>
      <c r="EZJ527" s="1358"/>
      <c r="EZK527" s="1358"/>
      <c r="EZL527" s="1358"/>
      <c r="EZM527" s="1358"/>
      <c r="EZN527" s="1358"/>
      <c r="EZO527" s="1358"/>
      <c r="EZP527" s="1358"/>
      <c r="EZQ527" s="1358"/>
      <c r="EZR527" s="1358"/>
      <c r="EZS527" s="1358"/>
      <c r="EZT527" s="1358"/>
      <c r="EZU527" s="1358"/>
      <c r="EZV527" s="1358"/>
      <c r="EZW527" s="1358"/>
      <c r="EZX527" s="1358"/>
      <c r="EZY527" s="1358"/>
      <c r="EZZ527" s="1358"/>
      <c r="FAA527" s="1358"/>
      <c r="FAB527" s="1358"/>
      <c r="FAC527" s="1358"/>
      <c r="FAD527" s="1358"/>
      <c r="FAE527" s="1358"/>
      <c r="FAF527" s="1358"/>
      <c r="FAG527" s="1358"/>
      <c r="FAH527" s="1358"/>
      <c r="FAI527" s="1358"/>
      <c r="FAJ527" s="1358"/>
      <c r="FAK527" s="1358"/>
      <c r="FAL527" s="1358"/>
      <c r="FAM527" s="1358"/>
      <c r="FAN527" s="1358"/>
      <c r="FAO527" s="1358"/>
      <c r="FAP527" s="1358"/>
      <c r="FAQ527" s="1358"/>
      <c r="FAR527" s="1358"/>
      <c r="FAS527" s="1358"/>
      <c r="FAT527" s="1358"/>
      <c r="FAU527" s="1358"/>
      <c r="FAV527" s="1358"/>
      <c r="FAW527" s="1358"/>
      <c r="FAX527" s="1358"/>
      <c r="FAY527" s="1358"/>
      <c r="FAZ527" s="1358"/>
      <c r="FBA527" s="1358"/>
      <c r="FBB527" s="1358"/>
      <c r="FBC527" s="1358"/>
      <c r="FBD527" s="1358"/>
      <c r="FBE527" s="1358"/>
      <c r="FBF527" s="1358"/>
      <c r="FBG527" s="1358"/>
      <c r="FBH527" s="1358"/>
      <c r="FBI527" s="1358"/>
      <c r="FBJ527" s="1358"/>
      <c r="FBK527" s="1358"/>
      <c r="FBL527" s="1358"/>
      <c r="FBM527" s="1358"/>
      <c r="FBN527" s="1358"/>
      <c r="FBO527" s="1358"/>
      <c r="FBP527" s="1358"/>
      <c r="FBQ527" s="1358"/>
      <c r="FBR527" s="1358"/>
      <c r="FBS527" s="1358"/>
      <c r="FBT527" s="1358"/>
      <c r="FBU527" s="1358"/>
      <c r="FBV527" s="1358"/>
      <c r="FBW527" s="1358"/>
      <c r="FBX527" s="1358"/>
      <c r="FBY527" s="1358"/>
      <c r="FBZ527" s="1358"/>
      <c r="FCA527" s="1358"/>
      <c r="FCB527" s="1358"/>
      <c r="FCC527" s="1358"/>
      <c r="FCD527" s="1358"/>
      <c r="FCE527" s="1358"/>
      <c r="FCF527" s="1358"/>
      <c r="FCG527" s="1358"/>
      <c r="FCH527" s="1358"/>
      <c r="FCI527" s="1358"/>
      <c r="FCJ527" s="1358"/>
      <c r="FCK527" s="1358"/>
      <c r="FCL527" s="1358"/>
      <c r="FCM527" s="1358"/>
      <c r="FCN527" s="1358"/>
      <c r="FCO527" s="1358"/>
      <c r="FCP527" s="1358"/>
      <c r="FCQ527" s="1358"/>
      <c r="FCR527" s="1358"/>
      <c r="FCS527" s="1358"/>
      <c r="FCT527" s="1358"/>
      <c r="FCU527" s="1358"/>
      <c r="FCV527" s="1358"/>
      <c r="FCW527" s="1358"/>
      <c r="FCX527" s="1358"/>
      <c r="FCY527" s="1358"/>
      <c r="FCZ527" s="1358"/>
      <c r="FDA527" s="1358"/>
      <c r="FDB527" s="1358"/>
      <c r="FDC527" s="1358"/>
      <c r="FDD527" s="1358"/>
      <c r="FDE527" s="1358"/>
      <c r="FDF527" s="1358"/>
      <c r="FDG527" s="1358"/>
      <c r="FDH527" s="1358"/>
      <c r="FDI527" s="1358"/>
      <c r="FDJ527" s="1358"/>
      <c r="FDK527" s="1358"/>
      <c r="FDL527" s="1358"/>
      <c r="FDM527" s="1358"/>
      <c r="FDN527" s="1358"/>
      <c r="FDO527" s="1358"/>
      <c r="FDP527" s="1358"/>
      <c r="FDQ527" s="1358"/>
      <c r="FDR527" s="1358"/>
      <c r="FDS527" s="1358"/>
      <c r="FDT527" s="1358"/>
      <c r="FDU527" s="1358"/>
      <c r="FDV527" s="1358"/>
      <c r="FDW527" s="1358"/>
      <c r="FDX527" s="1358"/>
      <c r="FDY527" s="1358"/>
      <c r="FDZ527" s="1358"/>
      <c r="FEA527" s="1358"/>
      <c r="FEB527" s="1358"/>
      <c r="FEC527" s="1358"/>
      <c r="FED527" s="1358"/>
      <c r="FEE527" s="1358"/>
      <c r="FEF527" s="1358"/>
      <c r="FEG527" s="1358"/>
      <c r="FEH527" s="1358"/>
      <c r="FEI527" s="1358"/>
      <c r="FEJ527" s="1358"/>
      <c r="FEK527" s="1358"/>
      <c r="FEL527" s="1358"/>
      <c r="FEM527" s="1358"/>
      <c r="FEN527" s="1358"/>
      <c r="FEO527" s="1358"/>
      <c r="FEP527" s="1358"/>
      <c r="FEQ527" s="1358"/>
      <c r="FER527" s="1358"/>
      <c r="FES527" s="1358"/>
      <c r="FET527" s="1358"/>
      <c r="FEU527" s="1358"/>
      <c r="FEV527" s="1358"/>
      <c r="FEW527" s="1358"/>
      <c r="FEX527" s="1358"/>
      <c r="FEY527" s="1358"/>
      <c r="FEZ527" s="1358"/>
      <c r="FFA527" s="1358"/>
      <c r="FFB527" s="1358"/>
      <c r="FFC527" s="1358"/>
      <c r="FFD527" s="1358"/>
      <c r="FFE527" s="1358"/>
      <c r="FFF527" s="1358"/>
      <c r="FFG527" s="1358"/>
      <c r="FFH527" s="1358"/>
      <c r="FFI527" s="1358"/>
      <c r="FFJ527" s="1358"/>
      <c r="FFK527" s="1358"/>
      <c r="FFL527" s="1358"/>
      <c r="FFM527" s="1358"/>
      <c r="FFN527" s="1358"/>
      <c r="FFO527" s="1358"/>
      <c r="FFP527" s="1358"/>
      <c r="FFQ527" s="1358"/>
      <c r="FFR527" s="1358"/>
      <c r="FFS527" s="1358"/>
      <c r="FFT527" s="1358"/>
      <c r="FFU527" s="1358"/>
      <c r="FFV527" s="1358"/>
      <c r="FFW527" s="1358"/>
      <c r="FFX527" s="1358"/>
      <c r="FFY527" s="1358"/>
      <c r="FFZ527" s="1358"/>
      <c r="FGA527" s="1358"/>
      <c r="FGB527" s="1358"/>
      <c r="FGC527" s="1358"/>
      <c r="FGD527" s="1358"/>
      <c r="FGE527" s="1358"/>
      <c r="FGF527" s="1358"/>
      <c r="FGG527" s="1358"/>
      <c r="FGH527" s="1358"/>
      <c r="FGI527" s="1358"/>
      <c r="FGJ527" s="1358"/>
      <c r="FGK527" s="1358"/>
      <c r="FGL527" s="1358"/>
      <c r="FGM527" s="1358"/>
      <c r="FGN527" s="1358"/>
      <c r="FGO527" s="1358"/>
      <c r="FGP527" s="1358"/>
      <c r="FGQ527" s="1358"/>
      <c r="FGR527" s="1358"/>
      <c r="FGS527" s="1358"/>
      <c r="FGT527" s="1358"/>
      <c r="FGU527" s="1358"/>
      <c r="FGV527" s="1358"/>
      <c r="FGW527" s="1358"/>
      <c r="FGX527" s="1358"/>
      <c r="FGY527" s="1358"/>
      <c r="FGZ527" s="1358"/>
      <c r="FHA527" s="1358"/>
      <c r="FHB527" s="1358"/>
      <c r="FHC527" s="1358"/>
      <c r="FHD527" s="1358"/>
      <c r="FHE527" s="1358"/>
      <c r="FHF527" s="1358"/>
      <c r="FHG527" s="1358"/>
      <c r="FHH527" s="1358"/>
      <c r="FHI527" s="1358"/>
      <c r="FHJ527" s="1358"/>
      <c r="FHK527" s="1358"/>
      <c r="FHL527" s="1358"/>
      <c r="FHM527" s="1358"/>
      <c r="FHN527" s="1358"/>
      <c r="FHO527" s="1358"/>
      <c r="FHP527" s="1358"/>
      <c r="FHQ527" s="1358"/>
      <c r="FHR527" s="1358"/>
      <c r="FHS527" s="1358"/>
      <c r="FHT527" s="1358"/>
      <c r="FHU527" s="1358"/>
      <c r="FHV527" s="1358"/>
      <c r="FHW527" s="1358"/>
      <c r="FHX527" s="1358"/>
      <c r="FHY527" s="1358"/>
      <c r="FHZ527" s="1358"/>
      <c r="FIA527" s="1358"/>
      <c r="FIB527" s="1358"/>
      <c r="FIC527" s="1358"/>
      <c r="FID527" s="1358"/>
      <c r="FIE527" s="1358"/>
      <c r="FIF527" s="1358"/>
      <c r="FIG527" s="1358"/>
      <c r="FIH527" s="1358"/>
      <c r="FII527" s="1358"/>
      <c r="FIJ527" s="1358"/>
      <c r="FIK527" s="1358"/>
      <c r="FIL527" s="1358"/>
      <c r="FIM527" s="1358"/>
      <c r="FIN527" s="1358"/>
      <c r="FIO527" s="1358"/>
      <c r="FIP527" s="1358"/>
      <c r="FIQ527" s="1358"/>
      <c r="FIR527" s="1358"/>
      <c r="FIS527" s="1358"/>
      <c r="FIT527" s="1358"/>
      <c r="FIU527" s="1358"/>
      <c r="FIV527" s="1358"/>
      <c r="FIW527" s="1358"/>
      <c r="FIX527" s="1358"/>
      <c r="FIY527" s="1358"/>
      <c r="FIZ527" s="1358"/>
      <c r="FJA527" s="1358"/>
      <c r="FJB527" s="1358"/>
      <c r="FJC527" s="1358"/>
      <c r="FJD527" s="1358"/>
      <c r="FJE527" s="1358"/>
      <c r="FJF527" s="1358"/>
      <c r="FJG527" s="1358"/>
      <c r="FJH527" s="1358"/>
      <c r="FJI527" s="1358"/>
      <c r="FJJ527" s="1358"/>
      <c r="FJK527" s="1358"/>
      <c r="FJL527" s="1358"/>
      <c r="FJM527" s="1358"/>
      <c r="FJN527" s="1358"/>
      <c r="FJO527" s="1358"/>
      <c r="FJP527" s="1358"/>
      <c r="FJQ527" s="1358"/>
      <c r="FJR527" s="1358"/>
      <c r="FJS527" s="1358"/>
      <c r="FJT527" s="1358"/>
      <c r="FJU527" s="1358"/>
      <c r="FJV527" s="1358"/>
      <c r="FJW527" s="1358"/>
      <c r="FJX527" s="1358"/>
      <c r="FJY527" s="1358"/>
      <c r="FJZ527" s="1358"/>
      <c r="FKA527" s="1358"/>
      <c r="FKB527" s="1358"/>
      <c r="FKC527" s="1358"/>
      <c r="FKD527" s="1358"/>
      <c r="FKE527" s="1358"/>
      <c r="FKF527" s="1358"/>
      <c r="FKG527" s="1358"/>
      <c r="FKH527" s="1358"/>
      <c r="FKI527" s="1358"/>
      <c r="FKJ527" s="1358"/>
      <c r="FKK527" s="1358"/>
      <c r="FKL527" s="1358"/>
      <c r="FKM527" s="1358"/>
      <c r="FKN527" s="1358"/>
      <c r="FKO527" s="1358"/>
      <c r="FKP527" s="1358"/>
      <c r="FKQ527" s="1358"/>
      <c r="FKR527" s="1358"/>
      <c r="FKS527" s="1358"/>
      <c r="FKT527" s="1358"/>
      <c r="FKU527" s="1358"/>
      <c r="FKV527" s="1358"/>
      <c r="FKW527" s="1358"/>
      <c r="FKX527" s="1358"/>
      <c r="FKY527" s="1358"/>
      <c r="FKZ527" s="1358"/>
      <c r="FLA527" s="1358"/>
      <c r="FLB527" s="1358"/>
      <c r="FLC527" s="1358"/>
      <c r="FLD527" s="1358"/>
      <c r="FLE527" s="1358"/>
      <c r="FLF527" s="1358"/>
      <c r="FLG527" s="1358"/>
      <c r="FLH527" s="1358"/>
      <c r="FLI527" s="1358"/>
      <c r="FLJ527" s="1358"/>
      <c r="FLK527" s="1358"/>
      <c r="FLL527" s="1358"/>
      <c r="FLM527" s="1358"/>
      <c r="FLN527" s="1358"/>
      <c r="FLO527" s="1358"/>
      <c r="FLP527" s="1358"/>
      <c r="FLQ527" s="1358"/>
      <c r="FLR527" s="1358"/>
      <c r="FLS527" s="1358"/>
      <c r="FLT527" s="1358"/>
      <c r="FLU527" s="1358"/>
      <c r="FLV527" s="1358"/>
      <c r="FLW527" s="1358"/>
      <c r="FLX527" s="1358"/>
      <c r="FLY527" s="1358"/>
      <c r="FLZ527" s="1358"/>
      <c r="FMA527" s="1358"/>
      <c r="FMB527" s="1358"/>
      <c r="FMC527" s="1358"/>
      <c r="FMD527" s="1358"/>
      <c r="FME527" s="1358"/>
      <c r="FMF527" s="1358"/>
      <c r="FMG527" s="1358"/>
      <c r="FMH527" s="1358"/>
      <c r="FMI527" s="1358"/>
      <c r="FMJ527" s="1358"/>
      <c r="FMK527" s="1358"/>
      <c r="FML527" s="1358"/>
      <c r="FMM527" s="1358"/>
      <c r="FMN527" s="1358"/>
      <c r="FMO527" s="1358"/>
      <c r="FMP527" s="1358"/>
      <c r="FMQ527" s="1358"/>
      <c r="FMR527" s="1358"/>
      <c r="FMS527" s="1358"/>
      <c r="FMT527" s="1358"/>
      <c r="FMU527" s="1358"/>
      <c r="FMV527" s="1358"/>
      <c r="FMW527" s="1358"/>
      <c r="FMX527" s="1358"/>
      <c r="FMY527" s="1358"/>
      <c r="FMZ527" s="1358"/>
      <c r="FNA527" s="1358"/>
      <c r="FNB527" s="1358"/>
      <c r="FNC527" s="1358"/>
      <c r="FND527" s="1358"/>
      <c r="FNE527" s="1358"/>
      <c r="FNF527" s="1358"/>
      <c r="FNG527" s="1358"/>
      <c r="FNH527" s="1358"/>
      <c r="FNI527" s="1358"/>
      <c r="FNJ527" s="1358"/>
      <c r="FNK527" s="1358"/>
      <c r="FNL527" s="1358"/>
      <c r="FNM527" s="1358"/>
      <c r="FNN527" s="1358"/>
      <c r="FNO527" s="1358"/>
      <c r="FNP527" s="1358"/>
      <c r="FNQ527" s="1358"/>
      <c r="FNR527" s="1358"/>
      <c r="FNS527" s="1358"/>
      <c r="FNT527" s="1358"/>
      <c r="FNU527" s="1358"/>
      <c r="FNV527" s="1358"/>
      <c r="FNW527" s="1358"/>
      <c r="FNX527" s="1358"/>
      <c r="FNY527" s="1358"/>
      <c r="FNZ527" s="1358"/>
      <c r="FOA527" s="1358"/>
      <c r="FOB527" s="1358"/>
      <c r="FOC527" s="1358"/>
      <c r="FOD527" s="1358"/>
      <c r="FOE527" s="1358"/>
      <c r="FOF527" s="1358"/>
      <c r="FOG527" s="1358"/>
      <c r="FOH527" s="1358"/>
      <c r="FOI527" s="1358"/>
      <c r="FOJ527" s="1358"/>
      <c r="FOK527" s="1358"/>
      <c r="FOL527" s="1358"/>
      <c r="FOM527" s="1358"/>
      <c r="FON527" s="1358"/>
      <c r="FOO527" s="1358"/>
      <c r="FOP527" s="1358"/>
      <c r="FOQ527" s="1358"/>
      <c r="FOR527" s="1358"/>
      <c r="FOS527" s="1358"/>
      <c r="FOT527" s="1358"/>
      <c r="FOU527" s="1358"/>
      <c r="FOV527" s="1358"/>
      <c r="FOW527" s="1358"/>
      <c r="FOX527" s="1358"/>
      <c r="FOY527" s="1358"/>
      <c r="FOZ527" s="1358"/>
      <c r="FPA527" s="1358"/>
      <c r="FPB527" s="1358"/>
      <c r="FPC527" s="1358"/>
      <c r="FPD527" s="1358"/>
      <c r="FPE527" s="1358"/>
      <c r="FPF527" s="1358"/>
      <c r="FPG527" s="1358"/>
      <c r="FPH527" s="1358"/>
      <c r="FPI527" s="1358"/>
      <c r="FPJ527" s="1358"/>
      <c r="FPK527" s="1358"/>
      <c r="FPL527" s="1358"/>
      <c r="FPM527" s="1358"/>
      <c r="FPN527" s="1358"/>
      <c r="FPO527" s="1358"/>
      <c r="FPP527" s="1358"/>
      <c r="FPQ527" s="1358"/>
      <c r="FPR527" s="1358"/>
      <c r="FPS527" s="1358"/>
      <c r="FPT527" s="1358"/>
      <c r="FPU527" s="1358"/>
      <c r="FPV527" s="1358"/>
      <c r="FPW527" s="1358"/>
      <c r="FPX527" s="1358"/>
      <c r="FPY527" s="1358"/>
      <c r="FPZ527" s="1358"/>
      <c r="FQA527" s="1358"/>
      <c r="FQB527" s="1358"/>
      <c r="FQC527" s="1358"/>
      <c r="FQD527" s="1358"/>
      <c r="FQE527" s="1358"/>
      <c r="FQF527" s="1358"/>
      <c r="FQG527" s="1358"/>
      <c r="FQH527" s="1358"/>
      <c r="FQI527" s="1358"/>
      <c r="FQJ527" s="1358"/>
      <c r="FQK527" s="1358"/>
      <c r="FQL527" s="1358"/>
      <c r="FQM527" s="1358"/>
      <c r="FQN527" s="1358"/>
      <c r="FQO527" s="1358"/>
      <c r="FQP527" s="1358"/>
      <c r="FQQ527" s="1358"/>
      <c r="FQR527" s="1358"/>
      <c r="FQS527" s="1358"/>
      <c r="FQT527" s="1358"/>
      <c r="FQU527" s="1358"/>
      <c r="FQV527" s="1358"/>
      <c r="FQW527" s="1358"/>
      <c r="FQX527" s="1358"/>
      <c r="FQY527" s="1358"/>
      <c r="FQZ527" s="1358"/>
      <c r="FRA527" s="1358"/>
      <c r="FRB527" s="1358"/>
      <c r="FRC527" s="1358"/>
      <c r="FRD527" s="1358"/>
      <c r="FRE527" s="1358"/>
      <c r="FRF527" s="1358"/>
      <c r="FRG527" s="1358"/>
      <c r="FRH527" s="1358"/>
      <c r="FRI527" s="1358"/>
      <c r="FRJ527" s="1358"/>
      <c r="FRK527" s="1358"/>
      <c r="FRL527" s="1358"/>
      <c r="FRM527" s="1358"/>
      <c r="FRN527" s="1358"/>
      <c r="FRO527" s="1358"/>
      <c r="FRP527" s="1358"/>
      <c r="FRQ527" s="1358"/>
      <c r="FRR527" s="1358"/>
      <c r="FRS527" s="1358"/>
      <c r="FRT527" s="1358"/>
      <c r="FRU527" s="1358"/>
      <c r="FRV527" s="1358"/>
      <c r="FRW527" s="1358"/>
      <c r="FRX527" s="1358"/>
      <c r="FRY527" s="1358"/>
      <c r="FRZ527" s="1358"/>
      <c r="FSA527" s="1358"/>
      <c r="FSB527" s="1358"/>
      <c r="FSC527" s="1358"/>
      <c r="FSD527" s="1358"/>
      <c r="FSE527" s="1358"/>
      <c r="FSF527" s="1358"/>
      <c r="FSG527" s="1358"/>
      <c r="FSH527" s="1358"/>
      <c r="FSI527" s="1358"/>
      <c r="FSJ527" s="1358"/>
      <c r="FSK527" s="1358"/>
      <c r="FSL527" s="1358"/>
      <c r="FSM527" s="1358"/>
      <c r="FSN527" s="1358"/>
      <c r="FSO527" s="1358"/>
      <c r="FSP527" s="1358"/>
      <c r="FSQ527" s="1358"/>
      <c r="FSR527" s="1358"/>
      <c r="FSS527" s="1358"/>
      <c r="FST527" s="1358"/>
      <c r="FSU527" s="1358"/>
      <c r="FSV527" s="1358"/>
      <c r="FSW527" s="1358"/>
      <c r="FSX527" s="1358"/>
      <c r="FSY527" s="1358"/>
      <c r="FSZ527" s="1358"/>
      <c r="FTA527" s="1358"/>
      <c r="FTB527" s="1358"/>
      <c r="FTC527" s="1358"/>
      <c r="FTD527" s="1358"/>
      <c r="FTE527" s="1358"/>
      <c r="FTF527" s="1358"/>
      <c r="FTG527" s="1358"/>
      <c r="FTH527" s="1358"/>
      <c r="FTI527" s="1358"/>
      <c r="FTJ527" s="1358"/>
      <c r="FTK527" s="1358"/>
      <c r="FTL527" s="1358"/>
      <c r="FTM527" s="1358"/>
      <c r="FTN527" s="1358"/>
      <c r="FTO527" s="1358"/>
      <c r="FTP527" s="1358"/>
      <c r="FTQ527" s="1358"/>
      <c r="FTR527" s="1358"/>
      <c r="FTS527" s="1358"/>
      <c r="FTT527" s="1358"/>
      <c r="FTU527" s="1358"/>
      <c r="FTV527" s="1358"/>
      <c r="FTW527" s="1358"/>
      <c r="FTX527" s="1358"/>
      <c r="FTY527" s="1358"/>
      <c r="FTZ527" s="1358"/>
      <c r="FUA527" s="1358"/>
      <c r="FUB527" s="1358"/>
      <c r="FUC527" s="1358"/>
      <c r="FUD527" s="1358"/>
      <c r="FUE527" s="1358"/>
      <c r="FUF527" s="1358"/>
      <c r="FUG527" s="1358"/>
      <c r="FUH527" s="1358"/>
      <c r="FUI527" s="1358"/>
      <c r="FUJ527" s="1358"/>
      <c r="FUK527" s="1358"/>
      <c r="FUL527" s="1358"/>
      <c r="FUM527" s="1358"/>
      <c r="FUN527" s="1358"/>
      <c r="FUO527" s="1358"/>
      <c r="FUP527" s="1358"/>
      <c r="FUQ527" s="1358"/>
      <c r="FUR527" s="1358"/>
      <c r="FUS527" s="1358"/>
      <c r="FUT527" s="1358"/>
      <c r="FUU527" s="1358"/>
      <c r="FUV527" s="1358"/>
      <c r="FUW527" s="1358"/>
      <c r="FUX527" s="1358"/>
      <c r="FUY527" s="1358"/>
      <c r="FUZ527" s="1358"/>
      <c r="FVA527" s="1358"/>
      <c r="FVB527" s="1358"/>
      <c r="FVC527" s="1358"/>
      <c r="FVD527" s="1358"/>
      <c r="FVE527" s="1358"/>
      <c r="FVF527" s="1358"/>
      <c r="FVG527" s="1358"/>
      <c r="FVH527" s="1358"/>
      <c r="FVI527" s="1358"/>
      <c r="FVJ527" s="1358"/>
      <c r="FVK527" s="1358"/>
      <c r="FVL527" s="1358"/>
      <c r="FVM527" s="1358"/>
      <c r="FVN527" s="1358"/>
      <c r="FVO527" s="1358"/>
      <c r="FVP527" s="1358"/>
      <c r="FVQ527" s="1358"/>
      <c r="FVR527" s="1358"/>
      <c r="FVS527" s="1358"/>
      <c r="FVT527" s="1358"/>
      <c r="FVU527" s="1358"/>
      <c r="FVV527" s="1358"/>
      <c r="FVW527" s="1358"/>
      <c r="FVX527" s="1358"/>
      <c r="FVY527" s="1358"/>
      <c r="FVZ527" s="1358"/>
      <c r="FWA527" s="1358"/>
      <c r="FWB527" s="1358"/>
      <c r="FWC527" s="1358"/>
      <c r="FWD527" s="1358"/>
      <c r="FWE527" s="1358"/>
      <c r="FWF527" s="1358"/>
      <c r="FWG527" s="1358"/>
      <c r="FWH527" s="1358"/>
      <c r="FWI527" s="1358"/>
      <c r="FWJ527" s="1358"/>
      <c r="FWK527" s="1358"/>
      <c r="FWL527" s="1358"/>
      <c r="FWM527" s="1358"/>
      <c r="FWN527" s="1358"/>
      <c r="FWO527" s="1358"/>
      <c r="FWP527" s="1358"/>
      <c r="FWQ527" s="1358"/>
      <c r="FWR527" s="1358"/>
      <c r="FWS527" s="1358"/>
      <c r="FWT527" s="1358"/>
      <c r="FWU527" s="1358"/>
      <c r="FWV527" s="1358"/>
      <c r="FWW527" s="1358"/>
      <c r="FWX527" s="1358"/>
      <c r="FWY527" s="1358"/>
      <c r="FWZ527" s="1358"/>
      <c r="FXA527" s="1358"/>
      <c r="FXB527" s="1358"/>
      <c r="FXC527" s="1358"/>
      <c r="FXD527" s="1358"/>
      <c r="FXE527" s="1358"/>
      <c r="FXF527" s="1358"/>
      <c r="FXG527" s="1358"/>
      <c r="FXH527" s="1358"/>
      <c r="FXI527" s="1358"/>
      <c r="FXJ527" s="1358"/>
      <c r="FXK527" s="1358"/>
      <c r="FXL527" s="1358"/>
      <c r="FXM527" s="1358"/>
      <c r="FXN527" s="1358"/>
      <c r="FXO527" s="1358"/>
      <c r="FXP527" s="1358"/>
      <c r="FXQ527" s="1358"/>
      <c r="FXR527" s="1358"/>
      <c r="FXS527" s="1358"/>
      <c r="FXT527" s="1358"/>
      <c r="FXU527" s="1358"/>
      <c r="FXV527" s="1358"/>
      <c r="FXW527" s="1358"/>
      <c r="FXX527" s="1358"/>
      <c r="FXY527" s="1358"/>
      <c r="FXZ527" s="1358"/>
      <c r="FYA527" s="1358"/>
      <c r="FYB527" s="1358"/>
      <c r="FYC527" s="1358"/>
      <c r="FYD527" s="1358"/>
      <c r="FYE527" s="1358"/>
      <c r="FYF527" s="1358"/>
      <c r="FYG527" s="1358"/>
      <c r="FYH527" s="1358"/>
      <c r="FYI527" s="1358"/>
      <c r="FYJ527" s="1358"/>
      <c r="FYK527" s="1358"/>
      <c r="FYL527" s="1358"/>
      <c r="FYM527" s="1358"/>
      <c r="FYN527" s="1358"/>
      <c r="FYO527" s="1358"/>
      <c r="FYP527" s="1358"/>
      <c r="FYQ527" s="1358"/>
      <c r="FYR527" s="1358"/>
      <c r="FYS527" s="1358"/>
      <c r="FYT527" s="1358"/>
      <c r="FYU527" s="1358"/>
      <c r="FYV527" s="1358"/>
      <c r="FYW527" s="1358"/>
      <c r="FYX527" s="1358"/>
      <c r="FYY527" s="1358"/>
      <c r="FYZ527" s="1358"/>
      <c r="FZA527" s="1358"/>
      <c r="FZB527" s="1358"/>
      <c r="FZC527" s="1358"/>
      <c r="FZD527" s="1358"/>
      <c r="FZE527" s="1358"/>
      <c r="FZF527" s="1358"/>
      <c r="FZG527" s="1358"/>
      <c r="FZH527" s="1358"/>
      <c r="FZI527" s="1358"/>
      <c r="FZJ527" s="1358"/>
      <c r="FZK527" s="1358"/>
      <c r="FZL527" s="1358"/>
      <c r="FZM527" s="1358"/>
      <c r="FZN527" s="1358"/>
      <c r="FZO527" s="1358"/>
      <c r="FZP527" s="1358"/>
      <c r="FZQ527" s="1358"/>
      <c r="FZR527" s="1358"/>
      <c r="FZS527" s="1358"/>
      <c r="FZT527" s="1358"/>
      <c r="FZU527" s="1358"/>
      <c r="FZV527" s="1358"/>
      <c r="FZW527" s="1358"/>
      <c r="FZX527" s="1358"/>
      <c r="FZY527" s="1358"/>
      <c r="FZZ527" s="1358"/>
      <c r="GAA527" s="1358"/>
      <c r="GAB527" s="1358"/>
      <c r="GAC527" s="1358"/>
      <c r="GAD527" s="1358"/>
      <c r="GAE527" s="1358"/>
      <c r="GAF527" s="1358"/>
      <c r="GAG527" s="1358"/>
      <c r="GAH527" s="1358"/>
      <c r="GAI527" s="1358"/>
      <c r="GAJ527" s="1358"/>
      <c r="GAK527" s="1358"/>
      <c r="GAL527" s="1358"/>
      <c r="GAM527" s="1358"/>
      <c r="GAN527" s="1358"/>
      <c r="GAO527" s="1358"/>
      <c r="GAP527" s="1358"/>
      <c r="GAQ527" s="1358"/>
      <c r="GAR527" s="1358"/>
      <c r="GAS527" s="1358"/>
      <c r="GAT527" s="1358"/>
      <c r="GAU527" s="1358"/>
      <c r="GAV527" s="1358"/>
      <c r="GAW527" s="1358"/>
      <c r="GAX527" s="1358"/>
      <c r="GAY527" s="1358"/>
      <c r="GAZ527" s="1358"/>
      <c r="GBA527" s="1358"/>
      <c r="GBB527" s="1358"/>
      <c r="GBC527" s="1358"/>
      <c r="GBD527" s="1358"/>
      <c r="GBE527" s="1358"/>
      <c r="GBF527" s="1358"/>
      <c r="GBG527" s="1358"/>
      <c r="GBH527" s="1358"/>
      <c r="GBI527" s="1358"/>
      <c r="GBJ527" s="1358"/>
      <c r="GBK527" s="1358"/>
      <c r="GBL527" s="1358"/>
      <c r="GBM527" s="1358"/>
      <c r="GBN527" s="1358"/>
      <c r="GBO527" s="1358"/>
      <c r="GBP527" s="1358"/>
      <c r="GBQ527" s="1358"/>
      <c r="GBR527" s="1358"/>
      <c r="GBS527" s="1358"/>
      <c r="GBT527" s="1358"/>
      <c r="GBU527" s="1358"/>
      <c r="GBV527" s="1358"/>
      <c r="GBW527" s="1358"/>
      <c r="GBX527" s="1358"/>
      <c r="GBY527" s="1358"/>
      <c r="GBZ527" s="1358"/>
      <c r="GCA527" s="1358"/>
      <c r="GCB527" s="1358"/>
      <c r="GCC527" s="1358"/>
      <c r="GCD527" s="1358"/>
      <c r="GCE527" s="1358"/>
      <c r="GCF527" s="1358"/>
      <c r="GCG527" s="1358"/>
      <c r="GCH527" s="1358"/>
      <c r="GCI527" s="1358"/>
      <c r="GCJ527" s="1358"/>
      <c r="GCK527" s="1358"/>
      <c r="GCL527" s="1358"/>
      <c r="GCM527" s="1358"/>
      <c r="GCN527" s="1358"/>
      <c r="GCO527" s="1358"/>
      <c r="GCP527" s="1358"/>
      <c r="GCQ527" s="1358"/>
      <c r="GCR527" s="1358"/>
      <c r="GCS527" s="1358"/>
      <c r="GCT527" s="1358"/>
      <c r="GCU527" s="1358"/>
      <c r="GCV527" s="1358"/>
      <c r="GCW527" s="1358"/>
      <c r="GCX527" s="1358"/>
      <c r="GCY527" s="1358"/>
      <c r="GCZ527" s="1358"/>
      <c r="GDA527" s="1358"/>
      <c r="GDB527" s="1358"/>
      <c r="GDC527" s="1358"/>
      <c r="GDD527" s="1358"/>
      <c r="GDE527" s="1358"/>
      <c r="GDF527" s="1358"/>
      <c r="GDG527" s="1358"/>
      <c r="GDH527" s="1358"/>
      <c r="GDI527" s="1358"/>
      <c r="GDJ527" s="1358"/>
      <c r="GDK527" s="1358"/>
      <c r="GDL527" s="1358"/>
      <c r="GDM527" s="1358"/>
      <c r="GDN527" s="1358"/>
      <c r="GDO527" s="1358"/>
      <c r="GDP527" s="1358"/>
      <c r="GDQ527" s="1358"/>
      <c r="GDR527" s="1358"/>
      <c r="GDS527" s="1358"/>
      <c r="GDT527" s="1358"/>
      <c r="GDU527" s="1358"/>
      <c r="GDV527" s="1358"/>
      <c r="GDW527" s="1358"/>
      <c r="GDX527" s="1358"/>
      <c r="GDY527" s="1358"/>
      <c r="GDZ527" s="1358"/>
      <c r="GEA527" s="1358"/>
      <c r="GEB527" s="1358"/>
      <c r="GEC527" s="1358"/>
      <c r="GED527" s="1358"/>
      <c r="GEE527" s="1358"/>
      <c r="GEF527" s="1358"/>
      <c r="GEG527" s="1358"/>
      <c r="GEH527" s="1358"/>
      <c r="GEI527" s="1358"/>
      <c r="GEJ527" s="1358"/>
      <c r="GEK527" s="1358"/>
      <c r="GEL527" s="1358"/>
      <c r="GEM527" s="1358"/>
      <c r="GEN527" s="1358"/>
      <c r="GEO527" s="1358"/>
      <c r="GEP527" s="1358"/>
      <c r="GEQ527" s="1358"/>
      <c r="GER527" s="1358"/>
      <c r="GES527" s="1358"/>
      <c r="GET527" s="1358"/>
      <c r="GEU527" s="1358"/>
      <c r="GEV527" s="1358"/>
      <c r="GEW527" s="1358"/>
      <c r="GEX527" s="1358"/>
      <c r="GEY527" s="1358"/>
      <c r="GEZ527" s="1358"/>
      <c r="GFA527" s="1358"/>
      <c r="GFB527" s="1358"/>
      <c r="GFC527" s="1358"/>
      <c r="GFD527" s="1358"/>
      <c r="GFE527" s="1358"/>
      <c r="GFF527" s="1358"/>
      <c r="GFG527" s="1358"/>
      <c r="GFH527" s="1358"/>
      <c r="GFI527" s="1358"/>
      <c r="GFJ527" s="1358"/>
      <c r="GFK527" s="1358"/>
      <c r="GFL527" s="1358"/>
      <c r="GFM527" s="1358"/>
      <c r="GFN527" s="1358"/>
      <c r="GFO527" s="1358"/>
      <c r="GFP527" s="1358"/>
      <c r="GFQ527" s="1358"/>
      <c r="GFR527" s="1358"/>
      <c r="GFS527" s="1358"/>
      <c r="GFT527" s="1358"/>
      <c r="GFU527" s="1358"/>
      <c r="GFV527" s="1358"/>
      <c r="GFW527" s="1358"/>
      <c r="GFX527" s="1358"/>
      <c r="GFY527" s="1358"/>
      <c r="GFZ527" s="1358"/>
      <c r="GGA527" s="1358"/>
      <c r="GGB527" s="1358"/>
      <c r="GGC527" s="1358"/>
      <c r="GGD527" s="1358"/>
      <c r="GGE527" s="1358"/>
      <c r="GGF527" s="1358"/>
      <c r="GGG527" s="1358"/>
      <c r="GGH527" s="1358"/>
      <c r="GGI527" s="1358"/>
      <c r="GGJ527" s="1358"/>
      <c r="GGK527" s="1358"/>
      <c r="GGL527" s="1358"/>
      <c r="GGM527" s="1358"/>
      <c r="GGN527" s="1358"/>
      <c r="GGO527" s="1358"/>
      <c r="GGP527" s="1358"/>
      <c r="GGQ527" s="1358"/>
      <c r="GGR527" s="1358"/>
      <c r="GGS527" s="1358"/>
      <c r="GGT527" s="1358"/>
      <c r="GGU527" s="1358"/>
      <c r="GGV527" s="1358"/>
      <c r="GGW527" s="1358"/>
      <c r="GGX527" s="1358"/>
      <c r="GGY527" s="1358"/>
      <c r="GGZ527" s="1358"/>
      <c r="GHA527" s="1358"/>
      <c r="GHB527" s="1358"/>
      <c r="GHC527" s="1358"/>
      <c r="GHD527" s="1358"/>
      <c r="GHE527" s="1358"/>
      <c r="GHF527" s="1358"/>
      <c r="GHG527" s="1358"/>
      <c r="GHH527" s="1358"/>
      <c r="GHI527" s="1358"/>
      <c r="GHJ527" s="1358"/>
      <c r="GHK527" s="1358"/>
      <c r="GHL527" s="1358"/>
      <c r="GHM527" s="1358"/>
      <c r="GHN527" s="1358"/>
      <c r="GHO527" s="1358"/>
      <c r="GHP527" s="1358"/>
      <c r="GHQ527" s="1358"/>
      <c r="GHR527" s="1358"/>
      <c r="GHS527" s="1358"/>
      <c r="GHT527" s="1358"/>
      <c r="GHU527" s="1358"/>
      <c r="GHV527" s="1358"/>
      <c r="GHW527" s="1358"/>
      <c r="GHX527" s="1358"/>
      <c r="GHY527" s="1358"/>
      <c r="GHZ527" s="1358"/>
      <c r="GIA527" s="1358"/>
      <c r="GIB527" s="1358"/>
      <c r="GIC527" s="1358"/>
      <c r="GID527" s="1358"/>
      <c r="GIE527" s="1358"/>
      <c r="GIF527" s="1358"/>
      <c r="GIG527" s="1358"/>
      <c r="GIH527" s="1358"/>
      <c r="GII527" s="1358"/>
      <c r="GIJ527" s="1358"/>
      <c r="GIK527" s="1358"/>
      <c r="GIL527" s="1358"/>
      <c r="GIM527" s="1358"/>
      <c r="GIN527" s="1358"/>
      <c r="GIO527" s="1358"/>
      <c r="GIP527" s="1358"/>
      <c r="GIQ527" s="1358"/>
      <c r="GIR527" s="1358"/>
      <c r="GIS527" s="1358"/>
      <c r="GIT527" s="1358"/>
      <c r="GIU527" s="1358"/>
      <c r="GIV527" s="1358"/>
      <c r="GIW527" s="1358"/>
      <c r="GIX527" s="1358"/>
      <c r="GIY527" s="1358"/>
      <c r="GIZ527" s="1358"/>
      <c r="GJA527" s="1358"/>
      <c r="GJB527" s="1358"/>
      <c r="GJC527" s="1358"/>
      <c r="GJD527" s="1358"/>
      <c r="GJE527" s="1358"/>
      <c r="GJF527" s="1358"/>
      <c r="GJG527" s="1358"/>
      <c r="GJH527" s="1358"/>
      <c r="GJI527" s="1358"/>
      <c r="GJJ527" s="1358"/>
      <c r="GJK527" s="1358"/>
      <c r="GJL527" s="1358"/>
      <c r="GJM527" s="1358"/>
      <c r="GJN527" s="1358"/>
      <c r="GJO527" s="1358"/>
      <c r="GJP527" s="1358"/>
      <c r="GJQ527" s="1358"/>
      <c r="GJR527" s="1358"/>
      <c r="GJS527" s="1358"/>
      <c r="GJT527" s="1358"/>
      <c r="GJU527" s="1358"/>
      <c r="GJV527" s="1358"/>
      <c r="GJW527" s="1358"/>
      <c r="GJX527" s="1358"/>
      <c r="GJY527" s="1358"/>
      <c r="GJZ527" s="1358"/>
      <c r="GKA527" s="1358"/>
      <c r="GKB527" s="1358"/>
      <c r="GKC527" s="1358"/>
      <c r="GKD527" s="1358"/>
      <c r="GKE527" s="1358"/>
      <c r="GKF527" s="1358"/>
      <c r="GKG527" s="1358"/>
      <c r="GKH527" s="1358"/>
      <c r="GKI527" s="1358"/>
      <c r="GKJ527" s="1358"/>
      <c r="GKK527" s="1358"/>
      <c r="GKL527" s="1358"/>
      <c r="GKM527" s="1358"/>
      <c r="GKN527" s="1358"/>
      <c r="GKO527" s="1358"/>
      <c r="GKP527" s="1358"/>
      <c r="GKQ527" s="1358"/>
      <c r="GKR527" s="1358"/>
      <c r="GKS527" s="1358"/>
      <c r="GKT527" s="1358"/>
      <c r="GKU527" s="1358"/>
      <c r="GKV527" s="1358"/>
      <c r="GKW527" s="1358"/>
      <c r="GKX527" s="1358"/>
      <c r="GKY527" s="1358"/>
      <c r="GKZ527" s="1358"/>
      <c r="GLA527" s="1358"/>
      <c r="GLB527" s="1358"/>
      <c r="GLC527" s="1358"/>
      <c r="GLD527" s="1358"/>
      <c r="GLE527" s="1358"/>
      <c r="GLF527" s="1358"/>
      <c r="GLG527" s="1358"/>
      <c r="GLH527" s="1358"/>
      <c r="GLI527" s="1358"/>
      <c r="GLJ527" s="1358"/>
      <c r="GLK527" s="1358"/>
      <c r="GLL527" s="1358"/>
      <c r="GLM527" s="1358"/>
      <c r="GLN527" s="1358"/>
      <c r="GLO527" s="1358"/>
      <c r="GLP527" s="1358"/>
      <c r="GLQ527" s="1358"/>
      <c r="GLR527" s="1358"/>
      <c r="GLS527" s="1358"/>
      <c r="GLT527" s="1358"/>
      <c r="GLU527" s="1358"/>
      <c r="GLV527" s="1358"/>
      <c r="GLW527" s="1358"/>
      <c r="GLX527" s="1358"/>
      <c r="GLY527" s="1358"/>
      <c r="GLZ527" s="1358"/>
      <c r="GMA527" s="1358"/>
      <c r="GMB527" s="1358"/>
      <c r="GMC527" s="1358"/>
      <c r="GMD527" s="1358"/>
      <c r="GME527" s="1358"/>
      <c r="GMF527" s="1358"/>
      <c r="GMG527" s="1358"/>
      <c r="GMH527" s="1358"/>
      <c r="GMI527" s="1358"/>
      <c r="GMJ527" s="1358"/>
      <c r="GMK527" s="1358"/>
      <c r="GML527" s="1358"/>
      <c r="GMM527" s="1358"/>
      <c r="GMN527" s="1358"/>
      <c r="GMO527" s="1358"/>
      <c r="GMP527" s="1358"/>
      <c r="GMQ527" s="1358"/>
      <c r="GMR527" s="1358"/>
      <c r="GMS527" s="1358"/>
      <c r="GMT527" s="1358"/>
      <c r="GMU527" s="1358"/>
      <c r="GMV527" s="1358"/>
      <c r="GMW527" s="1358"/>
      <c r="GMX527" s="1358"/>
      <c r="GMY527" s="1358"/>
      <c r="GMZ527" s="1358"/>
      <c r="GNA527" s="1358"/>
      <c r="GNB527" s="1358"/>
      <c r="GNC527" s="1358"/>
      <c r="GND527" s="1358"/>
      <c r="GNE527" s="1358"/>
      <c r="GNF527" s="1358"/>
      <c r="GNG527" s="1358"/>
      <c r="GNH527" s="1358"/>
      <c r="GNI527" s="1358"/>
      <c r="GNJ527" s="1358"/>
      <c r="GNK527" s="1358"/>
      <c r="GNL527" s="1358"/>
      <c r="GNM527" s="1358"/>
      <c r="GNN527" s="1358"/>
      <c r="GNO527" s="1358"/>
      <c r="GNP527" s="1358"/>
      <c r="GNQ527" s="1358"/>
      <c r="GNR527" s="1358"/>
      <c r="GNS527" s="1358"/>
      <c r="GNT527" s="1358"/>
      <c r="GNU527" s="1358"/>
      <c r="GNV527" s="1358"/>
      <c r="GNW527" s="1358"/>
      <c r="GNX527" s="1358"/>
      <c r="GNY527" s="1358"/>
      <c r="GNZ527" s="1358"/>
      <c r="GOA527" s="1358"/>
      <c r="GOB527" s="1358"/>
      <c r="GOC527" s="1358"/>
      <c r="GOD527" s="1358"/>
      <c r="GOE527" s="1358"/>
      <c r="GOF527" s="1358"/>
      <c r="GOG527" s="1358"/>
      <c r="GOH527" s="1358"/>
      <c r="GOI527" s="1358"/>
      <c r="GOJ527" s="1358"/>
      <c r="GOK527" s="1358"/>
      <c r="GOL527" s="1358"/>
      <c r="GOM527" s="1358"/>
      <c r="GON527" s="1358"/>
      <c r="GOO527" s="1358"/>
      <c r="GOP527" s="1358"/>
      <c r="GOQ527" s="1358"/>
      <c r="GOR527" s="1358"/>
      <c r="GOS527" s="1358"/>
      <c r="GOT527" s="1358"/>
      <c r="GOU527" s="1358"/>
      <c r="GOV527" s="1358"/>
      <c r="GOW527" s="1358"/>
      <c r="GOX527" s="1358"/>
      <c r="GOY527" s="1358"/>
      <c r="GOZ527" s="1358"/>
      <c r="GPA527" s="1358"/>
      <c r="GPB527" s="1358"/>
      <c r="GPC527" s="1358"/>
      <c r="GPD527" s="1358"/>
      <c r="GPE527" s="1358"/>
      <c r="GPF527" s="1358"/>
      <c r="GPG527" s="1358"/>
      <c r="GPH527" s="1358"/>
      <c r="GPI527" s="1358"/>
      <c r="GPJ527" s="1358"/>
      <c r="GPK527" s="1358"/>
      <c r="GPL527" s="1358"/>
      <c r="GPM527" s="1358"/>
      <c r="GPN527" s="1358"/>
      <c r="GPO527" s="1358"/>
      <c r="GPP527" s="1358"/>
      <c r="GPQ527" s="1358"/>
      <c r="GPR527" s="1358"/>
      <c r="GPS527" s="1358"/>
      <c r="GPT527" s="1358"/>
      <c r="GPU527" s="1358"/>
      <c r="GPV527" s="1358"/>
      <c r="GPW527" s="1358"/>
      <c r="GPX527" s="1358"/>
      <c r="GPY527" s="1358"/>
      <c r="GPZ527" s="1358"/>
      <c r="GQA527" s="1358"/>
      <c r="GQB527" s="1358"/>
      <c r="GQC527" s="1358"/>
      <c r="GQD527" s="1358"/>
      <c r="GQE527" s="1358"/>
      <c r="GQF527" s="1358"/>
      <c r="GQG527" s="1358"/>
      <c r="GQH527" s="1358"/>
      <c r="GQI527" s="1358"/>
      <c r="GQJ527" s="1358"/>
      <c r="GQK527" s="1358"/>
      <c r="GQL527" s="1358"/>
      <c r="GQM527" s="1358"/>
      <c r="GQN527" s="1358"/>
      <c r="GQO527" s="1358"/>
      <c r="GQP527" s="1358"/>
      <c r="GQQ527" s="1358"/>
      <c r="GQR527" s="1358"/>
      <c r="GQS527" s="1358"/>
      <c r="GQT527" s="1358"/>
      <c r="GQU527" s="1358"/>
      <c r="GQV527" s="1358"/>
      <c r="GQW527" s="1358"/>
      <c r="GQX527" s="1358"/>
      <c r="GQY527" s="1358"/>
      <c r="GQZ527" s="1358"/>
      <c r="GRA527" s="1358"/>
      <c r="GRB527" s="1358"/>
      <c r="GRC527" s="1358"/>
      <c r="GRD527" s="1358"/>
      <c r="GRE527" s="1358"/>
      <c r="GRF527" s="1358"/>
      <c r="GRG527" s="1358"/>
      <c r="GRH527" s="1358"/>
      <c r="GRI527" s="1358"/>
      <c r="GRJ527" s="1358"/>
      <c r="GRK527" s="1358"/>
      <c r="GRL527" s="1358"/>
      <c r="GRM527" s="1358"/>
      <c r="GRN527" s="1358"/>
      <c r="GRO527" s="1358"/>
      <c r="GRP527" s="1358"/>
      <c r="GRQ527" s="1358"/>
      <c r="GRR527" s="1358"/>
      <c r="GRS527" s="1358"/>
      <c r="GRT527" s="1358"/>
      <c r="GRU527" s="1358"/>
      <c r="GRV527" s="1358"/>
      <c r="GRW527" s="1358"/>
      <c r="GRX527" s="1358"/>
      <c r="GRY527" s="1358"/>
      <c r="GRZ527" s="1358"/>
      <c r="GSA527" s="1358"/>
      <c r="GSB527" s="1358"/>
      <c r="GSC527" s="1358"/>
      <c r="GSD527" s="1358"/>
      <c r="GSE527" s="1358"/>
      <c r="GSF527" s="1358"/>
      <c r="GSG527" s="1358"/>
      <c r="GSH527" s="1358"/>
      <c r="GSI527" s="1358"/>
      <c r="GSJ527" s="1358"/>
      <c r="GSK527" s="1358"/>
      <c r="GSL527" s="1358"/>
      <c r="GSM527" s="1358"/>
      <c r="GSN527" s="1358"/>
      <c r="GSO527" s="1358"/>
      <c r="GSP527" s="1358"/>
      <c r="GSQ527" s="1358"/>
      <c r="GSR527" s="1358"/>
      <c r="GSS527" s="1358"/>
      <c r="GST527" s="1358"/>
      <c r="GSU527" s="1358"/>
      <c r="GSV527" s="1358"/>
      <c r="GSW527" s="1358"/>
      <c r="GSX527" s="1358"/>
      <c r="GSY527" s="1358"/>
      <c r="GSZ527" s="1358"/>
      <c r="GTA527" s="1358"/>
      <c r="GTB527" s="1358"/>
      <c r="GTC527" s="1358"/>
      <c r="GTD527" s="1358"/>
      <c r="GTE527" s="1358"/>
      <c r="GTF527" s="1358"/>
      <c r="GTG527" s="1358"/>
      <c r="GTH527" s="1358"/>
      <c r="GTI527" s="1358"/>
      <c r="GTJ527" s="1358"/>
      <c r="GTK527" s="1358"/>
      <c r="GTL527" s="1358"/>
      <c r="GTM527" s="1358"/>
      <c r="GTN527" s="1358"/>
      <c r="GTO527" s="1358"/>
      <c r="GTP527" s="1358"/>
      <c r="GTQ527" s="1358"/>
      <c r="GTR527" s="1358"/>
      <c r="GTS527" s="1358"/>
      <c r="GTT527" s="1358"/>
      <c r="GTU527" s="1358"/>
      <c r="GTV527" s="1358"/>
      <c r="GTW527" s="1358"/>
      <c r="GTX527" s="1358"/>
      <c r="GTY527" s="1358"/>
      <c r="GTZ527" s="1358"/>
      <c r="GUA527" s="1358"/>
      <c r="GUB527" s="1358"/>
      <c r="GUC527" s="1358"/>
      <c r="GUD527" s="1358"/>
      <c r="GUE527" s="1358"/>
      <c r="GUF527" s="1358"/>
      <c r="GUG527" s="1358"/>
      <c r="GUH527" s="1358"/>
      <c r="GUI527" s="1358"/>
      <c r="GUJ527" s="1358"/>
      <c r="GUK527" s="1358"/>
      <c r="GUL527" s="1358"/>
      <c r="GUM527" s="1358"/>
      <c r="GUN527" s="1358"/>
      <c r="GUO527" s="1358"/>
      <c r="GUP527" s="1358"/>
      <c r="GUQ527" s="1358"/>
      <c r="GUR527" s="1358"/>
      <c r="GUS527" s="1358"/>
      <c r="GUT527" s="1358"/>
      <c r="GUU527" s="1358"/>
      <c r="GUV527" s="1358"/>
      <c r="GUW527" s="1358"/>
      <c r="GUX527" s="1358"/>
      <c r="GUY527" s="1358"/>
      <c r="GUZ527" s="1358"/>
      <c r="GVA527" s="1358"/>
      <c r="GVB527" s="1358"/>
      <c r="GVC527" s="1358"/>
      <c r="GVD527" s="1358"/>
      <c r="GVE527" s="1358"/>
      <c r="GVF527" s="1358"/>
      <c r="GVG527" s="1358"/>
      <c r="GVH527" s="1358"/>
      <c r="GVI527" s="1358"/>
      <c r="GVJ527" s="1358"/>
      <c r="GVK527" s="1358"/>
      <c r="GVL527" s="1358"/>
      <c r="GVM527" s="1358"/>
      <c r="GVN527" s="1358"/>
      <c r="GVO527" s="1358"/>
      <c r="GVP527" s="1358"/>
      <c r="GVQ527" s="1358"/>
      <c r="GVR527" s="1358"/>
      <c r="GVS527" s="1358"/>
      <c r="GVT527" s="1358"/>
      <c r="GVU527" s="1358"/>
      <c r="GVV527" s="1358"/>
      <c r="GVW527" s="1358"/>
      <c r="GVX527" s="1358"/>
      <c r="GVY527" s="1358"/>
      <c r="GVZ527" s="1358"/>
      <c r="GWA527" s="1358"/>
      <c r="GWB527" s="1358"/>
      <c r="GWC527" s="1358"/>
      <c r="GWD527" s="1358"/>
      <c r="GWE527" s="1358"/>
      <c r="GWF527" s="1358"/>
      <c r="GWG527" s="1358"/>
      <c r="GWH527" s="1358"/>
      <c r="GWI527" s="1358"/>
      <c r="GWJ527" s="1358"/>
      <c r="GWK527" s="1358"/>
      <c r="GWL527" s="1358"/>
      <c r="GWM527" s="1358"/>
      <c r="GWN527" s="1358"/>
      <c r="GWO527" s="1358"/>
      <c r="GWP527" s="1358"/>
      <c r="GWQ527" s="1358"/>
      <c r="GWR527" s="1358"/>
      <c r="GWS527" s="1358"/>
      <c r="GWT527" s="1358"/>
      <c r="GWU527" s="1358"/>
      <c r="GWV527" s="1358"/>
      <c r="GWW527" s="1358"/>
      <c r="GWX527" s="1358"/>
      <c r="GWY527" s="1358"/>
      <c r="GWZ527" s="1358"/>
      <c r="GXA527" s="1358"/>
      <c r="GXB527" s="1358"/>
      <c r="GXC527" s="1358"/>
      <c r="GXD527" s="1358"/>
      <c r="GXE527" s="1358"/>
      <c r="GXF527" s="1358"/>
      <c r="GXG527" s="1358"/>
      <c r="GXH527" s="1358"/>
      <c r="GXI527" s="1358"/>
      <c r="GXJ527" s="1358"/>
      <c r="GXK527" s="1358"/>
      <c r="GXL527" s="1358"/>
      <c r="GXM527" s="1358"/>
      <c r="GXN527" s="1358"/>
      <c r="GXO527" s="1358"/>
      <c r="GXP527" s="1358"/>
      <c r="GXQ527" s="1358"/>
      <c r="GXR527" s="1358"/>
      <c r="GXS527" s="1358"/>
      <c r="GXT527" s="1358"/>
      <c r="GXU527" s="1358"/>
      <c r="GXV527" s="1358"/>
      <c r="GXW527" s="1358"/>
      <c r="GXX527" s="1358"/>
      <c r="GXY527" s="1358"/>
      <c r="GXZ527" s="1358"/>
      <c r="GYA527" s="1358"/>
      <c r="GYB527" s="1358"/>
      <c r="GYC527" s="1358"/>
      <c r="GYD527" s="1358"/>
      <c r="GYE527" s="1358"/>
      <c r="GYF527" s="1358"/>
      <c r="GYG527" s="1358"/>
      <c r="GYH527" s="1358"/>
      <c r="GYI527" s="1358"/>
      <c r="GYJ527" s="1358"/>
      <c r="GYK527" s="1358"/>
      <c r="GYL527" s="1358"/>
      <c r="GYM527" s="1358"/>
      <c r="GYN527" s="1358"/>
      <c r="GYO527" s="1358"/>
      <c r="GYP527" s="1358"/>
      <c r="GYQ527" s="1358"/>
      <c r="GYR527" s="1358"/>
      <c r="GYS527" s="1358"/>
      <c r="GYT527" s="1358"/>
      <c r="GYU527" s="1358"/>
      <c r="GYV527" s="1358"/>
      <c r="GYW527" s="1358"/>
      <c r="GYX527" s="1358"/>
      <c r="GYY527" s="1358"/>
      <c r="GYZ527" s="1358"/>
      <c r="GZA527" s="1358"/>
      <c r="GZB527" s="1358"/>
      <c r="GZC527" s="1358"/>
      <c r="GZD527" s="1358"/>
      <c r="GZE527" s="1358"/>
      <c r="GZF527" s="1358"/>
      <c r="GZG527" s="1358"/>
      <c r="GZH527" s="1358"/>
      <c r="GZI527" s="1358"/>
      <c r="GZJ527" s="1358"/>
      <c r="GZK527" s="1358"/>
      <c r="GZL527" s="1358"/>
      <c r="GZM527" s="1358"/>
      <c r="GZN527" s="1358"/>
      <c r="GZO527" s="1358"/>
      <c r="GZP527" s="1358"/>
      <c r="GZQ527" s="1358"/>
      <c r="GZR527" s="1358"/>
      <c r="GZS527" s="1358"/>
      <c r="GZT527" s="1358"/>
      <c r="GZU527" s="1358"/>
      <c r="GZV527" s="1358"/>
      <c r="GZW527" s="1358"/>
      <c r="GZX527" s="1358"/>
      <c r="GZY527" s="1358"/>
      <c r="GZZ527" s="1358"/>
      <c r="HAA527" s="1358"/>
      <c r="HAB527" s="1358"/>
      <c r="HAC527" s="1358"/>
      <c r="HAD527" s="1358"/>
      <c r="HAE527" s="1358"/>
      <c r="HAF527" s="1358"/>
      <c r="HAG527" s="1358"/>
      <c r="HAH527" s="1358"/>
      <c r="HAI527" s="1358"/>
      <c r="HAJ527" s="1358"/>
      <c r="HAK527" s="1358"/>
      <c r="HAL527" s="1358"/>
      <c r="HAM527" s="1358"/>
      <c r="HAN527" s="1358"/>
      <c r="HAO527" s="1358"/>
      <c r="HAP527" s="1358"/>
      <c r="HAQ527" s="1358"/>
      <c r="HAR527" s="1358"/>
      <c r="HAS527" s="1358"/>
      <c r="HAT527" s="1358"/>
      <c r="HAU527" s="1358"/>
      <c r="HAV527" s="1358"/>
      <c r="HAW527" s="1358"/>
      <c r="HAX527" s="1358"/>
      <c r="HAY527" s="1358"/>
      <c r="HAZ527" s="1358"/>
      <c r="HBA527" s="1358"/>
      <c r="HBB527" s="1358"/>
      <c r="HBC527" s="1358"/>
      <c r="HBD527" s="1358"/>
      <c r="HBE527" s="1358"/>
      <c r="HBF527" s="1358"/>
      <c r="HBG527" s="1358"/>
      <c r="HBH527" s="1358"/>
      <c r="HBI527" s="1358"/>
      <c r="HBJ527" s="1358"/>
      <c r="HBK527" s="1358"/>
      <c r="HBL527" s="1358"/>
      <c r="HBM527" s="1358"/>
      <c r="HBN527" s="1358"/>
      <c r="HBO527" s="1358"/>
      <c r="HBP527" s="1358"/>
      <c r="HBQ527" s="1358"/>
      <c r="HBR527" s="1358"/>
      <c r="HBS527" s="1358"/>
      <c r="HBT527" s="1358"/>
      <c r="HBU527" s="1358"/>
      <c r="HBV527" s="1358"/>
      <c r="HBW527" s="1358"/>
      <c r="HBX527" s="1358"/>
      <c r="HBY527" s="1358"/>
      <c r="HBZ527" s="1358"/>
      <c r="HCA527" s="1358"/>
      <c r="HCB527" s="1358"/>
      <c r="HCC527" s="1358"/>
      <c r="HCD527" s="1358"/>
      <c r="HCE527" s="1358"/>
      <c r="HCF527" s="1358"/>
      <c r="HCG527" s="1358"/>
      <c r="HCH527" s="1358"/>
      <c r="HCI527" s="1358"/>
      <c r="HCJ527" s="1358"/>
      <c r="HCK527" s="1358"/>
      <c r="HCL527" s="1358"/>
      <c r="HCM527" s="1358"/>
      <c r="HCN527" s="1358"/>
      <c r="HCO527" s="1358"/>
      <c r="HCP527" s="1358"/>
      <c r="HCQ527" s="1358"/>
      <c r="HCR527" s="1358"/>
      <c r="HCS527" s="1358"/>
      <c r="HCT527" s="1358"/>
      <c r="HCU527" s="1358"/>
      <c r="HCV527" s="1358"/>
      <c r="HCW527" s="1358"/>
      <c r="HCX527" s="1358"/>
      <c r="HCY527" s="1358"/>
      <c r="HCZ527" s="1358"/>
      <c r="HDA527" s="1358"/>
      <c r="HDB527" s="1358"/>
      <c r="HDC527" s="1358"/>
      <c r="HDD527" s="1358"/>
      <c r="HDE527" s="1358"/>
      <c r="HDF527" s="1358"/>
      <c r="HDG527" s="1358"/>
      <c r="HDH527" s="1358"/>
      <c r="HDI527" s="1358"/>
      <c r="HDJ527" s="1358"/>
      <c r="HDK527" s="1358"/>
      <c r="HDL527" s="1358"/>
      <c r="HDM527" s="1358"/>
      <c r="HDN527" s="1358"/>
      <c r="HDO527" s="1358"/>
      <c r="HDP527" s="1358"/>
      <c r="HDQ527" s="1358"/>
      <c r="HDR527" s="1358"/>
      <c r="HDS527" s="1358"/>
      <c r="HDT527" s="1358"/>
      <c r="HDU527" s="1358"/>
      <c r="HDV527" s="1358"/>
      <c r="HDW527" s="1358"/>
      <c r="HDX527" s="1358"/>
      <c r="HDY527" s="1358"/>
      <c r="HDZ527" s="1358"/>
      <c r="HEA527" s="1358"/>
      <c r="HEB527" s="1358"/>
      <c r="HEC527" s="1358"/>
      <c r="HED527" s="1358"/>
      <c r="HEE527" s="1358"/>
      <c r="HEF527" s="1358"/>
      <c r="HEG527" s="1358"/>
      <c r="HEH527" s="1358"/>
      <c r="HEI527" s="1358"/>
      <c r="HEJ527" s="1358"/>
      <c r="HEK527" s="1358"/>
      <c r="HEL527" s="1358"/>
      <c r="HEM527" s="1358"/>
      <c r="HEN527" s="1358"/>
      <c r="HEO527" s="1358"/>
      <c r="HEP527" s="1358"/>
      <c r="HEQ527" s="1358"/>
      <c r="HER527" s="1358"/>
      <c r="HES527" s="1358"/>
      <c r="HET527" s="1358"/>
      <c r="HEU527" s="1358"/>
      <c r="HEV527" s="1358"/>
      <c r="HEW527" s="1358"/>
      <c r="HEX527" s="1358"/>
      <c r="HEY527" s="1358"/>
      <c r="HEZ527" s="1358"/>
      <c r="HFA527" s="1358"/>
      <c r="HFB527" s="1358"/>
      <c r="HFC527" s="1358"/>
      <c r="HFD527" s="1358"/>
      <c r="HFE527" s="1358"/>
      <c r="HFF527" s="1358"/>
      <c r="HFG527" s="1358"/>
      <c r="HFH527" s="1358"/>
      <c r="HFI527" s="1358"/>
      <c r="HFJ527" s="1358"/>
      <c r="HFK527" s="1358"/>
      <c r="HFL527" s="1358"/>
      <c r="HFM527" s="1358"/>
      <c r="HFN527" s="1358"/>
      <c r="HFO527" s="1358"/>
      <c r="HFP527" s="1358"/>
      <c r="HFQ527" s="1358"/>
      <c r="HFR527" s="1358"/>
      <c r="HFS527" s="1358"/>
      <c r="HFT527" s="1358"/>
      <c r="HFU527" s="1358"/>
      <c r="HFV527" s="1358"/>
      <c r="HFW527" s="1358"/>
      <c r="HFX527" s="1358"/>
      <c r="HFY527" s="1358"/>
      <c r="HFZ527" s="1358"/>
      <c r="HGA527" s="1358"/>
      <c r="HGB527" s="1358"/>
      <c r="HGC527" s="1358"/>
      <c r="HGD527" s="1358"/>
      <c r="HGE527" s="1358"/>
      <c r="HGF527" s="1358"/>
      <c r="HGG527" s="1358"/>
      <c r="HGH527" s="1358"/>
      <c r="HGI527" s="1358"/>
      <c r="HGJ527" s="1358"/>
      <c r="HGK527" s="1358"/>
      <c r="HGL527" s="1358"/>
      <c r="HGM527" s="1358"/>
      <c r="HGN527" s="1358"/>
      <c r="HGO527" s="1358"/>
      <c r="HGP527" s="1358"/>
      <c r="HGQ527" s="1358"/>
      <c r="HGR527" s="1358"/>
      <c r="HGS527" s="1358"/>
      <c r="HGT527" s="1358"/>
      <c r="HGU527" s="1358"/>
      <c r="HGV527" s="1358"/>
      <c r="HGW527" s="1358"/>
      <c r="HGX527" s="1358"/>
      <c r="HGY527" s="1358"/>
      <c r="HGZ527" s="1358"/>
      <c r="HHA527" s="1358"/>
      <c r="HHB527" s="1358"/>
      <c r="HHC527" s="1358"/>
      <c r="HHD527" s="1358"/>
      <c r="HHE527" s="1358"/>
      <c r="HHF527" s="1358"/>
      <c r="HHG527" s="1358"/>
      <c r="HHH527" s="1358"/>
      <c r="HHI527" s="1358"/>
      <c r="HHJ527" s="1358"/>
      <c r="HHK527" s="1358"/>
      <c r="HHL527" s="1358"/>
      <c r="HHM527" s="1358"/>
      <c r="HHN527" s="1358"/>
      <c r="HHO527" s="1358"/>
      <c r="HHP527" s="1358"/>
      <c r="HHQ527" s="1358"/>
      <c r="HHR527" s="1358"/>
      <c r="HHS527" s="1358"/>
      <c r="HHT527" s="1358"/>
      <c r="HHU527" s="1358"/>
      <c r="HHV527" s="1358"/>
      <c r="HHW527" s="1358"/>
      <c r="HHX527" s="1358"/>
      <c r="HHY527" s="1358"/>
      <c r="HHZ527" s="1358"/>
      <c r="HIA527" s="1358"/>
      <c r="HIB527" s="1358"/>
      <c r="HIC527" s="1358"/>
      <c r="HID527" s="1358"/>
      <c r="HIE527" s="1358"/>
      <c r="HIF527" s="1358"/>
      <c r="HIG527" s="1358"/>
      <c r="HIH527" s="1358"/>
      <c r="HII527" s="1358"/>
      <c r="HIJ527" s="1358"/>
      <c r="HIK527" s="1358"/>
      <c r="HIL527" s="1358"/>
      <c r="HIM527" s="1358"/>
      <c r="HIN527" s="1358"/>
      <c r="HIO527" s="1358"/>
      <c r="HIP527" s="1358"/>
      <c r="HIQ527" s="1358"/>
      <c r="HIR527" s="1358"/>
      <c r="HIS527" s="1358"/>
      <c r="HIT527" s="1358"/>
      <c r="HIU527" s="1358"/>
      <c r="HIV527" s="1358"/>
      <c r="HIW527" s="1358"/>
      <c r="HIX527" s="1358"/>
      <c r="HIY527" s="1358"/>
      <c r="HIZ527" s="1358"/>
      <c r="HJA527" s="1358"/>
      <c r="HJB527" s="1358"/>
      <c r="HJC527" s="1358"/>
      <c r="HJD527" s="1358"/>
      <c r="HJE527" s="1358"/>
      <c r="HJF527" s="1358"/>
      <c r="HJG527" s="1358"/>
      <c r="HJH527" s="1358"/>
      <c r="HJI527" s="1358"/>
      <c r="HJJ527" s="1358"/>
      <c r="HJK527" s="1358"/>
      <c r="HJL527" s="1358"/>
      <c r="HJM527" s="1358"/>
      <c r="HJN527" s="1358"/>
      <c r="HJO527" s="1358"/>
      <c r="HJP527" s="1358"/>
      <c r="HJQ527" s="1358"/>
      <c r="HJR527" s="1358"/>
      <c r="HJS527" s="1358"/>
      <c r="HJT527" s="1358"/>
      <c r="HJU527" s="1358"/>
      <c r="HJV527" s="1358"/>
      <c r="HJW527" s="1358"/>
      <c r="HJX527" s="1358"/>
      <c r="HJY527" s="1358"/>
      <c r="HJZ527" s="1358"/>
      <c r="HKA527" s="1358"/>
      <c r="HKB527" s="1358"/>
      <c r="HKC527" s="1358"/>
      <c r="HKD527" s="1358"/>
      <c r="HKE527" s="1358"/>
      <c r="HKF527" s="1358"/>
      <c r="HKG527" s="1358"/>
      <c r="HKH527" s="1358"/>
      <c r="HKI527" s="1358"/>
      <c r="HKJ527" s="1358"/>
      <c r="HKK527" s="1358"/>
      <c r="HKL527" s="1358"/>
      <c r="HKM527" s="1358"/>
      <c r="HKN527" s="1358"/>
      <c r="HKO527" s="1358"/>
      <c r="HKP527" s="1358"/>
      <c r="HKQ527" s="1358"/>
      <c r="HKR527" s="1358"/>
      <c r="HKS527" s="1358"/>
      <c r="HKT527" s="1358"/>
      <c r="HKU527" s="1358"/>
      <c r="HKV527" s="1358"/>
      <c r="HKW527" s="1358"/>
      <c r="HKX527" s="1358"/>
      <c r="HKY527" s="1358"/>
      <c r="HKZ527" s="1358"/>
      <c r="HLA527" s="1358"/>
      <c r="HLB527" s="1358"/>
      <c r="HLC527" s="1358"/>
      <c r="HLD527" s="1358"/>
      <c r="HLE527" s="1358"/>
      <c r="HLF527" s="1358"/>
      <c r="HLG527" s="1358"/>
      <c r="HLH527" s="1358"/>
      <c r="HLI527" s="1358"/>
      <c r="HLJ527" s="1358"/>
      <c r="HLK527" s="1358"/>
      <c r="HLL527" s="1358"/>
      <c r="HLM527" s="1358"/>
      <c r="HLN527" s="1358"/>
      <c r="HLO527" s="1358"/>
      <c r="HLP527" s="1358"/>
      <c r="HLQ527" s="1358"/>
      <c r="HLR527" s="1358"/>
      <c r="HLS527" s="1358"/>
      <c r="HLT527" s="1358"/>
      <c r="HLU527" s="1358"/>
      <c r="HLV527" s="1358"/>
      <c r="HLW527" s="1358"/>
      <c r="HLX527" s="1358"/>
      <c r="HLY527" s="1358"/>
      <c r="HLZ527" s="1358"/>
      <c r="HMA527" s="1358"/>
      <c r="HMB527" s="1358"/>
      <c r="HMC527" s="1358"/>
      <c r="HMD527" s="1358"/>
      <c r="HME527" s="1358"/>
      <c r="HMF527" s="1358"/>
      <c r="HMG527" s="1358"/>
      <c r="HMH527" s="1358"/>
      <c r="HMI527" s="1358"/>
      <c r="HMJ527" s="1358"/>
      <c r="HMK527" s="1358"/>
      <c r="HML527" s="1358"/>
      <c r="HMM527" s="1358"/>
      <c r="HMN527" s="1358"/>
      <c r="HMO527" s="1358"/>
      <c r="HMP527" s="1358"/>
      <c r="HMQ527" s="1358"/>
      <c r="HMR527" s="1358"/>
      <c r="HMS527" s="1358"/>
      <c r="HMT527" s="1358"/>
      <c r="HMU527" s="1358"/>
      <c r="HMV527" s="1358"/>
      <c r="HMW527" s="1358"/>
      <c r="HMX527" s="1358"/>
      <c r="HMY527" s="1358"/>
      <c r="HMZ527" s="1358"/>
      <c r="HNA527" s="1358"/>
      <c r="HNB527" s="1358"/>
      <c r="HNC527" s="1358"/>
      <c r="HND527" s="1358"/>
      <c r="HNE527" s="1358"/>
      <c r="HNF527" s="1358"/>
      <c r="HNG527" s="1358"/>
      <c r="HNH527" s="1358"/>
      <c r="HNI527" s="1358"/>
      <c r="HNJ527" s="1358"/>
      <c r="HNK527" s="1358"/>
      <c r="HNL527" s="1358"/>
      <c r="HNM527" s="1358"/>
      <c r="HNN527" s="1358"/>
      <c r="HNO527" s="1358"/>
      <c r="HNP527" s="1358"/>
      <c r="HNQ527" s="1358"/>
      <c r="HNR527" s="1358"/>
      <c r="HNS527" s="1358"/>
      <c r="HNT527" s="1358"/>
      <c r="HNU527" s="1358"/>
      <c r="HNV527" s="1358"/>
      <c r="HNW527" s="1358"/>
      <c r="HNX527" s="1358"/>
      <c r="HNY527" s="1358"/>
      <c r="HNZ527" s="1358"/>
      <c r="HOA527" s="1358"/>
      <c r="HOB527" s="1358"/>
      <c r="HOC527" s="1358"/>
      <c r="HOD527" s="1358"/>
      <c r="HOE527" s="1358"/>
      <c r="HOF527" s="1358"/>
      <c r="HOG527" s="1358"/>
      <c r="HOH527" s="1358"/>
      <c r="HOI527" s="1358"/>
      <c r="HOJ527" s="1358"/>
      <c r="HOK527" s="1358"/>
      <c r="HOL527" s="1358"/>
      <c r="HOM527" s="1358"/>
      <c r="HON527" s="1358"/>
      <c r="HOO527" s="1358"/>
      <c r="HOP527" s="1358"/>
      <c r="HOQ527" s="1358"/>
      <c r="HOR527" s="1358"/>
      <c r="HOS527" s="1358"/>
      <c r="HOT527" s="1358"/>
      <c r="HOU527" s="1358"/>
      <c r="HOV527" s="1358"/>
      <c r="HOW527" s="1358"/>
      <c r="HOX527" s="1358"/>
      <c r="HOY527" s="1358"/>
      <c r="HOZ527" s="1358"/>
      <c r="HPA527" s="1358"/>
      <c r="HPB527" s="1358"/>
      <c r="HPC527" s="1358"/>
      <c r="HPD527" s="1358"/>
      <c r="HPE527" s="1358"/>
      <c r="HPF527" s="1358"/>
      <c r="HPG527" s="1358"/>
      <c r="HPH527" s="1358"/>
      <c r="HPI527" s="1358"/>
      <c r="HPJ527" s="1358"/>
      <c r="HPK527" s="1358"/>
      <c r="HPL527" s="1358"/>
      <c r="HPM527" s="1358"/>
      <c r="HPN527" s="1358"/>
      <c r="HPO527" s="1358"/>
      <c r="HPP527" s="1358"/>
      <c r="HPQ527" s="1358"/>
      <c r="HPR527" s="1358"/>
      <c r="HPS527" s="1358"/>
      <c r="HPT527" s="1358"/>
      <c r="HPU527" s="1358"/>
      <c r="HPV527" s="1358"/>
      <c r="HPW527" s="1358"/>
      <c r="HPX527" s="1358"/>
      <c r="HPY527" s="1358"/>
      <c r="HPZ527" s="1358"/>
      <c r="HQA527" s="1358"/>
      <c r="HQB527" s="1358"/>
      <c r="HQC527" s="1358"/>
      <c r="HQD527" s="1358"/>
      <c r="HQE527" s="1358"/>
      <c r="HQF527" s="1358"/>
      <c r="HQG527" s="1358"/>
      <c r="HQH527" s="1358"/>
      <c r="HQI527" s="1358"/>
      <c r="HQJ527" s="1358"/>
      <c r="HQK527" s="1358"/>
      <c r="HQL527" s="1358"/>
      <c r="HQM527" s="1358"/>
      <c r="HQN527" s="1358"/>
      <c r="HQO527" s="1358"/>
      <c r="HQP527" s="1358"/>
      <c r="HQQ527" s="1358"/>
      <c r="HQR527" s="1358"/>
      <c r="HQS527" s="1358"/>
      <c r="HQT527" s="1358"/>
      <c r="HQU527" s="1358"/>
      <c r="HQV527" s="1358"/>
      <c r="HQW527" s="1358"/>
      <c r="HQX527" s="1358"/>
      <c r="HQY527" s="1358"/>
      <c r="HQZ527" s="1358"/>
      <c r="HRA527" s="1358"/>
      <c r="HRB527" s="1358"/>
      <c r="HRC527" s="1358"/>
      <c r="HRD527" s="1358"/>
      <c r="HRE527" s="1358"/>
      <c r="HRF527" s="1358"/>
      <c r="HRG527" s="1358"/>
      <c r="HRH527" s="1358"/>
      <c r="HRI527" s="1358"/>
      <c r="HRJ527" s="1358"/>
      <c r="HRK527" s="1358"/>
      <c r="HRL527" s="1358"/>
      <c r="HRM527" s="1358"/>
      <c r="HRN527" s="1358"/>
      <c r="HRO527" s="1358"/>
      <c r="HRP527" s="1358"/>
      <c r="HRQ527" s="1358"/>
      <c r="HRR527" s="1358"/>
      <c r="HRS527" s="1358"/>
      <c r="HRT527" s="1358"/>
      <c r="HRU527" s="1358"/>
      <c r="HRV527" s="1358"/>
      <c r="HRW527" s="1358"/>
      <c r="HRX527" s="1358"/>
      <c r="HRY527" s="1358"/>
      <c r="HRZ527" s="1358"/>
      <c r="HSA527" s="1358"/>
      <c r="HSB527" s="1358"/>
      <c r="HSC527" s="1358"/>
      <c r="HSD527" s="1358"/>
      <c r="HSE527" s="1358"/>
      <c r="HSF527" s="1358"/>
      <c r="HSG527" s="1358"/>
      <c r="HSH527" s="1358"/>
      <c r="HSI527" s="1358"/>
      <c r="HSJ527" s="1358"/>
      <c r="HSK527" s="1358"/>
      <c r="HSL527" s="1358"/>
      <c r="HSM527" s="1358"/>
      <c r="HSN527" s="1358"/>
      <c r="HSO527" s="1358"/>
      <c r="HSP527" s="1358"/>
      <c r="HSQ527" s="1358"/>
      <c r="HSR527" s="1358"/>
      <c r="HSS527" s="1358"/>
      <c r="HST527" s="1358"/>
      <c r="HSU527" s="1358"/>
      <c r="HSV527" s="1358"/>
      <c r="HSW527" s="1358"/>
      <c r="HSX527" s="1358"/>
      <c r="HSY527" s="1358"/>
      <c r="HSZ527" s="1358"/>
      <c r="HTA527" s="1358"/>
      <c r="HTB527" s="1358"/>
      <c r="HTC527" s="1358"/>
      <c r="HTD527" s="1358"/>
      <c r="HTE527" s="1358"/>
      <c r="HTF527" s="1358"/>
      <c r="HTG527" s="1358"/>
      <c r="HTH527" s="1358"/>
      <c r="HTI527" s="1358"/>
      <c r="HTJ527" s="1358"/>
      <c r="HTK527" s="1358"/>
      <c r="HTL527" s="1358"/>
      <c r="HTM527" s="1358"/>
      <c r="HTN527" s="1358"/>
      <c r="HTO527" s="1358"/>
      <c r="HTP527" s="1358"/>
      <c r="HTQ527" s="1358"/>
      <c r="HTR527" s="1358"/>
      <c r="HTS527" s="1358"/>
      <c r="HTT527" s="1358"/>
      <c r="HTU527" s="1358"/>
      <c r="HTV527" s="1358"/>
      <c r="HTW527" s="1358"/>
      <c r="HTX527" s="1358"/>
      <c r="HTY527" s="1358"/>
      <c r="HTZ527" s="1358"/>
      <c r="HUA527" s="1358"/>
      <c r="HUB527" s="1358"/>
      <c r="HUC527" s="1358"/>
      <c r="HUD527" s="1358"/>
      <c r="HUE527" s="1358"/>
      <c r="HUF527" s="1358"/>
      <c r="HUG527" s="1358"/>
      <c r="HUH527" s="1358"/>
      <c r="HUI527" s="1358"/>
      <c r="HUJ527" s="1358"/>
      <c r="HUK527" s="1358"/>
      <c r="HUL527" s="1358"/>
      <c r="HUM527" s="1358"/>
      <c r="HUN527" s="1358"/>
      <c r="HUO527" s="1358"/>
      <c r="HUP527" s="1358"/>
      <c r="HUQ527" s="1358"/>
      <c r="HUR527" s="1358"/>
      <c r="HUS527" s="1358"/>
      <c r="HUT527" s="1358"/>
      <c r="HUU527" s="1358"/>
      <c r="HUV527" s="1358"/>
      <c r="HUW527" s="1358"/>
      <c r="HUX527" s="1358"/>
      <c r="HUY527" s="1358"/>
      <c r="HUZ527" s="1358"/>
      <c r="HVA527" s="1358"/>
      <c r="HVB527" s="1358"/>
      <c r="HVC527" s="1358"/>
      <c r="HVD527" s="1358"/>
      <c r="HVE527" s="1358"/>
      <c r="HVF527" s="1358"/>
      <c r="HVG527" s="1358"/>
      <c r="HVH527" s="1358"/>
      <c r="HVI527" s="1358"/>
      <c r="HVJ527" s="1358"/>
      <c r="HVK527" s="1358"/>
      <c r="HVL527" s="1358"/>
      <c r="HVM527" s="1358"/>
      <c r="HVN527" s="1358"/>
      <c r="HVO527" s="1358"/>
      <c r="HVP527" s="1358"/>
      <c r="HVQ527" s="1358"/>
      <c r="HVR527" s="1358"/>
      <c r="HVS527" s="1358"/>
      <c r="HVT527" s="1358"/>
      <c r="HVU527" s="1358"/>
      <c r="HVV527" s="1358"/>
      <c r="HVW527" s="1358"/>
      <c r="HVX527" s="1358"/>
      <c r="HVY527" s="1358"/>
      <c r="HVZ527" s="1358"/>
      <c r="HWA527" s="1358"/>
      <c r="HWB527" s="1358"/>
      <c r="HWC527" s="1358"/>
      <c r="HWD527" s="1358"/>
      <c r="HWE527" s="1358"/>
      <c r="HWF527" s="1358"/>
      <c r="HWG527" s="1358"/>
      <c r="HWH527" s="1358"/>
      <c r="HWI527" s="1358"/>
      <c r="HWJ527" s="1358"/>
      <c r="HWK527" s="1358"/>
      <c r="HWL527" s="1358"/>
      <c r="HWM527" s="1358"/>
      <c r="HWN527" s="1358"/>
      <c r="HWO527" s="1358"/>
      <c r="HWP527" s="1358"/>
      <c r="HWQ527" s="1358"/>
      <c r="HWR527" s="1358"/>
      <c r="HWS527" s="1358"/>
      <c r="HWT527" s="1358"/>
      <c r="HWU527" s="1358"/>
      <c r="HWV527" s="1358"/>
      <c r="HWW527" s="1358"/>
      <c r="HWX527" s="1358"/>
      <c r="HWY527" s="1358"/>
      <c r="HWZ527" s="1358"/>
      <c r="HXA527" s="1358"/>
      <c r="HXB527" s="1358"/>
      <c r="HXC527" s="1358"/>
      <c r="HXD527" s="1358"/>
      <c r="HXE527" s="1358"/>
      <c r="HXF527" s="1358"/>
      <c r="HXG527" s="1358"/>
      <c r="HXH527" s="1358"/>
      <c r="HXI527" s="1358"/>
      <c r="HXJ527" s="1358"/>
      <c r="HXK527" s="1358"/>
      <c r="HXL527" s="1358"/>
      <c r="HXM527" s="1358"/>
      <c r="HXN527" s="1358"/>
      <c r="HXO527" s="1358"/>
      <c r="HXP527" s="1358"/>
      <c r="HXQ527" s="1358"/>
      <c r="HXR527" s="1358"/>
      <c r="HXS527" s="1358"/>
      <c r="HXT527" s="1358"/>
      <c r="HXU527" s="1358"/>
      <c r="HXV527" s="1358"/>
      <c r="HXW527" s="1358"/>
      <c r="HXX527" s="1358"/>
      <c r="HXY527" s="1358"/>
      <c r="HXZ527" s="1358"/>
      <c r="HYA527" s="1358"/>
      <c r="HYB527" s="1358"/>
      <c r="HYC527" s="1358"/>
      <c r="HYD527" s="1358"/>
      <c r="HYE527" s="1358"/>
      <c r="HYF527" s="1358"/>
      <c r="HYG527" s="1358"/>
      <c r="HYH527" s="1358"/>
      <c r="HYI527" s="1358"/>
      <c r="HYJ527" s="1358"/>
      <c r="HYK527" s="1358"/>
      <c r="HYL527" s="1358"/>
      <c r="HYM527" s="1358"/>
      <c r="HYN527" s="1358"/>
      <c r="HYO527" s="1358"/>
      <c r="HYP527" s="1358"/>
      <c r="HYQ527" s="1358"/>
      <c r="HYR527" s="1358"/>
      <c r="HYS527" s="1358"/>
      <c r="HYT527" s="1358"/>
      <c r="HYU527" s="1358"/>
      <c r="HYV527" s="1358"/>
      <c r="HYW527" s="1358"/>
      <c r="HYX527" s="1358"/>
      <c r="HYY527" s="1358"/>
      <c r="HYZ527" s="1358"/>
      <c r="HZA527" s="1358"/>
      <c r="HZB527" s="1358"/>
      <c r="HZC527" s="1358"/>
      <c r="HZD527" s="1358"/>
      <c r="HZE527" s="1358"/>
      <c r="HZF527" s="1358"/>
      <c r="HZG527" s="1358"/>
      <c r="HZH527" s="1358"/>
      <c r="HZI527" s="1358"/>
      <c r="HZJ527" s="1358"/>
      <c r="HZK527" s="1358"/>
      <c r="HZL527" s="1358"/>
      <c r="HZM527" s="1358"/>
      <c r="HZN527" s="1358"/>
      <c r="HZO527" s="1358"/>
      <c r="HZP527" s="1358"/>
      <c r="HZQ527" s="1358"/>
      <c r="HZR527" s="1358"/>
      <c r="HZS527" s="1358"/>
      <c r="HZT527" s="1358"/>
      <c r="HZU527" s="1358"/>
      <c r="HZV527" s="1358"/>
      <c r="HZW527" s="1358"/>
      <c r="HZX527" s="1358"/>
      <c r="HZY527" s="1358"/>
      <c r="HZZ527" s="1358"/>
      <c r="IAA527" s="1358"/>
      <c r="IAB527" s="1358"/>
      <c r="IAC527" s="1358"/>
      <c r="IAD527" s="1358"/>
      <c r="IAE527" s="1358"/>
      <c r="IAF527" s="1358"/>
      <c r="IAG527" s="1358"/>
      <c r="IAH527" s="1358"/>
      <c r="IAI527" s="1358"/>
      <c r="IAJ527" s="1358"/>
      <c r="IAK527" s="1358"/>
      <c r="IAL527" s="1358"/>
      <c r="IAM527" s="1358"/>
      <c r="IAN527" s="1358"/>
      <c r="IAO527" s="1358"/>
      <c r="IAP527" s="1358"/>
      <c r="IAQ527" s="1358"/>
      <c r="IAR527" s="1358"/>
      <c r="IAS527" s="1358"/>
      <c r="IAT527" s="1358"/>
      <c r="IAU527" s="1358"/>
      <c r="IAV527" s="1358"/>
      <c r="IAW527" s="1358"/>
      <c r="IAX527" s="1358"/>
      <c r="IAY527" s="1358"/>
      <c r="IAZ527" s="1358"/>
      <c r="IBA527" s="1358"/>
      <c r="IBB527" s="1358"/>
      <c r="IBC527" s="1358"/>
      <c r="IBD527" s="1358"/>
      <c r="IBE527" s="1358"/>
      <c r="IBF527" s="1358"/>
      <c r="IBG527" s="1358"/>
      <c r="IBH527" s="1358"/>
      <c r="IBI527" s="1358"/>
      <c r="IBJ527" s="1358"/>
      <c r="IBK527" s="1358"/>
      <c r="IBL527" s="1358"/>
      <c r="IBM527" s="1358"/>
      <c r="IBN527" s="1358"/>
      <c r="IBO527" s="1358"/>
      <c r="IBP527" s="1358"/>
      <c r="IBQ527" s="1358"/>
      <c r="IBR527" s="1358"/>
      <c r="IBS527" s="1358"/>
      <c r="IBT527" s="1358"/>
      <c r="IBU527" s="1358"/>
      <c r="IBV527" s="1358"/>
      <c r="IBW527" s="1358"/>
      <c r="IBX527" s="1358"/>
      <c r="IBY527" s="1358"/>
      <c r="IBZ527" s="1358"/>
      <c r="ICA527" s="1358"/>
      <c r="ICB527" s="1358"/>
      <c r="ICC527" s="1358"/>
      <c r="ICD527" s="1358"/>
      <c r="ICE527" s="1358"/>
      <c r="ICF527" s="1358"/>
      <c r="ICG527" s="1358"/>
      <c r="ICH527" s="1358"/>
      <c r="ICI527" s="1358"/>
      <c r="ICJ527" s="1358"/>
      <c r="ICK527" s="1358"/>
      <c r="ICL527" s="1358"/>
      <c r="ICM527" s="1358"/>
      <c r="ICN527" s="1358"/>
      <c r="ICO527" s="1358"/>
      <c r="ICP527" s="1358"/>
      <c r="ICQ527" s="1358"/>
      <c r="ICR527" s="1358"/>
      <c r="ICS527" s="1358"/>
      <c r="ICT527" s="1358"/>
      <c r="ICU527" s="1358"/>
      <c r="ICV527" s="1358"/>
      <c r="ICW527" s="1358"/>
      <c r="ICX527" s="1358"/>
      <c r="ICY527" s="1358"/>
      <c r="ICZ527" s="1358"/>
      <c r="IDA527" s="1358"/>
      <c r="IDB527" s="1358"/>
      <c r="IDC527" s="1358"/>
      <c r="IDD527" s="1358"/>
      <c r="IDE527" s="1358"/>
      <c r="IDF527" s="1358"/>
      <c r="IDG527" s="1358"/>
      <c r="IDH527" s="1358"/>
      <c r="IDI527" s="1358"/>
      <c r="IDJ527" s="1358"/>
      <c r="IDK527" s="1358"/>
      <c r="IDL527" s="1358"/>
      <c r="IDM527" s="1358"/>
      <c r="IDN527" s="1358"/>
      <c r="IDO527" s="1358"/>
      <c r="IDP527" s="1358"/>
      <c r="IDQ527" s="1358"/>
      <c r="IDR527" s="1358"/>
      <c r="IDS527" s="1358"/>
      <c r="IDT527" s="1358"/>
      <c r="IDU527" s="1358"/>
      <c r="IDV527" s="1358"/>
      <c r="IDW527" s="1358"/>
      <c r="IDX527" s="1358"/>
      <c r="IDY527" s="1358"/>
      <c r="IDZ527" s="1358"/>
      <c r="IEA527" s="1358"/>
      <c r="IEB527" s="1358"/>
      <c r="IEC527" s="1358"/>
      <c r="IED527" s="1358"/>
      <c r="IEE527" s="1358"/>
      <c r="IEF527" s="1358"/>
      <c r="IEG527" s="1358"/>
      <c r="IEH527" s="1358"/>
      <c r="IEI527" s="1358"/>
      <c r="IEJ527" s="1358"/>
      <c r="IEK527" s="1358"/>
      <c r="IEL527" s="1358"/>
      <c r="IEM527" s="1358"/>
      <c r="IEN527" s="1358"/>
      <c r="IEO527" s="1358"/>
      <c r="IEP527" s="1358"/>
      <c r="IEQ527" s="1358"/>
      <c r="IER527" s="1358"/>
      <c r="IES527" s="1358"/>
      <c r="IET527" s="1358"/>
      <c r="IEU527" s="1358"/>
      <c r="IEV527" s="1358"/>
      <c r="IEW527" s="1358"/>
      <c r="IEX527" s="1358"/>
      <c r="IEY527" s="1358"/>
      <c r="IEZ527" s="1358"/>
      <c r="IFA527" s="1358"/>
      <c r="IFB527" s="1358"/>
      <c r="IFC527" s="1358"/>
      <c r="IFD527" s="1358"/>
      <c r="IFE527" s="1358"/>
      <c r="IFF527" s="1358"/>
      <c r="IFG527" s="1358"/>
      <c r="IFH527" s="1358"/>
      <c r="IFI527" s="1358"/>
      <c r="IFJ527" s="1358"/>
      <c r="IFK527" s="1358"/>
      <c r="IFL527" s="1358"/>
      <c r="IFM527" s="1358"/>
      <c r="IFN527" s="1358"/>
      <c r="IFO527" s="1358"/>
      <c r="IFP527" s="1358"/>
      <c r="IFQ527" s="1358"/>
      <c r="IFR527" s="1358"/>
      <c r="IFS527" s="1358"/>
      <c r="IFT527" s="1358"/>
      <c r="IFU527" s="1358"/>
      <c r="IFV527" s="1358"/>
      <c r="IFW527" s="1358"/>
      <c r="IFX527" s="1358"/>
      <c r="IFY527" s="1358"/>
      <c r="IFZ527" s="1358"/>
      <c r="IGA527" s="1358"/>
      <c r="IGB527" s="1358"/>
      <c r="IGC527" s="1358"/>
      <c r="IGD527" s="1358"/>
      <c r="IGE527" s="1358"/>
      <c r="IGF527" s="1358"/>
      <c r="IGG527" s="1358"/>
      <c r="IGH527" s="1358"/>
      <c r="IGI527" s="1358"/>
      <c r="IGJ527" s="1358"/>
      <c r="IGK527" s="1358"/>
      <c r="IGL527" s="1358"/>
      <c r="IGM527" s="1358"/>
      <c r="IGN527" s="1358"/>
      <c r="IGO527" s="1358"/>
      <c r="IGP527" s="1358"/>
      <c r="IGQ527" s="1358"/>
      <c r="IGR527" s="1358"/>
      <c r="IGS527" s="1358"/>
      <c r="IGT527" s="1358"/>
      <c r="IGU527" s="1358"/>
      <c r="IGV527" s="1358"/>
      <c r="IGW527" s="1358"/>
      <c r="IGX527" s="1358"/>
      <c r="IGY527" s="1358"/>
      <c r="IGZ527" s="1358"/>
      <c r="IHA527" s="1358"/>
      <c r="IHB527" s="1358"/>
      <c r="IHC527" s="1358"/>
      <c r="IHD527" s="1358"/>
      <c r="IHE527" s="1358"/>
      <c r="IHF527" s="1358"/>
      <c r="IHG527" s="1358"/>
      <c r="IHH527" s="1358"/>
      <c r="IHI527" s="1358"/>
      <c r="IHJ527" s="1358"/>
      <c r="IHK527" s="1358"/>
      <c r="IHL527" s="1358"/>
      <c r="IHM527" s="1358"/>
      <c r="IHN527" s="1358"/>
      <c r="IHO527" s="1358"/>
      <c r="IHP527" s="1358"/>
      <c r="IHQ527" s="1358"/>
      <c r="IHR527" s="1358"/>
      <c r="IHS527" s="1358"/>
      <c r="IHT527" s="1358"/>
      <c r="IHU527" s="1358"/>
      <c r="IHV527" s="1358"/>
      <c r="IHW527" s="1358"/>
      <c r="IHX527" s="1358"/>
      <c r="IHY527" s="1358"/>
      <c r="IHZ527" s="1358"/>
      <c r="IIA527" s="1358"/>
      <c r="IIB527" s="1358"/>
      <c r="IIC527" s="1358"/>
      <c r="IID527" s="1358"/>
      <c r="IIE527" s="1358"/>
      <c r="IIF527" s="1358"/>
      <c r="IIG527" s="1358"/>
      <c r="IIH527" s="1358"/>
      <c r="III527" s="1358"/>
      <c r="IIJ527" s="1358"/>
      <c r="IIK527" s="1358"/>
      <c r="IIL527" s="1358"/>
      <c r="IIM527" s="1358"/>
      <c r="IIN527" s="1358"/>
      <c r="IIO527" s="1358"/>
      <c r="IIP527" s="1358"/>
      <c r="IIQ527" s="1358"/>
      <c r="IIR527" s="1358"/>
      <c r="IIS527" s="1358"/>
      <c r="IIT527" s="1358"/>
      <c r="IIU527" s="1358"/>
      <c r="IIV527" s="1358"/>
      <c r="IIW527" s="1358"/>
      <c r="IIX527" s="1358"/>
      <c r="IIY527" s="1358"/>
      <c r="IIZ527" s="1358"/>
      <c r="IJA527" s="1358"/>
      <c r="IJB527" s="1358"/>
      <c r="IJC527" s="1358"/>
      <c r="IJD527" s="1358"/>
      <c r="IJE527" s="1358"/>
      <c r="IJF527" s="1358"/>
      <c r="IJG527" s="1358"/>
      <c r="IJH527" s="1358"/>
      <c r="IJI527" s="1358"/>
      <c r="IJJ527" s="1358"/>
      <c r="IJK527" s="1358"/>
      <c r="IJL527" s="1358"/>
      <c r="IJM527" s="1358"/>
      <c r="IJN527" s="1358"/>
      <c r="IJO527" s="1358"/>
      <c r="IJP527" s="1358"/>
      <c r="IJQ527" s="1358"/>
      <c r="IJR527" s="1358"/>
      <c r="IJS527" s="1358"/>
      <c r="IJT527" s="1358"/>
      <c r="IJU527" s="1358"/>
      <c r="IJV527" s="1358"/>
      <c r="IJW527" s="1358"/>
      <c r="IJX527" s="1358"/>
      <c r="IJY527" s="1358"/>
      <c r="IJZ527" s="1358"/>
      <c r="IKA527" s="1358"/>
      <c r="IKB527" s="1358"/>
      <c r="IKC527" s="1358"/>
      <c r="IKD527" s="1358"/>
      <c r="IKE527" s="1358"/>
      <c r="IKF527" s="1358"/>
      <c r="IKG527" s="1358"/>
      <c r="IKH527" s="1358"/>
      <c r="IKI527" s="1358"/>
      <c r="IKJ527" s="1358"/>
      <c r="IKK527" s="1358"/>
      <c r="IKL527" s="1358"/>
      <c r="IKM527" s="1358"/>
      <c r="IKN527" s="1358"/>
      <c r="IKO527" s="1358"/>
      <c r="IKP527" s="1358"/>
      <c r="IKQ527" s="1358"/>
      <c r="IKR527" s="1358"/>
      <c r="IKS527" s="1358"/>
      <c r="IKT527" s="1358"/>
      <c r="IKU527" s="1358"/>
      <c r="IKV527" s="1358"/>
      <c r="IKW527" s="1358"/>
      <c r="IKX527" s="1358"/>
      <c r="IKY527" s="1358"/>
      <c r="IKZ527" s="1358"/>
      <c r="ILA527" s="1358"/>
      <c r="ILB527" s="1358"/>
      <c r="ILC527" s="1358"/>
      <c r="ILD527" s="1358"/>
      <c r="ILE527" s="1358"/>
      <c r="ILF527" s="1358"/>
      <c r="ILG527" s="1358"/>
      <c r="ILH527" s="1358"/>
      <c r="ILI527" s="1358"/>
      <c r="ILJ527" s="1358"/>
      <c r="ILK527" s="1358"/>
      <c r="ILL527" s="1358"/>
      <c r="ILM527" s="1358"/>
      <c r="ILN527" s="1358"/>
      <c r="ILO527" s="1358"/>
      <c r="ILP527" s="1358"/>
      <c r="ILQ527" s="1358"/>
      <c r="ILR527" s="1358"/>
      <c r="ILS527" s="1358"/>
      <c r="ILT527" s="1358"/>
      <c r="ILU527" s="1358"/>
      <c r="ILV527" s="1358"/>
      <c r="ILW527" s="1358"/>
      <c r="ILX527" s="1358"/>
      <c r="ILY527" s="1358"/>
      <c r="ILZ527" s="1358"/>
      <c r="IMA527" s="1358"/>
      <c r="IMB527" s="1358"/>
      <c r="IMC527" s="1358"/>
      <c r="IMD527" s="1358"/>
      <c r="IME527" s="1358"/>
      <c r="IMF527" s="1358"/>
      <c r="IMG527" s="1358"/>
      <c r="IMH527" s="1358"/>
      <c r="IMI527" s="1358"/>
      <c r="IMJ527" s="1358"/>
      <c r="IMK527" s="1358"/>
      <c r="IML527" s="1358"/>
      <c r="IMM527" s="1358"/>
      <c r="IMN527" s="1358"/>
      <c r="IMO527" s="1358"/>
      <c r="IMP527" s="1358"/>
      <c r="IMQ527" s="1358"/>
      <c r="IMR527" s="1358"/>
      <c r="IMS527" s="1358"/>
      <c r="IMT527" s="1358"/>
      <c r="IMU527" s="1358"/>
      <c r="IMV527" s="1358"/>
      <c r="IMW527" s="1358"/>
      <c r="IMX527" s="1358"/>
      <c r="IMY527" s="1358"/>
      <c r="IMZ527" s="1358"/>
      <c r="INA527" s="1358"/>
      <c r="INB527" s="1358"/>
      <c r="INC527" s="1358"/>
      <c r="IND527" s="1358"/>
      <c r="INE527" s="1358"/>
      <c r="INF527" s="1358"/>
      <c r="ING527" s="1358"/>
      <c r="INH527" s="1358"/>
      <c r="INI527" s="1358"/>
      <c r="INJ527" s="1358"/>
      <c r="INK527" s="1358"/>
      <c r="INL527" s="1358"/>
      <c r="INM527" s="1358"/>
      <c r="INN527" s="1358"/>
      <c r="INO527" s="1358"/>
      <c r="INP527" s="1358"/>
      <c r="INQ527" s="1358"/>
      <c r="INR527" s="1358"/>
      <c r="INS527" s="1358"/>
      <c r="INT527" s="1358"/>
      <c r="INU527" s="1358"/>
      <c r="INV527" s="1358"/>
      <c r="INW527" s="1358"/>
      <c r="INX527" s="1358"/>
      <c r="INY527" s="1358"/>
      <c r="INZ527" s="1358"/>
      <c r="IOA527" s="1358"/>
      <c r="IOB527" s="1358"/>
      <c r="IOC527" s="1358"/>
      <c r="IOD527" s="1358"/>
      <c r="IOE527" s="1358"/>
      <c r="IOF527" s="1358"/>
      <c r="IOG527" s="1358"/>
      <c r="IOH527" s="1358"/>
      <c r="IOI527" s="1358"/>
      <c r="IOJ527" s="1358"/>
      <c r="IOK527" s="1358"/>
      <c r="IOL527" s="1358"/>
      <c r="IOM527" s="1358"/>
      <c r="ION527" s="1358"/>
      <c r="IOO527" s="1358"/>
      <c r="IOP527" s="1358"/>
      <c r="IOQ527" s="1358"/>
      <c r="IOR527" s="1358"/>
      <c r="IOS527" s="1358"/>
      <c r="IOT527" s="1358"/>
      <c r="IOU527" s="1358"/>
      <c r="IOV527" s="1358"/>
      <c r="IOW527" s="1358"/>
      <c r="IOX527" s="1358"/>
      <c r="IOY527" s="1358"/>
      <c r="IOZ527" s="1358"/>
      <c r="IPA527" s="1358"/>
      <c r="IPB527" s="1358"/>
      <c r="IPC527" s="1358"/>
      <c r="IPD527" s="1358"/>
      <c r="IPE527" s="1358"/>
      <c r="IPF527" s="1358"/>
      <c r="IPG527" s="1358"/>
      <c r="IPH527" s="1358"/>
      <c r="IPI527" s="1358"/>
      <c r="IPJ527" s="1358"/>
      <c r="IPK527" s="1358"/>
      <c r="IPL527" s="1358"/>
      <c r="IPM527" s="1358"/>
      <c r="IPN527" s="1358"/>
      <c r="IPO527" s="1358"/>
      <c r="IPP527" s="1358"/>
      <c r="IPQ527" s="1358"/>
      <c r="IPR527" s="1358"/>
      <c r="IPS527" s="1358"/>
      <c r="IPT527" s="1358"/>
      <c r="IPU527" s="1358"/>
      <c r="IPV527" s="1358"/>
      <c r="IPW527" s="1358"/>
      <c r="IPX527" s="1358"/>
      <c r="IPY527" s="1358"/>
      <c r="IPZ527" s="1358"/>
      <c r="IQA527" s="1358"/>
      <c r="IQB527" s="1358"/>
      <c r="IQC527" s="1358"/>
      <c r="IQD527" s="1358"/>
      <c r="IQE527" s="1358"/>
      <c r="IQF527" s="1358"/>
      <c r="IQG527" s="1358"/>
      <c r="IQH527" s="1358"/>
      <c r="IQI527" s="1358"/>
      <c r="IQJ527" s="1358"/>
      <c r="IQK527" s="1358"/>
      <c r="IQL527" s="1358"/>
      <c r="IQM527" s="1358"/>
      <c r="IQN527" s="1358"/>
      <c r="IQO527" s="1358"/>
      <c r="IQP527" s="1358"/>
      <c r="IQQ527" s="1358"/>
      <c r="IQR527" s="1358"/>
      <c r="IQS527" s="1358"/>
      <c r="IQT527" s="1358"/>
      <c r="IQU527" s="1358"/>
      <c r="IQV527" s="1358"/>
      <c r="IQW527" s="1358"/>
      <c r="IQX527" s="1358"/>
      <c r="IQY527" s="1358"/>
      <c r="IQZ527" s="1358"/>
      <c r="IRA527" s="1358"/>
      <c r="IRB527" s="1358"/>
      <c r="IRC527" s="1358"/>
      <c r="IRD527" s="1358"/>
      <c r="IRE527" s="1358"/>
      <c r="IRF527" s="1358"/>
      <c r="IRG527" s="1358"/>
      <c r="IRH527" s="1358"/>
      <c r="IRI527" s="1358"/>
      <c r="IRJ527" s="1358"/>
      <c r="IRK527" s="1358"/>
      <c r="IRL527" s="1358"/>
      <c r="IRM527" s="1358"/>
      <c r="IRN527" s="1358"/>
      <c r="IRO527" s="1358"/>
      <c r="IRP527" s="1358"/>
      <c r="IRQ527" s="1358"/>
      <c r="IRR527" s="1358"/>
      <c r="IRS527" s="1358"/>
      <c r="IRT527" s="1358"/>
      <c r="IRU527" s="1358"/>
      <c r="IRV527" s="1358"/>
      <c r="IRW527" s="1358"/>
      <c r="IRX527" s="1358"/>
      <c r="IRY527" s="1358"/>
      <c r="IRZ527" s="1358"/>
      <c r="ISA527" s="1358"/>
      <c r="ISB527" s="1358"/>
      <c r="ISC527" s="1358"/>
      <c r="ISD527" s="1358"/>
      <c r="ISE527" s="1358"/>
      <c r="ISF527" s="1358"/>
      <c r="ISG527" s="1358"/>
      <c r="ISH527" s="1358"/>
      <c r="ISI527" s="1358"/>
      <c r="ISJ527" s="1358"/>
      <c r="ISK527" s="1358"/>
      <c r="ISL527" s="1358"/>
      <c r="ISM527" s="1358"/>
      <c r="ISN527" s="1358"/>
      <c r="ISO527" s="1358"/>
      <c r="ISP527" s="1358"/>
      <c r="ISQ527" s="1358"/>
      <c r="ISR527" s="1358"/>
      <c r="ISS527" s="1358"/>
      <c r="IST527" s="1358"/>
      <c r="ISU527" s="1358"/>
      <c r="ISV527" s="1358"/>
      <c r="ISW527" s="1358"/>
      <c r="ISX527" s="1358"/>
      <c r="ISY527" s="1358"/>
      <c r="ISZ527" s="1358"/>
      <c r="ITA527" s="1358"/>
      <c r="ITB527" s="1358"/>
      <c r="ITC527" s="1358"/>
      <c r="ITD527" s="1358"/>
      <c r="ITE527" s="1358"/>
      <c r="ITF527" s="1358"/>
      <c r="ITG527" s="1358"/>
      <c r="ITH527" s="1358"/>
      <c r="ITI527" s="1358"/>
      <c r="ITJ527" s="1358"/>
      <c r="ITK527" s="1358"/>
      <c r="ITL527" s="1358"/>
      <c r="ITM527" s="1358"/>
      <c r="ITN527" s="1358"/>
      <c r="ITO527" s="1358"/>
      <c r="ITP527" s="1358"/>
      <c r="ITQ527" s="1358"/>
      <c r="ITR527" s="1358"/>
      <c r="ITS527" s="1358"/>
      <c r="ITT527" s="1358"/>
      <c r="ITU527" s="1358"/>
      <c r="ITV527" s="1358"/>
      <c r="ITW527" s="1358"/>
      <c r="ITX527" s="1358"/>
      <c r="ITY527" s="1358"/>
      <c r="ITZ527" s="1358"/>
      <c r="IUA527" s="1358"/>
      <c r="IUB527" s="1358"/>
      <c r="IUC527" s="1358"/>
      <c r="IUD527" s="1358"/>
      <c r="IUE527" s="1358"/>
      <c r="IUF527" s="1358"/>
      <c r="IUG527" s="1358"/>
      <c r="IUH527" s="1358"/>
      <c r="IUI527" s="1358"/>
      <c r="IUJ527" s="1358"/>
      <c r="IUK527" s="1358"/>
      <c r="IUL527" s="1358"/>
      <c r="IUM527" s="1358"/>
      <c r="IUN527" s="1358"/>
      <c r="IUO527" s="1358"/>
      <c r="IUP527" s="1358"/>
      <c r="IUQ527" s="1358"/>
      <c r="IUR527" s="1358"/>
      <c r="IUS527" s="1358"/>
      <c r="IUT527" s="1358"/>
      <c r="IUU527" s="1358"/>
      <c r="IUV527" s="1358"/>
      <c r="IUW527" s="1358"/>
      <c r="IUX527" s="1358"/>
      <c r="IUY527" s="1358"/>
      <c r="IUZ527" s="1358"/>
      <c r="IVA527" s="1358"/>
      <c r="IVB527" s="1358"/>
      <c r="IVC527" s="1358"/>
      <c r="IVD527" s="1358"/>
      <c r="IVE527" s="1358"/>
      <c r="IVF527" s="1358"/>
      <c r="IVG527" s="1358"/>
      <c r="IVH527" s="1358"/>
      <c r="IVI527" s="1358"/>
      <c r="IVJ527" s="1358"/>
      <c r="IVK527" s="1358"/>
      <c r="IVL527" s="1358"/>
      <c r="IVM527" s="1358"/>
      <c r="IVN527" s="1358"/>
      <c r="IVO527" s="1358"/>
      <c r="IVP527" s="1358"/>
      <c r="IVQ527" s="1358"/>
      <c r="IVR527" s="1358"/>
      <c r="IVS527" s="1358"/>
      <c r="IVT527" s="1358"/>
      <c r="IVU527" s="1358"/>
      <c r="IVV527" s="1358"/>
      <c r="IVW527" s="1358"/>
      <c r="IVX527" s="1358"/>
      <c r="IVY527" s="1358"/>
      <c r="IVZ527" s="1358"/>
      <c r="IWA527" s="1358"/>
      <c r="IWB527" s="1358"/>
      <c r="IWC527" s="1358"/>
      <c r="IWD527" s="1358"/>
      <c r="IWE527" s="1358"/>
      <c r="IWF527" s="1358"/>
      <c r="IWG527" s="1358"/>
      <c r="IWH527" s="1358"/>
      <c r="IWI527" s="1358"/>
      <c r="IWJ527" s="1358"/>
      <c r="IWK527" s="1358"/>
      <c r="IWL527" s="1358"/>
      <c r="IWM527" s="1358"/>
      <c r="IWN527" s="1358"/>
      <c r="IWO527" s="1358"/>
      <c r="IWP527" s="1358"/>
      <c r="IWQ527" s="1358"/>
      <c r="IWR527" s="1358"/>
      <c r="IWS527" s="1358"/>
      <c r="IWT527" s="1358"/>
      <c r="IWU527" s="1358"/>
      <c r="IWV527" s="1358"/>
      <c r="IWW527" s="1358"/>
      <c r="IWX527" s="1358"/>
      <c r="IWY527" s="1358"/>
      <c r="IWZ527" s="1358"/>
      <c r="IXA527" s="1358"/>
      <c r="IXB527" s="1358"/>
      <c r="IXC527" s="1358"/>
      <c r="IXD527" s="1358"/>
      <c r="IXE527" s="1358"/>
      <c r="IXF527" s="1358"/>
      <c r="IXG527" s="1358"/>
      <c r="IXH527" s="1358"/>
      <c r="IXI527" s="1358"/>
      <c r="IXJ527" s="1358"/>
      <c r="IXK527" s="1358"/>
      <c r="IXL527" s="1358"/>
      <c r="IXM527" s="1358"/>
      <c r="IXN527" s="1358"/>
      <c r="IXO527" s="1358"/>
      <c r="IXP527" s="1358"/>
      <c r="IXQ527" s="1358"/>
      <c r="IXR527" s="1358"/>
      <c r="IXS527" s="1358"/>
      <c r="IXT527" s="1358"/>
      <c r="IXU527" s="1358"/>
      <c r="IXV527" s="1358"/>
      <c r="IXW527" s="1358"/>
      <c r="IXX527" s="1358"/>
      <c r="IXY527" s="1358"/>
      <c r="IXZ527" s="1358"/>
      <c r="IYA527" s="1358"/>
      <c r="IYB527" s="1358"/>
      <c r="IYC527" s="1358"/>
      <c r="IYD527" s="1358"/>
      <c r="IYE527" s="1358"/>
      <c r="IYF527" s="1358"/>
      <c r="IYG527" s="1358"/>
      <c r="IYH527" s="1358"/>
      <c r="IYI527" s="1358"/>
      <c r="IYJ527" s="1358"/>
      <c r="IYK527" s="1358"/>
      <c r="IYL527" s="1358"/>
      <c r="IYM527" s="1358"/>
      <c r="IYN527" s="1358"/>
      <c r="IYO527" s="1358"/>
      <c r="IYP527" s="1358"/>
      <c r="IYQ527" s="1358"/>
      <c r="IYR527" s="1358"/>
      <c r="IYS527" s="1358"/>
      <c r="IYT527" s="1358"/>
      <c r="IYU527" s="1358"/>
      <c r="IYV527" s="1358"/>
      <c r="IYW527" s="1358"/>
      <c r="IYX527" s="1358"/>
      <c r="IYY527" s="1358"/>
      <c r="IYZ527" s="1358"/>
      <c r="IZA527" s="1358"/>
      <c r="IZB527" s="1358"/>
      <c r="IZC527" s="1358"/>
      <c r="IZD527" s="1358"/>
      <c r="IZE527" s="1358"/>
      <c r="IZF527" s="1358"/>
      <c r="IZG527" s="1358"/>
      <c r="IZH527" s="1358"/>
      <c r="IZI527" s="1358"/>
      <c r="IZJ527" s="1358"/>
      <c r="IZK527" s="1358"/>
      <c r="IZL527" s="1358"/>
      <c r="IZM527" s="1358"/>
      <c r="IZN527" s="1358"/>
      <c r="IZO527" s="1358"/>
      <c r="IZP527" s="1358"/>
      <c r="IZQ527" s="1358"/>
      <c r="IZR527" s="1358"/>
      <c r="IZS527" s="1358"/>
      <c r="IZT527" s="1358"/>
      <c r="IZU527" s="1358"/>
      <c r="IZV527" s="1358"/>
      <c r="IZW527" s="1358"/>
      <c r="IZX527" s="1358"/>
      <c r="IZY527" s="1358"/>
      <c r="IZZ527" s="1358"/>
      <c r="JAA527" s="1358"/>
      <c r="JAB527" s="1358"/>
      <c r="JAC527" s="1358"/>
      <c r="JAD527" s="1358"/>
      <c r="JAE527" s="1358"/>
      <c r="JAF527" s="1358"/>
      <c r="JAG527" s="1358"/>
      <c r="JAH527" s="1358"/>
      <c r="JAI527" s="1358"/>
      <c r="JAJ527" s="1358"/>
      <c r="JAK527" s="1358"/>
      <c r="JAL527" s="1358"/>
      <c r="JAM527" s="1358"/>
      <c r="JAN527" s="1358"/>
      <c r="JAO527" s="1358"/>
      <c r="JAP527" s="1358"/>
      <c r="JAQ527" s="1358"/>
      <c r="JAR527" s="1358"/>
      <c r="JAS527" s="1358"/>
      <c r="JAT527" s="1358"/>
      <c r="JAU527" s="1358"/>
      <c r="JAV527" s="1358"/>
      <c r="JAW527" s="1358"/>
      <c r="JAX527" s="1358"/>
      <c r="JAY527" s="1358"/>
      <c r="JAZ527" s="1358"/>
      <c r="JBA527" s="1358"/>
      <c r="JBB527" s="1358"/>
      <c r="JBC527" s="1358"/>
      <c r="JBD527" s="1358"/>
      <c r="JBE527" s="1358"/>
      <c r="JBF527" s="1358"/>
      <c r="JBG527" s="1358"/>
      <c r="JBH527" s="1358"/>
      <c r="JBI527" s="1358"/>
      <c r="JBJ527" s="1358"/>
      <c r="JBK527" s="1358"/>
      <c r="JBL527" s="1358"/>
      <c r="JBM527" s="1358"/>
      <c r="JBN527" s="1358"/>
      <c r="JBO527" s="1358"/>
      <c r="JBP527" s="1358"/>
      <c r="JBQ527" s="1358"/>
      <c r="JBR527" s="1358"/>
      <c r="JBS527" s="1358"/>
      <c r="JBT527" s="1358"/>
      <c r="JBU527" s="1358"/>
      <c r="JBV527" s="1358"/>
      <c r="JBW527" s="1358"/>
      <c r="JBX527" s="1358"/>
      <c r="JBY527" s="1358"/>
      <c r="JBZ527" s="1358"/>
      <c r="JCA527" s="1358"/>
      <c r="JCB527" s="1358"/>
      <c r="JCC527" s="1358"/>
      <c r="JCD527" s="1358"/>
      <c r="JCE527" s="1358"/>
      <c r="JCF527" s="1358"/>
      <c r="JCG527" s="1358"/>
      <c r="JCH527" s="1358"/>
      <c r="JCI527" s="1358"/>
      <c r="JCJ527" s="1358"/>
      <c r="JCK527" s="1358"/>
      <c r="JCL527" s="1358"/>
      <c r="JCM527" s="1358"/>
      <c r="JCN527" s="1358"/>
      <c r="JCO527" s="1358"/>
      <c r="JCP527" s="1358"/>
      <c r="JCQ527" s="1358"/>
      <c r="JCR527" s="1358"/>
      <c r="JCS527" s="1358"/>
      <c r="JCT527" s="1358"/>
      <c r="JCU527" s="1358"/>
      <c r="JCV527" s="1358"/>
      <c r="JCW527" s="1358"/>
      <c r="JCX527" s="1358"/>
      <c r="JCY527" s="1358"/>
      <c r="JCZ527" s="1358"/>
      <c r="JDA527" s="1358"/>
      <c r="JDB527" s="1358"/>
      <c r="JDC527" s="1358"/>
      <c r="JDD527" s="1358"/>
      <c r="JDE527" s="1358"/>
      <c r="JDF527" s="1358"/>
      <c r="JDG527" s="1358"/>
      <c r="JDH527" s="1358"/>
      <c r="JDI527" s="1358"/>
      <c r="JDJ527" s="1358"/>
      <c r="JDK527" s="1358"/>
      <c r="JDL527" s="1358"/>
      <c r="JDM527" s="1358"/>
      <c r="JDN527" s="1358"/>
      <c r="JDO527" s="1358"/>
      <c r="JDP527" s="1358"/>
      <c r="JDQ527" s="1358"/>
      <c r="JDR527" s="1358"/>
      <c r="JDS527" s="1358"/>
      <c r="JDT527" s="1358"/>
      <c r="JDU527" s="1358"/>
      <c r="JDV527" s="1358"/>
      <c r="JDW527" s="1358"/>
      <c r="JDX527" s="1358"/>
      <c r="JDY527" s="1358"/>
      <c r="JDZ527" s="1358"/>
      <c r="JEA527" s="1358"/>
      <c r="JEB527" s="1358"/>
      <c r="JEC527" s="1358"/>
      <c r="JED527" s="1358"/>
      <c r="JEE527" s="1358"/>
      <c r="JEF527" s="1358"/>
      <c r="JEG527" s="1358"/>
      <c r="JEH527" s="1358"/>
      <c r="JEI527" s="1358"/>
      <c r="JEJ527" s="1358"/>
      <c r="JEK527" s="1358"/>
      <c r="JEL527" s="1358"/>
      <c r="JEM527" s="1358"/>
      <c r="JEN527" s="1358"/>
      <c r="JEO527" s="1358"/>
      <c r="JEP527" s="1358"/>
      <c r="JEQ527" s="1358"/>
      <c r="JER527" s="1358"/>
      <c r="JES527" s="1358"/>
      <c r="JET527" s="1358"/>
      <c r="JEU527" s="1358"/>
      <c r="JEV527" s="1358"/>
      <c r="JEW527" s="1358"/>
      <c r="JEX527" s="1358"/>
      <c r="JEY527" s="1358"/>
      <c r="JEZ527" s="1358"/>
      <c r="JFA527" s="1358"/>
      <c r="JFB527" s="1358"/>
      <c r="JFC527" s="1358"/>
      <c r="JFD527" s="1358"/>
      <c r="JFE527" s="1358"/>
      <c r="JFF527" s="1358"/>
      <c r="JFG527" s="1358"/>
      <c r="JFH527" s="1358"/>
      <c r="JFI527" s="1358"/>
      <c r="JFJ527" s="1358"/>
      <c r="JFK527" s="1358"/>
      <c r="JFL527" s="1358"/>
      <c r="JFM527" s="1358"/>
      <c r="JFN527" s="1358"/>
      <c r="JFO527" s="1358"/>
      <c r="JFP527" s="1358"/>
      <c r="JFQ527" s="1358"/>
      <c r="JFR527" s="1358"/>
      <c r="JFS527" s="1358"/>
      <c r="JFT527" s="1358"/>
      <c r="JFU527" s="1358"/>
      <c r="JFV527" s="1358"/>
      <c r="JFW527" s="1358"/>
      <c r="JFX527" s="1358"/>
      <c r="JFY527" s="1358"/>
      <c r="JFZ527" s="1358"/>
      <c r="JGA527" s="1358"/>
      <c r="JGB527" s="1358"/>
      <c r="JGC527" s="1358"/>
      <c r="JGD527" s="1358"/>
      <c r="JGE527" s="1358"/>
      <c r="JGF527" s="1358"/>
      <c r="JGG527" s="1358"/>
      <c r="JGH527" s="1358"/>
      <c r="JGI527" s="1358"/>
      <c r="JGJ527" s="1358"/>
      <c r="JGK527" s="1358"/>
      <c r="JGL527" s="1358"/>
      <c r="JGM527" s="1358"/>
      <c r="JGN527" s="1358"/>
      <c r="JGO527" s="1358"/>
      <c r="JGP527" s="1358"/>
      <c r="JGQ527" s="1358"/>
      <c r="JGR527" s="1358"/>
      <c r="JGS527" s="1358"/>
      <c r="JGT527" s="1358"/>
      <c r="JGU527" s="1358"/>
      <c r="JGV527" s="1358"/>
      <c r="JGW527" s="1358"/>
      <c r="JGX527" s="1358"/>
      <c r="JGY527" s="1358"/>
      <c r="JGZ527" s="1358"/>
      <c r="JHA527" s="1358"/>
      <c r="JHB527" s="1358"/>
      <c r="JHC527" s="1358"/>
      <c r="JHD527" s="1358"/>
      <c r="JHE527" s="1358"/>
      <c r="JHF527" s="1358"/>
      <c r="JHG527" s="1358"/>
      <c r="JHH527" s="1358"/>
      <c r="JHI527" s="1358"/>
      <c r="JHJ527" s="1358"/>
      <c r="JHK527" s="1358"/>
      <c r="JHL527" s="1358"/>
      <c r="JHM527" s="1358"/>
      <c r="JHN527" s="1358"/>
      <c r="JHO527" s="1358"/>
      <c r="JHP527" s="1358"/>
      <c r="JHQ527" s="1358"/>
      <c r="JHR527" s="1358"/>
      <c r="JHS527" s="1358"/>
      <c r="JHT527" s="1358"/>
      <c r="JHU527" s="1358"/>
      <c r="JHV527" s="1358"/>
      <c r="JHW527" s="1358"/>
      <c r="JHX527" s="1358"/>
      <c r="JHY527" s="1358"/>
      <c r="JHZ527" s="1358"/>
      <c r="JIA527" s="1358"/>
      <c r="JIB527" s="1358"/>
      <c r="JIC527" s="1358"/>
      <c r="JID527" s="1358"/>
      <c r="JIE527" s="1358"/>
      <c r="JIF527" s="1358"/>
      <c r="JIG527" s="1358"/>
      <c r="JIH527" s="1358"/>
      <c r="JII527" s="1358"/>
      <c r="JIJ527" s="1358"/>
      <c r="JIK527" s="1358"/>
      <c r="JIL527" s="1358"/>
      <c r="JIM527" s="1358"/>
      <c r="JIN527" s="1358"/>
      <c r="JIO527" s="1358"/>
      <c r="JIP527" s="1358"/>
      <c r="JIQ527" s="1358"/>
      <c r="JIR527" s="1358"/>
      <c r="JIS527" s="1358"/>
      <c r="JIT527" s="1358"/>
      <c r="JIU527" s="1358"/>
      <c r="JIV527" s="1358"/>
      <c r="JIW527" s="1358"/>
      <c r="JIX527" s="1358"/>
      <c r="JIY527" s="1358"/>
      <c r="JIZ527" s="1358"/>
      <c r="JJA527" s="1358"/>
      <c r="JJB527" s="1358"/>
      <c r="JJC527" s="1358"/>
      <c r="JJD527" s="1358"/>
      <c r="JJE527" s="1358"/>
      <c r="JJF527" s="1358"/>
      <c r="JJG527" s="1358"/>
      <c r="JJH527" s="1358"/>
      <c r="JJI527" s="1358"/>
      <c r="JJJ527" s="1358"/>
      <c r="JJK527" s="1358"/>
      <c r="JJL527" s="1358"/>
      <c r="JJM527" s="1358"/>
      <c r="JJN527" s="1358"/>
      <c r="JJO527" s="1358"/>
      <c r="JJP527" s="1358"/>
      <c r="JJQ527" s="1358"/>
      <c r="JJR527" s="1358"/>
      <c r="JJS527" s="1358"/>
      <c r="JJT527" s="1358"/>
      <c r="JJU527" s="1358"/>
      <c r="JJV527" s="1358"/>
      <c r="JJW527" s="1358"/>
      <c r="JJX527" s="1358"/>
      <c r="JJY527" s="1358"/>
      <c r="JJZ527" s="1358"/>
      <c r="JKA527" s="1358"/>
      <c r="JKB527" s="1358"/>
      <c r="JKC527" s="1358"/>
      <c r="JKD527" s="1358"/>
      <c r="JKE527" s="1358"/>
      <c r="JKF527" s="1358"/>
      <c r="JKG527" s="1358"/>
      <c r="JKH527" s="1358"/>
      <c r="JKI527" s="1358"/>
      <c r="JKJ527" s="1358"/>
      <c r="JKK527" s="1358"/>
      <c r="JKL527" s="1358"/>
      <c r="JKM527" s="1358"/>
      <c r="JKN527" s="1358"/>
      <c r="JKO527" s="1358"/>
      <c r="JKP527" s="1358"/>
      <c r="JKQ527" s="1358"/>
      <c r="JKR527" s="1358"/>
      <c r="JKS527" s="1358"/>
      <c r="JKT527" s="1358"/>
      <c r="JKU527" s="1358"/>
      <c r="JKV527" s="1358"/>
      <c r="JKW527" s="1358"/>
      <c r="JKX527" s="1358"/>
      <c r="JKY527" s="1358"/>
      <c r="JKZ527" s="1358"/>
      <c r="JLA527" s="1358"/>
      <c r="JLB527" s="1358"/>
      <c r="JLC527" s="1358"/>
      <c r="JLD527" s="1358"/>
      <c r="JLE527" s="1358"/>
      <c r="JLF527" s="1358"/>
      <c r="JLG527" s="1358"/>
      <c r="JLH527" s="1358"/>
      <c r="JLI527" s="1358"/>
      <c r="JLJ527" s="1358"/>
      <c r="JLK527" s="1358"/>
      <c r="JLL527" s="1358"/>
      <c r="JLM527" s="1358"/>
      <c r="JLN527" s="1358"/>
      <c r="JLO527" s="1358"/>
      <c r="JLP527" s="1358"/>
      <c r="JLQ527" s="1358"/>
      <c r="JLR527" s="1358"/>
      <c r="JLS527" s="1358"/>
      <c r="JLT527" s="1358"/>
      <c r="JLU527" s="1358"/>
      <c r="JLV527" s="1358"/>
      <c r="JLW527" s="1358"/>
      <c r="JLX527" s="1358"/>
      <c r="JLY527" s="1358"/>
      <c r="JLZ527" s="1358"/>
      <c r="JMA527" s="1358"/>
      <c r="JMB527" s="1358"/>
      <c r="JMC527" s="1358"/>
      <c r="JMD527" s="1358"/>
      <c r="JME527" s="1358"/>
      <c r="JMF527" s="1358"/>
      <c r="JMG527" s="1358"/>
      <c r="JMH527" s="1358"/>
      <c r="JMI527" s="1358"/>
      <c r="JMJ527" s="1358"/>
      <c r="JMK527" s="1358"/>
      <c r="JML527" s="1358"/>
      <c r="JMM527" s="1358"/>
      <c r="JMN527" s="1358"/>
      <c r="JMO527" s="1358"/>
      <c r="JMP527" s="1358"/>
      <c r="JMQ527" s="1358"/>
      <c r="JMR527" s="1358"/>
      <c r="JMS527" s="1358"/>
      <c r="JMT527" s="1358"/>
      <c r="JMU527" s="1358"/>
      <c r="JMV527" s="1358"/>
      <c r="JMW527" s="1358"/>
      <c r="JMX527" s="1358"/>
      <c r="JMY527" s="1358"/>
      <c r="JMZ527" s="1358"/>
      <c r="JNA527" s="1358"/>
      <c r="JNB527" s="1358"/>
      <c r="JNC527" s="1358"/>
      <c r="JND527" s="1358"/>
      <c r="JNE527" s="1358"/>
      <c r="JNF527" s="1358"/>
      <c r="JNG527" s="1358"/>
      <c r="JNH527" s="1358"/>
      <c r="JNI527" s="1358"/>
      <c r="JNJ527" s="1358"/>
      <c r="JNK527" s="1358"/>
      <c r="JNL527" s="1358"/>
      <c r="JNM527" s="1358"/>
      <c r="JNN527" s="1358"/>
      <c r="JNO527" s="1358"/>
      <c r="JNP527" s="1358"/>
      <c r="JNQ527" s="1358"/>
      <c r="JNR527" s="1358"/>
      <c r="JNS527" s="1358"/>
      <c r="JNT527" s="1358"/>
      <c r="JNU527" s="1358"/>
      <c r="JNV527" s="1358"/>
      <c r="JNW527" s="1358"/>
      <c r="JNX527" s="1358"/>
      <c r="JNY527" s="1358"/>
      <c r="JNZ527" s="1358"/>
      <c r="JOA527" s="1358"/>
      <c r="JOB527" s="1358"/>
      <c r="JOC527" s="1358"/>
      <c r="JOD527" s="1358"/>
      <c r="JOE527" s="1358"/>
      <c r="JOF527" s="1358"/>
      <c r="JOG527" s="1358"/>
      <c r="JOH527" s="1358"/>
      <c r="JOI527" s="1358"/>
      <c r="JOJ527" s="1358"/>
      <c r="JOK527" s="1358"/>
      <c r="JOL527" s="1358"/>
      <c r="JOM527" s="1358"/>
      <c r="JON527" s="1358"/>
      <c r="JOO527" s="1358"/>
      <c r="JOP527" s="1358"/>
      <c r="JOQ527" s="1358"/>
      <c r="JOR527" s="1358"/>
      <c r="JOS527" s="1358"/>
      <c r="JOT527" s="1358"/>
      <c r="JOU527" s="1358"/>
      <c r="JOV527" s="1358"/>
      <c r="JOW527" s="1358"/>
      <c r="JOX527" s="1358"/>
      <c r="JOY527" s="1358"/>
      <c r="JOZ527" s="1358"/>
      <c r="JPA527" s="1358"/>
      <c r="JPB527" s="1358"/>
      <c r="JPC527" s="1358"/>
      <c r="JPD527" s="1358"/>
      <c r="JPE527" s="1358"/>
      <c r="JPF527" s="1358"/>
      <c r="JPG527" s="1358"/>
      <c r="JPH527" s="1358"/>
      <c r="JPI527" s="1358"/>
      <c r="JPJ527" s="1358"/>
      <c r="JPK527" s="1358"/>
      <c r="JPL527" s="1358"/>
      <c r="JPM527" s="1358"/>
      <c r="JPN527" s="1358"/>
      <c r="JPO527" s="1358"/>
      <c r="JPP527" s="1358"/>
      <c r="JPQ527" s="1358"/>
      <c r="JPR527" s="1358"/>
      <c r="JPS527" s="1358"/>
      <c r="JPT527" s="1358"/>
      <c r="JPU527" s="1358"/>
      <c r="JPV527" s="1358"/>
      <c r="JPW527" s="1358"/>
      <c r="JPX527" s="1358"/>
      <c r="JPY527" s="1358"/>
      <c r="JPZ527" s="1358"/>
      <c r="JQA527" s="1358"/>
      <c r="JQB527" s="1358"/>
      <c r="JQC527" s="1358"/>
      <c r="JQD527" s="1358"/>
      <c r="JQE527" s="1358"/>
      <c r="JQF527" s="1358"/>
      <c r="JQG527" s="1358"/>
      <c r="JQH527" s="1358"/>
      <c r="JQI527" s="1358"/>
      <c r="JQJ527" s="1358"/>
      <c r="JQK527" s="1358"/>
      <c r="JQL527" s="1358"/>
      <c r="JQM527" s="1358"/>
      <c r="JQN527" s="1358"/>
      <c r="JQO527" s="1358"/>
      <c r="JQP527" s="1358"/>
      <c r="JQQ527" s="1358"/>
      <c r="JQR527" s="1358"/>
      <c r="JQS527" s="1358"/>
      <c r="JQT527" s="1358"/>
      <c r="JQU527" s="1358"/>
      <c r="JQV527" s="1358"/>
      <c r="JQW527" s="1358"/>
      <c r="JQX527" s="1358"/>
      <c r="JQY527" s="1358"/>
      <c r="JQZ527" s="1358"/>
      <c r="JRA527" s="1358"/>
      <c r="JRB527" s="1358"/>
      <c r="JRC527" s="1358"/>
      <c r="JRD527" s="1358"/>
      <c r="JRE527" s="1358"/>
      <c r="JRF527" s="1358"/>
      <c r="JRG527" s="1358"/>
      <c r="JRH527" s="1358"/>
      <c r="JRI527" s="1358"/>
      <c r="JRJ527" s="1358"/>
      <c r="JRK527" s="1358"/>
      <c r="JRL527" s="1358"/>
      <c r="JRM527" s="1358"/>
      <c r="JRN527" s="1358"/>
      <c r="JRO527" s="1358"/>
      <c r="JRP527" s="1358"/>
      <c r="JRQ527" s="1358"/>
      <c r="JRR527" s="1358"/>
      <c r="JRS527" s="1358"/>
      <c r="JRT527" s="1358"/>
      <c r="JRU527" s="1358"/>
      <c r="JRV527" s="1358"/>
      <c r="JRW527" s="1358"/>
      <c r="JRX527" s="1358"/>
      <c r="JRY527" s="1358"/>
      <c r="JRZ527" s="1358"/>
      <c r="JSA527" s="1358"/>
      <c r="JSB527" s="1358"/>
      <c r="JSC527" s="1358"/>
      <c r="JSD527" s="1358"/>
      <c r="JSE527" s="1358"/>
      <c r="JSF527" s="1358"/>
      <c r="JSG527" s="1358"/>
      <c r="JSH527" s="1358"/>
      <c r="JSI527" s="1358"/>
      <c r="JSJ527" s="1358"/>
      <c r="JSK527" s="1358"/>
      <c r="JSL527" s="1358"/>
      <c r="JSM527" s="1358"/>
      <c r="JSN527" s="1358"/>
      <c r="JSO527" s="1358"/>
      <c r="JSP527" s="1358"/>
      <c r="JSQ527" s="1358"/>
      <c r="JSR527" s="1358"/>
      <c r="JSS527" s="1358"/>
      <c r="JST527" s="1358"/>
      <c r="JSU527" s="1358"/>
      <c r="JSV527" s="1358"/>
      <c r="JSW527" s="1358"/>
      <c r="JSX527" s="1358"/>
      <c r="JSY527" s="1358"/>
      <c r="JSZ527" s="1358"/>
      <c r="JTA527" s="1358"/>
      <c r="JTB527" s="1358"/>
      <c r="JTC527" s="1358"/>
      <c r="JTD527" s="1358"/>
      <c r="JTE527" s="1358"/>
      <c r="JTF527" s="1358"/>
      <c r="JTG527" s="1358"/>
      <c r="JTH527" s="1358"/>
      <c r="JTI527" s="1358"/>
      <c r="JTJ527" s="1358"/>
      <c r="JTK527" s="1358"/>
      <c r="JTL527" s="1358"/>
      <c r="JTM527" s="1358"/>
      <c r="JTN527" s="1358"/>
      <c r="JTO527" s="1358"/>
      <c r="JTP527" s="1358"/>
      <c r="JTQ527" s="1358"/>
      <c r="JTR527" s="1358"/>
      <c r="JTS527" s="1358"/>
      <c r="JTT527" s="1358"/>
      <c r="JTU527" s="1358"/>
      <c r="JTV527" s="1358"/>
      <c r="JTW527" s="1358"/>
      <c r="JTX527" s="1358"/>
      <c r="JTY527" s="1358"/>
      <c r="JTZ527" s="1358"/>
      <c r="JUA527" s="1358"/>
      <c r="JUB527" s="1358"/>
      <c r="JUC527" s="1358"/>
      <c r="JUD527" s="1358"/>
      <c r="JUE527" s="1358"/>
      <c r="JUF527" s="1358"/>
      <c r="JUG527" s="1358"/>
      <c r="JUH527" s="1358"/>
      <c r="JUI527" s="1358"/>
      <c r="JUJ527" s="1358"/>
      <c r="JUK527" s="1358"/>
      <c r="JUL527" s="1358"/>
      <c r="JUM527" s="1358"/>
      <c r="JUN527" s="1358"/>
      <c r="JUO527" s="1358"/>
      <c r="JUP527" s="1358"/>
      <c r="JUQ527" s="1358"/>
      <c r="JUR527" s="1358"/>
      <c r="JUS527" s="1358"/>
      <c r="JUT527" s="1358"/>
      <c r="JUU527" s="1358"/>
      <c r="JUV527" s="1358"/>
      <c r="JUW527" s="1358"/>
      <c r="JUX527" s="1358"/>
      <c r="JUY527" s="1358"/>
      <c r="JUZ527" s="1358"/>
      <c r="JVA527" s="1358"/>
      <c r="JVB527" s="1358"/>
      <c r="JVC527" s="1358"/>
      <c r="JVD527" s="1358"/>
      <c r="JVE527" s="1358"/>
      <c r="JVF527" s="1358"/>
      <c r="JVG527" s="1358"/>
      <c r="JVH527" s="1358"/>
      <c r="JVI527" s="1358"/>
      <c r="JVJ527" s="1358"/>
      <c r="JVK527" s="1358"/>
      <c r="JVL527" s="1358"/>
      <c r="JVM527" s="1358"/>
      <c r="JVN527" s="1358"/>
      <c r="JVO527" s="1358"/>
      <c r="JVP527" s="1358"/>
      <c r="JVQ527" s="1358"/>
      <c r="JVR527" s="1358"/>
      <c r="JVS527" s="1358"/>
      <c r="JVT527" s="1358"/>
      <c r="JVU527" s="1358"/>
      <c r="JVV527" s="1358"/>
      <c r="JVW527" s="1358"/>
      <c r="JVX527" s="1358"/>
      <c r="JVY527" s="1358"/>
      <c r="JVZ527" s="1358"/>
      <c r="JWA527" s="1358"/>
      <c r="JWB527" s="1358"/>
      <c r="JWC527" s="1358"/>
      <c r="JWD527" s="1358"/>
      <c r="JWE527" s="1358"/>
      <c r="JWF527" s="1358"/>
      <c r="JWG527" s="1358"/>
      <c r="JWH527" s="1358"/>
      <c r="JWI527" s="1358"/>
      <c r="JWJ527" s="1358"/>
      <c r="JWK527" s="1358"/>
      <c r="JWL527" s="1358"/>
      <c r="JWM527" s="1358"/>
      <c r="JWN527" s="1358"/>
      <c r="JWO527" s="1358"/>
      <c r="JWP527" s="1358"/>
      <c r="JWQ527" s="1358"/>
      <c r="JWR527" s="1358"/>
      <c r="JWS527" s="1358"/>
      <c r="JWT527" s="1358"/>
      <c r="JWU527" s="1358"/>
      <c r="JWV527" s="1358"/>
      <c r="JWW527" s="1358"/>
      <c r="JWX527" s="1358"/>
      <c r="JWY527" s="1358"/>
      <c r="JWZ527" s="1358"/>
      <c r="JXA527" s="1358"/>
      <c r="JXB527" s="1358"/>
      <c r="JXC527" s="1358"/>
      <c r="JXD527" s="1358"/>
      <c r="JXE527" s="1358"/>
      <c r="JXF527" s="1358"/>
      <c r="JXG527" s="1358"/>
      <c r="JXH527" s="1358"/>
      <c r="JXI527" s="1358"/>
      <c r="JXJ527" s="1358"/>
      <c r="JXK527" s="1358"/>
      <c r="JXL527" s="1358"/>
      <c r="JXM527" s="1358"/>
      <c r="JXN527" s="1358"/>
      <c r="JXO527" s="1358"/>
      <c r="JXP527" s="1358"/>
      <c r="JXQ527" s="1358"/>
      <c r="JXR527" s="1358"/>
      <c r="JXS527" s="1358"/>
      <c r="JXT527" s="1358"/>
      <c r="JXU527" s="1358"/>
      <c r="JXV527" s="1358"/>
      <c r="JXW527" s="1358"/>
      <c r="JXX527" s="1358"/>
      <c r="JXY527" s="1358"/>
      <c r="JXZ527" s="1358"/>
      <c r="JYA527" s="1358"/>
      <c r="JYB527" s="1358"/>
      <c r="JYC527" s="1358"/>
      <c r="JYD527" s="1358"/>
      <c r="JYE527" s="1358"/>
      <c r="JYF527" s="1358"/>
      <c r="JYG527" s="1358"/>
      <c r="JYH527" s="1358"/>
      <c r="JYI527" s="1358"/>
      <c r="JYJ527" s="1358"/>
      <c r="JYK527" s="1358"/>
      <c r="JYL527" s="1358"/>
      <c r="JYM527" s="1358"/>
      <c r="JYN527" s="1358"/>
      <c r="JYO527" s="1358"/>
      <c r="JYP527" s="1358"/>
      <c r="JYQ527" s="1358"/>
      <c r="JYR527" s="1358"/>
      <c r="JYS527" s="1358"/>
      <c r="JYT527" s="1358"/>
      <c r="JYU527" s="1358"/>
      <c r="JYV527" s="1358"/>
      <c r="JYW527" s="1358"/>
      <c r="JYX527" s="1358"/>
      <c r="JYY527" s="1358"/>
      <c r="JYZ527" s="1358"/>
      <c r="JZA527" s="1358"/>
      <c r="JZB527" s="1358"/>
      <c r="JZC527" s="1358"/>
      <c r="JZD527" s="1358"/>
      <c r="JZE527" s="1358"/>
      <c r="JZF527" s="1358"/>
      <c r="JZG527" s="1358"/>
      <c r="JZH527" s="1358"/>
      <c r="JZI527" s="1358"/>
      <c r="JZJ527" s="1358"/>
      <c r="JZK527" s="1358"/>
      <c r="JZL527" s="1358"/>
      <c r="JZM527" s="1358"/>
      <c r="JZN527" s="1358"/>
      <c r="JZO527" s="1358"/>
      <c r="JZP527" s="1358"/>
      <c r="JZQ527" s="1358"/>
      <c r="JZR527" s="1358"/>
      <c r="JZS527" s="1358"/>
      <c r="JZT527" s="1358"/>
      <c r="JZU527" s="1358"/>
      <c r="JZV527" s="1358"/>
      <c r="JZW527" s="1358"/>
      <c r="JZX527" s="1358"/>
      <c r="JZY527" s="1358"/>
      <c r="JZZ527" s="1358"/>
      <c r="KAA527" s="1358"/>
      <c r="KAB527" s="1358"/>
      <c r="KAC527" s="1358"/>
      <c r="KAD527" s="1358"/>
      <c r="KAE527" s="1358"/>
      <c r="KAF527" s="1358"/>
      <c r="KAG527" s="1358"/>
      <c r="KAH527" s="1358"/>
      <c r="KAI527" s="1358"/>
      <c r="KAJ527" s="1358"/>
      <c r="KAK527" s="1358"/>
      <c r="KAL527" s="1358"/>
      <c r="KAM527" s="1358"/>
      <c r="KAN527" s="1358"/>
      <c r="KAO527" s="1358"/>
      <c r="KAP527" s="1358"/>
      <c r="KAQ527" s="1358"/>
      <c r="KAR527" s="1358"/>
      <c r="KAS527" s="1358"/>
      <c r="KAT527" s="1358"/>
      <c r="KAU527" s="1358"/>
      <c r="KAV527" s="1358"/>
      <c r="KAW527" s="1358"/>
      <c r="KAX527" s="1358"/>
      <c r="KAY527" s="1358"/>
      <c r="KAZ527" s="1358"/>
      <c r="KBA527" s="1358"/>
      <c r="KBB527" s="1358"/>
      <c r="KBC527" s="1358"/>
      <c r="KBD527" s="1358"/>
      <c r="KBE527" s="1358"/>
      <c r="KBF527" s="1358"/>
      <c r="KBG527" s="1358"/>
      <c r="KBH527" s="1358"/>
      <c r="KBI527" s="1358"/>
      <c r="KBJ527" s="1358"/>
      <c r="KBK527" s="1358"/>
      <c r="KBL527" s="1358"/>
      <c r="KBM527" s="1358"/>
      <c r="KBN527" s="1358"/>
      <c r="KBO527" s="1358"/>
      <c r="KBP527" s="1358"/>
      <c r="KBQ527" s="1358"/>
      <c r="KBR527" s="1358"/>
      <c r="KBS527" s="1358"/>
      <c r="KBT527" s="1358"/>
      <c r="KBU527" s="1358"/>
      <c r="KBV527" s="1358"/>
      <c r="KBW527" s="1358"/>
      <c r="KBX527" s="1358"/>
      <c r="KBY527" s="1358"/>
      <c r="KBZ527" s="1358"/>
      <c r="KCA527" s="1358"/>
      <c r="KCB527" s="1358"/>
      <c r="KCC527" s="1358"/>
      <c r="KCD527" s="1358"/>
      <c r="KCE527" s="1358"/>
      <c r="KCF527" s="1358"/>
      <c r="KCG527" s="1358"/>
      <c r="KCH527" s="1358"/>
      <c r="KCI527" s="1358"/>
      <c r="KCJ527" s="1358"/>
      <c r="KCK527" s="1358"/>
      <c r="KCL527" s="1358"/>
      <c r="KCM527" s="1358"/>
      <c r="KCN527" s="1358"/>
      <c r="KCO527" s="1358"/>
      <c r="KCP527" s="1358"/>
      <c r="KCQ527" s="1358"/>
      <c r="KCR527" s="1358"/>
      <c r="KCS527" s="1358"/>
      <c r="KCT527" s="1358"/>
      <c r="KCU527" s="1358"/>
      <c r="KCV527" s="1358"/>
      <c r="KCW527" s="1358"/>
      <c r="KCX527" s="1358"/>
      <c r="KCY527" s="1358"/>
      <c r="KCZ527" s="1358"/>
      <c r="KDA527" s="1358"/>
      <c r="KDB527" s="1358"/>
      <c r="KDC527" s="1358"/>
      <c r="KDD527" s="1358"/>
      <c r="KDE527" s="1358"/>
      <c r="KDF527" s="1358"/>
      <c r="KDG527" s="1358"/>
      <c r="KDH527" s="1358"/>
      <c r="KDI527" s="1358"/>
      <c r="KDJ527" s="1358"/>
      <c r="KDK527" s="1358"/>
      <c r="KDL527" s="1358"/>
      <c r="KDM527" s="1358"/>
      <c r="KDN527" s="1358"/>
      <c r="KDO527" s="1358"/>
      <c r="KDP527" s="1358"/>
      <c r="KDQ527" s="1358"/>
      <c r="KDR527" s="1358"/>
      <c r="KDS527" s="1358"/>
      <c r="KDT527" s="1358"/>
      <c r="KDU527" s="1358"/>
      <c r="KDV527" s="1358"/>
      <c r="KDW527" s="1358"/>
      <c r="KDX527" s="1358"/>
      <c r="KDY527" s="1358"/>
      <c r="KDZ527" s="1358"/>
      <c r="KEA527" s="1358"/>
      <c r="KEB527" s="1358"/>
      <c r="KEC527" s="1358"/>
      <c r="KED527" s="1358"/>
      <c r="KEE527" s="1358"/>
      <c r="KEF527" s="1358"/>
      <c r="KEG527" s="1358"/>
      <c r="KEH527" s="1358"/>
      <c r="KEI527" s="1358"/>
      <c r="KEJ527" s="1358"/>
      <c r="KEK527" s="1358"/>
      <c r="KEL527" s="1358"/>
      <c r="KEM527" s="1358"/>
      <c r="KEN527" s="1358"/>
      <c r="KEO527" s="1358"/>
      <c r="KEP527" s="1358"/>
      <c r="KEQ527" s="1358"/>
      <c r="KER527" s="1358"/>
      <c r="KES527" s="1358"/>
      <c r="KET527" s="1358"/>
      <c r="KEU527" s="1358"/>
      <c r="KEV527" s="1358"/>
      <c r="KEW527" s="1358"/>
      <c r="KEX527" s="1358"/>
      <c r="KEY527" s="1358"/>
      <c r="KEZ527" s="1358"/>
      <c r="KFA527" s="1358"/>
      <c r="KFB527" s="1358"/>
      <c r="KFC527" s="1358"/>
      <c r="KFD527" s="1358"/>
      <c r="KFE527" s="1358"/>
      <c r="KFF527" s="1358"/>
      <c r="KFG527" s="1358"/>
      <c r="KFH527" s="1358"/>
      <c r="KFI527" s="1358"/>
      <c r="KFJ527" s="1358"/>
      <c r="KFK527" s="1358"/>
      <c r="KFL527" s="1358"/>
      <c r="KFM527" s="1358"/>
      <c r="KFN527" s="1358"/>
      <c r="KFO527" s="1358"/>
      <c r="KFP527" s="1358"/>
      <c r="KFQ527" s="1358"/>
      <c r="KFR527" s="1358"/>
      <c r="KFS527" s="1358"/>
      <c r="KFT527" s="1358"/>
      <c r="KFU527" s="1358"/>
      <c r="KFV527" s="1358"/>
      <c r="KFW527" s="1358"/>
      <c r="KFX527" s="1358"/>
      <c r="KFY527" s="1358"/>
      <c r="KFZ527" s="1358"/>
      <c r="KGA527" s="1358"/>
      <c r="KGB527" s="1358"/>
      <c r="KGC527" s="1358"/>
      <c r="KGD527" s="1358"/>
      <c r="KGE527" s="1358"/>
      <c r="KGF527" s="1358"/>
      <c r="KGG527" s="1358"/>
      <c r="KGH527" s="1358"/>
      <c r="KGI527" s="1358"/>
      <c r="KGJ527" s="1358"/>
      <c r="KGK527" s="1358"/>
      <c r="KGL527" s="1358"/>
      <c r="KGM527" s="1358"/>
      <c r="KGN527" s="1358"/>
      <c r="KGO527" s="1358"/>
      <c r="KGP527" s="1358"/>
      <c r="KGQ527" s="1358"/>
      <c r="KGR527" s="1358"/>
      <c r="KGS527" s="1358"/>
      <c r="KGT527" s="1358"/>
      <c r="KGU527" s="1358"/>
      <c r="KGV527" s="1358"/>
      <c r="KGW527" s="1358"/>
      <c r="KGX527" s="1358"/>
      <c r="KGY527" s="1358"/>
      <c r="KGZ527" s="1358"/>
      <c r="KHA527" s="1358"/>
      <c r="KHB527" s="1358"/>
      <c r="KHC527" s="1358"/>
      <c r="KHD527" s="1358"/>
      <c r="KHE527" s="1358"/>
      <c r="KHF527" s="1358"/>
      <c r="KHG527" s="1358"/>
      <c r="KHH527" s="1358"/>
      <c r="KHI527" s="1358"/>
      <c r="KHJ527" s="1358"/>
      <c r="KHK527" s="1358"/>
      <c r="KHL527" s="1358"/>
      <c r="KHM527" s="1358"/>
      <c r="KHN527" s="1358"/>
      <c r="KHO527" s="1358"/>
      <c r="KHP527" s="1358"/>
      <c r="KHQ527" s="1358"/>
      <c r="KHR527" s="1358"/>
      <c r="KHS527" s="1358"/>
      <c r="KHT527" s="1358"/>
      <c r="KHU527" s="1358"/>
      <c r="KHV527" s="1358"/>
      <c r="KHW527" s="1358"/>
      <c r="KHX527" s="1358"/>
      <c r="KHY527" s="1358"/>
      <c r="KHZ527" s="1358"/>
      <c r="KIA527" s="1358"/>
      <c r="KIB527" s="1358"/>
      <c r="KIC527" s="1358"/>
      <c r="KID527" s="1358"/>
      <c r="KIE527" s="1358"/>
      <c r="KIF527" s="1358"/>
      <c r="KIG527" s="1358"/>
      <c r="KIH527" s="1358"/>
      <c r="KII527" s="1358"/>
      <c r="KIJ527" s="1358"/>
      <c r="KIK527" s="1358"/>
      <c r="KIL527" s="1358"/>
      <c r="KIM527" s="1358"/>
      <c r="KIN527" s="1358"/>
      <c r="KIO527" s="1358"/>
      <c r="KIP527" s="1358"/>
      <c r="KIQ527" s="1358"/>
      <c r="KIR527" s="1358"/>
      <c r="KIS527" s="1358"/>
      <c r="KIT527" s="1358"/>
      <c r="KIU527" s="1358"/>
      <c r="KIV527" s="1358"/>
      <c r="KIW527" s="1358"/>
      <c r="KIX527" s="1358"/>
      <c r="KIY527" s="1358"/>
      <c r="KIZ527" s="1358"/>
      <c r="KJA527" s="1358"/>
      <c r="KJB527" s="1358"/>
      <c r="KJC527" s="1358"/>
      <c r="KJD527" s="1358"/>
      <c r="KJE527" s="1358"/>
      <c r="KJF527" s="1358"/>
      <c r="KJG527" s="1358"/>
      <c r="KJH527" s="1358"/>
      <c r="KJI527" s="1358"/>
      <c r="KJJ527" s="1358"/>
      <c r="KJK527" s="1358"/>
      <c r="KJL527" s="1358"/>
      <c r="KJM527" s="1358"/>
      <c r="KJN527" s="1358"/>
      <c r="KJO527" s="1358"/>
      <c r="KJP527" s="1358"/>
      <c r="KJQ527" s="1358"/>
      <c r="KJR527" s="1358"/>
      <c r="KJS527" s="1358"/>
      <c r="KJT527" s="1358"/>
      <c r="KJU527" s="1358"/>
      <c r="KJV527" s="1358"/>
      <c r="KJW527" s="1358"/>
      <c r="KJX527" s="1358"/>
      <c r="KJY527" s="1358"/>
      <c r="KJZ527" s="1358"/>
      <c r="KKA527" s="1358"/>
      <c r="KKB527" s="1358"/>
      <c r="KKC527" s="1358"/>
      <c r="KKD527" s="1358"/>
      <c r="KKE527" s="1358"/>
      <c r="KKF527" s="1358"/>
      <c r="KKG527" s="1358"/>
      <c r="KKH527" s="1358"/>
      <c r="KKI527" s="1358"/>
      <c r="KKJ527" s="1358"/>
      <c r="KKK527" s="1358"/>
      <c r="KKL527" s="1358"/>
      <c r="KKM527" s="1358"/>
      <c r="KKN527" s="1358"/>
      <c r="KKO527" s="1358"/>
      <c r="KKP527" s="1358"/>
      <c r="KKQ527" s="1358"/>
      <c r="KKR527" s="1358"/>
      <c r="KKS527" s="1358"/>
      <c r="KKT527" s="1358"/>
      <c r="KKU527" s="1358"/>
      <c r="KKV527" s="1358"/>
      <c r="KKW527" s="1358"/>
      <c r="KKX527" s="1358"/>
      <c r="KKY527" s="1358"/>
      <c r="KKZ527" s="1358"/>
      <c r="KLA527" s="1358"/>
      <c r="KLB527" s="1358"/>
      <c r="KLC527" s="1358"/>
      <c r="KLD527" s="1358"/>
      <c r="KLE527" s="1358"/>
      <c r="KLF527" s="1358"/>
      <c r="KLG527" s="1358"/>
      <c r="KLH527" s="1358"/>
      <c r="KLI527" s="1358"/>
      <c r="KLJ527" s="1358"/>
      <c r="KLK527" s="1358"/>
      <c r="KLL527" s="1358"/>
      <c r="KLM527" s="1358"/>
      <c r="KLN527" s="1358"/>
      <c r="KLO527" s="1358"/>
      <c r="KLP527" s="1358"/>
      <c r="KLQ527" s="1358"/>
      <c r="KLR527" s="1358"/>
      <c r="KLS527" s="1358"/>
      <c r="KLT527" s="1358"/>
      <c r="KLU527" s="1358"/>
      <c r="KLV527" s="1358"/>
      <c r="KLW527" s="1358"/>
      <c r="KLX527" s="1358"/>
      <c r="KLY527" s="1358"/>
      <c r="KLZ527" s="1358"/>
      <c r="KMA527" s="1358"/>
      <c r="KMB527" s="1358"/>
      <c r="KMC527" s="1358"/>
      <c r="KMD527" s="1358"/>
      <c r="KME527" s="1358"/>
      <c r="KMF527" s="1358"/>
      <c r="KMG527" s="1358"/>
      <c r="KMH527" s="1358"/>
      <c r="KMI527" s="1358"/>
      <c r="KMJ527" s="1358"/>
      <c r="KMK527" s="1358"/>
      <c r="KML527" s="1358"/>
      <c r="KMM527" s="1358"/>
      <c r="KMN527" s="1358"/>
      <c r="KMO527" s="1358"/>
      <c r="KMP527" s="1358"/>
      <c r="KMQ527" s="1358"/>
      <c r="KMR527" s="1358"/>
      <c r="KMS527" s="1358"/>
      <c r="KMT527" s="1358"/>
      <c r="KMU527" s="1358"/>
      <c r="KMV527" s="1358"/>
      <c r="KMW527" s="1358"/>
      <c r="KMX527" s="1358"/>
      <c r="KMY527" s="1358"/>
      <c r="KMZ527" s="1358"/>
      <c r="KNA527" s="1358"/>
      <c r="KNB527" s="1358"/>
      <c r="KNC527" s="1358"/>
      <c r="KND527" s="1358"/>
      <c r="KNE527" s="1358"/>
      <c r="KNF527" s="1358"/>
      <c r="KNG527" s="1358"/>
      <c r="KNH527" s="1358"/>
      <c r="KNI527" s="1358"/>
      <c r="KNJ527" s="1358"/>
      <c r="KNK527" s="1358"/>
      <c r="KNL527" s="1358"/>
      <c r="KNM527" s="1358"/>
      <c r="KNN527" s="1358"/>
      <c r="KNO527" s="1358"/>
      <c r="KNP527" s="1358"/>
      <c r="KNQ527" s="1358"/>
      <c r="KNR527" s="1358"/>
      <c r="KNS527" s="1358"/>
      <c r="KNT527" s="1358"/>
      <c r="KNU527" s="1358"/>
      <c r="KNV527" s="1358"/>
      <c r="KNW527" s="1358"/>
      <c r="KNX527" s="1358"/>
      <c r="KNY527" s="1358"/>
      <c r="KNZ527" s="1358"/>
      <c r="KOA527" s="1358"/>
      <c r="KOB527" s="1358"/>
      <c r="KOC527" s="1358"/>
      <c r="KOD527" s="1358"/>
      <c r="KOE527" s="1358"/>
      <c r="KOF527" s="1358"/>
      <c r="KOG527" s="1358"/>
      <c r="KOH527" s="1358"/>
      <c r="KOI527" s="1358"/>
      <c r="KOJ527" s="1358"/>
      <c r="KOK527" s="1358"/>
      <c r="KOL527" s="1358"/>
      <c r="KOM527" s="1358"/>
      <c r="KON527" s="1358"/>
      <c r="KOO527" s="1358"/>
      <c r="KOP527" s="1358"/>
      <c r="KOQ527" s="1358"/>
      <c r="KOR527" s="1358"/>
      <c r="KOS527" s="1358"/>
      <c r="KOT527" s="1358"/>
      <c r="KOU527" s="1358"/>
      <c r="KOV527" s="1358"/>
      <c r="KOW527" s="1358"/>
      <c r="KOX527" s="1358"/>
      <c r="KOY527" s="1358"/>
      <c r="KOZ527" s="1358"/>
      <c r="KPA527" s="1358"/>
      <c r="KPB527" s="1358"/>
      <c r="KPC527" s="1358"/>
      <c r="KPD527" s="1358"/>
      <c r="KPE527" s="1358"/>
      <c r="KPF527" s="1358"/>
      <c r="KPG527" s="1358"/>
      <c r="KPH527" s="1358"/>
      <c r="KPI527" s="1358"/>
      <c r="KPJ527" s="1358"/>
      <c r="KPK527" s="1358"/>
      <c r="KPL527" s="1358"/>
      <c r="KPM527" s="1358"/>
      <c r="KPN527" s="1358"/>
      <c r="KPO527" s="1358"/>
      <c r="KPP527" s="1358"/>
      <c r="KPQ527" s="1358"/>
      <c r="KPR527" s="1358"/>
      <c r="KPS527" s="1358"/>
      <c r="KPT527" s="1358"/>
      <c r="KPU527" s="1358"/>
      <c r="KPV527" s="1358"/>
      <c r="KPW527" s="1358"/>
      <c r="KPX527" s="1358"/>
      <c r="KPY527" s="1358"/>
      <c r="KPZ527" s="1358"/>
      <c r="KQA527" s="1358"/>
      <c r="KQB527" s="1358"/>
      <c r="KQC527" s="1358"/>
      <c r="KQD527" s="1358"/>
      <c r="KQE527" s="1358"/>
      <c r="KQF527" s="1358"/>
      <c r="KQG527" s="1358"/>
      <c r="KQH527" s="1358"/>
      <c r="KQI527" s="1358"/>
      <c r="KQJ527" s="1358"/>
      <c r="KQK527" s="1358"/>
      <c r="KQL527" s="1358"/>
      <c r="KQM527" s="1358"/>
      <c r="KQN527" s="1358"/>
      <c r="KQO527" s="1358"/>
      <c r="KQP527" s="1358"/>
      <c r="KQQ527" s="1358"/>
      <c r="KQR527" s="1358"/>
      <c r="KQS527" s="1358"/>
      <c r="KQT527" s="1358"/>
      <c r="KQU527" s="1358"/>
      <c r="KQV527" s="1358"/>
      <c r="KQW527" s="1358"/>
      <c r="KQX527" s="1358"/>
      <c r="KQY527" s="1358"/>
      <c r="KQZ527" s="1358"/>
      <c r="KRA527" s="1358"/>
      <c r="KRB527" s="1358"/>
      <c r="KRC527" s="1358"/>
      <c r="KRD527" s="1358"/>
      <c r="KRE527" s="1358"/>
      <c r="KRF527" s="1358"/>
      <c r="KRG527" s="1358"/>
      <c r="KRH527" s="1358"/>
      <c r="KRI527" s="1358"/>
      <c r="KRJ527" s="1358"/>
      <c r="KRK527" s="1358"/>
      <c r="KRL527" s="1358"/>
      <c r="KRM527" s="1358"/>
      <c r="KRN527" s="1358"/>
      <c r="KRO527" s="1358"/>
      <c r="KRP527" s="1358"/>
      <c r="KRQ527" s="1358"/>
      <c r="KRR527" s="1358"/>
      <c r="KRS527" s="1358"/>
      <c r="KRT527" s="1358"/>
      <c r="KRU527" s="1358"/>
      <c r="KRV527" s="1358"/>
      <c r="KRW527" s="1358"/>
      <c r="KRX527" s="1358"/>
      <c r="KRY527" s="1358"/>
      <c r="KRZ527" s="1358"/>
      <c r="KSA527" s="1358"/>
      <c r="KSB527" s="1358"/>
      <c r="KSC527" s="1358"/>
      <c r="KSD527" s="1358"/>
      <c r="KSE527" s="1358"/>
      <c r="KSF527" s="1358"/>
      <c r="KSG527" s="1358"/>
      <c r="KSH527" s="1358"/>
      <c r="KSI527" s="1358"/>
      <c r="KSJ527" s="1358"/>
      <c r="KSK527" s="1358"/>
      <c r="KSL527" s="1358"/>
      <c r="KSM527" s="1358"/>
      <c r="KSN527" s="1358"/>
      <c r="KSO527" s="1358"/>
      <c r="KSP527" s="1358"/>
      <c r="KSQ527" s="1358"/>
      <c r="KSR527" s="1358"/>
      <c r="KSS527" s="1358"/>
      <c r="KST527" s="1358"/>
      <c r="KSU527" s="1358"/>
      <c r="KSV527" s="1358"/>
      <c r="KSW527" s="1358"/>
      <c r="KSX527" s="1358"/>
      <c r="KSY527" s="1358"/>
      <c r="KSZ527" s="1358"/>
      <c r="KTA527" s="1358"/>
      <c r="KTB527" s="1358"/>
      <c r="KTC527" s="1358"/>
      <c r="KTD527" s="1358"/>
      <c r="KTE527" s="1358"/>
      <c r="KTF527" s="1358"/>
      <c r="KTG527" s="1358"/>
      <c r="KTH527" s="1358"/>
      <c r="KTI527" s="1358"/>
      <c r="KTJ527" s="1358"/>
      <c r="KTK527" s="1358"/>
      <c r="KTL527" s="1358"/>
      <c r="KTM527" s="1358"/>
      <c r="KTN527" s="1358"/>
      <c r="KTO527" s="1358"/>
      <c r="KTP527" s="1358"/>
      <c r="KTQ527" s="1358"/>
      <c r="KTR527" s="1358"/>
      <c r="KTS527" s="1358"/>
      <c r="KTT527" s="1358"/>
      <c r="KTU527" s="1358"/>
      <c r="KTV527" s="1358"/>
      <c r="KTW527" s="1358"/>
      <c r="KTX527" s="1358"/>
      <c r="KTY527" s="1358"/>
      <c r="KTZ527" s="1358"/>
      <c r="KUA527" s="1358"/>
      <c r="KUB527" s="1358"/>
      <c r="KUC527" s="1358"/>
      <c r="KUD527" s="1358"/>
      <c r="KUE527" s="1358"/>
      <c r="KUF527" s="1358"/>
      <c r="KUG527" s="1358"/>
      <c r="KUH527" s="1358"/>
      <c r="KUI527" s="1358"/>
      <c r="KUJ527" s="1358"/>
      <c r="KUK527" s="1358"/>
      <c r="KUL527" s="1358"/>
      <c r="KUM527" s="1358"/>
      <c r="KUN527" s="1358"/>
      <c r="KUO527" s="1358"/>
      <c r="KUP527" s="1358"/>
      <c r="KUQ527" s="1358"/>
      <c r="KUR527" s="1358"/>
      <c r="KUS527" s="1358"/>
      <c r="KUT527" s="1358"/>
      <c r="KUU527" s="1358"/>
      <c r="KUV527" s="1358"/>
      <c r="KUW527" s="1358"/>
      <c r="KUX527" s="1358"/>
      <c r="KUY527" s="1358"/>
      <c r="KUZ527" s="1358"/>
      <c r="KVA527" s="1358"/>
      <c r="KVB527" s="1358"/>
      <c r="KVC527" s="1358"/>
      <c r="KVD527" s="1358"/>
      <c r="KVE527" s="1358"/>
      <c r="KVF527" s="1358"/>
      <c r="KVG527" s="1358"/>
      <c r="KVH527" s="1358"/>
      <c r="KVI527" s="1358"/>
      <c r="KVJ527" s="1358"/>
      <c r="KVK527" s="1358"/>
      <c r="KVL527" s="1358"/>
      <c r="KVM527" s="1358"/>
      <c r="KVN527" s="1358"/>
      <c r="KVO527" s="1358"/>
      <c r="KVP527" s="1358"/>
      <c r="KVQ527" s="1358"/>
      <c r="KVR527" s="1358"/>
      <c r="KVS527" s="1358"/>
      <c r="KVT527" s="1358"/>
      <c r="KVU527" s="1358"/>
      <c r="KVV527" s="1358"/>
      <c r="KVW527" s="1358"/>
      <c r="KVX527" s="1358"/>
      <c r="KVY527" s="1358"/>
      <c r="KVZ527" s="1358"/>
      <c r="KWA527" s="1358"/>
      <c r="KWB527" s="1358"/>
      <c r="KWC527" s="1358"/>
      <c r="KWD527" s="1358"/>
      <c r="KWE527" s="1358"/>
      <c r="KWF527" s="1358"/>
      <c r="KWG527" s="1358"/>
      <c r="KWH527" s="1358"/>
      <c r="KWI527" s="1358"/>
      <c r="KWJ527" s="1358"/>
      <c r="KWK527" s="1358"/>
      <c r="KWL527" s="1358"/>
      <c r="KWM527" s="1358"/>
      <c r="KWN527" s="1358"/>
      <c r="KWO527" s="1358"/>
      <c r="KWP527" s="1358"/>
      <c r="KWQ527" s="1358"/>
      <c r="KWR527" s="1358"/>
      <c r="KWS527" s="1358"/>
      <c r="KWT527" s="1358"/>
      <c r="KWU527" s="1358"/>
      <c r="KWV527" s="1358"/>
      <c r="KWW527" s="1358"/>
      <c r="KWX527" s="1358"/>
      <c r="KWY527" s="1358"/>
      <c r="KWZ527" s="1358"/>
      <c r="KXA527" s="1358"/>
      <c r="KXB527" s="1358"/>
      <c r="KXC527" s="1358"/>
      <c r="KXD527" s="1358"/>
      <c r="KXE527" s="1358"/>
      <c r="KXF527" s="1358"/>
      <c r="KXG527" s="1358"/>
      <c r="KXH527" s="1358"/>
      <c r="KXI527" s="1358"/>
      <c r="KXJ527" s="1358"/>
      <c r="KXK527" s="1358"/>
      <c r="KXL527" s="1358"/>
      <c r="KXM527" s="1358"/>
      <c r="KXN527" s="1358"/>
      <c r="KXO527" s="1358"/>
      <c r="KXP527" s="1358"/>
      <c r="KXQ527" s="1358"/>
      <c r="KXR527" s="1358"/>
      <c r="KXS527" s="1358"/>
      <c r="KXT527" s="1358"/>
      <c r="KXU527" s="1358"/>
      <c r="KXV527" s="1358"/>
      <c r="KXW527" s="1358"/>
      <c r="KXX527" s="1358"/>
      <c r="KXY527" s="1358"/>
      <c r="KXZ527" s="1358"/>
      <c r="KYA527" s="1358"/>
      <c r="KYB527" s="1358"/>
      <c r="KYC527" s="1358"/>
      <c r="KYD527" s="1358"/>
      <c r="KYE527" s="1358"/>
      <c r="KYF527" s="1358"/>
      <c r="KYG527" s="1358"/>
      <c r="KYH527" s="1358"/>
      <c r="KYI527" s="1358"/>
      <c r="KYJ527" s="1358"/>
      <c r="KYK527" s="1358"/>
      <c r="KYL527" s="1358"/>
      <c r="KYM527" s="1358"/>
      <c r="KYN527" s="1358"/>
      <c r="KYO527" s="1358"/>
      <c r="KYP527" s="1358"/>
      <c r="KYQ527" s="1358"/>
      <c r="KYR527" s="1358"/>
      <c r="KYS527" s="1358"/>
      <c r="KYT527" s="1358"/>
      <c r="KYU527" s="1358"/>
      <c r="KYV527" s="1358"/>
      <c r="KYW527" s="1358"/>
      <c r="KYX527" s="1358"/>
      <c r="KYY527" s="1358"/>
      <c r="KYZ527" s="1358"/>
      <c r="KZA527" s="1358"/>
      <c r="KZB527" s="1358"/>
      <c r="KZC527" s="1358"/>
      <c r="KZD527" s="1358"/>
      <c r="KZE527" s="1358"/>
      <c r="KZF527" s="1358"/>
      <c r="KZG527" s="1358"/>
      <c r="KZH527" s="1358"/>
      <c r="KZI527" s="1358"/>
      <c r="KZJ527" s="1358"/>
      <c r="KZK527" s="1358"/>
      <c r="KZL527" s="1358"/>
      <c r="KZM527" s="1358"/>
      <c r="KZN527" s="1358"/>
      <c r="KZO527" s="1358"/>
      <c r="KZP527" s="1358"/>
      <c r="KZQ527" s="1358"/>
      <c r="KZR527" s="1358"/>
      <c r="KZS527" s="1358"/>
      <c r="KZT527" s="1358"/>
      <c r="KZU527" s="1358"/>
      <c r="KZV527" s="1358"/>
      <c r="KZW527" s="1358"/>
      <c r="KZX527" s="1358"/>
      <c r="KZY527" s="1358"/>
      <c r="KZZ527" s="1358"/>
      <c r="LAA527" s="1358"/>
      <c r="LAB527" s="1358"/>
      <c r="LAC527" s="1358"/>
      <c r="LAD527" s="1358"/>
      <c r="LAE527" s="1358"/>
      <c r="LAF527" s="1358"/>
      <c r="LAG527" s="1358"/>
      <c r="LAH527" s="1358"/>
      <c r="LAI527" s="1358"/>
      <c r="LAJ527" s="1358"/>
      <c r="LAK527" s="1358"/>
      <c r="LAL527" s="1358"/>
      <c r="LAM527" s="1358"/>
      <c r="LAN527" s="1358"/>
      <c r="LAO527" s="1358"/>
      <c r="LAP527" s="1358"/>
      <c r="LAQ527" s="1358"/>
      <c r="LAR527" s="1358"/>
      <c r="LAS527" s="1358"/>
      <c r="LAT527" s="1358"/>
      <c r="LAU527" s="1358"/>
      <c r="LAV527" s="1358"/>
      <c r="LAW527" s="1358"/>
      <c r="LAX527" s="1358"/>
      <c r="LAY527" s="1358"/>
      <c r="LAZ527" s="1358"/>
      <c r="LBA527" s="1358"/>
      <c r="LBB527" s="1358"/>
      <c r="LBC527" s="1358"/>
      <c r="LBD527" s="1358"/>
      <c r="LBE527" s="1358"/>
      <c r="LBF527" s="1358"/>
      <c r="LBG527" s="1358"/>
      <c r="LBH527" s="1358"/>
      <c r="LBI527" s="1358"/>
      <c r="LBJ527" s="1358"/>
      <c r="LBK527" s="1358"/>
      <c r="LBL527" s="1358"/>
      <c r="LBM527" s="1358"/>
      <c r="LBN527" s="1358"/>
      <c r="LBO527" s="1358"/>
      <c r="LBP527" s="1358"/>
      <c r="LBQ527" s="1358"/>
      <c r="LBR527" s="1358"/>
      <c r="LBS527" s="1358"/>
      <c r="LBT527" s="1358"/>
      <c r="LBU527" s="1358"/>
      <c r="LBV527" s="1358"/>
      <c r="LBW527" s="1358"/>
      <c r="LBX527" s="1358"/>
      <c r="LBY527" s="1358"/>
      <c r="LBZ527" s="1358"/>
      <c r="LCA527" s="1358"/>
      <c r="LCB527" s="1358"/>
      <c r="LCC527" s="1358"/>
      <c r="LCD527" s="1358"/>
      <c r="LCE527" s="1358"/>
      <c r="LCF527" s="1358"/>
      <c r="LCG527" s="1358"/>
      <c r="LCH527" s="1358"/>
      <c r="LCI527" s="1358"/>
      <c r="LCJ527" s="1358"/>
      <c r="LCK527" s="1358"/>
      <c r="LCL527" s="1358"/>
      <c r="LCM527" s="1358"/>
      <c r="LCN527" s="1358"/>
      <c r="LCO527" s="1358"/>
      <c r="LCP527" s="1358"/>
      <c r="LCQ527" s="1358"/>
      <c r="LCR527" s="1358"/>
      <c r="LCS527" s="1358"/>
      <c r="LCT527" s="1358"/>
      <c r="LCU527" s="1358"/>
      <c r="LCV527" s="1358"/>
      <c r="LCW527" s="1358"/>
      <c r="LCX527" s="1358"/>
      <c r="LCY527" s="1358"/>
      <c r="LCZ527" s="1358"/>
      <c r="LDA527" s="1358"/>
      <c r="LDB527" s="1358"/>
      <c r="LDC527" s="1358"/>
      <c r="LDD527" s="1358"/>
      <c r="LDE527" s="1358"/>
      <c r="LDF527" s="1358"/>
      <c r="LDG527" s="1358"/>
      <c r="LDH527" s="1358"/>
      <c r="LDI527" s="1358"/>
      <c r="LDJ527" s="1358"/>
      <c r="LDK527" s="1358"/>
      <c r="LDL527" s="1358"/>
      <c r="LDM527" s="1358"/>
      <c r="LDN527" s="1358"/>
      <c r="LDO527" s="1358"/>
      <c r="LDP527" s="1358"/>
      <c r="LDQ527" s="1358"/>
      <c r="LDR527" s="1358"/>
      <c r="LDS527" s="1358"/>
      <c r="LDT527" s="1358"/>
      <c r="LDU527" s="1358"/>
      <c r="LDV527" s="1358"/>
      <c r="LDW527" s="1358"/>
      <c r="LDX527" s="1358"/>
      <c r="LDY527" s="1358"/>
      <c r="LDZ527" s="1358"/>
      <c r="LEA527" s="1358"/>
      <c r="LEB527" s="1358"/>
      <c r="LEC527" s="1358"/>
      <c r="LED527" s="1358"/>
      <c r="LEE527" s="1358"/>
      <c r="LEF527" s="1358"/>
      <c r="LEG527" s="1358"/>
      <c r="LEH527" s="1358"/>
      <c r="LEI527" s="1358"/>
      <c r="LEJ527" s="1358"/>
      <c r="LEK527" s="1358"/>
      <c r="LEL527" s="1358"/>
      <c r="LEM527" s="1358"/>
      <c r="LEN527" s="1358"/>
      <c r="LEO527" s="1358"/>
      <c r="LEP527" s="1358"/>
      <c r="LEQ527" s="1358"/>
      <c r="LER527" s="1358"/>
      <c r="LES527" s="1358"/>
      <c r="LET527" s="1358"/>
      <c r="LEU527" s="1358"/>
      <c r="LEV527" s="1358"/>
      <c r="LEW527" s="1358"/>
      <c r="LEX527" s="1358"/>
      <c r="LEY527" s="1358"/>
      <c r="LEZ527" s="1358"/>
      <c r="LFA527" s="1358"/>
      <c r="LFB527" s="1358"/>
      <c r="LFC527" s="1358"/>
      <c r="LFD527" s="1358"/>
      <c r="LFE527" s="1358"/>
      <c r="LFF527" s="1358"/>
      <c r="LFG527" s="1358"/>
      <c r="LFH527" s="1358"/>
      <c r="LFI527" s="1358"/>
      <c r="LFJ527" s="1358"/>
      <c r="LFK527" s="1358"/>
      <c r="LFL527" s="1358"/>
      <c r="LFM527" s="1358"/>
      <c r="LFN527" s="1358"/>
      <c r="LFO527" s="1358"/>
      <c r="LFP527" s="1358"/>
      <c r="LFQ527" s="1358"/>
      <c r="LFR527" s="1358"/>
      <c r="LFS527" s="1358"/>
      <c r="LFT527" s="1358"/>
      <c r="LFU527" s="1358"/>
      <c r="LFV527" s="1358"/>
      <c r="LFW527" s="1358"/>
      <c r="LFX527" s="1358"/>
      <c r="LFY527" s="1358"/>
      <c r="LFZ527" s="1358"/>
      <c r="LGA527" s="1358"/>
      <c r="LGB527" s="1358"/>
      <c r="LGC527" s="1358"/>
      <c r="LGD527" s="1358"/>
      <c r="LGE527" s="1358"/>
      <c r="LGF527" s="1358"/>
      <c r="LGG527" s="1358"/>
      <c r="LGH527" s="1358"/>
      <c r="LGI527" s="1358"/>
      <c r="LGJ527" s="1358"/>
      <c r="LGK527" s="1358"/>
      <c r="LGL527" s="1358"/>
      <c r="LGM527" s="1358"/>
      <c r="LGN527" s="1358"/>
      <c r="LGO527" s="1358"/>
      <c r="LGP527" s="1358"/>
      <c r="LGQ527" s="1358"/>
      <c r="LGR527" s="1358"/>
      <c r="LGS527" s="1358"/>
      <c r="LGT527" s="1358"/>
      <c r="LGU527" s="1358"/>
      <c r="LGV527" s="1358"/>
      <c r="LGW527" s="1358"/>
      <c r="LGX527" s="1358"/>
      <c r="LGY527" s="1358"/>
      <c r="LGZ527" s="1358"/>
      <c r="LHA527" s="1358"/>
      <c r="LHB527" s="1358"/>
      <c r="LHC527" s="1358"/>
      <c r="LHD527" s="1358"/>
      <c r="LHE527" s="1358"/>
      <c r="LHF527" s="1358"/>
      <c r="LHG527" s="1358"/>
      <c r="LHH527" s="1358"/>
      <c r="LHI527" s="1358"/>
      <c r="LHJ527" s="1358"/>
      <c r="LHK527" s="1358"/>
      <c r="LHL527" s="1358"/>
      <c r="LHM527" s="1358"/>
      <c r="LHN527" s="1358"/>
      <c r="LHO527" s="1358"/>
      <c r="LHP527" s="1358"/>
      <c r="LHQ527" s="1358"/>
      <c r="LHR527" s="1358"/>
      <c r="LHS527" s="1358"/>
      <c r="LHT527" s="1358"/>
      <c r="LHU527" s="1358"/>
      <c r="LHV527" s="1358"/>
      <c r="LHW527" s="1358"/>
      <c r="LHX527" s="1358"/>
      <c r="LHY527" s="1358"/>
      <c r="LHZ527" s="1358"/>
      <c r="LIA527" s="1358"/>
      <c r="LIB527" s="1358"/>
      <c r="LIC527" s="1358"/>
      <c r="LID527" s="1358"/>
      <c r="LIE527" s="1358"/>
      <c r="LIF527" s="1358"/>
      <c r="LIG527" s="1358"/>
      <c r="LIH527" s="1358"/>
      <c r="LII527" s="1358"/>
      <c r="LIJ527" s="1358"/>
      <c r="LIK527" s="1358"/>
      <c r="LIL527" s="1358"/>
      <c r="LIM527" s="1358"/>
      <c r="LIN527" s="1358"/>
      <c r="LIO527" s="1358"/>
      <c r="LIP527" s="1358"/>
      <c r="LIQ527" s="1358"/>
      <c r="LIR527" s="1358"/>
      <c r="LIS527" s="1358"/>
      <c r="LIT527" s="1358"/>
      <c r="LIU527" s="1358"/>
      <c r="LIV527" s="1358"/>
      <c r="LIW527" s="1358"/>
      <c r="LIX527" s="1358"/>
      <c r="LIY527" s="1358"/>
      <c r="LIZ527" s="1358"/>
      <c r="LJA527" s="1358"/>
      <c r="LJB527" s="1358"/>
      <c r="LJC527" s="1358"/>
      <c r="LJD527" s="1358"/>
      <c r="LJE527" s="1358"/>
      <c r="LJF527" s="1358"/>
      <c r="LJG527" s="1358"/>
      <c r="LJH527" s="1358"/>
      <c r="LJI527" s="1358"/>
      <c r="LJJ527" s="1358"/>
      <c r="LJK527" s="1358"/>
      <c r="LJL527" s="1358"/>
      <c r="LJM527" s="1358"/>
      <c r="LJN527" s="1358"/>
      <c r="LJO527" s="1358"/>
      <c r="LJP527" s="1358"/>
      <c r="LJQ527" s="1358"/>
      <c r="LJR527" s="1358"/>
      <c r="LJS527" s="1358"/>
      <c r="LJT527" s="1358"/>
      <c r="LJU527" s="1358"/>
      <c r="LJV527" s="1358"/>
      <c r="LJW527" s="1358"/>
      <c r="LJX527" s="1358"/>
      <c r="LJY527" s="1358"/>
      <c r="LJZ527" s="1358"/>
      <c r="LKA527" s="1358"/>
      <c r="LKB527" s="1358"/>
      <c r="LKC527" s="1358"/>
      <c r="LKD527" s="1358"/>
      <c r="LKE527" s="1358"/>
      <c r="LKF527" s="1358"/>
      <c r="LKG527" s="1358"/>
      <c r="LKH527" s="1358"/>
      <c r="LKI527" s="1358"/>
      <c r="LKJ527" s="1358"/>
      <c r="LKK527" s="1358"/>
      <c r="LKL527" s="1358"/>
      <c r="LKM527" s="1358"/>
      <c r="LKN527" s="1358"/>
      <c r="LKO527" s="1358"/>
      <c r="LKP527" s="1358"/>
      <c r="LKQ527" s="1358"/>
      <c r="LKR527" s="1358"/>
      <c r="LKS527" s="1358"/>
      <c r="LKT527" s="1358"/>
      <c r="LKU527" s="1358"/>
      <c r="LKV527" s="1358"/>
      <c r="LKW527" s="1358"/>
      <c r="LKX527" s="1358"/>
      <c r="LKY527" s="1358"/>
      <c r="LKZ527" s="1358"/>
      <c r="LLA527" s="1358"/>
      <c r="LLB527" s="1358"/>
      <c r="LLC527" s="1358"/>
      <c r="LLD527" s="1358"/>
      <c r="LLE527" s="1358"/>
      <c r="LLF527" s="1358"/>
      <c r="LLG527" s="1358"/>
      <c r="LLH527" s="1358"/>
      <c r="LLI527" s="1358"/>
      <c r="LLJ527" s="1358"/>
      <c r="LLK527" s="1358"/>
      <c r="LLL527" s="1358"/>
      <c r="LLM527" s="1358"/>
      <c r="LLN527" s="1358"/>
      <c r="LLO527" s="1358"/>
      <c r="LLP527" s="1358"/>
      <c r="LLQ527" s="1358"/>
      <c r="LLR527" s="1358"/>
      <c r="LLS527" s="1358"/>
      <c r="LLT527" s="1358"/>
      <c r="LLU527" s="1358"/>
      <c r="LLV527" s="1358"/>
      <c r="LLW527" s="1358"/>
      <c r="LLX527" s="1358"/>
      <c r="LLY527" s="1358"/>
      <c r="LLZ527" s="1358"/>
      <c r="LMA527" s="1358"/>
      <c r="LMB527" s="1358"/>
      <c r="LMC527" s="1358"/>
      <c r="LMD527" s="1358"/>
      <c r="LME527" s="1358"/>
      <c r="LMF527" s="1358"/>
      <c r="LMG527" s="1358"/>
      <c r="LMH527" s="1358"/>
      <c r="LMI527" s="1358"/>
      <c r="LMJ527" s="1358"/>
      <c r="LMK527" s="1358"/>
      <c r="LML527" s="1358"/>
      <c r="LMM527" s="1358"/>
      <c r="LMN527" s="1358"/>
      <c r="LMO527" s="1358"/>
      <c r="LMP527" s="1358"/>
      <c r="LMQ527" s="1358"/>
      <c r="LMR527" s="1358"/>
      <c r="LMS527" s="1358"/>
      <c r="LMT527" s="1358"/>
      <c r="LMU527" s="1358"/>
      <c r="LMV527" s="1358"/>
      <c r="LMW527" s="1358"/>
      <c r="LMX527" s="1358"/>
      <c r="LMY527" s="1358"/>
      <c r="LMZ527" s="1358"/>
      <c r="LNA527" s="1358"/>
      <c r="LNB527" s="1358"/>
      <c r="LNC527" s="1358"/>
      <c r="LND527" s="1358"/>
      <c r="LNE527" s="1358"/>
      <c r="LNF527" s="1358"/>
      <c r="LNG527" s="1358"/>
      <c r="LNH527" s="1358"/>
      <c r="LNI527" s="1358"/>
      <c r="LNJ527" s="1358"/>
      <c r="LNK527" s="1358"/>
      <c r="LNL527" s="1358"/>
      <c r="LNM527" s="1358"/>
      <c r="LNN527" s="1358"/>
      <c r="LNO527" s="1358"/>
      <c r="LNP527" s="1358"/>
      <c r="LNQ527" s="1358"/>
      <c r="LNR527" s="1358"/>
      <c r="LNS527" s="1358"/>
      <c r="LNT527" s="1358"/>
      <c r="LNU527" s="1358"/>
      <c r="LNV527" s="1358"/>
      <c r="LNW527" s="1358"/>
      <c r="LNX527" s="1358"/>
      <c r="LNY527" s="1358"/>
      <c r="LNZ527" s="1358"/>
      <c r="LOA527" s="1358"/>
      <c r="LOB527" s="1358"/>
      <c r="LOC527" s="1358"/>
      <c r="LOD527" s="1358"/>
      <c r="LOE527" s="1358"/>
      <c r="LOF527" s="1358"/>
      <c r="LOG527" s="1358"/>
      <c r="LOH527" s="1358"/>
      <c r="LOI527" s="1358"/>
      <c r="LOJ527" s="1358"/>
      <c r="LOK527" s="1358"/>
      <c r="LOL527" s="1358"/>
      <c r="LOM527" s="1358"/>
      <c r="LON527" s="1358"/>
      <c r="LOO527" s="1358"/>
      <c r="LOP527" s="1358"/>
      <c r="LOQ527" s="1358"/>
      <c r="LOR527" s="1358"/>
      <c r="LOS527" s="1358"/>
      <c r="LOT527" s="1358"/>
      <c r="LOU527" s="1358"/>
      <c r="LOV527" s="1358"/>
      <c r="LOW527" s="1358"/>
      <c r="LOX527" s="1358"/>
      <c r="LOY527" s="1358"/>
      <c r="LOZ527" s="1358"/>
      <c r="LPA527" s="1358"/>
      <c r="LPB527" s="1358"/>
      <c r="LPC527" s="1358"/>
      <c r="LPD527" s="1358"/>
      <c r="LPE527" s="1358"/>
      <c r="LPF527" s="1358"/>
      <c r="LPG527" s="1358"/>
      <c r="LPH527" s="1358"/>
      <c r="LPI527" s="1358"/>
      <c r="LPJ527" s="1358"/>
      <c r="LPK527" s="1358"/>
      <c r="LPL527" s="1358"/>
      <c r="LPM527" s="1358"/>
      <c r="LPN527" s="1358"/>
      <c r="LPO527" s="1358"/>
      <c r="LPP527" s="1358"/>
      <c r="LPQ527" s="1358"/>
      <c r="LPR527" s="1358"/>
      <c r="LPS527" s="1358"/>
      <c r="LPT527" s="1358"/>
      <c r="LPU527" s="1358"/>
      <c r="LPV527" s="1358"/>
      <c r="LPW527" s="1358"/>
      <c r="LPX527" s="1358"/>
      <c r="LPY527" s="1358"/>
      <c r="LPZ527" s="1358"/>
      <c r="LQA527" s="1358"/>
      <c r="LQB527" s="1358"/>
      <c r="LQC527" s="1358"/>
      <c r="LQD527" s="1358"/>
      <c r="LQE527" s="1358"/>
      <c r="LQF527" s="1358"/>
      <c r="LQG527" s="1358"/>
      <c r="LQH527" s="1358"/>
      <c r="LQI527" s="1358"/>
      <c r="LQJ527" s="1358"/>
      <c r="LQK527" s="1358"/>
      <c r="LQL527" s="1358"/>
      <c r="LQM527" s="1358"/>
      <c r="LQN527" s="1358"/>
      <c r="LQO527" s="1358"/>
      <c r="LQP527" s="1358"/>
      <c r="LQQ527" s="1358"/>
      <c r="LQR527" s="1358"/>
      <c r="LQS527" s="1358"/>
      <c r="LQT527" s="1358"/>
      <c r="LQU527" s="1358"/>
      <c r="LQV527" s="1358"/>
      <c r="LQW527" s="1358"/>
      <c r="LQX527" s="1358"/>
      <c r="LQY527" s="1358"/>
      <c r="LQZ527" s="1358"/>
      <c r="LRA527" s="1358"/>
      <c r="LRB527" s="1358"/>
      <c r="LRC527" s="1358"/>
      <c r="LRD527" s="1358"/>
      <c r="LRE527" s="1358"/>
      <c r="LRF527" s="1358"/>
      <c r="LRG527" s="1358"/>
      <c r="LRH527" s="1358"/>
      <c r="LRI527" s="1358"/>
      <c r="LRJ527" s="1358"/>
      <c r="LRK527" s="1358"/>
      <c r="LRL527" s="1358"/>
      <c r="LRM527" s="1358"/>
      <c r="LRN527" s="1358"/>
      <c r="LRO527" s="1358"/>
      <c r="LRP527" s="1358"/>
      <c r="LRQ527" s="1358"/>
      <c r="LRR527" s="1358"/>
      <c r="LRS527" s="1358"/>
      <c r="LRT527" s="1358"/>
      <c r="LRU527" s="1358"/>
      <c r="LRV527" s="1358"/>
      <c r="LRW527" s="1358"/>
      <c r="LRX527" s="1358"/>
      <c r="LRY527" s="1358"/>
      <c r="LRZ527" s="1358"/>
      <c r="LSA527" s="1358"/>
      <c r="LSB527" s="1358"/>
      <c r="LSC527" s="1358"/>
      <c r="LSD527" s="1358"/>
      <c r="LSE527" s="1358"/>
      <c r="LSF527" s="1358"/>
      <c r="LSG527" s="1358"/>
      <c r="LSH527" s="1358"/>
      <c r="LSI527" s="1358"/>
      <c r="LSJ527" s="1358"/>
      <c r="LSK527" s="1358"/>
      <c r="LSL527" s="1358"/>
      <c r="LSM527" s="1358"/>
      <c r="LSN527" s="1358"/>
      <c r="LSO527" s="1358"/>
      <c r="LSP527" s="1358"/>
      <c r="LSQ527" s="1358"/>
      <c r="LSR527" s="1358"/>
      <c r="LSS527" s="1358"/>
      <c r="LST527" s="1358"/>
      <c r="LSU527" s="1358"/>
      <c r="LSV527" s="1358"/>
      <c r="LSW527" s="1358"/>
      <c r="LSX527" s="1358"/>
      <c r="LSY527" s="1358"/>
      <c r="LSZ527" s="1358"/>
      <c r="LTA527" s="1358"/>
      <c r="LTB527" s="1358"/>
      <c r="LTC527" s="1358"/>
      <c r="LTD527" s="1358"/>
      <c r="LTE527" s="1358"/>
      <c r="LTF527" s="1358"/>
      <c r="LTG527" s="1358"/>
      <c r="LTH527" s="1358"/>
      <c r="LTI527" s="1358"/>
      <c r="LTJ527" s="1358"/>
      <c r="LTK527" s="1358"/>
      <c r="LTL527" s="1358"/>
      <c r="LTM527" s="1358"/>
      <c r="LTN527" s="1358"/>
      <c r="LTO527" s="1358"/>
      <c r="LTP527" s="1358"/>
      <c r="LTQ527" s="1358"/>
      <c r="LTR527" s="1358"/>
      <c r="LTS527" s="1358"/>
      <c r="LTT527" s="1358"/>
      <c r="LTU527" s="1358"/>
      <c r="LTV527" s="1358"/>
      <c r="LTW527" s="1358"/>
      <c r="LTX527" s="1358"/>
      <c r="LTY527" s="1358"/>
      <c r="LTZ527" s="1358"/>
      <c r="LUA527" s="1358"/>
      <c r="LUB527" s="1358"/>
      <c r="LUC527" s="1358"/>
      <c r="LUD527" s="1358"/>
      <c r="LUE527" s="1358"/>
      <c r="LUF527" s="1358"/>
      <c r="LUG527" s="1358"/>
      <c r="LUH527" s="1358"/>
      <c r="LUI527" s="1358"/>
      <c r="LUJ527" s="1358"/>
      <c r="LUK527" s="1358"/>
      <c r="LUL527" s="1358"/>
      <c r="LUM527" s="1358"/>
      <c r="LUN527" s="1358"/>
      <c r="LUO527" s="1358"/>
      <c r="LUP527" s="1358"/>
      <c r="LUQ527" s="1358"/>
      <c r="LUR527" s="1358"/>
      <c r="LUS527" s="1358"/>
      <c r="LUT527" s="1358"/>
      <c r="LUU527" s="1358"/>
      <c r="LUV527" s="1358"/>
      <c r="LUW527" s="1358"/>
      <c r="LUX527" s="1358"/>
      <c r="LUY527" s="1358"/>
      <c r="LUZ527" s="1358"/>
      <c r="LVA527" s="1358"/>
      <c r="LVB527" s="1358"/>
      <c r="LVC527" s="1358"/>
      <c r="LVD527" s="1358"/>
      <c r="LVE527" s="1358"/>
      <c r="LVF527" s="1358"/>
      <c r="LVG527" s="1358"/>
      <c r="LVH527" s="1358"/>
      <c r="LVI527" s="1358"/>
      <c r="LVJ527" s="1358"/>
      <c r="LVK527" s="1358"/>
      <c r="LVL527" s="1358"/>
      <c r="LVM527" s="1358"/>
      <c r="LVN527" s="1358"/>
      <c r="LVO527" s="1358"/>
      <c r="LVP527" s="1358"/>
      <c r="LVQ527" s="1358"/>
      <c r="LVR527" s="1358"/>
      <c r="LVS527" s="1358"/>
      <c r="LVT527" s="1358"/>
      <c r="LVU527" s="1358"/>
      <c r="LVV527" s="1358"/>
      <c r="LVW527" s="1358"/>
      <c r="LVX527" s="1358"/>
      <c r="LVY527" s="1358"/>
      <c r="LVZ527" s="1358"/>
      <c r="LWA527" s="1358"/>
      <c r="LWB527" s="1358"/>
      <c r="LWC527" s="1358"/>
      <c r="LWD527" s="1358"/>
      <c r="LWE527" s="1358"/>
      <c r="LWF527" s="1358"/>
      <c r="LWG527" s="1358"/>
      <c r="LWH527" s="1358"/>
      <c r="LWI527" s="1358"/>
      <c r="LWJ527" s="1358"/>
      <c r="LWK527" s="1358"/>
      <c r="LWL527" s="1358"/>
      <c r="LWM527" s="1358"/>
      <c r="LWN527" s="1358"/>
      <c r="LWO527" s="1358"/>
      <c r="LWP527" s="1358"/>
      <c r="LWQ527" s="1358"/>
      <c r="LWR527" s="1358"/>
      <c r="LWS527" s="1358"/>
      <c r="LWT527" s="1358"/>
      <c r="LWU527" s="1358"/>
      <c r="LWV527" s="1358"/>
      <c r="LWW527" s="1358"/>
      <c r="LWX527" s="1358"/>
      <c r="LWY527" s="1358"/>
      <c r="LWZ527" s="1358"/>
      <c r="LXA527" s="1358"/>
      <c r="LXB527" s="1358"/>
      <c r="LXC527" s="1358"/>
      <c r="LXD527" s="1358"/>
      <c r="LXE527" s="1358"/>
      <c r="LXF527" s="1358"/>
      <c r="LXG527" s="1358"/>
      <c r="LXH527" s="1358"/>
      <c r="LXI527" s="1358"/>
      <c r="LXJ527" s="1358"/>
      <c r="LXK527" s="1358"/>
      <c r="LXL527" s="1358"/>
      <c r="LXM527" s="1358"/>
      <c r="LXN527" s="1358"/>
      <c r="LXO527" s="1358"/>
      <c r="LXP527" s="1358"/>
      <c r="LXQ527" s="1358"/>
      <c r="LXR527" s="1358"/>
      <c r="LXS527" s="1358"/>
      <c r="LXT527" s="1358"/>
      <c r="LXU527" s="1358"/>
      <c r="LXV527" s="1358"/>
      <c r="LXW527" s="1358"/>
      <c r="LXX527" s="1358"/>
      <c r="LXY527" s="1358"/>
      <c r="LXZ527" s="1358"/>
      <c r="LYA527" s="1358"/>
      <c r="LYB527" s="1358"/>
      <c r="LYC527" s="1358"/>
      <c r="LYD527" s="1358"/>
      <c r="LYE527" s="1358"/>
      <c r="LYF527" s="1358"/>
      <c r="LYG527" s="1358"/>
      <c r="LYH527" s="1358"/>
      <c r="LYI527" s="1358"/>
      <c r="LYJ527" s="1358"/>
      <c r="LYK527" s="1358"/>
      <c r="LYL527" s="1358"/>
      <c r="LYM527" s="1358"/>
      <c r="LYN527" s="1358"/>
      <c r="LYO527" s="1358"/>
      <c r="LYP527" s="1358"/>
      <c r="LYQ527" s="1358"/>
      <c r="LYR527" s="1358"/>
      <c r="LYS527" s="1358"/>
      <c r="LYT527" s="1358"/>
      <c r="LYU527" s="1358"/>
      <c r="LYV527" s="1358"/>
      <c r="LYW527" s="1358"/>
      <c r="LYX527" s="1358"/>
      <c r="LYY527" s="1358"/>
      <c r="LYZ527" s="1358"/>
      <c r="LZA527" s="1358"/>
      <c r="LZB527" s="1358"/>
      <c r="LZC527" s="1358"/>
      <c r="LZD527" s="1358"/>
      <c r="LZE527" s="1358"/>
      <c r="LZF527" s="1358"/>
      <c r="LZG527" s="1358"/>
      <c r="LZH527" s="1358"/>
      <c r="LZI527" s="1358"/>
      <c r="LZJ527" s="1358"/>
      <c r="LZK527" s="1358"/>
      <c r="LZL527" s="1358"/>
      <c r="LZM527" s="1358"/>
      <c r="LZN527" s="1358"/>
      <c r="LZO527" s="1358"/>
      <c r="LZP527" s="1358"/>
      <c r="LZQ527" s="1358"/>
      <c r="LZR527" s="1358"/>
      <c r="LZS527" s="1358"/>
      <c r="LZT527" s="1358"/>
      <c r="LZU527" s="1358"/>
      <c r="LZV527" s="1358"/>
      <c r="LZW527" s="1358"/>
      <c r="LZX527" s="1358"/>
      <c r="LZY527" s="1358"/>
      <c r="LZZ527" s="1358"/>
      <c r="MAA527" s="1358"/>
      <c r="MAB527" s="1358"/>
      <c r="MAC527" s="1358"/>
      <c r="MAD527" s="1358"/>
      <c r="MAE527" s="1358"/>
      <c r="MAF527" s="1358"/>
      <c r="MAG527" s="1358"/>
      <c r="MAH527" s="1358"/>
      <c r="MAI527" s="1358"/>
      <c r="MAJ527" s="1358"/>
      <c r="MAK527" s="1358"/>
      <c r="MAL527" s="1358"/>
      <c r="MAM527" s="1358"/>
      <c r="MAN527" s="1358"/>
      <c r="MAO527" s="1358"/>
      <c r="MAP527" s="1358"/>
      <c r="MAQ527" s="1358"/>
      <c r="MAR527" s="1358"/>
      <c r="MAS527" s="1358"/>
      <c r="MAT527" s="1358"/>
      <c r="MAU527" s="1358"/>
      <c r="MAV527" s="1358"/>
      <c r="MAW527" s="1358"/>
      <c r="MAX527" s="1358"/>
      <c r="MAY527" s="1358"/>
      <c r="MAZ527" s="1358"/>
      <c r="MBA527" s="1358"/>
      <c r="MBB527" s="1358"/>
      <c r="MBC527" s="1358"/>
      <c r="MBD527" s="1358"/>
      <c r="MBE527" s="1358"/>
      <c r="MBF527" s="1358"/>
      <c r="MBG527" s="1358"/>
      <c r="MBH527" s="1358"/>
      <c r="MBI527" s="1358"/>
      <c r="MBJ527" s="1358"/>
      <c r="MBK527" s="1358"/>
      <c r="MBL527" s="1358"/>
      <c r="MBM527" s="1358"/>
      <c r="MBN527" s="1358"/>
      <c r="MBO527" s="1358"/>
      <c r="MBP527" s="1358"/>
      <c r="MBQ527" s="1358"/>
      <c r="MBR527" s="1358"/>
      <c r="MBS527" s="1358"/>
      <c r="MBT527" s="1358"/>
      <c r="MBU527" s="1358"/>
      <c r="MBV527" s="1358"/>
      <c r="MBW527" s="1358"/>
      <c r="MBX527" s="1358"/>
      <c r="MBY527" s="1358"/>
      <c r="MBZ527" s="1358"/>
      <c r="MCA527" s="1358"/>
      <c r="MCB527" s="1358"/>
      <c r="MCC527" s="1358"/>
      <c r="MCD527" s="1358"/>
      <c r="MCE527" s="1358"/>
      <c r="MCF527" s="1358"/>
      <c r="MCG527" s="1358"/>
      <c r="MCH527" s="1358"/>
      <c r="MCI527" s="1358"/>
      <c r="MCJ527" s="1358"/>
      <c r="MCK527" s="1358"/>
      <c r="MCL527" s="1358"/>
      <c r="MCM527" s="1358"/>
      <c r="MCN527" s="1358"/>
      <c r="MCO527" s="1358"/>
      <c r="MCP527" s="1358"/>
      <c r="MCQ527" s="1358"/>
      <c r="MCR527" s="1358"/>
      <c r="MCS527" s="1358"/>
      <c r="MCT527" s="1358"/>
      <c r="MCU527" s="1358"/>
      <c r="MCV527" s="1358"/>
      <c r="MCW527" s="1358"/>
      <c r="MCX527" s="1358"/>
      <c r="MCY527" s="1358"/>
      <c r="MCZ527" s="1358"/>
      <c r="MDA527" s="1358"/>
      <c r="MDB527" s="1358"/>
      <c r="MDC527" s="1358"/>
      <c r="MDD527" s="1358"/>
      <c r="MDE527" s="1358"/>
      <c r="MDF527" s="1358"/>
      <c r="MDG527" s="1358"/>
      <c r="MDH527" s="1358"/>
      <c r="MDI527" s="1358"/>
      <c r="MDJ527" s="1358"/>
      <c r="MDK527" s="1358"/>
      <c r="MDL527" s="1358"/>
      <c r="MDM527" s="1358"/>
      <c r="MDN527" s="1358"/>
      <c r="MDO527" s="1358"/>
      <c r="MDP527" s="1358"/>
      <c r="MDQ527" s="1358"/>
      <c r="MDR527" s="1358"/>
      <c r="MDS527" s="1358"/>
      <c r="MDT527" s="1358"/>
      <c r="MDU527" s="1358"/>
      <c r="MDV527" s="1358"/>
      <c r="MDW527" s="1358"/>
      <c r="MDX527" s="1358"/>
      <c r="MDY527" s="1358"/>
      <c r="MDZ527" s="1358"/>
      <c r="MEA527" s="1358"/>
      <c r="MEB527" s="1358"/>
      <c r="MEC527" s="1358"/>
      <c r="MED527" s="1358"/>
      <c r="MEE527" s="1358"/>
      <c r="MEF527" s="1358"/>
      <c r="MEG527" s="1358"/>
      <c r="MEH527" s="1358"/>
      <c r="MEI527" s="1358"/>
      <c r="MEJ527" s="1358"/>
      <c r="MEK527" s="1358"/>
      <c r="MEL527" s="1358"/>
      <c r="MEM527" s="1358"/>
      <c r="MEN527" s="1358"/>
      <c r="MEO527" s="1358"/>
      <c r="MEP527" s="1358"/>
      <c r="MEQ527" s="1358"/>
      <c r="MER527" s="1358"/>
      <c r="MES527" s="1358"/>
      <c r="MET527" s="1358"/>
      <c r="MEU527" s="1358"/>
      <c r="MEV527" s="1358"/>
      <c r="MEW527" s="1358"/>
      <c r="MEX527" s="1358"/>
      <c r="MEY527" s="1358"/>
      <c r="MEZ527" s="1358"/>
      <c r="MFA527" s="1358"/>
      <c r="MFB527" s="1358"/>
      <c r="MFC527" s="1358"/>
      <c r="MFD527" s="1358"/>
      <c r="MFE527" s="1358"/>
      <c r="MFF527" s="1358"/>
      <c r="MFG527" s="1358"/>
      <c r="MFH527" s="1358"/>
      <c r="MFI527" s="1358"/>
      <c r="MFJ527" s="1358"/>
      <c r="MFK527" s="1358"/>
      <c r="MFL527" s="1358"/>
      <c r="MFM527" s="1358"/>
      <c r="MFN527" s="1358"/>
      <c r="MFO527" s="1358"/>
      <c r="MFP527" s="1358"/>
      <c r="MFQ527" s="1358"/>
      <c r="MFR527" s="1358"/>
      <c r="MFS527" s="1358"/>
      <c r="MFT527" s="1358"/>
      <c r="MFU527" s="1358"/>
      <c r="MFV527" s="1358"/>
      <c r="MFW527" s="1358"/>
      <c r="MFX527" s="1358"/>
      <c r="MFY527" s="1358"/>
      <c r="MFZ527" s="1358"/>
      <c r="MGA527" s="1358"/>
      <c r="MGB527" s="1358"/>
      <c r="MGC527" s="1358"/>
      <c r="MGD527" s="1358"/>
      <c r="MGE527" s="1358"/>
      <c r="MGF527" s="1358"/>
      <c r="MGG527" s="1358"/>
      <c r="MGH527" s="1358"/>
      <c r="MGI527" s="1358"/>
      <c r="MGJ527" s="1358"/>
      <c r="MGK527" s="1358"/>
      <c r="MGL527" s="1358"/>
      <c r="MGM527" s="1358"/>
      <c r="MGN527" s="1358"/>
      <c r="MGO527" s="1358"/>
      <c r="MGP527" s="1358"/>
      <c r="MGQ527" s="1358"/>
      <c r="MGR527" s="1358"/>
      <c r="MGS527" s="1358"/>
      <c r="MGT527" s="1358"/>
      <c r="MGU527" s="1358"/>
      <c r="MGV527" s="1358"/>
      <c r="MGW527" s="1358"/>
      <c r="MGX527" s="1358"/>
      <c r="MGY527" s="1358"/>
      <c r="MGZ527" s="1358"/>
      <c r="MHA527" s="1358"/>
      <c r="MHB527" s="1358"/>
      <c r="MHC527" s="1358"/>
      <c r="MHD527" s="1358"/>
      <c r="MHE527" s="1358"/>
      <c r="MHF527" s="1358"/>
      <c r="MHG527" s="1358"/>
      <c r="MHH527" s="1358"/>
      <c r="MHI527" s="1358"/>
      <c r="MHJ527" s="1358"/>
      <c r="MHK527" s="1358"/>
      <c r="MHL527" s="1358"/>
      <c r="MHM527" s="1358"/>
      <c r="MHN527" s="1358"/>
      <c r="MHO527" s="1358"/>
      <c r="MHP527" s="1358"/>
      <c r="MHQ527" s="1358"/>
      <c r="MHR527" s="1358"/>
      <c r="MHS527" s="1358"/>
      <c r="MHT527" s="1358"/>
      <c r="MHU527" s="1358"/>
      <c r="MHV527" s="1358"/>
      <c r="MHW527" s="1358"/>
      <c r="MHX527" s="1358"/>
      <c r="MHY527" s="1358"/>
      <c r="MHZ527" s="1358"/>
      <c r="MIA527" s="1358"/>
      <c r="MIB527" s="1358"/>
      <c r="MIC527" s="1358"/>
      <c r="MID527" s="1358"/>
      <c r="MIE527" s="1358"/>
      <c r="MIF527" s="1358"/>
      <c r="MIG527" s="1358"/>
      <c r="MIH527" s="1358"/>
      <c r="MII527" s="1358"/>
      <c r="MIJ527" s="1358"/>
      <c r="MIK527" s="1358"/>
      <c r="MIL527" s="1358"/>
      <c r="MIM527" s="1358"/>
      <c r="MIN527" s="1358"/>
      <c r="MIO527" s="1358"/>
      <c r="MIP527" s="1358"/>
      <c r="MIQ527" s="1358"/>
      <c r="MIR527" s="1358"/>
      <c r="MIS527" s="1358"/>
      <c r="MIT527" s="1358"/>
      <c r="MIU527" s="1358"/>
      <c r="MIV527" s="1358"/>
      <c r="MIW527" s="1358"/>
      <c r="MIX527" s="1358"/>
      <c r="MIY527" s="1358"/>
      <c r="MIZ527" s="1358"/>
      <c r="MJA527" s="1358"/>
      <c r="MJB527" s="1358"/>
      <c r="MJC527" s="1358"/>
      <c r="MJD527" s="1358"/>
      <c r="MJE527" s="1358"/>
      <c r="MJF527" s="1358"/>
      <c r="MJG527" s="1358"/>
      <c r="MJH527" s="1358"/>
      <c r="MJI527" s="1358"/>
      <c r="MJJ527" s="1358"/>
      <c r="MJK527" s="1358"/>
      <c r="MJL527" s="1358"/>
      <c r="MJM527" s="1358"/>
      <c r="MJN527" s="1358"/>
      <c r="MJO527" s="1358"/>
      <c r="MJP527" s="1358"/>
      <c r="MJQ527" s="1358"/>
      <c r="MJR527" s="1358"/>
      <c r="MJS527" s="1358"/>
      <c r="MJT527" s="1358"/>
      <c r="MJU527" s="1358"/>
      <c r="MJV527" s="1358"/>
      <c r="MJW527" s="1358"/>
      <c r="MJX527" s="1358"/>
      <c r="MJY527" s="1358"/>
      <c r="MJZ527" s="1358"/>
      <c r="MKA527" s="1358"/>
      <c r="MKB527" s="1358"/>
      <c r="MKC527" s="1358"/>
      <c r="MKD527" s="1358"/>
      <c r="MKE527" s="1358"/>
      <c r="MKF527" s="1358"/>
      <c r="MKG527" s="1358"/>
      <c r="MKH527" s="1358"/>
      <c r="MKI527" s="1358"/>
      <c r="MKJ527" s="1358"/>
      <c r="MKK527" s="1358"/>
      <c r="MKL527" s="1358"/>
      <c r="MKM527" s="1358"/>
      <c r="MKN527" s="1358"/>
      <c r="MKO527" s="1358"/>
      <c r="MKP527" s="1358"/>
      <c r="MKQ527" s="1358"/>
      <c r="MKR527" s="1358"/>
      <c r="MKS527" s="1358"/>
      <c r="MKT527" s="1358"/>
      <c r="MKU527" s="1358"/>
      <c r="MKV527" s="1358"/>
      <c r="MKW527" s="1358"/>
      <c r="MKX527" s="1358"/>
      <c r="MKY527" s="1358"/>
      <c r="MKZ527" s="1358"/>
      <c r="MLA527" s="1358"/>
      <c r="MLB527" s="1358"/>
      <c r="MLC527" s="1358"/>
      <c r="MLD527" s="1358"/>
      <c r="MLE527" s="1358"/>
      <c r="MLF527" s="1358"/>
      <c r="MLG527" s="1358"/>
      <c r="MLH527" s="1358"/>
      <c r="MLI527" s="1358"/>
      <c r="MLJ527" s="1358"/>
      <c r="MLK527" s="1358"/>
      <c r="MLL527" s="1358"/>
      <c r="MLM527" s="1358"/>
      <c r="MLN527" s="1358"/>
      <c r="MLO527" s="1358"/>
      <c r="MLP527" s="1358"/>
      <c r="MLQ527" s="1358"/>
      <c r="MLR527" s="1358"/>
      <c r="MLS527" s="1358"/>
      <c r="MLT527" s="1358"/>
      <c r="MLU527" s="1358"/>
      <c r="MLV527" s="1358"/>
      <c r="MLW527" s="1358"/>
      <c r="MLX527" s="1358"/>
      <c r="MLY527" s="1358"/>
      <c r="MLZ527" s="1358"/>
      <c r="MMA527" s="1358"/>
      <c r="MMB527" s="1358"/>
      <c r="MMC527" s="1358"/>
      <c r="MMD527" s="1358"/>
      <c r="MME527" s="1358"/>
      <c r="MMF527" s="1358"/>
      <c r="MMG527" s="1358"/>
      <c r="MMH527" s="1358"/>
      <c r="MMI527" s="1358"/>
      <c r="MMJ527" s="1358"/>
      <c r="MMK527" s="1358"/>
      <c r="MML527" s="1358"/>
      <c r="MMM527" s="1358"/>
      <c r="MMN527" s="1358"/>
      <c r="MMO527" s="1358"/>
      <c r="MMP527" s="1358"/>
      <c r="MMQ527" s="1358"/>
      <c r="MMR527" s="1358"/>
      <c r="MMS527" s="1358"/>
      <c r="MMT527" s="1358"/>
      <c r="MMU527" s="1358"/>
      <c r="MMV527" s="1358"/>
      <c r="MMW527" s="1358"/>
      <c r="MMX527" s="1358"/>
      <c r="MMY527" s="1358"/>
      <c r="MMZ527" s="1358"/>
      <c r="MNA527" s="1358"/>
      <c r="MNB527" s="1358"/>
      <c r="MNC527" s="1358"/>
      <c r="MND527" s="1358"/>
      <c r="MNE527" s="1358"/>
      <c r="MNF527" s="1358"/>
      <c r="MNG527" s="1358"/>
      <c r="MNH527" s="1358"/>
      <c r="MNI527" s="1358"/>
      <c r="MNJ527" s="1358"/>
      <c r="MNK527" s="1358"/>
      <c r="MNL527" s="1358"/>
      <c r="MNM527" s="1358"/>
      <c r="MNN527" s="1358"/>
      <c r="MNO527" s="1358"/>
      <c r="MNP527" s="1358"/>
      <c r="MNQ527" s="1358"/>
      <c r="MNR527" s="1358"/>
      <c r="MNS527" s="1358"/>
      <c r="MNT527" s="1358"/>
      <c r="MNU527" s="1358"/>
      <c r="MNV527" s="1358"/>
      <c r="MNW527" s="1358"/>
      <c r="MNX527" s="1358"/>
      <c r="MNY527" s="1358"/>
      <c r="MNZ527" s="1358"/>
      <c r="MOA527" s="1358"/>
      <c r="MOB527" s="1358"/>
      <c r="MOC527" s="1358"/>
      <c r="MOD527" s="1358"/>
      <c r="MOE527" s="1358"/>
      <c r="MOF527" s="1358"/>
      <c r="MOG527" s="1358"/>
      <c r="MOH527" s="1358"/>
      <c r="MOI527" s="1358"/>
      <c r="MOJ527" s="1358"/>
      <c r="MOK527" s="1358"/>
      <c r="MOL527" s="1358"/>
      <c r="MOM527" s="1358"/>
      <c r="MON527" s="1358"/>
      <c r="MOO527" s="1358"/>
      <c r="MOP527" s="1358"/>
      <c r="MOQ527" s="1358"/>
      <c r="MOR527" s="1358"/>
      <c r="MOS527" s="1358"/>
      <c r="MOT527" s="1358"/>
      <c r="MOU527" s="1358"/>
      <c r="MOV527" s="1358"/>
      <c r="MOW527" s="1358"/>
      <c r="MOX527" s="1358"/>
      <c r="MOY527" s="1358"/>
      <c r="MOZ527" s="1358"/>
      <c r="MPA527" s="1358"/>
      <c r="MPB527" s="1358"/>
      <c r="MPC527" s="1358"/>
      <c r="MPD527" s="1358"/>
      <c r="MPE527" s="1358"/>
      <c r="MPF527" s="1358"/>
      <c r="MPG527" s="1358"/>
      <c r="MPH527" s="1358"/>
      <c r="MPI527" s="1358"/>
      <c r="MPJ527" s="1358"/>
      <c r="MPK527" s="1358"/>
      <c r="MPL527" s="1358"/>
      <c r="MPM527" s="1358"/>
      <c r="MPN527" s="1358"/>
      <c r="MPO527" s="1358"/>
      <c r="MPP527" s="1358"/>
      <c r="MPQ527" s="1358"/>
      <c r="MPR527" s="1358"/>
      <c r="MPS527" s="1358"/>
      <c r="MPT527" s="1358"/>
      <c r="MPU527" s="1358"/>
      <c r="MPV527" s="1358"/>
      <c r="MPW527" s="1358"/>
      <c r="MPX527" s="1358"/>
      <c r="MPY527" s="1358"/>
      <c r="MPZ527" s="1358"/>
      <c r="MQA527" s="1358"/>
      <c r="MQB527" s="1358"/>
      <c r="MQC527" s="1358"/>
      <c r="MQD527" s="1358"/>
      <c r="MQE527" s="1358"/>
      <c r="MQF527" s="1358"/>
      <c r="MQG527" s="1358"/>
      <c r="MQH527" s="1358"/>
      <c r="MQI527" s="1358"/>
      <c r="MQJ527" s="1358"/>
      <c r="MQK527" s="1358"/>
      <c r="MQL527" s="1358"/>
      <c r="MQM527" s="1358"/>
      <c r="MQN527" s="1358"/>
      <c r="MQO527" s="1358"/>
      <c r="MQP527" s="1358"/>
      <c r="MQQ527" s="1358"/>
      <c r="MQR527" s="1358"/>
      <c r="MQS527" s="1358"/>
      <c r="MQT527" s="1358"/>
      <c r="MQU527" s="1358"/>
      <c r="MQV527" s="1358"/>
      <c r="MQW527" s="1358"/>
      <c r="MQX527" s="1358"/>
      <c r="MQY527" s="1358"/>
      <c r="MQZ527" s="1358"/>
      <c r="MRA527" s="1358"/>
      <c r="MRB527" s="1358"/>
      <c r="MRC527" s="1358"/>
      <c r="MRD527" s="1358"/>
      <c r="MRE527" s="1358"/>
      <c r="MRF527" s="1358"/>
      <c r="MRG527" s="1358"/>
      <c r="MRH527" s="1358"/>
      <c r="MRI527" s="1358"/>
      <c r="MRJ527" s="1358"/>
      <c r="MRK527" s="1358"/>
      <c r="MRL527" s="1358"/>
      <c r="MRM527" s="1358"/>
      <c r="MRN527" s="1358"/>
      <c r="MRO527" s="1358"/>
      <c r="MRP527" s="1358"/>
      <c r="MRQ527" s="1358"/>
      <c r="MRR527" s="1358"/>
      <c r="MRS527" s="1358"/>
      <c r="MRT527" s="1358"/>
      <c r="MRU527" s="1358"/>
      <c r="MRV527" s="1358"/>
      <c r="MRW527" s="1358"/>
      <c r="MRX527" s="1358"/>
      <c r="MRY527" s="1358"/>
      <c r="MRZ527" s="1358"/>
      <c r="MSA527" s="1358"/>
      <c r="MSB527" s="1358"/>
      <c r="MSC527" s="1358"/>
      <c r="MSD527" s="1358"/>
      <c r="MSE527" s="1358"/>
      <c r="MSF527" s="1358"/>
      <c r="MSG527" s="1358"/>
      <c r="MSH527" s="1358"/>
      <c r="MSI527" s="1358"/>
      <c r="MSJ527" s="1358"/>
      <c r="MSK527" s="1358"/>
      <c r="MSL527" s="1358"/>
      <c r="MSM527" s="1358"/>
      <c r="MSN527" s="1358"/>
      <c r="MSO527" s="1358"/>
      <c r="MSP527" s="1358"/>
      <c r="MSQ527" s="1358"/>
      <c r="MSR527" s="1358"/>
      <c r="MSS527" s="1358"/>
      <c r="MST527" s="1358"/>
      <c r="MSU527" s="1358"/>
      <c r="MSV527" s="1358"/>
      <c r="MSW527" s="1358"/>
      <c r="MSX527" s="1358"/>
      <c r="MSY527" s="1358"/>
      <c r="MSZ527" s="1358"/>
      <c r="MTA527" s="1358"/>
      <c r="MTB527" s="1358"/>
      <c r="MTC527" s="1358"/>
      <c r="MTD527" s="1358"/>
      <c r="MTE527" s="1358"/>
      <c r="MTF527" s="1358"/>
      <c r="MTG527" s="1358"/>
      <c r="MTH527" s="1358"/>
      <c r="MTI527" s="1358"/>
      <c r="MTJ527" s="1358"/>
      <c r="MTK527" s="1358"/>
      <c r="MTL527" s="1358"/>
      <c r="MTM527" s="1358"/>
      <c r="MTN527" s="1358"/>
      <c r="MTO527" s="1358"/>
      <c r="MTP527" s="1358"/>
      <c r="MTQ527" s="1358"/>
      <c r="MTR527" s="1358"/>
      <c r="MTS527" s="1358"/>
      <c r="MTT527" s="1358"/>
      <c r="MTU527" s="1358"/>
      <c r="MTV527" s="1358"/>
      <c r="MTW527" s="1358"/>
      <c r="MTX527" s="1358"/>
      <c r="MTY527" s="1358"/>
      <c r="MTZ527" s="1358"/>
      <c r="MUA527" s="1358"/>
      <c r="MUB527" s="1358"/>
      <c r="MUC527" s="1358"/>
      <c r="MUD527" s="1358"/>
      <c r="MUE527" s="1358"/>
      <c r="MUF527" s="1358"/>
      <c r="MUG527" s="1358"/>
      <c r="MUH527" s="1358"/>
      <c r="MUI527" s="1358"/>
      <c r="MUJ527" s="1358"/>
      <c r="MUK527" s="1358"/>
      <c r="MUL527" s="1358"/>
      <c r="MUM527" s="1358"/>
      <c r="MUN527" s="1358"/>
      <c r="MUO527" s="1358"/>
      <c r="MUP527" s="1358"/>
      <c r="MUQ527" s="1358"/>
      <c r="MUR527" s="1358"/>
      <c r="MUS527" s="1358"/>
      <c r="MUT527" s="1358"/>
      <c r="MUU527" s="1358"/>
      <c r="MUV527" s="1358"/>
      <c r="MUW527" s="1358"/>
      <c r="MUX527" s="1358"/>
      <c r="MUY527" s="1358"/>
      <c r="MUZ527" s="1358"/>
      <c r="MVA527" s="1358"/>
      <c r="MVB527" s="1358"/>
      <c r="MVC527" s="1358"/>
      <c r="MVD527" s="1358"/>
      <c r="MVE527" s="1358"/>
      <c r="MVF527" s="1358"/>
      <c r="MVG527" s="1358"/>
      <c r="MVH527" s="1358"/>
      <c r="MVI527" s="1358"/>
      <c r="MVJ527" s="1358"/>
      <c r="MVK527" s="1358"/>
      <c r="MVL527" s="1358"/>
      <c r="MVM527" s="1358"/>
      <c r="MVN527" s="1358"/>
      <c r="MVO527" s="1358"/>
      <c r="MVP527" s="1358"/>
      <c r="MVQ527" s="1358"/>
      <c r="MVR527" s="1358"/>
      <c r="MVS527" s="1358"/>
      <c r="MVT527" s="1358"/>
      <c r="MVU527" s="1358"/>
      <c r="MVV527" s="1358"/>
      <c r="MVW527" s="1358"/>
      <c r="MVX527" s="1358"/>
      <c r="MVY527" s="1358"/>
      <c r="MVZ527" s="1358"/>
      <c r="MWA527" s="1358"/>
      <c r="MWB527" s="1358"/>
      <c r="MWC527" s="1358"/>
      <c r="MWD527" s="1358"/>
      <c r="MWE527" s="1358"/>
      <c r="MWF527" s="1358"/>
      <c r="MWG527" s="1358"/>
      <c r="MWH527" s="1358"/>
      <c r="MWI527" s="1358"/>
      <c r="MWJ527" s="1358"/>
      <c r="MWK527" s="1358"/>
      <c r="MWL527" s="1358"/>
      <c r="MWM527" s="1358"/>
      <c r="MWN527" s="1358"/>
      <c r="MWO527" s="1358"/>
      <c r="MWP527" s="1358"/>
      <c r="MWQ527" s="1358"/>
      <c r="MWR527" s="1358"/>
      <c r="MWS527" s="1358"/>
      <c r="MWT527" s="1358"/>
      <c r="MWU527" s="1358"/>
      <c r="MWV527" s="1358"/>
      <c r="MWW527" s="1358"/>
      <c r="MWX527" s="1358"/>
      <c r="MWY527" s="1358"/>
      <c r="MWZ527" s="1358"/>
      <c r="MXA527" s="1358"/>
      <c r="MXB527" s="1358"/>
      <c r="MXC527" s="1358"/>
      <c r="MXD527" s="1358"/>
      <c r="MXE527" s="1358"/>
      <c r="MXF527" s="1358"/>
      <c r="MXG527" s="1358"/>
      <c r="MXH527" s="1358"/>
      <c r="MXI527" s="1358"/>
      <c r="MXJ527" s="1358"/>
      <c r="MXK527" s="1358"/>
      <c r="MXL527" s="1358"/>
      <c r="MXM527" s="1358"/>
      <c r="MXN527" s="1358"/>
      <c r="MXO527" s="1358"/>
      <c r="MXP527" s="1358"/>
      <c r="MXQ527" s="1358"/>
      <c r="MXR527" s="1358"/>
      <c r="MXS527" s="1358"/>
      <c r="MXT527" s="1358"/>
      <c r="MXU527" s="1358"/>
      <c r="MXV527" s="1358"/>
      <c r="MXW527" s="1358"/>
      <c r="MXX527" s="1358"/>
      <c r="MXY527" s="1358"/>
      <c r="MXZ527" s="1358"/>
      <c r="MYA527" s="1358"/>
      <c r="MYB527" s="1358"/>
      <c r="MYC527" s="1358"/>
      <c r="MYD527" s="1358"/>
      <c r="MYE527" s="1358"/>
      <c r="MYF527" s="1358"/>
      <c r="MYG527" s="1358"/>
      <c r="MYH527" s="1358"/>
      <c r="MYI527" s="1358"/>
      <c r="MYJ527" s="1358"/>
      <c r="MYK527" s="1358"/>
      <c r="MYL527" s="1358"/>
      <c r="MYM527" s="1358"/>
      <c r="MYN527" s="1358"/>
      <c r="MYO527" s="1358"/>
      <c r="MYP527" s="1358"/>
      <c r="MYQ527" s="1358"/>
      <c r="MYR527" s="1358"/>
      <c r="MYS527" s="1358"/>
      <c r="MYT527" s="1358"/>
      <c r="MYU527" s="1358"/>
      <c r="MYV527" s="1358"/>
      <c r="MYW527" s="1358"/>
      <c r="MYX527" s="1358"/>
      <c r="MYY527" s="1358"/>
      <c r="MYZ527" s="1358"/>
      <c r="MZA527" s="1358"/>
      <c r="MZB527" s="1358"/>
      <c r="MZC527" s="1358"/>
      <c r="MZD527" s="1358"/>
      <c r="MZE527" s="1358"/>
      <c r="MZF527" s="1358"/>
      <c r="MZG527" s="1358"/>
      <c r="MZH527" s="1358"/>
      <c r="MZI527" s="1358"/>
      <c r="MZJ527" s="1358"/>
      <c r="MZK527" s="1358"/>
      <c r="MZL527" s="1358"/>
      <c r="MZM527" s="1358"/>
      <c r="MZN527" s="1358"/>
      <c r="MZO527" s="1358"/>
      <c r="MZP527" s="1358"/>
      <c r="MZQ527" s="1358"/>
      <c r="MZR527" s="1358"/>
      <c r="MZS527" s="1358"/>
      <c r="MZT527" s="1358"/>
      <c r="MZU527" s="1358"/>
      <c r="MZV527" s="1358"/>
      <c r="MZW527" s="1358"/>
      <c r="MZX527" s="1358"/>
      <c r="MZY527" s="1358"/>
      <c r="MZZ527" s="1358"/>
      <c r="NAA527" s="1358"/>
      <c r="NAB527" s="1358"/>
      <c r="NAC527" s="1358"/>
      <c r="NAD527" s="1358"/>
      <c r="NAE527" s="1358"/>
      <c r="NAF527" s="1358"/>
      <c r="NAG527" s="1358"/>
      <c r="NAH527" s="1358"/>
      <c r="NAI527" s="1358"/>
      <c r="NAJ527" s="1358"/>
      <c r="NAK527" s="1358"/>
      <c r="NAL527" s="1358"/>
      <c r="NAM527" s="1358"/>
      <c r="NAN527" s="1358"/>
      <c r="NAO527" s="1358"/>
      <c r="NAP527" s="1358"/>
      <c r="NAQ527" s="1358"/>
      <c r="NAR527" s="1358"/>
      <c r="NAS527" s="1358"/>
      <c r="NAT527" s="1358"/>
      <c r="NAU527" s="1358"/>
      <c r="NAV527" s="1358"/>
      <c r="NAW527" s="1358"/>
      <c r="NAX527" s="1358"/>
      <c r="NAY527" s="1358"/>
      <c r="NAZ527" s="1358"/>
      <c r="NBA527" s="1358"/>
      <c r="NBB527" s="1358"/>
      <c r="NBC527" s="1358"/>
      <c r="NBD527" s="1358"/>
      <c r="NBE527" s="1358"/>
      <c r="NBF527" s="1358"/>
      <c r="NBG527" s="1358"/>
      <c r="NBH527" s="1358"/>
      <c r="NBI527" s="1358"/>
      <c r="NBJ527" s="1358"/>
      <c r="NBK527" s="1358"/>
      <c r="NBL527" s="1358"/>
      <c r="NBM527" s="1358"/>
      <c r="NBN527" s="1358"/>
      <c r="NBO527" s="1358"/>
      <c r="NBP527" s="1358"/>
      <c r="NBQ527" s="1358"/>
      <c r="NBR527" s="1358"/>
      <c r="NBS527" s="1358"/>
      <c r="NBT527" s="1358"/>
      <c r="NBU527" s="1358"/>
      <c r="NBV527" s="1358"/>
      <c r="NBW527" s="1358"/>
      <c r="NBX527" s="1358"/>
      <c r="NBY527" s="1358"/>
      <c r="NBZ527" s="1358"/>
      <c r="NCA527" s="1358"/>
      <c r="NCB527" s="1358"/>
      <c r="NCC527" s="1358"/>
      <c r="NCD527" s="1358"/>
      <c r="NCE527" s="1358"/>
      <c r="NCF527" s="1358"/>
      <c r="NCG527" s="1358"/>
      <c r="NCH527" s="1358"/>
      <c r="NCI527" s="1358"/>
      <c r="NCJ527" s="1358"/>
      <c r="NCK527" s="1358"/>
      <c r="NCL527" s="1358"/>
      <c r="NCM527" s="1358"/>
      <c r="NCN527" s="1358"/>
      <c r="NCO527" s="1358"/>
      <c r="NCP527" s="1358"/>
      <c r="NCQ527" s="1358"/>
      <c r="NCR527" s="1358"/>
      <c r="NCS527" s="1358"/>
      <c r="NCT527" s="1358"/>
      <c r="NCU527" s="1358"/>
      <c r="NCV527" s="1358"/>
      <c r="NCW527" s="1358"/>
      <c r="NCX527" s="1358"/>
      <c r="NCY527" s="1358"/>
      <c r="NCZ527" s="1358"/>
      <c r="NDA527" s="1358"/>
      <c r="NDB527" s="1358"/>
      <c r="NDC527" s="1358"/>
      <c r="NDD527" s="1358"/>
      <c r="NDE527" s="1358"/>
      <c r="NDF527" s="1358"/>
      <c r="NDG527" s="1358"/>
      <c r="NDH527" s="1358"/>
      <c r="NDI527" s="1358"/>
      <c r="NDJ527" s="1358"/>
      <c r="NDK527" s="1358"/>
      <c r="NDL527" s="1358"/>
      <c r="NDM527" s="1358"/>
      <c r="NDN527" s="1358"/>
      <c r="NDO527" s="1358"/>
      <c r="NDP527" s="1358"/>
      <c r="NDQ527" s="1358"/>
      <c r="NDR527" s="1358"/>
      <c r="NDS527" s="1358"/>
      <c r="NDT527" s="1358"/>
      <c r="NDU527" s="1358"/>
      <c r="NDV527" s="1358"/>
      <c r="NDW527" s="1358"/>
      <c r="NDX527" s="1358"/>
      <c r="NDY527" s="1358"/>
      <c r="NDZ527" s="1358"/>
      <c r="NEA527" s="1358"/>
      <c r="NEB527" s="1358"/>
      <c r="NEC527" s="1358"/>
      <c r="NED527" s="1358"/>
      <c r="NEE527" s="1358"/>
      <c r="NEF527" s="1358"/>
      <c r="NEG527" s="1358"/>
      <c r="NEH527" s="1358"/>
      <c r="NEI527" s="1358"/>
      <c r="NEJ527" s="1358"/>
      <c r="NEK527" s="1358"/>
      <c r="NEL527" s="1358"/>
      <c r="NEM527" s="1358"/>
      <c r="NEN527" s="1358"/>
      <c r="NEO527" s="1358"/>
      <c r="NEP527" s="1358"/>
      <c r="NEQ527" s="1358"/>
      <c r="NER527" s="1358"/>
      <c r="NES527" s="1358"/>
      <c r="NET527" s="1358"/>
      <c r="NEU527" s="1358"/>
      <c r="NEV527" s="1358"/>
      <c r="NEW527" s="1358"/>
      <c r="NEX527" s="1358"/>
      <c r="NEY527" s="1358"/>
      <c r="NEZ527" s="1358"/>
      <c r="NFA527" s="1358"/>
      <c r="NFB527" s="1358"/>
      <c r="NFC527" s="1358"/>
      <c r="NFD527" s="1358"/>
      <c r="NFE527" s="1358"/>
      <c r="NFF527" s="1358"/>
      <c r="NFG527" s="1358"/>
      <c r="NFH527" s="1358"/>
      <c r="NFI527" s="1358"/>
      <c r="NFJ527" s="1358"/>
      <c r="NFK527" s="1358"/>
      <c r="NFL527" s="1358"/>
      <c r="NFM527" s="1358"/>
      <c r="NFN527" s="1358"/>
      <c r="NFO527" s="1358"/>
      <c r="NFP527" s="1358"/>
      <c r="NFQ527" s="1358"/>
      <c r="NFR527" s="1358"/>
      <c r="NFS527" s="1358"/>
      <c r="NFT527" s="1358"/>
      <c r="NFU527" s="1358"/>
      <c r="NFV527" s="1358"/>
      <c r="NFW527" s="1358"/>
      <c r="NFX527" s="1358"/>
      <c r="NFY527" s="1358"/>
      <c r="NFZ527" s="1358"/>
      <c r="NGA527" s="1358"/>
      <c r="NGB527" s="1358"/>
      <c r="NGC527" s="1358"/>
      <c r="NGD527" s="1358"/>
      <c r="NGE527" s="1358"/>
      <c r="NGF527" s="1358"/>
      <c r="NGG527" s="1358"/>
      <c r="NGH527" s="1358"/>
      <c r="NGI527" s="1358"/>
      <c r="NGJ527" s="1358"/>
      <c r="NGK527" s="1358"/>
      <c r="NGL527" s="1358"/>
      <c r="NGM527" s="1358"/>
      <c r="NGN527" s="1358"/>
      <c r="NGO527" s="1358"/>
      <c r="NGP527" s="1358"/>
      <c r="NGQ527" s="1358"/>
      <c r="NGR527" s="1358"/>
      <c r="NGS527" s="1358"/>
      <c r="NGT527" s="1358"/>
      <c r="NGU527" s="1358"/>
      <c r="NGV527" s="1358"/>
      <c r="NGW527" s="1358"/>
      <c r="NGX527" s="1358"/>
      <c r="NGY527" s="1358"/>
      <c r="NGZ527" s="1358"/>
      <c r="NHA527" s="1358"/>
      <c r="NHB527" s="1358"/>
      <c r="NHC527" s="1358"/>
      <c r="NHD527" s="1358"/>
      <c r="NHE527" s="1358"/>
      <c r="NHF527" s="1358"/>
      <c r="NHG527" s="1358"/>
      <c r="NHH527" s="1358"/>
      <c r="NHI527" s="1358"/>
      <c r="NHJ527" s="1358"/>
      <c r="NHK527" s="1358"/>
      <c r="NHL527" s="1358"/>
      <c r="NHM527" s="1358"/>
      <c r="NHN527" s="1358"/>
      <c r="NHO527" s="1358"/>
      <c r="NHP527" s="1358"/>
      <c r="NHQ527" s="1358"/>
      <c r="NHR527" s="1358"/>
      <c r="NHS527" s="1358"/>
      <c r="NHT527" s="1358"/>
      <c r="NHU527" s="1358"/>
      <c r="NHV527" s="1358"/>
      <c r="NHW527" s="1358"/>
      <c r="NHX527" s="1358"/>
      <c r="NHY527" s="1358"/>
      <c r="NHZ527" s="1358"/>
      <c r="NIA527" s="1358"/>
      <c r="NIB527" s="1358"/>
      <c r="NIC527" s="1358"/>
      <c r="NID527" s="1358"/>
      <c r="NIE527" s="1358"/>
      <c r="NIF527" s="1358"/>
      <c r="NIG527" s="1358"/>
      <c r="NIH527" s="1358"/>
      <c r="NII527" s="1358"/>
      <c r="NIJ527" s="1358"/>
      <c r="NIK527" s="1358"/>
      <c r="NIL527" s="1358"/>
      <c r="NIM527" s="1358"/>
      <c r="NIN527" s="1358"/>
      <c r="NIO527" s="1358"/>
      <c r="NIP527" s="1358"/>
      <c r="NIQ527" s="1358"/>
      <c r="NIR527" s="1358"/>
      <c r="NIS527" s="1358"/>
      <c r="NIT527" s="1358"/>
      <c r="NIU527" s="1358"/>
      <c r="NIV527" s="1358"/>
      <c r="NIW527" s="1358"/>
      <c r="NIX527" s="1358"/>
      <c r="NIY527" s="1358"/>
      <c r="NIZ527" s="1358"/>
      <c r="NJA527" s="1358"/>
      <c r="NJB527" s="1358"/>
      <c r="NJC527" s="1358"/>
      <c r="NJD527" s="1358"/>
      <c r="NJE527" s="1358"/>
      <c r="NJF527" s="1358"/>
      <c r="NJG527" s="1358"/>
      <c r="NJH527" s="1358"/>
      <c r="NJI527" s="1358"/>
      <c r="NJJ527" s="1358"/>
      <c r="NJK527" s="1358"/>
      <c r="NJL527" s="1358"/>
      <c r="NJM527" s="1358"/>
      <c r="NJN527" s="1358"/>
      <c r="NJO527" s="1358"/>
      <c r="NJP527" s="1358"/>
      <c r="NJQ527" s="1358"/>
      <c r="NJR527" s="1358"/>
      <c r="NJS527" s="1358"/>
      <c r="NJT527" s="1358"/>
      <c r="NJU527" s="1358"/>
      <c r="NJV527" s="1358"/>
      <c r="NJW527" s="1358"/>
      <c r="NJX527" s="1358"/>
      <c r="NJY527" s="1358"/>
      <c r="NJZ527" s="1358"/>
      <c r="NKA527" s="1358"/>
      <c r="NKB527" s="1358"/>
      <c r="NKC527" s="1358"/>
      <c r="NKD527" s="1358"/>
      <c r="NKE527" s="1358"/>
      <c r="NKF527" s="1358"/>
      <c r="NKG527" s="1358"/>
      <c r="NKH527" s="1358"/>
      <c r="NKI527" s="1358"/>
      <c r="NKJ527" s="1358"/>
      <c r="NKK527" s="1358"/>
      <c r="NKL527" s="1358"/>
      <c r="NKM527" s="1358"/>
      <c r="NKN527" s="1358"/>
      <c r="NKO527" s="1358"/>
      <c r="NKP527" s="1358"/>
      <c r="NKQ527" s="1358"/>
      <c r="NKR527" s="1358"/>
      <c r="NKS527" s="1358"/>
      <c r="NKT527" s="1358"/>
      <c r="NKU527" s="1358"/>
      <c r="NKV527" s="1358"/>
      <c r="NKW527" s="1358"/>
      <c r="NKX527" s="1358"/>
      <c r="NKY527" s="1358"/>
      <c r="NKZ527" s="1358"/>
      <c r="NLA527" s="1358"/>
      <c r="NLB527" s="1358"/>
      <c r="NLC527" s="1358"/>
      <c r="NLD527" s="1358"/>
      <c r="NLE527" s="1358"/>
      <c r="NLF527" s="1358"/>
      <c r="NLG527" s="1358"/>
      <c r="NLH527" s="1358"/>
      <c r="NLI527" s="1358"/>
      <c r="NLJ527" s="1358"/>
      <c r="NLK527" s="1358"/>
      <c r="NLL527" s="1358"/>
      <c r="NLM527" s="1358"/>
      <c r="NLN527" s="1358"/>
      <c r="NLO527" s="1358"/>
      <c r="NLP527" s="1358"/>
      <c r="NLQ527" s="1358"/>
      <c r="NLR527" s="1358"/>
      <c r="NLS527" s="1358"/>
      <c r="NLT527" s="1358"/>
      <c r="NLU527" s="1358"/>
      <c r="NLV527" s="1358"/>
      <c r="NLW527" s="1358"/>
      <c r="NLX527" s="1358"/>
      <c r="NLY527" s="1358"/>
      <c r="NLZ527" s="1358"/>
      <c r="NMA527" s="1358"/>
      <c r="NMB527" s="1358"/>
      <c r="NMC527" s="1358"/>
      <c r="NMD527" s="1358"/>
      <c r="NME527" s="1358"/>
      <c r="NMF527" s="1358"/>
      <c r="NMG527" s="1358"/>
      <c r="NMH527" s="1358"/>
      <c r="NMI527" s="1358"/>
      <c r="NMJ527" s="1358"/>
      <c r="NMK527" s="1358"/>
      <c r="NML527" s="1358"/>
      <c r="NMM527" s="1358"/>
      <c r="NMN527" s="1358"/>
      <c r="NMO527" s="1358"/>
      <c r="NMP527" s="1358"/>
      <c r="NMQ527" s="1358"/>
      <c r="NMR527" s="1358"/>
      <c r="NMS527" s="1358"/>
      <c r="NMT527" s="1358"/>
      <c r="NMU527" s="1358"/>
      <c r="NMV527" s="1358"/>
      <c r="NMW527" s="1358"/>
      <c r="NMX527" s="1358"/>
      <c r="NMY527" s="1358"/>
      <c r="NMZ527" s="1358"/>
      <c r="NNA527" s="1358"/>
      <c r="NNB527" s="1358"/>
      <c r="NNC527" s="1358"/>
      <c r="NND527" s="1358"/>
      <c r="NNE527" s="1358"/>
      <c r="NNF527" s="1358"/>
      <c r="NNG527" s="1358"/>
      <c r="NNH527" s="1358"/>
      <c r="NNI527" s="1358"/>
      <c r="NNJ527" s="1358"/>
      <c r="NNK527" s="1358"/>
      <c r="NNL527" s="1358"/>
      <c r="NNM527" s="1358"/>
      <c r="NNN527" s="1358"/>
      <c r="NNO527" s="1358"/>
      <c r="NNP527" s="1358"/>
      <c r="NNQ527" s="1358"/>
      <c r="NNR527" s="1358"/>
      <c r="NNS527" s="1358"/>
      <c r="NNT527" s="1358"/>
      <c r="NNU527" s="1358"/>
      <c r="NNV527" s="1358"/>
      <c r="NNW527" s="1358"/>
      <c r="NNX527" s="1358"/>
      <c r="NNY527" s="1358"/>
      <c r="NNZ527" s="1358"/>
      <c r="NOA527" s="1358"/>
      <c r="NOB527" s="1358"/>
      <c r="NOC527" s="1358"/>
      <c r="NOD527" s="1358"/>
      <c r="NOE527" s="1358"/>
      <c r="NOF527" s="1358"/>
      <c r="NOG527" s="1358"/>
      <c r="NOH527" s="1358"/>
      <c r="NOI527" s="1358"/>
      <c r="NOJ527" s="1358"/>
      <c r="NOK527" s="1358"/>
      <c r="NOL527" s="1358"/>
      <c r="NOM527" s="1358"/>
      <c r="NON527" s="1358"/>
      <c r="NOO527" s="1358"/>
      <c r="NOP527" s="1358"/>
      <c r="NOQ527" s="1358"/>
      <c r="NOR527" s="1358"/>
      <c r="NOS527" s="1358"/>
      <c r="NOT527" s="1358"/>
      <c r="NOU527" s="1358"/>
      <c r="NOV527" s="1358"/>
      <c r="NOW527" s="1358"/>
      <c r="NOX527" s="1358"/>
      <c r="NOY527" s="1358"/>
      <c r="NOZ527" s="1358"/>
      <c r="NPA527" s="1358"/>
      <c r="NPB527" s="1358"/>
      <c r="NPC527" s="1358"/>
      <c r="NPD527" s="1358"/>
      <c r="NPE527" s="1358"/>
      <c r="NPF527" s="1358"/>
      <c r="NPG527" s="1358"/>
      <c r="NPH527" s="1358"/>
      <c r="NPI527" s="1358"/>
      <c r="NPJ527" s="1358"/>
      <c r="NPK527" s="1358"/>
      <c r="NPL527" s="1358"/>
      <c r="NPM527" s="1358"/>
      <c r="NPN527" s="1358"/>
      <c r="NPO527" s="1358"/>
      <c r="NPP527" s="1358"/>
      <c r="NPQ527" s="1358"/>
      <c r="NPR527" s="1358"/>
      <c r="NPS527" s="1358"/>
      <c r="NPT527" s="1358"/>
      <c r="NPU527" s="1358"/>
      <c r="NPV527" s="1358"/>
      <c r="NPW527" s="1358"/>
      <c r="NPX527" s="1358"/>
      <c r="NPY527" s="1358"/>
      <c r="NPZ527" s="1358"/>
      <c r="NQA527" s="1358"/>
      <c r="NQB527" s="1358"/>
      <c r="NQC527" s="1358"/>
      <c r="NQD527" s="1358"/>
      <c r="NQE527" s="1358"/>
      <c r="NQF527" s="1358"/>
      <c r="NQG527" s="1358"/>
      <c r="NQH527" s="1358"/>
      <c r="NQI527" s="1358"/>
      <c r="NQJ527" s="1358"/>
      <c r="NQK527" s="1358"/>
      <c r="NQL527" s="1358"/>
      <c r="NQM527" s="1358"/>
      <c r="NQN527" s="1358"/>
      <c r="NQO527" s="1358"/>
      <c r="NQP527" s="1358"/>
      <c r="NQQ527" s="1358"/>
      <c r="NQR527" s="1358"/>
      <c r="NQS527" s="1358"/>
      <c r="NQT527" s="1358"/>
      <c r="NQU527" s="1358"/>
      <c r="NQV527" s="1358"/>
      <c r="NQW527" s="1358"/>
      <c r="NQX527" s="1358"/>
      <c r="NQY527" s="1358"/>
      <c r="NQZ527" s="1358"/>
      <c r="NRA527" s="1358"/>
      <c r="NRB527" s="1358"/>
      <c r="NRC527" s="1358"/>
      <c r="NRD527" s="1358"/>
      <c r="NRE527" s="1358"/>
      <c r="NRF527" s="1358"/>
      <c r="NRG527" s="1358"/>
      <c r="NRH527" s="1358"/>
      <c r="NRI527" s="1358"/>
      <c r="NRJ527" s="1358"/>
      <c r="NRK527" s="1358"/>
      <c r="NRL527" s="1358"/>
      <c r="NRM527" s="1358"/>
      <c r="NRN527" s="1358"/>
      <c r="NRO527" s="1358"/>
      <c r="NRP527" s="1358"/>
      <c r="NRQ527" s="1358"/>
      <c r="NRR527" s="1358"/>
      <c r="NRS527" s="1358"/>
      <c r="NRT527" s="1358"/>
      <c r="NRU527" s="1358"/>
      <c r="NRV527" s="1358"/>
      <c r="NRW527" s="1358"/>
      <c r="NRX527" s="1358"/>
      <c r="NRY527" s="1358"/>
      <c r="NRZ527" s="1358"/>
      <c r="NSA527" s="1358"/>
      <c r="NSB527" s="1358"/>
      <c r="NSC527" s="1358"/>
      <c r="NSD527" s="1358"/>
      <c r="NSE527" s="1358"/>
      <c r="NSF527" s="1358"/>
      <c r="NSG527" s="1358"/>
      <c r="NSH527" s="1358"/>
      <c r="NSI527" s="1358"/>
      <c r="NSJ527" s="1358"/>
      <c r="NSK527" s="1358"/>
      <c r="NSL527" s="1358"/>
      <c r="NSM527" s="1358"/>
      <c r="NSN527" s="1358"/>
      <c r="NSO527" s="1358"/>
      <c r="NSP527" s="1358"/>
      <c r="NSQ527" s="1358"/>
      <c r="NSR527" s="1358"/>
      <c r="NSS527" s="1358"/>
      <c r="NST527" s="1358"/>
      <c r="NSU527" s="1358"/>
      <c r="NSV527" s="1358"/>
      <c r="NSW527" s="1358"/>
      <c r="NSX527" s="1358"/>
      <c r="NSY527" s="1358"/>
      <c r="NSZ527" s="1358"/>
      <c r="NTA527" s="1358"/>
      <c r="NTB527" s="1358"/>
      <c r="NTC527" s="1358"/>
      <c r="NTD527" s="1358"/>
      <c r="NTE527" s="1358"/>
      <c r="NTF527" s="1358"/>
      <c r="NTG527" s="1358"/>
      <c r="NTH527" s="1358"/>
      <c r="NTI527" s="1358"/>
      <c r="NTJ527" s="1358"/>
      <c r="NTK527" s="1358"/>
      <c r="NTL527" s="1358"/>
      <c r="NTM527" s="1358"/>
      <c r="NTN527" s="1358"/>
      <c r="NTO527" s="1358"/>
      <c r="NTP527" s="1358"/>
      <c r="NTQ527" s="1358"/>
      <c r="NTR527" s="1358"/>
      <c r="NTS527" s="1358"/>
      <c r="NTT527" s="1358"/>
      <c r="NTU527" s="1358"/>
      <c r="NTV527" s="1358"/>
      <c r="NTW527" s="1358"/>
      <c r="NTX527" s="1358"/>
      <c r="NTY527" s="1358"/>
      <c r="NTZ527" s="1358"/>
      <c r="NUA527" s="1358"/>
      <c r="NUB527" s="1358"/>
      <c r="NUC527" s="1358"/>
      <c r="NUD527" s="1358"/>
      <c r="NUE527" s="1358"/>
      <c r="NUF527" s="1358"/>
      <c r="NUG527" s="1358"/>
      <c r="NUH527" s="1358"/>
      <c r="NUI527" s="1358"/>
      <c r="NUJ527" s="1358"/>
      <c r="NUK527" s="1358"/>
      <c r="NUL527" s="1358"/>
      <c r="NUM527" s="1358"/>
      <c r="NUN527" s="1358"/>
      <c r="NUO527" s="1358"/>
      <c r="NUP527" s="1358"/>
      <c r="NUQ527" s="1358"/>
      <c r="NUR527" s="1358"/>
      <c r="NUS527" s="1358"/>
      <c r="NUT527" s="1358"/>
      <c r="NUU527" s="1358"/>
      <c r="NUV527" s="1358"/>
      <c r="NUW527" s="1358"/>
      <c r="NUX527" s="1358"/>
      <c r="NUY527" s="1358"/>
      <c r="NUZ527" s="1358"/>
      <c r="NVA527" s="1358"/>
      <c r="NVB527" s="1358"/>
      <c r="NVC527" s="1358"/>
      <c r="NVD527" s="1358"/>
      <c r="NVE527" s="1358"/>
      <c r="NVF527" s="1358"/>
      <c r="NVG527" s="1358"/>
      <c r="NVH527" s="1358"/>
      <c r="NVI527" s="1358"/>
      <c r="NVJ527" s="1358"/>
      <c r="NVK527" s="1358"/>
      <c r="NVL527" s="1358"/>
      <c r="NVM527" s="1358"/>
      <c r="NVN527" s="1358"/>
      <c r="NVO527" s="1358"/>
      <c r="NVP527" s="1358"/>
      <c r="NVQ527" s="1358"/>
      <c r="NVR527" s="1358"/>
      <c r="NVS527" s="1358"/>
      <c r="NVT527" s="1358"/>
      <c r="NVU527" s="1358"/>
      <c r="NVV527" s="1358"/>
      <c r="NVW527" s="1358"/>
      <c r="NVX527" s="1358"/>
      <c r="NVY527" s="1358"/>
      <c r="NVZ527" s="1358"/>
      <c r="NWA527" s="1358"/>
      <c r="NWB527" s="1358"/>
      <c r="NWC527" s="1358"/>
      <c r="NWD527" s="1358"/>
      <c r="NWE527" s="1358"/>
      <c r="NWF527" s="1358"/>
      <c r="NWG527" s="1358"/>
      <c r="NWH527" s="1358"/>
      <c r="NWI527" s="1358"/>
      <c r="NWJ527" s="1358"/>
      <c r="NWK527" s="1358"/>
      <c r="NWL527" s="1358"/>
      <c r="NWM527" s="1358"/>
      <c r="NWN527" s="1358"/>
      <c r="NWO527" s="1358"/>
      <c r="NWP527" s="1358"/>
      <c r="NWQ527" s="1358"/>
      <c r="NWR527" s="1358"/>
      <c r="NWS527" s="1358"/>
      <c r="NWT527" s="1358"/>
      <c r="NWU527" s="1358"/>
      <c r="NWV527" s="1358"/>
      <c r="NWW527" s="1358"/>
      <c r="NWX527" s="1358"/>
      <c r="NWY527" s="1358"/>
      <c r="NWZ527" s="1358"/>
      <c r="NXA527" s="1358"/>
      <c r="NXB527" s="1358"/>
      <c r="NXC527" s="1358"/>
      <c r="NXD527" s="1358"/>
      <c r="NXE527" s="1358"/>
      <c r="NXF527" s="1358"/>
      <c r="NXG527" s="1358"/>
      <c r="NXH527" s="1358"/>
      <c r="NXI527" s="1358"/>
      <c r="NXJ527" s="1358"/>
      <c r="NXK527" s="1358"/>
      <c r="NXL527" s="1358"/>
      <c r="NXM527" s="1358"/>
      <c r="NXN527" s="1358"/>
      <c r="NXO527" s="1358"/>
      <c r="NXP527" s="1358"/>
      <c r="NXQ527" s="1358"/>
      <c r="NXR527" s="1358"/>
      <c r="NXS527" s="1358"/>
      <c r="NXT527" s="1358"/>
      <c r="NXU527" s="1358"/>
      <c r="NXV527" s="1358"/>
      <c r="NXW527" s="1358"/>
      <c r="NXX527" s="1358"/>
      <c r="NXY527" s="1358"/>
      <c r="NXZ527" s="1358"/>
      <c r="NYA527" s="1358"/>
      <c r="NYB527" s="1358"/>
      <c r="NYC527" s="1358"/>
      <c r="NYD527" s="1358"/>
      <c r="NYE527" s="1358"/>
      <c r="NYF527" s="1358"/>
      <c r="NYG527" s="1358"/>
      <c r="NYH527" s="1358"/>
      <c r="NYI527" s="1358"/>
      <c r="NYJ527" s="1358"/>
      <c r="NYK527" s="1358"/>
      <c r="NYL527" s="1358"/>
      <c r="NYM527" s="1358"/>
      <c r="NYN527" s="1358"/>
      <c r="NYO527" s="1358"/>
      <c r="NYP527" s="1358"/>
      <c r="NYQ527" s="1358"/>
      <c r="NYR527" s="1358"/>
      <c r="NYS527" s="1358"/>
      <c r="NYT527" s="1358"/>
      <c r="NYU527" s="1358"/>
      <c r="NYV527" s="1358"/>
      <c r="NYW527" s="1358"/>
      <c r="NYX527" s="1358"/>
      <c r="NYY527" s="1358"/>
      <c r="NYZ527" s="1358"/>
      <c r="NZA527" s="1358"/>
      <c r="NZB527" s="1358"/>
      <c r="NZC527" s="1358"/>
      <c r="NZD527" s="1358"/>
      <c r="NZE527" s="1358"/>
      <c r="NZF527" s="1358"/>
      <c r="NZG527" s="1358"/>
      <c r="NZH527" s="1358"/>
      <c r="NZI527" s="1358"/>
      <c r="NZJ527" s="1358"/>
      <c r="NZK527" s="1358"/>
      <c r="NZL527" s="1358"/>
      <c r="NZM527" s="1358"/>
      <c r="NZN527" s="1358"/>
      <c r="NZO527" s="1358"/>
      <c r="NZP527" s="1358"/>
      <c r="NZQ527" s="1358"/>
      <c r="NZR527" s="1358"/>
      <c r="NZS527" s="1358"/>
      <c r="NZT527" s="1358"/>
      <c r="NZU527" s="1358"/>
      <c r="NZV527" s="1358"/>
      <c r="NZW527" s="1358"/>
      <c r="NZX527" s="1358"/>
      <c r="NZY527" s="1358"/>
      <c r="NZZ527" s="1358"/>
      <c r="OAA527" s="1358"/>
      <c r="OAB527" s="1358"/>
      <c r="OAC527" s="1358"/>
      <c r="OAD527" s="1358"/>
      <c r="OAE527" s="1358"/>
      <c r="OAF527" s="1358"/>
      <c r="OAG527" s="1358"/>
      <c r="OAH527" s="1358"/>
      <c r="OAI527" s="1358"/>
      <c r="OAJ527" s="1358"/>
      <c r="OAK527" s="1358"/>
      <c r="OAL527" s="1358"/>
      <c r="OAM527" s="1358"/>
      <c r="OAN527" s="1358"/>
      <c r="OAO527" s="1358"/>
      <c r="OAP527" s="1358"/>
      <c r="OAQ527" s="1358"/>
      <c r="OAR527" s="1358"/>
      <c r="OAS527" s="1358"/>
      <c r="OAT527" s="1358"/>
      <c r="OAU527" s="1358"/>
      <c r="OAV527" s="1358"/>
      <c r="OAW527" s="1358"/>
      <c r="OAX527" s="1358"/>
      <c r="OAY527" s="1358"/>
      <c r="OAZ527" s="1358"/>
      <c r="OBA527" s="1358"/>
      <c r="OBB527" s="1358"/>
      <c r="OBC527" s="1358"/>
      <c r="OBD527" s="1358"/>
      <c r="OBE527" s="1358"/>
      <c r="OBF527" s="1358"/>
      <c r="OBG527" s="1358"/>
      <c r="OBH527" s="1358"/>
      <c r="OBI527" s="1358"/>
      <c r="OBJ527" s="1358"/>
      <c r="OBK527" s="1358"/>
      <c r="OBL527" s="1358"/>
      <c r="OBM527" s="1358"/>
      <c r="OBN527" s="1358"/>
      <c r="OBO527" s="1358"/>
      <c r="OBP527" s="1358"/>
      <c r="OBQ527" s="1358"/>
      <c r="OBR527" s="1358"/>
      <c r="OBS527" s="1358"/>
      <c r="OBT527" s="1358"/>
      <c r="OBU527" s="1358"/>
      <c r="OBV527" s="1358"/>
      <c r="OBW527" s="1358"/>
      <c r="OBX527" s="1358"/>
      <c r="OBY527" s="1358"/>
      <c r="OBZ527" s="1358"/>
      <c r="OCA527" s="1358"/>
      <c r="OCB527" s="1358"/>
      <c r="OCC527" s="1358"/>
      <c r="OCD527" s="1358"/>
      <c r="OCE527" s="1358"/>
      <c r="OCF527" s="1358"/>
      <c r="OCG527" s="1358"/>
      <c r="OCH527" s="1358"/>
      <c r="OCI527" s="1358"/>
      <c r="OCJ527" s="1358"/>
      <c r="OCK527" s="1358"/>
      <c r="OCL527" s="1358"/>
      <c r="OCM527" s="1358"/>
      <c r="OCN527" s="1358"/>
      <c r="OCO527" s="1358"/>
      <c r="OCP527" s="1358"/>
      <c r="OCQ527" s="1358"/>
      <c r="OCR527" s="1358"/>
      <c r="OCS527" s="1358"/>
      <c r="OCT527" s="1358"/>
      <c r="OCU527" s="1358"/>
      <c r="OCV527" s="1358"/>
      <c r="OCW527" s="1358"/>
      <c r="OCX527" s="1358"/>
      <c r="OCY527" s="1358"/>
      <c r="OCZ527" s="1358"/>
      <c r="ODA527" s="1358"/>
      <c r="ODB527" s="1358"/>
      <c r="ODC527" s="1358"/>
      <c r="ODD527" s="1358"/>
      <c r="ODE527" s="1358"/>
      <c r="ODF527" s="1358"/>
      <c r="ODG527" s="1358"/>
      <c r="ODH527" s="1358"/>
      <c r="ODI527" s="1358"/>
      <c r="ODJ527" s="1358"/>
      <c r="ODK527" s="1358"/>
      <c r="ODL527" s="1358"/>
      <c r="ODM527" s="1358"/>
      <c r="ODN527" s="1358"/>
      <c r="ODO527" s="1358"/>
      <c r="ODP527" s="1358"/>
      <c r="ODQ527" s="1358"/>
      <c r="ODR527" s="1358"/>
      <c r="ODS527" s="1358"/>
      <c r="ODT527" s="1358"/>
      <c r="ODU527" s="1358"/>
      <c r="ODV527" s="1358"/>
      <c r="ODW527" s="1358"/>
      <c r="ODX527" s="1358"/>
      <c r="ODY527" s="1358"/>
      <c r="ODZ527" s="1358"/>
      <c r="OEA527" s="1358"/>
      <c r="OEB527" s="1358"/>
      <c r="OEC527" s="1358"/>
      <c r="OED527" s="1358"/>
      <c r="OEE527" s="1358"/>
      <c r="OEF527" s="1358"/>
      <c r="OEG527" s="1358"/>
      <c r="OEH527" s="1358"/>
      <c r="OEI527" s="1358"/>
      <c r="OEJ527" s="1358"/>
      <c r="OEK527" s="1358"/>
      <c r="OEL527" s="1358"/>
      <c r="OEM527" s="1358"/>
      <c r="OEN527" s="1358"/>
      <c r="OEO527" s="1358"/>
      <c r="OEP527" s="1358"/>
      <c r="OEQ527" s="1358"/>
      <c r="OER527" s="1358"/>
      <c r="OES527" s="1358"/>
      <c r="OET527" s="1358"/>
      <c r="OEU527" s="1358"/>
      <c r="OEV527" s="1358"/>
      <c r="OEW527" s="1358"/>
      <c r="OEX527" s="1358"/>
      <c r="OEY527" s="1358"/>
      <c r="OEZ527" s="1358"/>
      <c r="OFA527" s="1358"/>
      <c r="OFB527" s="1358"/>
      <c r="OFC527" s="1358"/>
      <c r="OFD527" s="1358"/>
      <c r="OFE527" s="1358"/>
      <c r="OFF527" s="1358"/>
      <c r="OFG527" s="1358"/>
      <c r="OFH527" s="1358"/>
      <c r="OFI527" s="1358"/>
      <c r="OFJ527" s="1358"/>
      <c r="OFK527" s="1358"/>
      <c r="OFL527" s="1358"/>
      <c r="OFM527" s="1358"/>
      <c r="OFN527" s="1358"/>
      <c r="OFO527" s="1358"/>
      <c r="OFP527" s="1358"/>
      <c r="OFQ527" s="1358"/>
      <c r="OFR527" s="1358"/>
      <c r="OFS527" s="1358"/>
      <c r="OFT527" s="1358"/>
      <c r="OFU527" s="1358"/>
      <c r="OFV527" s="1358"/>
      <c r="OFW527" s="1358"/>
      <c r="OFX527" s="1358"/>
      <c r="OFY527" s="1358"/>
      <c r="OFZ527" s="1358"/>
      <c r="OGA527" s="1358"/>
      <c r="OGB527" s="1358"/>
      <c r="OGC527" s="1358"/>
      <c r="OGD527" s="1358"/>
      <c r="OGE527" s="1358"/>
      <c r="OGF527" s="1358"/>
      <c r="OGG527" s="1358"/>
      <c r="OGH527" s="1358"/>
      <c r="OGI527" s="1358"/>
      <c r="OGJ527" s="1358"/>
      <c r="OGK527" s="1358"/>
      <c r="OGL527" s="1358"/>
      <c r="OGM527" s="1358"/>
      <c r="OGN527" s="1358"/>
      <c r="OGO527" s="1358"/>
      <c r="OGP527" s="1358"/>
      <c r="OGQ527" s="1358"/>
      <c r="OGR527" s="1358"/>
      <c r="OGS527" s="1358"/>
      <c r="OGT527" s="1358"/>
      <c r="OGU527" s="1358"/>
      <c r="OGV527" s="1358"/>
      <c r="OGW527" s="1358"/>
      <c r="OGX527" s="1358"/>
      <c r="OGY527" s="1358"/>
      <c r="OGZ527" s="1358"/>
      <c r="OHA527" s="1358"/>
      <c r="OHB527" s="1358"/>
      <c r="OHC527" s="1358"/>
      <c r="OHD527" s="1358"/>
      <c r="OHE527" s="1358"/>
      <c r="OHF527" s="1358"/>
      <c r="OHG527" s="1358"/>
      <c r="OHH527" s="1358"/>
      <c r="OHI527" s="1358"/>
      <c r="OHJ527" s="1358"/>
      <c r="OHK527" s="1358"/>
      <c r="OHL527" s="1358"/>
      <c r="OHM527" s="1358"/>
      <c r="OHN527" s="1358"/>
      <c r="OHO527" s="1358"/>
      <c r="OHP527" s="1358"/>
      <c r="OHQ527" s="1358"/>
      <c r="OHR527" s="1358"/>
      <c r="OHS527" s="1358"/>
      <c r="OHT527" s="1358"/>
      <c r="OHU527" s="1358"/>
      <c r="OHV527" s="1358"/>
      <c r="OHW527" s="1358"/>
      <c r="OHX527" s="1358"/>
      <c r="OHY527" s="1358"/>
      <c r="OHZ527" s="1358"/>
      <c r="OIA527" s="1358"/>
      <c r="OIB527" s="1358"/>
      <c r="OIC527" s="1358"/>
      <c r="OID527" s="1358"/>
      <c r="OIE527" s="1358"/>
      <c r="OIF527" s="1358"/>
      <c r="OIG527" s="1358"/>
      <c r="OIH527" s="1358"/>
      <c r="OII527" s="1358"/>
      <c r="OIJ527" s="1358"/>
      <c r="OIK527" s="1358"/>
      <c r="OIL527" s="1358"/>
      <c r="OIM527" s="1358"/>
      <c r="OIN527" s="1358"/>
      <c r="OIO527" s="1358"/>
      <c r="OIP527" s="1358"/>
      <c r="OIQ527" s="1358"/>
      <c r="OIR527" s="1358"/>
      <c r="OIS527" s="1358"/>
      <c r="OIT527" s="1358"/>
      <c r="OIU527" s="1358"/>
      <c r="OIV527" s="1358"/>
      <c r="OIW527" s="1358"/>
      <c r="OIX527" s="1358"/>
      <c r="OIY527" s="1358"/>
      <c r="OIZ527" s="1358"/>
      <c r="OJA527" s="1358"/>
      <c r="OJB527" s="1358"/>
      <c r="OJC527" s="1358"/>
      <c r="OJD527" s="1358"/>
      <c r="OJE527" s="1358"/>
      <c r="OJF527" s="1358"/>
      <c r="OJG527" s="1358"/>
      <c r="OJH527" s="1358"/>
      <c r="OJI527" s="1358"/>
      <c r="OJJ527" s="1358"/>
      <c r="OJK527" s="1358"/>
      <c r="OJL527" s="1358"/>
      <c r="OJM527" s="1358"/>
      <c r="OJN527" s="1358"/>
      <c r="OJO527" s="1358"/>
      <c r="OJP527" s="1358"/>
      <c r="OJQ527" s="1358"/>
      <c r="OJR527" s="1358"/>
      <c r="OJS527" s="1358"/>
      <c r="OJT527" s="1358"/>
      <c r="OJU527" s="1358"/>
      <c r="OJV527" s="1358"/>
      <c r="OJW527" s="1358"/>
      <c r="OJX527" s="1358"/>
      <c r="OJY527" s="1358"/>
      <c r="OJZ527" s="1358"/>
      <c r="OKA527" s="1358"/>
      <c r="OKB527" s="1358"/>
      <c r="OKC527" s="1358"/>
      <c r="OKD527" s="1358"/>
      <c r="OKE527" s="1358"/>
      <c r="OKF527" s="1358"/>
      <c r="OKG527" s="1358"/>
      <c r="OKH527" s="1358"/>
      <c r="OKI527" s="1358"/>
      <c r="OKJ527" s="1358"/>
      <c r="OKK527" s="1358"/>
      <c r="OKL527" s="1358"/>
      <c r="OKM527" s="1358"/>
      <c r="OKN527" s="1358"/>
      <c r="OKO527" s="1358"/>
      <c r="OKP527" s="1358"/>
      <c r="OKQ527" s="1358"/>
      <c r="OKR527" s="1358"/>
      <c r="OKS527" s="1358"/>
      <c r="OKT527" s="1358"/>
      <c r="OKU527" s="1358"/>
      <c r="OKV527" s="1358"/>
      <c r="OKW527" s="1358"/>
      <c r="OKX527" s="1358"/>
      <c r="OKY527" s="1358"/>
      <c r="OKZ527" s="1358"/>
      <c r="OLA527" s="1358"/>
      <c r="OLB527" s="1358"/>
      <c r="OLC527" s="1358"/>
      <c r="OLD527" s="1358"/>
      <c r="OLE527" s="1358"/>
      <c r="OLF527" s="1358"/>
      <c r="OLG527" s="1358"/>
      <c r="OLH527" s="1358"/>
      <c r="OLI527" s="1358"/>
      <c r="OLJ527" s="1358"/>
      <c r="OLK527" s="1358"/>
      <c r="OLL527" s="1358"/>
      <c r="OLM527" s="1358"/>
      <c r="OLN527" s="1358"/>
      <c r="OLO527" s="1358"/>
      <c r="OLP527" s="1358"/>
      <c r="OLQ527" s="1358"/>
      <c r="OLR527" s="1358"/>
      <c r="OLS527" s="1358"/>
      <c r="OLT527" s="1358"/>
      <c r="OLU527" s="1358"/>
      <c r="OLV527" s="1358"/>
      <c r="OLW527" s="1358"/>
      <c r="OLX527" s="1358"/>
      <c r="OLY527" s="1358"/>
      <c r="OLZ527" s="1358"/>
      <c r="OMA527" s="1358"/>
      <c r="OMB527" s="1358"/>
      <c r="OMC527" s="1358"/>
      <c r="OMD527" s="1358"/>
      <c r="OME527" s="1358"/>
      <c r="OMF527" s="1358"/>
      <c r="OMG527" s="1358"/>
      <c r="OMH527" s="1358"/>
      <c r="OMI527" s="1358"/>
      <c r="OMJ527" s="1358"/>
      <c r="OMK527" s="1358"/>
      <c r="OML527" s="1358"/>
      <c r="OMM527" s="1358"/>
      <c r="OMN527" s="1358"/>
      <c r="OMO527" s="1358"/>
      <c r="OMP527" s="1358"/>
      <c r="OMQ527" s="1358"/>
      <c r="OMR527" s="1358"/>
      <c r="OMS527" s="1358"/>
      <c r="OMT527" s="1358"/>
      <c r="OMU527" s="1358"/>
      <c r="OMV527" s="1358"/>
      <c r="OMW527" s="1358"/>
      <c r="OMX527" s="1358"/>
      <c r="OMY527" s="1358"/>
      <c r="OMZ527" s="1358"/>
      <c r="ONA527" s="1358"/>
      <c r="ONB527" s="1358"/>
      <c r="ONC527" s="1358"/>
      <c r="OND527" s="1358"/>
      <c r="ONE527" s="1358"/>
      <c r="ONF527" s="1358"/>
      <c r="ONG527" s="1358"/>
      <c r="ONH527" s="1358"/>
      <c r="ONI527" s="1358"/>
      <c r="ONJ527" s="1358"/>
      <c r="ONK527" s="1358"/>
      <c r="ONL527" s="1358"/>
      <c r="ONM527" s="1358"/>
      <c r="ONN527" s="1358"/>
      <c r="ONO527" s="1358"/>
      <c r="ONP527" s="1358"/>
      <c r="ONQ527" s="1358"/>
      <c r="ONR527" s="1358"/>
      <c r="ONS527" s="1358"/>
      <c r="ONT527" s="1358"/>
      <c r="ONU527" s="1358"/>
      <c r="ONV527" s="1358"/>
      <c r="ONW527" s="1358"/>
      <c r="ONX527" s="1358"/>
      <c r="ONY527" s="1358"/>
      <c r="ONZ527" s="1358"/>
      <c r="OOA527" s="1358"/>
      <c r="OOB527" s="1358"/>
      <c r="OOC527" s="1358"/>
      <c r="OOD527" s="1358"/>
      <c r="OOE527" s="1358"/>
      <c r="OOF527" s="1358"/>
      <c r="OOG527" s="1358"/>
      <c r="OOH527" s="1358"/>
      <c r="OOI527" s="1358"/>
      <c r="OOJ527" s="1358"/>
      <c r="OOK527" s="1358"/>
      <c r="OOL527" s="1358"/>
      <c r="OOM527" s="1358"/>
      <c r="OON527" s="1358"/>
      <c r="OOO527" s="1358"/>
      <c r="OOP527" s="1358"/>
      <c r="OOQ527" s="1358"/>
      <c r="OOR527" s="1358"/>
      <c r="OOS527" s="1358"/>
      <c r="OOT527" s="1358"/>
      <c r="OOU527" s="1358"/>
      <c r="OOV527" s="1358"/>
      <c r="OOW527" s="1358"/>
      <c r="OOX527" s="1358"/>
      <c r="OOY527" s="1358"/>
      <c r="OOZ527" s="1358"/>
      <c r="OPA527" s="1358"/>
      <c r="OPB527" s="1358"/>
      <c r="OPC527" s="1358"/>
      <c r="OPD527" s="1358"/>
      <c r="OPE527" s="1358"/>
      <c r="OPF527" s="1358"/>
      <c r="OPG527" s="1358"/>
      <c r="OPH527" s="1358"/>
      <c r="OPI527" s="1358"/>
      <c r="OPJ527" s="1358"/>
      <c r="OPK527" s="1358"/>
      <c r="OPL527" s="1358"/>
      <c r="OPM527" s="1358"/>
      <c r="OPN527" s="1358"/>
      <c r="OPO527" s="1358"/>
      <c r="OPP527" s="1358"/>
      <c r="OPQ527" s="1358"/>
      <c r="OPR527" s="1358"/>
      <c r="OPS527" s="1358"/>
      <c r="OPT527" s="1358"/>
      <c r="OPU527" s="1358"/>
      <c r="OPV527" s="1358"/>
      <c r="OPW527" s="1358"/>
      <c r="OPX527" s="1358"/>
      <c r="OPY527" s="1358"/>
      <c r="OPZ527" s="1358"/>
      <c r="OQA527" s="1358"/>
      <c r="OQB527" s="1358"/>
      <c r="OQC527" s="1358"/>
      <c r="OQD527" s="1358"/>
      <c r="OQE527" s="1358"/>
      <c r="OQF527" s="1358"/>
      <c r="OQG527" s="1358"/>
      <c r="OQH527" s="1358"/>
      <c r="OQI527" s="1358"/>
      <c r="OQJ527" s="1358"/>
      <c r="OQK527" s="1358"/>
      <c r="OQL527" s="1358"/>
      <c r="OQM527" s="1358"/>
      <c r="OQN527" s="1358"/>
      <c r="OQO527" s="1358"/>
      <c r="OQP527" s="1358"/>
      <c r="OQQ527" s="1358"/>
      <c r="OQR527" s="1358"/>
      <c r="OQS527" s="1358"/>
      <c r="OQT527" s="1358"/>
      <c r="OQU527" s="1358"/>
      <c r="OQV527" s="1358"/>
      <c r="OQW527" s="1358"/>
      <c r="OQX527" s="1358"/>
      <c r="OQY527" s="1358"/>
      <c r="OQZ527" s="1358"/>
      <c r="ORA527" s="1358"/>
      <c r="ORB527" s="1358"/>
      <c r="ORC527" s="1358"/>
      <c r="ORD527" s="1358"/>
      <c r="ORE527" s="1358"/>
      <c r="ORF527" s="1358"/>
      <c r="ORG527" s="1358"/>
      <c r="ORH527" s="1358"/>
      <c r="ORI527" s="1358"/>
      <c r="ORJ527" s="1358"/>
      <c r="ORK527" s="1358"/>
      <c r="ORL527" s="1358"/>
      <c r="ORM527" s="1358"/>
      <c r="ORN527" s="1358"/>
      <c r="ORO527" s="1358"/>
      <c r="ORP527" s="1358"/>
      <c r="ORQ527" s="1358"/>
      <c r="ORR527" s="1358"/>
      <c r="ORS527" s="1358"/>
      <c r="ORT527" s="1358"/>
      <c r="ORU527" s="1358"/>
      <c r="ORV527" s="1358"/>
      <c r="ORW527" s="1358"/>
      <c r="ORX527" s="1358"/>
      <c r="ORY527" s="1358"/>
      <c r="ORZ527" s="1358"/>
      <c r="OSA527" s="1358"/>
      <c r="OSB527" s="1358"/>
      <c r="OSC527" s="1358"/>
      <c r="OSD527" s="1358"/>
      <c r="OSE527" s="1358"/>
      <c r="OSF527" s="1358"/>
      <c r="OSG527" s="1358"/>
      <c r="OSH527" s="1358"/>
      <c r="OSI527" s="1358"/>
      <c r="OSJ527" s="1358"/>
      <c r="OSK527" s="1358"/>
      <c r="OSL527" s="1358"/>
      <c r="OSM527" s="1358"/>
      <c r="OSN527" s="1358"/>
      <c r="OSO527" s="1358"/>
      <c r="OSP527" s="1358"/>
      <c r="OSQ527" s="1358"/>
      <c r="OSR527" s="1358"/>
      <c r="OSS527" s="1358"/>
      <c r="OST527" s="1358"/>
      <c r="OSU527" s="1358"/>
      <c r="OSV527" s="1358"/>
      <c r="OSW527" s="1358"/>
      <c r="OSX527" s="1358"/>
      <c r="OSY527" s="1358"/>
      <c r="OSZ527" s="1358"/>
      <c r="OTA527" s="1358"/>
      <c r="OTB527" s="1358"/>
      <c r="OTC527" s="1358"/>
      <c r="OTD527" s="1358"/>
      <c r="OTE527" s="1358"/>
      <c r="OTF527" s="1358"/>
      <c r="OTG527" s="1358"/>
      <c r="OTH527" s="1358"/>
      <c r="OTI527" s="1358"/>
      <c r="OTJ527" s="1358"/>
      <c r="OTK527" s="1358"/>
      <c r="OTL527" s="1358"/>
      <c r="OTM527" s="1358"/>
      <c r="OTN527" s="1358"/>
      <c r="OTO527" s="1358"/>
      <c r="OTP527" s="1358"/>
      <c r="OTQ527" s="1358"/>
      <c r="OTR527" s="1358"/>
      <c r="OTS527" s="1358"/>
      <c r="OTT527" s="1358"/>
      <c r="OTU527" s="1358"/>
      <c r="OTV527" s="1358"/>
      <c r="OTW527" s="1358"/>
      <c r="OTX527" s="1358"/>
      <c r="OTY527" s="1358"/>
      <c r="OTZ527" s="1358"/>
      <c r="OUA527" s="1358"/>
      <c r="OUB527" s="1358"/>
      <c r="OUC527" s="1358"/>
      <c r="OUD527" s="1358"/>
      <c r="OUE527" s="1358"/>
      <c r="OUF527" s="1358"/>
      <c r="OUG527" s="1358"/>
      <c r="OUH527" s="1358"/>
      <c r="OUI527" s="1358"/>
      <c r="OUJ527" s="1358"/>
      <c r="OUK527" s="1358"/>
      <c r="OUL527" s="1358"/>
      <c r="OUM527" s="1358"/>
      <c r="OUN527" s="1358"/>
      <c r="OUO527" s="1358"/>
      <c r="OUP527" s="1358"/>
      <c r="OUQ527" s="1358"/>
      <c r="OUR527" s="1358"/>
      <c r="OUS527" s="1358"/>
      <c r="OUT527" s="1358"/>
      <c r="OUU527" s="1358"/>
      <c r="OUV527" s="1358"/>
      <c r="OUW527" s="1358"/>
      <c r="OUX527" s="1358"/>
      <c r="OUY527" s="1358"/>
      <c r="OUZ527" s="1358"/>
      <c r="OVA527" s="1358"/>
      <c r="OVB527" s="1358"/>
      <c r="OVC527" s="1358"/>
      <c r="OVD527" s="1358"/>
      <c r="OVE527" s="1358"/>
      <c r="OVF527" s="1358"/>
      <c r="OVG527" s="1358"/>
      <c r="OVH527" s="1358"/>
      <c r="OVI527" s="1358"/>
      <c r="OVJ527" s="1358"/>
      <c r="OVK527" s="1358"/>
      <c r="OVL527" s="1358"/>
      <c r="OVM527" s="1358"/>
      <c r="OVN527" s="1358"/>
      <c r="OVO527" s="1358"/>
      <c r="OVP527" s="1358"/>
      <c r="OVQ527" s="1358"/>
      <c r="OVR527" s="1358"/>
      <c r="OVS527" s="1358"/>
      <c r="OVT527" s="1358"/>
      <c r="OVU527" s="1358"/>
      <c r="OVV527" s="1358"/>
      <c r="OVW527" s="1358"/>
      <c r="OVX527" s="1358"/>
      <c r="OVY527" s="1358"/>
      <c r="OVZ527" s="1358"/>
      <c r="OWA527" s="1358"/>
      <c r="OWB527" s="1358"/>
      <c r="OWC527" s="1358"/>
      <c r="OWD527" s="1358"/>
      <c r="OWE527" s="1358"/>
      <c r="OWF527" s="1358"/>
      <c r="OWG527" s="1358"/>
      <c r="OWH527" s="1358"/>
      <c r="OWI527" s="1358"/>
      <c r="OWJ527" s="1358"/>
      <c r="OWK527" s="1358"/>
      <c r="OWL527" s="1358"/>
      <c r="OWM527" s="1358"/>
      <c r="OWN527" s="1358"/>
      <c r="OWO527" s="1358"/>
      <c r="OWP527" s="1358"/>
      <c r="OWQ527" s="1358"/>
      <c r="OWR527" s="1358"/>
      <c r="OWS527" s="1358"/>
      <c r="OWT527" s="1358"/>
      <c r="OWU527" s="1358"/>
      <c r="OWV527" s="1358"/>
      <c r="OWW527" s="1358"/>
      <c r="OWX527" s="1358"/>
      <c r="OWY527" s="1358"/>
      <c r="OWZ527" s="1358"/>
      <c r="OXA527" s="1358"/>
      <c r="OXB527" s="1358"/>
      <c r="OXC527" s="1358"/>
      <c r="OXD527" s="1358"/>
      <c r="OXE527" s="1358"/>
      <c r="OXF527" s="1358"/>
      <c r="OXG527" s="1358"/>
      <c r="OXH527" s="1358"/>
      <c r="OXI527" s="1358"/>
      <c r="OXJ527" s="1358"/>
      <c r="OXK527" s="1358"/>
      <c r="OXL527" s="1358"/>
      <c r="OXM527" s="1358"/>
      <c r="OXN527" s="1358"/>
      <c r="OXO527" s="1358"/>
      <c r="OXP527" s="1358"/>
      <c r="OXQ527" s="1358"/>
      <c r="OXR527" s="1358"/>
      <c r="OXS527" s="1358"/>
      <c r="OXT527" s="1358"/>
      <c r="OXU527" s="1358"/>
      <c r="OXV527" s="1358"/>
      <c r="OXW527" s="1358"/>
      <c r="OXX527" s="1358"/>
      <c r="OXY527" s="1358"/>
      <c r="OXZ527" s="1358"/>
      <c r="OYA527" s="1358"/>
      <c r="OYB527" s="1358"/>
      <c r="OYC527" s="1358"/>
      <c r="OYD527" s="1358"/>
      <c r="OYE527" s="1358"/>
      <c r="OYF527" s="1358"/>
      <c r="OYG527" s="1358"/>
      <c r="OYH527" s="1358"/>
      <c r="OYI527" s="1358"/>
      <c r="OYJ527" s="1358"/>
      <c r="OYK527" s="1358"/>
      <c r="OYL527" s="1358"/>
      <c r="OYM527" s="1358"/>
      <c r="OYN527" s="1358"/>
      <c r="OYO527" s="1358"/>
      <c r="OYP527" s="1358"/>
      <c r="OYQ527" s="1358"/>
      <c r="OYR527" s="1358"/>
      <c r="OYS527" s="1358"/>
      <c r="OYT527" s="1358"/>
      <c r="OYU527" s="1358"/>
      <c r="OYV527" s="1358"/>
      <c r="OYW527" s="1358"/>
      <c r="OYX527" s="1358"/>
      <c r="OYY527" s="1358"/>
      <c r="OYZ527" s="1358"/>
      <c r="OZA527" s="1358"/>
      <c r="OZB527" s="1358"/>
      <c r="OZC527" s="1358"/>
      <c r="OZD527" s="1358"/>
      <c r="OZE527" s="1358"/>
      <c r="OZF527" s="1358"/>
      <c r="OZG527" s="1358"/>
      <c r="OZH527" s="1358"/>
      <c r="OZI527" s="1358"/>
      <c r="OZJ527" s="1358"/>
      <c r="OZK527" s="1358"/>
      <c r="OZL527" s="1358"/>
      <c r="OZM527" s="1358"/>
      <c r="OZN527" s="1358"/>
      <c r="OZO527" s="1358"/>
      <c r="OZP527" s="1358"/>
      <c r="OZQ527" s="1358"/>
      <c r="OZR527" s="1358"/>
      <c r="OZS527" s="1358"/>
      <c r="OZT527" s="1358"/>
      <c r="OZU527" s="1358"/>
      <c r="OZV527" s="1358"/>
      <c r="OZW527" s="1358"/>
      <c r="OZX527" s="1358"/>
      <c r="OZY527" s="1358"/>
      <c r="OZZ527" s="1358"/>
      <c r="PAA527" s="1358"/>
      <c r="PAB527" s="1358"/>
      <c r="PAC527" s="1358"/>
      <c r="PAD527" s="1358"/>
      <c r="PAE527" s="1358"/>
      <c r="PAF527" s="1358"/>
      <c r="PAG527" s="1358"/>
      <c r="PAH527" s="1358"/>
      <c r="PAI527" s="1358"/>
      <c r="PAJ527" s="1358"/>
      <c r="PAK527" s="1358"/>
      <c r="PAL527" s="1358"/>
      <c r="PAM527" s="1358"/>
      <c r="PAN527" s="1358"/>
      <c r="PAO527" s="1358"/>
      <c r="PAP527" s="1358"/>
      <c r="PAQ527" s="1358"/>
      <c r="PAR527" s="1358"/>
      <c r="PAS527" s="1358"/>
      <c r="PAT527" s="1358"/>
      <c r="PAU527" s="1358"/>
      <c r="PAV527" s="1358"/>
      <c r="PAW527" s="1358"/>
      <c r="PAX527" s="1358"/>
      <c r="PAY527" s="1358"/>
      <c r="PAZ527" s="1358"/>
      <c r="PBA527" s="1358"/>
      <c r="PBB527" s="1358"/>
      <c r="PBC527" s="1358"/>
      <c r="PBD527" s="1358"/>
      <c r="PBE527" s="1358"/>
      <c r="PBF527" s="1358"/>
      <c r="PBG527" s="1358"/>
      <c r="PBH527" s="1358"/>
      <c r="PBI527" s="1358"/>
      <c r="PBJ527" s="1358"/>
      <c r="PBK527" s="1358"/>
      <c r="PBL527" s="1358"/>
      <c r="PBM527" s="1358"/>
      <c r="PBN527" s="1358"/>
      <c r="PBO527" s="1358"/>
      <c r="PBP527" s="1358"/>
      <c r="PBQ527" s="1358"/>
      <c r="PBR527" s="1358"/>
      <c r="PBS527" s="1358"/>
      <c r="PBT527" s="1358"/>
      <c r="PBU527" s="1358"/>
      <c r="PBV527" s="1358"/>
      <c r="PBW527" s="1358"/>
      <c r="PBX527" s="1358"/>
      <c r="PBY527" s="1358"/>
      <c r="PBZ527" s="1358"/>
      <c r="PCA527" s="1358"/>
      <c r="PCB527" s="1358"/>
      <c r="PCC527" s="1358"/>
      <c r="PCD527" s="1358"/>
      <c r="PCE527" s="1358"/>
      <c r="PCF527" s="1358"/>
      <c r="PCG527" s="1358"/>
      <c r="PCH527" s="1358"/>
      <c r="PCI527" s="1358"/>
      <c r="PCJ527" s="1358"/>
      <c r="PCK527" s="1358"/>
      <c r="PCL527" s="1358"/>
      <c r="PCM527" s="1358"/>
      <c r="PCN527" s="1358"/>
      <c r="PCO527" s="1358"/>
      <c r="PCP527" s="1358"/>
      <c r="PCQ527" s="1358"/>
      <c r="PCR527" s="1358"/>
      <c r="PCS527" s="1358"/>
      <c r="PCT527" s="1358"/>
      <c r="PCU527" s="1358"/>
      <c r="PCV527" s="1358"/>
      <c r="PCW527" s="1358"/>
      <c r="PCX527" s="1358"/>
      <c r="PCY527" s="1358"/>
      <c r="PCZ527" s="1358"/>
      <c r="PDA527" s="1358"/>
      <c r="PDB527" s="1358"/>
      <c r="PDC527" s="1358"/>
      <c r="PDD527" s="1358"/>
      <c r="PDE527" s="1358"/>
      <c r="PDF527" s="1358"/>
      <c r="PDG527" s="1358"/>
      <c r="PDH527" s="1358"/>
      <c r="PDI527" s="1358"/>
      <c r="PDJ527" s="1358"/>
      <c r="PDK527" s="1358"/>
      <c r="PDL527" s="1358"/>
      <c r="PDM527" s="1358"/>
      <c r="PDN527" s="1358"/>
      <c r="PDO527" s="1358"/>
      <c r="PDP527" s="1358"/>
      <c r="PDQ527" s="1358"/>
      <c r="PDR527" s="1358"/>
      <c r="PDS527" s="1358"/>
      <c r="PDT527" s="1358"/>
      <c r="PDU527" s="1358"/>
      <c r="PDV527" s="1358"/>
      <c r="PDW527" s="1358"/>
      <c r="PDX527" s="1358"/>
      <c r="PDY527" s="1358"/>
      <c r="PDZ527" s="1358"/>
      <c r="PEA527" s="1358"/>
      <c r="PEB527" s="1358"/>
      <c r="PEC527" s="1358"/>
      <c r="PED527" s="1358"/>
      <c r="PEE527" s="1358"/>
      <c r="PEF527" s="1358"/>
      <c r="PEG527" s="1358"/>
      <c r="PEH527" s="1358"/>
      <c r="PEI527" s="1358"/>
      <c r="PEJ527" s="1358"/>
      <c r="PEK527" s="1358"/>
      <c r="PEL527" s="1358"/>
      <c r="PEM527" s="1358"/>
      <c r="PEN527" s="1358"/>
      <c r="PEO527" s="1358"/>
      <c r="PEP527" s="1358"/>
      <c r="PEQ527" s="1358"/>
      <c r="PER527" s="1358"/>
      <c r="PES527" s="1358"/>
      <c r="PET527" s="1358"/>
      <c r="PEU527" s="1358"/>
      <c r="PEV527" s="1358"/>
      <c r="PEW527" s="1358"/>
      <c r="PEX527" s="1358"/>
      <c r="PEY527" s="1358"/>
      <c r="PEZ527" s="1358"/>
      <c r="PFA527" s="1358"/>
      <c r="PFB527" s="1358"/>
      <c r="PFC527" s="1358"/>
      <c r="PFD527" s="1358"/>
      <c r="PFE527" s="1358"/>
      <c r="PFF527" s="1358"/>
      <c r="PFG527" s="1358"/>
      <c r="PFH527" s="1358"/>
      <c r="PFI527" s="1358"/>
      <c r="PFJ527" s="1358"/>
      <c r="PFK527" s="1358"/>
      <c r="PFL527" s="1358"/>
      <c r="PFM527" s="1358"/>
      <c r="PFN527" s="1358"/>
      <c r="PFO527" s="1358"/>
      <c r="PFP527" s="1358"/>
      <c r="PFQ527" s="1358"/>
      <c r="PFR527" s="1358"/>
      <c r="PFS527" s="1358"/>
      <c r="PFT527" s="1358"/>
      <c r="PFU527" s="1358"/>
      <c r="PFV527" s="1358"/>
      <c r="PFW527" s="1358"/>
      <c r="PFX527" s="1358"/>
      <c r="PFY527" s="1358"/>
      <c r="PFZ527" s="1358"/>
      <c r="PGA527" s="1358"/>
      <c r="PGB527" s="1358"/>
      <c r="PGC527" s="1358"/>
      <c r="PGD527" s="1358"/>
      <c r="PGE527" s="1358"/>
      <c r="PGF527" s="1358"/>
      <c r="PGG527" s="1358"/>
      <c r="PGH527" s="1358"/>
      <c r="PGI527" s="1358"/>
      <c r="PGJ527" s="1358"/>
      <c r="PGK527" s="1358"/>
      <c r="PGL527" s="1358"/>
      <c r="PGM527" s="1358"/>
      <c r="PGN527" s="1358"/>
      <c r="PGO527" s="1358"/>
      <c r="PGP527" s="1358"/>
      <c r="PGQ527" s="1358"/>
      <c r="PGR527" s="1358"/>
      <c r="PGS527" s="1358"/>
      <c r="PGT527" s="1358"/>
      <c r="PGU527" s="1358"/>
      <c r="PGV527" s="1358"/>
      <c r="PGW527" s="1358"/>
      <c r="PGX527" s="1358"/>
      <c r="PGY527" s="1358"/>
      <c r="PGZ527" s="1358"/>
      <c r="PHA527" s="1358"/>
      <c r="PHB527" s="1358"/>
      <c r="PHC527" s="1358"/>
      <c r="PHD527" s="1358"/>
      <c r="PHE527" s="1358"/>
      <c r="PHF527" s="1358"/>
      <c r="PHG527" s="1358"/>
      <c r="PHH527" s="1358"/>
      <c r="PHI527" s="1358"/>
      <c r="PHJ527" s="1358"/>
      <c r="PHK527" s="1358"/>
      <c r="PHL527" s="1358"/>
      <c r="PHM527" s="1358"/>
      <c r="PHN527" s="1358"/>
      <c r="PHO527" s="1358"/>
      <c r="PHP527" s="1358"/>
      <c r="PHQ527" s="1358"/>
      <c r="PHR527" s="1358"/>
      <c r="PHS527" s="1358"/>
      <c r="PHT527" s="1358"/>
      <c r="PHU527" s="1358"/>
      <c r="PHV527" s="1358"/>
      <c r="PHW527" s="1358"/>
      <c r="PHX527" s="1358"/>
      <c r="PHY527" s="1358"/>
      <c r="PHZ527" s="1358"/>
      <c r="PIA527" s="1358"/>
      <c r="PIB527" s="1358"/>
      <c r="PIC527" s="1358"/>
      <c r="PID527" s="1358"/>
      <c r="PIE527" s="1358"/>
      <c r="PIF527" s="1358"/>
      <c r="PIG527" s="1358"/>
      <c r="PIH527" s="1358"/>
      <c r="PII527" s="1358"/>
      <c r="PIJ527" s="1358"/>
      <c r="PIK527" s="1358"/>
      <c r="PIL527" s="1358"/>
      <c r="PIM527" s="1358"/>
      <c r="PIN527" s="1358"/>
      <c r="PIO527" s="1358"/>
      <c r="PIP527" s="1358"/>
      <c r="PIQ527" s="1358"/>
      <c r="PIR527" s="1358"/>
      <c r="PIS527" s="1358"/>
      <c r="PIT527" s="1358"/>
      <c r="PIU527" s="1358"/>
      <c r="PIV527" s="1358"/>
      <c r="PIW527" s="1358"/>
      <c r="PIX527" s="1358"/>
      <c r="PIY527" s="1358"/>
      <c r="PIZ527" s="1358"/>
      <c r="PJA527" s="1358"/>
      <c r="PJB527" s="1358"/>
      <c r="PJC527" s="1358"/>
      <c r="PJD527" s="1358"/>
      <c r="PJE527" s="1358"/>
      <c r="PJF527" s="1358"/>
      <c r="PJG527" s="1358"/>
      <c r="PJH527" s="1358"/>
      <c r="PJI527" s="1358"/>
      <c r="PJJ527" s="1358"/>
      <c r="PJK527" s="1358"/>
      <c r="PJL527" s="1358"/>
      <c r="PJM527" s="1358"/>
      <c r="PJN527" s="1358"/>
      <c r="PJO527" s="1358"/>
      <c r="PJP527" s="1358"/>
      <c r="PJQ527" s="1358"/>
      <c r="PJR527" s="1358"/>
      <c r="PJS527" s="1358"/>
      <c r="PJT527" s="1358"/>
      <c r="PJU527" s="1358"/>
      <c r="PJV527" s="1358"/>
      <c r="PJW527" s="1358"/>
      <c r="PJX527" s="1358"/>
      <c r="PJY527" s="1358"/>
      <c r="PJZ527" s="1358"/>
      <c r="PKA527" s="1358"/>
      <c r="PKB527" s="1358"/>
      <c r="PKC527" s="1358"/>
      <c r="PKD527" s="1358"/>
      <c r="PKE527" s="1358"/>
      <c r="PKF527" s="1358"/>
      <c r="PKG527" s="1358"/>
      <c r="PKH527" s="1358"/>
      <c r="PKI527" s="1358"/>
      <c r="PKJ527" s="1358"/>
      <c r="PKK527" s="1358"/>
      <c r="PKL527" s="1358"/>
      <c r="PKM527" s="1358"/>
      <c r="PKN527" s="1358"/>
      <c r="PKO527" s="1358"/>
      <c r="PKP527" s="1358"/>
      <c r="PKQ527" s="1358"/>
      <c r="PKR527" s="1358"/>
      <c r="PKS527" s="1358"/>
      <c r="PKT527" s="1358"/>
      <c r="PKU527" s="1358"/>
      <c r="PKV527" s="1358"/>
      <c r="PKW527" s="1358"/>
      <c r="PKX527" s="1358"/>
      <c r="PKY527" s="1358"/>
      <c r="PKZ527" s="1358"/>
      <c r="PLA527" s="1358"/>
      <c r="PLB527" s="1358"/>
      <c r="PLC527" s="1358"/>
      <c r="PLD527" s="1358"/>
      <c r="PLE527" s="1358"/>
      <c r="PLF527" s="1358"/>
      <c r="PLG527" s="1358"/>
      <c r="PLH527" s="1358"/>
      <c r="PLI527" s="1358"/>
      <c r="PLJ527" s="1358"/>
      <c r="PLK527" s="1358"/>
      <c r="PLL527" s="1358"/>
      <c r="PLM527" s="1358"/>
      <c r="PLN527" s="1358"/>
      <c r="PLO527" s="1358"/>
      <c r="PLP527" s="1358"/>
      <c r="PLQ527" s="1358"/>
      <c r="PLR527" s="1358"/>
      <c r="PLS527" s="1358"/>
      <c r="PLT527" s="1358"/>
      <c r="PLU527" s="1358"/>
      <c r="PLV527" s="1358"/>
      <c r="PLW527" s="1358"/>
      <c r="PLX527" s="1358"/>
      <c r="PLY527" s="1358"/>
      <c r="PLZ527" s="1358"/>
      <c r="PMA527" s="1358"/>
      <c r="PMB527" s="1358"/>
      <c r="PMC527" s="1358"/>
      <c r="PMD527" s="1358"/>
      <c r="PME527" s="1358"/>
      <c r="PMF527" s="1358"/>
      <c r="PMG527" s="1358"/>
      <c r="PMH527" s="1358"/>
      <c r="PMI527" s="1358"/>
      <c r="PMJ527" s="1358"/>
      <c r="PMK527" s="1358"/>
      <c r="PML527" s="1358"/>
      <c r="PMM527" s="1358"/>
      <c r="PMN527" s="1358"/>
      <c r="PMO527" s="1358"/>
      <c r="PMP527" s="1358"/>
      <c r="PMQ527" s="1358"/>
      <c r="PMR527" s="1358"/>
      <c r="PMS527" s="1358"/>
      <c r="PMT527" s="1358"/>
      <c r="PMU527" s="1358"/>
      <c r="PMV527" s="1358"/>
      <c r="PMW527" s="1358"/>
      <c r="PMX527" s="1358"/>
      <c r="PMY527" s="1358"/>
      <c r="PMZ527" s="1358"/>
      <c r="PNA527" s="1358"/>
      <c r="PNB527" s="1358"/>
      <c r="PNC527" s="1358"/>
      <c r="PND527" s="1358"/>
      <c r="PNE527" s="1358"/>
      <c r="PNF527" s="1358"/>
      <c r="PNG527" s="1358"/>
      <c r="PNH527" s="1358"/>
      <c r="PNI527" s="1358"/>
      <c r="PNJ527" s="1358"/>
      <c r="PNK527" s="1358"/>
      <c r="PNL527" s="1358"/>
      <c r="PNM527" s="1358"/>
      <c r="PNN527" s="1358"/>
      <c r="PNO527" s="1358"/>
      <c r="PNP527" s="1358"/>
      <c r="PNQ527" s="1358"/>
      <c r="PNR527" s="1358"/>
      <c r="PNS527" s="1358"/>
      <c r="PNT527" s="1358"/>
      <c r="PNU527" s="1358"/>
      <c r="PNV527" s="1358"/>
      <c r="PNW527" s="1358"/>
      <c r="PNX527" s="1358"/>
      <c r="PNY527" s="1358"/>
      <c r="PNZ527" s="1358"/>
      <c r="POA527" s="1358"/>
      <c r="POB527" s="1358"/>
      <c r="POC527" s="1358"/>
      <c r="POD527" s="1358"/>
      <c r="POE527" s="1358"/>
      <c r="POF527" s="1358"/>
      <c r="POG527" s="1358"/>
      <c r="POH527" s="1358"/>
      <c r="POI527" s="1358"/>
      <c r="POJ527" s="1358"/>
      <c r="POK527" s="1358"/>
      <c r="POL527" s="1358"/>
      <c r="POM527" s="1358"/>
      <c r="PON527" s="1358"/>
      <c r="POO527" s="1358"/>
      <c r="POP527" s="1358"/>
      <c r="POQ527" s="1358"/>
      <c r="POR527" s="1358"/>
      <c r="POS527" s="1358"/>
      <c r="POT527" s="1358"/>
      <c r="POU527" s="1358"/>
      <c r="POV527" s="1358"/>
      <c r="POW527" s="1358"/>
      <c r="POX527" s="1358"/>
      <c r="POY527" s="1358"/>
      <c r="POZ527" s="1358"/>
      <c r="PPA527" s="1358"/>
      <c r="PPB527" s="1358"/>
      <c r="PPC527" s="1358"/>
      <c r="PPD527" s="1358"/>
      <c r="PPE527" s="1358"/>
      <c r="PPF527" s="1358"/>
      <c r="PPG527" s="1358"/>
      <c r="PPH527" s="1358"/>
      <c r="PPI527" s="1358"/>
      <c r="PPJ527" s="1358"/>
      <c r="PPK527" s="1358"/>
      <c r="PPL527" s="1358"/>
      <c r="PPM527" s="1358"/>
      <c r="PPN527" s="1358"/>
      <c r="PPO527" s="1358"/>
      <c r="PPP527" s="1358"/>
      <c r="PPQ527" s="1358"/>
      <c r="PPR527" s="1358"/>
      <c r="PPS527" s="1358"/>
      <c r="PPT527" s="1358"/>
      <c r="PPU527" s="1358"/>
      <c r="PPV527" s="1358"/>
      <c r="PPW527" s="1358"/>
      <c r="PPX527" s="1358"/>
      <c r="PPY527" s="1358"/>
      <c r="PPZ527" s="1358"/>
      <c r="PQA527" s="1358"/>
      <c r="PQB527" s="1358"/>
      <c r="PQC527" s="1358"/>
      <c r="PQD527" s="1358"/>
      <c r="PQE527" s="1358"/>
      <c r="PQF527" s="1358"/>
      <c r="PQG527" s="1358"/>
      <c r="PQH527" s="1358"/>
      <c r="PQI527" s="1358"/>
      <c r="PQJ527" s="1358"/>
      <c r="PQK527" s="1358"/>
      <c r="PQL527" s="1358"/>
      <c r="PQM527" s="1358"/>
      <c r="PQN527" s="1358"/>
      <c r="PQO527" s="1358"/>
      <c r="PQP527" s="1358"/>
      <c r="PQQ527" s="1358"/>
      <c r="PQR527" s="1358"/>
      <c r="PQS527" s="1358"/>
      <c r="PQT527" s="1358"/>
      <c r="PQU527" s="1358"/>
      <c r="PQV527" s="1358"/>
      <c r="PQW527" s="1358"/>
      <c r="PQX527" s="1358"/>
      <c r="PQY527" s="1358"/>
      <c r="PQZ527" s="1358"/>
      <c r="PRA527" s="1358"/>
      <c r="PRB527" s="1358"/>
      <c r="PRC527" s="1358"/>
      <c r="PRD527" s="1358"/>
      <c r="PRE527" s="1358"/>
      <c r="PRF527" s="1358"/>
      <c r="PRG527" s="1358"/>
      <c r="PRH527" s="1358"/>
      <c r="PRI527" s="1358"/>
      <c r="PRJ527" s="1358"/>
      <c r="PRK527" s="1358"/>
      <c r="PRL527" s="1358"/>
      <c r="PRM527" s="1358"/>
      <c r="PRN527" s="1358"/>
      <c r="PRO527" s="1358"/>
      <c r="PRP527" s="1358"/>
      <c r="PRQ527" s="1358"/>
      <c r="PRR527" s="1358"/>
      <c r="PRS527" s="1358"/>
      <c r="PRT527" s="1358"/>
      <c r="PRU527" s="1358"/>
      <c r="PRV527" s="1358"/>
      <c r="PRW527" s="1358"/>
      <c r="PRX527" s="1358"/>
      <c r="PRY527" s="1358"/>
      <c r="PRZ527" s="1358"/>
      <c r="PSA527" s="1358"/>
      <c r="PSB527" s="1358"/>
      <c r="PSC527" s="1358"/>
      <c r="PSD527" s="1358"/>
      <c r="PSE527" s="1358"/>
      <c r="PSF527" s="1358"/>
      <c r="PSG527" s="1358"/>
      <c r="PSH527" s="1358"/>
      <c r="PSI527" s="1358"/>
      <c r="PSJ527" s="1358"/>
      <c r="PSK527" s="1358"/>
      <c r="PSL527" s="1358"/>
      <c r="PSM527" s="1358"/>
      <c r="PSN527" s="1358"/>
      <c r="PSO527" s="1358"/>
      <c r="PSP527" s="1358"/>
      <c r="PSQ527" s="1358"/>
      <c r="PSR527" s="1358"/>
      <c r="PSS527" s="1358"/>
      <c r="PST527" s="1358"/>
      <c r="PSU527" s="1358"/>
      <c r="PSV527" s="1358"/>
      <c r="PSW527" s="1358"/>
      <c r="PSX527" s="1358"/>
      <c r="PSY527" s="1358"/>
      <c r="PSZ527" s="1358"/>
      <c r="PTA527" s="1358"/>
      <c r="PTB527" s="1358"/>
      <c r="PTC527" s="1358"/>
      <c r="PTD527" s="1358"/>
      <c r="PTE527" s="1358"/>
      <c r="PTF527" s="1358"/>
      <c r="PTG527" s="1358"/>
      <c r="PTH527" s="1358"/>
      <c r="PTI527" s="1358"/>
      <c r="PTJ527" s="1358"/>
      <c r="PTK527" s="1358"/>
      <c r="PTL527" s="1358"/>
      <c r="PTM527" s="1358"/>
      <c r="PTN527" s="1358"/>
      <c r="PTO527" s="1358"/>
      <c r="PTP527" s="1358"/>
      <c r="PTQ527" s="1358"/>
      <c r="PTR527" s="1358"/>
      <c r="PTS527" s="1358"/>
      <c r="PTT527" s="1358"/>
      <c r="PTU527" s="1358"/>
      <c r="PTV527" s="1358"/>
      <c r="PTW527" s="1358"/>
      <c r="PTX527" s="1358"/>
      <c r="PTY527" s="1358"/>
      <c r="PTZ527" s="1358"/>
      <c r="PUA527" s="1358"/>
      <c r="PUB527" s="1358"/>
      <c r="PUC527" s="1358"/>
      <c r="PUD527" s="1358"/>
      <c r="PUE527" s="1358"/>
      <c r="PUF527" s="1358"/>
      <c r="PUG527" s="1358"/>
      <c r="PUH527" s="1358"/>
      <c r="PUI527" s="1358"/>
      <c r="PUJ527" s="1358"/>
      <c r="PUK527" s="1358"/>
      <c r="PUL527" s="1358"/>
      <c r="PUM527" s="1358"/>
      <c r="PUN527" s="1358"/>
      <c r="PUO527" s="1358"/>
      <c r="PUP527" s="1358"/>
      <c r="PUQ527" s="1358"/>
      <c r="PUR527" s="1358"/>
      <c r="PUS527" s="1358"/>
      <c r="PUT527" s="1358"/>
      <c r="PUU527" s="1358"/>
      <c r="PUV527" s="1358"/>
      <c r="PUW527" s="1358"/>
      <c r="PUX527" s="1358"/>
      <c r="PUY527" s="1358"/>
      <c r="PUZ527" s="1358"/>
      <c r="PVA527" s="1358"/>
      <c r="PVB527" s="1358"/>
      <c r="PVC527" s="1358"/>
      <c r="PVD527" s="1358"/>
      <c r="PVE527" s="1358"/>
      <c r="PVF527" s="1358"/>
      <c r="PVG527" s="1358"/>
      <c r="PVH527" s="1358"/>
      <c r="PVI527" s="1358"/>
      <c r="PVJ527" s="1358"/>
      <c r="PVK527" s="1358"/>
      <c r="PVL527" s="1358"/>
      <c r="PVM527" s="1358"/>
      <c r="PVN527" s="1358"/>
      <c r="PVO527" s="1358"/>
      <c r="PVP527" s="1358"/>
      <c r="PVQ527" s="1358"/>
      <c r="PVR527" s="1358"/>
      <c r="PVS527" s="1358"/>
      <c r="PVT527" s="1358"/>
      <c r="PVU527" s="1358"/>
      <c r="PVV527" s="1358"/>
      <c r="PVW527" s="1358"/>
      <c r="PVX527" s="1358"/>
      <c r="PVY527" s="1358"/>
      <c r="PVZ527" s="1358"/>
      <c r="PWA527" s="1358"/>
      <c r="PWB527" s="1358"/>
      <c r="PWC527" s="1358"/>
      <c r="PWD527" s="1358"/>
      <c r="PWE527" s="1358"/>
      <c r="PWF527" s="1358"/>
      <c r="PWG527" s="1358"/>
      <c r="PWH527" s="1358"/>
      <c r="PWI527" s="1358"/>
      <c r="PWJ527" s="1358"/>
      <c r="PWK527" s="1358"/>
      <c r="PWL527" s="1358"/>
      <c r="PWM527" s="1358"/>
      <c r="PWN527" s="1358"/>
      <c r="PWO527" s="1358"/>
      <c r="PWP527" s="1358"/>
      <c r="PWQ527" s="1358"/>
      <c r="PWR527" s="1358"/>
      <c r="PWS527" s="1358"/>
      <c r="PWT527" s="1358"/>
      <c r="PWU527" s="1358"/>
      <c r="PWV527" s="1358"/>
      <c r="PWW527" s="1358"/>
      <c r="PWX527" s="1358"/>
      <c r="PWY527" s="1358"/>
      <c r="PWZ527" s="1358"/>
      <c r="PXA527" s="1358"/>
      <c r="PXB527" s="1358"/>
      <c r="PXC527" s="1358"/>
      <c r="PXD527" s="1358"/>
      <c r="PXE527" s="1358"/>
      <c r="PXF527" s="1358"/>
      <c r="PXG527" s="1358"/>
      <c r="PXH527" s="1358"/>
      <c r="PXI527" s="1358"/>
      <c r="PXJ527" s="1358"/>
      <c r="PXK527" s="1358"/>
      <c r="PXL527" s="1358"/>
      <c r="PXM527" s="1358"/>
      <c r="PXN527" s="1358"/>
      <c r="PXO527" s="1358"/>
      <c r="PXP527" s="1358"/>
      <c r="PXQ527" s="1358"/>
      <c r="PXR527" s="1358"/>
      <c r="PXS527" s="1358"/>
      <c r="PXT527" s="1358"/>
      <c r="PXU527" s="1358"/>
      <c r="PXV527" s="1358"/>
      <c r="PXW527" s="1358"/>
      <c r="PXX527" s="1358"/>
      <c r="PXY527" s="1358"/>
      <c r="PXZ527" s="1358"/>
      <c r="PYA527" s="1358"/>
      <c r="PYB527" s="1358"/>
      <c r="PYC527" s="1358"/>
      <c r="PYD527" s="1358"/>
      <c r="PYE527" s="1358"/>
      <c r="PYF527" s="1358"/>
      <c r="PYG527" s="1358"/>
      <c r="PYH527" s="1358"/>
      <c r="PYI527" s="1358"/>
      <c r="PYJ527" s="1358"/>
      <c r="PYK527" s="1358"/>
      <c r="PYL527" s="1358"/>
      <c r="PYM527" s="1358"/>
      <c r="PYN527" s="1358"/>
      <c r="PYO527" s="1358"/>
      <c r="PYP527" s="1358"/>
      <c r="PYQ527" s="1358"/>
      <c r="PYR527" s="1358"/>
      <c r="PYS527" s="1358"/>
      <c r="PYT527" s="1358"/>
      <c r="PYU527" s="1358"/>
      <c r="PYV527" s="1358"/>
      <c r="PYW527" s="1358"/>
      <c r="PYX527" s="1358"/>
      <c r="PYY527" s="1358"/>
      <c r="PYZ527" s="1358"/>
      <c r="PZA527" s="1358"/>
      <c r="PZB527" s="1358"/>
      <c r="PZC527" s="1358"/>
      <c r="PZD527" s="1358"/>
      <c r="PZE527" s="1358"/>
      <c r="PZF527" s="1358"/>
      <c r="PZG527" s="1358"/>
      <c r="PZH527" s="1358"/>
      <c r="PZI527" s="1358"/>
      <c r="PZJ527" s="1358"/>
      <c r="PZK527" s="1358"/>
      <c r="PZL527" s="1358"/>
      <c r="PZM527" s="1358"/>
      <c r="PZN527" s="1358"/>
      <c r="PZO527" s="1358"/>
      <c r="PZP527" s="1358"/>
      <c r="PZQ527" s="1358"/>
      <c r="PZR527" s="1358"/>
      <c r="PZS527" s="1358"/>
      <c r="PZT527" s="1358"/>
      <c r="PZU527" s="1358"/>
      <c r="PZV527" s="1358"/>
      <c r="PZW527" s="1358"/>
      <c r="PZX527" s="1358"/>
      <c r="PZY527" s="1358"/>
      <c r="PZZ527" s="1358"/>
      <c r="QAA527" s="1358"/>
      <c r="QAB527" s="1358"/>
      <c r="QAC527" s="1358"/>
      <c r="QAD527" s="1358"/>
      <c r="QAE527" s="1358"/>
      <c r="QAF527" s="1358"/>
      <c r="QAG527" s="1358"/>
      <c r="QAH527" s="1358"/>
      <c r="QAI527" s="1358"/>
      <c r="QAJ527" s="1358"/>
      <c r="QAK527" s="1358"/>
      <c r="QAL527" s="1358"/>
      <c r="QAM527" s="1358"/>
      <c r="QAN527" s="1358"/>
      <c r="QAO527" s="1358"/>
      <c r="QAP527" s="1358"/>
      <c r="QAQ527" s="1358"/>
      <c r="QAR527" s="1358"/>
      <c r="QAS527" s="1358"/>
      <c r="QAT527" s="1358"/>
      <c r="QAU527" s="1358"/>
      <c r="QAV527" s="1358"/>
      <c r="QAW527" s="1358"/>
      <c r="QAX527" s="1358"/>
      <c r="QAY527" s="1358"/>
      <c r="QAZ527" s="1358"/>
      <c r="QBA527" s="1358"/>
      <c r="QBB527" s="1358"/>
      <c r="QBC527" s="1358"/>
      <c r="QBD527" s="1358"/>
      <c r="QBE527" s="1358"/>
      <c r="QBF527" s="1358"/>
      <c r="QBG527" s="1358"/>
      <c r="QBH527" s="1358"/>
      <c r="QBI527" s="1358"/>
      <c r="QBJ527" s="1358"/>
      <c r="QBK527" s="1358"/>
      <c r="QBL527" s="1358"/>
      <c r="QBM527" s="1358"/>
      <c r="QBN527" s="1358"/>
      <c r="QBO527" s="1358"/>
      <c r="QBP527" s="1358"/>
      <c r="QBQ527" s="1358"/>
      <c r="QBR527" s="1358"/>
      <c r="QBS527" s="1358"/>
      <c r="QBT527" s="1358"/>
      <c r="QBU527" s="1358"/>
      <c r="QBV527" s="1358"/>
      <c r="QBW527" s="1358"/>
      <c r="QBX527" s="1358"/>
      <c r="QBY527" s="1358"/>
      <c r="QBZ527" s="1358"/>
      <c r="QCA527" s="1358"/>
      <c r="QCB527" s="1358"/>
      <c r="QCC527" s="1358"/>
      <c r="QCD527" s="1358"/>
      <c r="QCE527" s="1358"/>
      <c r="QCF527" s="1358"/>
      <c r="QCG527" s="1358"/>
      <c r="QCH527" s="1358"/>
      <c r="QCI527" s="1358"/>
      <c r="QCJ527" s="1358"/>
      <c r="QCK527" s="1358"/>
      <c r="QCL527" s="1358"/>
      <c r="QCM527" s="1358"/>
      <c r="QCN527" s="1358"/>
      <c r="QCO527" s="1358"/>
      <c r="QCP527" s="1358"/>
      <c r="QCQ527" s="1358"/>
      <c r="QCR527" s="1358"/>
      <c r="QCS527" s="1358"/>
      <c r="QCT527" s="1358"/>
      <c r="QCU527" s="1358"/>
      <c r="QCV527" s="1358"/>
      <c r="QCW527" s="1358"/>
      <c r="QCX527" s="1358"/>
      <c r="QCY527" s="1358"/>
      <c r="QCZ527" s="1358"/>
      <c r="QDA527" s="1358"/>
      <c r="QDB527" s="1358"/>
      <c r="QDC527" s="1358"/>
      <c r="QDD527" s="1358"/>
      <c r="QDE527" s="1358"/>
      <c r="QDF527" s="1358"/>
      <c r="QDG527" s="1358"/>
      <c r="QDH527" s="1358"/>
      <c r="QDI527" s="1358"/>
      <c r="QDJ527" s="1358"/>
      <c r="QDK527" s="1358"/>
      <c r="QDL527" s="1358"/>
      <c r="QDM527" s="1358"/>
      <c r="QDN527" s="1358"/>
      <c r="QDO527" s="1358"/>
      <c r="QDP527" s="1358"/>
      <c r="QDQ527" s="1358"/>
      <c r="QDR527" s="1358"/>
      <c r="QDS527" s="1358"/>
      <c r="QDT527" s="1358"/>
      <c r="QDU527" s="1358"/>
      <c r="QDV527" s="1358"/>
      <c r="QDW527" s="1358"/>
      <c r="QDX527" s="1358"/>
      <c r="QDY527" s="1358"/>
      <c r="QDZ527" s="1358"/>
      <c r="QEA527" s="1358"/>
      <c r="QEB527" s="1358"/>
      <c r="QEC527" s="1358"/>
      <c r="QED527" s="1358"/>
      <c r="QEE527" s="1358"/>
      <c r="QEF527" s="1358"/>
      <c r="QEG527" s="1358"/>
      <c r="QEH527" s="1358"/>
      <c r="QEI527" s="1358"/>
      <c r="QEJ527" s="1358"/>
      <c r="QEK527" s="1358"/>
      <c r="QEL527" s="1358"/>
      <c r="QEM527" s="1358"/>
      <c r="QEN527" s="1358"/>
      <c r="QEO527" s="1358"/>
      <c r="QEP527" s="1358"/>
      <c r="QEQ527" s="1358"/>
      <c r="QER527" s="1358"/>
      <c r="QES527" s="1358"/>
      <c r="QET527" s="1358"/>
      <c r="QEU527" s="1358"/>
      <c r="QEV527" s="1358"/>
      <c r="QEW527" s="1358"/>
      <c r="QEX527" s="1358"/>
      <c r="QEY527" s="1358"/>
      <c r="QEZ527" s="1358"/>
      <c r="QFA527" s="1358"/>
      <c r="QFB527" s="1358"/>
      <c r="QFC527" s="1358"/>
      <c r="QFD527" s="1358"/>
      <c r="QFE527" s="1358"/>
      <c r="QFF527" s="1358"/>
      <c r="QFG527" s="1358"/>
      <c r="QFH527" s="1358"/>
      <c r="QFI527" s="1358"/>
      <c r="QFJ527" s="1358"/>
      <c r="QFK527" s="1358"/>
      <c r="QFL527" s="1358"/>
      <c r="QFM527" s="1358"/>
      <c r="QFN527" s="1358"/>
      <c r="QFO527" s="1358"/>
      <c r="QFP527" s="1358"/>
      <c r="QFQ527" s="1358"/>
      <c r="QFR527" s="1358"/>
      <c r="QFS527" s="1358"/>
      <c r="QFT527" s="1358"/>
      <c r="QFU527" s="1358"/>
      <c r="QFV527" s="1358"/>
      <c r="QFW527" s="1358"/>
      <c r="QFX527" s="1358"/>
      <c r="QFY527" s="1358"/>
      <c r="QFZ527" s="1358"/>
      <c r="QGA527" s="1358"/>
      <c r="QGB527" s="1358"/>
      <c r="QGC527" s="1358"/>
      <c r="QGD527" s="1358"/>
      <c r="QGE527" s="1358"/>
      <c r="QGF527" s="1358"/>
      <c r="QGG527" s="1358"/>
      <c r="QGH527" s="1358"/>
      <c r="QGI527" s="1358"/>
      <c r="QGJ527" s="1358"/>
      <c r="QGK527" s="1358"/>
      <c r="QGL527" s="1358"/>
      <c r="QGM527" s="1358"/>
      <c r="QGN527" s="1358"/>
      <c r="QGO527" s="1358"/>
      <c r="QGP527" s="1358"/>
      <c r="QGQ527" s="1358"/>
      <c r="QGR527" s="1358"/>
      <c r="QGS527" s="1358"/>
      <c r="QGT527" s="1358"/>
      <c r="QGU527" s="1358"/>
      <c r="QGV527" s="1358"/>
      <c r="QGW527" s="1358"/>
      <c r="QGX527" s="1358"/>
      <c r="QGY527" s="1358"/>
      <c r="QGZ527" s="1358"/>
      <c r="QHA527" s="1358"/>
      <c r="QHB527" s="1358"/>
      <c r="QHC527" s="1358"/>
      <c r="QHD527" s="1358"/>
      <c r="QHE527" s="1358"/>
      <c r="QHF527" s="1358"/>
      <c r="QHG527" s="1358"/>
      <c r="QHH527" s="1358"/>
      <c r="QHI527" s="1358"/>
      <c r="QHJ527" s="1358"/>
      <c r="QHK527" s="1358"/>
      <c r="QHL527" s="1358"/>
      <c r="QHM527" s="1358"/>
      <c r="QHN527" s="1358"/>
      <c r="QHO527" s="1358"/>
      <c r="QHP527" s="1358"/>
      <c r="QHQ527" s="1358"/>
      <c r="QHR527" s="1358"/>
      <c r="QHS527" s="1358"/>
      <c r="QHT527" s="1358"/>
      <c r="QHU527" s="1358"/>
      <c r="QHV527" s="1358"/>
      <c r="QHW527" s="1358"/>
      <c r="QHX527" s="1358"/>
      <c r="QHY527" s="1358"/>
      <c r="QHZ527" s="1358"/>
      <c r="QIA527" s="1358"/>
      <c r="QIB527" s="1358"/>
      <c r="QIC527" s="1358"/>
      <c r="QID527" s="1358"/>
      <c r="QIE527" s="1358"/>
      <c r="QIF527" s="1358"/>
      <c r="QIG527" s="1358"/>
      <c r="QIH527" s="1358"/>
      <c r="QII527" s="1358"/>
      <c r="QIJ527" s="1358"/>
      <c r="QIK527" s="1358"/>
      <c r="QIL527" s="1358"/>
      <c r="QIM527" s="1358"/>
      <c r="QIN527" s="1358"/>
      <c r="QIO527" s="1358"/>
      <c r="QIP527" s="1358"/>
      <c r="QIQ527" s="1358"/>
      <c r="QIR527" s="1358"/>
      <c r="QIS527" s="1358"/>
      <c r="QIT527" s="1358"/>
      <c r="QIU527" s="1358"/>
      <c r="QIV527" s="1358"/>
      <c r="QIW527" s="1358"/>
      <c r="QIX527" s="1358"/>
      <c r="QIY527" s="1358"/>
      <c r="QIZ527" s="1358"/>
      <c r="QJA527" s="1358"/>
      <c r="QJB527" s="1358"/>
      <c r="QJC527" s="1358"/>
      <c r="QJD527" s="1358"/>
      <c r="QJE527" s="1358"/>
      <c r="QJF527" s="1358"/>
      <c r="QJG527" s="1358"/>
      <c r="QJH527" s="1358"/>
      <c r="QJI527" s="1358"/>
      <c r="QJJ527" s="1358"/>
      <c r="QJK527" s="1358"/>
      <c r="QJL527" s="1358"/>
      <c r="QJM527" s="1358"/>
      <c r="QJN527" s="1358"/>
      <c r="QJO527" s="1358"/>
      <c r="QJP527" s="1358"/>
      <c r="QJQ527" s="1358"/>
      <c r="QJR527" s="1358"/>
      <c r="QJS527" s="1358"/>
      <c r="QJT527" s="1358"/>
      <c r="QJU527" s="1358"/>
      <c r="QJV527" s="1358"/>
      <c r="QJW527" s="1358"/>
      <c r="QJX527" s="1358"/>
      <c r="QJY527" s="1358"/>
      <c r="QJZ527" s="1358"/>
      <c r="QKA527" s="1358"/>
      <c r="QKB527" s="1358"/>
      <c r="QKC527" s="1358"/>
      <c r="QKD527" s="1358"/>
      <c r="QKE527" s="1358"/>
      <c r="QKF527" s="1358"/>
      <c r="QKG527" s="1358"/>
      <c r="QKH527" s="1358"/>
      <c r="QKI527" s="1358"/>
      <c r="QKJ527" s="1358"/>
      <c r="QKK527" s="1358"/>
      <c r="QKL527" s="1358"/>
      <c r="QKM527" s="1358"/>
      <c r="QKN527" s="1358"/>
      <c r="QKO527" s="1358"/>
      <c r="QKP527" s="1358"/>
      <c r="QKQ527" s="1358"/>
      <c r="QKR527" s="1358"/>
      <c r="QKS527" s="1358"/>
      <c r="QKT527" s="1358"/>
      <c r="QKU527" s="1358"/>
      <c r="QKV527" s="1358"/>
      <c r="QKW527" s="1358"/>
      <c r="QKX527" s="1358"/>
      <c r="QKY527" s="1358"/>
      <c r="QKZ527" s="1358"/>
      <c r="QLA527" s="1358"/>
      <c r="QLB527" s="1358"/>
      <c r="QLC527" s="1358"/>
      <c r="QLD527" s="1358"/>
      <c r="QLE527" s="1358"/>
      <c r="QLF527" s="1358"/>
      <c r="QLG527" s="1358"/>
      <c r="QLH527" s="1358"/>
      <c r="QLI527" s="1358"/>
      <c r="QLJ527" s="1358"/>
      <c r="QLK527" s="1358"/>
      <c r="QLL527" s="1358"/>
      <c r="QLM527" s="1358"/>
      <c r="QLN527" s="1358"/>
      <c r="QLO527" s="1358"/>
      <c r="QLP527" s="1358"/>
      <c r="QLQ527" s="1358"/>
      <c r="QLR527" s="1358"/>
      <c r="QLS527" s="1358"/>
      <c r="QLT527" s="1358"/>
      <c r="QLU527" s="1358"/>
      <c r="QLV527" s="1358"/>
      <c r="QLW527" s="1358"/>
      <c r="QLX527" s="1358"/>
      <c r="QLY527" s="1358"/>
      <c r="QLZ527" s="1358"/>
      <c r="QMA527" s="1358"/>
      <c r="QMB527" s="1358"/>
      <c r="QMC527" s="1358"/>
      <c r="QMD527" s="1358"/>
      <c r="QME527" s="1358"/>
      <c r="QMF527" s="1358"/>
      <c r="QMG527" s="1358"/>
      <c r="QMH527" s="1358"/>
      <c r="QMI527" s="1358"/>
      <c r="QMJ527" s="1358"/>
      <c r="QMK527" s="1358"/>
      <c r="QML527" s="1358"/>
      <c r="QMM527" s="1358"/>
      <c r="QMN527" s="1358"/>
      <c r="QMO527" s="1358"/>
      <c r="QMP527" s="1358"/>
      <c r="QMQ527" s="1358"/>
      <c r="QMR527" s="1358"/>
      <c r="QMS527" s="1358"/>
      <c r="QMT527" s="1358"/>
      <c r="QMU527" s="1358"/>
      <c r="QMV527" s="1358"/>
      <c r="QMW527" s="1358"/>
      <c r="QMX527" s="1358"/>
      <c r="QMY527" s="1358"/>
      <c r="QMZ527" s="1358"/>
      <c r="QNA527" s="1358"/>
      <c r="QNB527" s="1358"/>
      <c r="QNC527" s="1358"/>
      <c r="QND527" s="1358"/>
      <c r="QNE527" s="1358"/>
      <c r="QNF527" s="1358"/>
      <c r="QNG527" s="1358"/>
      <c r="QNH527" s="1358"/>
      <c r="QNI527" s="1358"/>
      <c r="QNJ527" s="1358"/>
      <c r="QNK527" s="1358"/>
      <c r="QNL527" s="1358"/>
      <c r="QNM527" s="1358"/>
      <c r="QNN527" s="1358"/>
      <c r="QNO527" s="1358"/>
      <c r="QNP527" s="1358"/>
      <c r="QNQ527" s="1358"/>
      <c r="QNR527" s="1358"/>
      <c r="QNS527" s="1358"/>
      <c r="QNT527" s="1358"/>
      <c r="QNU527" s="1358"/>
      <c r="QNV527" s="1358"/>
      <c r="QNW527" s="1358"/>
      <c r="QNX527" s="1358"/>
      <c r="QNY527" s="1358"/>
      <c r="QNZ527" s="1358"/>
      <c r="QOA527" s="1358"/>
      <c r="QOB527" s="1358"/>
      <c r="QOC527" s="1358"/>
      <c r="QOD527" s="1358"/>
      <c r="QOE527" s="1358"/>
      <c r="QOF527" s="1358"/>
      <c r="QOG527" s="1358"/>
      <c r="QOH527" s="1358"/>
      <c r="QOI527" s="1358"/>
      <c r="QOJ527" s="1358"/>
      <c r="QOK527" s="1358"/>
      <c r="QOL527" s="1358"/>
      <c r="QOM527" s="1358"/>
      <c r="QON527" s="1358"/>
      <c r="QOO527" s="1358"/>
      <c r="QOP527" s="1358"/>
      <c r="QOQ527" s="1358"/>
      <c r="QOR527" s="1358"/>
      <c r="QOS527" s="1358"/>
      <c r="QOT527" s="1358"/>
      <c r="QOU527" s="1358"/>
      <c r="QOV527" s="1358"/>
      <c r="QOW527" s="1358"/>
      <c r="QOX527" s="1358"/>
      <c r="QOY527" s="1358"/>
      <c r="QOZ527" s="1358"/>
      <c r="QPA527" s="1358"/>
      <c r="QPB527" s="1358"/>
      <c r="QPC527" s="1358"/>
      <c r="QPD527" s="1358"/>
      <c r="QPE527" s="1358"/>
      <c r="QPF527" s="1358"/>
      <c r="QPG527" s="1358"/>
      <c r="QPH527" s="1358"/>
      <c r="QPI527" s="1358"/>
      <c r="QPJ527" s="1358"/>
      <c r="QPK527" s="1358"/>
      <c r="QPL527" s="1358"/>
      <c r="QPM527" s="1358"/>
      <c r="QPN527" s="1358"/>
      <c r="QPO527" s="1358"/>
      <c r="QPP527" s="1358"/>
      <c r="QPQ527" s="1358"/>
      <c r="QPR527" s="1358"/>
      <c r="QPS527" s="1358"/>
      <c r="QPT527" s="1358"/>
      <c r="QPU527" s="1358"/>
      <c r="QPV527" s="1358"/>
      <c r="QPW527" s="1358"/>
      <c r="QPX527" s="1358"/>
      <c r="QPY527" s="1358"/>
      <c r="QPZ527" s="1358"/>
      <c r="QQA527" s="1358"/>
      <c r="QQB527" s="1358"/>
      <c r="QQC527" s="1358"/>
      <c r="QQD527" s="1358"/>
      <c r="QQE527" s="1358"/>
      <c r="QQF527" s="1358"/>
      <c r="QQG527" s="1358"/>
      <c r="QQH527" s="1358"/>
      <c r="QQI527" s="1358"/>
      <c r="QQJ527" s="1358"/>
      <c r="QQK527" s="1358"/>
      <c r="QQL527" s="1358"/>
      <c r="QQM527" s="1358"/>
      <c r="QQN527" s="1358"/>
      <c r="QQO527" s="1358"/>
      <c r="QQP527" s="1358"/>
      <c r="QQQ527" s="1358"/>
      <c r="QQR527" s="1358"/>
      <c r="QQS527" s="1358"/>
      <c r="QQT527" s="1358"/>
      <c r="QQU527" s="1358"/>
      <c r="QQV527" s="1358"/>
      <c r="QQW527" s="1358"/>
      <c r="QQX527" s="1358"/>
      <c r="QQY527" s="1358"/>
      <c r="QQZ527" s="1358"/>
      <c r="QRA527" s="1358"/>
      <c r="QRB527" s="1358"/>
      <c r="QRC527" s="1358"/>
      <c r="QRD527" s="1358"/>
      <c r="QRE527" s="1358"/>
      <c r="QRF527" s="1358"/>
      <c r="QRG527" s="1358"/>
      <c r="QRH527" s="1358"/>
      <c r="QRI527" s="1358"/>
      <c r="QRJ527" s="1358"/>
      <c r="QRK527" s="1358"/>
      <c r="QRL527" s="1358"/>
      <c r="QRM527" s="1358"/>
      <c r="QRN527" s="1358"/>
      <c r="QRO527" s="1358"/>
      <c r="QRP527" s="1358"/>
      <c r="QRQ527" s="1358"/>
      <c r="QRR527" s="1358"/>
      <c r="QRS527" s="1358"/>
      <c r="QRT527" s="1358"/>
      <c r="QRU527" s="1358"/>
      <c r="QRV527" s="1358"/>
      <c r="QRW527" s="1358"/>
      <c r="QRX527" s="1358"/>
      <c r="QRY527" s="1358"/>
      <c r="QRZ527" s="1358"/>
      <c r="QSA527" s="1358"/>
      <c r="QSB527" s="1358"/>
      <c r="QSC527" s="1358"/>
      <c r="QSD527" s="1358"/>
      <c r="QSE527" s="1358"/>
      <c r="QSF527" s="1358"/>
      <c r="QSG527" s="1358"/>
      <c r="QSH527" s="1358"/>
      <c r="QSI527" s="1358"/>
      <c r="QSJ527" s="1358"/>
      <c r="QSK527" s="1358"/>
      <c r="QSL527" s="1358"/>
      <c r="QSM527" s="1358"/>
      <c r="QSN527" s="1358"/>
      <c r="QSO527" s="1358"/>
      <c r="QSP527" s="1358"/>
      <c r="QSQ527" s="1358"/>
      <c r="QSR527" s="1358"/>
      <c r="QSS527" s="1358"/>
      <c r="QST527" s="1358"/>
      <c r="QSU527" s="1358"/>
      <c r="QSV527" s="1358"/>
      <c r="QSW527" s="1358"/>
      <c r="QSX527" s="1358"/>
      <c r="QSY527" s="1358"/>
      <c r="QSZ527" s="1358"/>
      <c r="QTA527" s="1358"/>
      <c r="QTB527" s="1358"/>
      <c r="QTC527" s="1358"/>
      <c r="QTD527" s="1358"/>
      <c r="QTE527" s="1358"/>
      <c r="QTF527" s="1358"/>
      <c r="QTG527" s="1358"/>
      <c r="QTH527" s="1358"/>
      <c r="QTI527" s="1358"/>
      <c r="QTJ527" s="1358"/>
      <c r="QTK527" s="1358"/>
      <c r="QTL527" s="1358"/>
      <c r="QTM527" s="1358"/>
      <c r="QTN527" s="1358"/>
      <c r="QTO527" s="1358"/>
      <c r="QTP527" s="1358"/>
      <c r="QTQ527" s="1358"/>
      <c r="QTR527" s="1358"/>
      <c r="QTS527" s="1358"/>
      <c r="QTT527" s="1358"/>
      <c r="QTU527" s="1358"/>
      <c r="QTV527" s="1358"/>
      <c r="QTW527" s="1358"/>
      <c r="QTX527" s="1358"/>
      <c r="QTY527" s="1358"/>
      <c r="QTZ527" s="1358"/>
      <c r="QUA527" s="1358"/>
      <c r="QUB527" s="1358"/>
      <c r="QUC527" s="1358"/>
      <c r="QUD527" s="1358"/>
      <c r="QUE527" s="1358"/>
      <c r="QUF527" s="1358"/>
      <c r="QUG527" s="1358"/>
      <c r="QUH527" s="1358"/>
      <c r="QUI527" s="1358"/>
      <c r="QUJ527" s="1358"/>
      <c r="QUK527" s="1358"/>
      <c r="QUL527" s="1358"/>
      <c r="QUM527" s="1358"/>
      <c r="QUN527" s="1358"/>
      <c r="QUO527" s="1358"/>
      <c r="QUP527" s="1358"/>
      <c r="QUQ527" s="1358"/>
      <c r="QUR527" s="1358"/>
      <c r="QUS527" s="1358"/>
      <c r="QUT527" s="1358"/>
      <c r="QUU527" s="1358"/>
      <c r="QUV527" s="1358"/>
      <c r="QUW527" s="1358"/>
      <c r="QUX527" s="1358"/>
      <c r="QUY527" s="1358"/>
      <c r="QUZ527" s="1358"/>
      <c r="QVA527" s="1358"/>
      <c r="QVB527" s="1358"/>
      <c r="QVC527" s="1358"/>
      <c r="QVD527" s="1358"/>
      <c r="QVE527" s="1358"/>
      <c r="QVF527" s="1358"/>
      <c r="QVG527" s="1358"/>
      <c r="QVH527" s="1358"/>
      <c r="QVI527" s="1358"/>
      <c r="QVJ527" s="1358"/>
      <c r="QVK527" s="1358"/>
      <c r="QVL527" s="1358"/>
      <c r="QVM527" s="1358"/>
      <c r="QVN527" s="1358"/>
      <c r="QVO527" s="1358"/>
      <c r="QVP527" s="1358"/>
      <c r="QVQ527" s="1358"/>
      <c r="QVR527" s="1358"/>
      <c r="QVS527" s="1358"/>
      <c r="QVT527" s="1358"/>
      <c r="QVU527" s="1358"/>
      <c r="QVV527" s="1358"/>
      <c r="QVW527" s="1358"/>
      <c r="QVX527" s="1358"/>
      <c r="QVY527" s="1358"/>
      <c r="QVZ527" s="1358"/>
      <c r="QWA527" s="1358"/>
      <c r="QWB527" s="1358"/>
      <c r="QWC527" s="1358"/>
      <c r="QWD527" s="1358"/>
      <c r="QWE527" s="1358"/>
      <c r="QWF527" s="1358"/>
      <c r="QWG527" s="1358"/>
      <c r="QWH527" s="1358"/>
      <c r="QWI527" s="1358"/>
      <c r="QWJ527" s="1358"/>
      <c r="QWK527" s="1358"/>
      <c r="QWL527" s="1358"/>
      <c r="QWM527" s="1358"/>
      <c r="QWN527" s="1358"/>
      <c r="QWO527" s="1358"/>
      <c r="QWP527" s="1358"/>
      <c r="QWQ527" s="1358"/>
      <c r="QWR527" s="1358"/>
      <c r="QWS527" s="1358"/>
      <c r="QWT527" s="1358"/>
      <c r="QWU527" s="1358"/>
      <c r="QWV527" s="1358"/>
      <c r="QWW527" s="1358"/>
      <c r="QWX527" s="1358"/>
      <c r="QWY527" s="1358"/>
      <c r="QWZ527" s="1358"/>
      <c r="QXA527" s="1358"/>
      <c r="QXB527" s="1358"/>
      <c r="QXC527" s="1358"/>
      <c r="QXD527" s="1358"/>
      <c r="QXE527" s="1358"/>
      <c r="QXF527" s="1358"/>
      <c r="QXG527" s="1358"/>
      <c r="QXH527" s="1358"/>
      <c r="QXI527" s="1358"/>
      <c r="QXJ527" s="1358"/>
      <c r="QXK527" s="1358"/>
      <c r="QXL527" s="1358"/>
      <c r="QXM527" s="1358"/>
      <c r="QXN527" s="1358"/>
      <c r="QXO527" s="1358"/>
      <c r="QXP527" s="1358"/>
      <c r="QXQ527" s="1358"/>
      <c r="QXR527" s="1358"/>
      <c r="QXS527" s="1358"/>
      <c r="QXT527" s="1358"/>
      <c r="QXU527" s="1358"/>
      <c r="QXV527" s="1358"/>
      <c r="QXW527" s="1358"/>
      <c r="QXX527" s="1358"/>
      <c r="QXY527" s="1358"/>
      <c r="QXZ527" s="1358"/>
      <c r="QYA527" s="1358"/>
      <c r="QYB527" s="1358"/>
      <c r="QYC527" s="1358"/>
      <c r="QYD527" s="1358"/>
      <c r="QYE527" s="1358"/>
      <c r="QYF527" s="1358"/>
      <c r="QYG527" s="1358"/>
      <c r="QYH527" s="1358"/>
      <c r="QYI527" s="1358"/>
      <c r="QYJ527" s="1358"/>
      <c r="QYK527" s="1358"/>
      <c r="QYL527" s="1358"/>
      <c r="QYM527" s="1358"/>
      <c r="QYN527" s="1358"/>
      <c r="QYO527" s="1358"/>
      <c r="QYP527" s="1358"/>
      <c r="QYQ527" s="1358"/>
      <c r="QYR527" s="1358"/>
      <c r="QYS527" s="1358"/>
      <c r="QYT527" s="1358"/>
      <c r="QYU527" s="1358"/>
      <c r="QYV527" s="1358"/>
      <c r="QYW527" s="1358"/>
      <c r="QYX527" s="1358"/>
      <c r="QYY527" s="1358"/>
      <c r="QYZ527" s="1358"/>
      <c r="QZA527" s="1358"/>
      <c r="QZB527" s="1358"/>
      <c r="QZC527" s="1358"/>
      <c r="QZD527" s="1358"/>
      <c r="QZE527" s="1358"/>
      <c r="QZF527" s="1358"/>
      <c r="QZG527" s="1358"/>
      <c r="QZH527" s="1358"/>
      <c r="QZI527" s="1358"/>
      <c r="QZJ527" s="1358"/>
      <c r="QZK527" s="1358"/>
      <c r="QZL527" s="1358"/>
      <c r="QZM527" s="1358"/>
      <c r="QZN527" s="1358"/>
      <c r="QZO527" s="1358"/>
      <c r="QZP527" s="1358"/>
      <c r="QZQ527" s="1358"/>
      <c r="QZR527" s="1358"/>
      <c r="QZS527" s="1358"/>
      <c r="QZT527" s="1358"/>
      <c r="QZU527" s="1358"/>
      <c r="QZV527" s="1358"/>
      <c r="QZW527" s="1358"/>
      <c r="QZX527" s="1358"/>
      <c r="QZY527" s="1358"/>
      <c r="QZZ527" s="1358"/>
      <c r="RAA527" s="1358"/>
      <c r="RAB527" s="1358"/>
      <c r="RAC527" s="1358"/>
      <c r="RAD527" s="1358"/>
      <c r="RAE527" s="1358"/>
      <c r="RAF527" s="1358"/>
      <c r="RAG527" s="1358"/>
      <c r="RAH527" s="1358"/>
      <c r="RAI527" s="1358"/>
      <c r="RAJ527" s="1358"/>
      <c r="RAK527" s="1358"/>
      <c r="RAL527" s="1358"/>
      <c r="RAM527" s="1358"/>
      <c r="RAN527" s="1358"/>
      <c r="RAO527" s="1358"/>
      <c r="RAP527" s="1358"/>
      <c r="RAQ527" s="1358"/>
      <c r="RAR527" s="1358"/>
      <c r="RAS527" s="1358"/>
      <c r="RAT527" s="1358"/>
      <c r="RAU527" s="1358"/>
      <c r="RAV527" s="1358"/>
      <c r="RAW527" s="1358"/>
      <c r="RAX527" s="1358"/>
      <c r="RAY527" s="1358"/>
      <c r="RAZ527" s="1358"/>
      <c r="RBA527" s="1358"/>
      <c r="RBB527" s="1358"/>
      <c r="RBC527" s="1358"/>
      <c r="RBD527" s="1358"/>
      <c r="RBE527" s="1358"/>
      <c r="RBF527" s="1358"/>
      <c r="RBG527" s="1358"/>
      <c r="RBH527" s="1358"/>
      <c r="RBI527" s="1358"/>
      <c r="RBJ527" s="1358"/>
      <c r="RBK527" s="1358"/>
      <c r="RBL527" s="1358"/>
      <c r="RBM527" s="1358"/>
      <c r="RBN527" s="1358"/>
      <c r="RBO527" s="1358"/>
      <c r="RBP527" s="1358"/>
      <c r="RBQ527" s="1358"/>
      <c r="RBR527" s="1358"/>
      <c r="RBS527" s="1358"/>
      <c r="RBT527" s="1358"/>
      <c r="RBU527" s="1358"/>
      <c r="RBV527" s="1358"/>
      <c r="RBW527" s="1358"/>
      <c r="RBX527" s="1358"/>
      <c r="RBY527" s="1358"/>
      <c r="RBZ527" s="1358"/>
      <c r="RCA527" s="1358"/>
      <c r="RCB527" s="1358"/>
      <c r="RCC527" s="1358"/>
      <c r="RCD527" s="1358"/>
      <c r="RCE527" s="1358"/>
      <c r="RCF527" s="1358"/>
      <c r="RCG527" s="1358"/>
      <c r="RCH527" s="1358"/>
      <c r="RCI527" s="1358"/>
      <c r="RCJ527" s="1358"/>
      <c r="RCK527" s="1358"/>
      <c r="RCL527" s="1358"/>
      <c r="RCM527" s="1358"/>
      <c r="RCN527" s="1358"/>
      <c r="RCO527" s="1358"/>
      <c r="RCP527" s="1358"/>
      <c r="RCQ527" s="1358"/>
      <c r="RCR527" s="1358"/>
      <c r="RCS527" s="1358"/>
      <c r="RCT527" s="1358"/>
      <c r="RCU527" s="1358"/>
      <c r="RCV527" s="1358"/>
      <c r="RCW527" s="1358"/>
      <c r="RCX527" s="1358"/>
      <c r="RCY527" s="1358"/>
      <c r="RCZ527" s="1358"/>
      <c r="RDA527" s="1358"/>
      <c r="RDB527" s="1358"/>
      <c r="RDC527" s="1358"/>
      <c r="RDD527" s="1358"/>
      <c r="RDE527" s="1358"/>
      <c r="RDF527" s="1358"/>
      <c r="RDG527" s="1358"/>
      <c r="RDH527" s="1358"/>
      <c r="RDI527" s="1358"/>
      <c r="RDJ527" s="1358"/>
      <c r="RDK527" s="1358"/>
      <c r="RDL527" s="1358"/>
      <c r="RDM527" s="1358"/>
      <c r="RDN527" s="1358"/>
      <c r="RDO527" s="1358"/>
      <c r="RDP527" s="1358"/>
      <c r="RDQ527" s="1358"/>
      <c r="RDR527" s="1358"/>
      <c r="RDS527" s="1358"/>
      <c r="RDT527" s="1358"/>
      <c r="RDU527" s="1358"/>
      <c r="RDV527" s="1358"/>
      <c r="RDW527" s="1358"/>
      <c r="RDX527" s="1358"/>
      <c r="RDY527" s="1358"/>
      <c r="RDZ527" s="1358"/>
      <c r="REA527" s="1358"/>
      <c r="REB527" s="1358"/>
      <c r="REC527" s="1358"/>
      <c r="RED527" s="1358"/>
      <c r="REE527" s="1358"/>
      <c r="REF527" s="1358"/>
      <c r="REG527" s="1358"/>
      <c r="REH527" s="1358"/>
      <c r="REI527" s="1358"/>
      <c r="REJ527" s="1358"/>
      <c r="REK527" s="1358"/>
      <c r="REL527" s="1358"/>
      <c r="REM527" s="1358"/>
      <c r="REN527" s="1358"/>
      <c r="REO527" s="1358"/>
      <c r="REP527" s="1358"/>
      <c r="REQ527" s="1358"/>
      <c r="RER527" s="1358"/>
      <c r="RES527" s="1358"/>
      <c r="RET527" s="1358"/>
      <c r="REU527" s="1358"/>
      <c r="REV527" s="1358"/>
      <c r="REW527" s="1358"/>
      <c r="REX527" s="1358"/>
      <c r="REY527" s="1358"/>
      <c r="REZ527" s="1358"/>
      <c r="RFA527" s="1358"/>
      <c r="RFB527" s="1358"/>
      <c r="RFC527" s="1358"/>
      <c r="RFD527" s="1358"/>
      <c r="RFE527" s="1358"/>
      <c r="RFF527" s="1358"/>
      <c r="RFG527" s="1358"/>
      <c r="RFH527" s="1358"/>
      <c r="RFI527" s="1358"/>
      <c r="RFJ527" s="1358"/>
      <c r="RFK527" s="1358"/>
      <c r="RFL527" s="1358"/>
      <c r="RFM527" s="1358"/>
      <c r="RFN527" s="1358"/>
      <c r="RFO527" s="1358"/>
      <c r="RFP527" s="1358"/>
      <c r="RFQ527" s="1358"/>
      <c r="RFR527" s="1358"/>
      <c r="RFS527" s="1358"/>
      <c r="RFT527" s="1358"/>
      <c r="RFU527" s="1358"/>
      <c r="RFV527" s="1358"/>
      <c r="RFW527" s="1358"/>
      <c r="RFX527" s="1358"/>
      <c r="RFY527" s="1358"/>
      <c r="RFZ527" s="1358"/>
      <c r="RGA527" s="1358"/>
      <c r="RGB527" s="1358"/>
      <c r="RGC527" s="1358"/>
      <c r="RGD527" s="1358"/>
      <c r="RGE527" s="1358"/>
      <c r="RGF527" s="1358"/>
      <c r="RGG527" s="1358"/>
      <c r="RGH527" s="1358"/>
      <c r="RGI527" s="1358"/>
      <c r="RGJ527" s="1358"/>
      <c r="RGK527" s="1358"/>
      <c r="RGL527" s="1358"/>
      <c r="RGM527" s="1358"/>
      <c r="RGN527" s="1358"/>
      <c r="RGO527" s="1358"/>
      <c r="RGP527" s="1358"/>
      <c r="RGQ527" s="1358"/>
      <c r="RGR527" s="1358"/>
      <c r="RGS527" s="1358"/>
      <c r="RGT527" s="1358"/>
      <c r="RGU527" s="1358"/>
      <c r="RGV527" s="1358"/>
      <c r="RGW527" s="1358"/>
      <c r="RGX527" s="1358"/>
      <c r="RGY527" s="1358"/>
      <c r="RGZ527" s="1358"/>
      <c r="RHA527" s="1358"/>
      <c r="RHB527" s="1358"/>
      <c r="RHC527" s="1358"/>
      <c r="RHD527" s="1358"/>
      <c r="RHE527" s="1358"/>
      <c r="RHF527" s="1358"/>
      <c r="RHG527" s="1358"/>
      <c r="RHH527" s="1358"/>
      <c r="RHI527" s="1358"/>
      <c r="RHJ527" s="1358"/>
      <c r="RHK527" s="1358"/>
      <c r="RHL527" s="1358"/>
      <c r="RHM527" s="1358"/>
      <c r="RHN527" s="1358"/>
      <c r="RHO527" s="1358"/>
      <c r="RHP527" s="1358"/>
      <c r="RHQ527" s="1358"/>
      <c r="RHR527" s="1358"/>
      <c r="RHS527" s="1358"/>
      <c r="RHT527" s="1358"/>
      <c r="RHU527" s="1358"/>
      <c r="RHV527" s="1358"/>
      <c r="RHW527" s="1358"/>
      <c r="RHX527" s="1358"/>
      <c r="RHY527" s="1358"/>
      <c r="RHZ527" s="1358"/>
      <c r="RIA527" s="1358"/>
      <c r="RIB527" s="1358"/>
      <c r="RIC527" s="1358"/>
      <c r="RID527" s="1358"/>
      <c r="RIE527" s="1358"/>
      <c r="RIF527" s="1358"/>
      <c r="RIG527" s="1358"/>
      <c r="RIH527" s="1358"/>
      <c r="RII527" s="1358"/>
      <c r="RIJ527" s="1358"/>
      <c r="RIK527" s="1358"/>
      <c r="RIL527" s="1358"/>
      <c r="RIM527" s="1358"/>
      <c r="RIN527" s="1358"/>
      <c r="RIO527" s="1358"/>
      <c r="RIP527" s="1358"/>
      <c r="RIQ527" s="1358"/>
      <c r="RIR527" s="1358"/>
      <c r="RIS527" s="1358"/>
      <c r="RIT527" s="1358"/>
      <c r="RIU527" s="1358"/>
      <c r="RIV527" s="1358"/>
      <c r="RIW527" s="1358"/>
      <c r="RIX527" s="1358"/>
      <c r="RIY527" s="1358"/>
      <c r="RIZ527" s="1358"/>
      <c r="RJA527" s="1358"/>
      <c r="RJB527" s="1358"/>
      <c r="RJC527" s="1358"/>
      <c r="RJD527" s="1358"/>
      <c r="RJE527" s="1358"/>
      <c r="RJF527" s="1358"/>
      <c r="RJG527" s="1358"/>
      <c r="RJH527" s="1358"/>
      <c r="RJI527" s="1358"/>
      <c r="RJJ527" s="1358"/>
      <c r="RJK527" s="1358"/>
      <c r="RJL527" s="1358"/>
      <c r="RJM527" s="1358"/>
      <c r="RJN527" s="1358"/>
      <c r="RJO527" s="1358"/>
      <c r="RJP527" s="1358"/>
      <c r="RJQ527" s="1358"/>
      <c r="RJR527" s="1358"/>
      <c r="RJS527" s="1358"/>
      <c r="RJT527" s="1358"/>
      <c r="RJU527" s="1358"/>
      <c r="RJV527" s="1358"/>
      <c r="RJW527" s="1358"/>
      <c r="RJX527" s="1358"/>
      <c r="RJY527" s="1358"/>
      <c r="RJZ527" s="1358"/>
      <c r="RKA527" s="1358"/>
      <c r="RKB527" s="1358"/>
      <c r="RKC527" s="1358"/>
      <c r="RKD527" s="1358"/>
      <c r="RKE527" s="1358"/>
      <c r="RKF527" s="1358"/>
      <c r="RKG527" s="1358"/>
      <c r="RKH527" s="1358"/>
      <c r="RKI527" s="1358"/>
      <c r="RKJ527" s="1358"/>
      <c r="RKK527" s="1358"/>
      <c r="RKL527" s="1358"/>
      <c r="RKM527" s="1358"/>
      <c r="RKN527" s="1358"/>
      <c r="RKO527" s="1358"/>
      <c r="RKP527" s="1358"/>
      <c r="RKQ527" s="1358"/>
      <c r="RKR527" s="1358"/>
      <c r="RKS527" s="1358"/>
      <c r="RKT527" s="1358"/>
      <c r="RKU527" s="1358"/>
      <c r="RKV527" s="1358"/>
      <c r="RKW527" s="1358"/>
      <c r="RKX527" s="1358"/>
      <c r="RKY527" s="1358"/>
      <c r="RKZ527" s="1358"/>
      <c r="RLA527" s="1358"/>
      <c r="RLB527" s="1358"/>
      <c r="RLC527" s="1358"/>
      <c r="RLD527" s="1358"/>
      <c r="RLE527" s="1358"/>
      <c r="RLF527" s="1358"/>
      <c r="RLG527" s="1358"/>
      <c r="RLH527" s="1358"/>
      <c r="RLI527" s="1358"/>
      <c r="RLJ527" s="1358"/>
      <c r="RLK527" s="1358"/>
      <c r="RLL527" s="1358"/>
      <c r="RLM527" s="1358"/>
      <c r="RLN527" s="1358"/>
      <c r="RLO527" s="1358"/>
      <c r="RLP527" s="1358"/>
      <c r="RLQ527" s="1358"/>
      <c r="RLR527" s="1358"/>
      <c r="RLS527" s="1358"/>
      <c r="RLT527" s="1358"/>
      <c r="RLU527" s="1358"/>
      <c r="RLV527" s="1358"/>
      <c r="RLW527" s="1358"/>
      <c r="RLX527" s="1358"/>
      <c r="RLY527" s="1358"/>
      <c r="RLZ527" s="1358"/>
      <c r="RMA527" s="1358"/>
      <c r="RMB527" s="1358"/>
      <c r="RMC527" s="1358"/>
      <c r="RMD527" s="1358"/>
      <c r="RME527" s="1358"/>
      <c r="RMF527" s="1358"/>
      <c r="RMG527" s="1358"/>
      <c r="RMH527" s="1358"/>
      <c r="RMI527" s="1358"/>
      <c r="RMJ527" s="1358"/>
      <c r="RMK527" s="1358"/>
      <c r="RML527" s="1358"/>
      <c r="RMM527" s="1358"/>
      <c r="RMN527" s="1358"/>
      <c r="RMO527" s="1358"/>
      <c r="RMP527" s="1358"/>
      <c r="RMQ527" s="1358"/>
      <c r="RMR527" s="1358"/>
      <c r="RMS527" s="1358"/>
      <c r="RMT527" s="1358"/>
      <c r="RMU527" s="1358"/>
      <c r="RMV527" s="1358"/>
      <c r="RMW527" s="1358"/>
      <c r="RMX527" s="1358"/>
      <c r="RMY527" s="1358"/>
      <c r="RMZ527" s="1358"/>
      <c r="RNA527" s="1358"/>
      <c r="RNB527" s="1358"/>
      <c r="RNC527" s="1358"/>
      <c r="RND527" s="1358"/>
      <c r="RNE527" s="1358"/>
      <c r="RNF527" s="1358"/>
      <c r="RNG527" s="1358"/>
      <c r="RNH527" s="1358"/>
      <c r="RNI527" s="1358"/>
      <c r="RNJ527" s="1358"/>
      <c r="RNK527" s="1358"/>
      <c r="RNL527" s="1358"/>
      <c r="RNM527" s="1358"/>
      <c r="RNN527" s="1358"/>
      <c r="RNO527" s="1358"/>
      <c r="RNP527" s="1358"/>
      <c r="RNQ527" s="1358"/>
      <c r="RNR527" s="1358"/>
      <c r="RNS527" s="1358"/>
      <c r="RNT527" s="1358"/>
      <c r="RNU527" s="1358"/>
      <c r="RNV527" s="1358"/>
      <c r="RNW527" s="1358"/>
      <c r="RNX527" s="1358"/>
      <c r="RNY527" s="1358"/>
      <c r="RNZ527" s="1358"/>
      <c r="ROA527" s="1358"/>
      <c r="ROB527" s="1358"/>
      <c r="ROC527" s="1358"/>
      <c r="ROD527" s="1358"/>
      <c r="ROE527" s="1358"/>
      <c r="ROF527" s="1358"/>
      <c r="ROG527" s="1358"/>
      <c r="ROH527" s="1358"/>
      <c r="ROI527" s="1358"/>
      <c r="ROJ527" s="1358"/>
      <c r="ROK527" s="1358"/>
      <c r="ROL527" s="1358"/>
      <c r="ROM527" s="1358"/>
      <c r="RON527" s="1358"/>
      <c r="ROO527" s="1358"/>
      <c r="ROP527" s="1358"/>
      <c r="ROQ527" s="1358"/>
      <c r="ROR527" s="1358"/>
      <c r="ROS527" s="1358"/>
      <c r="ROT527" s="1358"/>
      <c r="ROU527" s="1358"/>
      <c r="ROV527" s="1358"/>
      <c r="ROW527" s="1358"/>
      <c r="ROX527" s="1358"/>
      <c r="ROY527" s="1358"/>
      <c r="ROZ527" s="1358"/>
      <c r="RPA527" s="1358"/>
      <c r="RPB527" s="1358"/>
      <c r="RPC527" s="1358"/>
      <c r="RPD527" s="1358"/>
      <c r="RPE527" s="1358"/>
      <c r="RPF527" s="1358"/>
      <c r="RPG527" s="1358"/>
      <c r="RPH527" s="1358"/>
      <c r="RPI527" s="1358"/>
      <c r="RPJ527" s="1358"/>
      <c r="RPK527" s="1358"/>
      <c r="RPL527" s="1358"/>
      <c r="RPM527" s="1358"/>
      <c r="RPN527" s="1358"/>
      <c r="RPO527" s="1358"/>
      <c r="RPP527" s="1358"/>
      <c r="RPQ527" s="1358"/>
      <c r="RPR527" s="1358"/>
      <c r="RPS527" s="1358"/>
      <c r="RPT527" s="1358"/>
      <c r="RPU527" s="1358"/>
      <c r="RPV527" s="1358"/>
      <c r="RPW527" s="1358"/>
      <c r="RPX527" s="1358"/>
      <c r="RPY527" s="1358"/>
      <c r="RPZ527" s="1358"/>
      <c r="RQA527" s="1358"/>
      <c r="RQB527" s="1358"/>
      <c r="RQC527" s="1358"/>
      <c r="RQD527" s="1358"/>
      <c r="RQE527" s="1358"/>
      <c r="RQF527" s="1358"/>
      <c r="RQG527" s="1358"/>
      <c r="RQH527" s="1358"/>
      <c r="RQI527" s="1358"/>
      <c r="RQJ527" s="1358"/>
      <c r="RQK527" s="1358"/>
      <c r="RQL527" s="1358"/>
      <c r="RQM527" s="1358"/>
      <c r="RQN527" s="1358"/>
      <c r="RQO527" s="1358"/>
      <c r="RQP527" s="1358"/>
      <c r="RQQ527" s="1358"/>
      <c r="RQR527" s="1358"/>
      <c r="RQS527" s="1358"/>
      <c r="RQT527" s="1358"/>
      <c r="RQU527" s="1358"/>
      <c r="RQV527" s="1358"/>
      <c r="RQW527" s="1358"/>
      <c r="RQX527" s="1358"/>
      <c r="RQY527" s="1358"/>
      <c r="RQZ527" s="1358"/>
      <c r="RRA527" s="1358"/>
      <c r="RRB527" s="1358"/>
      <c r="RRC527" s="1358"/>
      <c r="RRD527" s="1358"/>
      <c r="RRE527" s="1358"/>
      <c r="RRF527" s="1358"/>
      <c r="RRG527" s="1358"/>
      <c r="RRH527" s="1358"/>
      <c r="RRI527" s="1358"/>
      <c r="RRJ527" s="1358"/>
      <c r="RRK527" s="1358"/>
      <c r="RRL527" s="1358"/>
      <c r="RRM527" s="1358"/>
      <c r="RRN527" s="1358"/>
      <c r="RRO527" s="1358"/>
      <c r="RRP527" s="1358"/>
      <c r="RRQ527" s="1358"/>
      <c r="RRR527" s="1358"/>
      <c r="RRS527" s="1358"/>
      <c r="RRT527" s="1358"/>
      <c r="RRU527" s="1358"/>
      <c r="RRV527" s="1358"/>
      <c r="RRW527" s="1358"/>
      <c r="RRX527" s="1358"/>
      <c r="RRY527" s="1358"/>
      <c r="RRZ527" s="1358"/>
      <c r="RSA527" s="1358"/>
      <c r="RSB527" s="1358"/>
      <c r="RSC527" s="1358"/>
      <c r="RSD527" s="1358"/>
      <c r="RSE527" s="1358"/>
      <c r="RSF527" s="1358"/>
      <c r="RSG527" s="1358"/>
      <c r="RSH527" s="1358"/>
      <c r="RSI527" s="1358"/>
      <c r="RSJ527" s="1358"/>
      <c r="RSK527" s="1358"/>
      <c r="RSL527" s="1358"/>
      <c r="RSM527" s="1358"/>
      <c r="RSN527" s="1358"/>
      <c r="RSO527" s="1358"/>
      <c r="RSP527" s="1358"/>
      <c r="RSQ527" s="1358"/>
      <c r="RSR527" s="1358"/>
      <c r="RSS527" s="1358"/>
      <c r="RST527" s="1358"/>
      <c r="RSU527" s="1358"/>
      <c r="RSV527" s="1358"/>
      <c r="RSW527" s="1358"/>
      <c r="RSX527" s="1358"/>
      <c r="RSY527" s="1358"/>
      <c r="RSZ527" s="1358"/>
      <c r="RTA527" s="1358"/>
      <c r="RTB527" s="1358"/>
      <c r="RTC527" s="1358"/>
      <c r="RTD527" s="1358"/>
      <c r="RTE527" s="1358"/>
      <c r="RTF527" s="1358"/>
      <c r="RTG527" s="1358"/>
      <c r="RTH527" s="1358"/>
      <c r="RTI527" s="1358"/>
      <c r="RTJ527" s="1358"/>
      <c r="RTK527" s="1358"/>
      <c r="RTL527" s="1358"/>
      <c r="RTM527" s="1358"/>
      <c r="RTN527" s="1358"/>
      <c r="RTO527" s="1358"/>
      <c r="RTP527" s="1358"/>
      <c r="RTQ527" s="1358"/>
      <c r="RTR527" s="1358"/>
      <c r="RTS527" s="1358"/>
      <c r="RTT527" s="1358"/>
      <c r="RTU527" s="1358"/>
      <c r="RTV527" s="1358"/>
      <c r="RTW527" s="1358"/>
      <c r="RTX527" s="1358"/>
      <c r="RTY527" s="1358"/>
      <c r="RTZ527" s="1358"/>
      <c r="RUA527" s="1358"/>
      <c r="RUB527" s="1358"/>
      <c r="RUC527" s="1358"/>
      <c r="RUD527" s="1358"/>
      <c r="RUE527" s="1358"/>
      <c r="RUF527" s="1358"/>
      <c r="RUG527" s="1358"/>
      <c r="RUH527" s="1358"/>
      <c r="RUI527" s="1358"/>
      <c r="RUJ527" s="1358"/>
      <c r="RUK527" s="1358"/>
      <c r="RUL527" s="1358"/>
      <c r="RUM527" s="1358"/>
      <c r="RUN527" s="1358"/>
      <c r="RUO527" s="1358"/>
      <c r="RUP527" s="1358"/>
      <c r="RUQ527" s="1358"/>
      <c r="RUR527" s="1358"/>
      <c r="RUS527" s="1358"/>
      <c r="RUT527" s="1358"/>
      <c r="RUU527" s="1358"/>
      <c r="RUV527" s="1358"/>
      <c r="RUW527" s="1358"/>
      <c r="RUX527" s="1358"/>
      <c r="RUY527" s="1358"/>
      <c r="RUZ527" s="1358"/>
      <c r="RVA527" s="1358"/>
      <c r="RVB527" s="1358"/>
      <c r="RVC527" s="1358"/>
      <c r="RVD527" s="1358"/>
      <c r="RVE527" s="1358"/>
      <c r="RVF527" s="1358"/>
      <c r="RVG527" s="1358"/>
      <c r="RVH527" s="1358"/>
      <c r="RVI527" s="1358"/>
      <c r="RVJ527" s="1358"/>
      <c r="RVK527" s="1358"/>
      <c r="RVL527" s="1358"/>
      <c r="RVM527" s="1358"/>
      <c r="RVN527" s="1358"/>
      <c r="RVO527" s="1358"/>
      <c r="RVP527" s="1358"/>
      <c r="RVQ527" s="1358"/>
      <c r="RVR527" s="1358"/>
      <c r="RVS527" s="1358"/>
      <c r="RVT527" s="1358"/>
      <c r="RVU527" s="1358"/>
      <c r="RVV527" s="1358"/>
      <c r="RVW527" s="1358"/>
      <c r="RVX527" s="1358"/>
      <c r="RVY527" s="1358"/>
      <c r="RVZ527" s="1358"/>
      <c r="RWA527" s="1358"/>
      <c r="RWB527" s="1358"/>
      <c r="RWC527" s="1358"/>
      <c r="RWD527" s="1358"/>
      <c r="RWE527" s="1358"/>
      <c r="RWF527" s="1358"/>
      <c r="RWG527" s="1358"/>
      <c r="RWH527" s="1358"/>
      <c r="RWI527" s="1358"/>
      <c r="RWJ527" s="1358"/>
      <c r="RWK527" s="1358"/>
      <c r="RWL527" s="1358"/>
      <c r="RWM527" s="1358"/>
      <c r="RWN527" s="1358"/>
      <c r="RWO527" s="1358"/>
      <c r="RWP527" s="1358"/>
      <c r="RWQ527" s="1358"/>
      <c r="RWR527" s="1358"/>
      <c r="RWS527" s="1358"/>
      <c r="RWT527" s="1358"/>
      <c r="RWU527" s="1358"/>
      <c r="RWV527" s="1358"/>
      <c r="RWW527" s="1358"/>
      <c r="RWX527" s="1358"/>
      <c r="RWY527" s="1358"/>
      <c r="RWZ527" s="1358"/>
      <c r="RXA527" s="1358"/>
      <c r="RXB527" s="1358"/>
      <c r="RXC527" s="1358"/>
      <c r="RXD527" s="1358"/>
      <c r="RXE527" s="1358"/>
      <c r="RXF527" s="1358"/>
      <c r="RXG527" s="1358"/>
      <c r="RXH527" s="1358"/>
      <c r="RXI527" s="1358"/>
      <c r="RXJ527" s="1358"/>
      <c r="RXK527" s="1358"/>
      <c r="RXL527" s="1358"/>
      <c r="RXM527" s="1358"/>
      <c r="RXN527" s="1358"/>
      <c r="RXO527" s="1358"/>
      <c r="RXP527" s="1358"/>
      <c r="RXQ527" s="1358"/>
      <c r="RXR527" s="1358"/>
      <c r="RXS527" s="1358"/>
      <c r="RXT527" s="1358"/>
      <c r="RXU527" s="1358"/>
      <c r="RXV527" s="1358"/>
      <c r="RXW527" s="1358"/>
      <c r="RXX527" s="1358"/>
      <c r="RXY527" s="1358"/>
      <c r="RXZ527" s="1358"/>
      <c r="RYA527" s="1358"/>
      <c r="RYB527" s="1358"/>
      <c r="RYC527" s="1358"/>
      <c r="RYD527" s="1358"/>
      <c r="RYE527" s="1358"/>
      <c r="RYF527" s="1358"/>
      <c r="RYG527" s="1358"/>
      <c r="RYH527" s="1358"/>
      <c r="RYI527" s="1358"/>
      <c r="RYJ527" s="1358"/>
      <c r="RYK527" s="1358"/>
      <c r="RYL527" s="1358"/>
      <c r="RYM527" s="1358"/>
      <c r="RYN527" s="1358"/>
      <c r="RYO527" s="1358"/>
      <c r="RYP527" s="1358"/>
      <c r="RYQ527" s="1358"/>
      <c r="RYR527" s="1358"/>
      <c r="RYS527" s="1358"/>
      <c r="RYT527" s="1358"/>
      <c r="RYU527" s="1358"/>
      <c r="RYV527" s="1358"/>
      <c r="RYW527" s="1358"/>
      <c r="RYX527" s="1358"/>
      <c r="RYY527" s="1358"/>
      <c r="RYZ527" s="1358"/>
      <c r="RZA527" s="1358"/>
      <c r="RZB527" s="1358"/>
      <c r="RZC527" s="1358"/>
      <c r="RZD527" s="1358"/>
      <c r="RZE527" s="1358"/>
      <c r="RZF527" s="1358"/>
      <c r="RZG527" s="1358"/>
      <c r="RZH527" s="1358"/>
      <c r="RZI527" s="1358"/>
      <c r="RZJ527" s="1358"/>
      <c r="RZK527" s="1358"/>
      <c r="RZL527" s="1358"/>
      <c r="RZM527" s="1358"/>
      <c r="RZN527" s="1358"/>
      <c r="RZO527" s="1358"/>
      <c r="RZP527" s="1358"/>
      <c r="RZQ527" s="1358"/>
      <c r="RZR527" s="1358"/>
      <c r="RZS527" s="1358"/>
      <c r="RZT527" s="1358"/>
      <c r="RZU527" s="1358"/>
      <c r="RZV527" s="1358"/>
      <c r="RZW527" s="1358"/>
      <c r="RZX527" s="1358"/>
      <c r="RZY527" s="1358"/>
      <c r="RZZ527" s="1358"/>
      <c r="SAA527" s="1358"/>
      <c r="SAB527" s="1358"/>
      <c r="SAC527" s="1358"/>
      <c r="SAD527" s="1358"/>
      <c r="SAE527" s="1358"/>
      <c r="SAF527" s="1358"/>
      <c r="SAG527" s="1358"/>
      <c r="SAH527" s="1358"/>
      <c r="SAI527" s="1358"/>
      <c r="SAJ527" s="1358"/>
      <c r="SAK527" s="1358"/>
      <c r="SAL527" s="1358"/>
      <c r="SAM527" s="1358"/>
      <c r="SAN527" s="1358"/>
      <c r="SAO527" s="1358"/>
      <c r="SAP527" s="1358"/>
      <c r="SAQ527" s="1358"/>
      <c r="SAR527" s="1358"/>
      <c r="SAS527" s="1358"/>
      <c r="SAT527" s="1358"/>
      <c r="SAU527" s="1358"/>
      <c r="SAV527" s="1358"/>
      <c r="SAW527" s="1358"/>
      <c r="SAX527" s="1358"/>
      <c r="SAY527" s="1358"/>
      <c r="SAZ527" s="1358"/>
      <c r="SBA527" s="1358"/>
      <c r="SBB527" s="1358"/>
      <c r="SBC527" s="1358"/>
      <c r="SBD527" s="1358"/>
      <c r="SBE527" s="1358"/>
      <c r="SBF527" s="1358"/>
      <c r="SBG527" s="1358"/>
      <c r="SBH527" s="1358"/>
      <c r="SBI527" s="1358"/>
      <c r="SBJ527" s="1358"/>
      <c r="SBK527" s="1358"/>
      <c r="SBL527" s="1358"/>
      <c r="SBM527" s="1358"/>
      <c r="SBN527" s="1358"/>
      <c r="SBO527" s="1358"/>
      <c r="SBP527" s="1358"/>
      <c r="SBQ527" s="1358"/>
      <c r="SBR527" s="1358"/>
      <c r="SBS527" s="1358"/>
      <c r="SBT527" s="1358"/>
      <c r="SBU527" s="1358"/>
      <c r="SBV527" s="1358"/>
      <c r="SBW527" s="1358"/>
      <c r="SBX527" s="1358"/>
      <c r="SBY527" s="1358"/>
      <c r="SBZ527" s="1358"/>
      <c r="SCA527" s="1358"/>
      <c r="SCB527" s="1358"/>
      <c r="SCC527" s="1358"/>
      <c r="SCD527" s="1358"/>
      <c r="SCE527" s="1358"/>
      <c r="SCF527" s="1358"/>
      <c r="SCG527" s="1358"/>
      <c r="SCH527" s="1358"/>
      <c r="SCI527" s="1358"/>
      <c r="SCJ527" s="1358"/>
      <c r="SCK527" s="1358"/>
      <c r="SCL527" s="1358"/>
      <c r="SCM527" s="1358"/>
      <c r="SCN527" s="1358"/>
      <c r="SCO527" s="1358"/>
      <c r="SCP527" s="1358"/>
      <c r="SCQ527" s="1358"/>
      <c r="SCR527" s="1358"/>
      <c r="SCS527" s="1358"/>
      <c r="SCT527" s="1358"/>
      <c r="SCU527" s="1358"/>
      <c r="SCV527" s="1358"/>
      <c r="SCW527" s="1358"/>
      <c r="SCX527" s="1358"/>
      <c r="SCY527" s="1358"/>
      <c r="SCZ527" s="1358"/>
      <c r="SDA527" s="1358"/>
      <c r="SDB527" s="1358"/>
      <c r="SDC527" s="1358"/>
      <c r="SDD527" s="1358"/>
      <c r="SDE527" s="1358"/>
      <c r="SDF527" s="1358"/>
      <c r="SDG527" s="1358"/>
      <c r="SDH527" s="1358"/>
      <c r="SDI527" s="1358"/>
      <c r="SDJ527" s="1358"/>
      <c r="SDK527" s="1358"/>
      <c r="SDL527" s="1358"/>
      <c r="SDM527" s="1358"/>
      <c r="SDN527" s="1358"/>
      <c r="SDO527" s="1358"/>
      <c r="SDP527" s="1358"/>
      <c r="SDQ527" s="1358"/>
      <c r="SDR527" s="1358"/>
      <c r="SDS527" s="1358"/>
      <c r="SDT527" s="1358"/>
      <c r="SDU527" s="1358"/>
      <c r="SDV527" s="1358"/>
      <c r="SDW527" s="1358"/>
      <c r="SDX527" s="1358"/>
      <c r="SDY527" s="1358"/>
      <c r="SDZ527" s="1358"/>
      <c r="SEA527" s="1358"/>
      <c r="SEB527" s="1358"/>
      <c r="SEC527" s="1358"/>
      <c r="SED527" s="1358"/>
      <c r="SEE527" s="1358"/>
      <c r="SEF527" s="1358"/>
      <c r="SEG527" s="1358"/>
      <c r="SEH527" s="1358"/>
      <c r="SEI527" s="1358"/>
      <c r="SEJ527" s="1358"/>
      <c r="SEK527" s="1358"/>
      <c r="SEL527" s="1358"/>
      <c r="SEM527" s="1358"/>
      <c r="SEN527" s="1358"/>
      <c r="SEO527" s="1358"/>
      <c r="SEP527" s="1358"/>
      <c r="SEQ527" s="1358"/>
      <c r="SER527" s="1358"/>
      <c r="SES527" s="1358"/>
      <c r="SET527" s="1358"/>
      <c r="SEU527" s="1358"/>
      <c r="SEV527" s="1358"/>
      <c r="SEW527" s="1358"/>
      <c r="SEX527" s="1358"/>
      <c r="SEY527" s="1358"/>
      <c r="SEZ527" s="1358"/>
      <c r="SFA527" s="1358"/>
      <c r="SFB527" s="1358"/>
      <c r="SFC527" s="1358"/>
      <c r="SFD527" s="1358"/>
      <c r="SFE527" s="1358"/>
      <c r="SFF527" s="1358"/>
      <c r="SFG527" s="1358"/>
      <c r="SFH527" s="1358"/>
      <c r="SFI527" s="1358"/>
      <c r="SFJ527" s="1358"/>
      <c r="SFK527" s="1358"/>
      <c r="SFL527" s="1358"/>
      <c r="SFM527" s="1358"/>
      <c r="SFN527" s="1358"/>
      <c r="SFO527" s="1358"/>
      <c r="SFP527" s="1358"/>
      <c r="SFQ527" s="1358"/>
      <c r="SFR527" s="1358"/>
      <c r="SFS527" s="1358"/>
      <c r="SFT527" s="1358"/>
      <c r="SFU527" s="1358"/>
      <c r="SFV527" s="1358"/>
      <c r="SFW527" s="1358"/>
      <c r="SFX527" s="1358"/>
      <c r="SFY527" s="1358"/>
      <c r="SFZ527" s="1358"/>
      <c r="SGA527" s="1358"/>
      <c r="SGB527" s="1358"/>
      <c r="SGC527" s="1358"/>
      <c r="SGD527" s="1358"/>
      <c r="SGE527" s="1358"/>
      <c r="SGF527" s="1358"/>
      <c r="SGG527" s="1358"/>
      <c r="SGH527" s="1358"/>
      <c r="SGI527" s="1358"/>
      <c r="SGJ527" s="1358"/>
      <c r="SGK527" s="1358"/>
      <c r="SGL527" s="1358"/>
      <c r="SGM527" s="1358"/>
      <c r="SGN527" s="1358"/>
      <c r="SGO527" s="1358"/>
      <c r="SGP527" s="1358"/>
      <c r="SGQ527" s="1358"/>
      <c r="SGR527" s="1358"/>
      <c r="SGS527" s="1358"/>
      <c r="SGT527" s="1358"/>
      <c r="SGU527" s="1358"/>
      <c r="SGV527" s="1358"/>
      <c r="SGW527" s="1358"/>
      <c r="SGX527" s="1358"/>
      <c r="SGY527" s="1358"/>
      <c r="SGZ527" s="1358"/>
      <c r="SHA527" s="1358"/>
      <c r="SHB527" s="1358"/>
      <c r="SHC527" s="1358"/>
      <c r="SHD527" s="1358"/>
      <c r="SHE527" s="1358"/>
      <c r="SHF527" s="1358"/>
      <c r="SHG527" s="1358"/>
      <c r="SHH527" s="1358"/>
      <c r="SHI527" s="1358"/>
      <c r="SHJ527" s="1358"/>
      <c r="SHK527" s="1358"/>
      <c r="SHL527" s="1358"/>
      <c r="SHM527" s="1358"/>
      <c r="SHN527" s="1358"/>
      <c r="SHO527" s="1358"/>
      <c r="SHP527" s="1358"/>
      <c r="SHQ527" s="1358"/>
      <c r="SHR527" s="1358"/>
      <c r="SHS527" s="1358"/>
      <c r="SHT527" s="1358"/>
      <c r="SHU527" s="1358"/>
      <c r="SHV527" s="1358"/>
      <c r="SHW527" s="1358"/>
      <c r="SHX527" s="1358"/>
      <c r="SHY527" s="1358"/>
      <c r="SHZ527" s="1358"/>
      <c r="SIA527" s="1358"/>
      <c r="SIB527" s="1358"/>
      <c r="SIC527" s="1358"/>
      <c r="SID527" s="1358"/>
      <c r="SIE527" s="1358"/>
      <c r="SIF527" s="1358"/>
      <c r="SIG527" s="1358"/>
      <c r="SIH527" s="1358"/>
      <c r="SII527" s="1358"/>
      <c r="SIJ527" s="1358"/>
      <c r="SIK527" s="1358"/>
      <c r="SIL527" s="1358"/>
      <c r="SIM527" s="1358"/>
      <c r="SIN527" s="1358"/>
      <c r="SIO527" s="1358"/>
      <c r="SIP527" s="1358"/>
      <c r="SIQ527" s="1358"/>
      <c r="SIR527" s="1358"/>
      <c r="SIS527" s="1358"/>
      <c r="SIT527" s="1358"/>
      <c r="SIU527" s="1358"/>
      <c r="SIV527" s="1358"/>
      <c r="SIW527" s="1358"/>
      <c r="SIX527" s="1358"/>
      <c r="SIY527" s="1358"/>
      <c r="SIZ527" s="1358"/>
      <c r="SJA527" s="1358"/>
      <c r="SJB527" s="1358"/>
      <c r="SJC527" s="1358"/>
      <c r="SJD527" s="1358"/>
      <c r="SJE527" s="1358"/>
      <c r="SJF527" s="1358"/>
      <c r="SJG527" s="1358"/>
      <c r="SJH527" s="1358"/>
      <c r="SJI527" s="1358"/>
      <c r="SJJ527" s="1358"/>
      <c r="SJK527" s="1358"/>
      <c r="SJL527" s="1358"/>
      <c r="SJM527" s="1358"/>
      <c r="SJN527" s="1358"/>
      <c r="SJO527" s="1358"/>
      <c r="SJP527" s="1358"/>
      <c r="SJQ527" s="1358"/>
      <c r="SJR527" s="1358"/>
      <c r="SJS527" s="1358"/>
      <c r="SJT527" s="1358"/>
      <c r="SJU527" s="1358"/>
      <c r="SJV527" s="1358"/>
      <c r="SJW527" s="1358"/>
      <c r="SJX527" s="1358"/>
      <c r="SJY527" s="1358"/>
      <c r="SJZ527" s="1358"/>
      <c r="SKA527" s="1358"/>
      <c r="SKB527" s="1358"/>
      <c r="SKC527" s="1358"/>
      <c r="SKD527" s="1358"/>
      <c r="SKE527" s="1358"/>
      <c r="SKF527" s="1358"/>
      <c r="SKG527" s="1358"/>
      <c r="SKH527" s="1358"/>
      <c r="SKI527" s="1358"/>
      <c r="SKJ527" s="1358"/>
      <c r="SKK527" s="1358"/>
      <c r="SKL527" s="1358"/>
      <c r="SKM527" s="1358"/>
      <c r="SKN527" s="1358"/>
      <c r="SKO527" s="1358"/>
      <c r="SKP527" s="1358"/>
      <c r="SKQ527" s="1358"/>
      <c r="SKR527" s="1358"/>
      <c r="SKS527" s="1358"/>
      <c r="SKT527" s="1358"/>
      <c r="SKU527" s="1358"/>
      <c r="SKV527" s="1358"/>
      <c r="SKW527" s="1358"/>
      <c r="SKX527" s="1358"/>
      <c r="SKY527" s="1358"/>
      <c r="SKZ527" s="1358"/>
      <c r="SLA527" s="1358"/>
      <c r="SLB527" s="1358"/>
      <c r="SLC527" s="1358"/>
      <c r="SLD527" s="1358"/>
      <c r="SLE527" s="1358"/>
      <c r="SLF527" s="1358"/>
      <c r="SLG527" s="1358"/>
      <c r="SLH527" s="1358"/>
      <c r="SLI527" s="1358"/>
      <c r="SLJ527" s="1358"/>
      <c r="SLK527" s="1358"/>
      <c r="SLL527" s="1358"/>
      <c r="SLM527" s="1358"/>
      <c r="SLN527" s="1358"/>
      <c r="SLO527" s="1358"/>
      <c r="SLP527" s="1358"/>
      <c r="SLQ527" s="1358"/>
      <c r="SLR527" s="1358"/>
      <c r="SLS527" s="1358"/>
      <c r="SLT527" s="1358"/>
      <c r="SLU527" s="1358"/>
      <c r="SLV527" s="1358"/>
      <c r="SLW527" s="1358"/>
      <c r="SLX527" s="1358"/>
      <c r="SLY527" s="1358"/>
      <c r="SLZ527" s="1358"/>
      <c r="SMA527" s="1358"/>
      <c r="SMB527" s="1358"/>
      <c r="SMC527" s="1358"/>
      <c r="SMD527" s="1358"/>
      <c r="SME527" s="1358"/>
      <c r="SMF527" s="1358"/>
      <c r="SMG527" s="1358"/>
      <c r="SMH527" s="1358"/>
      <c r="SMI527" s="1358"/>
      <c r="SMJ527" s="1358"/>
      <c r="SMK527" s="1358"/>
      <c r="SML527" s="1358"/>
      <c r="SMM527" s="1358"/>
      <c r="SMN527" s="1358"/>
      <c r="SMO527" s="1358"/>
      <c r="SMP527" s="1358"/>
      <c r="SMQ527" s="1358"/>
      <c r="SMR527" s="1358"/>
      <c r="SMS527" s="1358"/>
      <c r="SMT527" s="1358"/>
      <c r="SMU527" s="1358"/>
      <c r="SMV527" s="1358"/>
      <c r="SMW527" s="1358"/>
      <c r="SMX527" s="1358"/>
      <c r="SMY527" s="1358"/>
      <c r="SMZ527" s="1358"/>
      <c r="SNA527" s="1358"/>
      <c r="SNB527" s="1358"/>
      <c r="SNC527" s="1358"/>
      <c r="SND527" s="1358"/>
      <c r="SNE527" s="1358"/>
      <c r="SNF527" s="1358"/>
      <c r="SNG527" s="1358"/>
      <c r="SNH527" s="1358"/>
      <c r="SNI527" s="1358"/>
      <c r="SNJ527" s="1358"/>
      <c r="SNK527" s="1358"/>
      <c r="SNL527" s="1358"/>
      <c r="SNM527" s="1358"/>
      <c r="SNN527" s="1358"/>
      <c r="SNO527" s="1358"/>
      <c r="SNP527" s="1358"/>
      <c r="SNQ527" s="1358"/>
      <c r="SNR527" s="1358"/>
      <c r="SNS527" s="1358"/>
      <c r="SNT527" s="1358"/>
      <c r="SNU527" s="1358"/>
      <c r="SNV527" s="1358"/>
      <c r="SNW527" s="1358"/>
      <c r="SNX527" s="1358"/>
      <c r="SNY527" s="1358"/>
      <c r="SNZ527" s="1358"/>
      <c r="SOA527" s="1358"/>
      <c r="SOB527" s="1358"/>
      <c r="SOC527" s="1358"/>
      <c r="SOD527" s="1358"/>
      <c r="SOE527" s="1358"/>
      <c r="SOF527" s="1358"/>
      <c r="SOG527" s="1358"/>
      <c r="SOH527" s="1358"/>
      <c r="SOI527" s="1358"/>
      <c r="SOJ527" s="1358"/>
      <c r="SOK527" s="1358"/>
      <c r="SOL527" s="1358"/>
      <c r="SOM527" s="1358"/>
      <c r="SON527" s="1358"/>
      <c r="SOO527" s="1358"/>
      <c r="SOP527" s="1358"/>
      <c r="SOQ527" s="1358"/>
      <c r="SOR527" s="1358"/>
      <c r="SOS527" s="1358"/>
      <c r="SOT527" s="1358"/>
      <c r="SOU527" s="1358"/>
      <c r="SOV527" s="1358"/>
      <c r="SOW527" s="1358"/>
      <c r="SOX527" s="1358"/>
      <c r="SOY527" s="1358"/>
      <c r="SOZ527" s="1358"/>
      <c r="SPA527" s="1358"/>
      <c r="SPB527" s="1358"/>
      <c r="SPC527" s="1358"/>
      <c r="SPD527" s="1358"/>
      <c r="SPE527" s="1358"/>
      <c r="SPF527" s="1358"/>
      <c r="SPG527" s="1358"/>
      <c r="SPH527" s="1358"/>
      <c r="SPI527" s="1358"/>
      <c r="SPJ527" s="1358"/>
      <c r="SPK527" s="1358"/>
      <c r="SPL527" s="1358"/>
      <c r="SPM527" s="1358"/>
      <c r="SPN527" s="1358"/>
      <c r="SPO527" s="1358"/>
      <c r="SPP527" s="1358"/>
      <c r="SPQ527" s="1358"/>
      <c r="SPR527" s="1358"/>
      <c r="SPS527" s="1358"/>
      <c r="SPT527" s="1358"/>
      <c r="SPU527" s="1358"/>
      <c r="SPV527" s="1358"/>
      <c r="SPW527" s="1358"/>
      <c r="SPX527" s="1358"/>
      <c r="SPY527" s="1358"/>
      <c r="SPZ527" s="1358"/>
      <c r="SQA527" s="1358"/>
      <c r="SQB527" s="1358"/>
      <c r="SQC527" s="1358"/>
      <c r="SQD527" s="1358"/>
      <c r="SQE527" s="1358"/>
      <c r="SQF527" s="1358"/>
      <c r="SQG527" s="1358"/>
      <c r="SQH527" s="1358"/>
      <c r="SQI527" s="1358"/>
      <c r="SQJ527" s="1358"/>
      <c r="SQK527" s="1358"/>
      <c r="SQL527" s="1358"/>
      <c r="SQM527" s="1358"/>
      <c r="SQN527" s="1358"/>
      <c r="SQO527" s="1358"/>
      <c r="SQP527" s="1358"/>
      <c r="SQQ527" s="1358"/>
      <c r="SQR527" s="1358"/>
      <c r="SQS527" s="1358"/>
      <c r="SQT527" s="1358"/>
      <c r="SQU527" s="1358"/>
      <c r="SQV527" s="1358"/>
      <c r="SQW527" s="1358"/>
      <c r="SQX527" s="1358"/>
      <c r="SQY527" s="1358"/>
      <c r="SQZ527" s="1358"/>
      <c r="SRA527" s="1358"/>
      <c r="SRB527" s="1358"/>
      <c r="SRC527" s="1358"/>
      <c r="SRD527" s="1358"/>
      <c r="SRE527" s="1358"/>
      <c r="SRF527" s="1358"/>
      <c r="SRG527" s="1358"/>
      <c r="SRH527" s="1358"/>
      <c r="SRI527" s="1358"/>
      <c r="SRJ527" s="1358"/>
      <c r="SRK527" s="1358"/>
      <c r="SRL527" s="1358"/>
      <c r="SRM527" s="1358"/>
      <c r="SRN527" s="1358"/>
      <c r="SRO527" s="1358"/>
      <c r="SRP527" s="1358"/>
      <c r="SRQ527" s="1358"/>
      <c r="SRR527" s="1358"/>
      <c r="SRS527" s="1358"/>
      <c r="SRT527" s="1358"/>
      <c r="SRU527" s="1358"/>
      <c r="SRV527" s="1358"/>
      <c r="SRW527" s="1358"/>
      <c r="SRX527" s="1358"/>
      <c r="SRY527" s="1358"/>
      <c r="SRZ527" s="1358"/>
      <c r="SSA527" s="1358"/>
      <c r="SSB527" s="1358"/>
      <c r="SSC527" s="1358"/>
      <c r="SSD527" s="1358"/>
      <c r="SSE527" s="1358"/>
      <c r="SSF527" s="1358"/>
      <c r="SSG527" s="1358"/>
      <c r="SSH527" s="1358"/>
      <c r="SSI527" s="1358"/>
      <c r="SSJ527" s="1358"/>
      <c r="SSK527" s="1358"/>
      <c r="SSL527" s="1358"/>
      <c r="SSM527" s="1358"/>
      <c r="SSN527" s="1358"/>
      <c r="SSO527" s="1358"/>
      <c r="SSP527" s="1358"/>
      <c r="SSQ527" s="1358"/>
      <c r="SSR527" s="1358"/>
      <c r="SSS527" s="1358"/>
      <c r="SST527" s="1358"/>
      <c r="SSU527" s="1358"/>
      <c r="SSV527" s="1358"/>
      <c r="SSW527" s="1358"/>
      <c r="SSX527" s="1358"/>
      <c r="SSY527" s="1358"/>
      <c r="SSZ527" s="1358"/>
      <c r="STA527" s="1358"/>
      <c r="STB527" s="1358"/>
      <c r="STC527" s="1358"/>
      <c r="STD527" s="1358"/>
      <c r="STE527" s="1358"/>
      <c r="STF527" s="1358"/>
      <c r="STG527" s="1358"/>
      <c r="STH527" s="1358"/>
      <c r="STI527" s="1358"/>
      <c r="STJ527" s="1358"/>
      <c r="STK527" s="1358"/>
      <c r="STL527" s="1358"/>
      <c r="STM527" s="1358"/>
      <c r="STN527" s="1358"/>
      <c r="STO527" s="1358"/>
      <c r="STP527" s="1358"/>
      <c r="STQ527" s="1358"/>
      <c r="STR527" s="1358"/>
      <c r="STS527" s="1358"/>
      <c r="STT527" s="1358"/>
      <c r="STU527" s="1358"/>
      <c r="STV527" s="1358"/>
      <c r="STW527" s="1358"/>
      <c r="STX527" s="1358"/>
      <c r="STY527" s="1358"/>
      <c r="STZ527" s="1358"/>
      <c r="SUA527" s="1358"/>
      <c r="SUB527" s="1358"/>
      <c r="SUC527" s="1358"/>
      <c r="SUD527" s="1358"/>
      <c r="SUE527" s="1358"/>
      <c r="SUF527" s="1358"/>
      <c r="SUG527" s="1358"/>
      <c r="SUH527" s="1358"/>
      <c r="SUI527" s="1358"/>
      <c r="SUJ527" s="1358"/>
      <c r="SUK527" s="1358"/>
      <c r="SUL527" s="1358"/>
      <c r="SUM527" s="1358"/>
      <c r="SUN527" s="1358"/>
      <c r="SUO527" s="1358"/>
      <c r="SUP527" s="1358"/>
      <c r="SUQ527" s="1358"/>
      <c r="SUR527" s="1358"/>
      <c r="SUS527" s="1358"/>
      <c r="SUT527" s="1358"/>
      <c r="SUU527" s="1358"/>
      <c r="SUV527" s="1358"/>
      <c r="SUW527" s="1358"/>
      <c r="SUX527" s="1358"/>
      <c r="SUY527" s="1358"/>
      <c r="SUZ527" s="1358"/>
      <c r="SVA527" s="1358"/>
      <c r="SVB527" s="1358"/>
      <c r="SVC527" s="1358"/>
      <c r="SVD527" s="1358"/>
      <c r="SVE527" s="1358"/>
      <c r="SVF527" s="1358"/>
      <c r="SVG527" s="1358"/>
      <c r="SVH527" s="1358"/>
      <c r="SVI527" s="1358"/>
      <c r="SVJ527" s="1358"/>
      <c r="SVK527" s="1358"/>
      <c r="SVL527" s="1358"/>
      <c r="SVM527" s="1358"/>
      <c r="SVN527" s="1358"/>
      <c r="SVO527" s="1358"/>
      <c r="SVP527" s="1358"/>
      <c r="SVQ527" s="1358"/>
      <c r="SVR527" s="1358"/>
      <c r="SVS527" s="1358"/>
      <c r="SVT527" s="1358"/>
      <c r="SVU527" s="1358"/>
      <c r="SVV527" s="1358"/>
      <c r="SVW527" s="1358"/>
      <c r="SVX527" s="1358"/>
      <c r="SVY527" s="1358"/>
      <c r="SVZ527" s="1358"/>
      <c r="SWA527" s="1358"/>
      <c r="SWB527" s="1358"/>
      <c r="SWC527" s="1358"/>
      <c r="SWD527" s="1358"/>
      <c r="SWE527" s="1358"/>
      <c r="SWF527" s="1358"/>
      <c r="SWG527" s="1358"/>
      <c r="SWH527" s="1358"/>
      <c r="SWI527" s="1358"/>
      <c r="SWJ527" s="1358"/>
      <c r="SWK527" s="1358"/>
      <c r="SWL527" s="1358"/>
      <c r="SWM527" s="1358"/>
      <c r="SWN527" s="1358"/>
      <c r="SWO527" s="1358"/>
      <c r="SWP527" s="1358"/>
      <c r="SWQ527" s="1358"/>
      <c r="SWR527" s="1358"/>
      <c r="SWS527" s="1358"/>
      <c r="SWT527" s="1358"/>
      <c r="SWU527" s="1358"/>
      <c r="SWV527" s="1358"/>
      <c r="SWW527" s="1358"/>
      <c r="SWX527" s="1358"/>
      <c r="SWY527" s="1358"/>
      <c r="SWZ527" s="1358"/>
      <c r="SXA527" s="1358"/>
      <c r="SXB527" s="1358"/>
      <c r="SXC527" s="1358"/>
      <c r="SXD527" s="1358"/>
      <c r="SXE527" s="1358"/>
      <c r="SXF527" s="1358"/>
      <c r="SXG527" s="1358"/>
      <c r="SXH527" s="1358"/>
      <c r="SXI527" s="1358"/>
      <c r="SXJ527" s="1358"/>
      <c r="SXK527" s="1358"/>
      <c r="SXL527" s="1358"/>
      <c r="SXM527" s="1358"/>
      <c r="SXN527" s="1358"/>
      <c r="SXO527" s="1358"/>
      <c r="SXP527" s="1358"/>
      <c r="SXQ527" s="1358"/>
      <c r="SXR527" s="1358"/>
      <c r="SXS527" s="1358"/>
      <c r="SXT527" s="1358"/>
      <c r="SXU527" s="1358"/>
      <c r="SXV527" s="1358"/>
      <c r="SXW527" s="1358"/>
      <c r="SXX527" s="1358"/>
      <c r="SXY527" s="1358"/>
      <c r="SXZ527" s="1358"/>
      <c r="SYA527" s="1358"/>
      <c r="SYB527" s="1358"/>
      <c r="SYC527" s="1358"/>
      <c r="SYD527" s="1358"/>
      <c r="SYE527" s="1358"/>
      <c r="SYF527" s="1358"/>
      <c r="SYG527" s="1358"/>
      <c r="SYH527" s="1358"/>
      <c r="SYI527" s="1358"/>
      <c r="SYJ527" s="1358"/>
      <c r="SYK527" s="1358"/>
      <c r="SYL527" s="1358"/>
      <c r="SYM527" s="1358"/>
      <c r="SYN527" s="1358"/>
      <c r="SYO527" s="1358"/>
      <c r="SYP527" s="1358"/>
      <c r="SYQ527" s="1358"/>
      <c r="SYR527" s="1358"/>
      <c r="SYS527" s="1358"/>
      <c r="SYT527" s="1358"/>
      <c r="SYU527" s="1358"/>
      <c r="SYV527" s="1358"/>
      <c r="SYW527" s="1358"/>
      <c r="SYX527" s="1358"/>
      <c r="SYY527" s="1358"/>
      <c r="SYZ527" s="1358"/>
      <c r="SZA527" s="1358"/>
      <c r="SZB527" s="1358"/>
      <c r="SZC527" s="1358"/>
      <c r="SZD527" s="1358"/>
      <c r="SZE527" s="1358"/>
      <c r="SZF527" s="1358"/>
      <c r="SZG527" s="1358"/>
      <c r="SZH527" s="1358"/>
      <c r="SZI527" s="1358"/>
      <c r="SZJ527" s="1358"/>
      <c r="SZK527" s="1358"/>
      <c r="SZL527" s="1358"/>
      <c r="SZM527" s="1358"/>
      <c r="SZN527" s="1358"/>
      <c r="SZO527" s="1358"/>
      <c r="SZP527" s="1358"/>
      <c r="SZQ527" s="1358"/>
      <c r="SZR527" s="1358"/>
      <c r="SZS527" s="1358"/>
      <c r="SZT527" s="1358"/>
      <c r="SZU527" s="1358"/>
      <c r="SZV527" s="1358"/>
      <c r="SZW527" s="1358"/>
      <c r="SZX527" s="1358"/>
      <c r="SZY527" s="1358"/>
      <c r="SZZ527" s="1358"/>
      <c r="TAA527" s="1358"/>
      <c r="TAB527" s="1358"/>
      <c r="TAC527" s="1358"/>
      <c r="TAD527" s="1358"/>
      <c r="TAE527" s="1358"/>
      <c r="TAF527" s="1358"/>
      <c r="TAG527" s="1358"/>
      <c r="TAH527" s="1358"/>
      <c r="TAI527" s="1358"/>
      <c r="TAJ527" s="1358"/>
      <c r="TAK527" s="1358"/>
      <c r="TAL527" s="1358"/>
      <c r="TAM527" s="1358"/>
      <c r="TAN527" s="1358"/>
      <c r="TAO527" s="1358"/>
      <c r="TAP527" s="1358"/>
      <c r="TAQ527" s="1358"/>
      <c r="TAR527" s="1358"/>
      <c r="TAS527" s="1358"/>
      <c r="TAT527" s="1358"/>
      <c r="TAU527" s="1358"/>
      <c r="TAV527" s="1358"/>
      <c r="TAW527" s="1358"/>
      <c r="TAX527" s="1358"/>
      <c r="TAY527" s="1358"/>
      <c r="TAZ527" s="1358"/>
      <c r="TBA527" s="1358"/>
      <c r="TBB527" s="1358"/>
      <c r="TBC527" s="1358"/>
      <c r="TBD527" s="1358"/>
      <c r="TBE527" s="1358"/>
      <c r="TBF527" s="1358"/>
      <c r="TBG527" s="1358"/>
      <c r="TBH527" s="1358"/>
      <c r="TBI527" s="1358"/>
      <c r="TBJ527" s="1358"/>
      <c r="TBK527" s="1358"/>
      <c r="TBL527" s="1358"/>
      <c r="TBM527" s="1358"/>
      <c r="TBN527" s="1358"/>
      <c r="TBO527" s="1358"/>
      <c r="TBP527" s="1358"/>
      <c r="TBQ527" s="1358"/>
      <c r="TBR527" s="1358"/>
      <c r="TBS527" s="1358"/>
      <c r="TBT527" s="1358"/>
      <c r="TBU527" s="1358"/>
      <c r="TBV527" s="1358"/>
      <c r="TBW527" s="1358"/>
      <c r="TBX527" s="1358"/>
      <c r="TBY527" s="1358"/>
      <c r="TBZ527" s="1358"/>
      <c r="TCA527" s="1358"/>
      <c r="TCB527" s="1358"/>
      <c r="TCC527" s="1358"/>
      <c r="TCD527" s="1358"/>
      <c r="TCE527" s="1358"/>
      <c r="TCF527" s="1358"/>
      <c r="TCG527" s="1358"/>
      <c r="TCH527" s="1358"/>
      <c r="TCI527" s="1358"/>
      <c r="TCJ527" s="1358"/>
      <c r="TCK527" s="1358"/>
      <c r="TCL527" s="1358"/>
      <c r="TCM527" s="1358"/>
      <c r="TCN527" s="1358"/>
      <c r="TCO527" s="1358"/>
      <c r="TCP527" s="1358"/>
      <c r="TCQ527" s="1358"/>
      <c r="TCR527" s="1358"/>
      <c r="TCS527" s="1358"/>
      <c r="TCT527" s="1358"/>
      <c r="TCU527" s="1358"/>
      <c r="TCV527" s="1358"/>
      <c r="TCW527" s="1358"/>
      <c r="TCX527" s="1358"/>
      <c r="TCY527" s="1358"/>
      <c r="TCZ527" s="1358"/>
      <c r="TDA527" s="1358"/>
      <c r="TDB527" s="1358"/>
      <c r="TDC527" s="1358"/>
      <c r="TDD527" s="1358"/>
      <c r="TDE527" s="1358"/>
      <c r="TDF527" s="1358"/>
      <c r="TDG527" s="1358"/>
      <c r="TDH527" s="1358"/>
      <c r="TDI527" s="1358"/>
      <c r="TDJ527" s="1358"/>
      <c r="TDK527" s="1358"/>
      <c r="TDL527" s="1358"/>
      <c r="TDM527" s="1358"/>
      <c r="TDN527" s="1358"/>
      <c r="TDO527" s="1358"/>
      <c r="TDP527" s="1358"/>
      <c r="TDQ527" s="1358"/>
      <c r="TDR527" s="1358"/>
      <c r="TDS527" s="1358"/>
      <c r="TDT527" s="1358"/>
      <c r="TDU527" s="1358"/>
      <c r="TDV527" s="1358"/>
      <c r="TDW527" s="1358"/>
      <c r="TDX527" s="1358"/>
      <c r="TDY527" s="1358"/>
      <c r="TDZ527" s="1358"/>
      <c r="TEA527" s="1358"/>
      <c r="TEB527" s="1358"/>
      <c r="TEC527" s="1358"/>
      <c r="TED527" s="1358"/>
      <c r="TEE527" s="1358"/>
      <c r="TEF527" s="1358"/>
      <c r="TEG527" s="1358"/>
      <c r="TEH527" s="1358"/>
      <c r="TEI527" s="1358"/>
      <c r="TEJ527" s="1358"/>
      <c r="TEK527" s="1358"/>
      <c r="TEL527" s="1358"/>
      <c r="TEM527" s="1358"/>
      <c r="TEN527" s="1358"/>
      <c r="TEO527" s="1358"/>
      <c r="TEP527" s="1358"/>
      <c r="TEQ527" s="1358"/>
      <c r="TER527" s="1358"/>
      <c r="TES527" s="1358"/>
      <c r="TET527" s="1358"/>
      <c r="TEU527" s="1358"/>
      <c r="TEV527" s="1358"/>
      <c r="TEW527" s="1358"/>
      <c r="TEX527" s="1358"/>
      <c r="TEY527" s="1358"/>
      <c r="TEZ527" s="1358"/>
      <c r="TFA527" s="1358"/>
      <c r="TFB527" s="1358"/>
      <c r="TFC527" s="1358"/>
      <c r="TFD527" s="1358"/>
      <c r="TFE527" s="1358"/>
      <c r="TFF527" s="1358"/>
      <c r="TFG527" s="1358"/>
      <c r="TFH527" s="1358"/>
      <c r="TFI527" s="1358"/>
      <c r="TFJ527" s="1358"/>
      <c r="TFK527" s="1358"/>
      <c r="TFL527" s="1358"/>
      <c r="TFM527" s="1358"/>
      <c r="TFN527" s="1358"/>
      <c r="TFO527" s="1358"/>
      <c r="TFP527" s="1358"/>
      <c r="TFQ527" s="1358"/>
      <c r="TFR527" s="1358"/>
      <c r="TFS527" s="1358"/>
      <c r="TFT527" s="1358"/>
      <c r="TFU527" s="1358"/>
      <c r="TFV527" s="1358"/>
      <c r="TFW527" s="1358"/>
      <c r="TFX527" s="1358"/>
      <c r="TFY527" s="1358"/>
      <c r="TFZ527" s="1358"/>
      <c r="TGA527" s="1358"/>
      <c r="TGB527" s="1358"/>
      <c r="TGC527" s="1358"/>
      <c r="TGD527" s="1358"/>
      <c r="TGE527" s="1358"/>
      <c r="TGF527" s="1358"/>
      <c r="TGG527" s="1358"/>
      <c r="TGH527" s="1358"/>
      <c r="TGI527" s="1358"/>
      <c r="TGJ527" s="1358"/>
      <c r="TGK527" s="1358"/>
      <c r="TGL527" s="1358"/>
      <c r="TGM527" s="1358"/>
      <c r="TGN527" s="1358"/>
      <c r="TGO527" s="1358"/>
      <c r="TGP527" s="1358"/>
      <c r="TGQ527" s="1358"/>
      <c r="TGR527" s="1358"/>
      <c r="TGS527" s="1358"/>
      <c r="TGT527" s="1358"/>
      <c r="TGU527" s="1358"/>
      <c r="TGV527" s="1358"/>
      <c r="TGW527" s="1358"/>
      <c r="TGX527" s="1358"/>
      <c r="TGY527" s="1358"/>
      <c r="TGZ527" s="1358"/>
      <c r="THA527" s="1358"/>
      <c r="THB527" s="1358"/>
      <c r="THC527" s="1358"/>
      <c r="THD527" s="1358"/>
      <c r="THE527" s="1358"/>
      <c r="THF527" s="1358"/>
      <c r="THG527" s="1358"/>
      <c r="THH527" s="1358"/>
      <c r="THI527" s="1358"/>
      <c r="THJ527" s="1358"/>
      <c r="THK527" s="1358"/>
      <c r="THL527" s="1358"/>
      <c r="THM527" s="1358"/>
      <c r="THN527" s="1358"/>
      <c r="THO527" s="1358"/>
      <c r="THP527" s="1358"/>
      <c r="THQ527" s="1358"/>
      <c r="THR527" s="1358"/>
      <c r="THS527" s="1358"/>
      <c r="THT527" s="1358"/>
      <c r="THU527" s="1358"/>
      <c r="THV527" s="1358"/>
      <c r="THW527" s="1358"/>
      <c r="THX527" s="1358"/>
      <c r="THY527" s="1358"/>
      <c r="THZ527" s="1358"/>
      <c r="TIA527" s="1358"/>
      <c r="TIB527" s="1358"/>
      <c r="TIC527" s="1358"/>
      <c r="TID527" s="1358"/>
      <c r="TIE527" s="1358"/>
      <c r="TIF527" s="1358"/>
      <c r="TIG527" s="1358"/>
      <c r="TIH527" s="1358"/>
      <c r="TII527" s="1358"/>
      <c r="TIJ527" s="1358"/>
      <c r="TIK527" s="1358"/>
      <c r="TIL527" s="1358"/>
      <c r="TIM527" s="1358"/>
      <c r="TIN527" s="1358"/>
      <c r="TIO527" s="1358"/>
      <c r="TIP527" s="1358"/>
      <c r="TIQ527" s="1358"/>
      <c r="TIR527" s="1358"/>
      <c r="TIS527" s="1358"/>
      <c r="TIT527" s="1358"/>
      <c r="TIU527" s="1358"/>
      <c r="TIV527" s="1358"/>
      <c r="TIW527" s="1358"/>
      <c r="TIX527" s="1358"/>
      <c r="TIY527" s="1358"/>
      <c r="TIZ527" s="1358"/>
      <c r="TJA527" s="1358"/>
      <c r="TJB527" s="1358"/>
      <c r="TJC527" s="1358"/>
      <c r="TJD527" s="1358"/>
      <c r="TJE527" s="1358"/>
      <c r="TJF527" s="1358"/>
      <c r="TJG527" s="1358"/>
      <c r="TJH527" s="1358"/>
      <c r="TJI527" s="1358"/>
      <c r="TJJ527" s="1358"/>
      <c r="TJK527" s="1358"/>
      <c r="TJL527" s="1358"/>
      <c r="TJM527" s="1358"/>
      <c r="TJN527" s="1358"/>
      <c r="TJO527" s="1358"/>
      <c r="TJP527" s="1358"/>
      <c r="TJQ527" s="1358"/>
      <c r="TJR527" s="1358"/>
      <c r="TJS527" s="1358"/>
      <c r="TJT527" s="1358"/>
      <c r="TJU527" s="1358"/>
      <c r="TJV527" s="1358"/>
      <c r="TJW527" s="1358"/>
      <c r="TJX527" s="1358"/>
      <c r="TJY527" s="1358"/>
      <c r="TJZ527" s="1358"/>
      <c r="TKA527" s="1358"/>
      <c r="TKB527" s="1358"/>
      <c r="TKC527" s="1358"/>
      <c r="TKD527" s="1358"/>
      <c r="TKE527" s="1358"/>
      <c r="TKF527" s="1358"/>
      <c r="TKG527" s="1358"/>
      <c r="TKH527" s="1358"/>
      <c r="TKI527" s="1358"/>
      <c r="TKJ527" s="1358"/>
      <c r="TKK527" s="1358"/>
      <c r="TKL527" s="1358"/>
      <c r="TKM527" s="1358"/>
      <c r="TKN527" s="1358"/>
      <c r="TKO527" s="1358"/>
      <c r="TKP527" s="1358"/>
      <c r="TKQ527" s="1358"/>
      <c r="TKR527" s="1358"/>
      <c r="TKS527" s="1358"/>
      <c r="TKT527" s="1358"/>
      <c r="TKU527" s="1358"/>
      <c r="TKV527" s="1358"/>
      <c r="TKW527" s="1358"/>
      <c r="TKX527" s="1358"/>
      <c r="TKY527" s="1358"/>
      <c r="TKZ527" s="1358"/>
      <c r="TLA527" s="1358"/>
      <c r="TLB527" s="1358"/>
      <c r="TLC527" s="1358"/>
      <c r="TLD527" s="1358"/>
      <c r="TLE527" s="1358"/>
      <c r="TLF527" s="1358"/>
      <c r="TLG527" s="1358"/>
      <c r="TLH527" s="1358"/>
      <c r="TLI527" s="1358"/>
      <c r="TLJ527" s="1358"/>
      <c r="TLK527" s="1358"/>
      <c r="TLL527" s="1358"/>
      <c r="TLM527" s="1358"/>
      <c r="TLN527" s="1358"/>
      <c r="TLO527" s="1358"/>
      <c r="TLP527" s="1358"/>
      <c r="TLQ527" s="1358"/>
      <c r="TLR527" s="1358"/>
      <c r="TLS527" s="1358"/>
      <c r="TLT527" s="1358"/>
      <c r="TLU527" s="1358"/>
      <c r="TLV527" s="1358"/>
      <c r="TLW527" s="1358"/>
      <c r="TLX527" s="1358"/>
      <c r="TLY527" s="1358"/>
      <c r="TLZ527" s="1358"/>
      <c r="TMA527" s="1358"/>
      <c r="TMB527" s="1358"/>
      <c r="TMC527" s="1358"/>
      <c r="TMD527" s="1358"/>
      <c r="TME527" s="1358"/>
      <c r="TMF527" s="1358"/>
      <c r="TMG527" s="1358"/>
      <c r="TMH527" s="1358"/>
      <c r="TMI527" s="1358"/>
      <c r="TMJ527" s="1358"/>
      <c r="TMK527" s="1358"/>
      <c r="TML527" s="1358"/>
      <c r="TMM527" s="1358"/>
      <c r="TMN527" s="1358"/>
      <c r="TMO527" s="1358"/>
      <c r="TMP527" s="1358"/>
      <c r="TMQ527" s="1358"/>
      <c r="TMR527" s="1358"/>
      <c r="TMS527" s="1358"/>
      <c r="TMT527" s="1358"/>
      <c r="TMU527" s="1358"/>
      <c r="TMV527" s="1358"/>
      <c r="TMW527" s="1358"/>
      <c r="TMX527" s="1358"/>
      <c r="TMY527" s="1358"/>
      <c r="TMZ527" s="1358"/>
      <c r="TNA527" s="1358"/>
      <c r="TNB527" s="1358"/>
      <c r="TNC527" s="1358"/>
      <c r="TND527" s="1358"/>
      <c r="TNE527" s="1358"/>
      <c r="TNF527" s="1358"/>
      <c r="TNG527" s="1358"/>
      <c r="TNH527" s="1358"/>
      <c r="TNI527" s="1358"/>
      <c r="TNJ527" s="1358"/>
      <c r="TNK527" s="1358"/>
      <c r="TNL527" s="1358"/>
      <c r="TNM527" s="1358"/>
      <c r="TNN527" s="1358"/>
      <c r="TNO527" s="1358"/>
      <c r="TNP527" s="1358"/>
      <c r="TNQ527" s="1358"/>
      <c r="TNR527" s="1358"/>
      <c r="TNS527" s="1358"/>
      <c r="TNT527" s="1358"/>
      <c r="TNU527" s="1358"/>
      <c r="TNV527" s="1358"/>
      <c r="TNW527" s="1358"/>
      <c r="TNX527" s="1358"/>
      <c r="TNY527" s="1358"/>
      <c r="TNZ527" s="1358"/>
      <c r="TOA527" s="1358"/>
      <c r="TOB527" s="1358"/>
      <c r="TOC527" s="1358"/>
      <c r="TOD527" s="1358"/>
      <c r="TOE527" s="1358"/>
      <c r="TOF527" s="1358"/>
      <c r="TOG527" s="1358"/>
      <c r="TOH527" s="1358"/>
      <c r="TOI527" s="1358"/>
      <c r="TOJ527" s="1358"/>
      <c r="TOK527" s="1358"/>
      <c r="TOL527" s="1358"/>
      <c r="TOM527" s="1358"/>
      <c r="TON527" s="1358"/>
      <c r="TOO527" s="1358"/>
      <c r="TOP527" s="1358"/>
      <c r="TOQ527" s="1358"/>
      <c r="TOR527" s="1358"/>
      <c r="TOS527" s="1358"/>
      <c r="TOT527" s="1358"/>
      <c r="TOU527" s="1358"/>
      <c r="TOV527" s="1358"/>
      <c r="TOW527" s="1358"/>
      <c r="TOX527" s="1358"/>
      <c r="TOY527" s="1358"/>
      <c r="TOZ527" s="1358"/>
      <c r="TPA527" s="1358"/>
      <c r="TPB527" s="1358"/>
      <c r="TPC527" s="1358"/>
      <c r="TPD527" s="1358"/>
      <c r="TPE527" s="1358"/>
      <c r="TPF527" s="1358"/>
      <c r="TPG527" s="1358"/>
      <c r="TPH527" s="1358"/>
      <c r="TPI527" s="1358"/>
      <c r="TPJ527" s="1358"/>
      <c r="TPK527" s="1358"/>
      <c r="TPL527" s="1358"/>
      <c r="TPM527" s="1358"/>
      <c r="TPN527" s="1358"/>
      <c r="TPO527" s="1358"/>
      <c r="TPP527" s="1358"/>
      <c r="TPQ527" s="1358"/>
      <c r="TPR527" s="1358"/>
      <c r="TPS527" s="1358"/>
      <c r="TPT527" s="1358"/>
      <c r="TPU527" s="1358"/>
      <c r="TPV527" s="1358"/>
      <c r="TPW527" s="1358"/>
      <c r="TPX527" s="1358"/>
      <c r="TPY527" s="1358"/>
      <c r="TPZ527" s="1358"/>
      <c r="TQA527" s="1358"/>
      <c r="TQB527" s="1358"/>
      <c r="TQC527" s="1358"/>
      <c r="TQD527" s="1358"/>
      <c r="TQE527" s="1358"/>
      <c r="TQF527" s="1358"/>
      <c r="TQG527" s="1358"/>
      <c r="TQH527" s="1358"/>
      <c r="TQI527" s="1358"/>
      <c r="TQJ527" s="1358"/>
      <c r="TQK527" s="1358"/>
      <c r="TQL527" s="1358"/>
      <c r="TQM527" s="1358"/>
      <c r="TQN527" s="1358"/>
      <c r="TQO527" s="1358"/>
      <c r="TQP527" s="1358"/>
      <c r="TQQ527" s="1358"/>
      <c r="TQR527" s="1358"/>
      <c r="TQS527" s="1358"/>
      <c r="TQT527" s="1358"/>
      <c r="TQU527" s="1358"/>
      <c r="TQV527" s="1358"/>
      <c r="TQW527" s="1358"/>
      <c r="TQX527" s="1358"/>
      <c r="TQY527" s="1358"/>
      <c r="TQZ527" s="1358"/>
      <c r="TRA527" s="1358"/>
      <c r="TRB527" s="1358"/>
      <c r="TRC527" s="1358"/>
      <c r="TRD527" s="1358"/>
      <c r="TRE527" s="1358"/>
      <c r="TRF527" s="1358"/>
      <c r="TRG527" s="1358"/>
      <c r="TRH527" s="1358"/>
      <c r="TRI527" s="1358"/>
      <c r="TRJ527" s="1358"/>
      <c r="TRK527" s="1358"/>
      <c r="TRL527" s="1358"/>
      <c r="TRM527" s="1358"/>
      <c r="TRN527" s="1358"/>
      <c r="TRO527" s="1358"/>
      <c r="TRP527" s="1358"/>
      <c r="TRQ527" s="1358"/>
      <c r="TRR527" s="1358"/>
      <c r="TRS527" s="1358"/>
      <c r="TRT527" s="1358"/>
      <c r="TRU527" s="1358"/>
      <c r="TRV527" s="1358"/>
      <c r="TRW527" s="1358"/>
      <c r="TRX527" s="1358"/>
      <c r="TRY527" s="1358"/>
      <c r="TRZ527" s="1358"/>
      <c r="TSA527" s="1358"/>
      <c r="TSB527" s="1358"/>
      <c r="TSC527" s="1358"/>
      <c r="TSD527" s="1358"/>
      <c r="TSE527" s="1358"/>
      <c r="TSF527" s="1358"/>
      <c r="TSG527" s="1358"/>
      <c r="TSH527" s="1358"/>
      <c r="TSI527" s="1358"/>
      <c r="TSJ527" s="1358"/>
      <c r="TSK527" s="1358"/>
      <c r="TSL527" s="1358"/>
      <c r="TSM527" s="1358"/>
      <c r="TSN527" s="1358"/>
      <c r="TSO527" s="1358"/>
      <c r="TSP527" s="1358"/>
      <c r="TSQ527" s="1358"/>
      <c r="TSR527" s="1358"/>
      <c r="TSS527" s="1358"/>
      <c r="TST527" s="1358"/>
      <c r="TSU527" s="1358"/>
      <c r="TSV527" s="1358"/>
      <c r="TSW527" s="1358"/>
      <c r="TSX527" s="1358"/>
      <c r="TSY527" s="1358"/>
      <c r="TSZ527" s="1358"/>
      <c r="TTA527" s="1358"/>
      <c r="TTB527" s="1358"/>
      <c r="TTC527" s="1358"/>
      <c r="TTD527" s="1358"/>
      <c r="TTE527" s="1358"/>
      <c r="TTF527" s="1358"/>
      <c r="TTG527" s="1358"/>
      <c r="TTH527" s="1358"/>
      <c r="TTI527" s="1358"/>
      <c r="TTJ527" s="1358"/>
      <c r="TTK527" s="1358"/>
      <c r="TTL527" s="1358"/>
      <c r="TTM527" s="1358"/>
      <c r="TTN527" s="1358"/>
      <c r="TTO527" s="1358"/>
      <c r="TTP527" s="1358"/>
      <c r="TTQ527" s="1358"/>
      <c r="TTR527" s="1358"/>
      <c r="TTS527" s="1358"/>
      <c r="TTT527" s="1358"/>
      <c r="TTU527" s="1358"/>
      <c r="TTV527" s="1358"/>
      <c r="TTW527" s="1358"/>
      <c r="TTX527" s="1358"/>
      <c r="TTY527" s="1358"/>
      <c r="TTZ527" s="1358"/>
      <c r="TUA527" s="1358"/>
      <c r="TUB527" s="1358"/>
      <c r="TUC527" s="1358"/>
      <c r="TUD527" s="1358"/>
      <c r="TUE527" s="1358"/>
      <c r="TUF527" s="1358"/>
      <c r="TUG527" s="1358"/>
      <c r="TUH527" s="1358"/>
      <c r="TUI527" s="1358"/>
      <c r="TUJ527" s="1358"/>
      <c r="TUK527" s="1358"/>
      <c r="TUL527" s="1358"/>
      <c r="TUM527" s="1358"/>
      <c r="TUN527" s="1358"/>
      <c r="TUO527" s="1358"/>
      <c r="TUP527" s="1358"/>
      <c r="TUQ527" s="1358"/>
      <c r="TUR527" s="1358"/>
      <c r="TUS527" s="1358"/>
      <c r="TUT527" s="1358"/>
      <c r="TUU527" s="1358"/>
      <c r="TUV527" s="1358"/>
      <c r="TUW527" s="1358"/>
      <c r="TUX527" s="1358"/>
      <c r="TUY527" s="1358"/>
      <c r="TUZ527" s="1358"/>
      <c r="TVA527" s="1358"/>
      <c r="TVB527" s="1358"/>
      <c r="TVC527" s="1358"/>
      <c r="TVD527" s="1358"/>
      <c r="TVE527" s="1358"/>
      <c r="TVF527" s="1358"/>
      <c r="TVG527" s="1358"/>
      <c r="TVH527" s="1358"/>
      <c r="TVI527" s="1358"/>
      <c r="TVJ527" s="1358"/>
      <c r="TVK527" s="1358"/>
      <c r="TVL527" s="1358"/>
      <c r="TVM527" s="1358"/>
      <c r="TVN527" s="1358"/>
      <c r="TVO527" s="1358"/>
      <c r="TVP527" s="1358"/>
      <c r="TVQ527" s="1358"/>
      <c r="TVR527" s="1358"/>
      <c r="TVS527" s="1358"/>
      <c r="TVT527" s="1358"/>
      <c r="TVU527" s="1358"/>
      <c r="TVV527" s="1358"/>
      <c r="TVW527" s="1358"/>
      <c r="TVX527" s="1358"/>
      <c r="TVY527" s="1358"/>
      <c r="TVZ527" s="1358"/>
      <c r="TWA527" s="1358"/>
      <c r="TWB527" s="1358"/>
      <c r="TWC527" s="1358"/>
      <c r="TWD527" s="1358"/>
      <c r="TWE527" s="1358"/>
      <c r="TWF527" s="1358"/>
      <c r="TWG527" s="1358"/>
      <c r="TWH527" s="1358"/>
      <c r="TWI527" s="1358"/>
      <c r="TWJ527" s="1358"/>
      <c r="TWK527" s="1358"/>
      <c r="TWL527" s="1358"/>
      <c r="TWM527" s="1358"/>
      <c r="TWN527" s="1358"/>
      <c r="TWO527" s="1358"/>
      <c r="TWP527" s="1358"/>
      <c r="TWQ527" s="1358"/>
      <c r="TWR527" s="1358"/>
      <c r="TWS527" s="1358"/>
      <c r="TWT527" s="1358"/>
      <c r="TWU527" s="1358"/>
      <c r="TWV527" s="1358"/>
      <c r="TWW527" s="1358"/>
      <c r="TWX527" s="1358"/>
      <c r="TWY527" s="1358"/>
      <c r="TWZ527" s="1358"/>
      <c r="TXA527" s="1358"/>
      <c r="TXB527" s="1358"/>
      <c r="TXC527" s="1358"/>
      <c r="TXD527" s="1358"/>
      <c r="TXE527" s="1358"/>
      <c r="TXF527" s="1358"/>
      <c r="TXG527" s="1358"/>
      <c r="TXH527" s="1358"/>
      <c r="TXI527" s="1358"/>
      <c r="TXJ527" s="1358"/>
      <c r="TXK527" s="1358"/>
      <c r="TXL527" s="1358"/>
      <c r="TXM527" s="1358"/>
      <c r="TXN527" s="1358"/>
      <c r="TXO527" s="1358"/>
      <c r="TXP527" s="1358"/>
      <c r="TXQ527" s="1358"/>
      <c r="TXR527" s="1358"/>
      <c r="TXS527" s="1358"/>
      <c r="TXT527" s="1358"/>
      <c r="TXU527" s="1358"/>
      <c r="TXV527" s="1358"/>
      <c r="TXW527" s="1358"/>
      <c r="TXX527" s="1358"/>
      <c r="TXY527" s="1358"/>
      <c r="TXZ527" s="1358"/>
      <c r="TYA527" s="1358"/>
      <c r="TYB527" s="1358"/>
      <c r="TYC527" s="1358"/>
      <c r="TYD527" s="1358"/>
      <c r="TYE527" s="1358"/>
      <c r="TYF527" s="1358"/>
      <c r="TYG527" s="1358"/>
      <c r="TYH527" s="1358"/>
      <c r="TYI527" s="1358"/>
      <c r="TYJ527" s="1358"/>
      <c r="TYK527" s="1358"/>
      <c r="TYL527" s="1358"/>
      <c r="TYM527" s="1358"/>
      <c r="TYN527" s="1358"/>
      <c r="TYO527" s="1358"/>
      <c r="TYP527" s="1358"/>
      <c r="TYQ527" s="1358"/>
      <c r="TYR527" s="1358"/>
      <c r="TYS527" s="1358"/>
      <c r="TYT527" s="1358"/>
      <c r="TYU527" s="1358"/>
      <c r="TYV527" s="1358"/>
      <c r="TYW527" s="1358"/>
      <c r="TYX527" s="1358"/>
      <c r="TYY527" s="1358"/>
      <c r="TYZ527" s="1358"/>
      <c r="TZA527" s="1358"/>
      <c r="TZB527" s="1358"/>
      <c r="TZC527" s="1358"/>
      <c r="TZD527" s="1358"/>
      <c r="TZE527" s="1358"/>
      <c r="TZF527" s="1358"/>
      <c r="TZG527" s="1358"/>
      <c r="TZH527" s="1358"/>
      <c r="TZI527" s="1358"/>
      <c r="TZJ527" s="1358"/>
      <c r="TZK527" s="1358"/>
      <c r="TZL527" s="1358"/>
      <c r="TZM527" s="1358"/>
      <c r="TZN527" s="1358"/>
      <c r="TZO527" s="1358"/>
      <c r="TZP527" s="1358"/>
      <c r="TZQ527" s="1358"/>
      <c r="TZR527" s="1358"/>
      <c r="TZS527" s="1358"/>
      <c r="TZT527" s="1358"/>
      <c r="TZU527" s="1358"/>
      <c r="TZV527" s="1358"/>
      <c r="TZW527" s="1358"/>
      <c r="TZX527" s="1358"/>
      <c r="TZY527" s="1358"/>
      <c r="TZZ527" s="1358"/>
      <c r="UAA527" s="1358"/>
      <c r="UAB527" s="1358"/>
      <c r="UAC527" s="1358"/>
      <c r="UAD527" s="1358"/>
      <c r="UAE527" s="1358"/>
      <c r="UAF527" s="1358"/>
      <c r="UAG527" s="1358"/>
      <c r="UAH527" s="1358"/>
      <c r="UAI527" s="1358"/>
      <c r="UAJ527" s="1358"/>
      <c r="UAK527" s="1358"/>
      <c r="UAL527" s="1358"/>
      <c r="UAM527" s="1358"/>
      <c r="UAN527" s="1358"/>
      <c r="UAO527" s="1358"/>
      <c r="UAP527" s="1358"/>
      <c r="UAQ527" s="1358"/>
      <c r="UAR527" s="1358"/>
      <c r="UAS527" s="1358"/>
      <c r="UAT527" s="1358"/>
      <c r="UAU527" s="1358"/>
      <c r="UAV527" s="1358"/>
      <c r="UAW527" s="1358"/>
      <c r="UAX527" s="1358"/>
      <c r="UAY527" s="1358"/>
      <c r="UAZ527" s="1358"/>
      <c r="UBA527" s="1358"/>
      <c r="UBB527" s="1358"/>
      <c r="UBC527" s="1358"/>
      <c r="UBD527" s="1358"/>
      <c r="UBE527" s="1358"/>
      <c r="UBF527" s="1358"/>
      <c r="UBG527" s="1358"/>
      <c r="UBH527" s="1358"/>
      <c r="UBI527" s="1358"/>
      <c r="UBJ527" s="1358"/>
      <c r="UBK527" s="1358"/>
      <c r="UBL527" s="1358"/>
      <c r="UBM527" s="1358"/>
      <c r="UBN527" s="1358"/>
      <c r="UBO527" s="1358"/>
      <c r="UBP527" s="1358"/>
      <c r="UBQ527" s="1358"/>
      <c r="UBR527" s="1358"/>
      <c r="UBS527" s="1358"/>
      <c r="UBT527" s="1358"/>
      <c r="UBU527" s="1358"/>
      <c r="UBV527" s="1358"/>
      <c r="UBW527" s="1358"/>
      <c r="UBX527" s="1358"/>
      <c r="UBY527" s="1358"/>
      <c r="UBZ527" s="1358"/>
      <c r="UCA527" s="1358"/>
      <c r="UCB527" s="1358"/>
      <c r="UCC527" s="1358"/>
      <c r="UCD527" s="1358"/>
      <c r="UCE527" s="1358"/>
      <c r="UCF527" s="1358"/>
      <c r="UCG527" s="1358"/>
      <c r="UCH527" s="1358"/>
      <c r="UCI527" s="1358"/>
      <c r="UCJ527" s="1358"/>
      <c r="UCK527" s="1358"/>
      <c r="UCL527" s="1358"/>
      <c r="UCM527" s="1358"/>
      <c r="UCN527" s="1358"/>
      <c r="UCO527" s="1358"/>
      <c r="UCP527" s="1358"/>
      <c r="UCQ527" s="1358"/>
      <c r="UCR527" s="1358"/>
      <c r="UCS527" s="1358"/>
      <c r="UCT527" s="1358"/>
      <c r="UCU527" s="1358"/>
      <c r="UCV527" s="1358"/>
      <c r="UCW527" s="1358"/>
      <c r="UCX527" s="1358"/>
      <c r="UCY527" s="1358"/>
      <c r="UCZ527" s="1358"/>
      <c r="UDA527" s="1358"/>
      <c r="UDB527" s="1358"/>
      <c r="UDC527" s="1358"/>
      <c r="UDD527" s="1358"/>
      <c r="UDE527" s="1358"/>
      <c r="UDF527" s="1358"/>
      <c r="UDG527" s="1358"/>
      <c r="UDH527" s="1358"/>
      <c r="UDI527" s="1358"/>
      <c r="UDJ527" s="1358"/>
      <c r="UDK527" s="1358"/>
      <c r="UDL527" s="1358"/>
      <c r="UDM527" s="1358"/>
      <c r="UDN527" s="1358"/>
      <c r="UDO527" s="1358"/>
      <c r="UDP527" s="1358"/>
      <c r="UDQ527" s="1358"/>
      <c r="UDR527" s="1358"/>
      <c r="UDS527" s="1358"/>
      <c r="UDT527" s="1358"/>
      <c r="UDU527" s="1358"/>
      <c r="UDV527" s="1358"/>
      <c r="UDW527" s="1358"/>
      <c r="UDX527" s="1358"/>
      <c r="UDY527" s="1358"/>
      <c r="UDZ527" s="1358"/>
      <c r="UEA527" s="1358"/>
      <c r="UEB527" s="1358"/>
      <c r="UEC527" s="1358"/>
      <c r="UED527" s="1358"/>
      <c r="UEE527" s="1358"/>
      <c r="UEF527" s="1358"/>
      <c r="UEG527" s="1358"/>
      <c r="UEH527" s="1358"/>
      <c r="UEI527" s="1358"/>
      <c r="UEJ527" s="1358"/>
      <c r="UEK527" s="1358"/>
      <c r="UEL527" s="1358"/>
      <c r="UEM527" s="1358"/>
      <c r="UEN527" s="1358"/>
      <c r="UEO527" s="1358"/>
      <c r="UEP527" s="1358"/>
      <c r="UEQ527" s="1358"/>
      <c r="UER527" s="1358"/>
      <c r="UES527" s="1358"/>
      <c r="UET527" s="1358"/>
      <c r="UEU527" s="1358"/>
      <c r="UEV527" s="1358"/>
      <c r="UEW527" s="1358"/>
      <c r="UEX527" s="1358"/>
      <c r="UEY527" s="1358"/>
      <c r="UEZ527" s="1358"/>
      <c r="UFA527" s="1358"/>
      <c r="UFB527" s="1358"/>
      <c r="UFC527" s="1358"/>
      <c r="UFD527" s="1358"/>
      <c r="UFE527" s="1358"/>
      <c r="UFF527" s="1358"/>
      <c r="UFG527" s="1358"/>
      <c r="UFH527" s="1358"/>
      <c r="UFI527" s="1358"/>
      <c r="UFJ527" s="1358"/>
      <c r="UFK527" s="1358"/>
      <c r="UFL527" s="1358"/>
      <c r="UFM527" s="1358"/>
      <c r="UFN527" s="1358"/>
      <c r="UFO527" s="1358"/>
      <c r="UFP527" s="1358"/>
      <c r="UFQ527" s="1358"/>
      <c r="UFR527" s="1358"/>
      <c r="UFS527" s="1358"/>
      <c r="UFT527" s="1358"/>
      <c r="UFU527" s="1358"/>
      <c r="UFV527" s="1358"/>
      <c r="UFW527" s="1358"/>
      <c r="UFX527" s="1358"/>
      <c r="UFY527" s="1358"/>
      <c r="UFZ527" s="1358"/>
      <c r="UGA527" s="1358"/>
      <c r="UGB527" s="1358"/>
      <c r="UGC527" s="1358"/>
      <c r="UGD527" s="1358"/>
      <c r="UGE527" s="1358"/>
      <c r="UGF527" s="1358"/>
      <c r="UGG527" s="1358"/>
      <c r="UGH527" s="1358"/>
      <c r="UGI527" s="1358"/>
      <c r="UGJ527" s="1358"/>
      <c r="UGK527" s="1358"/>
      <c r="UGL527" s="1358"/>
      <c r="UGM527" s="1358"/>
      <c r="UGN527" s="1358"/>
      <c r="UGO527" s="1358"/>
      <c r="UGP527" s="1358"/>
      <c r="UGQ527" s="1358"/>
      <c r="UGR527" s="1358"/>
      <c r="UGS527" s="1358"/>
      <c r="UGT527" s="1358"/>
      <c r="UGU527" s="1358"/>
      <c r="UGV527" s="1358"/>
      <c r="UGW527" s="1358"/>
      <c r="UGX527" s="1358"/>
      <c r="UGY527" s="1358"/>
      <c r="UGZ527" s="1358"/>
      <c r="UHA527" s="1358"/>
      <c r="UHB527" s="1358"/>
      <c r="UHC527" s="1358"/>
      <c r="UHD527" s="1358"/>
      <c r="UHE527" s="1358"/>
      <c r="UHF527" s="1358"/>
      <c r="UHG527" s="1358"/>
      <c r="UHH527" s="1358"/>
      <c r="UHI527" s="1358"/>
      <c r="UHJ527" s="1358"/>
      <c r="UHK527" s="1358"/>
      <c r="UHL527" s="1358"/>
      <c r="UHM527" s="1358"/>
      <c r="UHN527" s="1358"/>
      <c r="UHO527" s="1358"/>
      <c r="UHP527" s="1358"/>
      <c r="UHQ527" s="1358"/>
      <c r="UHR527" s="1358"/>
      <c r="UHS527" s="1358"/>
      <c r="UHT527" s="1358"/>
      <c r="UHU527" s="1358"/>
      <c r="UHV527" s="1358"/>
      <c r="UHW527" s="1358"/>
      <c r="UHX527" s="1358"/>
      <c r="UHY527" s="1358"/>
      <c r="UHZ527" s="1358"/>
      <c r="UIA527" s="1358"/>
      <c r="UIB527" s="1358"/>
      <c r="UIC527" s="1358"/>
      <c r="UID527" s="1358"/>
      <c r="UIE527" s="1358"/>
      <c r="UIF527" s="1358"/>
      <c r="UIG527" s="1358"/>
      <c r="UIH527" s="1358"/>
      <c r="UII527" s="1358"/>
      <c r="UIJ527" s="1358"/>
      <c r="UIK527" s="1358"/>
      <c r="UIL527" s="1358"/>
      <c r="UIM527" s="1358"/>
      <c r="UIN527" s="1358"/>
      <c r="UIO527" s="1358"/>
      <c r="UIP527" s="1358"/>
      <c r="UIQ527" s="1358"/>
      <c r="UIR527" s="1358"/>
      <c r="UIS527" s="1358"/>
      <c r="UIT527" s="1358"/>
      <c r="UIU527" s="1358"/>
      <c r="UIV527" s="1358"/>
      <c r="UIW527" s="1358"/>
      <c r="UIX527" s="1358"/>
      <c r="UIY527" s="1358"/>
      <c r="UIZ527" s="1358"/>
      <c r="UJA527" s="1358"/>
      <c r="UJB527" s="1358"/>
      <c r="UJC527" s="1358"/>
      <c r="UJD527" s="1358"/>
      <c r="UJE527" s="1358"/>
      <c r="UJF527" s="1358"/>
      <c r="UJG527" s="1358"/>
      <c r="UJH527" s="1358"/>
      <c r="UJI527" s="1358"/>
      <c r="UJJ527" s="1358"/>
      <c r="UJK527" s="1358"/>
      <c r="UJL527" s="1358"/>
      <c r="UJM527" s="1358"/>
      <c r="UJN527" s="1358"/>
      <c r="UJO527" s="1358"/>
      <c r="UJP527" s="1358"/>
      <c r="UJQ527" s="1358"/>
      <c r="UJR527" s="1358"/>
      <c r="UJS527" s="1358"/>
      <c r="UJT527" s="1358"/>
      <c r="UJU527" s="1358"/>
      <c r="UJV527" s="1358"/>
      <c r="UJW527" s="1358"/>
      <c r="UJX527" s="1358"/>
      <c r="UJY527" s="1358"/>
      <c r="UJZ527" s="1358"/>
      <c r="UKA527" s="1358"/>
      <c r="UKB527" s="1358"/>
      <c r="UKC527" s="1358"/>
      <c r="UKD527" s="1358"/>
      <c r="UKE527" s="1358"/>
      <c r="UKF527" s="1358"/>
      <c r="UKG527" s="1358"/>
      <c r="UKH527" s="1358"/>
      <c r="UKI527" s="1358"/>
      <c r="UKJ527" s="1358"/>
      <c r="UKK527" s="1358"/>
      <c r="UKL527" s="1358"/>
      <c r="UKM527" s="1358"/>
      <c r="UKN527" s="1358"/>
      <c r="UKO527" s="1358"/>
      <c r="UKP527" s="1358"/>
      <c r="UKQ527" s="1358"/>
      <c r="UKR527" s="1358"/>
      <c r="UKS527" s="1358"/>
      <c r="UKT527" s="1358"/>
      <c r="UKU527" s="1358"/>
      <c r="UKV527" s="1358"/>
      <c r="UKW527" s="1358"/>
      <c r="UKX527" s="1358"/>
      <c r="UKY527" s="1358"/>
      <c r="UKZ527" s="1358"/>
      <c r="ULA527" s="1358"/>
      <c r="ULB527" s="1358"/>
      <c r="ULC527" s="1358"/>
      <c r="ULD527" s="1358"/>
      <c r="ULE527" s="1358"/>
      <c r="ULF527" s="1358"/>
      <c r="ULG527" s="1358"/>
      <c r="ULH527" s="1358"/>
      <c r="ULI527" s="1358"/>
      <c r="ULJ527" s="1358"/>
      <c r="ULK527" s="1358"/>
      <c r="ULL527" s="1358"/>
      <c r="ULM527" s="1358"/>
      <c r="ULN527" s="1358"/>
      <c r="ULO527" s="1358"/>
      <c r="ULP527" s="1358"/>
      <c r="ULQ527" s="1358"/>
      <c r="ULR527" s="1358"/>
      <c r="ULS527" s="1358"/>
      <c r="ULT527" s="1358"/>
      <c r="ULU527" s="1358"/>
      <c r="ULV527" s="1358"/>
      <c r="ULW527" s="1358"/>
      <c r="ULX527" s="1358"/>
      <c r="ULY527" s="1358"/>
      <c r="ULZ527" s="1358"/>
      <c r="UMA527" s="1358"/>
      <c r="UMB527" s="1358"/>
      <c r="UMC527" s="1358"/>
      <c r="UMD527" s="1358"/>
      <c r="UME527" s="1358"/>
      <c r="UMF527" s="1358"/>
      <c r="UMG527" s="1358"/>
      <c r="UMH527" s="1358"/>
      <c r="UMI527" s="1358"/>
      <c r="UMJ527" s="1358"/>
      <c r="UMK527" s="1358"/>
      <c r="UML527" s="1358"/>
      <c r="UMM527" s="1358"/>
      <c r="UMN527" s="1358"/>
      <c r="UMO527" s="1358"/>
      <c r="UMP527" s="1358"/>
      <c r="UMQ527" s="1358"/>
      <c r="UMR527" s="1358"/>
      <c r="UMS527" s="1358"/>
      <c r="UMT527" s="1358"/>
      <c r="UMU527" s="1358"/>
      <c r="UMV527" s="1358"/>
      <c r="UMW527" s="1358"/>
      <c r="UMX527" s="1358"/>
      <c r="UMY527" s="1358"/>
      <c r="UMZ527" s="1358"/>
      <c r="UNA527" s="1358"/>
      <c r="UNB527" s="1358"/>
      <c r="UNC527" s="1358"/>
      <c r="UND527" s="1358"/>
      <c r="UNE527" s="1358"/>
      <c r="UNF527" s="1358"/>
      <c r="UNG527" s="1358"/>
      <c r="UNH527" s="1358"/>
      <c r="UNI527" s="1358"/>
      <c r="UNJ527" s="1358"/>
      <c r="UNK527" s="1358"/>
      <c r="UNL527" s="1358"/>
      <c r="UNM527" s="1358"/>
      <c r="UNN527" s="1358"/>
      <c r="UNO527" s="1358"/>
      <c r="UNP527" s="1358"/>
      <c r="UNQ527" s="1358"/>
      <c r="UNR527" s="1358"/>
      <c r="UNS527" s="1358"/>
      <c r="UNT527" s="1358"/>
      <c r="UNU527" s="1358"/>
      <c r="UNV527" s="1358"/>
      <c r="UNW527" s="1358"/>
      <c r="UNX527" s="1358"/>
      <c r="UNY527" s="1358"/>
      <c r="UNZ527" s="1358"/>
      <c r="UOA527" s="1358"/>
      <c r="UOB527" s="1358"/>
      <c r="UOC527" s="1358"/>
      <c r="UOD527" s="1358"/>
      <c r="UOE527" s="1358"/>
      <c r="UOF527" s="1358"/>
      <c r="UOG527" s="1358"/>
      <c r="UOH527" s="1358"/>
      <c r="UOI527" s="1358"/>
      <c r="UOJ527" s="1358"/>
      <c r="UOK527" s="1358"/>
      <c r="UOL527" s="1358"/>
      <c r="UOM527" s="1358"/>
      <c r="UON527" s="1358"/>
      <c r="UOO527" s="1358"/>
      <c r="UOP527" s="1358"/>
      <c r="UOQ527" s="1358"/>
      <c r="UOR527" s="1358"/>
      <c r="UOS527" s="1358"/>
      <c r="UOT527" s="1358"/>
      <c r="UOU527" s="1358"/>
      <c r="UOV527" s="1358"/>
      <c r="UOW527" s="1358"/>
      <c r="UOX527" s="1358"/>
      <c r="UOY527" s="1358"/>
      <c r="UOZ527" s="1358"/>
      <c r="UPA527" s="1358"/>
      <c r="UPB527" s="1358"/>
      <c r="UPC527" s="1358"/>
      <c r="UPD527" s="1358"/>
      <c r="UPE527" s="1358"/>
      <c r="UPF527" s="1358"/>
      <c r="UPG527" s="1358"/>
      <c r="UPH527" s="1358"/>
      <c r="UPI527" s="1358"/>
      <c r="UPJ527" s="1358"/>
      <c r="UPK527" s="1358"/>
      <c r="UPL527" s="1358"/>
      <c r="UPM527" s="1358"/>
      <c r="UPN527" s="1358"/>
      <c r="UPO527" s="1358"/>
      <c r="UPP527" s="1358"/>
      <c r="UPQ527" s="1358"/>
      <c r="UPR527" s="1358"/>
      <c r="UPS527" s="1358"/>
      <c r="UPT527" s="1358"/>
      <c r="UPU527" s="1358"/>
      <c r="UPV527" s="1358"/>
      <c r="UPW527" s="1358"/>
      <c r="UPX527" s="1358"/>
      <c r="UPY527" s="1358"/>
      <c r="UPZ527" s="1358"/>
      <c r="UQA527" s="1358"/>
      <c r="UQB527" s="1358"/>
      <c r="UQC527" s="1358"/>
      <c r="UQD527" s="1358"/>
      <c r="UQE527" s="1358"/>
      <c r="UQF527" s="1358"/>
      <c r="UQG527" s="1358"/>
      <c r="UQH527" s="1358"/>
      <c r="UQI527" s="1358"/>
      <c r="UQJ527" s="1358"/>
      <c r="UQK527" s="1358"/>
      <c r="UQL527" s="1358"/>
      <c r="UQM527" s="1358"/>
      <c r="UQN527" s="1358"/>
      <c r="UQO527" s="1358"/>
      <c r="UQP527" s="1358"/>
      <c r="UQQ527" s="1358"/>
      <c r="UQR527" s="1358"/>
      <c r="UQS527" s="1358"/>
      <c r="UQT527" s="1358"/>
      <c r="UQU527" s="1358"/>
      <c r="UQV527" s="1358"/>
      <c r="UQW527" s="1358"/>
      <c r="UQX527" s="1358"/>
      <c r="UQY527" s="1358"/>
      <c r="UQZ527" s="1358"/>
      <c r="URA527" s="1358"/>
      <c r="URB527" s="1358"/>
      <c r="URC527" s="1358"/>
      <c r="URD527" s="1358"/>
      <c r="URE527" s="1358"/>
      <c r="URF527" s="1358"/>
      <c r="URG527" s="1358"/>
      <c r="URH527" s="1358"/>
      <c r="URI527" s="1358"/>
      <c r="URJ527" s="1358"/>
      <c r="URK527" s="1358"/>
      <c r="URL527" s="1358"/>
      <c r="URM527" s="1358"/>
      <c r="URN527" s="1358"/>
      <c r="URO527" s="1358"/>
      <c r="URP527" s="1358"/>
      <c r="URQ527" s="1358"/>
      <c r="URR527" s="1358"/>
      <c r="URS527" s="1358"/>
      <c r="URT527" s="1358"/>
      <c r="URU527" s="1358"/>
      <c r="URV527" s="1358"/>
      <c r="URW527" s="1358"/>
      <c r="URX527" s="1358"/>
      <c r="URY527" s="1358"/>
      <c r="URZ527" s="1358"/>
      <c r="USA527" s="1358"/>
      <c r="USB527" s="1358"/>
      <c r="USC527" s="1358"/>
      <c r="USD527" s="1358"/>
      <c r="USE527" s="1358"/>
      <c r="USF527" s="1358"/>
      <c r="USG527" s="1358"/>
      <c r="USH527" s="1358"/>
      <c r="USI527" s="1358"/>
      <c r="USJ527" s="1358"/>
      <c r="USK527" s="1358"/>
      <c r="USL527" s="1358"/>
      <c r="USM527" s="1358"/>
      <c r="USN527" s="1358"/>
      <c r="USO527" s="1358"/>
      <c r="USP527" s="1358"/>
      <c r="USQ527" s="1358"/>
      <c r="USR527" s="1358"/>
      <c r="USS527" s="1358"/>
      <c r="UST527" s="1358"/>
      <c r="USU527" s="1358"/>
      <c r="USV527" s="1358"/>
      <c r="USW527" s="1358"/>
      <c r="USX527" s="1358"/>
      <c r="USY527" s="1358"/>
      <c r="USZ527" s="1358"/>
      <c r="UTA527" s="1358"/>
      <c r="UTB527" s="1358"/>
      <c r="UTC527" s="1358"/>
      <c r="UTD527" s="1358"/>
      <c r="UTE527" s="1358"/>
      <c r="UTF527" s="1358"/>
      <c r="UTG527" s="1358"/>
      <c r="UTH527" s="1358"/>
      <c r="UTI527" s="1358"/>
      <c r="UTJ527" s="1358"/>
      <c r="UTK527" s="1358"/>
      <c r="UTL527" s="1358"/>
      <c r="UTM527" s="1358"/>
      <c r="UTN527" s="1358"/>
      <c r="UTO527" s="1358"/>
      <c r="UTP527" s="1358"/>
      <c r="UTQ527" s="1358"/>
      <c r="UTR527" s="1358"/>
      <c r="UTS527" s="1358"/>
      <c r="UTT527" s="1358"/>
      <c r="UTU527" s="1358"/>
      <c r="UTV527" s="1358"/>
      <c r="UTW527" s="1358"/>
      <c r="UTX527" s="1358"/>
      <c r="UTY527" s="1358"/>
      <c r="UTZ527" s="1358"/>
      <c r="UUA527" s="1358"/>
      <c r="UUB527" s="1358"/>
      <c r="UUC527" s="1358"/>
      <c r="UUD527" s="1358"/>
      <c r="UUE527" s="1358"/>
      <c r="UUF527" s="1358"/>
      <c r="UUG527" s="1358"/>
      <c r="UUH527" s="1358"/>
      <c r="UUI527" s="1358"/>
      <c r="UUJ527" s="1358"/>
      <c r="UUK527" s="1358"/>
      <c r="UUL527" s="1358"/>
      <c r="UUM527" s="1358"/>
      <c r="UUN527" s="1358"/>
      <c r="UUO527" s="1358"/>
      <c r="UUP527" s="1358"/>
      <c r="UUQ527" s="1358"/>
      <c r="UUR527" s="1358"/>
      <c r="UUS527" s="1358"/>
      <c r="UUT527" s="1358"/>
      <c r="UUU527" s="1358"/>
      <c r="UUV527" s="1358"/>
      <c r="UUW527" s="1358"/>
      <c r="UUX527" s="1358"/>
      <c r="UUY527" s="1358"/>
      <c r="UUZ527" s="1358"/>
      <c r="UVA527" s="1358"/>
      <c r="UVB527" s="1358"/>
      <c r="UVC527" s="1358"/>
      <c r="UVD527" s="1358"/>
      <c r="UVE527" s="1358"/>
      <c r="UVF527" s="1358"/>
      <c r="UVG527" s="1358"/>
      <c r="UVH527" s="1358"/>
      <c r="UVI527" s="1358"/>
      <c r="UVJ527" s="1358"/>
      <c r="UVK527" s="1358"/>
      <c r="UVL527" s="1358"/>
      <c r="UVM527" s="1358"/>
      <c r="UVN527" s="1358"/>
      <c r="UVO527" s="1358"/>
      <c r="UVP527" s="1358"/>
      <c r="UVQ527" s="1358"/>
      <c r="UVR527" s="1358"/>
      <c r="UVS527" s="1358"/>
      <c r="UVT527" s="1358"/>
      <c r="UVU527" s="1358"/>
      <c r="UVV527" s="1358"/>
      <c r="UVW527" s="1358"/>
      <c r="UVX527" s="1358"/>
      <c r="UVY527" s="1358"/>
      <c r="UVZ527" s="1358"/>
      <c r="UWA527" s="1358"/>
      <c r="UWB527" s="1358"/>
      <c r="UWC527" s="1358"/>
      <c r="UWD527" s="1358"/>
      <c r="UWE527" s="1358"/>
      <c r="UWF527" s="1358"/>
      <c r="UWG527" s="1358"/>
      <c r="UWH527" s="1358"/>
      <c r="UWI527" s="1358"/>
      <c r="UWJ527" s="1358"/>
      <c r="UWK527" s="1358"/>
      <c r="UWL527" s="1358"/>
      <c r="UWM527" s="1358"/>
      <c r="UWN527" s="1358"/>
      <c r="UWO527" s="1358"/>
      <c r="UWP527" s="1358"/>
      <c r="UWQ527" s="1358"/>
      <c r="UWR527" s="1358"/>
      <c r="UWS527" s="1358"/>
      <c r="UWT527" s="1358"/>
      <c r="UWU527" s="1358"/>
      <c r="UWV527" s="1358"/>
      <c r="UWW527" s="1358"/>
      <c r="UWX527" s="1358"/>
      <c r="UWY527" s="1358"/>
      <c r="UWZ527" s="1358"/>
      <c r="UXA527" s="1358"/>
      <c r="UXB527" s="1358"/>
      <c r="UXC527" s="1358"/>
      <c r="UXD527" s="1358"/>
      <c r="UXE527" s="1358"/>
      <c r="UXF527" s="1358"/>
      <c r="UXG527" s="1358"/>
      <c r="UXH527" s="1358"/>
      <c r="UXI527" s="1358"/>
      <c r="UXJ527" s="1358"/>
      <c r="UXK527" s="1358"/>
      <c r="UXL527" s="1358"/>
      <c r="UXM527" s="1358"/>
      <c r="UXN527" s="1358"/>
      <c r="UXO527" s="1358"/>
      <c r="UXP527" s="1358"/>
      <c r="UXQ527" s="1358"/>
      <c r="UXR527" s="1358"/>
      <c r="UXS527" s="1358"/>
      <c r="UXT527" s="1358"/>
      <c r="UXU527" s="1358"/>
      <c r="UXV527" s="1358"/>
      <c r="UXW527" s="1358"/>
      <c r="UXX527" s="1358"/>
      <c r="UXY527" s="1358"/>
      <c r="UXZ527" s="1358"/>
      <c r="UYA527" s="1358"/>
      <c r="UYB527" s="1358"/>
      <c r="UYC527" s="1358"/>
      <c r="UYD527" s="1358"/>
      <c r="UYE527" s="1358"/>
      <c r="UYF527" s="1358"/>
      <c r="UYG527" s="1358"/>
      <c r="UYH527" s="1358"/>
      <c r="UYI527" s="1358"/>
      <c r="UYJ527" s="1358"/>
      <c r="UYK527" s="1358"/>
      <c r="UYL527" s="1358"/>
      <c r="UYM527" s="1358"/>
      <c r="UYN527" s="1358"/>
      <c r="UYO527" s="1358"/>
      <c r="UYP527" s="1358"/>
      <c r="UYQ527" s="1358"/>
      <c r="UYR527" s="1358"/>
      <c r="UYS527" s="1358"/>
      <c r="UYT527" s="1358"/>
      <c r="UYU527" s="1358"/>
      <c r="UYV527" s="1358"/>
      <c r="UYW527" s="1358"/>
      <c r="UYX527" s="1358"/>
      <c r="UYY527" s="1358"/>
      <c r="UYZ527" s="1358"/>
      <c r="UZA527" s="1358"/>
      <c r="UZB527" s="1358"/>
      <c r="UZC527" s="1358"/>
      <c r="UZD527" s="1358"/>
      <c r="UZE527" s="1358"/>
      <c r="UZF527" s="1358"/>
      <c r="UZG527" s="1358"/>
      <c r="UZH527" s="1358"/>
      <c r="UZI527" s="1358"/>
      <c r="UZJ527" s="1358"/>
      <c r="UZK527" s="1358"/>
      <c r="UZL527" s="1358"/>
      <c r="UZM527" s="1358"/>
      <c r="UZN527" s="1358"/>
      <c r="UZO527" s="1358"/>
      <c r="UZP527" s="1358"/>
      <c r="UZQ527" s="1358"/>
      <c r="UZR527" s="1358"/>
      <c r="UZS527" s="1358"/>
      <c r="UZT527" s="1358"/>
      <c r="UZU527" s="1358"/>
      <c r="UZV527" s="1358"/>
      <c r="UZW527" s="1358"/>
      <c r="UZX527" s="1358"/>
      <c r="UZY527" s="1358"/>
      <c r="UZZ527" s="1358"/>
      <c r="VAA527" s="1358"/>
      <c r="VAB527" s="1358"/>
      <c r="VAC527" s="1358"/>
      <c r="VAD527" s="1358"/>
      <c r="VAE527" s="1358"/>
      <c r="VAF527" s="1358"/>
      <c r="VAG527" s="1358"/>
      <c r="VAH527" s="1358"/>
      <c r="VAI527" s="1358"/>
      <c r="VAJ527" s="1358"/>
      <c r="VAK527" s="1358"/>
      <c r="VAL527" s="1358"/>
      <c r="VAM527" s="1358"/>
      <c r="VAN527" s="1358"/>
      <c r="VAO527" s="1358"/>
      <c r="VAP527" s="1358"/>
      <c r="VAQ527" s="1358"/>
      <c r="VAR527" s="1358"/>
      <c r="VAS527" s="1358"/>
      <c r="VAT527" s="1358"/>
      <c r="VAU527" s="1358"/>
      <c r="VAV527" s="1358"/>
      <c r="VAW527" s="1358"/>
      <c r="VAX527" s="1358"/>
      <c r="VAY527" s="1358"/>
      <c r="VAZ527" s="1358"/>
      <c r="VBA527" s="1358"/>
      <c r="VBB527" s="1358"/>
      <c r="VBC527" s="1358"/>
      <c r="VBD527" s="1358"/>
      <c r="VBE527" s="1358"/>
      <c r="VBF527" s="1358"/>
      <c r="VBG527" s="1358"/>
      <c r="VBH527" s="1358"/>
      <c r="VBI527" s="1358"/>
      <c r="VBJ527" s="1358"/>
      <c r="VBK527" s="1358"/>
      <c r="VBL527" s="1358"/>
      <c r="VBM527" s="1358"/>
      <c r="VBN527" s="1358"/>
      <c r="VBO527" s="1358"/>
      <c r="VBP527" s="1358"/>
      <c r="VBQ527" s="1358"/>
      <c r="VBR527" s="1358"/>
      <c r="VBS527" s="1358"/>
      <c r="VBT527" s="1358"/>
      <c r="VBU527" s="1358"/>
      <c r="VBV527" s="1358"/>
      <c r="VBW527" s="1358"/>
      <c r="VBX527" s="1358"/>
      <c r="VBY527" s="1358"/>
      <c r="VBZ527" s="1358"/>
      <c r="VCA527" s="1358"/>
      <c r="VCB527" s="1358"/>
      <c r="VCC527" s="1358"/>
      <c r="VCD527" s="1358"/>
      <c r="VCE527" s="1358"/>
      <c r="VCF527" s="1358"/>
      <c r="VCG527" s="1358"/>
      <c r="VCH527" s="1358"/>
      <c r="VCI527" s="1358"/>
      <c r="VCJ527" s="1358"/>
      <c r="VCK527" s="1358"/>
      <c r="VCL527" s="1358"/>
      <c r="VCM527" s="1358"/>
      <c r="VCN527" s="1358"/>
      <c r="VCO527" s="1358"/>
      <c r="VCP527" s="1358"/>
      <c r="VCQ527" s="1358"/>
      <c r="VCR527" s="1358"/>
      <c r="VCS527" s="1358"/>
      <c r="VCT527" s="1358"/>
      <c r="VCU527" s="1358"/>
      <c r="VCV527" s="1358"/>
      <c r="VCW527" s="1358"/>
      <c r="VCX527" s="1358"/>
      <c r="VCY527" s="1358"/>
      <c r="VCZ527" s="1358"/>
      <c r="VDA527" s="1358"/>
      <c r="VDB527" s="1358"/>
      <c r="VDC527" s="1358"/>
      <c r="VDD527" s="1358"/>
      <c r="VDE527" s="1358"/>
      <c r="VDF527" s="1358"/>
      <c r="VDG527" s="1358"/>
      <c r="VDH527" s="1358"/>
      <c r="VDI527" s="1358"/>
      <c r="VDJ527" s="1358"/>
      <c r="VDK527" s="1358"/>
      <c r="VDL527" s="1358"/>
      <c r="VDM527" s="1358"/>
      <c r="VDN527" s="1358"/>
      <c r="VDO527" s="1358"/>
      <c r="VDP527" s="1358"/>
      <c r="VDQ527" s="1358"/>
      <c r="VDR527" s="1358"/>
      <c r="VDS527" s="1358"/>
      <c r="VDT527" s="1358"/>
      <c r="VDU527" s="1358"/>
      <c r="VDV527" s="1358"/>
      <c r="VDW527" s="1358"/>
      <c r="VDX527" s="1358"/>
      <c r="VDY527" s="1358"/>
      <c r="VDZ527" s="1358"/>
      <c r="VEA527" s="1358"/>
      <c r="VEB527" s="1358"/>
      <c r="VEC527" s="1358"/>
      <c r="VED527" s="1358"/>
      <c r="VEE527" s="1358"/>
      <c r="VEF527" s="1358"/>
      <c r="VEG527" s="1358"/>
      <c r="VEH527" s="1358"/>
      <c r="VEI527" s="1358"/>
      <c r="VEJ527" s="1358"/>
      <c r="VEK527" s="1358"/>
      <c r="VEL527" s="1358"/>
      <c r="VEM527" s="1358"/>
      <c r="VEN527" s="1358"/>
      <c r="VEO527" s="1358"/>
      <c r="VEP527" s="1358"/>
      <c r="VEQ527" s="1358"/>
      <c r="VER527" s="1358"/>
      <c r="VES527" s="1358"/>
      <c r="VET527" s="1358"/>
      <c r="VEU527" s="1358"/>
      <c r="VEV527" s="1358"/>
      <c r="VEW527" s="1358"/>
      <c r="VEX527" s="1358"/>
      <c r="VEY527" s="1358"/>
      <c r="VEZ527" s="1358"/>
      <c r="VFA527" s="1358"/>
      <c r="VFB527" s="1358"/>
      <c r="VFC527" s="1358"/>
      <c r="VFD527" s="1358"/>
      <c r="VFE527" s="1358"/>
      <c r="VFF527" s="1358"/>
      <c r="VFG527" s="1358"/>
      <c r="VFH527" s="1358"/>
      <c r="VFI527" s="1358"/>
      <c r="VFJ527" s="1358"/>
      <c r="VFK527" s="1358"/>
      <c r="VFL527" s="1358"/>
      <c r="VFM527" s="1358"/>
      <c r="VFN527" s="1358"/>
      <c r="VFO527" s="1358"/>
      <c r="VFP527" s="1358"/>
      <c r="VFQ527" s="1358"/>
      <c r="VFR527" s="1358"/>
      <c r="VFS527" s="1358"/>
      <c r="VFT527" s="1358"/>
      <c r="VFU527" s="1358"/>
      <c r="VFV527" s="1358"/>
      <c r="VFW527" s="1358"/>
      <c r="VFX527" s="1358"/>
      <c r="VFY527" s="1358"/>
      <c r="VFZ527" s="1358"/>
      <c r="VGA527" s="1358"/>
      <c r="VGB527" s="1358"/>
      <c r="VGC527" s="1358"/>
      <c r="VGD527" s="1358"/>
      <c r="VGE527" s="1358"/>
      <c r="VGF527" s="1358"/>
      <c r="VGG527" s="1358"/>
      <c r="VGH527" s="1358"/>
      <c r="VGI527" s="1358"/>
      <c r="VGJ527" s="1358"/>
      <c r="VGK527" s="1358"/>
      <c r="VGL527" s="1358"/>
      <c r="VGM527" s="1358"/>
      <c r="VGN527" s="1358"/>
      <c r="VGO527" s="1358"/>
      <c r="VGP527" s="1358"/>
      <c r="VGQ527" s="1358"/>
      <c r="VGR527" s="1358"/>
      <c r="VGS527" s="1358"/>
      <c r="VGT527" s="1358"/>
      <c r="VGU527" s="1358"/>
      <c r="VGV527" s="1358"/>
      <c r="VGW527" s="1358"/>
      <c r="VGX527" s="1358"/>
      <c r="VGY527" s="1358"/>
      <c r="VGZ527" s="1358"/>
      <c r="VHA527" s="1358"/>
      <c r="VHB527" s="1358"/>
      <c r="VHC527" s="1358"/>
      <c r="VHD527" s="1358"/>
      <c r="VHE527" s="1358"/>
      <c r="VHF527" s="1358"/>
      <c r="VHG527" s="1358"/>
      <c r="VHH527" s="1358"/>
      <c r="VHI527" s="1358"/>
      <c r="VHJ527" s="1358"/>
      <c r="VHK527" s="1358"/>
      <c r="VHL527" s="1358"/>
      <c r="VHM527" s="1358"/>
      <c r="VHN527" s="1358"/>
      <c r="VHO527" s="1358"/>
      <c r="VHP527" s="1358"/>
      <c r="VHQ527" s="1358"/>
      <c r="VHR527" s="1358"/>
      <c r="VHS527" s="1358"/>
      <c r="VHT527" s="1358"/>
      <c r="VHU527" s="1358"/>
      <c r="VHV527" s="1358"/>
      <c r="VHW527" s="1358"/>
      <c r="VHX527" s="1358"/>
      <c r="VHY527" s="1358"/>
      <c r="VHZ527" s="1358"/>
      <c r="VIA527" s="1358"/>
      <c r="VIB527" s="1358"/>
      <c r="VIC527" s="1358"/>
      <c r="VID527" s="1358"/>
      <c r="VIE527" s="1358"/>
      <c r="VIF527" s="1358"/>
      <c r="VIG527" s="1358"/>
      <c r="VIH527" s="1358"/>
      <c r="VII527" s="1358"/>
      <c r="VIJ527" s="1358"/>
      <c r="VIK527" s="1358"/>
      <c r="VIL527" s="1358"/>
      <c r="VIM527" s="1358"/>
      <c r="VIN527" s="1358"/>
      <c r="VIO527" s="1358"/>
      <c r="VIP527" s="1358"/>
      <c r="VIQ527" s="1358"/>
      <c r="VIR527" s="1358"/>
      <c r="VIS527" s="1358"/>
      <c r="VIT527" s="1358"/>
      <c r="VIU527" s="1358"/>
      <c r="VIV527" s="1358"/>
      <c r="VIW527" s="1358"/>
      <c r="VIX527" s="1358"/>
      <c r="VIY527" s="1358"/>
      <c r="VIZ527" s="1358"/>
      <c r="VJA527" s="1358"/>
      <c r="VJB527" s="1358"/>
      <c r="VJC527" s="1358"/>
      <c r="VJD527" s="1358"/>
      <c r="VJE527" s="1358"/>
      <c r="VJF527" s="1358"/>
      <c r="VJG527" s="1358"/>
      <c r="VJH527" s="1358"/>
      <c r="VJI527" s="1358"/>
      <c r="VJJ527" s="1358"/>
      <c r="VJK527" s="1358"/>
      <c r="VJL527" s="1358"/>
      <c r="VJM527" s="1358"/>
      <c r="VJN527" s="1358"/>
      <c r="VJO527" s="1358"/>
      <c r="VJP527" s="1358"/>
      <c r="VJQ527" s="1358"/>
      <c r="VJR527" s="1358"/>
      <c r="VJS527" s="1358"/>
      <c r="VJT527" s="1358"/>
      <c r="VJU527" s="1358"/>
      <c r="VJV527" s="1358"/>
      <c r="VJW527" s="1358"/>
      <c r="VJX527" s="1358"/>
      <c r="VJY527" s="1358"/>
      <c r="VJZ527" s="1358"/>
      <c r="VKA527" s="1358"/>
      <c r="VKB527" s="1358"/>
      <c r="VKC527" s="1358"/>
      <c r="VKD527" s="1358"/>
      <c r="VKE527" s="1358"/>
      <c r="VKF527" s="1358"/>
      <c r="VKG527" s="1358"/>
      <c r="VKH527" s="1358"/>
      <c r="VKI527" s="1358"/>
      <c r="VKJ527" s="1358"/>
      <c r="VKK527" s="1358"/>
      <c r="VKL527" s="1358"/>
      <c r="VKM527" s="1358"/>
      <c r="VKN527" s="1358"/>
      <c r="VKO527" s="1358"/>
      <c r="VKP527" s="1358"/>
      <c r="VKQ527" s="1358"/>
      <c r="VKR527" s="1358"/>
      <c r="VKS527" s="1358"/>
      <c r="VKT527" s="1358"/>
      <c r="VKU527" s="1358"/>
      <c r="VKV527" s="1358"/>
      <c r="VKW527" s="1358"/>
      <c r="VKX527" s="1358"/>
      <c r="VKY527" s="1358"/>
      <c r="VKZ527" s="1358"/>
      <c r="VLA527" s="1358"/>
      <c r="VLB527" s="1358"/>
      <c r="VLC527" s="1358"/>
      <c r="VLD527" s="1358"/>
      <c r="VLE527" s="1358"/>
      <c r="VLF527" s="1358"/>
      <c r="VLG527" s="1358"/>
      <c r="VLH527" s="1358"/>
      <c r="VLI527" s="1358"/>
      <c r="VLJ527" s="1358"/>
      <c r="VLK527" s="1358"/>
      <c r="VLL527" s="1358"/>
      <c r="VLM527" s="1358"/>
      <c r="VLN527" s="1358"/>
      <c r="VLO527" s="1358"/>
      <c r="VLP527" s="1358"/>
      <c r="VLQ527" s="1358"/>
      <c r="VLR527" s="1358"/>
      <c r="VLS527" s="1358"/>
      <c r="VLT527" s="1358"/>
      <c r="VLU527" s="1358"/>
      <c r="VLV527" s="1358"/>
      <c r="VLW527" s="1358"/>
      <c r="VLX527" s="1358"/>
      <c r="VLY527" s="1358"/>
      <c r="VLZ527" s="1358"/>
      <c r="VMA527" s="1358"/>
      <c r="VMB527" s="1358"/>
      <c r="VMC527" s="1358"/>
      <c r="VMD527" s="1358"/>
      <c r="VME527" s="1358"/>
      <c r="VMF527" s="1358"/>
      <c r="VMG527" s="1358"/>
      <c r="VMH527" s="1358"/>
      <c r="VMI527" s="1358"/>
      <c r="VMJ527" s="1358"/>
      <c r="VMK527" s="1358"/>
      <c r="VML527" s="1358"/>
      <c r="VMM527" s="1358"/>
      <c r="VMN527" s="1358"/>
      <c r="VMO527" s="1358"/>
      <c r="VMP527" s="1358"/>
      <c r="VMQ527" s="1358"/>
      <c r="VMR527" s="1358"/>
      <c r="VMS527" s="1358"/>
      <c r="VMT527" s="1358"/>
      <c r="VMU527" s="1358"/>
      <c r="VMV527" s="1358"/>
      <c r="VMW527" s="1358"/>
      <c r="VMX527" s="1358"/>
      <c r="VMY527" s="1358"/>
      <c r="VMZ527" s="1358"/>
      <c r="VNA527" s="1358"/>
      <c r="VNB527" s="1358"/>
      <c r="VNC527" s="1358"/>
      <c r="VND527" s="1358"/>
      <c r="VNE527" s="1358"/>
      <c r="VNF527" s="1358"/>
      <c r="VNG527" s="1358"/>
      <c r="VNH527" s="1358"/>
      <c r="VNI527" s="1358"/>
      <c r="VNJ527" s="1358"/>
      <c r="VNK527" s="1358"/>
      <c r="VNL527" s="1358"/>
      <c r="VNM527" s="1358"/>
      <c r="VNN527" s="1358"/>
      <c r="VNO527" s="1358"/>
      <c r="VNP527" s="1358"/>
      <c r="VNQ527" s="1358"/>
      <c r="VNR527" s="1358"/>
      <c r="VNS527" s="1358"/>
      <c r="VNT527" s="1358"/>
      <c r="VNU527" s="1358"/>
      <c r="VNV527" s="1358"/>
      <c r="VNW527" s="1358"/>
      <c r="VNX527" s="1358"/>
      <c r="VNY527" s="1358"/>
      <c r="VNZ527" s="1358"/>
      <c r="VOA527" s="1358"/>
      <c r="VOB527" s="1358"/>
      <c r="VOC527" s="1358"/>
      <c r="VOD527" s="1358"/>
      <c r="VOE527" s="1358"/>
      <c r="VOF527" s="1358"/>
      <c r="VOG527" s="1358"/>
      <c r="VOH527" s="1358"/>
      <c r="VOI527" s="1358"/>
      <c r="VOJ527" s="1358"/>
      <c r="VOK527" s="1358"/>
      <c r="VOL527" s="1358"/>
      <c r="VOM527" s="1358"/>
      <c r="VON527" s="1358"/>
      <c r="VOO527" s="1358"/>
      <c r="VOP527" s="1358"/>
      <c r="VOQ527" s="1358"/>
      <c r="VOR527" s="1358"/>
      <c r="VOS527" s="1358"/>
      <c r="VOT527" s="1358"/>
      <c r="VOU527" s="1358"/>
      <c r="VOV527" s="1358"/>
      <c r="VOW527" s="1358"/>
      <c r="VOX527" s="1358"/>
      <c r="VOY527" s="1358"/>
      <c r="VOZ527" s="1358"/>
      <c r="VPA527" s="1358"/>
      <c r="VPB527" s="1358"/>
      <c r="VPC527" s="1358"/>
      <c r="VPD527" s="1358"/>
      <c r="VPE527" s="1358"/>
      <c r="VPF527" s="1358"/>
      <c r="VPG527" s="1358"/>
      <c r="VPH527" s="1358"/>
      <c r="VPI527" s="1358"/>
      <c r="VPJ527" s="1358"/>
      <c r="VPK527" s="1358"/>
      <c r="VPL527" s="1358"/>
      <c r="VPM527" s="1358"/>
      <c r="VPN527" s="1358"/>
      <c r="VPO527" s="1358"/>
      <c r="VPP527" s="1358"/>
      <c r="VPQ527" s="1358"/>
      <c r="VPR527" s="1358"/>
      <c r="VPS527" s="1358"/>
      <c r="VPT527" s="1358"/>
      <c r="VPU527" s="1358"/>
      <c r="VPV527" s="1358"/>
      <c r="VPW527" s="1358"/>
      <c r="VPX527" s="1358"/>
      <c r="VPY527" s="1358"/>
      <c r="VPZ527" s="1358"/>
      <c r="VQA527" s="1358"/>
      <c r="VQB527" s="1358"/>
      <c r="VQC527" s="1358"/>
      <c r="VQD527" s="1358"/>
      <c r="VQE527" s="1358"/>
      <c r="VQF527" s="1358"/>
      <c r="VQG527" s="1358"/>
      <c r="VQH527" s="1358"/>
      <c r="VQI527" s="1358"/>
      <c r="VQJ527" s="1358"/>
      <c r="VQK527" s="1358"/>
      <c r="VQL527" s="1358"/>
      <c r="VQM527" s="1358"/>
      <c r="VQN527" s="1358"/>
      <c r="VQO527" s="1358"/>
      <c r="VQP527" s="1358"/>
      <c r="VQQ527" s="1358"/>
      <c r="VQR527" s="1358"/>
      <c r="VQS527" s="1358"/>
      <c r="VQT527" s="1358"/>
      <c r="VQU527" s="1358"/>
      <c r="VQV527" s="1358"/>
      <c r="VQW527" s="1358"/>
      <c r="VQX527" s="1358"/>
      <c r="VQY527" s="1358"/>
      <c r="VQZ527" s="1358"/>
      <c r="VRA527" s="1358"/>
      <c r="VRB527" s="1358"/>
      <c r="VRC527" s="1358"/>
      <c r="VRD527" s="1358"/>
      <c r="VRE527" s="1358"/>
      <c r="VRF527" s="1358"/>
      <c r="VRG527" s="1358"/>
      <c r="VRH527" s="1358"/>
      <c r="VRI527" s="1358"/>
      <c r="VRJ527" s="1358"/>
      <c r="VRK527" s="1358"/>
      <c r="VRL527" s="1358"/>
      <c r="VRM527" s="1358"/>
      <c r="VRN527" s="1358"/>
      <c r="VRO527" s="1358"/>
      <c r="VRP527" s="1358"/>
      <c r="VRQ527" s="1358"/>
      <c r="VRR527" s="1358"/>
      <c r="VRS527" s="1358"/>
      <c r="VRT527" s="1358"/>
      <c r="VRU527" s="1358"/>
      <c r="VRV527" s="1358"/>
      <c r="VRW527" s="1358"/>
      <c r="VRX527" s="1358"/>
      <c r="VRY527" s="1358"/>
      <c r="VRZ527" s="1358"/>
      <c r="VSA527" s="1358"/>
      <c r="VSB527" s="1358"/>
      <c r="VSC527" s="1358"/>
      <c r="VSD527" s="1358"/>
      <c r="VSE527" s="1358"/>
      <c r="VSF527" s="1358"/>
      <c r="VSG527" s="1358"/>
      <c r="VSH527" s="1358"/>
      <c r="VSI527" s="1358"/>
      <c r="VSJ527" s="1358"/>
      <c r="VSK527" s="1358"/>
      <c r="VSL527" s="1358"/>
      <c r="VSM527" s="1358"/>
      <c r="VSN527" s="1358"/>
      <c r="VSO527" s="1358"/>
      <c r="VSP527" s="1358"/>
      <c r="VSQ527" s="1358"/>
      <c r="VSR527" s="1358"/>
      <c r="VSS527" s="1358"/>
      <c r="VST527" s="1358"/>
      <c r="VSU527" s="1358"/>
      <c r="VSV527" s="1358"/>
      <c r="VSW527" s="1358"/>
      <c r="VSX527" s="1358"/>
      <c r="VSY527" s="1358"/>
      <c r="VSZ527" s="1358"/>
      <c r="VTA527" s="1358"/>
      <c r="VTB527" s="1358"/>
      <c r="VTC527" s="1358"/>
      <c r="VTD527" s="1358"/>
      <c r="VTE527" s="1358"/>
      <c r="VTF527" s="1358"/>
      <c r="VTG527" s="1358"/>
      <c r="VTH527" s="1358"/>
      <c r="VTI527" s="1358"/>
      <c r="VTJ527" s="1358"/>
      <c r="VTK527" s="1358"/>
      <c r="VTL527" s="1358"/>
      <c r="VTM527" s="1358"/>
      <c r="VTN527" s="1358"/>
      <c r="VTO527" s="1358"/>
      <c r="VTP527" s="1358"/>
      <c r="VTQ527" s="1358"/>
      <c r="VTR527" s="1358"/>
      <c r="VTS527" s="1358"/>
      <c r="VTT527" s="1358"/>
      <c r="VTU527" s="1358"/>
      <c r="VTV527" s="1358"/>
      <c r="VTW527" s="1358"/>
      <c r="VTX527" s="1358"/>
      <c r="VTY527" s="1358"/>
      <c r="VTZ527" s="1358"/>
      <c r="VUA527" s="1358"/>
      <c r="VUB527" s="1358"/>
      <c r="VUC527" s="1358"/>
      <c r="VUD527" s="1358"/>
      <c r="VUE527" s="1358"/>
      <c r="VUF527" s="1358"/>
      <c r="VUG527" s="1358"/>
      <c r="VUH527" s="1358"/>
      <c r="VUI527" s="1358"/>
      <c r="VUJ527" s="1358"/>
      <c r="VUK527" s="1358"/>
      <c r="VUL527" s="1358"/>
      <c r="VUM527" s="1358"/>
      <c r="VUN527" s="1358"/>
      <c r="VUO527" s="1358"/>
      <c r="VUP527" s="1358"/>
      <c r="VUQ527" s="1358"/>
      <c r="VUR527" s="1358"/>
      <c r="VUS527" s="1358"/>
      <c r="VUT527" s="1358"/>
      <c r="VUU527" s="1358"/>
      <c r="VUV527" s="1358"/>
      <c r="VUW527" s="1358"/>
      <c r="VUX527" s="1358"/>
      <c r="VUY527" s="1358"/>
      <c r="VUZ527" s="1358"/>
      <c r="VVA527" s="1358"/>
      <c r="VVB527" s="1358"/>
      <c r="VVC527" s="1358"/>
      <c r="VVD527" s="1358"/>
      <c r="VVE527" s="1358"/>
      <c r="VVF527" s="1358"/>
      <c r="VVG527" s="1358"/>
      <c r="VVH527" s="1358"/>
      <c r="VVI527" s="1358"/>
      <c r="VVJ527" s="1358"/>
      <c r="VVK527" s="1358"/>
      <c r="VVL527" s="1358"/>
      <c r="VVM527" s="1358"/>
      <c r="VVN527" s="1358"/>
      <c r="VVO527" s="1358"/>
      <c r="VVP527" s="1358"/>
      <c r="VVQ527" s="1358"/>
      <c r="VVR527" s="1358"/>
      <c r="VVS527" s="1358"/>
      <c r="VVT527" s="1358"/>
      <c r="VVU527" s="1358"/>
      <c r="VVV527" s="1358"/>
      <c r="VVW527" s="1358"/>
      <c r="VVX527" s="1358"/>
      <c r="VVY527" s="1358"/>
      <c r="VVZ527" s="1358"/>
      <c r="VWA527" s="1358"/>
      <c r="VWB527" s="1358"/>
      <c r="VWC527" s="1358"/>
      <c r="VWD527" s="1358"/>
      <c r="VWE527" s="1358"/>
      <c r="VWF527" s="1358"/>
      <c r="VWG527" s="1358"/>
      <c r="VWH527" s="1358"/>
      <c r="VWI527" s="1358"/>
      <c r="VWJ527" s="1358"/>
      <c r="VWK527" s="1358"/>
      <c r="VWL527" s="1358"/>
      <c r="VWM527" s="1358"/>
      <c r="VWN527" s="1358"/>
      <c r="VWO527" s="1358"/>
      <c r="VWP527" s="1358"/>
      <c r="VWQ527" s="1358"/>
      <c r="VWR527" s="1358"/>
      <c r="VWS527" s="1358"/>
      <c r="VWT527" s="1358"/>
      <c r="VWU527" s="1358"/>
      <c r="VWV527" s="1358"/>
      <c r="VWW527" s="1358"/>
      <c r="VWX527" s="1358"/>
      <c r="VWY527" s="1358"/>
      <c r="VWZ527" s="1358"/>
      <c r="VXA527" s="1358"/>
      <c r="VXB527" s="1358"/>
      <c r="VXC527" s="1358"/>
      <c r="VXD527" s="1358"/>
      <c r="VXE527" s="1358"/>
      <c r="VXF527" s="1358"/>
      <c r="VXG527" s="1358"/>
      <c r="VXH527" s="1358"/>
      <c r="VXI527" s="1358"/>
      <c r="VXJ527" s="1358"/>
      <c r="VXK527" s="1358"/>
      <c r="VXL527" s="1358"/>
      <c r="VXM527" s="1358"/>
      <c r="VXN527" s="1358"/>
      <c r="VXO527" s="1358"/>
      <c r="VXP527" s="1358"/>
      <c r="VXQ527" s="1358"/>
      <c r="VXR527" s="1358"/>
      <c r="VXS527" s="1358"/>
      <c r="VXT527" s="1358"/>
      <c r="VXU527" s="1358"/>
      <c r="VXV527" s="1358"/>
      <c r="VXW527" s="1358"/>
      <c r="VXX527" s="1358"/>
      <c r="VXY527" s="1358"/>
      <c r="VXZ527" s="1358"/>
      <c r="VYA527" s="1358"/>
      <c r="VYB527" s="1358"/>
      <c r="VYC527" s="1358"/>
      <c r="VYD527" s="1358"/>
      <c r="VYE527" s="1358"/>
      <c r="VYF527" s="1358"/>
      <c r="VYG527" s="1358"/>
      <c r="VYH527" s="1358"/>
      <c r="VYI527" s="1358"/>
      <c r="VYJ527" s="1358"/>
      <c r="VYK527" s="1358"/>
      <c r="VYL527" s="1358"/>
      <c r="VYM527" s="1358"/>
      <c r="VYN527" s="1358"/>
      <c r="VYO527" s="1358"/>
      <c r="VYP527" s="1358"/>
      <c r="VYQ527" s="1358"/>
      <c r="VYR527" s="1358"/>
      <c r="VYS527" s="1358"/>
      <c r="VYT527" s="1358"/>
      <c r="VYU527" s="1358"/>
      <c r="VYV527" s="1358"/>
      <c r="VYW527" s="1358"/>
      <c r="VYX527" s="1358"/>
      <c r="VYY527" s="1358"/>
      <c r="VYZ527" s="1358"/>
      <c r="VZA527" s="1358"/>
      <c r="VZB527" s="1358"/>
      <c r="VZC527" s="1358"/>
      <c r="VZD527" s="1358"/>
      <c r="VZE527" s="1358"/>
      <c r="VZF527" s="1358"/>
      <c r="VZG527" s="1358"/>
      <c r="VZH527" s="1358"/>
      <c r="VZI527" s="1358"/>
      <c r="VZJ527" s="1358"/>
      <c r="VZK527" s="1358"/>
      <c r="VZL527" s="1358"/>
      <c r="VZM527" s="1358"/>
      <c r="VZN527" s="1358"/>
      <c r="VZO527" s="1358"/>
      <c r="VZP527" s="1358"/>
      <c r="VZQ527" s="1358"/>
      <c r="VZR527" s="1358"/>
      <c r="VZS527" s="1358"/>
      <c r="VZT527" s="1358"/>
      <c r="VZU527" s="1358"/>
      <c r="VZV527" s="1358"/>
      <c r="VZW527" s="1358"/>
      <c r="VZX527" s="1358"/>
      <c r="VZY527" s="1358"/>
      <c r="VZZ527" s="1358"/>
      <c r="WAA527" s="1358"/>
      <c r="WAB527" s="1358"/>
      <c r="WAC527" s="1358"/>
      <c r="WAD527" s="1358"/>
      <c r="WAE527" s="1358"/>
      <c r="WAF527" s="1358"/>
      <c r="WAG527" s="1358"/>
      <c r="WAH527" s="1358"/>
      <c r="WAI527" s="1358"/>
      <c r="WAJ527" s="1358"/>
      <c r="WAK527" s="1358"/>
      <c r="WAL527" s="1358"/>
      <c r="WAM527" s="1358"/>
      <c r="WAN527" s="1358"/>
      <c r="WAO527" s="1358"/>
      <c r="WAP527" s="1358"/>
      <c r="WAQ527" s="1358"/>
      <c r="WAR527" s="1358"/>
      <c r="WAS527" s="1358"/>
      <c r="WAT527" s="1358"/>
      <c r="WAU527" s="1358"/>
      <c r="WAV527" s="1358"/>
      <c r="WAW527" s="1358"/>
      <c r="WAX527" s="1358"/>
      <c r="WAY527" s="1358"/>
      <c r="WAZ527" s="1358"/>
      <c r="WBA527" s="1358"/>
      <c r="WBB527" s="1358"/>
      <c r="WBC527" s="1358"/>
      <c r="WBD527" s="1358"/>
      <c r="WBE527" s="1358"/>
      <c r="WBF527" s="1358"/>
      <c r="WBG527" s="1358"/>
      <c r="WBH527" s="1358"/>
      <c r="WBI527" s="1358"/>
      <c r="WBJ527" s="1358"/>
      <c r="WBK527" s="1358"/>
      <c r="WBL527" s="1358"/>
      <c r="WBM527" s="1358"/>
      <c r="WBN527" s="1358"/>
      <c r="WBO527" s="1358"/>
      <c r="WBP527" s="1358"/>
      <c r="WBQ527" s="1358"/>
      <c r="WBR527" s="1358"/>
      <c r="WBS527" s="1358"/>
      <c r="WBT527" s="1358"/>
      <c r="WBU527" s="1358"/>
      <c r="WBV527" s="1358"/>
      <c r="WBW527" s="1358"/>
      <c r="WBX527" s="1358"/>
      <c r="WBY527" s="1358"/>
      <c r="WBZ527" s="1358"/>
      <c r="WCA527" s="1358"/>
      <c r="WCB527" s="1358"/>
      <c r="WCC527" s="1358"/>
      <c r="WCD527" s="1358"/>
      <c r="WCE527" s="1358"/>
      <c r="WCF527" s="1358"/>
      <c r="WCG527" s="1358"/>
      <c r="WCH527" s="1358"/>
      <c r="WCI527" s="1358"/>
      <c r="WCJ527" s="1358"/>
      <c r="WCK527" s="1358"/>
      <c r="WCL527" s="1358"/>
      <c r="WCM527" s="1358"/>
      <c r="WCN527" s="1358"/>
      <c r="WCO527" s="1358"/>
      <c r="WCP527" s="1358"/>
      <c r="WCQ527" s="1358"/>
      <c r="WCR527" s="1358"/>
      <c r="WCS527" s="1358"/>
      <c r="WCT527" s="1358"/>
      <c r="WCU527" s="1358"/>
      <c r="WCV527" s="1358"/>
      <c r="WCW527" s="1358"/>
      <c r="WCX527" s="1358"/>
      <c r="WCY527" s="1358"/>
      <c r="WCZ527" s="1358"/>
      <c r="WDA527" s="1358"/>
      <c r="WDB527" s="1358"/>
      <c r="WDC527" s="1358"/>
      <c r="WDD527" s="1358"/>
      <c r="WDE527" s="1358"/>
      <c r="WDF527" s="1358"/>
      <c r="WDG527" s="1358"/>
      <c r="WDH527" s="1358"/>
      <c r="WDI527" s="1358"/>
      <c r="WDJ527" s="1358"/>
      <c r="WDK527" s="1358"/>
      <c r="WDL527" s="1358"/>
      <c r="WDM527" s="1358"/>
      <c r="WDN527" s="1358"/>
      <c r="WDO527" s="1358"/>
      <c r="WDP527" s="1358"/>
      <c r="WDQ527" s="1358"/>
      <c r="WDR527" s="1358"/>
      <c r="WDS527" s="1358"/>
      <c r="WDT527" s="1358"/>
      <c r="WDU527" s="1358"/>
      <c r="WDV527" s="1358"/>
      <c r="WDW527" s="1358"/>
      <c r="WDX527" s="1358"/>
      <c r="WDY527" s="1358"/>
      <c r="WDZ527" s="1358"/>
      <c r="WEA527" s="1358"/>
      <c r="WEB527" s="1358"/>
      <c r="WEC527" s="1358"/>
      <c r="WED527" s="1358"/>
      <c r="WEE527" s="1358"/>
      <c r="WEF527" s="1358"/>
      <c r="WEG527" s="1358"/>
      <c r="WEH527" s="1358"/>
      <c r="WEI527" s="1358"/>
      <c r="WEJ527" s="1358"/>
      <c r="WEK527" s="1358"/>
      <c r="WEL527" s="1358"/>
      <c r="WEM527" s="1358"/>
      <c r="WEN527" s="1358"/>
      <c r="WEO527" s="1358"/>
      <c r="WEP527" s="1358"/>
      <c r="WEQ527" s="1358"/>
      <c r="WER527" s="1358"/>
      <c r="WES527" s="1358"/>
      <c r="WET527" s="1358"/>
      <c r="WEU527" s="1358"/>
      <c r="WEV527" s="1358"/>
      <c r="WEW527" s="1358"/>
      <c r="WEX527" s="1358"/>
      <c r="WEY527" s="1358"/>
      <c r="WEZ527" s="1358"/>
      <c r="WFA527" s="1358"/>
      <c r="WFB527" s="1358"/>
      <c r="WFC527" s="1358"/>
      <c r="WFD527" s="1358"/>
      <c r="WFE527" s="1358"/>
      <c r="WFF527" s="1358"/>
      <c r="WFG527" s="1358"/>
      <c r="WFH527" s="1358"/>
      <c r="WFI527" s="1358"/>
      <c r="WFJ527" s="1358"/>
      <c r="WFK527" s="1358"/>
      <c r="WFL527" s="1358"/>
      <c r="WFM527" s="1358"/>
      <c r="WFN527" s="1358"/>
      <c r="WFO527" s="1358"/>
      <c r="WFP527" s="1358"/>
      <c r="WFQ527" s="1358"/>
      <c r="WFR527" s="1358"/>
      <c r="WFS527" s="1358"/>
      <c r="WFT527" s="1358"/>
      <c r="WFU527" s="1358"/>
      <c r="WFV527" s="1358"/>
      <c r="WFW527" s="1358"/>
      <c r="WFX527" s="1358"/>
      <c r="WFY527" s="1358"/>
      <c r="WFZ527" s="1358"/>
      <c r="WGA527" s="1358"/>
      <c r="WGB527" s="1358"/>
      <c r="WGC527" s="1358"/>
      <c r="WGD527" s="1358"/>
      <c r="WGE527" s="1358"/>
      <c r="WGF527" s="1358"/>
      <c r="WGG527" s="1358"/>
      <c r="WGH527" s="1358"/>
      <c r="WGI527" s="1358"/>
      <c r="WGJ527" s="1358"/>
      <c r="WGK527" s="1358"/>
      <c r="WGL527" s="1358"/>
      <c r="WGM527" s="1358"/>
      <c r="WGN527" s="1358"/>
      <c r="WGO527" s="1358"/>
      <c r="WGP527" s="1358"/>
      <c r="WGQ527" s="1358"/>
      <c r="WGR527" s="1358"/>
      <c r="WGS527" s="1358"/>
      <c r="WGT527" s="1358"/>
      <c r="WGU527" s="1358"/>
      <c r="WGV527" s="1358"/>
      <c r="WGW527" s="1358"/>
      <c r="WGX527" s="1358"/>
      <c r="WGY527" s="1358"/>
      <c r="WGZ527" s="1358"/>
      <c r="WHA527" s="1358"/>
      <c r="WHB527" s="1358"/>
      <c r="WHC527" s="1358"/>
      <c r="WHD527" s="1358"/>
      <c r="WHE527" s="1358"/>
      <c r="WHF527" s="1358"/>
      <c r="WHG527" s="1358"/>
      <c r="WHH527" s="1358"/>
      <c r="WHI527" s="1358"/>
      <c r="WHJ527" s="1358"/>
      <c r="WHK527" s="1358"/>
      <c r="WHL527" s="1358"/>
      <c r="WHM527" s="1358"/>
      <c r="WHN527" s="1358"/>
      <c r="WHO527" s="1358"/>
      <c r="WHP527" s="1358"/>
      <c r="WHQ527" s="1358"/>
      <c r="WHR527" s="1358"/>
      <c r="WHS527" s="1358"/>
      <c r="WHT527" s="1358"/>
      <c r="WHU527" s="1358"/>
      <c r="WHV527" s="1358"/>
      <c r="WHW527" s="1358"/>
      <c r="WHX527" s="1358"/>
      <c r="WHY527" s="1358"/>
      <c r="WHZ527" s="1358"/>
      <c r="WIA527" s="1358"/>
      <c r="WIB527" s="1358"/>
      <c r="WIC527" s="1358"/>
      <c r="WID527" s="1358"/>
      <c r="WIE527" s="1358"/>
      <c r="WIF527" s="1358"/>
      <c r="WIG527" s="1358"/>
      <c r="WIH527" s="1358"/>
      <c r="WII527" s="1358"/>
      <c r="WIJ527" s="1358"/>
      <c r="WIK527" s="1358"/>
      <c r="WIL527" s="1358"/>
      <c r="WIM527" s="1358"/>
      <c r="WIN527" s="1358"/>
      <c r="WIO527" s="1358"/>
      <c r="WIP527" s="1358"/>
      <c r="WIQ527" s="1358"/>
      <c r="WIR527" s="1358"/>
      <c r="WIS527" s="1358"/>
      <c r="WIT527" s="1358"/>
      <c r="WIU527" s="1358"/>
      <c r="WIV527" s="1358"/>
      <c r="WIW527" s="1358"/>
      <c r="WIX527" s="1358"/>
      <c r="WIY527" s="1358"/>
      <c r="WIZ527" s="1358"/>
      <c r="WJA527" s="1358"/>
      <c r="WJB527" s="1358"/>
      <c r="WJC527" s="1358"/>
      <c r="WJD527" s="1358"/>
      <c r="WJE527" s="1358"/>
      <c r="WJF527" s="1358"/>
      <c r="WJG527" s="1358"/>
      <c r="WJH527" s="1358"/>
      <c r="WJI527" s="1358"/>
      <c r="WJJ527" s="1358"/>
      <c r="WJK527" s="1358"/>
      <c r="WJL527" s="1358"/>
      <c r="WJM527" s="1358"/>
      <c r="WJN527" s="1358"/>
      <c r="WJO527" s="1358"/>
      <c r="WJP527" s="1358"/>
      <c r="WJQ527" s="1358"/>
      <c r="WJR527" s="1358"/>
      <c r="WJS527" s="1358"/>
      <c r="WJT527" s="1358"/>
      <c r="WJU527" s="1358"/>
      <c r="WJV527" s="1358"/>
      <c r="WJW527" s="1358"/>
      <c r="WJX527" s="1358"/>
      <c r="WJY527" s="1358"/>
      <c r="WJZ527" s="1358"/>
      <c r="WKA527" s="1358"/>
      <c r="WKB527" s="1358"/>
      <c r="WKC527" s="1358"/>
      <c r="WKD527" s="1358"/>
      <c r="WKE527" s="1358"/>
      <c r="WKF527" s="1358"/>
      <c r="WKG527" s="1358"/>
      <c r="WKH527" s="1358"/>
      <c r="WKI527" s="1358"/>
      <c r="WKJ527" s="1358"/>
      <c r="WKK527" s="1358"/>
      <c r="WKL527" s="1358"/>
      <c r="WKM527" s="1358"/>
      <c r="WKN527" s="1358"/>
      <c r="WKO527" s="1358"/>
      <c r="WKP527" s="1358"/>
      <c r="WKQ527" s="1358"/>
      <c r="WKR527" s="1358"/>
      <c r="WKS527" s="1358"/>
      <c r="WKT527" s="1358"/>
      <c r="WKU527" s="1358"/>
      <c r="WKV527" s="1358"/>
      <c r="WKW527" s="1358"/>
      <c r="WKX527" s="1358"/>
      <c r="WKY527" s="1358"/>
      <c r="WKZ527" s="1358"/>
      <c r="WLA527" s="1358"/>
      <c r="WLB527" s="1358"/>
      <c r="WLC527" s="1358"/>
      <c r="WLD527" s="1358"/>
      <c r="WLE527" s="1358"/>
      <c r="WLF527" s="1358"/>
      <c r="WLG527" s="1358"/>
      <c r="WLH527" s="1358"/>
      <c r="WLI527" s="1358"/>
      <c r="WLJ527" s="1358"/>
      <c r="WLK527" s="1358"/>
      <c r="WLL527" s="1358"/>
      <c r="WLM527" s="1358"/>
      <c r="WLN527" s="1358"/>
      <c r="WLO527" s="1358"/>
      <c r="WLP527" s="1358"/>
      <c r="WLQ527" s="1358"/>
      <c r="WLR527" s="1358"/>
      <c r="WLS527" s="1358"/>
      <c r="WLT527" s="1358"/>
      <c r="WLU527" s="1358"/>
      <c r="WLV527" s="1358"/>
      <c r="WLW527" s="1358"/>
      <c r="WLX527" s="1358"/>
      <c r="WLY527" s="1358"/>
      <c r="WLZ527" s="1358"/>
      <c r="WMA527" s="1358"/>
      <c r="WMB527" s="1358"/>
      <c r="WMC527" s="1358"/>
      <c r="WMD527" s="1358"/>
      <c r="WME527" s="1358"/>
      <c r="WMF527" s="1358"/>
      <c r="WMG527" s="1358"/>
      <c r="WMH527" s="1358"/>
      <c r="WMI527" s="1358"/>
      <c r="WMJ527" s="1358"/>
      <c r="WMK527" s="1358"/>
      <c r="WML527" s="1358"/>
      <c r="WMM527" s="1358"/>
      <c r="WMN527" s="1358"/>
      <c r="WMO527" s="1358"/>
      <c r="WMP527" s="1358"/>
      <c r="WMQ527" s="1358"/>
      <c r="WMR527" s="1358"/>
      <c r="WMS527" s="1358"/>
      <c r="WMT527" s="1358"/>
      <c r="WMU527" s="1358"/>
      <c r="WMV527" s="1358"/>
      <c r="WMW527" s="1358"/>
      <c r="WMX527" s="1358"/>
      <c r="WMY527" s="1358"/>
      <c r="WMZ527" s="1358"/>
      <c r="WNA527" s="1358"/>
      <c r="WNB527" s="1358"/>
      <c r="WNC527" s="1358"/>
      <c r="WND527" s="1358"/>
      <c r="WNE527" s="1358"/>
      <c r="WNF527" s="1358"/>
      <c r="WNG527" s="1358"/>
      <c r="WNH527" s="1358"/>
      <c r="WNI527" s="1358"/>
      <c r="WNJ527" s="1358"/>
      <c r="WNK527" s="1358"/>
      <c r="WNL527" s="1358"/>
      <c r="WNM527" s="1358"/>
      <c r="WNN527" s="1358"/>
      <c r="WNO527" s="1358"/>
      <c r="WNP527" s="1358"/>
      <c r="WNQ527" s="1358"/>
      <c r="WNR527" s="1358"/>
      <c r="WNS527" s="1358"/>
      <c r="WNT527" s="1358"/>
      <c r="WNU527" s="1358"/>
      <c r="WNV527" s="1358"/>
      <c r="WNW527" s="1358"/>
      <c r="WNX527" s="1358"/>
      <c r="WNY527" s="1358"/>
      <c r="WNZ527" s="1358"/>
      <c r="WOA527" s="1358"/>
      <c r="WOB527" s="1358"/>
      <c r="WOC527" s="1358"/>
      <c r="WOD527" s="1358"/>
      <c r="WOE527" s="1358"/>
      <c r="WOF527" s="1358"/>
      <c r="WOG527" s="1358"/>
      <c r="WOH527" s="1358"/>
      <c r="WOI527" s="1358"/>
      <c r="WOJ527" s="1358"/>
      <c r="WOK527" s="1358"/>
      <c r="WOL527" s="1358"/>
      <c r="WOM527" s="1358"/>
      <c r="WON527" s="1358"/>
      <c r="WOO527" s="1358"/>
      <c r="WOP527" s="1358"/>
      <c r="WOQ527" s="1358"/>
      <c r="WOR527" s="1358"/>
      <c r="WOS527" s="1358"/>
      <c r="WOT527" s="1358"/>
      <c r="WOU527" s="1358"/>
      <c r="WOV527" s="1358"/>
      <c r="WOW527" s="1358"/>
      <c r="WOX527" s="1358"/>
      <c r="WOY527" s="1358"/>
      <c r="WOZ527" s="1358"/>
      <c r="WPA527" s="1358"/>
      <c r="WPB527" s="1358"/>
      <c r="WPC527" s="1358"/>
      <c r="WPD527" s="1358"/>
      <c r="WPE527" s="1358"/>
      <c r="WPF527" s="1358"/>
      <c r="WPG527" s="1358"/>
      <c r="WPH527" s="1358"/>
      <c r="WPI527" s="1358"/>
      <c r="WPJ527" s="1358"/>
      <c r="WPK527" s="1358"/>
      <c r="WPL527" s="1358"/>
      <c r="WPM527" s="1358"/>
      <c r="WPN527" s="1358"/>
      <c r="WPO527" s="1358"/>
      <c r="WPP527" s="1358"/>
      <c r="WPQ527" s="1358"/>
      <c r="WPR527" s="1358"/>
      <c r="WPS527" s="1358"/>
      <c r="WPT527" s="1358"/>
      <c r="WPU527" s="1358"/>
      <c r="WPV527" s="1358"/>
      <c r="WPW527" s="1358"/>
      <c r="WPX527" s="1358"/>
      <c r="WPY527" s="1358"/>
      <c r="WPZ527" s="1358"/>
      <c r="WQA527" s="1358"/>
      <c r="WQB527" s="1358"/>
      <c r="WQC527" s="1358"/>
      <c r="WQD527" s="1358"/>
      <c r="WQE527" s="1358"/>
      <c r="WQF527" s="1358"/>
      <c r="WQG527" s="1358"/>
      <c r="WQH527" s="1358"/>
      <c r="WQI527" s="1358"/>
      <c r="WQJ527" s="1358"/>
      <c r="WQK527" s="1358"/>
      <c r="WQL527" s="1358"/>
      <c r="WQM527" s="1358"/>
      <c r="WQN527" s="1358"/>
      <c r="WQO527" s="1358"/>
      <c r="WQP527" s="1358"/>
      <c r="WQQ527" s="1358"/>
      <c r="WQR527" s="1358"/>
      <c r="WQS527" s="1358"/>
      <c r="WQT527" s="1358"/>
      <c r="WQU527" s="1358"/>
      <c r="WQV527" s="1358"/>
      <c r="WQW527" s="1358"/>
      <c r="WQX527" s="1358"/>
      <c r="WQY527" s="1358"/>
      <c r="WQZ527" s="1358"/>
      <c r="WRA527" s="1358"/>
      <c r="WRB527" s="1358"/>
      <c r="WRC527" s="1358"/>
      <c r="WRD527" s="1358"/>
      <c r="WRE527" s="1358"/>
      <c r="WRF527" s="1358"/>
      <c r="WRG527" s="1358"/>
      <c r="WRH527" s="1358"/>
      <c r="WRI527" s="1358"/>
      <c r="WRJ527" s="1359"/>
      <c r="WRK527" s="1360"/>
      <c r="WRL527" s="1361"/>
      <c r="WRM527" s="1362"/>
      <c r="WRN527" s="1368"/>
      <c r="WRO527" s="1363"/>
      <c r="WRP527" s="1364"/>
      <c r="WRQ527" s="1365"/>
      <c r="WRR527" s="1364"/>
      <c r="WRS527" s="1366"/>
      <c r="WRT527" s="1367"/>
      <c r="WRU527" s="1363"/>
      <c r="WRV527" s="1363"/>
      <c r="WRW527" s="1363"/>
      <c r="WRX527" s="1358"/>
      <c r="WRY527" s="1358"/>
      <c r="WRZ527" s="1358"/>
      <c r="WSA527" s="1358"/>
      <c r="WSB527" s="1359"/>
      <c r="WSC527" s="1360"/>
      <c r="WSD527" s="1361"/>
      <c r="WSE527" s="1362"/>
      <c r="WSF527" s="1368"/>
      <c r="WSG527" s="1363"/>
      <c r="WSH527" s="1364"/>
      <c r="WSI527" s="1365"/>
      <c r="WSJ527" s="1364"/>
      <c r="WSK527" s="1366"/>
      <c r="WSL527" s="1367"/>
      <c r="WSM527" s="1363"/>
      <c r="WSN527" s="1363"/>
      <c r="WSO527" s="1363"/>
      <c r="WSP527" s="1358"/>
      <c r="WSQ527" s="1358"/>
      <c r="WSR527" s="1358"/>
      <c r="WSS527" s="1358"/>
      <c r="WST527" s="1359"/>
      <c r="WSU527" s="1360"/>
      <c r="WSV527" s="1361"/>
      <c r="WSW527" s="1362"/>
      <c r="WSX527" s="1368"/>
      <c r="WSY527" s="1363"/>
      <c r="WSZ527" s="1364"/>
      <c r="WTA527" s="1365"/>
      <c r="WTB527" s="1364"/>
      <c r="WTC527" s="1366"/>
      <c r="WTD527" s="1367"/>
      <c r="WTE527" s="1363"/>
      <c r="WTF527" s="1363"/>
      <c r="WTG527" s="1363"/>
      <c r="WTH527" s="1358"/>
      <c r="WTI527" s="1358"/>
      <c r="WTJ527" s="1358"/>
      <c r="WTK527" s="1358"/>
      <c r="WTL527" s="1359"/>
      <c r="WTM527" s="1360"/>
      <c r="WTN527" s="1361"/>
      <c r="WTO527" s="1362"/>
      <c r="WTP527" s="1368"/>
      <c r="WTQ527" s="1363"/>
      <c r="WTR527" s="1364"/>
      <c r="WTS527" s="1365"/>
      <c r="WTT527" s="1364"/>
      <c r="WTU527" s="1366"/>
      <c r="WTV527" s="1367"/>
      <c r="WTW527" s="1363"/>
      <c r="WTX527" s="1363"/>
      <c r="WTY527" s="1363"/>
      <c r="WTZ527" s="1358"/>
      <c r="WUA527" s="1358"/>
      <c r="WUB527" s="1358"/>
      <c r="WUC527" s="1358"/>
      <c r="WUD527" s="1359"/>
      <c r="WUE527" s="1360"/>
      <c r="WUF527" s="1361"/>
      <c r="WUG527" s="1362"/>
      <c r="WUH527" s="1368"/>
      <c r="WUI527" s="1363"/>
      <c r="WUJ527" s="1364"/>
      <c r="WUK527" s="1365"/>
      <c r="WUL527" s="1364"/>
      <c r="WUM527" s="1366"/>
      <c r="WUN527" s="1367"/>
      <c r="WUO527" s="1363"/>
      <c r="WUP527" s="1363"/>
      <c r="WUQ527" s="1363"/>
      <c r="WUR527" s="1358"/>
      <c r="WUS527" s="1358"/>
      <c r="WUT527" s="1358"/>
      <c r="WUU527" s="1358"/>
      <c r="WUV527" s="1359"/>
      <c r="WUW527" s="1360"/>
      <c r="WUX527" s="1361"/>
      <c r="WUY527" s="1362"/>
      <c r="WUZ527" s="1368"/>
      <c r="WVA527" s="1363"/>
      <c r="WVB527" s="1364"/>
      <c r="WVC527" s="1365"/>
      <c r="WVD527" s="1364"/>
      <c r="WVE527" s="1366"/>
      <c r="WVF527" s="1367"/>
      <c r="WVG527" s="1363"/>
      <c r="WVH527" s="1363"/>
      <c r="WVI527" s="1363"/>
      <c r="WVJ527" s="1358"/>
      <c r="WVK527" s="1358"/>
      <c r="WVL527" s="1358"/>
      <c r="WVM527" s="1358"/>
      <c r="WVN527" s="1359"/>
      <c r="WVO527" s="1360"/>
      <c r="WVP527" s="1361"/>
      <c r="WVQ527" s="1362"/>
      <c r="WVR527" s="1368"/>
      <c r="WVS527" s="1363"/>
      <c r="WVT527" s="1364"/>
      <c r="WVU527" s="1365"/>
      <c r="WVV527" s="1364"/>
      <c r="WVW527" s="1366"/>
      <c r="WVX527" s="1367"/>
      <c r="WVY527" s="1363"/>
      <c r="WVZ527" s="1363"/>
      <c r="WWA527" s="1363"/>
      <c r="WWB527" s="1358"/>
      <c r="WWC527" s="1358"/>
      <c r="WWD527" s="1358"/>
      <c r="WWE527" s="1358"/>
      <c r="WWF527" s="1359"/>
      <c r="WWG527" s="1360"/>
      <c r="WWH527" s="1361"/>
      <c r="WWI527" s="1362"/>
      <c r="WWJ527" s="1368"/>
      <c r="WWK527" s="1363"/>
      <c r="WWL527" s="1364"/>
      <c r="WWM527" s="1365"/>
      <c r="WWN527" s="1364"/>
      <c r="WWO527" s="1366"/>
      <c r="WWP527" s="1367"/>
      <c r="WWQ527" s="1363"/>
      <c r="WWR527" s="1363"/>
      <c r="WWS527" s="1363"/>
      <c r="WWT527" s="1358"/>
      <c r="WWU527" s="1358"/>
      <c r="WWV527" s="1358"/>
      <c r="WWW527" s="1358"/>
      <c r="WWX527" s="1359"/>
      <c r="WWY527" s="1360"/>
      <c r="WWZ527" s="1361"/>
      <c r="WXA527" s="1362"/>
      <c r="WXB527" s="1368"/>
      <c r="WXC527" s="1363"/>
      <c r="WXD527" s="1364"/>
      <c r="WXE527" s="1365"/>
      <c r="WXF527" s="1364"/>
      <c r="WXG527" s="1366"/>
      <c r="WXH527" s="1367"/>
      <c r="WXI527" s="1363"/>
      <c r="WXJ527" s="1363"/>
      <c r="WXK527" s="1363"/>
      <c r="WXL527" s="1358"/>
      <c r="WXM527" s="1358"/>
      <c r="WXN527" s="1358"/>
      <c r="WXO527" s="1358"/>
      <c r="WXP527" s="1359"/>
      <c r="WXQ527" s="1360"/>
      <c r="WXR527" s="1361"/>
      <c r="WXS527" s="1362"/>
      <c r="WXT527" s="1368"/>
      <c r="WXU527" s="1363"/>
      <c r="WXV527" s="1364"/>
      <c r="WXW527" s="1365"/>
      <c r="WXX527" s="1364"/>
      <c r="WXY527" s="1366"/>
      <c r="WXZ527" s="1367"/>
      <c r="WYA527" s="1363"/>
      <c r="WYB527" s="1363"/>
      <c r="WYC527" s="1363"/>
      <c r="WYD527" s="1358"/>
      <c r="WYE527" s="1358"/>
      <c r="WYF527" s="1358"/>
      <c r="WYG527" s="1358"/>
      <c r="WYH527" s="1359"/>
      <c r="WYI527" s="1360"/>
      <c r="WYJ527" s="1361"/>
      <c r="WYK527" s="1362"/>
      <c r="WYL527" s="1368"/>
      <c r="WYM527" s="1363"/>
      <c r="WYN527" s="1364"/>
      <c r="WYO527" s="1365"/>
      <c r="WYP527" s="1364"/>
      <c r="WYQ527" s="1366"/>
      <c r="WYR527" s="1367"/>
      <c r="WYS527" s="1363"/>
      <c r="WYT527" s="1363"/>
      <c r="WYU527" s="1363"/>
      <c r="WYV527" s="1358"/>
      <c r="WYW527" s="1358"/>
      <c r="WYX527" s="1358"/>
      <c r="WYY527" s="1358"/>
      <c r="WYZ527" s="1359"/>
      <c r="WZA527" s="1360"/>
      <c r="WZB527" s="1361"/>
      <c r="WZC527" s="1362"/>
      <c r="WZD527" s="1368"/>
      <c r="WZE527" s="1363"/>
      <c r="WZF527" s="1364"/>
      <c r="WZG527" s="1365"/>
      <c r="WZH527" s="1364"/>
      <c r="WZI527" s="1366"/>
      <c r="WZJ527" s="1367"/>
      <c r="WZK527" s="1363"/>
      <c r="WZL527" s="1363"/>
      <c r="WZM527" s="1363"/>
      <c r="WZN527" s="1358"/>
      <c r="WZO527" s="1358"/>
      <c r="WZP527" s="1358"/>
      <c r="WZQ527" s="1358"/>
      <c r="WZR527" s="1359"/>
      <c r="WZS527" s="1360"/>
      <c r="WZT527" s="1361"/>
      <c r="WZU527" s="1362"/>
      <c r="WZV527" s="1368"/>
      <c r="WZW527" s="1363"/>
      <c r="WZX527" s="1364"/>
      <c r="WZY527" s="1365"/>
      <c r="WZZ527" s="1364"/>
      <c r="XAA527" s="1366"/>
      <c r="XAB527" s="1367"/>
      <c r="XAC527" s="1363"/>
      <c r="XAD527" s="1363"/>
      <c r="XAE527" s="1363"/>
      <c r="XAF527" s="1358"/>
      <c r="XAG527" s="1358"/>
      <c r="XAH527" s="1358"/>
      <c r="XAI527" s="1358"/>
      <c r="XAJ527" s="1359"/>
      <c r="XAK527" s="1360"/>
      <c r="XAL527" s="1361"/>
      <c r="XAM527" s="1362"/>
      <c r="XAN527" s="1368"/>
      <c r="XAO527" s="1363"/>
      <c r="XAP527" s="1364"/>
      <c r="XAQ527" s="1365"/>
      <c r="XAR527" s="1364"/>
      <c r="XAS527" s="1366"/>
      <c r="XAT527" s="1367"/>
      <c r="XAU527" s="1363"/>
      <c r="XAV527" s="1363"/>
      <c r="XAW527" s="1363"/>
      <c r="XAX527" s="1358"/>
      <c r="XAY527" s="1358"/>
      <c r="XAZ527" s="1358"/>
      <c r="XBA527" s="1358"/>
      <c r="XBB527" s="1359"/>
      <c r="XBC527" s="1360"/>
      <c r="XBD527" s="1361"/>
      <c r="XBE527" s="1362"/>
      <c r="XBF527" s="1368"/>
      <c r="XBG527" s="1363"/>
      <c r="XBH527" s="1364"/>
      <c r="XBI527" s="1365"/>
      <c r="XBJ527" s="1364"/>
      <c r="XBK527" s="1366"/>
      <c r="XBL527" s="1367"/>
      <c r="XBM527" s="1363"/>
      <c r="XBN527" s="1363"/>
      <c r="XBO527" s="1363"/>
      <c r="XBP527" s="1358"/>
      <c r="XBQ527" s="1358"/>
      <c r="XBR527" s="1358"/>
      <c r="XBS527" s="1358"/>
      <c r="XBT527" s="1359"/>
      <c r="XBU527" s="1360"/>
      <c r="XBV527" s="1361"/>
      <c r="XBW527" s="1362"/>
      <c r="XBX527" s="1368"/>
      <c r="XBY527" s="1363"/>
      <c r="XBZ527" s="1364"/>
      <c r="XCA527" s="1365"/>
      <c r="XCB527" s="1364"/>
      <c r="XCC527" s="1366"/>
      <c r="XCD527" s="1367"/>
      <c r="XCE527" s="1363"/>
      <c r="XCF527" s="1363"/>
      <c r="XCG527" s="1363"/>
      <c r="XCH527" s="1358"/>
      <c r="XCI527" s="1358"/>
      <c r="XCJ527" s="1358"/>
      <c r="XCK527" s="1358"/>
      <c r="XCL527" s="1359"/>
      <c r="XCM527" s="1360"/>
      <c r="XCN527" s="1361"/>
      <c r="XCO527" s="1362"/>
      <c r="XCP527" s="1368"/>
      <c r="XCQ527" s="1363"/>
      <c r="XCR527" s="1364"/>
      <c r="XCS527" s="1365"/>
      <c r="XCT527" s="1364"/>
      <c r="XCU527" s="1366"/>
      <c r="XCV527" s="1367"/>
      <c r="XCW527" s="1363"/>
      <c r="XCX527" s="1363"/>
      <c r="XCY527" s="1363"/>
      <c r="XCZ527" s="1358"/>
      <c r="XDA527" s="1358"/>
      <c r="XDB527" s="1358"/>
      <c r="XDC527" s="1358"/>
      <c r="XDD527" s="1359"/>
      <c r="XDE527" s="1360"/>
      <c r="XDF527" s="1361"/>
      <c r="XDG527" s="1362"/>
      <c r="XDH527" s="1368"/>
      <c r="XDI527" s="1363"/>
      <c r="XDJ527" s="1364"/>
      <c r="XDK527" s="1365"/>
      <c r="XDL527" s="1364"/>
      <c r="XDM527" s="1366"/>
      <c r="XDN527" s="1367"/>
      <c r="XDO527" s="1363"/>
      <c r="XDP527" s="1363"/>
      <c r="XDQ527" s="1363"/>
      <c r="XDR527" s="1358"/>
      <c r="XDS527" s="1358"/>
      <c r="XDT527" s="1358"/>
      <c r="XDU527" s="1358"/>
      <c r="XDV527" s="1359"/>
      <c r="XDW527" s="1360"/>
      <c r="XDX527" s="1361"/>
      <c r="XDY527" s="1362"/>
      <c r="XDZ527" s="1368"/>
      <c r="XEA527" s="1363"/>
      <c r="XEB527" s="1364"/>
      <c r="XEC527" s="1365"/>
      <c r="XED527" s="1364"/>
      <c r="XEE527" s="1366"/>
      <c r="XEF527" s="1367"/>
      <c r="XEG527" s="1363"/>
      <c r="XEH527" s="1363"/>
      <c r="XEI527" s="1363"/>
      <c r="XEJ527" s="1358"/>
      <c r="XEK527" s="1358"/>
      <c r="XEL527" s="1358"/>
      <c r="XEM527" s="1358"/>
      <c r="XEN527" s="1359"/>
      <c r="XEO527" s="1360"/>
      <c r="XEP527" s="1361"/>
      <c r="XEQ527" s="1362"/>
      <c r="XER527" s="1368"/>
      <c r="XES527" s="1363"/>
      <c r="XET527" s="1364"/>
      <c r="XEU527" s="1365"/>
      <c r="XEV527" s="1364"/>
      <c r="XEW527" s="1366"/>
      <c r="XEX527" s="1367"/>
      <c r="XEY527" s="1363"/>
      <c r="XEZ527" s="1363"/>
      <c r="XFA527" s="1363"/>
    </row>
    <row r="528" spans="1:16381" s="828" customFormat="1" ht="14.4" x14ac:dyDescent="0.3">
      <c r="A528" s="828" t="s">
        <v>264</v>
      </c>
      <c r="B528" s="829"/>
      <c r="C528" s="830" t="s">
        <v>912</v>
      </c>
      <c r="D528" s="831"/>
      <c r="E528" s="829"/>
      <c r="F528" s="1356"/>
      <c r="G528" s="829"/>
      <c r="H528" s="832">
        <f>H315-SUM(H317:H415)</f>
        <v>311789876.61000001</v>
      </c>
      <c r="I528" s="833"/>
      <c r="J528" s="832"/>
      <c r="K528" s="1614"/>
      <c r="L528" s="1614"/>
      <c r="M528" s="834"/>
      <c r="N528" s="834"/>
      <c r="O528" s="834"/>
      <c r="P528" s="835"/>
      <c r="Q528" s="836"/>
      <c r="R528" s="835"/>
      <c r="S528" s="836"/>
      <c r="T528" s="835"/>
      <c r="U528" s="836"/>
      <c r="V528" s="835"/>
      <c r="W528" s="836"/>
      <c r="X528" s="835"/>
      <c r="Y528" s="836"/>
      <c r="Z528" s="835"/>
      <c r="AA528" s="836"/>
      <c r="AB528" s="835"/>
      <c r="AC528" s="836"/>
      <c r="AD528" s="836"/>
      <c r="AE528" s="1532"/>
      <c r="AF528" s="837"/>
      <c r="AG528" s="838"/>
      <c r="AH528" s="839"/>
      <c r="AI528" s="840"/>
      <c r="AJ528" s="841"/>
      <c r="AK528" s="842"/>
      <c r="AL528" s="829"/>
      <c r="AM528" s="843"/>
      <c r="AN528" s="844"/>
      <c r="AO528" s="165"/>
      <c r="AP528" s="165"/>
      <c r="AQ528" s="165"/>
      <c r="AR528" s="165"/>
      <c r="AS528" s="165"/>
      <c r="AT528" s="845"/>
      <c r="AU528" s="308"/>
      <c r="AV528" s="308"/>
      <c r="AW528" s="308"/>
      <c r="AX528" s="308"/>
      <c r="AY528" s="308"/>
      <c r="AZ528" s="308"/>
      <c r="BA528" s="308"/>
      <c r="BB528" s="308"/>
      <c r="BC528" s="308"/>
      <c r="BD528" s="308"/>
      <c r="BE528" s="308"/>
      <c r="BF528" s="308"/>
      <c r="BG528" s="308"/>
      <c r="BH528" s="308"/>
      <c r="BI528" s="308"/>
      <c r="BJ528" s="308"/>
      <c r="BK528" s="308"/>
      <c r="BL528" s="308"/>
      <c r="BM528" s="308"/>
      <c r="BN528" s="308"/>
      <c r="BO528" s="308"/>
      <c r="BP528" s="308"/>
      <c r="BQ528" s="308"/>
      <c r="BR528" s="308"/>
      <c r="BS528" s="308"/>
      <c r="BT528" s="308"/>
      <c r="BU528" s="308"/>
      <c r="BV528" s="308"/>
      <c r="BW528" s="308"/>
      <c r="BX528" s="308"/>
      <c r="BY528" s="308"/>
      <c r="BZ528" s="308"/>
      <c r="CA528" s="308"/>
      <c r="CB528" s="308"/>
      <c r="CC528" s="308"/>
      <c r="CD528" s="308"/>
      <c r="CE528" s="308"/>
      <c r="CF528" s="308"/>
      <c r="CG528" s="308"/>
      <c r="CH528" s="308"/>
      <c r="CI528" s="308"/>
      <c r="CJ528" s="308"/>
      <c r="CK528" s="308"/>
      <c r="CL528" s="308"/>
      <c r="CM528" s="308"/>
      <c r="CN528" s="308"/>
      <c r="CO528" s="308"/>
      <c r="CP528" s="308"/>
      <c r="CQ528" s="308"/>
      <c r="CR528" s="308"/>
      <c r="CS528" s="308"/>
      <c r="CT528" s="308"/>
      <c r="CU528" s="308"/>
      <c r="CV528" s="308"/>
      <c r="CW528" s="308"/>
      <c r="CX528" s="308"/>
      <c r="CY528" s="308"/>
      <c r="CZ528" s="308"/>
      <c r="DA528" s="308"/>
      <c r="DB528" s="308"/>
      <c r="DC528" s="308"/>
      <c r="DD528" s="308"/>
      <c r="DE528" s="308"/>
      <c r="DF528" s="308"/>
      <c r="DG528" s="308"/>
      <c r="DH528" s="308"/>
      <c r="DI528" s="308"/>
      <c r="DJ528" s="308"/>
      <c r="DK528" s="308"/>
      <c r="DL528" s="308"/>
      <c r="DM528" s="308"/>
      <c r="DN528" s="308"/>
      <c r="DO528" s="308"/>
      <c r="DP528" s="308"/>
      <c r="DQ528" s="308"/>
      <c r="DR528" s="308"/>
      <c r="DS528" s="308"/>
      <c r="DT528" s="308"/>
      <c r="DU528" s="308"/>
      <c r="DV528" s="308"/>
      <c r="DW528" s="308"/>
      <c r="DX528" s="308"/>
      <c r="DY528" s="308"/>
    </row>
    <row r="529" spans="1:129" s="138" customFormat="1" ht="43.2" x14ac:dyDescent="0.3">
      <c r="A529" s="359" t="s">
        <v>264</v>
      </c>
      <c r="B529" s="709" t="s">
        <v>913</v>
      </c>
      <c r="C529" s="708" t="s">
        <v>914</v>
      </c>
      <c r="D529" s="709" t="s">
        <v>34</v>
      </c>
      <c r="E529" s="709" t="s">
        <v>282</v>
      </c>
      <c r="F529" s="1345" t="s">
        <v>285</v>
      </c>
      <c r="G529" s="846">
        <f>SUM(G531:G574)</f>
        <v>1140.4063999999998</v>
      </c>
      <c r="H529" s="710">
        <v>100000000</v>
      </c>
      <c r="I529" s="711" t="s">
        <v>267</v>
      </c>
      <c r="J529" s="710">
        <f>J530</f>
        <v>32344262.467699498</v>
      </c>
      <c r="K529" s="1603">
        <f>K530</f>
        <v>6408987.6690133447</v>
      </c>
      <c r="L529" s="1603">
        <f>L530</f>
        <v>6408987.6690133447</v>
      </c>
      <c r="M529" s="712" t="s">
        <v>40</v>
      </c>
      <c r="N529" s="712" t="s">
        <v>40</v>
      </c>
      <c r="O529" s="712" t="s">
        <v>40</v>
      </c>
      <c r="P529" s="712" t="s">
        <v>40</v>
      </c>
      <c r="Q529" s="713"/>
      <c r="R529" s="712" t="s">
        <v>40</v>
      </c>
      <c r="S529" s="713"/>
      <c r="T529" s="712" t="s">
        <v>64</v>
      </c>
      <c r="U529" s="713"/>
      <c r="V529" s="712" t="s">
        <v>40</v>
      </c>
      <c r="W529" s="713"/>
      <c r="X529" s="712" t="s">
        <v>40</v>
      </c>
      <c r="Y529" s="713"/>
      <c r="Z529" s="712" t="s">
        <v>64</v>
      </c>
      <c r="AA529" s="713"/>
      <c r="AB529" s="712"/>
      <c r="AC529" s="713"/>
      <c r="AD529" s="713"/>
      <c r="AE529" s="1519">
        <v>46203</v>
      </c>
      <c r="AF529" s="714" t="s">
        <v>278</v>
      </c>
      <c r="AG529" s="715" t="s">
        <v>279</v>
      </c>
      <c r="AH529" s="716">
        <f>AH530</f>
        <v>78850002.410000011</v>
      </c>
      <c r="AI529" s="717"/>
      <c r="AJ529" s="718"/>
      <c r="AK529" s="719"/>
      <c r="AL529" s="709" t="s">
        <v>41</v>
      </c>
      <c r="AM529" s="720">
        <v>0</v>
      </c>
      <c r="AN529" s="721"/>
      <c r="AO529" s="104"/>
      <c r="AP529" s="104"/>
      <c r="AQ529" s="104"/>
      <c r="AR529" s="104"/>
      <c r="AS529" s="104"/>
      <c r="AT529" s="358"/>
      <c r="AU529" s="102"/>
      <c r="AV529" s="102"/>
      <c r="AW529" s="102"/>
      <c r="AX529" s="102"/>
      <c r="AY529" s="102"/>
      <c r="AZ529" s="102"/>
      <c r="BA529" s="102"/>
      <c r="BB529" s="102"/>
      <c r="BC529" s="102"/>
      <c r="BD529" s="102"/>
      <c r="BE529" s="102"/>
      <c r="BF529" s="102"/>
      <c r="BG529" s="102"/>
      <c r="BH529" s="102"/>
      <c r="BI529" s="102"/>
      <c r="BJ529" s="102"/>
      <c r="BK529" s="102"/>
      <c r="BL529" s="102"/>
      <c r="BM529" s="102"/>
      <c r="BN529" s="102"/>
      <c r="BO529" s="102"/>
      <c r="BP529" s="102"/>
      <c r="BQ529" s="102"/>
      <c r="BR529" s="102"/>
      <c r="BS529" s="102"/>
      <c r="BT529" s="102"/>
      <c r="BU529" s="102"/>
      <c r="BV529" s="102"/>
      <c r="BW529" s="102"/>
      <c r="BX529" s="102"/>
      <c r="BY529" s="102"/>
      <c r="BZ529" s="102"/>
      <c r="CA529" s="102"/>
      <c r="CB529" s="102"/>
      <c r="CC529" s="102"/>
      <c r="CD529" s="102"/>
      <c r="CE529" s="102"/>
      <c r="CF529" s="102"/>
      <c r="CG529" s="102"/>
      <c r="CH529" s="102"/>
      <c r="CI529" s="102"/>
      <c r="CJ529" s="102"/>
      <c r="CK529" s="102"/>
      <c r="CL529" s="102"/>
      <c r="CM529" s="102"/>
      <c r="CN529" s="102"/>
      <c r="CO529" s="102"/>
      <c r="CP529" s="102"/>
      <c r="CQ529" s="102"/>
      <c r="CR529" s="102"/>
      <c r="CS529" s="102"/>
      <c r="CT529" s="102"/>
      <c r="CU529" s="102"/>
      <c r="CV529" s="102"/>
      <c r="CW529" s="102"/>
      <c r="CX529" s="102"/>
      <c r="CY529" s="102"/>
      <c r="CZ529" s="102"/>
      <c r="DA529" s="102"/>
      <c r="DB529" s="102"/>
      <c r="DC529" s="102"/>
      <c r="DD529" s="102"/>
      <c r="DE529" s="102"/>
      <c r="DF529" s="102"/>
      <c r="DG529" s="102"/>
      <c r="DH529" s="102"/>
      <c r="DI529" s="102"/>
      <c r="DJ529" s="102"/>
      <c r="DK529" s="102"/>
      <c r="DL529" s="102"/>
      <c r="DM529" s="102"/>
      <c r="DN529" s="102"/>
      <c r="DO529" s="102"/>
      <c r="DP529" s="102"/>
      <c r="DQ529" s="102"/>
      <c r="DR529" s="102"/>
      <c r="DS529" s="102"/>
      <c r="DT529" s="102"/>
      <c r="DU529" s="102"/>
      <c r="DV529" s="102"/>
      <c r="DW529" s="102"/>
      <c r="DX529" s="102"/>
      <c r="DY529" s="102"/>
    </row>
    <row r="530" spans="1:129" s="138" customFormat="1" ht="43.2" x14ac:dyDescent="0.3">
      <c r="A530" s="590" t="s">
        <v>264</v>
      </c>
      <c r="B530" s="847" t="s">
        <v>913</v>
      </c>
      <c r="C530" s="723" t="s">
        <v>914</v>
      </c>
      <c r="D530" s="722" t="s">
        <v>34</v>
      </c>
      <c r="E530" s="848"/>
      <c r="F530" s="1357" t="s">
        <v>285</v>
      </c>
      <c r="G530" s="849">
        <f>SUM(G531:G574)</f>
        <v>1140.4063999999998</v>
      </c>
      <c r="H530" s="850">
        <f>SUM(H531:H603)</f>
        <v>32407668.105138764</v>
      </c>
      <c r="I530" s="851" t="s">
        <v>267</v>
      </c>
      <c r="J530" s="724">
        <f>SUM(J531:J603)</f>
        <v>32344262.467699498</v>
      </c>
      <c r="K530" s="1604">
        <f>SUM(K531:K603)</f>
        <v>6408987.6690133447</v>
      </c>
      <c r="L530" s="1604">
        <f>SUM(L531:L603)</f>
        <v>6408987.6690133447</v>
      </c>
      <c r="M530" s="735"/>
      <c r="N530" s="735"/>
      <c r="O530" s="735"/>
      <c r="P530" s="735"/>
      <c r="Q530" s="736"/>
      <c r="R530" s="735"/>
      <c r="S530" s="736"/>
      <c r="T530" s="735"/>
      <c r="U530" s="736"/>
      <c r="V530" s="735"/>
      <c r="W530" s="736"/>
      <c r="X530" s="735"/>
      <c r="Y530" s="736"/>
      <c r="Z530" s="735"/>
      <c r="AA530" s="736"/>
      <c r="AB530" s="735"/>
      <c r="AC530" s="736"/>
      <c r="AD530" s="736"/>
      <c r="AE530" s="1522"/>
      <c r="AF530" s="737"/>
      <c r="AG530" s="738"/>
      <c r="AH530" s="852">
        <f>SUM(AH531:AH574)</f>
        <v>78850002.410000011</v>
      </c>
      <c r="AI530" s="853"/>
      <c r="AJ530" s="854"/>
      <c r="AK530" s="729" t="s">
        <v>43</v>
      </c>
      <c r="AL530" s="847" t="s">
        <v>41</v>
      </c>
      <c r="AM530" s="855">
        <v>1</v>
      </c>
      <c r="AN530" s="731"/>
      <c r="AO530" s="104"/>
      <c r="AP530" s="104"/>
      <c r="AQ530" s="104"/>
      <c r="AR530" s="104"/>
      <c r="AS530" s="104"/>
      <c r="AT530" s="358"/>
      <c r="AU530" s="102"/>
      <c r="AV530" s="102"/>
      <c r="AW530" s="102"/>
      <c r="AX530" s="102"/>
      <c r="AY530" s="102"/>
      <c r="AZ530" s="102"/>
      <c r="BA530" s="102"/>
      <c r="BB530" s="102"/>
      <c r="BC530" s="102"/>
      <c r="BD530" s="102"/>
      <c r="BE530" s="102"/>
      <c r="BF530" s="102"/>
      <c r="BG530" s="102"/>
      <c r="BH530" s="102"/>
      <c r="BI530" s="102"/>
      <c r="BJ530" s="102"/>
      <c r="BK530" s="102"/>
      <c r="BL530" s="102"/>
      <c r="BM530" s="102"/>
      <c r="BN530" s="102"/>
      <c r="BO530" s="102"/>
      <c r="BP530" s="102"/>
      <c r="BQ530" s="102"/>
      <c r="BR530" s="102"/>
      <c r="BS530" s="102"/>
      <c r="BT530" s="102"/>
      <c r="BU530" s="102"/>
      <c r="BV530" s="102"/>
      <c r="BW530" s="102"/>
      <c r="BX530" s="102"/>
      <c r="BY530" s="102"/>
      <c r="BZ530" s="102"/>
      <c r="CA530" s="102"/>
      <c r="CB530" s="102"/>
      <c r="CC530" s="102"/>
      <c r="CD530" s="102"/>
      <c r="CE530" s="102"/>
      <c r="CF530" s="102"/>
      <c r="CG530" s="102"/>
      <c r="CH530" s="102"/>
      <c r="CI530" s="102"/>
      <c r="CJ530" s="102"/>
      <c r="CK530" s="102"/>
      <c r="CL530" s="102"/>
      <c r="CM530" s="102"/>
      <c r="CN530" s="102"/>
      <c r="CO530" s="102"/>
      <c r="CP530" s="102"/>
      <c r="CQ530" s="102"/>
      <c r="CR530" s="102"/>
      <c r="CS530" s="102"/>
      <c r="CT530" s="102"/>
      <c r="CU530" s="102"/>
      <c r="CV530" s="102"/>
      <c r="CW530" s="102"/>
      <c r="CX530" s="102"/>
      <c r="CY530" s="102"/>
      <c r="CZ530" s="102"/>
      <c r="DA530" s="102"/>
      <c r="DB530" s="102"/>
      <c r="DC530" s="102"/>
      <c r="DD530" s="102"/>
      <c r="DE530" s="102"/>
      <c r="DF530" s="102"/>
      <c r="DG530" s="102"/>
      <c r="DH530" s="102"/>
      <c r="DI530" s="102"/>
      <c r="DJ530" s="102"/>
      <c r="DK530" s="102"/>
      <c r="DL530" s="102"/>
      <c r="DM530" s="102"/>
      <c r="DN530" s="102"/>
      <c r="DO530" s="102"/>
      <c r="DP530" s="102"/>
      <c r="DQ530" s="102"/>
      <c r="DR530" s="102"/>
      <c r="DS530" s="102"/>
      <c r="DT530" s="102"/>
      <c r="DU530" s="102"/>
      <c r="DV530" s="102"/>
      <c r="DW530" s="102"/>
      <c r="DX530" s="102"/>
      <c r="DY530" s="102"/>
    </row>
    <row r="531" spans="1:129" s="138" customFormat="1" ht="28.8" x14ac:dyDescent="0.3">
      <c r="A531" s="102" t="s">
        <v>264</v>
      </c>
      <c r="B531" s="166" t="s">
        <v>913</v>
      </c>
      <c r="C531" s="423" t="s">
        <v>915</v>
      </c>
      <c r="D531" s="166" t="s">
        <v>34</v>
      </c>
      <c r="E531" s="166">
        <v>25</v>
      </c>
      <c r="F531" s="1346" t="s">
        <v>285</v>
      </c>
      <c r="G531" s="424">
        <v>95.4</v>
      </c>
      <c r="H531" s="425">
        <v>1231743.23</v>
      </c>
      <c r="I531" s="170" t="s">
        <v>267</v>
      </c>
      <c r="J531" s="425">
        <v>1231743.23</v>
      </c>
      <c r="K531" s="1605">
        <f>404156.208+47323.19+47323.186</f>
        <v>498802.58399999997</v>
      </c>
      <c r="L531" s="1605">
        <f>404156.208+47323.19+47323.186</f>
        <v>498802.58399999997</v>
      </c>
      <c r="M531" s="175" t="s">
        <v>79</v>
      </c>
      <c r="N531" s="175" t="s">
        <v>916</v>
      </c>
      <c r="O531" s="175" t="s">
        <v>917</v>
      </c>
      <c r="P531" s="175" t="s">
        <v>40</v>
      </c>
      <c r="Q531" s="174"/>
      <c r="R531" s="175" t="s">
        <v>64</v>
      </c>
      <c r="S531" s="174"/>
      <c r="T531" s="175" t="s">
        <v>64</v>
      </c>
      <c r="U531" s="174"/>
      <c r="V531" s="175" t="s">
        <v>40</v>
      </c>
      <c r="W531" s="174"/>
      <c r="X531" s="175" t="s">
        <v>40</v>
      </c>
      <c r="Y531" s="174"/>
      <c r="Z531" s="175" t="s">
        <v>64</v>
      </c>
      <c r="AA531" s="174"/>
      <c r="AB531" s="175" t="s">
        <v>40</v>
      </c>
      <c r="AC531" s="174"/>
      <c r="AD531" s="174"/>
      <c r="AE531" s="1521">
        <v>46203</v>
      </c>
      <c r="AF531" s="176" t="s">
        <v>247</v>
      </c>
      <c r="AG531" s="177">
        <v>2023</v>
      </c>
      <c r="AH531" s="426">
        <v>6058821.7699999996</v>
      </c>
      <c r="AI531" s="427" t="s">
        <v>918</v>
      </c>
      <c r="AJ531" s="428"/>
      <c r="AK531" s="180" t="s">
        <v>43</v>
      </c>
      <c r="AL531" s="166" t="s">
        <v>41</v>
      </c>
      <c r="AM531" s="181">
        <v>0</v>
      </c>
      <c r="AN531" s="182" t="s">
        <v>40</v>
      </c>
      <c r="AO531" s="104"/>
      <c r="AP531" s="104"/>
      <c r="AQ531" s="104"/>
      <c r="AR531" s="104"/>
      <c r="AS531" s="104"/>
      <c r="AT531" s="358"/>
      <c r="AU531" s="102"/>
      <c r="AV531" s="102"/>
      <c r="AW531" s="102"/>
      <c r="AX531" s="102"/>
      <c r="AY531" s="102"/>
      <c r="AZ531" s="102"/>
      <c r="BA531" s="102"/>
      <c r="BB531" s="102"/>
      <c r="BC531" s="102"/>
      <c r="BD531" s="102"/>
      <c r="BE531" s="102"/>
      <c r="BF531" s="102"/>
      <c r="BG531" s="102"/>
      <c r="BH531" s="102"/>
      <c r="BI531" s="102"/>
      <c r="BJ531" s="102"/>
      <c r="BK531" s="102"/>
      <c r="BL531" s="102"/>
      <c r="BM531" s="102"/>
      <c r="BN531" s="102"/>
      <c r="BO531" s="102"/>
      <c r="BP531" s="102"/>
      <c r="BQ531" s="102"/>
      <c r="BR531" s="102"/>
      <c r="BS531" s="102"/>
      <c r="BT531" s="102"/>
      <c r="BU531" s="102"/>
      <c r="BV531" s="102"/>
      <c r="BW531" s="102"/>
      <c r="BX531" s="102"/>
      <c r="BY531" s="102"/>
      <c r="BZ531" s="102"/>
      <c r="CA531" s="102"/>
      <c r="CB531" s="102"/>
      <c r="CC531" s="102"/>
      <c r="CD531" s="102"/>
      <c r="CE531" s="102"/>
      <c r="CF531" s="102"/>
      <c r="CG531" s="102"/>
      <c r="CH531" s="102"/>
      <c r="CI531" s="102"/>
      <c r="CJ531" s="102"/>
      <c r="CK531" s="102"/>
      <c r="CL531" s="102"/>
      <c r="CM531" s="102"/>
      <c r="CN531" s="102"/>
      <c r="CO531" s="102"/>
      <c r="CP531" s="102"/>
      <c r="CQ531" s="102"/>
      <c r="CR531" s="102"/>
      <c r="CS531" s="102"/>
      <c r="CT531" s="102"/>
      <c r="CU531" s="102"/>
      <c r="CV531" s="102"/>
      <c r="CW531" s="102"/>
      <c r="CX531" s="102"/>
      <c r="CY531" s="102"/>
      <c r="CZ531" s="102"/>
      <c r="DA531" s="102"/>
      <c r="DB531" s="102"/>
      <c r="DC531" s="102"/>
      <c r="DD531" s="102"/>
      <c r="DE531" s="102"/>
      <c r="DF531" s="102"/>
      <c r="DG531" s="102"/>
      <c r="DH531" s="102"/>
      <c r="DI531" s="102"/>
      <c r="DJ531" s="102"/>
      <c r="DK531" s="102"/>
      <c r="DL531" s="102"/>
      <c r="DM531" s="102"/>
      <c r="DN531" s="102"/>
      <c r="DO531" s="102"/>
      <c r="DP531" s="102"/>
      <c r="DQ531" s="102"/>
      <c r="DR531" s="102"/>
      <c r="DS531" s="102"/>
      <c r="DT531" s="102"/>
      <c r="DU531" s="102"/>
      <c r="DV531" s="102"/>
      <c r="DW531" s="102"/>
      <c r="DX531" s="102"/>
      <c r="DY531" s="102"/>
    </row>
    <row r="532" spans="1:129" s="138" customFormat="1" ht="28.8" x14ac:dyDescent="0.3">
      <c r="A532" s="102" t="s">
        <v>264</v>
      </c>
      <c r="B532" s="166" t="s">
        <v>913</v>
      </c>
      <c r="C532" s="423" t="s">
        <v>919</v>
      </c>
      <c r="D532" s="166" t="s">
        <v>34</v>
      </c>
      <c r="E532" s="166">
        <v>25</v>
      </c>
      <c r="F532" s="1346" t="s">
        <v>285</v>
      </c>
      <c r="G532" s="424">
        <v>20.399999999999999</v>
      </c>
      <c r="H532" s="425">
        <v>253771</v>
      </c>
      <c r="I532" s="170" t="s">
        <v>267</v>
      </c>
      <c r="J532" s="425">
        <v>253771</v>
      </c>
      <c r="K532" s="1605">
        <f>11847.49+113366.82+11847.48+113366.82</f>
        <v>250428.61000000002</v>
      </c>
      <c r="L532" s="1605">
        <f>11847.49+113366.82+11847.48+113366.82</f>
        <v>250428.61000000002</v>
      </c>
      <c r="M532" s="175" t="s">
        <v>79</v>
      </c>
      <c r="N532" s="175" t="s">
        <v>920</v>
      </c>
      <c r="O532" s="175" t="s">
        <v>921</v>
      </c>
      <c r="P532" s="175" t="s">
        <v>40</v>
      </c>
      <c r="Q532" s="174"/>
      <c r="R532" s="175" t="s">
        <v>64</v>
      </c>
      <c r="S532" s="174"/>
      <c r="T532" s="175" t="s">
        <v>64</v>
      </c>
      <c r="U532" s="174"/>
      <c r="V532" s="175" t="s">
        <v>40</v>
      </c>
      <c r="W532" s="174"/>
      <c r="X532" s="175" t="s">
        <v>40</v>
      </c>
      <c r="Y532" s="174"/>
      <c r="Z532" s="175" t="s">
        <v>64</v>
      </c>
      <c r="AA532" s="174"/>
      <c r="AB532" s="175" t="s">
        <v>40</v>
      </c>
      <c r="AC532" s="174"/>
      <c r="AD532" s="174"/>
      <c r="AE532" s="1521">
        <v>46203</v>
      </c>
      <c r="AF532" s="176" t="s">
        <v>247</v>
      </c>
      <c r="AG532" s="177">
        <v>2023</v>
      </c>
      <c r="AH532" s="426">
        <v>1256166</v>
      </c>
      <c r="AI532" s="427">
        <v>13835518</v>
      </c>
      <c r="AJ532" s="428"/>
      <c r="AK532" s="180" t="s">
        <v>43</v>
      </c>
      <c r="AL532" s="166" t="s">
        <v>41</v>
      </c>
      <c r="AM532" s="181">
        <v>0</v>
      </c>
      <c r="AN532" s="182" t="s">
        <v>40</v>
      </c>
      <c r="AO532" s="104"/>
      <c r="AP532" s="104"/>
      <c r="AQ532" s="104"/>
      <c r="AR532" s="104"/>
      <c r="AS532" s="104"/>
      <c r="AT532" s="358"/>
      <c r="AU532" s="102"/>
      <c r="AV532" s="102"/>
      <c r="AW532" s="102"/>
      <c r="AX532" s="102"/>
      <c r="AY532" s="102"/>
      <c r="AZ532" s="102"/>
      <c r="BA532" s="102"/>
      <c r="BB532" s="102"/>
      <c r="BC532" s="102"/>
      <c r="BD532" s="102"/>
      <c r="BE532" s="102"/>
      <c r="BF532" s="102"/>
      <c r="BG532" s="102"/>
      <c r="BH532" s="102"/>
      <c r="BI532" s="102"/>
      <c r="BJ532" s="102"/>
      <c r="BK532" s="102"/>
      <c r="BL532" s="102"/>
      <c r="BM532" s="102"/>
      <c r="BN532" s="102"/>
      <c r="BO532" s="102"/>
      <c r="BP532" s="102"/>
      <c r="BQ532" s="102"/>
      <c r="BR532" s="102"/>
      <c r="BS532" s="102"/>
      <c r="BT532" s="102"/>
      <c r="BU532" s="102"/>
      <c r="BV532" s="102"/>
      <c r="BW532" s="102"/>
      <c r="BX532" s="102"/>
      <c r="BY532" s="102"/>
      <c r="BZ532" s="102"/>
      <c r="CA532" s="102"/>
      <c r="CB532" s="102"/>
      <c r="CC532" s="102"/>
      <c r="CD532" s="102"/>
      <c r="CE532" s="102"/>
      <c r="CF532" s="102"/>
      <c r="CG532" s="102"/>
      <c r="CH532" s="102"/>
      <c r="CI532" s="102"/>
      <c r="CJ532" s="102"/>
      <c r="CK532" s="102"/>
      <c r="CL532" s="102"/>
      <c r="CM532" s="102"/>
      <c r="CN532" s="102"/>
      <c r="CO532" s="102"/>
      <c r="CP532" s="102"/>
      <c r="CQ532" s="102"/>
      <c r="CR532" s="102"/>
      <c r="CS532" s="102"/>
      <c r="CT532" s="102"/>
      <c r="CU532" s="102"/>
      <c r="CV532" s="102"/>
      <c r="CW532" s="102"/>
      <c r="CX532" s="102"/>
      <c r="CY532" s="102"/>
      <c r="CZ532" s="102"/>
      <c r="DA532" s="102"/>
      <c r="DB532" s="102"/>
      <c r="DC532" s="102"/>
      <c r="DD532" s="102"/>
      <c r="DE532" s="102"/>
      <c r="DF532" s="102"/>
      <c r="DG532" s="102"/>
      <c r="DH532" s="102"/>
      <c r="DI532" s="102"/>
      <c r="DJ532" s="102"/>
      <c r="DK532" s="102"/>
      <c r="DL532" s="102"/>
      <c r="DM532" s="102"/>
      <c r="DN532" s="102"/>
      <c r="DO532" s="102"/>
      <c r="DP532" s="102"/>
      <c r="DQ532" s="102"/>
      <c r="DR532" s="102"/>
      <c r="DS532" s="102"/>
      <c r="DT532" s="102"/>
      <c r="DU532" s="102"/>
      <c r="DV532" s="102"/>
      <c r="DW532" s="102"/>
      <c r="DX532" s="102"/>
      <c r="DY532" s="102"/>
    </row>
    <row r="533" spans="1:129" s="138" customFormat="1" ht="28.8" x14ac:dyDescent="0.3">
      <c r="A533" s="102" t="s">
        <v>264</v>
      </c>
      <c r="B533" s="166" t="s">
        <v>913</v>
      </c>
      <c r="C533" s="423" t="s">
        <v>922</v>
      </c>
      <c r="D533" s="166" t="s">
        <v>34</v>
      </c>
      <c r="E533" s="166">
        <v>25</v>
      </c>
      <c r="F533" s="1346" t="s">
        <v>285</v>
      </c>
      <c r="G533" s="424">
        <v>17.149999999999999</v>
      </c>
      <c r="H533" s="425">
        <v>220300.08</v>
      </c>
      <c r="I533" s="170" t="s">
        <v>267</v>
      </c>
      <c r="J533" s="425">
        <v>220300.08</v>
      </c>
      <c r="K533" s="1605">
        <f>82896.7432+10242.01+10242.009</f>
        <v>103380.7622</v>
      </c>
      <c r="L533" s="1605">
        <f>82896.7432+10242.01+10242.009</f>
        <v>103380.7622</v>
      </c>
      <c r="M533" s="175" t="s">
        <v>79</v>
      </c>
      <c r="N533" s="175" t="s">
        <v>920</v>
      </c>
      <c r="O533" s="175" t="s">
        <v>923</v>
      </c>
      <c r="P533" s="175" t="s">
        <v>40</v>
      </c>
      <c r="Q533" s="174"/>
      <c r="R533" s="175" t="s">
        <v>64</v>
      </c>
      <c r="S533" s="174"/>
      <c r="T533" s="175" t="s">
        <v>64</v>
      </c>
      <c r="U533" s="174"/>
      <c r="V533" s="175" t="s">
        <v>40</v>
      </c>
      <c r="W533" s="174"/>
      <c r="X533" s="175" t="s">
        <v>40</v>
      </c>
      <c r="Y533" s="174"/>
      <c r="Z533" s="175" t="s">
        <v>64</v>
      </c>
      <c r="AA533" s="174"/>
      <c r="AB533" s="175" t="s">
        <v>40</v>
      </c>
      <c r="AC533" s="174"/>
      <c r="AD533" s="174"/>
      <c r="AE533" s="1521">
        <v>46203</v>
      </c>
      <c r="AF533" s="176" t="s">
        <v>247</v>
      </c>
      <c r="AG533" s="177">
        <v>2023</v>
      </c>
      <c r="AH533" s="426">
        <v>1083634.08</v>
      </c>
      <c r="AI533" s="427">
        <v>12948675</v>
      </c>
      <c r="AJ533" s="428"/>
      <c r="AK533" s="180" t="s">
        <v>43</v>
      </c>
      <c r="AL533" s="166" t="s">
        <v>41</v>
      </c>
      <c r="AM533" s="181">
        <v>0</v>
      </c>
      <c r="AN533" s="182" t="s">
        <v>40</v>
      </c>
      <c r="AO533" s="104"/>
      <c r="AP533" s="104"/>
      <c r="AQ533" s="104"/>
      <c r="AR533" s="104"/>
      <c r="AS533" s="104"/>
      <c r="AT533" s="358"/>
      <c r="AU533" s="102"/>
      <c r="AV533" s="102"/>
      <c r="AW533" s="102"/>
      <c r="AX533" s="102"/>
      <c r="AY533" s="102"/>
      <c r="AZ533" s="102"/>
      <c r="BA533" s="102"/>
      <c r="BB533" s="102"/>
      <c r="BC533" s="102"/>
      <c r="BD533" s="102"/>
      <c r="BE533" s="102"/>
      <c r="BF533" s="102"/>
      <c r="BG533" s="102"/>
      <c r="BH533" s="102"/>
      <c r="BI533" s="102"/>
      <c r="BJ533" s="102"/>
      <c r="BK533" s="102"/>
      <c r="BL533" s="102"/>
      <c r="BM533" s="102"/>
      <c r="BN533" s="102"/>
      <c r="BO533" s="102"/>
      <c r="BP533" s="102"/>
      <c r="BQ533" s="102"/>
      <c r="BR533" s="102"/>
      <c r="BS533" s="102"/>
      <c r="BT533" s="102"/>
      <c r="BU533" s="102"/>
      <c r="BV533" s="102"/>
      <c r="BW533" s="102"/>
      <c r="BX533" s="102"/>
      <c r="BY533" s="102"/>
      <c r="BZ533" s="102"/>
      <c r="CA533" s="102"/>
      <c r="CB533" s="102"/>
      <c r="CC533" s="102"/>
      <c r="CD533" s="102"/>
      <c r="CE533" s="102"/>
      <c r="CF533" s="102"/>
      <c r="CG533" s="102"/>
      <c r="CH533" s="102"/>
      <c r="CI533" s="102"/>
      <c r="CJ533" s="102"/>
      <c r="CK533" s="102"/>
      <c r="CL533" s="102"/>
      <c r="CM533" s="102"/>
      <c r="CN533" s="102"/>
      <c r="CO533" s="102"/>
      <c r="CP533" s="102"/>
      <c r="CQ533" s="102"/>
      <c r="CR533" s="102"/>
      <c r="CS533" s="102"/>
      <c r="CT533" s="102"/>
      <c r="CU533" s="102"/>
      <c r="CV533" s="102"/>
      <c r="CW533" s="102"/>
      <c r="CX533" s="102"/>
      <c r="CY533" s="102"/>
      <c r="CZ533" s="102"/>
      <c r="DA533" s="102"/>
      <c r="DB533" s="102"/>
      <c r="DC533" s="102"/>
      <c r="DD533" s="102"/>
      <c r="DE533" s="102"/>
      <c r="DF533" s="102"/>
      <c r="DG533" s="102"/>
      <c r="DH533" s="102"/>
      <c r="DI533" s="102"/>
      <c r="DJ533" s="102"/>
      <c r="DK533" s="102"/>
      <c r="DL533" s="102"/>
      <c r="DM533" s="102"/>
      <c r="DN533" s="102"/>
      <c r="DO533" s="102"/>
      <c r="DP533" s="102"/>
      <c r="DQ533" s="102"/>
      <c r="DR533" s="102"/>
      <c r="DS533" s="102"/>
      <c r="DT533" s="102"/>
      <c r="DU533" s="102"/>
      <c r="DV533" s="102"/>
      <c r="DW533" s="102"/>
      <c r="DX533" s="102"/>
      <c r="DY533" s="102"/>
    </row>
    <row r="534" spans="1:129" s="138" customFormat="1" ht="28.8" x14ac:dyDescent="0.3">
      <c r="A534" s="102" t="s">
        <v>264</v>
      </c>
      <c r="B534" s="166" t="s">
        <v>913</v>
      </c>
      <c r="C534" s="423" t="s">
        <v>924</v>
      </c>
      <c r="D534" s="166" t="s">
        <v>34</v>
      </c>
      <c r="E534" s="166">
        <v>25</v>
      </c>
      <c r="F534" s="1346" t="s">
        <v>285</v>
      </c>
      <c r="G534" s="424">
        <v>12.35</v>
      </c>
      <c r="H534" s="425">
        <v>131626.91</v>
      </c>
      <c r="I534" s="170" t="s">
        <v>267</v>
      </c>
      <c r="J534" s="425">
        <v>131626.91</v>
      </c>
      <c r="K534" s="1605">
        <f>10387.21+10387.208</f>
        <v>20774.417999999998</v>
      </c>
      <c r="L534" s="1605">
        <f>10387.21+10387.208</f>
        <v>20774.417999999998</v>
      </c>
      <c r="M534" s="175" t="s">
        <v>79</v>
      </c>
      <c r="N534" s="175" t="s">
        <v>925</v>
      </c>
      <c r="O534" s="175" t="s">
        <v>926</v>
      </c>
      <c r="P534" s="175" t="s">
        <v>40</v>
      </c>
      <c r="Q534" s="174"/>
      <c r="R534" s="175" t="s">
        <v>64</v>
      </c>
      <c r="S534" s="174"/>
      <c r="T534" s="175" t="s">
        <v>64</v>
      </c>
      <c r="U534" s="174"/>
      <c r="V534" s="175" t="s">
        <v>40</v>
      </c>
      <c r="W534" s="174"/>
      <c r="X534" s="175" t="s">
        <v>40</v>
      </c>
      <c r="Y534" s="174"/>
      <c r="Z534" s="175" t="s">
        <v>64</v>
      </c>
      <c r="AA534" s="174"/>
      <c r="AB534" s="175" t="s">
        <v>40</v>
      </c>
      <c r="AC534" s="174"/>
      <c r="AD534" s="174"/>
      <c r="AE534" s="1521">
        <v>46203</v>
      </c>
      <c r="AF534" s="176" t="s">
        <v>247</v>
      </c>
      <c r="AG534" s="177">
        <v>2023</v>
      </c>
      <c r="AH534" s="426">
        <v>647459.59</v>
      </c>
      <c r="AI534" s="427" t="s">
        <v>927</v>
      </c>
      <c r="AJ534" s="428"/>
      <c r="AK534" s="180" t="s">
        <v>43</v>
      </c>
      <c r="AL534" s="166" t="s">
        <v>41</v>
      </c>
      <c r="AM534" s="181">
        <v>0</v>
      </c>
      <c r="AN534" s="182" t="s">
        <v>40</v>
      </c>
      <c r="AO534" s="104"/>
      <c r="AP534" s="104"/>
      <c r="AQ534" s="104"/>
      <c r="AR534" s="104"/>
      <c r="AS534" s="104"/>
      <c r="AT534" s="358"/>
      <c r="AU534" s="102"/>
      <c r="AV534" s="102"/>
      <c r="AW534" s="102"/>
      <c r="AX534" s="102"/>
      <c r="AY534" s="102"/>
      <c r="AZ534" s="102"/>
      <c r="BA534" s="102"/>
      <c r="BB534" s="102"/>
      <c r="BC534" s="102"/>
      <c r="BD534" s="102"/>
      <c r="BE534" s="102"/>
      <c r="BF534" s="102"/>
      <c r="BG534" s="102"/>
      <c r="BH534" s="102"/>
      <c r="BI534" s="102"/>
      <c r="BJ534" s="102"/>
      <c r="BK534" s="102"/>
      <c r="BL534" s="102"/>
      <c r="BM534" s="102"/>
      <c r="BN534" s="102"/>
      <c r="BO534" s="102"/>
      <c r="BP534" s="102"/>
      <c r="BQ534" s="102"/>
      <c r="BR534" s="102"/>
      <c r="BS534" s="102"/>
      <c r="BT534" s="102"/>
      <c r="BU534" s="102"/>
      <c r="BV534" s="102"/>
      <c r="BW534" s="102"/>
      <c r="BX534" s="102"/>
      <c r="BY534" s="102"/>
      <c r="BZ534" s="102"/>
      <c r="CA534" s="102"/>
      <c r="CB534" s="102"/>
      <c r="CC534" s="102"/>
      <c r="CD534" s="102"/>
      <c r="CE534" s="102"/>
      <c r="CF534" s="102"/>
      <c r="CG534" s="102"/>
      <c r="CH534" s="102"/>
      <c r="CI534" s="102"/>
      <c r="CJ534" s="102"/>
      <c r="CK534" s="102"/>
      <c r="CL534" s="102"/>
      <c r="CM534" s="102"/>
      <c r="CN534" s="102"/>
      <c r="CO534" s="102"/>
      <c r="CP534" s="102"/>
      <c r="CQ534" s="102"/>
      <c r="CR534" s="102"/>
      <c r="CS534" s="102"/>
      <c r="CT534" s="102"/>
      <c r="CU534" s="102"/>
      <c r="CV534" s="102"/>
      <c r="CW534" s="102"/>
      <c r="CX534" s="102"/>
      <c r="CY534" s="102"/>
      <c r="CZ534" s="102"/>
      <c r="DA534" s="102"/>
      <c r="DB534" s="102"/>
      <c r="DC534" s="102"/>
      <c r="DD534" s="102"/>
      <c r="DE534" s="102"/>
      <c r="DF534" s="102"/>
      <c r="DG534" s="102"/>
      <c r="DH534" s="102"/>
      <c r="DI534" s="102"/>
      <c r="DJ534" s="102"/>
      <c r="DK534" s="102"/>
      <c r="DL534" s="102"/>
      <c r="DM534" s="102"/>
      <c r="DN534" s="102"/>
      <c r="DO534" s="102"/>
      <c r="DP534" s="102"/>
      <c r="DQ534" s="102"/>
      <c r="DR534" s="102"/>
      <c r="DS534" s="102"/>
      <c r="DT534" s="102"/>
      <c r="DU534" s="102"/>
      <c r="DV534" s="102"/>
      <c r="DW534" s="102"/>
      <c r="DX534" s="102"/>
      <c r="DY534" s="102"/>
    </row>
    <row r="535" spans="1:129" s="138" customFormat="1" ht="28.8" x14ac:dyDescent="0.3">
      <c r="A535" s="102" t="s">
        <v>264</v>
      </c>
      <c r="B535" s="166" t="s">
        <v>913</v>
      </c>
      <c r="C535" s="423" t="s">
        <v>928</v>
      </c>
      <c r="D535" s="166" t="s">
        <v>34</v>
      </c>
      <c r="E535" s="166">
        <v>25</v>
      </c>
      <c r="F535" s="1346" t="s">
        <v>285</v>
      </c>
      <c r="G535" s="424">
        <v>5.73</v>
      </c>
      <c r="H535" s="425">
        <v>54185.66</v>
      </c>
      <c r="I535" s="170" t="s">
        <v>267</v>
      </c>
      <c r="J535" s="425">
        <v>54185.66</v>
      </c>
      <c r="K535" s="1605">
        <f>4355.15+4355.15</f>
        <v>8710.2999999999993</v>
      </c>
      <c r="L535" s="1605">
        <f>4355.15+4355.15</f>
        <v>8710.2999999999993</v>
      </c>
      <c r="M535" s="175" t="s">
        <v>79</v>
      </c>
      <c r="N535" s="175" t="s">
        <v>925</v>
      </c>
      <c r="O535" s="175" t="s">
        <v>929</v>
      </c>
      <c r="P535" s="175" t="s">
        <v>40</v>
      </c>
      <c r="Q535" s="174"/>
      <c r="R535" s="175" t="s">
        <v>64</v>
      </c>
      <c r="S535" s="174"/>
      <c r="T535" s="175" t="s">
        <v>64</v>
      </c>
      <c r="U535" s="174"/>
      <c r="V535" s="175" t="s">
        <v>40</v>
      </c>
      <c r="W535" s="174"/>
      <c r="X535" s="175" t="s">
        <v>40</v>
      </c>
      <c r="Y535" s="174"/>
      <c r="Z535" s="175" t="s">
        <v>64</v>
      </c>
      <c r="AA535" s="174"/>
      <c r="AB535" s="175" t="s">
        <v>40</v>
      </c>
      <c r="AC535" s="174"/>
      <c r="AD535" s="174"/>
      <c r="AE535" s="1521">
        <v>46203</v>
      </c>
      <c r="AF535" s="176" t="s">
        <v>247</v>
      </c>
      <c r="AG535" s="177">
        <v>2023</v>
      </c>
      <c r="AH535" s="426">
        <v>266533.82</v>
      </c>
      <c r="AI535" s="427">
        <v>14832331</v>
      </c>
      <c r="AJ535" s="428"/>
      <c r="AK535" s="180" t="s">
        <v>43</v>
      </c>
      <c r="AL535" s="166" t="s">
        <v>41</v>
      </c>
      <c r="AM535" s="181">
        <v>0</v>
      </c>
      <c r="AN535" s="182" t="s">
        <v>40</v>
      </c>
      <c r="AO535" s="104"/>
      <c r="AP535" s="104"/>
      <c r="AQ535" s="104"/>
      <c r="AR535" s="104"/>
      <c r="AS535" s="104"/>
      <c r="AT535" s="358"/>
      <c r="AU535" s="102"/>
      <c r="AV535" s="102"/>
      <c r="AW535" s="102"/>
      <c r="AX535" s="102"/>
      <c r="AY535" s="102"/>
      <c r="AZ535" s="102"/>
      <c r="BA535" s="102"/>
      <c r="BB535" s="102"/>
      <c r="BC535" s="102"/>
      <c r="BD535" s="102"/>
      <c r="BE535" s="102"/>
      <c r="BF535" s="102"/>
      <c r="BG535" s="102"/>
      <c r="BH535" s="102"/>
      <c r="BI535" s="102"/>
      <c r="BJ535" s="102"/>
      <c r="BK535" s="102"/>
      <c r="BL535" s="102"/>
      <c r="BM535" s="102"/>
      <c r="BN535" s="102"/>
      <c r="BO535" s="102"/>
      <c r="BP535" s="102"/>
      <c r="BQ535" s="102"/>
      <c r="BR535" s="102"/>
      <c r="BS535" s="102"/>
      <c r="BT535" s="102"/>
      <c r="BU535" s="102"/>
      <c r="BV535" s="102"/>
      <c r="BW535" s="102"/>
      <c r="BX535" s="102"/>
      <c r="BY535" s="102"/>
      <c r="BZ535" s="102"/>
      <c r="CA535" s="102"/>
      <c r="CB535" s="102"/>
      <c r="CC535" s="102"/>
      <c r="CD535" s="102"/>
      <c r="CE535" s="102"/>
      <c r="CF535" s="102"/>
      <c r="CG535" s="102"/>
      <c r="CH535" s="102"/>
      <c r="CI535" s="102"/>
      <c r="CJ535" s="102"/>
      <c r="CK535" s="102"/>
      <c r="CL535" s="102"/>
      <c r="CM535" s="102"/>
      <c r="CN535" s="102"/>
      <c r="CO535" s="102"/>
      <c r="CP535" s="102"/>
      <c r="CQ535" s="102"/>
      <c r="CR535" s="102"/>
      <c r="CS535" s="102"/>
      <c r="CT535" s="102"/>
      <c r="CU535" s="102"/>
      <c r="CV535" s="102"/>
      <c r="CW535" s="102"/>
      <c r="CX535" s="102"/>
      <c r="CY535" s="102"/>
      <c r="CZ535" s="102"/>
      <c r="DA535" s="102"/>
      <c r="DB535" s="102"/>
      <c r="DC535" s="102"/>
      <c r="DD535" s="102"/>
      <c r="DE535" s="102"/>
      <c r="DF535" s="102"/>
      <c r="DG535" s="102"/>
      <c r="DH535" s="102"/>
      <c r="DI535" s="102"/>
      <c r="DJ535" s="102"/>
      <c r="DK535" s="102"/>
      <c r="DL535" s="102"/>
      <c r="DM535" s="102"/>
      <c r="DN535" s="102"/>
      <c r="DO535" s="102"/>
      <c r="DP535" s="102"/>
      <c r="DQ535" s="102"/>
      <c r="DR535" s="102"/>
      <c r="DS535" s="102"/>
      <c r="DT535" s="102"/>
      <c r="DU535" s="102"/>
      <c r="DV535" s="102"/>
      <c r="DW535" s="102"/>
      <c r="DX535" s="102"/>
      <c r="DY535" s="102"/>
    </row>
    <row r="536" spans="1:129" s="138" customFormat="1" ht="28.8" x14ac:dyDescent="0.3">
      <c r="A536" s="102" t="s">
        <v>264</v>
      </c>
      <c r="B536" s="166" t="s">
        <v>913</v>
      </c>
      <c r="C536" s="423" t="s">
        <v>930</v>
      </c>
      <c r="D536" s="166" t="s">
        <v>34</v>
      </c>
      <c r="E536" s="166">
        <v>25</v>
      </c>
      <c r="F536" s="1346" t="s">
        <v>285</v>
      </c>
      <c r="G536" s="424">
        <v>3.53</v>
      </c>
      <c r="H536" s="425">
        <v>38347.269999999997</v>
      </c>
      <c r="I536" s="170" t="s">
        <v>267</v>
      </c>
      <c r="J536" s="425">
        <v>38347.269999999997</v>
      </c>
      <c r="K536" s="1605">
        <v>0</v>
      </c>
      <c r="L536" s="1605">
        <v>0</v>
      </c>
      <c r="M536" s="175" t="s">
        <v>79</v>
      </c>
      <c r="N536" s="175" t="s">
        <v>931</v>
      </c>
      <c r="O536" s="175" t="s">
        <v>932</v>
      </c>
      <c r="P536" s="175" t="s">
        <v>40</v>
      </c>
      <c r="Q536" s="174"/>
      <c r="R536" s="175" t="s">
        <v>64</v>
      </c>
      <c r="S536" s="174"/>
      <c r="T536" s="175" t="s">
        <v>64</v>
      </c>
      <c r="U536" s="174"/>
      <c r="V536" s="175" t="s">
        <v>40</v>
      </c>
      <c r="W536" s="174"/>
      <c r="X536" s="175" t="s">
        <v>40</v>
      </c>
      <c r="Y536" s="174"/>
      <c r="Z536" s="175" t="s">
        <v>64</v>
      </c>
      <c r="AA536" s="174"/>
      <c r="AB536" s="175" t="s">
        <v>40</v>
      </c>
      <c r="AC536" s="174"/>
      <c r="AD536" s="174"/>
      <c r="AE536" s="1521">
        <v>46203</v>
      </c>
      <c r="AF536" s="176" t="s">
        <v>247</v>
      </c>
      <c r="AG536" s="177">
        <v>2023</v>
      </c>
      <c r="AH536" s="426">
        <v>188626.39</v>
      </c>
      <c r="AI536" s="427">
        <v>12973164</v>
      </c>
      <c r="AJ536" s="428"/>
      <c r="AK536" s="180" t="s">
        <v>43</v>
      </c>
      <c r="AL536" s="166" t="s">
        <v>41</v>
      </c>
      <c r="AM536" s="181">
        <v>0</v>
      </c>
      <c r="AN536" s="182" t="s">
        <v>40</v>
      </c>
      <c r="AO536" s="104"/>
      <c r="AP536" s="104"/>
      <c r="AQ536" s="104"/>
      <c r="AR536" s="104"/>
      <c r="AS536" s="104"/>
      <c r="AT536" s="358"/>
      <c r="AU536" s="102"/>
      <c r="AV536" s="102"/>
      <c r="AW536" s="102"/>
      <c r="AX536" s="102"/>
      <c r="AY536" s="102"/>
      <c r="AZ536" s="102"/>
      <c r="BA536" s="102"/>
      <c r="BB536" s="102"/>
      <c r="BC536" s="102"/>
      <c r="BD536" s="102"/>
      <c r="BE536" s="102"/>
      <c r="BF536" s="102"/>
      <c r="BG536" s="102"/>
      <c r="BH536" s="102"/>
      <c r="BI536" s="102"/>
      <c r="BJ536" s="102"/>
      <c r="BK536" s="102"/>
      <c r="BL536" s="102"/>
      <c r="BM536" s="102"/>
      <c r="BN536" s="102"/>
      <c r="BO536" s="102"/>
      <c r="BP536" s="102"/>
      <c r="BQ536" s="102"/>
      <c r="BR536" s="102"/>
      <c r="BS536" s="102"/>
      <c r="BT536" s="102"/>
      <c r="BU536" s="102"/>
      <c r="BV536" s="102"/>
      <c r="BW536" s="102"/>
      <c r="BX536" s="102"/>
      <c r="BY536" s="102"/>
      <c r="BZ536" s="102"/>
      <c r="CA536" s="102"/>
      <c r="CB536" s="102"/>
      <c r="CC536" s="102"/>
      <c r="CD536" s="102"/>
      <c r="CE536" s="102"/>
      <c r="CF536" s="102"/>
      <c r="CG536" s="102"/>
      <c r="CH536" s="102"/>
      <c r="CI536" s="102"/>
      <c r="CJ536" s="102"/>
      <c r="CK536" s="102"/>
      <c r="CL536" s="102"/>
      <c r="CM536" s="102"/>
      <c r="CN536" s="102"/>
      <c r="CO536" s="102"/>
      <c r="CP536" s="102"/>
      <c r="CQ536" s="102"/>
      <c r="CR536" s="102"/>
      <c r="CS536" s="102"/>
      <c r="CT536" s="102"/>
      <c r="CU536" s="102"/>
      <c r="CV536" s="102"/>
      <c r="CW536" s="102"/>
      <c r="CX536" s="102"/>
      <c r="CY536" s="102"/>
      <c r="CZ536" s="102"/>
      <c r="DA536" s="102"/>
      <c r="DB536" s="102"/>
      <c r="DC536" s="102"/>
      <c r="DD536" s="102"/>
      <c r="DE536" s="102"/>
      <c r="DF536" s="102"/>
      <c r="DG536" s="102"/>
      <c r="DH536" s="102"/>
      <c r="DI536" s="102"/>
      <c r="DJ536" s="102"/>
      <c r="DK536" s="102"/>
      <c r="DL536" s="102"/>
      <c r="DM536" s="102"/>
      <c r="DN536" s="102"/>
      <c r="DO536" s="102"/>
      <c r="DP536" s="102"/>
      <c r="DQ536" s="102"/>
      <c r="DR536" s="102"/>
      <c r="DS536" s="102"/>
      <c r="DT536" s="102"/>
      <c r="DU536" s="102"/>
      <c r="DV536" s="102"/>
      <c r="DW536" s="102"/>
      <c r="DX536" s="102"/>
      <c r="DY536" s="102"/>
    </row>
    <row r="537" spans="1:129" s="138" customFormat="1" ht="28.8" x14ac:dyDescent="0.3">
      <c r="A537" s="102" t="s">
        <v>264</v>
      </c>
      <c r="B537" s="166" t="s">
        <v>913</v>
      </c>
      <c r="C537" s="423" t="s">
        <v>933</v>
      </c>
      <c r="D537" s="166" t="s">
        <v>34</v>
      </c>
      <c r="E537" s="166">
        <v>25</v>
      </c>
      <c r="F537" s="1346" t="s">
        <v>285</v>
      </c>
      <c r="G537" s="424">
        <v>90.57</v>
      </c>
      <c r="H537" s="425">
        <v>1185200.3899999999</v>
      </c>
      <c r="I537" s="170" t="s">
        <v>267</v>
      </c>
      <c r="J537" s="425">
        <v>1185200.3899999999</v>
      </c>
      <c r="K537" s="1605">
        <f>443088.674+62550.19+62550.186</f>
        <v>568189.05000000005</v>
      </c>
      <c r="L537" s="1605">
        <f>443088.674+62550.19+62550.186</f>
        <v>568189.05000000005</v>
      </c>
      <c r="M537" s="175" t="s">
        <v>79</v>
      </c>
      <c r="N537" s="175" t="s">
        <v>934</v>
      </c>
      <c r="O537" s="175" t="s">
        <v>935</v>
      </c>
      <c r="P537" s="175" t="s">
        <v>40</v>
      </c>
      <c r="Q537" s="174"/>
      <c r="R537" s="175" t="s">
        <v>64</v>
      </c>
      <c r="S537" s="174"/>
      <c r="T537" s="175" t="s">
        <v>64</v>
      </c>
      <c r="U537" s="174"/>
      <c r="V537" s="175" t="s">
        <v>40</v>
      </c>
      <c r="W537" s="174"/>
      <c r="X537" s="175" t="s">
        <v>40</v>
      </c>
      <c r="Y537" s="174"/>
      <c r="Z537" s="175" t="s">
        <v>64</v>
      </c>
      <c r="AA537" s="174"/>
      <c r="AB537" s="175" t="s">
        <v>40</v>
      </c>
      <c r="AC537" s="174"/>
      <c r="AD537" s="174"/>
      <c r="AE537" s="1521">
        <v>46203</v>
      </c>
      <c r="AF537" s="176" t="s">
        <v>247</v>
      </c>
      <c r="AG537" s="177">
        <v>2023</v>
      </c>
      <c r="AH537" s="426">
        <v>5829882.2000000002</v>
      </c>
      <c r="AI537" s="427">
        <v>12824162</v>
      </c>
      <c r="AJ537" s="428"/>
      <c r="AK537" s="180" t="s">
        <v>43</v>
      </c>
      <c r="AL537" s="166" t="s">
        <v>41</v>
      </c>
      <c r="AM537" s="181">
        <v>0</v>
      </c>
      <c r="AN537" s="182" t="s">
        <v>40</v>
      </c>
      <c r="AO537" s="104"/>
      <c r="AP537" s="104"/>
      <c r="AQ537" s="104"/>
      <c r="AR537" s="104"/>
      <c r="AS537" s="104"/>
      <c r="AT537" s="358"/>
      <c r="AU537" s="102"/>
      <c r="AV537" s="102"/>
      <c r="AW537" s="102"/>
      <c r="AX537" s="102"/>
      <c r="AY537" s="102"/>
      <c r="AZ537" s="102"/>
      <c r="BA537" s="102"/>
      <c r="BB537" s="102"/>
      <c r="BC537" s="102"/>
      <c r="BD537" s="102"/>
      <c r="BE537" s="102"/>
      <c r="BF537" s="102"/>
      <c r="BG537" s="102"/>
      <c r="BH537" s="102"/>
      <c r="BI537" s="102"/>
      <c r="BJ537" s="102"/>
      <c r="BK537" s="102"/>
      <c r="BL537" s="102"/>
      <c r="BM537" s="102"/>
      <c r="BN537" s="102"/>
      <c r="BO537" s="102"/>
      <c r="BP537" s="102"/>
      <c r="BQ537" s="102"/>
      <c r="BR537" s="102"/>
      <c r="BS537" s="102"/>
      <c r="BT537" s="102"/>
      <c r="BU537" s="102"/>
      <c r="BV537" s="102"/>
      <c r="BW537" s="102"/>
      <c r="BX537" s="102"/>
      <c r="BY537" s="102"/>
      <c r="BZ537" s="102"/>
      <c r="CA537" s="102"/>
      <c r="CB537" s="102"/>
      <c r="CC537" s="102"/>
      <c r="CD537" s="102"/>
      <c r="CE537" s="102"/>
      <c r="CF537" s="102"/>
      <c r="CG537" s="102"/>
      <c r="CH537" s="102"/>
      <c r="CI537" s="102"/>
      <c r="CJ537" s="102"/>
      <c r="CK537" s="102"/>
      <c r="CL537" s="102"/>
      <c r="CM537" s="102"/>
      <c r="CN537" s="102"/>
      <c r="CO537" s="102"/>
      <c r="CP537" s="102"/>
      <c r="CQ537" s="102"/>
      <c r="CR537" s="102"/>
      <c r="CS537" s="102"/>
      <c r="CT537" s="102"/>
      <c r="CU537" s="102"/>
      <c r="CV537" s="102"/>
      <c r="CW537" s="102"/>
      <c r="CX537" s="102"/>
      <c r="CY537" s="102"/>
      <c r="CZ537" s="102"/>
      <c r="DA537" s="102"/>
      <c r="DB537" s="102"/>
      <c r="DC537" s="102"/>
      <c r="DD537" s="102"/>
      <c r="DE537" s="102"/>
      <c r="DF537" s="102"/>
      <c r="DG537" s="102"/>
      <c r="DH537" s="102"/>
      <c r="DI537" s="102"/>
      <c r="DJ537" s="102"/>
      <c r="DK537" s="102"/>
      <c r="DL537" s="102"/>
      <c r="DM537" s="102"/>
      <c r="DN537" s="102"/>
      <c r="DO537" s="102"/>
      <c r="DP537" s="102"/>
      <c r="DQ537" s="102"/>
      <c r="DR537" s="102"/>
      <c r="DS537" s="102"/>
      <c r="DT537" s="102"/>
      <c r="DU537" s="102"/>
      <c r="DV537" s="102"/>
      <c r="DW537" s="102"/>
      <c r="DX537" s="102"/>
      <c r="DY537" s="102"/>
    </row>
    <row r="538" spans="1:129" s="138" customFormat="1" ht="28.8" x14ac:dyDescent="0.3">
      <c r="A538" s="102" t="s">
        <v>264</v>
      </c>
      <c r="B538" s="166" t="s">
        <v>913</v>
      </c>
      <c r="C538" s="423" t="s">
        <v>936</v>
      </c>
      <c r="D538" s="166" t="s">
        <v>34</v>
      </c>
      <c r="E538" s="166">
        <v>25</v>
      </c>
      <c r="F538" s="1346" t="s">
        <v>285</v>
      </c>
      <c r="G538" s="424">
        <v>14.26</v>
      </c>
      <c r="H538" s="425">
        <v>133872.87</v>
      </c>
      <c r="I538" s="170" t="s">
        <v>267</v>
      </c>
      <c r="J538" s="425">
        <v>133872.87</v>
      </c>
      <c r="K538" s="1605">
        <f>5496.06+5496.06</f>
        <v>10992.12</v>
      </c>
      <c r="L538" s="1605">
        <f>5496.06+5496.06</f>
        <v>10992.12</v>
      </c>
      <c r="M538" s="175">
        <f t="shared" ref="M538:N538" si="3">5496.06</f>
        <v>5496.06</v>
      </c>
      <c r="N538" s="175">
        <f t="shared" si="3"/>
        <v>5496.06</v>
      </c>
      <c r="O538" s="175" t="s">
        <v>937</v>
      </c>
      <c r="P538" s="175" t="s">
        <v>40</v>
      </c>
      <c r="Q538" s="174"/>
      <c r="R538" s="175" t="s">
        <v>64</v>
      </c>
      <c r="S538" s="174"/>
      <c r="T538" s="175" t="s">
        <v>64</v>
      </c>
      <c r="U538" s="174"/>
      <c r="V538" s="175" t="s">
        <v>40</v>
      </c>
      <c r="W538" s="174"/>
      <c r="X538" s="175" t="s">
        <v>40</v>
      </c>
      <c r="Y538" s="174"/>
      <c r="Z538" s="175" t="s">
        <v>64</v>
      </c>
      <c r="AA538" s="174"/>
      <c r="AB538" s="175" t="s">
        <v>40</v>
      </c>
      <c r="AC538" s="174"/>
      <c r="AD538" s="174"/>
      <c r="AE538" s="1521">
        <v>46203</v>
      </c>
      <c r="AF538" s="176" t="s">
        <v>247</v>
      </c>
      <c r="AG538" s="177">
        <v>2023</v>
      </c>
      <c r="AH538" s="426">
        <v>658507.24</v>
      </c>
      <c r="AI538" s="427">
        <v>13104879</v>
      </c>
      <c r="AJ538" s="428"/>
      <c r="AK538" s="180" t="s">
        <v>43</v>
      </c>
      <c r="AL538" s="166" t="s">
        <v>41</v>
      </c>
      <c r="AM538" s="181">
        <v>0</v>
      </c>
      <c r="AN538" s="182" t="s">
        <v>40</v>
      </c>
      <c r="AO538" s="104"/>
      <c r="AP538" s="104"/>
      <c r="AQ538" s="104"/>
      <c r="AR538" s="104"/>
      <c r="AS538" s="104"/>
      <c r="AT538" s="358"/>
      <c r="AU538" s="102"/>
      <c r="AV538" s="102"/>
      <c r="AW538" s="102"/>
      <c r="AX538" s="102"/>
      <c r="AY538" s="102"/>
      <c r="AZ538" s="102"/>
      <c r="BA538" s="102"/>
      <c r="BB538" s="102"/>
      <c r="BC538" s="102"/>
      <c r="BD538" s="102"/>
      <c r="BE538" s="102"/>
      <c r="BF538" s="102"/>
      <c r="BG538" s="102"/>
      <c r="BH538" s="102"/>
      <c r="BI538" s="102"/>
      <c r="BJ538" s="102"/>
      <c r="BK538" s="102"/>
      <c r="BL538" s="102"/>
      <c r="BM538" s="102"/>
      <c r="BN538" s="102"/>
      <c r="BO538" s="102"/>
      <c r="BP538" s="102"/>
      <c r="BQ538" s="102"/>
      <c r="BR538" s="102"/>
      <c r="BS538" s="102"/>
      <c r="BT538" s="102"/>
      <c r="BU538" s="102"/>
      <c r="BV538" s="102"/>
      <c r="BW538" s="102"/>
      <c r="BX538" s="102"/>
      <c r="BY538" s="102"/>
      <c r="BZ538" s="102"/>
      <c r="CA538" s="102"/>
      <c r="CB538" s="102"/>
      <c r="CC538" s="102"/>
      <c r="CD538" s="102"/>
      <c r="CE538" s="102"/>
      <c r="CF538" s="102"/>
      <c r="CG538" s="102"/>
      <c r="CH538" s="102"/>
      <c r="CI538" s="102"/>
      <c r="CJ538" s="102"/>
      <c r="CK538" s="102"/>
      <c r="CL538" s="102"/>
      <c r="CM538" s="102"/>
      <c r="CN538" s="102"/>
      <c r="CO538" s="102"/>
      <c r="CP538" s="102"/>
      <c r="CQ538" s="102"/>
      <c r="CR538" s="102"/>
      <c r="CS538" s="102"/>
      <c r="CT538" s="102"/>
      <c r="CU538" s="102"/>
      <c r="CV538" s="102"/>
      <c r="CW538" s="102"/>
      <c r="CX538" s="102"/>
      <c r="CY538" s="102"/>
      <c r="CZ538" s="102"/>
      <c r="DA538" s="102"/>
      <c r="DB538" s="102"/>
      <c r="DC538" s="102"/>
      <c r="DD538" s="102"/>
      <c r="DE538" s="102"/>
      <c r="DF538" s="102"/>
      <c r="DG538" s="102"/>
      <c r="DH538" s="102"/>
      <c r="DI538" s="102"/>
      <c r="DJ538" s="102"/>
      <c r="DK538" s="102"/>
      <c r="DL538" s="102"/>
      <c r="DM538" s="102"/>
      <c r="DN538" s="102"/>
      <c r="DO538" s="102"/>
      <c r="DP538" s="102"/>
      <c r="DQ538" s="102"/>
      <c r="DR538" s="102"/>
      <c r="DS538" s="102"/>
      <c r="DT538" s="102"/>
      <c r="DU538" s="102"/>
      <c r="DV538" s="102"/>
      <c r="DW538" s="102"/>
      <c r="DX538" s="102"/>
      <c r="DY538" s="102"/>
    </row>
    <row r="539" spans="1:129" s="138" customFormat="1" ht="28.8" x14ac:dyDescent="0.3">
      <c r="A539" s="102" t="s">
        <v>264</v>
      </c>
      <c r="B539" s="166" t="s">
        <v>913</v>
      </c>
      <c r="C539" s="167" t="s">
        <v>938</v>
      </c>
      <c r="D539" s="166" t="s">
        <v>34</v>
      </c>
      <c r="E539" s="166">
        <v>25</v>
      </c>
      <c r="F539" s="1346" t="s">
        <v>285</v>
      </c>
      <c r="G539" s="424">
        <v>1.6</v>
      </c>
      <c r="H539" s="429">
        <v>14983</v>
      </c>
      <c r="I539" s="170" t="s">
        <v>267</v>
      </c>
      <c r="J539" s="429">
        <v>14983</v>
      </c>
      <c r="K539" s="1605">
        <v>0</v>
      </c>
      <c r="L539" s="1605">
        <v>0</v>
      </c>
      <c r="M539" s="109" t="s">
        <v>79</v>
      </c>
      <c r="N539" s="430" t="s">
        <v>939</v>
      </c>
      <c r="O539" s="175" t="s">
        <v>940</v>
      </c>
      <c r="P539" s="175" t="s">
        <v>40</v>
      </c>
      <c r="Q539" s="174"/>
      <c r="R539" s="175" t="s">
        <v>64</v>
      </c>
      <c r="S539" s="174"/>
      <c r="T539" s="175" t="s">
        <v>64</v>
      </c>
      <c r="U539" s="174"/>
      <c r="V539" s="175" t="s">
        <v>40</v>
      </c>
      <c r="W539" s="174"/>
      <c r="X539" s="175" t="s">
        <v>40</v>
      </c>
      <c r="Y539" s="174"/>
      <c r="Z539" s="175" t="s">
        <v>64</v>
      </c>
      <c r="AA539" s="174"/>
      <c r="AB539" s="175" t="s">
        <v>40</v>
      </c>
      <c r="AC539" s="174"/>
      <c r="AD539" s="174"/>
      <c r="AE539" s="1521">
        <v>46203</v>
      </c>
      <c r="AF539" s="176" t="s">
        <v>247</v>
      </c>
      <c r="AG539" s="177">
        <v>2023</v>
      </c>
      <c r="AH539" s="426">
        <v>73697.98</v>
      </c>
      <c r="AI539" s="427">
        <v>13416811</v>
      </c>
      <c r="AJ539" s="428"/>
      <c r="AK539" s="180" t="s">
        <v>43</v>
      </c>
      <c r="AL539" s="166" t="s">
        <v>41</v>
      </c>
      <c r="AM539" s="181">
        <v>0</v>
      </c>
      <c r="AN539" s="182" t="s">
        <v>40</v>
      </c>
      <c r="AO539" s="104"/>
      <c r="AP539" s="104"/>
      <c r="AQ539" s="104"/>
      <c r="AR539" s="104"/>
      <c r="AS539" s="104"/>
      <c r="AT539" s="358"/>
      <c r="AU539" s="102"/>
      <c r="AV539" s="102"/>
      <c r="AW539" s="102"/>
      <c r="AX539" s="102"/>
      <c r="AY539" s="102"/>
      <c r="AZ539" s="102"/>
      <c r="BA539" s="102"/>
      <c r="BB539" s="102"/>
      <c r="BC539" s="102"/>
      <c r="BD539" s="102"/>
      <c r="BE539" s="102"/>
      <c r="BF539" s="102"/>
      <c r="BG539" s="102"/>
      <c r="BH539" s="102"/>
      <c r="BI539" s="102"/>
      <c r="BJ539" s="102"/>
      <c r="BK539" s="102"/>
      <c r="BL539" s="102"/>
      <c r="BM539" s="102"/>
      <c r="BN539" s="102"/>
      <c r="BO539" s="102"/>
      <c r="BP539" s="102"/>
      <c r="BQ539" s="102"/>
      <c r="BR539" s="102"/>
      <c r="BS539" s="102"/>
      <c r="BT539" s="102"/>
      <c r="BU539" s="102"/>
      <c r="BV539" s="102"/>
      <c r="BW539" s="102"/>
      <c r="BX539" s="102"/>
      <c r="BY539" s="102"/>
      <c r="BZ539" s="102"/>
      <c r="CA539" s="102"/>
      <c r="CB539" s="102"/>
      <c r="CC539" s="102"/>
      <c r="CD539" s="102"/>
      <c r="CE539" s="102"/>
      <c r="CF539" s="102"/>
      <c r="CG539" s="102"/>
      <c r="CH539" s="102"/>
      <c r="CI539" s="102"/>
      <c r="CJ539" s="102"/>
      <c r="CK539" s="102"/>
      <c r="CL539" s="102"/>
      <c r="CM539" s="102"/>
      <c r="CN539" s="102"/>
      <c r="CO539" s="102"/>
      <c r="CP539" s="102"/>
      <c r="CQ539" s="102"/>
      <c r="CR539" s="102"/>
      <c r="CS539" s="102"/>
      <c r="CT539" s="102"/>
      <c r="CU539" s="102"/>
      <c r="CV539" s="102"/>
      <c r="CW539" s="102"/>
      <c r="CX539" s="102"/>
      <c r="CY539" s="102"/>
      <c r="CZ539" s="102"/>
      <c r="DA539" s="102"/>
      <c r="DB539" s="102"/>
      <c r="DC539" s="102"/>
      <c r="DD539" s="102"/>
      <c r="DE539" s="102"/>
      <c r="DF539" s="102"/>
      <c r="DG539" s="102"/>
      <c r="DH539" s="102"/>
      <c r="DI539" s="102"/>
      <c r="DJ539" s="102"/>
      <c r="DK539" s="102"/>
      <c r="DL539" s="102"/>
      <c r="DM539" s="102"/>
      <c r="DN539" s="102"/>
      <c r="DO539" s="102"/>
      <c r="DP539" s="102"/>
      <c r="DQ539" s="102"/>
      <c r="DR539" s="102"/>
      <c r="DS539" s="102"/>
      <c r="DT539" s="102"/>
      <c r="DU539" s="102"/>
      <c r="DV539" s="102"/>
      <c r="DW539" s="102"/>
      <c r="DX539" s="102"/>
      <c r="DY539" s="102"/>
    </row>
    <row r="540" spans="1:129" s="359" customFormat="1" ht="28.8" x14ac:dyDescent="0.3">
      <c r="A540" s="102" t="s">
        <v>264</v>
      </c>
      <c r="B540" s="166" t="s">
        <v>913</v>
      </c>
      <c r="C540" s="423" t="s">
        <v>941</v>
      </c>
      <c r="D540" s="166" t="s">
        <v>34</v>
      </c>
      <c r="E540" s="166">
        <v>25</v>
      </c>
      <c r="F540" s="1346" t="s">
        <v>285</v>
      </c>
      <c r="G540" s="424">
        <v>17.45</v>
      </c>
      <c r="H540" s="425">
        <v>180555.08</v>
      </c>
      <c r="I540" s="170" t="s">
        <v>267</v>
      </c>
      <c r="J540" s="425">
        <v>180555.08</v>
      </c>
      <c r="K540" s="1605">
        <v>0</v>
      </c>
      <c r="L540" s="1605">
        <v>0</v>
      </c>
      <c r="M540" s="175" t="s">
        <v>942</v>
      </c>
      <c r="N540" s="175" t="s">
        <v>925</v>
      </c>
      <c r="O540" s="175" t="s">
        <v>943</v>
      </c>
      <c r="P540" s="175" t="s">
        <v>40</v>
      </c>
      <c r="Q540" s="174"/>
      <c r="R540" s="175" t="s">
        <v>64</v>
      </c>
      <c r="S540" s="174"/>
      <c r="T540" s="175" t="s">
        <v>64</v>
      </c>
      <c r="U540" s="174"/>
      <c r="V540" s="175" t="s">
        <v>40</v>
      </c>
      <c r="W540" s="174"/>
      <c r="X540" s="175" t="s">
        <v>40</v>
      </c>
      <c r="Y540" s="174"/>
      <c r="Z540" s="175" t="s">
        <v>64</v>
      </c>
      <c r="AA540" s="174"/>
      <c r="AB540" s="175" t="s">
        <v>40</v>
      </c>
      <c r="AC540" s="174"/>
      <c r="AD540" s="174"/>
      <c r="AE540" s="1521">
        <v>46203</v>
      </c>
      <c r="AF540" s="176" t="s">
        <v>247</v>
      </c>
      <c r="AG540" s="177">
        <v>2023</v>
      </c>
      <c r="AH540" s="426">
        <v>888132.39</v>
      </c>
      <c r="AI540" s="427">
        <v>13884430</v>
      </c>
      <c r="AJ540" s="428"/>
      <c r="AK540" s="180" t="s">
        <v>43</v>
      </c>
      <c r="AL540" s="166" t="s">
        <v>41</v>
      </c>
      <c r="AM540" s="181">
        <v>0</v>
      </c>
      <c r="AN540" s="182" t="s">
        <v>40</v>
      </c>
      <c r="AO540" s="104"/>
      <c r="AP540" s="104"/>
      <c r="AQ540" s="104"/>
      <c r="AR540" s="104"/>
      <c r="AS540" s="104"/>
      <c r="AT540" s="358"/>
      <c r="AU540" s="102"/>
      <c r="AV540" s="102"/>
      <c r="AW540" s="102"/>
      <c r="AX540" s="102"/>
      <c r="AY540" s="102"/>
      <c r="AZ540" s="102"/>
      <c r="BA540" s="102"/>
      <c r="BB540" s="102"/>
      <c r="BC540" s="102"/>
      <c r="BD540" s="102"/>
      <c r="BE540" s="102"/>
      <c r="BF540" s="102"/>
      <c r="BG540" s="102"/>
      <c r="BH540" s="102"/>
      <c r="BI540" s="102"/>
      <c r="BJ540" s="102"/>
      <c r="BK540" s="102"/>
      <c r="BL540" s="102"/>
      <c r="BM540" s="102"/>
      <c r="BN540" s="102"/>
      <c r="BO540" s="102"/>
      <c r="BP540" s="102"/>
      <c r="BQ540" s="102"/>
      <c r="BR540" s="102"/>
      <c r="BS540" s="102"/>
      <c r="BT540" s="102"/>
      <c r="BU540" s="102"/>
      <c r="BV540" s="102"/>
      <c r="BW540" s="102"/>
      <c r="BX540" s="102"/>
      <c r="BY540" s="102"/>
      <c r="BZ540" s="102"/>
      <c r="CA540" s="102"/>
      <c r="CB540" s="102"/>
      <c r="CC540" s="102"/>
      <c r="CD540" s="102"/>
      <c r="CE540" s="102"/>
      <c r="CF540" s="102"/>
      <c r="CG540" s="102"/>
      <c r="CH540" s="102"/>
      <c r="CI540" s="102"/>
      <c r="CJ540" s="102"/>
      <c r="CK540" s="102"/>
      <c r="CL540" s="102"/>
      <c r="CM540" s="102"/>
      <c r="CN540" s="102"/>
      <c r="CO540" s="102"/>
      <c r="CP540" s="102"/>
      <c r="CQ540" s="102"/>
      <c r="CR540" s="102"/>
      <c r="CS540" s="102"/>
      <c r="CT540" s="102"/>
      <c r="CU540" s="102"/>
      <c r="CV540" s="102"/>
      <c r="CW540" s="102"/>
      <c r="CX540" s="102"/>
      <c r="CY540" s="102"/>
      <c r="CZ540" s="102"/>
      <c r="DA540" s="102"/>
      <c r="DB540" s="102"/>
      <c r="DC540" s="102"/>
      <c r="DD540" s="102"/>
      <c r="DE540" s="102"/>
      <c r="DF540" s="102"/>
      <c r="DG540" s="102"/>
      <c r="DH540" s="102"/>
      <c r="DI540" s="102"/>
      <c r="DJ540" s="102"/>
      <c r="DK540" s="102"/>
      <c r="DL540" s="102"/>
      <c r="DM540" s="102"/>
      <c r="DN540" s="102"/>
      <c r="DO540" s="102"/>
      <c r="DP540" s="102"/>
      <c r="DQ540" s="102"/>
      <c r="DR540" s="102"/>
      <c r="DS540" s="102"/>
      <c r="DT540" s="102"/>
      <c r="DU540" s="102"/>
      <c r="DV540" s="102"/>
      <c r="DW540" s="102"/>
      <c r="DX540" s="102"/>
      <c r="DY540" s="102"/>
    </row>
    <row r="541" spans="1:129" s="359" customFormat="1" ht="28.8" x14ac:dyDescent="0.3">
      <c r="A541" s="102" t="s">
        <v>264</v>
      </c>
      <c r="B541" s="166" t="s">
        <v>913</v>
      </c>
      <c r="C541" s="423" t="s">
        <v>944</v>
      </c>
      <c r="D541" s="166" t="s">
        <v>34</v>
      </c>
      <c r="E541" s="166">
        <v>25</v>
      </c>
      <c r="F541" s="1346" t="s">
        <v>285</v>
      </c>
      <c r="G541" s="431">
        <v>7.54</v>
      </c>
      <c r="H541" s="425">
        <v>70111.66927565106</v>
      </c>
      <c r="I541" s="170" t="s">
        <v>267</v>
      </c>
      <c r="J541" s="425">
        <v>70111.66927565106</v>
      </c>
      <c r="K541" s="1605">
        <f>5673.2+5673.199</f>
        <v>11346.398999999999</v>
      </c>
      <c r="L541" s="1605">
        <f>5673.2+5673.199</f>
        <v>11346.398999999999</v>
      </c>
      <c r="M541" s="109" t="s">
        <v>79</v>
      </c>
      <c r="N541" s="430" t="s">
        <v>945</v>
      </c>
      <c r="O541" s="175" t="s">
        <v>946</v>
      </c>
      <c r="P541" s="175" t="s">
        <v>40</v>
      </c>
      <c r="Q541" s="174"/>
      <c r="R541" s="175" t="s">
        <v>64</v>
      </c>
      <c r="S541" s="174"/>
      <c r="T541" s="175" t="s">
        <v>64</v>
      </c>
      <c r="U541" s="174"/>
      <c r="V541" s="175" t="s">
        <v>40</v>
      </c>
      <c r="W541" s="174"/>
      <c r="X541" s="175" t="s">
        <v>40</v>
      </c>
      <c r="Y541" s="174"/>
      <c r="Z541" s="175" t="s">
        <v>64</v>
      </c>
      <c r="AA541" s="174"/>
      <c r="AB541" s="175" t="s">
        <v>40</v>
      </c>
      <c r="AC541" s="174"/>
      <c r="AD541" s="174"/>
      <c r="AE541" s="1521">
        <v>46203</v>
      </c>
      <c r="AF541" s="176" t="s">
        <v>247</v>
      </c>
      <c r="AG541" s="177">
        <v>2023</v>
      </c>
      <c r="AH541" s="426">
        <v>344872.29</v>
      </c>
      <c r="AI541" s="427">
        <v>14827440</v>
      </c>
      <c r="AJ541" s="428"/>
      <c r="AK541" s="180" t="s">
        <v>43</v>
      </c>
      <c r="AL541" s="166" t="s">
        <v>41</v>
      </c>
      <c r="AM541" s="181">
        <v>0</v>
      </c>
      <c r="AN541" s="182" t="s">
        <v>40</v>
      </c>
      <c r="AO541" s="104"/>
      <c r="AP541" s="104"/>
      <c r="AQ541" s="104"/>
      <c r="AR541" s="104"/>
      <c r="AS541" s="104"/>
      <c r="AT541" s="358"/>
      <c r="AU541" s="102"/>
      <c r="AV541" s="102"/>
      <c r="AW541" s="102"/>
      <c r="AX541" s="102"/>
      <c r="AY541" s="102"/>
      <c r="AZ541" s="102"/>
      <c r="BA541" s="102"/>
      <c r="BB541" s="102"/>
      <c r="BC541" s="102"/>
      <c r="BD541" s="102"/>
      <c r="BE541" s="102"/>
      <c r="BF541" s="102"/>
      <c r="BG541" s="102"/>
      <c r="BH541" s="102"/>
      <c r="BI541" s="102"/>
      <c r="BJ541" s="102"/>
      <c r="BK541" s="102"/>
      <c r="BL541" s="102"/>
      <c r="BM541" s="102"/>
      <c r="BN541" s="102"/>
      <c r="BO541" s="102"/>
      <c r="BP541" s="102"/>
      <c r="BQ541" s="102"/>
      <c r="BR541" s="102"/>
      <c r="BS541" s="102"/>
      <c r="BT541" s="102"/>
      <c r="BU541" s="102"/>
      <c r="BV541" s="102"/>
      <c r="BW541" s="102"/>
      <c r="BX541" s="102"/>
      <c r="BY541" s="102"/>
      <c r="BZ541" s="102"/>
      <c r="CA541" s="102"/>
      <c r="CB541" s="102"/>
      <c r="CC541" s="102"/>
      <c r="CD541" s="102"/>
      <c r="CE541" s="102"/>
      <c r="CF541" s="102"/>
      <c r="CG541" s="102"/>
      <c r="CH541" s="102"/>
      <c r="CI541" s="102"/>
      <c r="CJ541" s="102"/>
      <c r="CK541" s="102"/>
      <c r="CL541" s="102"/>
      <c r="CM541" s="102"/>
      <c r="CN541" s="102"/>
      <c r="CO541" s="102"/>
      <c r="CP541" s="102"/>
      <c r="CQ541" s="102"/>
      <c r="CR541" s="102"/>
      <c r="CS541" s="102"/>
      <c r="CT541" s="102"/>
      <c r="CU541" s="102"/>
      <c r="CV541" s="102"/>
      <c r="CW541" s="102"/>
      <c r="CX541" s="102"/>
      <c r="CY541" s="102"/>
      <c r="CZ541" s="102"/>
      <c r="DA541" s="102"/>
      <c r="DB541" s="102"/>
      <c r="DC541" s="102"/>
      <c r="DD541" s="102"/>
      <c r="DE541" s="102"/>
      <c r="DF541" s="102"/>
      <c r="DG541" s="102"/>
      <c r="DH541" s="102"/>
      <c r="DI541" s="102"/>
      <c r="DJ541" s="102"/>
      <c r="DK541" s="102"/>
      <c r="DL541" s="102"/>
      <c r="DM541" s="102"/>
      <c r="DN541" s="102"/>
      <c r="DO541" s="102"/>
      <c r="DP541" s="102"/>
      <c r="DQ541" s="102"/>
      <c r="DR541" s="102"/>
      <c r="DS541" s="102"/>
      <c r="DT541" s="102"/>
      <c r="DU541" s="102"/>
      <c r="DV541" s="102"/>
      <c r="DW541" s="102"/>
      <c r="DX541" s="102"/>
      <c r="DY541" s="102"/>
    </row>
    <row r="542" spans="1:129" s="359" customFormat="1" ht="28.8" x14ac:dyDescent="0.3">
      <c r="A542" s="102" t="s">
        <v>264</v>
      </c>
      <c r="B542" s="166" t="s">
        <v>913</v>
      </c>
      <c r="C542" s="423" t="s">
        <v>947</v>
      </c>
      <c r="D542" s="166" t="s">
        <v>34</v>
      </c>
      <c r="E542" s="166">
        <v>25</v>
      </c>
      <c r="F542" s="1346" t="s">
        <v>285</v>
      </c>
      <c r="G542" s="431">
        <v>1.25</v>
      </c>
      <c r="H542" s="425">
        <v>12608.15629510663</v>
      </c>
      <c r="I542" s="170" t="s">
        <v>267</v>
      </c>
      <c r="J542" s="425">
        <v>12608.15629510663</v>
      </c>
      <c r="K542" s="1605">
        <v>0</v>
      </c>
      <c r="L542" s="1605">
        <v>0</v>
      </c>
      <c r="M542" s="109" t="s">
        <v>79</v>
      </c>
      <c r="N542" s="430" t="s">
        <v>948</v>
      </c>
      <c r="O542" s="109" t="s">
        <v>949</v>
      </c>
      <c r="P542" s="175" t="s">
        <v>40</v>
      </c>
      <c r="Q542" s="174"/>
      <c r="R542" s="175" t="s">
        <v>64</v>
      </c>
      <c r="S542" s="174"/>
      <c r="T542" s="175" t="s">
        <v>64</v>
      </c>
      <c r="U542" s="174"/>
      <c r="V542" s="175" t="s">
        <v>40</v>
      </c>
      <c r="W542" s="174"/>
      <c r="X542" s="175" t="s">
        <v>40</v>
      </c>
      <c r="Y542" s="174"/>
      <c r="Z542" s="175" t="s">
        <v>64</v>
      </c>
      <c r="AA542" s="174"/>
      <c r="AB542" s="175" t="s">
        <v>40</v>
      </c>
      <c r="AC542" s="174"/>
      <c r="AD542" s="174"/>
      <c r="AE542" s="1521">
        <v>46203</v>
      </c>
      <c r="AF542" s="176" t="s">
        <v>247</v>
      </c>
      <c r="AG542" s="177">
        <v>2023</v>
      </c>
      <c r="AH542" s="426">
        <v>62018.26</v>
      </c>
      <c r="AI542" s="427" t="s">
        <v>950</v>
      </c>
      <c r="AJ542" s="428"/>
      <c r="AK542" s="180" t="s">
        <v>43</v>
      </c>
      <c r="AL542" s="166" t="s">
        <v>41</v>
      </c>
      <c r="AM542" s="181">
        <v>0</v>
      </c>
      <c r="AN542" s="182" t="s">
        <v>40</v>
      </c>
      <c r="AO542" s="104"/>
      <c r="AP542" s="104"/>
      <c r="AQ542" s="104"/>
      <c r="AR542" s="104"/>
      <c r="AS542" s="104"/>
      <c r="AT542" s="358"/>
      <c r="AU542" s="102"/>
      <c r="AV542" s="102"/>
      <c r="AW542" s="102"/>
      <c r="AX542" s="102"/>
      <c r="AY542" s="102"/>
      <c r="AZ542" s="102"/>
      <c r="BA542" s="102"/>
      <c r="BB542" s="102"/>
      <c r="BC542" s="102"/>
      <c r="BD542" s="102"/>
      <c r="BE542" s="102"/>
      <c r="BF542" s="102"/>
      <c r="BG542" s="102"/>
      <c r="BH542" s="102"/>
      <c r="BI542" s="102"/>
      <c r="BJ542" s="102"/>
      <c r="BK542" s="102"/>
      <c r="BL542" s="102"/>
      <c r="BM542" s="102"/>
      <c r="BN542" s="102"/>
      <c r="BO542" s="102"/>
      <c r="BP542" s="102"/>
      <c r="BQ542" s="102"/>
      <c r="BR542" s="102"/>
      <c r="BS542" s="102"/>
      <c r="BT542" s="102"/>
      <c r="BU542" s="102"/>
      <c r="BV542" s="102"/>
      <c r="BW542" s="102"/>
      <c r="BX542" s="102"/>
      <c r="BY542" s="102"/>
      <c r="BZ542" s="102"/>
      <c r="CA542" s="102"/>
      <c r="CB542" s="102"/>
      <c r="CC542" s="102"/>
      <c r="CD542" s="102"/>
      <c r="CE542" s="102"/>
      <c r="CF542" s="102"/>
      <c r="CG542" s="102"/>
      <c r="CH542" s="102"/>
      <c r="CI542" s="102"/>
      <c r="CJ542" s="102"/>
      <c r="CK542" s="102"/>
      <c r="CL542" s="102"/>
      <c r="CM542" s="102"/>
      <c r="CN542" s="102"/>
      <c r="CO542" s="102"/>
      <c r="CP542" s="102"/>
      <c r="CQ542" s="102"/>
      <c r="CR542" s="102"/>
      <c r="CS542" s="102"/>
      <c r="CT542" s="102"/>
      <c r="CU542" s="102"/>
      <c r="CV542" s="102"/>
      <c r="CW542" s="102"/>
      <c r="CX542" s="102"/>
      <c r="CY542" s="102"/>
      <c r="CZ542" s="102"/>
      <c r="DA542" s="102"/>
      <c r="DB542" s="102"/>
      <c r="DC542" s="102"/>
      <c r="DD542" s="102"/>
      <c r="DE542" s="102"/>
      <c r="DF542" s="102"/>
      <c r="DG542" s="102"/>
      <c r="DH542" s="102"/>
      <c r="DI542" s="102"/>
      <c r="DJ542" s="102"/>
      <c r="DK542" s="102"/>
      <c r="DL542" s="102"/>
      <c r="DM542" s="102"/>
      <c r="DN542" s="102"/>
      <c r="DO542" s="102"/>
      <c r="DP542" s="102"/>
      <c r="DQ542" s="102"/>
      <c r="DR542" s="102"/>
      <c r="DS542" s="102"/>
      <c r="DT542" s="102"/>
      <c r="DU542" s="102"/>
      <c r="DV542" s="102"/>
      <c r="DW542" s="102"/>
      <c r="DX542" s="102"/>
      <c r="DY542" s="102"/>
    </row>
    <row r="543" spans="1:129" s="359" customFormat="1" ht="28.8" x14ac:dyDescent="0.3">
      <c r="A543" s="102" t="s">
        <v>264</v>
      </c>
      <c r="B543" s="166" t="s">
        <v>913</v>
      </c>
      <c r="C543" s="167" t="s">
        <v>951</v>
      </c>
      <c r="D543" s="166" t="s">
        <v>34</v>
      </c>
      <c r="E543" s="166">
        <v>25</v>
      </c>
      <c r="F543" s="1346" t="s">
        <v>285</v>
      </c>
      <c r="G543" s="431">
        <v>2</v>
      </c>
      <c r="H543" s="425">
        <v>19930.279127447197</v>
      </c>
      <c r="I543" s="170" t="s">
        <v>267</v>
      </c>
      <c r="J543" s="425">
        <v>19930.279127447197</v>
      </c>
      <c r="K543" s="1605">
        <v>0</v>
      </c>
      <c r="L543" s="1605">
        <v>0</v>
      </c>
      <c r="M543" s="109" t="s">
        <v>79</v>
      </c>
      <c r="N543" s="430" t="s">
        <v>945</v>
      </c>
      <c r="O543" s="109" t="s">
        <v>952</v>
      </c>
      <c r="P543" s="175" t="s">
        <v>40</v>
      </c>
      <c r="Q543" s="174"/>
      <c r="R543" s="175" t="s">
        <v>64</v>
      </c>
      <c r="S543" s="174"/>
      <c r="T543" s="175" t="s">
        <v>64</v>
      </c>
      <c r="U543" s="174"/>
      <c r="V543" s="175" t="s">
        <v>40</v>
      </c>
      <c r="W543" s="174"/>
      <c r="X543" s="175" t="s">
        <v>40</v>
      </c>
      <c r="Y543" s="174"/>
      <c r="Z543" s="175" t="s">
        <v>64</v>
      </c>
      <c r="AA543" s="174"/>
      <c r="AB543" s="175" t="s">
        <v>40</v>
      </c>
      <c r="AC543" s="174"/>
      <c r="AD543" s="174"/>
      <c r="AE543" s="1521">
        <v>46203</v>
      </c>
      <c r="AF543" s="176" t="s">
        <v>247</v>
      </c>
      <c r="AG543" s="177">
        <v>2023</v>
      </c>
      <c r="AH543" s="426">
        <v>98035.05</v>
      </c>
      <c r="AI543" s="427">
        <v>1611210267390</v>
      </c>
      <c r="AJ543" s="428"/>
      <c r="AK543" s="180" t="s">
        <v>43</v>
      </c>
      <c r="AL543" s="166" t="s">
        <v>41</v>
      </c>
      <c r="AM543" s="181">
        <v>0</v>
      </c>
      <c r="AN543" s="182" t="s">
        <v>40</v>
      </c>
      <c r="AO543" s="104"/>
      <c r="AP543" s="104"/>
      <c r="AQ543" s="104"/>
      <c r="AR543" s="104"/>
      <c r="AS543" s="104"/>
      <c r="AT543" s="358"/>
      <c r="AU543" s="102"/>
      <c r="AV543" s="102"/>
      <c r="AW543" s="102"/>
      <c r="AX543" s="102"/>
      <c r="AY543" s="102"/>
      <c r="AZ543" s="102"/>
      <c r="BA543" s="102"/>
      <c r="BB543" s="102"/>
      <c r="BC543" s="102"/>
      <c r="BD543" s="102"/>
      <c r="BE543" s="102"/>
      <c r="BF543" s="102"/>
      <c r="BG543" s="102"/>
      <c r="BH543" s="102"/>
      <c r="BI543" s="102"/>
      <c r="BJ543" s="102"/>
      <c r="BK543" s="102"/>
      <c r="BL543" s="102"/>
      <c r="BM543" s="102"/>
      <c r="BN543" s="102"/>
      <c r="BO543" s="102"/>
      <c r="BP543" s="102"/>
      <c r="BQ543" s="102"/>
      <c r="BR543" s="102"/>
      <c r="BS543" s="102"/>
      <c r="BT543" s="102"/>
      <c r="BU543" s="102"/>
      <c r="BV543" s="102"/>
      <c r="BW543" s="102"/>
      <c r="BX543" s="102"/>
      <c r="BY543" s="102"/>
      <c r="BZ543" s="102"/>
      <c r="CA543" s="102"/>
      <c r="CB543" s="102"/>
      <c r="CC543" s="102"/>
      <c r="CD543" s="102"/>
      <c r="CE543" s="102"/>
      <c r="CF543" s="102"/>
      <c r="CG543" s="102"/>
      <c r="CH543" s="102"/>
      <c r="CI543" s="102"/>
      <c r="CJ543" s="102"/>
      <c r="CK543" s="102"/>
      <c r="CL543" s="102"/>
      <c r="CM543" s="102"/>
      <c r="CN543" s="102"/>
      <c r="CO543" s="102"/>
      <c r="CP543" s="102"/>
      <c r="CQ543" s="102"/>
      <c r="CR543" s="102"/>
      <c r="CS543" s="102"/>
      <c r="CT543" s="102"/>
      <c r="CU543" s="102"/>
      <c r="CV543" s="102"/>
      <c r="CW543" s="102"/>
      <c r="CX543" s="102"/>
      <c r="CY543" s="102"/>
      <c r="CZ543" s="102"/>
      <c r="DA543" s="102"/>
      <c r="DB543" s="102"/>
      <c r="DC543" s="102"/>
      <c r="DD543" s="102"/>
      <c r="DE543" s="102"/>
      <c r="DF543" s="102"/>
      <c r="DG543" s="102"/>
      <c r="DH543" s="102"/>
      <c r="DI543" s="102"/>
      <c r="DJ543" s="102"/>
      <c r="DK543" s="102"/>
      <c r="DL543" s="102"/>
      <c r="DM543" s="102"/>
      <c r="DN543" s="102"/>
      <c r="DO543" s="102"/>
      <c r="DP543" s="102"/>
      <c r="DQ543" s="102"/>
      <c r="DR543" s="102"/>
      <c r="DS543" s="102"/>
      <c r="DT543" s="102"/>
      <c r="DU543" s="102"/>
      <c r="DV543" s="102"/>
      <c r="DW543" s="102"/>
      <c r="DX543" s="102"/>
      <c r="DY543" s="102"/>
    </row>
    <row r="544" spans="1:129" s="359" customFormat="1" ht="28.8" x14ac:dyDescent="0.3">
      <c r="A544" s="102" t="s">
        <v>264</v>
      </c>
      <c r="B544" s="166" t="s">
        <v>913</v>
      </c>
      <c r="C544" s="167" t="s">
        <v>953</v>
      </c>
      <c r="D544" s="166" t="s">
        <v>34</v>
      </c>
      <c r="E544" s="166">
        <v>25</v>
      </c>
      <c r="F544" s="1346" t="s">
        <v>285</v>
      </c>
      <c r="G544" s="431">
        <v>40.299999999999997</v>
      </c>
      <c r="H544" s="425">
        <v>708941.92604037491</v>
      </c>
      <c r="I544" s="170" t="s">
        <v>267</v>
      </c>
      <c r="J544" s="425">
        <v>708941.92604037491</v>
      </c>
      <c r="K544" s="1606">
        <f>344849.728</f>
        <v>344849.728</v>
      </c>
      <c r="L544" s="1606">
        <f>344849.728</f>
        <v>344849.728</v>
      </c>
      <c r="M544" s="109" t="s">
        <v>84</v>
      </c>
      <c r="N544" s="430" t="s">
        <v>954</v>
      </c>
      <c r="O544" s="109" t="s">
        <v>955</v>
      </c>
      <c r="P544" s="175" t="s">
        <v>40</v>
      </c>
      <c r="Q544" s="174"/>
      <c r="R544" s="175" t="s">
        <v>64</v>
      </c>
      <c r="S544" s="174"/>
      <c r="T544" s="175" t="s">
        <v>64</v>
      </c>
      <c r="U544" s="174"/>
      <c r="V544" s="175" t="s">
        <v>40</v>
      </c>
      <c r="W544" s="174"/>
      <c r="X544" s="175" t="s">
        <v>40</v>
      </c>
      <c r="Y544" s="174"/>
      <c r="Z544" s="175" t="s">
        <v>64</v>
      </c>
      <c r="AA544" s="174"/>
      <c r="AB544" s="175" t="s">
        <v>40</v>
      </c>
      <c r="AC544" s="174"/>
      <c r="AD544" s="174"/>
      <c r="AE544" s="1521">
        <v>46203</v>
      </c>
      <c r="AF544" s="176" t="s">
        <v>247</v>
      </c>
      <c r="AG544" s="177">
        <v>2023</v>
      </c>
      <c r="AH544" s="426">
        <v>3487214.44</v>
      </c>
      <c r="AI544" s="427">
        <v>25798588</v>
      </c>
      <c r="AJ544" s="428"/>
      <c r="AK544" s="180" t="s">
        <v>43</v>
      </c>
      <c r="AL544" s="166" t="s">
        <v>41</v>
      </c>
      <c r="AM544" s="181">
        <v>0</v>
      </c>
      <c r="AN544" s="182" t="s">
        <v>40</v>
      </c>
      <c r="AO544" s="104"/>
      <c r="AP544" s="104"/>
      <c r="AQ544" s="104"/>
      <c r="AR544" s="104"/>
      <c r="AS544" s="104"/>
      <c r="AT544" s="358"/>
      <c r="AU544" s="102"/>
      <c r="AV544" s="102"/>
      <c r="AW544" s="102"/>
      <c r="AX544" s="102"/>
      <c r="AY544" s="102"/>
      <c r="AZ544" s="102"/>
      <c r="BA544" s="102"/>
      <c r="BB544" s="102"/>
      <c r="BC544" s="102"/>
      <c r="BD544" s="102"/>
      <c r="BE544" s="102"/>
      <c r="BF544" s="102"/>
      <c r="BG544" s="102"/>
      <c r="BH544" s="102"/>
      <c r="BI544" s="102"/>
      <c r="BJ544" s="102"/>
      <c r="BK544" s="102"/>
      <c r="BL544" s="102"/>
      <c r="BM544" s="102"/>
      <c r="BN544" s="102"/>
      <c r="BO544" s="102"/>
      <c r="BP544" s="102"/>
      <c r="BQ544" s="102"/>
      <c r="BR544" s="102"/>
      <c r="BS544" s="102"/>
      <c r="BT544" s="102"/>
      <c r="BU544" s="102"/>
      <c r="BV544" s="102"/>
      <c r="BW544" s="102"/>
      <c r="BX544" s="102"/>
      <c r="BY544" s="102"/>
      <c r="BZ544" s="102"/>
      <c r="CA544" s="102"/>
      <c r="CB544" s="102"/>
      <c r="CC544" s="102"/>
      <c r="CD544" s="102"/>
      <c r="CE544" s="102"/>
      <c r="CF544" s="102"/>
      <c r="CG544" s="102"/>
      <c r="CH544" s="102"/>
      <c r="CI544" s="102"/>
      <c r="CJ544" s="102"/>
      <c r="CK544" s="102"/>
      <c r="CL544" s="102"/>
      <c r="CM544" s="102"/>
      <c r="CN544" s="102"/>
      <c r="CO544" s="102"/>
      <c r="CP544" s="102"/>
      <c r="CQ544" s="102"/>
      <c r="CR544" s="102"/>
      <c r="CS544" s="102"/>
      <c r="CT544" s="102"/>
      <c r="CU544" s="102"/>
      <c r="CV544" s="102"/>
      <c r="CW544" s="102"/>
      <c r="CX544" s="102"/>
      <c r="CY544" s="102"/>
      <c r="CZ544" s="102"/>
      <c r="DA544" s="102"/>
      <c r="DB544" s="102"/>
      <c r="DC544" s="102"/>
      <c r="DD544" s="102"/>
      <c r="DE544" s="102"/>
      <c r="DF544" s="102"/>
      <c r="DG544" s="102"/>
      <c r="DH544" s="102"/>
      <c r="DI544" s="102"/>
      <c r="DJ544" s="102"/>
      <c r="DK544" s="102"/>
      <c r="DL544" s="102"/>
      <c r="DM544" s="102"/>
      <c r="DN544" s="102"/>
      <c r="DO544" s="102"/>
      <c r="DP544" s="102"/>
      <c r="DQ544" s="102"/>
      <c r="DR544" s="102"/>
      <c r="DS544" s="102"/>
      <c r="DT544" s="102"/>
      <c r="DU544" s="102"/>
      <c r="DV544" s="102"/>
      <c r="DW544" s="102"/>
      <c r="DX544" s="102"/>
      <c r="DY544" s="102"/>
    </row>
    <row r="545" spans="1:129" s="359" customFormat="1" ht="28.8" x14ac:dyDescent="0.3">
      <c r="A545" s="102" t="s">
        <v>264</v>
      </c>
      <c r="B545" s="166" t="s">
        <v>913</v>
      </c>
      <c r="C545" s="167" t="s">
        <v>956</v>
      </c>
      <c r="D545" s="166" t="s">
        <v>34</v>
      </c>
      <c r="E545" s="166">
        <v>25</v>
      </c>
      <c r="F545" s="1346" t="s">
        <v>285</v>
      </c>
      <c r="G545" s="431">
        <v>26.6</v>
      </c>
      <c r="H545" s="425">
        <v>468302.89089023968</v>
      </c>
      <c r="I545" s="170" t="s">
        <v>267</v>
      </c>
      <c r="J545" s="425">
        <v>468302.89089023968</v>
      </c>
      <c r="K545" s="1605">
        <f>176137.94+52212.72</f>
        <v>228350.66</v>
      </c>
      <c r="L545" s="1605">
        <f>176137.94+52212.72</f>
        <v>228350.66</v>
      </c>
      <c r="M545" s="109" t="s">
        <v>84</v>
      </c>
      <c r="N545" s="430" t="s">
        <v>954</v>
      </c>
      <c r="O545" s="109" t="s">
        <v>955</v>
      </c>
      <c r="P545" s="175" t="s">
        <v>40</v>
      </c>
      <c r="Q545" s="174"/>
      <c r="R545" s="175" t="s">
        <v>64</v>
      </c>
      <c r="S545" s="174"/>
      <c r="T545" s="175" t="s">
        <v>64</v>
      </c>
      <c r="U545" s="174"/>
      <c r="V545" s="175" t="s">
        <v>40</v>
      </c>
      <c r="W545" s="174"/>
      <c r="X545" s="175" t="s">
        <v>40</v>
      </c>
      <c r="Y545" s="174"/>
      <c r="Z545" s="175" t="s">
        <v>64</v>
      </c>
      <c r="AA545" s="174"/>
      <c r="AB545" s="175" t="s">
        <v>40</v>
      </c>
      <c r="AC545" s="174"/>
      <c r="AD545" s="174"/>
      <c r="AE545" s="1521">
        <v>46203</v>
      </c>
      <c r="AF545" s="176" t="s">
        <v>247</v>
      </c>
      <c r="AG545" s="177">
        <v>2023</v>
      </c>
      <c r="AH545" s="426">
        <v>2303535.09</v>
      </c>
      <c r="AI545" s="427">
        <v>25798588</v>
      </c>
      <c r="AJ545" s="428"/>
      <c r="AK545" s="180" t="s">
        <v>43</v>
      </c>
      <c r="AL545" s="166" t="s">
        <v>41</v>
      </c>
      <c r="AM545" s="181">
        <v>0</v>
      </c>
      <c r="AN545" s="182" t="s">
        <v>40</v>
      </c>
      <c r="AO545" s="104"/>
      <c r="AP545" s="104"/>
      <c r="AQ545" s="104"/>
      <c r="AR545" s="104"/>
      <c r="AS545" s="104"/>
      <c r="AT545" s="358"/>
      <c r="AU545" s="102"/>
      <c r="AV545" s="102"/>
      <c r="AW545" s="102"/>
      <c r="AX545" s="102"/>
      <c r="AY545" s="102"/>
      <c r="AZ545" s="102"/>
      <c r="BA545" s="102"/>
      <c r="BB545" s="102"/>
      <c r="BC545" s="102"/>
      <c r="BD545" s="102"/>
      <c r="BE545" s="102"/>
      <c r="BF545" s="102"/>
      <c r="BG545" s="102"/>
      <c r="BH545" s="102"/>
      <c r="BI545" s="102"/>
      <c r="BJ545" s="102"/>
      <c r="BK545" s="102"/>
      <c r="BL545" s="102"/>
      <c r="BM545" s="102"/>
      <c r="BN545" s="102"/>
      <c r="BO545" s="102"/>
      <c r="BP545" s="102"/>
      <c r="BQ545" s="102"/>
      <c r="BR545" s="102"/>
      <c r="BS545" s="102"/>
      <c r="BT545" s="102"/>
      <c r="BU545" s="102"/>
      <c r="BV545" s="102"/>
      <c r="BW545" s="102"/>
      <c r="BX545" s="102"/>
      <c r="BY545" s="102"/>
      <c r="BZ545" s="102"/>
      <c r="CA545" s="102"/>
      <c r="CB545" s="102"/>
      <c r="CC545" s="102"/>
      <c r="CD545" s="102"/>
      <c r="CE545" s="102"/>
      <c r="CF545" s="102"/>
      <c r="CG545" s="102"/>
      <c r="CH545" s="102"/>
      <c r="CI545" s="102"/>
      <c r="CJ545" s="102"/>
      <c r="CK545" s="102"/>
      <c r="CL545" s="102"/>
      <c r="CM545" s="102"/>
      <c r="CN545" s="102"/>
      <c r="CO545" s="102"/>
      <c r="CP545" s="102"/>
      <c r="CQ545" s="102"/>
      <c r="CR545" s="102"/>
      <c r="CS545" s="102"/>
      <c r="CT545" s="102"/>
      <c r="CU545" s="102"/>
      <c r="CV545" s="102"/>
      <c r="CW545" s="102"/>
      <c r="CX545" s="102"/>
      <c r="CY545" s="102"/>
      <c r="CZ545" s="102"/>
      <c r="DA545" s="102"/>
      <c r="DB545" s="102"/>
      <c r="DC545" s="102"/>
      <c r="DD545" s="102"/>
      <c r="DE545" s="102"/>
      <c r="DF545" s="102"/>
      <c r="DG545" s="102"/>
      <c r="DH545" s="102"/>
      <c r="DI545" s="102"/>
      <c r="DJ545" s="102"/>
      <c r="DK545" s="102"/>
      <c r="DL545" s="102"/>
      <c r="DM545" s="102"/>
      <c r="DN545" s="102"/>
      <c r="DO545" s="102"/>
      <c r="DP545" s="102"/>
      <c r="DQ545" s="102"/>
      <c r="DR545" s="102"/>
      <c r="DS545" s="102"/>
      <c r="DT545" s="102"/>
      <c r="DU545" s="102"/>
      <c r="DV545" s="102"/>
      <c r="DW545" s="102"/>
      <c r="DX545" s="102"/>
      <c r="DY545" s="102"/>
    </row>
    <row r="546" spans="1:129" s="359" customFormat="1" ht="28.8" x14ac:dyDescent="0.3">
      <c r="A546" s="102" t="s">
        <v>264</v>
      </c>
      <c r="B546" s="166" t="s">
        <v>913</v>
      </c>
      <c r="C546" s="167" t="s">
        <v>957</v>
      </c>
      <c r="D546" s="166" t="s">
        <v>34</v>
      </c>
      <c r="E546" s="166">
        <v>25</v>
      </c>
      <c r="F546" s="1346" t="s">
        <v>285</v>
      </c>
      <c r="G546" s="431">
        <v>6.7</v>
      </c>
      <c r="H546" s="425">
        <v>107355.99219337657</v>
      </c>
      <c r="I546" s="170" t="s">
        <v>267</v>
      </c>
      <c r="J546" s="425">
        <v>107355.99219337657</v>
      </c>
      <c r="K546" s="1605">
        <f>49484.82</f>
        <v>49484.82</v>
      </c>
      <c r="L546" s="1605">
        <f>49484.82</f>
        <v>49484.82</v>
      </c>
      <c r="M546" s="109" t="s">
        <v>84</v>
      </c>
      <c r="N546" s="430" t="s">
        <v>954</v>
      </c>
      <c r="O546" s="109" t="s">
        <v>955</v>
      </c>
      <c r="P546" s="175" t="s">
        <v>40</v>
      </c>
      <c r="Q546" s="174"/>
      <c r="R546" s="175" t="s">
        <v>64</v>
      </c>
      <c r="S546" s="174"/>
      <c r="T546" s="175" t="s">
        <v>64</v>
      </c>
      <c r="U546" s="174"/>
      <c r="V546" s="175" t="s">
        <v>40</v>
      </c>
      <c r="W546" s="174"/>
      <c r="X546" s="175" t="s">
        <v>40</v>
      </c>
      <c r="Y546" s="174"/>
      <c r="Z546" s="175" t="s">
        <v>64</v>
      </c>
      <c r="AA546" s="174"/>
      <c r="AB546" s="175" t="s">
        <v>40</v>
      </c>
      <c r="AC546" s="174"/>
      <c r="AD546" s="174"/>
      <c r="AE546" s="1521">
        <v>46203</v>
      </c>
      <c r="AF546" s="176" t="s">
        <v>247</v>
      </c>
      <c r="AG546" s="177">
        <v>2023</v>
      </c>
      <c r="AH546" s="426">
        <v>528073.39</v>
      </c>
      <c r="AI546" s="427">
        <v>25798588</v>
      </c>
      <c r="AJ546" s="428"/>
      <c r="AK546" s="180" t="s">
        <v>43</v>
      </c>
      <c r="AL546" s="166" t="s">
        <v>41</v>
      </c>
      <c r="AM546" s="181">
        <v>0</v>
      </c>
      <c r="AN546" s="182" t="s">
        <v>40</v>
      </c>
      <c r="AO546" s="104"/>
      <c r="AP546" s="104"/>
      <c r="AQ546" s="104"/>
      <c r="AR546" s="104"/>
      <c r="AS546" s="104"/>
      <c r="AT546" s="358"/>
      <c r="AU546" s="102"/>
      <c r="AV546" s="102"/>
      <c r="AW546" s="102"/>
      <c r="AX546" s="102"/>
      <c r="AY546" s="102"/>
      <c r="AZ546" s="102"/>
      <c r="BA546" s="102"/>
      <c r="BB546" s="102"/>
      <c r="BC546" s="102"/>
      <c r="BD546" s="102"/>
      <c r="BE546" s="102"/>
      <c r="BF546" s="102"/>
      <c r="BG546" s="102"/>
      <c r="BH546" s="102"/>
      <c r="BI546" s="102"/>
      <c r="BJ546" s="102"/>
      <c r="BK546" s="102"/>
      <c r="BL546" s="102"/>
      <c r="BM546" s="102"/>
      <c r="BN546" s="102"/>
      <c r="BO546" s="102"/>
      <c r="BP546" s="102"/>
      <c r="BQ546" s="102"/>
      <c r="BR546" s="102"/>
      <c r="BS546" s="102"/>
      <c r="BT546" s="102"/>
      <c r="BU546" s="102"/>
      <c r="BV546" s="102"/>
      <c r="BW546" s="102"/>
      <c r="BX546" s="102"/>
      <c r="BY546" s="102"/>
      <c r="BZ546" s="102"/>
      <c r="CA546" s="102"/>
      <c r="CB546" s="102"/>
      <c r="CC546" s="102"/>
      <c r="CD546" s="102"/>
      <c r="CE546" s="102"/>
      <c r="CF546" s="102"/>
      <c r="CG546" s="102"/>
      <c r="CH546" s="102"/>
      <c r="CI546" s="102"/>
      <c r="CJ546" s="102"/>
      <c r="CK546" s="102"/>
      <c r="CL546" s="102"/>
      <c r="CM546" s="102"/>
      <c r="CN546" s="102"/>
      <c r="CO546" s="102"/>
      <c r="CP546" s="102"/>
      <c r="CQ546" s="102"/>
      <c r="CR546" s="102"/>
      <c r="CS546" s="102"/>
      <c r="CT546" s="102"/>
      <c r="CU546" s="102"/>
      <c r="CV546" s="102"/>
      <c r="CW546" s="102"/>
      <c r="CX546" s="102"/>
      <c r="CY546" s="102"/>
      <c r="CZ546" s="102"/>
      <c r="DA546" s="102"/>
      <c r="DB546" s="102"/>
      <c r="DC546" s="102"/>
      <c r="DD546" s="102"/>
      <c r="DE546" s="102"/>
      <c r="DF546" s="102"/>
      <c r="DG546" s="102"/>
      <c r="DH546" s="102"/>
      <c r="DI546" s="102"/>
      <c r="DJ546" s="102"/>
      <c r="DK546" s="102"/>
      <c r="DL546" s="102"/>
      <c r="DM546" s="102"/>
      <c r="DN546" s="102"/>
      <c r="DO546" s="102"/>
      <c r="DP546" s="102"/>
      <c r="DQ546" s="102"/>
      <c r="DR546" s="102"/>
      <c r="DS546" s="102"/>
      <c r="DT546" s="102"/>
      <c r="DU546" s="102"/>
      <c r="DV546" s="102"/>
      <c r="DW546" s="102"/>
      <c r="DX546" s="102"/>
      <c r="DY546" s="102"/>
    </row>
    <row r="547" spans="1:129" s="359" customFormat="1" ht="28.8" x14ac:dyDescent="0.3">
      <c r="A547" s="102" t="s">
        <v>264</v>
      </c>
      <c r="B547" s="166" t="s">
        <v>913</v>
      </c>
      <c r="C547" s="167" t="s">
        <v>958</v>
      </c>
      <c r="D547" s="166" t="s">
        <v>34</v>
      </c>
      <c r="E547" s="166">
        <v>25</v>
      </c>
      <c r="F547" s="1346" t="s">
        <v>285</v>
      </c>
      <c r="G547" s="431">
        <v>99.01</v>
      </c>
      <c r="H547" s="425">
        <v>1226416.4752282014</v>
      </c>
      <c r="I547" s="170" t="s">
        <v>267</v>
      </c>
      <c r="J547" s="425">
        <v>1226416.4752282014</v>
      </c>
      <c r="K547" s="1605">
        <v>0</v>
      </c>
      <c r="L547" s="1605">
        <v>0</v>
      </c>
      <c r="M547" s="109" t="s">
        <v>79</v>
      </c>
      <c r="N547" s="430" t="s">
        <v>959</v>
      </c>
      <c r="O547" s="109" t="s">
        <v>960</v>
      </c>
      <c r="P547" s="175" t="s">
        <v>40</v>
      </c>
      <c r="Q547" s="174"/>
      <c r="R547" s="175" t="s">
        <v>64</v>
      </c>
      <c r="S547" s="174"/>
      <c r="T547" s="175" t="s">
        <v>64</v>
      </c>
      <c r="U547" s="174"/>
      <c r="V547" s="175" t="s">
        <v>40</v>
      </c>
      <c r="W547" s="174"/>
      <c r="X547" s="175" t="s">
        <v>40</v>
      </c>
      <c r="Y547" s="174"/>
      <c r="Z547" s="175" t="s">
        <v>64</v>
      </c>
      <c r="AA547" s="174"/>
      <c r="AB547" s="175" t="s">
        <v>40</v>
      </c>
      <c r="AC547" s="174"/>
      <c r="AD547" s="174"/>
      <c r="AE547" s="1521">
        <v>46203</v>
      </c>
      <c r="AF547" s="176" t="s">
        <v>247</v>
      </c>
      <c r="AG547" s="177">
        <v>2023</v>
      </c>
      <c r="AH547" s="426">
        <v>6032620</v>
      </c>
      <c r="AI547" s="427" t="s">
        <v>961</v>
      </c>
      <c r="AJ547" s="428"/>
      <c r="AK547" s="180" t="s">
        <v>43</v>
      </c>
      <c r="AL547" s="166" t="s">
        <v>41</v>
      </c>
      <c r="AM547" s="181">
        <v>0</v>
      </c>
      <c r="AN547" s="182" t="s">
        <v>40</v>
      </c>
      <c r="AO547" s="104"/>
      <c r="AP547" s="104"/>
      <c r="AQ547" s="104"/>
      <c r="AR547" s="104"/>
      <c r="AS547" s="104"/>
      <c r="AT547" s="358"/>
      <c r="AU547" s="102"/>
      <c r="AV547" s="102"/>
      <c r="AW547" s="102"/>
      <c r="AX547" s="102"/>
      <c r="AY547" s="102"/>
      <c r="AZ547" s="102"/>
      <c r="BA547" s="102"/>
      <c r="BB547" s="102"/>
      <c r="BC547" s="102"/>
      <c r="BD547" s="102"/>
      <c r="BE547" s="102"/>
      <c r="BF547" s="102"/>
      <c r="BG547" s="102"/>
      <c r="BH547" s="102"/>
      <c r="BI547" s="102"/>
      <c r="BJ547" s="102"/>
      <c r="BK547" s="102"/>
      <c r="BL547" s="102"/>
      <c r="BM547" s="102"/>
      <c r="BN547" s="102"/>
      <c r="BO547" s="102"/>
      <c r="BP547" s="102"/>
      <c r="BQ547" s="102"/>
      <c r="BR547" s="102"/>
      <c r="BS547" s="102"/>
      <c r="BT547" s="102"/>
      <c r="BU547" s="102"/>
      <c r="BV547" s="102"/>
      <c r="BW547" s="102"/>
      <c r="BX547" s="102"/>
      <c r="BY547" s="102"/>
      <c r="BZ547" s="102"/>
      <c r="CA547" s="102"/>
      <c r="CB547" s="102"/>
      <c r="CC547" s="102"/>
      <c r="CD547" s="102"/>
      <c r="CE547" s="102"/>
      <c r="CF547" s="102"/>
      <c r="CG547" s="102"/>
      <c r="CH547" s="102"/>
      <c r="CI547" s="102"/>
      <c r="CJ547" s="102"/>
      <c r="CK547" s="102"/>
      <c r="CL547" s="102"/>
      <c r="CM547" s="102"/>
      <c r="CN547" s="102"/>
      <c r="CO547" s="102"/>
      <c r="CP547" s="102"/>
      <c r="CQ547" s="102"/>
      <c r="CR547" s="102"/>
      <c r="CS547" s="102"/>
      <c r="CT547" s="102"/>
      <c r="CU547" s="102"/>
      <c r="CV547" s="102"/>
      <c r="CW547" s="102"/>
      <c r="CX547" s="102"/>
      <c r="CY547" s="102"/>
      <c r="CZ547" s="102"/>
      <c r="DA547" s="102"/>
      <c r="DB547" s="102"/>
      <c r="DC547" s="102"/>
      <c r="DD547" s="102"/>
      <c r="DE547" s="102"/>
      <c r="DF547" s="102"/>
      <c r="DG547" s="102"/>
      <c r="DH547" s="102"/>
      <c r="DI547" s="102"/>
      <c r="DJ547" s="102"/>
      <c r="DK547" s="102"/>
      <c r="DL547" s="102"/>
      <c r="DM547" s="102"/>
      <c r="DN547" s="102"/>
      <c r="DO547" s="102"/>
      <c r="DP547" s="102"/>
      <c r="DQ547" s="102"/>
      <c r="DR547" s="102"/>
      <c r="DS547" s="102"/>
      <c r="DT547" s="102"/>
      <c r="DU547" s="102"/>
      <c r="DV547" s="102"/>
      <c r="DW547" s="102"/>
      <c r="DX547" s="102"/>
      <c r="DY547" s="102"/>
    </row>
    <row r="548" spans="1:129" s="359" customFormat="1" ht="29.4" thickBot="1" x14ac:dyDescent="0.35">
      <c r="A548" s="102" t="s">
        <v>264</v>
      </c>
      <c r="B548" s="166" t="s">
        <v>913</v>
      </c>
      <c r="C548" s="433" t="s">
        <v>962</v>
      </c>
      <c r="D548" s="166" t="s">
        <v>34</v>
      </c>
      <c r="E548" s="166">
        <v>25</v>
      </c>
      <c r="F548" s="1346" t="s">
        <v>285</v>
      </c>
      <c r="G548" s="431">
        <v>5.69</v>
      </c>
      <c r="H548" s="425">
        <v>66445.140173616048</v>
      </c>
      <c r="I548" s="170" t="s">
        <v>267</v>
      </c>
      <c r="J548" s="425">
        <v>66445.140173616048</v>
      </c>
      <c r="K548" s="1605">
        <v>0</v>
      </c>
      <c r="L548" s="1605">
        <v>0</v>
      </c>
      <c r="M548" s="434" t="s">
        <v>79</v>
      </c>
      <c r="N548" s="435" t="s">
        <v>948</v>
      </c>
      <c r="O548" s="434" t="s">
        <v>963</v>
      </c>
      <c r="P548" s="175" t="s">
        <v>40</v>
      </c>
      <c r="Q548" s="174"/>
      <c r="R548" s="175" t="s">
        <v>64</v>
      </c>
      <c r="S548" s="174"/>
      <c r="T548" s="175" t="s">
        <v>64</v>
      </c>
      <c r="U548" s="174"/>
      <c r="V548" s="175" t="s">
        <v>40</v>
      </c>
      <c r="W548" s="174"/>
      <c r="X548" s="175" t="s">
        <v>40</v>
      </c>
      <c r="Y548" s="174"/>
      <c r="Z548" s="175" t="s">
        <v>64</v>
      </c>
      <c r="AA548" s="174"/>
      <c r="AB548" s="175" t="s">
        <v>40</v>
      </c>
      <c r="AC548" s="174"/>
      <c r="AD548" s="174"/>
      <c r="AE548" s="1521">
        <v>46203</v>
      </c>
      <c r="AF548" s="176" t="s">
        <v>247</v>
      </c>
      <c r="AG548" s="177">
        <v>2023</v>
      </c>
      <c r="AH548" s="436">
        <v>326837</v>
      </c>
      <c r="AI548" s="437" t="s">
        <v>964</v>
      </c>
      <c r="AJ548" s="428"/>
      <c r="AK548" s="180" t="s">
        <v>43</v>
      </c>
      <c r="AL548" s="166" t="s">
        <v>41</v>
      </c>
      <c r="AM548" s="181">
        <v>0</v>
      </c>
      <c r="AN548" s="182" t="s">
        <v>40</v>
      </c>
      <c r="AO548" s="104"/>
      <c r="AP548" s="104"/>
      <c r="AQ548" s="104"/>
      <c r="AR548" s="104"/>
      <c r="AS548" s="104"/>
      <c r="AT548" s="358"/>
      <c r="AU548" s="102"/>
      <c r="AV548" s="102"/>
      <c r="AW548" s="102"/>
      <c r="AX548" s="102"/>
      <c r="AY548" s="102"/>
      <c r="AZ548" s="102"/>
      <c r="BA548" s="102"/>
      <c r="BB548" s="102"/>
      <c r="BC548" s="102"/>
      <c r="BD548" s="102"/>
      <c r="BE548" s="102"/>
      <c r="BF548" s="102"/>
      <c r="BG548" s="102"/>
      <c r="BH548" s="102"/>
      <c r="BI548" s="102"/>
      <c r="BJ548" s="102"/>
      <c r="BK548" s="102"/>
      <c r="BL548" s="102"/>
      <c r="BM548" s="102"/>
      <c r="BN548" s="102"/>
      <c r="BO548" s="102"/>
      <c r="BP548" s="102"/>
      <c r="BQ548" s="102"/>
      <c r="BR548" s="102"/>
      <c r="BS548" s="102"/>
      <c r="BT548" s="102"/>
      <c r="BU548" s="102"/>
      <c r="BV548" s="102"/>
      <c r="BW548" s="102"/>
      <c r="BX548" s="102"/>
      <c r="BY548" s="102"/>
      <c r="BZ548" s="102"/>
      <c r="CA548" s="102"/>
      <c r="CB548" s="102"/>
      <c r="CC548" s="102"/>
      <c r="CD548" s="102"/>
      <c r="CE548" s="102"/>
      <c r="CF548" s="102"/>
      <c r="CG548" s="102"/>
      <c r="CH548" s="102"/>
      <c r="CI548" s="102"/>
      <c r="CJ548" s="102"/>
      <c r="CK548" s="102"/>
      <c r="CL548" s="102"/>
      <c r="CM548" s="102"/>
      <c r="CN548" s="102"/>
      <c r="CO548" s="102"/>
      <c r="CP548" s="102"/>
      <c r="CQ548" s="102"/>
      <c r="CR548" s="102"/>
      <c r="CS548" s="102"/>
      <c r="CT548" s="102"/>
      <c r="CU548" s="102"/>
      <c r="CV548" s="102"/>
      <c r="CW548" s="102"/>
      <c r="CX548" s="102"/>
      <c r="CY548" s="102"/>
      <c r="CZ548" s="102"/>
      <c r="DA548" s="102"/>
      <c r="DB548" s="102"/>
      <c r="DC548" s="102"/>
      <c r="DD548" s="102"/>
      <c r="DE548" s="102"/>
      <c r="DF548" s="102"/>
      <c r="DG548" s="102"/>
      <c r="DH548" s="102"/>
      <c r="DI548" s="102"/>
      <c r="DJ548" s="102"/>
      <c r="DK548" s="102"/>
      <c r="DL548" s="102"/>
      <c r="DM548" s="102"/>
      <c r="DN548" s="102"/>
      <c r="DO548" s="102"/>
      <c r="DP548" s="102"/>
      <c r="DQ548" s="102"/>
      <c r="DR548" s="102"/>
      <c r="DS548" s="102"/>
      <c r="DT548" s="102"/>
      <c r="DU548" s="102"/>
      <c r="DV548" s="102"/>
      <c r="DW548" s="102"/>
      <c r="DX548" s="102"/>
      <c r="DY548" s="102"/>
    </row>
    <row r="549" spans="1:129" s="102" customFormat="1" ht="28.8" x14ac:dyDescent="0.3">
      <c r="A549" s="102" t="s">
        <v>264</v>
      </c>
      <c r="B549" s="166" t="s">
        <v>913</v>
      </c>
      <c r="C549" s="438" t="s">
        <v>965</v>
      </c>
      <c r="D549" s="223" t="s">
        <v>34</v>
      </c>
      <c r="E549" s="223">
        <v>25</v>
      </c>
      <c r="F549" s="1350" t="s">
        <v>285</v>
      </c>
      <c r="G549" s="439">
        <v>16.5</v>
      </c>
      <c r="H549" s="440">
        <v>205573.2</v>
      </c>
      <c r="I549" s="441" t="s">
        <v>267</v>
      </c>
      <c r="J549" s="440">
        <v>205573.2</v>
      </c>
      <c r="K549" s="1606">
        <v>0</v>
      </c>
      <c r="L549" s="1606">
        <v>0</v>
      </c>
      <c r="M549" s="442" t="s">
        <v>79</v>
      </c>
      <c r="N549" s="443" t="s">
        <v>948</v>
      </c>
      <c r="O549" s="444" t="s">
        <v>966</v>
      </c>
      <c r="P549" s="172" t="s">
        <v>40</v>
      </c>
      <c r="Q549" s="173"/>
      <c r="R549" s="172" t="s">
        <v>64</v>
      </c>
      <c r="S549" s="173"/>
      <c r="T549" s="172" t="s">
        <v>64</v>
      </c>
      <c r="U549" s="173"/>
      <c r="V549" s="172" t="s">
        <v>40</v>
      </c>
      <c r="W549" s="173"/>
      <c r="X549" s="172" t="s">
        <v>40</v>
      </c>
      <c r="Y549" s="173"/>
      <c r="Z549" s="172" t="s">
        <v>64</v>
      </c>
      <c r="AA549" s="173"/>
      <c r="AB549" s="172" t="s">
        <v>40</v>
      </c>
      <c r="AC549" s="173"/>
      <c r="AD549" s="173"/>
      <c r="AE549" s="1521">
        <v>46203</v>
      </c>
      <c r="AF549" s="218" t="s">
        <v>247</v>
      </c>
      <c r="AG549" s="219">
        <v>2023</v>
      </c>
      <c r="AH549" s="440">
        <v>1011194</v>
      </c>
      <c r="AI549" s="437">
        <v>13012970</v>
      </c>
      <c r="AJ549" s="428"/>
      <c r="AK549" s="222" t="s">
        <v>43</v>
      </c>
      <c r="AL549" s="223" t="s">
        <v>41</v>
      </c>
      <c r="AM549" s="224">
        <v>0</v>
      </c>
      <c r="AN549" s="225" t="s">
        <v>40</v>
      </c>
      <c r="AO549" s="104"/>
      <c r="AP549" s="104"/>
      <c r="AQ549" s="104"/>
      <c r="AR549" s="104"/>
      <c r="AS549" s="104"/>
      <c r="AT549" s="358"/>
    </row>
    <row r="550" spans="1:129" s="102" customFormat="1" ht="28.8" x14ac:dyDescent="0.3">
      <c r="A550" s="102" t="s">
        <v>264</v>
      </c>
      <c r="B550" s="166" t="s">
        <v>913</v>
      </c>
      <c r="C550" s="445" t="s">
        <v>967</v>
      </c>
      <c r="D550" s="223" t="s">
        <v>34</v>
      </c>
      <c r="E550" s="223">
        <v>25</v>
      </c>
      <c r="F550" s="1350" t="s">
        <v>285</v>
      </c>
      <c r="G550" s="446">
        <v>7.75</v>
      </c>
      <c r="H550" s="447">
        <v>78931.98</v>
      </c>
      <c r="I550" s="441" t="s">
        <v>267</v>
      </c>
      <c r="J550" s="447">
        <v>78931.98</v>
      </c>
      <c r="K550" s="1606">
        <f>6756.24+6756.24</f>
        <v>13512.48</v>
      </c>
      <c r="L550" s="1606">
        <f>6756.24+6756.24</f>
        <v>13512.48</v>
      </c>
      <c r="M550" s="125" t="s">
        <v>79</v>
      </c>
      <c r="N550" s="125" t="s">
        <v>945</v>
      </c>
      <c r="O550" s="125" t="s">
        <v>968</v>
      </c>
      <c r="P550" s="172" t="s">
        <v>40</v>
      </c>
      <c r="Q550" s="173"/>
      <c r="R550" s="172" t="s">
        <v>64</v>
      </c>
      <c r="S550" s="173"/>
      <c r="T550" s="172" t="s">
        <v>64</v>
      </c>
      <c r="U550" s="173"/>
      <c r="V550" s="172" t="s">
        <v>40</v>
      </c>
      <c r="W550" s="173"/>
      <c r="X550" s="172" t="s">
        <v>40</v>
      </c>
      <c r="Y550" s="173"/>
      <c r="Z550" s="172" t="s">
        <v>64</v>
      </c>
      <c r="AA550" s="173"/>
      <c r="AB550" s="172" t="s">
        <v>40</v>
      </c>
      <c r="AC550" s="173"/>
      <c r="AD550" s="173"/>
      <c r="AE550" s="1521">
        <v>46203</v>
      </c>
      <c r="AF550" s="218" t="s">
        <v>247</v>
      </c>
      <c r="AG550" s="219">
        <v>2023</v>
      </c>
      <c r="AH550" s="448">
        <v>388258.5</v>
      </c>
      <c r="AI550" s="427">
        <v>21940832</v>
      </c>
      <c r="AJ550" s="113"/>
      <c r="AK550" s="222" t="s">
        <v>43</v>
      </c>
      <c r="AL550" s="223" t="s">
        <v>41</v>
      </c>
      <c r="AM550" s="224">
        <v>0</v>
      </c>
      <c r="AN550" s="225" t="s">
        <v>40</v>
      </c>
      <c r="AO550" s="104"/>
      <c r="AP550" s="104"/>
      <c r="AQ550" s="104"/>
      <c r="AR550" s="104"/>
      <c r="AS550" s="104"/>
      <c r="AT550" s="358"/>
    </row>
    <row r="551" spans="1:129" s="102" customFormat="1" ht="43.2" x14ac:dyDescent="0.3">
      <c r="A551" s="102" t="s">
        <v>264</v>
      </c>
      <c r="B551" s="166" t="s">
        <v>913</v>
      </c>
      <c r="C551" s="445" t="s">
        <v>969</v>
      </c>
      <c r="D551" s="223" t="s">
        <v>34</v>
      </c>
      <c r="E551" s="223">
        <v>25</v>
      </c>
      <c r="F551" s="1350" t="s">
        <v>285</v>
      </c>
      <c r="G551" s="446">
        <v>117.2</v>
      </c>
      <c r="H551" s="449">
        <v>1670850.38</v>
      </c>
      <c r="I551" s="441" t="s">
        <v>267</v>
      </c>
      <c r="J551" s="449">
        <v>1670850.38</v>
      </c>
      <c r="K551" s="1606">
        <v>420512.65299999999</v>
      </c>
      <c r="L551" s="1606">
        <v>420512.65299999999</v>
      </c>
      <c r="M551" s="125" t="s">
        <v>67</v>
      </c>
      <c r="N551" s="125" t="s">
        <v>970</v>
      </c>
      <c r="O551" s="115" t="s">
        <v>971</v>
      </c>
      <c r="P551" s="172" t="s">
        <v>40</v>
      </c>
      <c r="Q551" s="173"/>
      <c r="R551" s="172" t="s">
        <v>64</v>
      </c>
      <c r="S551" s="173"/>
      <c r="T551" s="172" t="s">
        <v>64</v>
      </c>
      <c r="U551" s="173"/>
      <c r="V551" s="172" t="s">
        <v>40</v>
      </c>
      <c r="W551" s="173"/>
      <c r="X551" s="172" t="s">
        <v>40</v>
      </c>
      <c r="Y551" s="173"/>
      <c r="Z551" s="172" t="s">
        <v>64</v>
      </c>
      <c r="AA551" s="173"/>
      <c r="AB551" s="172" t="s">
        <v>40</v>
      </c>
      <c r="AC551" s="173"/>
      <c r="AD551" s="173"/>
      <c r="AE551" s="1521">
        <v>46203</v>
      </c>
      <c r="AF551" s="218" t="s">
        <v>247</v>
      </c>
      <c r="AG551" s="219">
        <v>2023</v>
      </c>
      <c r="AH551" s="450">
        <v>8218745.9500000002</v>
      </c>
      <c r="AI551" s="427">
        <v>12789979</v>
      </c>
      <c r="AJ551" s="113"/>
      <c r="AK551" s="222" t="s">
        <v>43</v>
      </c>
      <c r="AL551" s="223" t="s">
        <v>41</v>
      </c>
      <c r="AM551" s="224">
        <v>0</v>
      </c>
      <c r="AN551" s="225" t="s">
        <v>40</v>
      </c>
      <c r="AO551" s="104"/>
      <c r="AP551" s="104"/>
      <c r="AQ551" s="104"/>
      <c r="AR551" s="104"/>
      <c r="AS551" s="104"/>
      <c r="AT551" s="358"/>
    </row>
    <row r="552" spans="1:129" s="102" customFormat="1" ht="28.8" x14ac:dyDescent="0.3">
      <c r="A552" s="102" t="s">
        <v>264</v>
      </c>
      <c r="B552" s="166" t="s">
        <v>913</v>
      </c>
      <c r="C552" s="287" t="s">
        <v>972</v>
      </c>
      <c r="D552" s="223" t="s">
        <v>34</v>
      </c>
      <c r="E552" s="223">
        <v>25</v>
      </c>
      <c r="F552" s="1350" t="s">
        <v>285</v>
      </c>
      <c r="G552" s="446">
        <v>3.83</v>
      </c>
      <c r="H552" s="449">
        <v>49925.84</v>
      </c>
      <c r="I552" s="441" t="s">
        <v>267</v>
      </c>
      <c r="J552" s="449">
        <v>49925.84</v>
      </c>
      <c r="K552" s="1401">
        <f>15295.81</f>
        <v>15295.81</v>
      </c>
      <c r="L552" s="1401">
        <f>15295.81</f>
        <v>15295.81</v>
      </c>
      <c r="M552" s="115" t="s">
        <v>79</v>
      </c>
      <c r="N552" s="115" t="s">
        <v>973</v>
      </c>
      <c r="O552" s="115" t="s">
        <v>974</v>
      </c>
      <c r="P552" s="172" t="s">
        <v>40</v>
      </c>
      <c r="Q552" s="173"/>
      <c r="R552" s="172" t="s">
        <v>64</v>
      </c>
      <c r="S552" s="173"/>
      <c r="T552" s="172" t="s">
        <v>64</v>
      </c>
      <c r="U552" s="173"/>
      <c r="V552" s="172" t="s">
        <v>40</v>
      </c>
      <c r="W552" s="173"/>
      <c r="X552" s="172" t="s">
        <v>40</v>
      </c>
      <c r="Y552" s="173"/>
      <c r="Z552" s="172" t="s">
        <v>64</v>
      </c>
      <c r="AA552" s="173"/>
      <c r="AB552" s="172" t="s">
        <v>40</v>
      </c>
      <c r="AC552" s="173"/>
      <c r="AD552" s="173"/>
      <c r="AE552" s="1521">
        <v>46203</v>
      </c>
      <c r="AF552" s="218" t="s">
        <v>247</v>
      </c>
      <c r="AG552" s="219">
        <v>2023</v>
      </c>
      <c r="AH552" s="450">
        <v>245580.23</v>
      </c>
      <c r="AI552" s="427">
        <v>15334904</v>
      </c>
      <c r="AJ552" s="113"/>
      <c r="AK552" s="222" t="s">
        <v>43</v>
      </c>
      <c r="AL552" s="223" t="s">
        <v>41</v>
      </c>
      <c r="AM552" s="224">
        <v>0</v>
      </c>
      <c r="AN552" s="225" t="s">
        <v>40</v>
      </c>
      <c r="AO552" s="104"/>
      <c r="AP552" s="104"/>
      <c r="AQ552" s="104"/>
      <c r="AR552" s="104"/>
      <c r="AS552" s="104"/>
      <c r="AT552" s="358"/>
    </row>
    <row r="553" spans="1:129" s="102" customFormat="1" ht="28.8" x14ac:dyDescent="0.3">
      <c r="A553" s="102" t="s">
        <v>264</v>
      </c>
      <c r="B553" s="166" t="s">
        <v>913</v>
      </c>
      <c r="C553" s="287" t="s">
        <v>975</v>
      </c>
      <c r="D553" s="223" t="s">
        <v>34</v>
      </c>
      <c r="E553" s="223">
        <v>25</v>
      </c>
      <c r="F553" s="1350" t="s">
        <v>285</v>
      </c>
      <c r="G553" s="403">
        <v>5.6</v>
      </c>
      <c r="H553" s="449">
        <v>53285.74</v>
      </c>
      <c r="I553" s="441" t="s">
        <v>267</v>
      </c>
      <c r="J553" s="449">
        <v>53285.74</v>
      </c>
      <c r="K553" s="1606">
        <v>0</v>
      </c>
      <c r="L553" s="1606">
        <v>0</v>
      </c>
      <c r="M553" s="451" t="s">
        <v>79</v>
      </c>
      <c r="N553" s="451" t="s">
        <v>959</v>
      </c>
      <c r="O553" s="451" t="s">
        <v>976</v>
      </c>
      <c r="P553" s="172" t="s">
        <v>40</v>
      </c>
      <c r="Q553" s="173"/>
      <c r="R553" s="172" t="s">
        <v>64</v>
      </c>
      <c r="S553" s="173"/>
      <c r="T553" s="172" t="s">
        <v>64</v>
      </c>
      <c r="U553" s="173"/>
      <c r="V553" s="172" t="s">
        <v>40</v>
      </c>
      <c r="W553" s="173"/>
      <c r="X553" s="172" t="s">
        <v>40</v>
      </c>
      <c r="Y553" s="173"/>
      <c r="Z553" s="172" t="s">
        <v>64</v>
      </c>
      <c r="AA553" s="173"/>
      <c r="AB553" s="172" t="s">
        <v>40</v>
      </c>
      <c r="AC553" s="173"/>
      <c r="AD553" s="173"/>
      <c r="AE553" s="1521">
        <v>46203</v>
      </c>
      <c r="AF553" s="218" t="s">
        <v>247</v>
      </c>
      <c r="AG553" s="219">
        <v>2023</v>
      </c>
      <c r="AH553" s="403">
        <v>262107.24</v>
      </c>
      <c r="AI553" s="427">
        <v>17257913</v>
      </c>
      <c r="AJ553" s="113"/>
      <c r="AK553" s="222" t="s">
        <v>43</v>
      </c>
      <c r="AL553" s="223" t="s">
        <v>41</v>
      </c>
      <c r="AM553" s="224">
        <v>0</v>
      </c>
      <c r="AN553" s="225" t="s">
        <v>40</v>
      </c>
      <c r="AO553" s="104"/>
      <c r="AP553" s="104"/>
      <c r="AQ553" s="104"/>
      <c r="AR553" s="104"/>
      <c r="AS553" s="104"/>
      <c r="AT553" s="358"/>
    </row>
    <row r="554" spans="1:129" s="102" customFormat="1" ht="28.8" x14ac:dyDescent="0.3">
      <c r="A554" s="102" t="s">
        <v>264</v>
      </c>
      <c r="B554" s="166" t="s">
        <v>913</v>
      </c>
      <c r="C554" s="287" t="s">
        <v>977</v>
      </c>
      <c r="D554" s="223" t="s">
        <v>34</v>
      </c>
      <c r="E554" s="223">
        <v>25</v>
      </c>
      <c r="F554" s="1350" t="s">
        <v>285</v>
      </c>
      <c r="G554" s="403">
        <v>22.4</v>
      </c>
      <c r="H554" s="449">
        <v>272687.96999999997</v>
      </c>
      <c r="I554" s="441" t="s">
        <v>267</v>
      </c>
      <c r="J554" s="449">
        <v>272687.96999999997</v>
      </c>
      <c r="K554" s="1606">
        <v>0</v>
      </c>
      <c r="L554" s="1606">
        <v>0</v>
      </c>
      <c r="M554" s="451" t="s">
        <v>79</v>
      </c>
      <c r="N554" s="451" t="s">
        <v>978</v>
      </c>
      <c r="O554" s="451" t="s">
        <v>979</v>
      </c>
      <c r="P554" s="172" t="s">
        <v>40</v>
      </c>
      <c r="Q554" s="173"/>
      <c r="R554" s="172" t="s">
        <v>64</v>
      </c>
      <c r="S554" s="173"/>
      <c r="T554" s="172" t="s">
        <v>64</v>
      </c>
      <c r="U554" s="173"/>
      <c r="V554" s="172" t="s">
        <v>40</v>
      </c>
      <c r="W554" s="173"/>
      <c r="X554" s="172" t="s">
        <v>40</v>
      </c>
      <c r="Y554" s="173"/>
      <c r="Z554" s="172" t="s">
        <v>64</v>
      </c>
      <c r="AA554" s="173"/>
      <c r="AB554" s="172" t="s">
        <v>40</v>
      </c>
      <c r="AC554" s="173"/>
      <c r="AD554" s="173"/>
      <c r="AE554" s="1521">
        <v>46203</v>
      </c>
      <c r="AF554" s="218" t="s">
        <v>247</v>
      </c>
      <c r="AG554" s="219">
        <v>2023</v>
      </c>
      <c r="AH554" s="403">
        <v>1341324.8600000001</v>
      </c>
      <c r="AI554" s="427">
        <v>13409563</v>
      </c>
      <c r="AJ554" s="113"/>
      <c r="AK554" s="222" t="s">
        <v>43</v>
      </c>
      <c r="AL554" s="223" t="s">
        <v>41</v>
      </c>
      <c r="AM554" s="224">
        <v>0</v>
      </c>
      <c r="AN554" s="225" t="s">
        <v>40</v>
      </c>
      <c r="AO554" s="104"/>
      <c r="AP554" s="104"/>
      <c r="AQ554" s="104"/>
      <c r="AR554" s="104"/>
      <c r="AS554" s="104"/>
      <c r="AT554" s="358"/>
    </row>
    <row r="555" spans="1:129" s="102" customFormat="1" ht="43.2" x14ac:dyDescent="0.3">
      <c r="A555" s="102" t="s">
        <v>264</v>
      </c>
      <c r="B555" s="166" t="s">
        <v>913</v>
      </c>
      <c r="C555" s="287" t="s">
        <v>980</v>
      </c>
      <c r="D555" s="223" t="s">
        <v>34</v>
      </c>
      <c r="E555" s="223">
        <v>25</v>
      </c>
      <c r="F555" s="1350" t="s">
        <v>285</v>
      </c>
      <c r="G555" s="403">
        <v>1.5</v>
      </c>
      <c r="H555" s="449">
        <v>18686.490000000002</v>
      </c>
      <c r="I555" s="441" t="s">
        <v>267</v>
      </c>
      <c r="J555" s="449">
        <v>18686.490000000002</v>
      </c>
      <c r="K555" s="1606">
        <v>0</v>
      </c>
      <c r="L555" s="1606">
        <v>0</v>
      </c>
      <c r="M555" s="451" t="s">
        <v>79</v>
      </c>
      <c r="N555" s="451" t="s">
        <v>959</v>
      </c>
      <c r="O555" s="451" t="s">
        <v>3729</v>
      </c>
      <c r="P555" s="172" t="s">
        <v>40</v>
      </c>
      <c r="Q555" s="173"/>
      <c r="R555" s="172" t="s">
        <v>64</v>
      </c>
      <c r="S555" s="173"/>
      <c r="T555" s="172" t="s">
        <v>64</v>
      </c>
      <c r="U555" s="173"/>
      <c r="V555" s="172" t="s">
        <v>40</v>
      </c>
      <c r="W555" s="173"/>
      <c r="X555" s="172" t="s">
        <v>40</v>
      </c>
      <c r="Y555" s="173"/>
      <c r="Z555" s="172" t="s">
        <v>64</v>
      </c>
      <c r="AA555" s="173"/>
      <c r="AB555" s="172" t="s">
        <v>40</v>
      </c>
      <c r="AC555" s="173"/>
      <c r="AD555" s="173"/>
      <c r="AE555" s="1521">
        <v>46203</v>
      </c>
      <c r="AF555" s="218" t="s">
        <v>247</v>
      </c>
      <c r="AG555" s="219">
        <v>2023</v>
      </c>
      <c r="AH555" s="403">
        <v>91917</v>
      </c>
      <c r="AI555" s="427">
        <v>16067546</v>
      </c>
      <c r="AJ555" s="113"/>
      <c r="AK555" s="222" t="s">
        <v>43</v>
      </c>
      <c r="AL555" s="223" t="s">
        <v>41</v>
      </c>
      <c r="AM555" s="224">
        <v>0</v>
      </c>
      <c r="AN555" s="225" t="s">
        <v>40</v>
      </c>
      <c r="AO555" s="104"/>
      <c r="AP555" s="104"/>
      <c r="AQ555" s="104"/>
      <c r="AR555" s="104"/>
      <c r="AS555" s="104"/>
      <c r="AT555" s="358"/>
    </row>
    <row r="556" spans="1:129" s="102" customFormat="1" ht="43.2" x14ac:dyDescent="0.3">
      <c r="A556" s="102" t="s">
        <v>264</v>
      </c>
      <c r="B556" s="166" t="s">
        <v>913</v>
      </c>
      <c r="C556" s="287" t="s">
        <v>981</v>
      </c>
      <c r="D556" s="223" t="s">
        <v>34</v>
      </c>
      <c r="E556" s="223">
        <v>25</v>
      </c>
      <c r="F556" s="1350" t="s">
        <v>285</v>
      </c>
      <c r="G556" s="403">
        <v>1.8</v>
      </c>
      <c r="H556" s="449">
        <v>22517.83</v>
      </c>
      <c r="I556" s="441" t="s">
        <v>267</v>
      </c>
      <c r="J556" s="449">
        <v>22517.83</v>
      </c>
      <c r="K556" s="1606">
        <v>0</v>
      </c>
      <c r="L556" s="1606">
        <v>0</v>
      </c>
      <c r="M556" s="451" t="s">
        <v>79</v>
      </c>
      <c r="N556" s="451" t="s">
        <v>982</v>
      </c>
      <c r="O556" s="451" t="s">
        <v>3730</v>
      </c>
      <c r="P556" s="172" t="s">
        <v>40</v>
      </c>
      <c r="Q556" s="173"/>
      <c r="R556" s="172" t="s">
        <v>64</v>
      </c>
      <c r="S556" s="173"/>
      <c r="T556" s="172" t="s">
        <v>64</v>
      </c>
      <c r="U556" s="173"/>
      <c r="V556" s="172" t="s">
        <v>40</v>
      </c>
      <c r="W556" s="173"/>
      <c r="X556" s="172" t="s">
        <v>40</v>
      </c>
      <c r="Y556" s="173"/>
      <c r="Z556" s="172" t="s">
        <v>64</v>
      </c>
      <c r="AA556" s="173"/>
      <c r="AB556" s="172" t="s">
        <v>40</v>
      </c>
      <c r="AC556" s="173"/>
      <c r="AD556" s="173"/>
      <c r="AE556" s="1521">
        <v>46203</v>
      </c>
      <c r="AF556" s="218" t="s">
        <v>247</v>
      </c>
      <c r="AG556" s="219">
        <v>2023</v>
      </c>
      <c r="AH556" s="403">
        <v>110763</v>
      </c>
      <c r="AI556" s="427">
        <v>4612495</v>
      </c>
      <c r="AJ556" s="113"/>
      <c r="AK556" s="222" t="s">
        <v>43</v>
      </c>
      <c r="AL556" s="223" t="s">
        <v>41</v>
      </c>
      <c r="AM556" s="224">
        <v>0</v>
      </c>
      <c r="AN556" s="225" t="s">
        <v>40</v>
      </c>
      <c r="AO556" s="104"/>
      <c r="AP556" s="104"/>
      <c r="AQ556" s="104"/>
      <c r="AR556" s="104"/>
      <c r="AS556" s="104"/>
      <c r="AT556" s="358"/>
    </row>
    <row r="557" spans="1:129" s="102" customFormat="1" ht="43.2" x14ac:dyDescent="0.3">
      <c r="A557" s="102" t="s">
        <v>264</v>
      </c>
      <c r="B557" s="166" t="s">
        <v>913</v>
      </c>
      <c r="C557" s="287" t="s">
        <v>983</v>
      </c>
      <c r="D557" s="223" t="s">
        <v>34</v>
      </c>
      <c r="E557" s="223">
        <v>25</v>
      </c>
      <c r="F557" s="1350" t="s">
        <v>285</v>
      </c>
      <c r="G557" s="403">
        <v>4.5999999999999996</v>
      </c>
      <c r="H557" s="449">
        <v>56736.87</v>
      </c>
      <c r="I557" s="441" t="s">
        <v>267</v>
      </c>
      <c r="J557" s="449">
        <v>56736.87</v>
      </c>
      <c r="K557" s="1606">
        <v>0</v>
      </c>
      <c r="L557" s="1606">
        <v>0</v>
      </c>
      <c r="M557" s="451" t="s">
        <v>79</v>
      </c>
      <c r="N557" s="451" t="s">
        <v>959</v>
      </c>
      <c r="O557" s="451" t="s">
        <v>3731</v>
      </c>
      <c r="P557" s="172" t="s">
        <v>40</v>
      </c>
      <c r="Q557" s="173"/>
      <c r="R557" s="172" t="s">
        <v>64</v>
      </c>
      <c r="S557" s="173"/>
      <c r="T557" s="172" t="s">
        <v>64</v>
      </c>
      <c r="U557" s="173"/>
      <c r="V557" s="172" t="s">
        <v>40</v>
      </c>
      <c r="W557" s="173"/>
      <c r="X557" s="172" t="s">
        <v>40</v>
      </c>
      <c r="Y557" s="173"/>
      <c r="Z557" s="172" t="s">
        <v>64</v>
      </c>
      <c r="AA557" s="173"/>
      <c r="AB557" s="172" t="s">
        <v>40</v>
      </c>
      <c r="AC557" s="173"/>
      <c r="AD557" s="173"/>
      <c r="AE557" s="1521">
        <v>46203</v>
      </c>
      <c r="AF557" s="218" t="s">
        <v>247</v>
      </c>
      <c r="AG557" s="219">
        <v>2023</v>
      </c>
      <c r="AH557" s="403">
        <v>279083</v>
      </c>
      <c r="AI557" s="427">
        <v>4367655</v>
      </c>
      <c r="AJ557" s="113"/>
      <c r="AK557" s="222" t="s">
        <v>43</v>
      </c>
      <c r="AL557" s="223" t="s">
        <v>41</v>
      </c>
      <c r="AM557" s="224">
        <v>0</v>
      </c>
      <c r="AN557" s="225" t="s">
        <v>40</v>
      </c>
      <c r="AO557" s="104"/>
      <c r="AP557" s="104"/>
      <c r="AQ557" s="104"/>
      <c r="AR557" s="104"/>
      <c r="AS557" s="104"/>
      <c r="AT557" s="358"/>
    </row>
    <row r="558" spans="1:129" s="102" customFormat="1" ht="28.8" x14ac:dyDescent="0.3">
      <c r="A558" s="102" t="s">
        <v>264</v>
      </c>
      <c r="B558" s="166" t="s">
        <v>913</v>
      </c>
      <c r="C558" s="287" t="s">
        <v>984</v>
      </c>
      <c r="D558" s="223" t="s">
        <v>34</v>
      </c>
      <c r="E558" s="223">
        <v>25</v>
      </c>
      <c r="F558" s="1350" t="s">
        <v>285</v>
      </c>
      <c r="G558" s="403">
        <v>19.3</v>
      </c>
      <c r="H558" s="449">
        <v>222518.1</v>
      </c>
      <c r="I558" s="441" t="s">
        <v>267</v>
      </c>
      <c r="J558" s="449">
        <v>222518.1</v>
      </c>
      <c r="K558" s="1606">
        <v>0</v>
      </c>
      <c r="L558" s="1606">
        <v>0</v>
      </c>
      <c r="M558" s="451" t="s">
        <v>290</v>
      </c>
      <c r="N558" s="451" t="s">
        <v>985</v>
      </c>
      <c r="O558" s="451" t="s">
        <v>986</v>
      </c>
      <c r="P558" s="172" t="s">
        <v>40</v>
      </c>
      <c r="Q558" s="173"/>
      <c r="R558" s="172" t="s">
        <v>64</v>
      </c>
      <c r="S558" s="173"/>
      <c r="T558" s="172" t="s">
        <v>64</v>
      </c>
      <c r="U558" s="173"/>
      <c r="V558" s="172" t="s">
        <v>40</v>
      </c>
      <c r="W558" s="173"/>
      <c r="X558" s="172" t="s">
        <v>40</v>
      </c>
      <c r="Y558" s="173"/>
      <c r="Z558" s="172" t="s">
        <v>64</v>
      </c>
      <c r="AA558" s="173"/>
      <c r="AB558" s="172" t="s">
        <v>40</v>
      </c>
      <c r="AC558" s="173"/>
      <c r="AD558" s="173"/>
      <c r="AE558" s="1521">
        <v>46203</v>
      </c>
      <c r="AF558" s="218" t="s">
        <v>247</v>
      </c>
      <c r="AG558" s="219">
        <v>2023</v>
      </c>
      <c r="AH558" s="403">
        <v>1094544.29</v>
      </c>
      <c r="AI558" s="427">
        <v>12846241</v>
      </c>
      <c r="AJ558" s="113"/>
      <c r="AK558" s="222" t="s">
        <v>43</v>
      </c>
      <c r="AL558" s="223" t="s">
        <v>41</v>
      </c>
      <c r="AM558" s="224">
        <v>0</v>
      </c>
      <c r="AN558" s="225" t="s">
        <v>40</v>
      </c>
      <c r="AO558" s="104"/>
      <c r="AP558" s="104"/>
      <c r="AQ558" s="104"/>
      <c r="AR558" s="104"/>
      <c r="AS558" s="104"/>
      <c r="AT558" s="358"/>
    </row>
    <row r="559" spans="1:129" s="102" customFormat="1" ht="28.8" x14ac:dyDescent="0.3">
      <c r="A559" s="102" t="s">
        <v>264</v>
      </c>
      <c r="B559" s="166" t="s">
        <v>913</v>
      </c>
      <c r="C559" s="287" t="s">
        <v>987</v>
      </c>
      <c r="D559" s="223" t="s">
        <v>34</v>
      </c>
      <c r="E559" s="223">
        <v>25</v>
      </c>
      <c r="F559" s="1350" t="s">
        <v>285</v>
      </c>
      <c r="G559" s="403">
        <v>5.5</v>
      </c>
      <c r="H559" s="449">
        <v>58624.28</v>
      </c>
      <c r="I559" s="441" t="s">
        <v>267</v>
      </c>
      <c r="J559" s="449">
        <v>58624.28</v>
      </c>
      <c r="K559" s="1606">
        <f>14973.8498+2229.99451</f>
        <v>17203.84431</v>
      </c>
      <c r="L559" s="1606">
        <f>14973.8498+2229.99451</f>
        <v>17203.84431</v>
      </c>
      <c r="M559" s="451" t="s">
        <v>290</v>
      </c>
      <c r="N559" s="451" t="s">
        <v>832</v>
      </c>
      <c r="O559" s="451" t="s">
        <v>988</v>
      </c>
      <c r="P559" s="172" t="s">
        <v>40</v>
      </c>
      <c r="Q559" s="173"/>
      <c r="R559" s="172" t="s">
        <v>64</v>
      </c>
      <c r="S559" s="173"/>
      <c r="T559" s="172" t="s">
        <v>64</v>
      </c>
      <c r="U559" s="173"/>
      <c r="V559" s="172" t="s">
        <v>40</v>
      </c>
      <c r="W559" s="173"/>
      <c r="X559" s="172" t="s">
        <v>40</v>
      </c>
      <c r="Y559" s="173"/>
      <c r="Z559" s="172" t="s">
        <v>64</v>
      </c>
      <c r="AA559" s="173"/>
      <c r="AB559" s="172" t="s">
        <v>40</v>
      </c>
      <c r="AC559" s="173"/>
      <c r="AD559" s="173"/>
      <c r="AE559" s="1521">
        <v>46203</v>
      </c>
      <c r="AF559" s="218" t="s">
        <v>247</v>
      </c>
      <c r="AG559" s="219">
        <v>2023</v>
      </c>
      <c r="AH559" s="403">
        <v>288367.02</v>
      </c>
      <c r="AI559" s="427">
        <v>1591105190700</v>
      </c>
      <c r="AJ559" s="113"/>
      <c r="AK559" s="222" t="s">
        <v>43</v>
      </c>
      <c r="AL559" s="223" t="s">
        <v>41</v>
      </c>
      <c r="AM559" s="224">
        <v>0</v>
      </c>
      <c r="AN559" s="225" t="s">
        <v>40</v>
      </c>
      <c r="AO559" s="104"/>
      <c r="AP559" s="104"/>
      <c r="AQ559" s="104"/>
      <c r="AR559" s="104"/>
      <c r="AS559" s="104"/>
      <c r="AT559" s="358"/>
    </row>
    <row r="560" spans="1:129" s="102" customFormat="1" ht="28.8" x14ac:dyDescent="0.3">
      <c r="A560" s="102" t="s">
        <v>264</v>
      </c>
      <c r="B560" s="166" t="s">
        <v>913</v>
      </c>
      <c r="C560" s="287" t="s">
        <v>989</v>
      </c>
      <c r="D560" s="223" t="s">
        <v>34</v>
      </c>
      <c r="E560" s="223">
        <v>25</v>
      </c>
      <c r="F560" s="1350" t="s">
        <v>285</v>
      </c>
      <c r="G560" s="403">
        <v>11.38</v>
      </c>
      <c r="H560" s="449">
        <v>134319.46</v>
      </c>
      <c r="I560" s="441" t="s">
        <v>267</v>
      </c>
      <c r="J560" s="449">
        <v>134319.46</v>
      </c>
      <c r="K560" s="1606">
        <v>0</v>
      </c>
      <c r="L560" s="1606">
        <v>0</v>
      </c>
      <c r="M560" s="451" t="s">
        <v>79</v>
      </c>
      <c r="N560" s="451" t="s">
        <v>990</v>
      </c>
      <c r="O560" s="451" t="s">
        <v>991</v>
      </c>
      <c r="P560" s="172" t="s">
        <v>40</v>
      </c>
      <c r="Q560" s="173"/>
      <c r="R560" s="172" t="s">
        <v>64</v>
      </c>
      <c r="S560" s="173"/>
      <c r="T560" s="172" t="s">
        <v>64</v>
      </c>
      <c r="U560" s="173"/>
      <c r="V560" s="172" t="s">
        <v>40</v>
      </c>
      <c r="W560" s="173"/>
      <c r="X560" s="172" t="s">
        <v>40</v>
      </c>
      <c r="Y560" s="173"/>
      <c r="Z560" s="172" t="s">
        <v>64</v>
      </c>
      <c r="AA560" s="173"/>
      <c r="AB560" s="172" t="s">
        <v>40</v>
      </c>
      <c r="AC560" s="173"/>
      <c r="AD560" s="173"/>
      <c r="AE560" s="1521">
        <v>46203</v>
      </c>
      <c r="AF560" s="218" t="s">
        <v>247</v>
      </c>
      <c r="AG560" s="219">
        <v>2023</v>
      </c>
      <c r="AH560" s="403">
        <v>660704.02</v>
      </c>
      <c r="AI560" s="427">
        <v>1771201190701</v>
      </c>
      <c r="AJ560" s="113"/>
      <c r="AK560" s="222" t="s">
        <v>43</v>
      </c>
      <c r="AL560" s="223" t="s">
        <v>41</v>
      </c>
      <c r="AM560" s="224">
        <v>0</v>
      </c>
      <c r="AN560" s="225" t="s">
        <v>40</v>
      </c>
      <c r="AO560" s="104"/>
      <c r="AP560" s="104"/>
      <c r="AQ560" s="104"/>
      <c r="AR560" s="104"/>
      <c r="AS560" s="104"/>
      <c r="AT560" s="358"/>
    </row>
    <row r="561" spans="1:46 16380:16384" s="102" customFormat="1" ht="28.8" x14ac:dyDescent="0.3">
      <c r="A561" s="102" t="s">
        <v>264</v>
      </c>
      <c r="B561" s="166" t="s">
        <v>913</v>
      </c>
      <c r="C561" s="287" t="s">
        <v>992</v>
      </c>
      <c r="D561" s="223" t="s">
        <v>34</v>
      </c>
      <c r="E561" s="223">
        <v>25</v>
      </c>
      <c r="F561" s="1350" t="s">
        <v>285</v>
      </c>
      <c r="G561" s="403">
        <v>9.5</v>
      </c>
      <c r="H561" s="449">
        <v>115387.94</v>
      </c>
      <c r="I561" s="441" t="s">
        <v>267</v>
      </c>
      <c r="J561" s="449">
        <v>115387.94</v>
      </c>
      <c r="K561" s="1606">
        <f>35541.32+3913.92</f>
        <v>39455.24</v>
      </c>
      <c r="L561" s="1606">
        <f>35541.32+3913.92</f>
        <v>39455.24</v>
      </c>
      <c r="M561" s="451" t="s">
        <v>290</v>
      </c>
      <c r="N561" s="451" t="s">
        <v>993</v>
      </c>
      <c r="O561" s="451" t="s">
        <v>994</v>
      </c>
      <c r="P561" s="172" t="s">
        <v>40</v>
      </c>
      <c r="Q561" s="173"/>
      <c r="R561" s="172" t="s">
        <v>64</v>
      </c>
      <c r="S561" s="173"/>
      <c r="T561" s="172" t="s">
        <v>64</v>
      </c>
      <c r="U561" s="173"/>
      <c r="V561" s="172" t="s">
        <v>40</v>
      </c>
      <c r="W561" s="173"/>
      <c r="X561" s="172" t="s">
        <v>40</v>
      </c>
      <c r="Y561" s="173"/>
      <c r="Z561" s="172" t="s">
        <v>64</v>
      </c>
      <c r="AA561" s="173"/>
      <c r="AB561" s="172" t="s">
        <v>40</v>
      </c>
      <c r="AC561" s="173"/>
      <c r="AD561" s="173"/>
      <c r="AE561" s="1521">
        <v>46203</v>
      </c>
      <c r="AF561" s="218" t="s">
        <v>247</v>
      </c>
      <c r="AG561" s="219">
        <v>2023</v>
      </c>
      <c r="AH561" s="403">
        <v>567581.78</v>
      </c>
      <c r="AI561" s="427">
        <v>1660711190695</v>
      </c>
      <c r="AJ561" s="113"/>
      <c r="AK561" s="222" t="s">
        <v>43</v>
      </c>
      <c r="AL561" s="223" t="s">
        <v>41</v>
      </c>
      <c r="AM561" s="224">
        <v>0</v>
      </c>
      <c r="AN561" s="225" t="s">
        <v>40</v>
      </c>
      <c r="AO561" s="104"/>
      <c r="AP561" s="104"/>
      <c r="AQ561" s="104"/>
      <c r="AR561" s="104"/>
      <c r="AS561" s="104"/>
      <c r="AT561" s="358"/>
    </row>
    <row r="562" spans="1:46 16380:16384" s="102" customFormat="1" ht="57.6" x14ac:dyDescent="0.3">
      <c r="A562" s="102" t="s">
        <v>264</v>
      </c>
      <c r="B562" s="166" t="s">
        <v>913</v>
      </c>
      <c r="C562" s="287" t="s">
        <v>995</v>
      </c>
      <c r="D562" s="223" t="s">
        <v>34</v>
      </c>
      <c r="E562" s="223">
        <v>25</v>
      </c>
      <c r="F562" s="1350" t="s">
        <v>285</v>
      </c>
      <c r="G562" s="403">
        <v>35.18</v>
      </c>
      <c r="H562" s="449">
        <v>549791.62</v>
      </c>
      <c r="I562" s="856" t="s">
        <v>267</v>
      </c>
      <c r="J562" s="447">
        <v>549791.62</v>
      </c>
      <c r="K562" s="1615">
        <v>277371.44300000003</v>
      </c>
      <c r="L562" s="1615">
        <v>277371.44300000003</v>
      </c>
      <c r="M562" s="451" t="s">
        <v>151</v>
      </c>
      <c r="N562" s="451" t="s">
        <v>996</v>
      </c>
      <c r="O562" s="451" t="s">
        <v>3737</v>
      </c>
      <c r="P562" s="172" t="s">
        <v>40</v>
      </c>
      <c r="Q562" s="173"/>
      <c r="R562" s="172" t="s">
        <v>64</v>
      </c>
      <c r="S562" s="173"/>
      <c r="T562" s="172" t="s">
        <v>64</v>
      </c>
      <c r="U562" s="173"/>
      <c r="V562" s="172" t="s">
        <v>40</v>
      </c>
      <c r="W562" s="173"/>
      <c r="X562" s="172" t="s">
        <v>40</v>
      </c>
      <c r="Y562" s="173"/>
      <c r="Z562" s="172" t="s">
        <v>64</v>
      </c>
      <c r="AA562" s="173"/>
      <c r="AB562" s="172" t="s">
        <v>40</v>
      </c>
      <c r="AC562" s="173"/>
      <c r="AD562" s="173"/>
      <c r="AE562" s="1521">
        <v>46203</v>
      </c>
      <c r="AF562" s="218" t="s">
        <v>247</v>
      </c>
      <c r="AG562" s="219">
        <v>2023</v>
      </c>
      <c r="AH562" s="403">
        <v>2704370.03</v>
      </c>
      <c r="AI562" s="427">
        <v>4512291</v>
      </c>
      <c r="AJ562" s="113"/>
      <c r="AK562" s="222" t="s">
        <v>43</v>
      </c>
      <c r="AL562" s="223" t="s">
        <v>41</v>
      </c>
      <c r="AM562" s="224">
        <v>0</v>
      </c>
      <c r="AN562" s="225" t="s">
        <v>40</v>
      </c>
      <c r="AO562" s="104"/>
      <c r="AP562" s="104"/>
      <c r="AQ562" s="104"/>
      <c r="AR562" s="104"/>
      <c r="AS562" s="104"/>
      <c r="AT562" s="358"/>
    </row>
    <row r="563" spans="1:46 16380:16384" s="102" customFormat="1" ht="28.8" x14ac:dyDescent="0.3">
      <c r="A563" s="102" t="s">
        <v>264</v>
      </c>
      <c r="B563" s="166" t="s">
        <v>913</v>
      </c>
      <c r="C563" s="392" t="s">
        <v>997</v>
      </c>
      <c r="D563" s="223" t="s">
        <v>34</v>
      </c>
      <c r="E563" s="223">
        <v>25</v>
      </c>
      <c r="F563" s="1350" t="s">
        <v>285</v>
      </c>
      <c r="G563" s="857">
        <v>7.1463999999999999</v>
      </c>
      <c r="H563" s="449">
        <v>87080.66</v>
      </c>
      <c r="I563" s="404" t="s">
        <v>267</v>
      </c>
      <c r="J563" s="449">
        <v>87080.66</v>
      </c>
      <c r="K563" s="1567">
        <v>0</v>
      </c>
      <c r="L563" s="1567">
        <v>0</v>
      </c>
      <c r="M563" s="451" t="s">
        <v>290</v>
      </c>
      <c r="N563" s="451" t="s">
        <v>770</v>
      </c>
      <c r="O563" s="451" t="s">
        <v>998</v>
      </c>
      <c r="P563" s="172" t="s">
        <v>40</v>
      </c>
      <c r="Q563" s="173"/>
      <c r="R563" s="172" t="s">
        <v>64</v>
      </c>
      <c r="S563" s="173"/>
      <c r="T563" s="172" t="s">
        <v>64</v>
      </c>
      <c r="U563" s="173"/>
      <c r="V563" s="172" t="s">
        <v>40</v>
      </c>
      <c r="W563" s="173"/>
      <c r="X563" s="172" t="s">
        <v>40</v>
      </c>
      <c r="Y563" s="173"/>
      <c r="Z563" s="172" t="s">
        <v>64</v>
      </c>
      <c r="AA563" s="173"/>
      <c r="AB563" s="172" t="s">
        <v>40</v>
      </c>
      <c r="AC563" s="173"/>
      <c r="AD563" s="173"/>
      <c r="AE563" s="1521">
        <v>46203</v>
      </c>
      <c r="AF563" s="218" t="s">
        <v>247</v>
      </c>
      <c r="AG563" s="219">
        <v>2023</v>
      </c>
      <c r="AH563" s="403">
        <v>428341.07</v>
      </c>
      <c r="AI563" s="427">
        <v>13042318</v>
      </c>
      <c r="AJ563" s="113"/>
      <c r="AK563" s="222" t="s">
        <v>43</v>
      </c>
      <c r="AL563" s="223" t="s">
        <v>41</v>
      </c>
      <c r="AM563" s="224">
        <v>0</v>
      </c>
      <c r="AN563" s="225" t="s">
        <v>40</v>
      </c>
      <c r="AO563" s="104"/>
      <c r="AP563" s="104"/>
      <c r="AQ563" s="104"/>
      <c r="AR563" s="104"/>
      <c r="AS563" s="104"/>
      <c r="AT563" s="358"/>
    </row>
    <row r="564" spans="1:46 16380:16384" s="102" customFormat="1" ht="28.8" x14ac:dyDescent="0.3">
      <c r="A564" s="102" t="s">
        <v>264</v>
      </c>
      <c r="B564" s="166" t="s">
        <v>913</v>
      </c>
      <c r="C564" s="392" t="s">
        <v>999</v>
      </c>
      <c r="D564" s="223" t="s">
        <v>34</v>
      </c>
      <c r="E564" s="223">
        <v>25</v>
      </c>
      <c r="F564" s="1350" t="s">
        <v>285</v>
      </c>
      <c r="G564" s="857">
        <v>6.68</v>
      </c>
      <c r="H564" s="449">
        <v>86946.12</v>
      </c>
      <c r="I564" s="404" t="s">
        <v>267</v>
      </c>
      <c r="J564" s="449">
        <v>86946.12</v>
      </c>
      <c r="K564" s="1567">
        <v>0</v>
      </c>
      <c r="L564" s="1567">
        <v>0</v>
      </c>
      <c r="M564" s="451" t="s">
        <v>79</v>
      </c>
      <c r="N564" s="451" t="s">
        <v>1000</v>
      </c>
      <c r="O564" s="451" t="s">
        <v>1000</v>
      </c>
      <c r="P564" s="172" t="s">
        <v>40</v>
      </c>
      <c r="Q564" s="173"/>
      <c r="R564" s="172" t="s">
        <v>64</v>
      </c>
      <c r="S564" s="173"/>
      <c r="T564" s="172"/>
      <c r="U564" s="173"/>
      <c r="V564" s="172"/>
      <c r="W564" s="173"/>
      <c r="X564" s="172"/>
      <c r="Y564" s="173"/>
      <c r="Z564" s="172"/>
      <c r="AA564" s="173"/>
      <c r="AB564" s="172"/>
      <c r="AC564" s="173"/>
      <c r="AD564" s="173"/>
      <c r="AE564" s="1521">
        <v>46203</v>
      </c>
      <c r="AF564" s="218" t="s">
        <v>247</v>
      </c>
      <c r="AG564" s="219">
        <v>2023</v>
      </c>
      <c r="AH564" s="403">
        <v>427679.26</v>
      </c>
      <c r="AI564" s="427">
        <v>1990331205562</v>
      </c>
      <c r="AJ564" s="113"/>
      <c r="AK564" s="222"/>
      <c r="AL564" s="223"/>
      <c r="AM564" s="224"/>
      <c r="AN564" s="225"/>
      <c r="AO564" s="104"/>
      <c r="AP564" s="104"/>
      <c r="AQ564" s="104"/>
      <c r="AR564" s="104"/>
      <c r="AS564" s="104"/>
      <c r="AT564" s="358"/>
    </row>
    <row r="565" spans="1:46 16380:16384" s="102" customFormat="1" ht="28.8" x14ac:dyDescent="0.3">
      <c r="A565" s="102" t="s">
        <v>264</v>
      </c>
      <c r="B565" s="166" t="s">
        <v>913</v>
      </c>
      <c r="C565" s="392" t="s">
        <v>1001</v>
      </c>
      <c r="D565" s="223" t="s">
        <v>34</v>
      </c>
      <c r="E565" s="223">
        <v>25</v>
      </c>
      <c r="F565" s="1350" t="s">
        <v>285</v>
      </c>
      <c r="G565" s="403">
        <v>24.4</v>
      </c>
      <c r="H565" s="449">
        <v>361082.06</v>
      </c>
      <c r="I565" s="404" t="s">
        <v>267</v>
      </c>
      <c r="J565" s="449">
        <v>361082.06</v>
      </c>
      <c r="K565" s="1567">
        <v>0</v>
      </c>
      <c r="L565" s="1567">
        <v>0</v>
      </c>
      <c r="M565" s="451" t="s">
        <v>80</v>
      </c>
      <c r="N565" s="451" t="s">
        <v>1002</v>
      </c>
      <c r="O565" s="451" t="s">
        <v>1003</v>
      </c>
      <c r="P565" s="172" t="s">
        <v>40</v>
      </c>
      <c r="Q565" s="173"/>
      <c r="R565" s="172" t="s">
        <v>64</v>
      </c>
      <c r="S565" s="173"/>
      <c r="T565" s="172" t="s">
        <v>64</v>
      </c>
      <c r="U565" s="173"/>
      <c r="V565" s="172" t="s">
        <v>40</v>
      </c>
      <c r="W565" s="173"/>
      <c r="X565" s="172" t="s">
        <v>40</v>
      </c>
      <c r="Y565" s="173"/>
      <c r="Z565" s="172" t="s">
        <v>64</v>
      </c>
      <c r="AA565" s="173"/>
      <c r="AB565" s="172" t="s">
        <v>40</v>
      </c>
      <c r="AC565" s="173"/>
      <c r="AD565" s="173"/>
      <c r="AE565" s="1521">
        <v>46203</v>
      </c>
      <c r="AF565" s="218" t="s">
        <v>247</v>
      </c>
      <c r="AG565" s="219">
        <v>2023</v>
      </c>
      <c r="AH565" s="403">
        <v>1776126.57</v>
      </c>
      <c r="AI565" s="427">
        <v>14538370</v>
      </c>
      <c r="AJ565" s="113"/>
      <c r="AK565" s="222" t="s">
        <v>43</v>
      </c>
      <c r="AL565" s="223" t="s">
        <v>41</v>
      </c>
      <c r="AM565" s="224">
        <v>0</v>
      </c>
      <c r="AN565" s="225" t="s">
        <v>40</v>
      </c>
      <c r="AO565" s="104"/>
      <c r="AP565" s="104"/>
      <c r="AQ565" s="104"/>
      <c r="AR565" s="104"/>
      <c r="AS565" s="104"/>
      <c r="AT565" s="358"/>
    </row>
    <row r="566" spans="1:46 16380:16384" s="143" customFormat="1" ht="28.8" x14ac:dyDescent="0.3">
      <c r="A566" s="143" t="s">
        <v>264</v>
      </c>
      <c r="B566" s="149" t="s">
        <v>913</v>
      </c>
      <c r="C566" s="407" t="s">
        <v>1004</v>
      </c>
      <c r="D566" s="223" t="s">
        <v>34</v>
      </c>
      <c r="E566" s="223">
        <v>25</v>
      </c>
      <c r="F566" s="1350" t="s">
        <v>285</v>
      </c>
      <c r="G566" s="408">
        <v>43.93</v>
      </c>
      <c r="H566" s="390">
        <v>655775.68155481922</v>
      </c>
      <c r="I566" s="409" t="s">
        <v>267</v>
      </c>
      <c r="J566" s="53">
        <v>655775.68155481922</v>
      </c>
      <c r="K566" s="1616">
        <v>0</v>
      </c>
      <c r="L566" s="1616">
        <v>0</v>
      </c>
      <c r="M566" s="410" t="s">
        <v>1005</v>
      </c>
      <c r="N566" s="410" t="s">
        <v>317</v>
      </c>
      <c r="O566" s="410" t="s">
        <v>1006</v>
      </c>
      <c r="P566" s="156" t="s">
        <v>40</v>
      </c>
      <c r="Q566" s="155"/>
      <c r="R566" s="156" t="s">
        <v>64</v>
      </c>
      <c r="S566" s="155"/>
      <c r="T566" s="156" t="s">
        <v>64</v>
      </c>
      <c r="U566" s="155"/>
      <c r="V566" s="156" t="s">
        <v>40</v>
      </c>
      <c r="W566" s="155"/>
      <c r="X566" s="156" t="s">
        <v>40</v>
      </c>
      <c r="Y566" s="155"/>
      <c r="Z566" s="156" t="s">
        <v>64</v>
      </c>
      <c r="AA566" s="156"/>
      <c r="AB566" s="157" t="s">
        <v>40</v>
      </c>
      <c r="AC566" s="411"/>
      <c r="AD566" s="412"/>
      <c r="AE566" s="1523">
        <v>46203</v>
      </c>
      <c r="AF566" s="413" t="s">
        <v>247</v>
      </c>
      <c r="AG566" s="414">
        <v>2023</v>
      </c>
      <c r="AH566" s="408">
        <v>3225695</v>
      </c>
      <c r="AI566" s="427">
        <v>16445870</v>
      </c>
      <c r="AJ566" s="416"/>
      <c r="AK566" s="421" t="s">
        <v>43</v>
      </c>
      <c r="AL566" s="143" t="s">
        <v>41</v>
      </c>
      <c r="AM566" s="416">
        <v>0</v>
      </c>
      <c r="AN566" s="417" t="s">
        <v>40</v>
      </c>
      <c r="AO566" s="165"/>
      <c r="AP566" s="165"/>
      <c r="AQ566" s="165"/>
      <c r="AR566" s="165"/>
      <c r="AS566" s="165"/>
      <c r="AT566" s="315"/>
      <c r="XFC566" s="149"/>
      <c r="XFD566" s="410"/>
    </row>
    <row r="567" spans="1:46 16380:16384" s="143" customFormat="1" ht="43.2" x14ac:dyDescent="0.3">
      <c r="A567" s="143" t="s">
        <v>264</v>
      </c>
      <c r="B567" s="149" t="s">
        <v>913</v>
      </c>
      <c r="C567" s="407" t="s">
        <v>1007</v>
      </c>
      <c r="D567" s="223" t="s">
        <v>34</v>
      </c>
      <c r="E567" s="223">
        <v>25</v>
      </c>
      <c r="F567" s="1350" t="s">
        <v>285</v>
      </c>
      <c r="G567" s="408">
        <v>6.24</v>
      </c>
      <c r="H567" s="390">
        <v>75157.954014108851</v>
      </c>
      <c r="I567" s="409" t="s">
        <v>267</v>
      </c>
      <c r="J567" s="53">
        <v>75157.954014108851</v>
      </c>
      <c r="K567" s="1616">
        <v>0</v>
      </c>
      <c r="L567" s="1616">
        <v>0</v>
      </c>
      <c r="M567" s="410" t="s">
        <v>151</v>
      </c>
      <c r="N567" s="410" t="s">
        <v>1008</v>
      </c>
      <c r="O567" s="410" t="s">
        <v>1009</v>
      </c>
      <c r="P567" s="155" t="s">
        <v>40</v>
      </c>
      <c r="Q567" s="156"/>
      <c r="R567" s="155" t="s">
        <v>64</v>
      </c>
      <c r="S567" s="156"/>
      <c r="T567" s="155" t="s">
        <v>64</v>
      </c>
      <c r="U567" s="156"/>
      <c r="V567" s="155" t="s">
        <v>40</v>
      </c>
      <c r="W567" s="156"/>
      <c r="X567" s="156" t="s">
        <v>40</v>
      </c>
      <c r="Y567" s="157"/>
      <c r="Z567" s="411" t="s">
        <v>64</v>
      </c>
      <c r="AA567" s="412"/>
      <c r="AB567" s="408" t="s">
        <v>40</v>
      </c>
      <c r="AC567" s="410"/>
      <c r="AD567" s="412"/>
      <c r="AE567" s="1523">
        <v>46203</v>
      </c>
      <c r="AF567" s="413" t="s">
        <v>247</v>
      </c>
      <c r="AG567" s="414">
        <v>2023</v>
      </c>
      <c r="AH567" s="408">
        <v>369694.46</v>
      </c>
      <c r="AI567" s="415">
        <v>1590120</v>
      </c>
      <c r="AJ567" s="416"/>
      <c r="AK567" s="143" t="s">
        <v>43</v>
      </c>
      <c r="AL567" s="143" t="s">
        <v>41</v>
      </c>
      <c r="AM567" s="416">
        <v>0</v>
      </c>
      <c r="AN567" s="417" t="s">
        <v>40</v>
      </c>
      <c r="AO567" s="165"/>
      <c r="AP567" s="165"/>
      <c r="AQ567" s="165"/>
      <c r="AR567" s="165"/>
      <c r="AS567" s="165"/>
      <c r="AT567" s="315"/>
      <c r="XEZ567" s="149"/>
      <c r="XFA567" s="410"/>
      <c r="XFC567" s="149"/>
      <c r="XFD567" s="410"/>
    </row>
    <row r="568" spans="1:46 16380:16384" s="143" customFormat="1" ht="43.2" x14ac:dyDescent="0.3">
      <c r="A568" s="143" t="s">
        <v>264</v>
      </c>
      <c r="B568" s="149" t="s">
        <v>913</v>
      </c>
      <c r="C568" s="407" t="s">
        <v>1010</v>
      </c>
      <c r="D568" s="223" t="s">
        <v>34</v>
      </c>
      <c r="E568" s="223">
        <v>25</v>
      </c>
      <c r="F568" s="1350" t="s">
        <v>285</v>
      </c>
      <c r="G568" s="408">
        <v>33.880000000000003</v>
      </c>
      <c r="H568" s="390">
        <v>395783.20966069651</v>
      </c>
      <c r="I568" s="418" t="s">
        <v>267</v>
      </c>
      <c r="J568" s="53">
        <v>395783.20966069651</v>
      </c>
      <c r="K568" s="1617">
        <v>0</v>
      </c>
      <c r="L568" s="1617">
        <v>0</v>
      </c>
      <c r="M568" s="410" t="s">
        <v>151</v>
      </c>
      <c r="N568" s="410" t="s">
        <v>1011</v>
      </c>
      <c r="O568" s="410" t="s">
        <v>1012</v>
      </c>
      <c r="P568" s="155" t="s">
        <v>40</v>
      </c>
      <c r="Q568" s="156"/>
      <c r="R568" s="155" t="s">
        <v>64</v>
      </c>
      <c r="S568" s="156"/>
      <c r="T568" s="155" t="s">
        <v>64</v>
      </c>
      <c r="U568" s="156"/>
      <c r="V568" s="155" t="s">
        <v>40</v>
      </c>
      <c r="W568" s="156"/>
      <c r="X568" s="155" t="s">
        <v>40</v>
      </c>
      <c r="Y568" s="156"/>
      <c r="Z568" s="155" t="s">
        <v>64</v>
      </c>
      <c r="AA568" s="156"/>
      <c r="AB568" s="155" t="s">
        <v>40</v>
      </c>
      <c r="AC568" s="156"/>
      <c r="AD568" s="156"/>
      <c r="AE568" s="1523">
        <v>46203</v>
      </c>
      <c r="AF568" s="419" t="s">
        <v>247</v>
      </c>
      <c r="AG568" s="414">
        <v>2023</v>
      </c>
      <c r="AH568" s="408">
        <v>1946818.03</v>
      </c>
      <c r="AI568" s="415">
        <v>13992423</v>
      </c>
      <c r="AJ568" s="61"/>
      <c r="AK568" s="420" t="s">
        <v>43</v>
      </c>
      <c r="AL568" s="421" t="s">
        <v>41</v>
      </c>
      <c r="AM568" s="416">
        <v>0</v>
      </c>
      <c r="AN568" s="422" t="s">
        <v>40</v>
      </c>
      <c r="AO568" s="165"/>
      <c r="AP568" s="165"/>
      <c r="AQ568" s="165"/>
      <c r="AR568" s="165"/>
      <c r="AS568" s="165"/>
      <c r="AT568" s="315"/>
    </row>
    <row r="569" spans="1:46 16380:16384" s="143" customFormat="1" ht="43.2" x14ac:dyDescent="0.3">
      <c r="A569" s="143" t="s">
        <v>264</v>
      </c>
      <c r="B569" s="149" t="s">
        <v>913</v>
      </c>
      <c r="C569" s="407" t="s">
        <v>1013</v>
      </c>
      <c r="D569" s="223" t="s">
        <v>34</v>
      </c>
      <c r="E569" s="223">
        <v>25</v>
      </c>
      <c r="F569" s="1350" t="s">
        <v>285</v>
      </c>
      <c r="G569" s="408">
        <v>15.59</v>
      </c>
      <c r="H569" s="390">
        <v>178529.87049950191</v>
      </c>
      <c r="I569" s="418" t="s">
        <v>267</v>
      </c>
      <c r="J569" s="53">
        <v>178529.87049950191</v>
      </c>
      <c r="K569" s="1617">
        <v>0</v>
      </c>
      <c r="L569" s="1617">
        <v>0</v>
      </c>
      <c r="M569" s="410" t="s">
        <v>151</v>
      </c>
      <c r="N569" s="410" t="s">
        <v>1014</v>
      </c>
      <c r="O569" s="410" t="s">
        <v>1015</v>
      </c>
      <c r="P569" s="155" t="s">
        <v>40</v>
      </c>
      <c r="Q569" s="156"/>
      <c r="R569" s="155" t="s">
        <v>64</v>
      </c>
      <c r="S569" s="156"/>
      <c r="T569" s="155" t="s">
        <v>64</v>
      </c>
      <c r="U569" s="156"/>
      <c r="V569" s="155" t="s">
        <v>40</v>
      </c>
      <c r="W569" s="156"/>
      <c r="X569" s="155" t="s">
        <v>40</v>
      </c>
      <c r="Y569" s="156"/>
      <c r="Z569" s="155" t="s">
        <v>64</v>
      </c>
      <c r="AA569" s="156"/>
      <c r="AB569" s="155" t="s">
        <v>40</v>
      </c>
      <c r="AC569" s="156"/>
      <c r="AD569" s="156"/>
      <c r="AE569" s="1523">
        <v>46203</v>
      </c>
      <c r="AF569" s="419" t="s">
        <v>247</v>
      </c>
      <c r="AG569" s="414">
        <v>2023</v>
      </c>
      <c r="AH569" s="408">
        <v>878170.58</v>
      </c>
      <c r="AI569" s="415">
        <v>1590120</v>
      </c>
      <c r="AJ569" s="61"/>
      <c r="AK569" s="420" t="s">
        <v>43</v>
      </c>
      <c r="AL569" s="421" t="s">
        <v>41</v>
      </c>
      <c r="AM569" s="416">
        <v>0</v>
      </c>
      <c r="AN569" s="422" t="s">
        <v>40</v>
      </c>
      <c r="AO569" s="165"/>
      <c r="AP569" s="165"/>
      <c r="AQ569" s="165"/>
      <c r="AR569" s="165"/>
      <c r="AS569" s="165"/>
      <c r="AT569" s="315"/>
    </row>
    <row r="570" spans="1:46 16380:16384" s="143" customFormat="1" ht="28.8" x14ac:dyDescent="0.3">
      <c r="A570" s="143" t="s">
        <v>264</v>
      </c>
      <c r="B570" s="149" t="s">
        <v>913</v>
      </c>
      <c r="C570" s="407" t="s">
        <v>1016</v>
      </c>
      <c r="D570" s="223" t="s">
        <v>34</v>
      </c>
      <c r="E570" s="223">
        <v>25</v>
      </c>
      <c r="F570" s="1350" t="s">
        <v>285</v>
      </c>
      <c r="G570" s="408">
        <v>39.9</v>
      </c>
      <c r="H570" s="390">
        <v>804041.19213645335</v>
      </c>
      <c r="I570" s="418" t="s">
        <v>267</v>
      </c>
      <c r="J570" s="53">
        <v>804041.19213645335</v>
      </c>
      <c r="K570" s="1617">
        <f>380239.73</f>
        <v>380239.73</v>
      </c>
      <c r="L570" s="1617">
        <f>380239.73</f>
        <v>380239.73</v>
      </c>
      <c r="M570" s="410" t="s">
        <v>84</v>
      </c>
      <c r="N570" s="410" t="s">
        <v>1017</v>
      </c>
      <c r="O570" s="410" t="s">
        <v>955</v>
      </c>
      <c r="P570" s="155" t="s">
        <v>40</v>
      </c>
      <c r="Q570" s="156"/>
      <c r="R570" s="155" t="s">
        <v>64</v>
      </c>
      <c r="S570" s="156"/>
      <c r="T570" s="155" t="s">
        <v>64</v>
      </c>
      <c r="U570" s="156"/>
      <c r="V570" s="155" t="s">
        <v>40</v>
      </c>
      <c r="W570" s="156"/>
      <c r="X570" s="155" t="s">
        <v>40</v>
      </c>
      <c r="Y570" s="156"/>
      <c r="Z570" s="155" t="s">
        <v>64</v>
      </c>
      <c r="AA570" s="156"/>
      <c r="AB570" s="155" t="s">
        <v>40</v>
      </c>
      <c r="AC570" s="156"/>
      <c r="AD570" s="156"/>
      <c r="AE570" s="1523">
        <v>46203</v>
      </c>
      <c r="AF570" s="419" t="s">
        <v>247</v>
      </c>
      <c r="AG570" s="414">
        <v>2023</v>
      </c>
      <c r="AH570" s="408">
        <v>3954998.22</v>
      </c>
      <c r="AI570" s="415" t="s">
        <v>1018</v>
      </c>
      <c r="AJ570" s="61"/>
      <c r="AK570" s="420" t="s">
        <v>43</v>
      </c>
      <c r="AL570" s="421" t="s">
        <v>41</v>
      </c>
      <c r="AM570" s="416">
        <v>0</v>
      </c>
      <c r="AN570" s="422" t="s">
        <v>40</v>
      </c>
      <c r="AO570" s="165"/>
      <c r="AP570" s="165"/>
      <c r="AQ570" s="165"/>
      <c r="AR570" s="165"/>
      <c r="AS570" s="165"/>
      <c r="AT570" s="315"/>
    </row>
    <row r="571" spans="1:46 16380:16384" s="143" customFormat="1" ht="28.8" x14ac:dyDescent="0.3">
      <c r="A571" s="143" t="s">
        <v>264</v>
      </c>
      <c r="B571" s="149" t="s">
        <v>913</v>
      </c>
      <c r="C571" s="407" t="s">
        <v>1019</v>
      </c>
      <c r="D571" s="223" t="s">
        <v>34</v>
      </c>
      <c r="E571" s="223">
        <v>25</v>
      </c>
      <c r="F571" s="1350" t="s">
        <v>285</v>
      </c>
      <c r="G571" s="408">
        <v>23.4</v>
      </c>
      <c r="H571" s="390">
        <v>475688.83896806202</v>
      </c>
      <c r="I571" s="418" t="s">
        <v>267</v>
      </c>
      <c r="J571" s="53">
        <v>475688.83896806202</v>
      </c>
      <c r="K571" s="1617">
        <f>232070.869503344</f>
        <v>232070.869503344</v>
      </c>
      <c r="L571" s="1617">
        <f>232070.869503344</f>
        <v>232070.869503344</v>
      </c>
      <c r="M571" s="410" t="s">
        <v>84</v>
      </c>
      <c r="N571" s="410" t="s">
        <v>1017</v>
      </c>
      <c r="O571" s="410" t="s">
        <v>955</v>
      </c>
      <c r="P571" s="155" t="s">
        <v>40</v>
      </c>
      <c r="Q571" s="156"/>
      <c r="R571" s="155" t="s">
        <v>64</v>
      </c>
      <c r="S571" s="156"/>
      <c r="T571" s="155" t="s">
        <v>64</v>
      </c>
      <c r="U571" s="156"/>
      <c r="V571" s="155" t="s">
        <v>40</v>
      </c>
      <c r="W571" s="156"/>
      <c r="X571" s="155" t="s">
        <v>40</v>
      </c>
      <c r="Y571" s="156"/>
      <c r="Z571" s="155" t="s">
        <v>64</v>
      </c>
      <c r="AA571" s="156"/>
      <c r="AB571" s="155" t="s">
        <v>40</v>
      </c>
      <c r="AC571" s="156"/>
      <c r="AD571" s="156"/>
      <c r="AE571" s="1523">
        <v>46203</v>
      </c>
      <c r="AF571" s="419" t="s">
        <v>247</v>
      </c>
      <c r="AG571" s="414">
        <v>2023</v>
      </c>
      <c r="AH571" s="408">
        <v>2339865.83</v>
      </c>
      <c r="AI571" s="415" t="s">
        <v>1018</v>
      </c>
      <c r="AJ571" s="61"/>
      <c r="AK571" s="420" t="s">
        <v>43</v>
      </c>
      <c r="AL571" s="421" t="s">
        <v>41</v>
      </c>
      <c r="AM571" s="416">
        <v>0</v>
      </c>
      <c r="AN571" s="422" t="s">
        <v>40</v>
      </c>
      <c r="AO571" s="165"/>
      <c r="AP571" s="165"/>
      <c r="AQ571" s="165"/>
      <c r="AR571" s="165"/>
      <c r="AS571" s="165"/>
      <c r="AT571" s="315"/>
    </row>
    <row r="572" spans="1:46 16380:16384" s="143" customFormat="1" ht="28.8" x14ac:dyDescent="0.3">
      <c r="A572" s="143" t="s">
        <v>264</v>
      </c>
      <c r="B572" s="149" t="s">
        <v>913</v>
      </c>
      <c r="C572" s="407" t="s">
        <v>1020</v>
      </c>
      <c r="D572" s="223" t="s">
        <v>34</v>
      </c>
      <c r="E572" s="223">
        <v>25</v>
      </c>
      <c r="F572" s="1350" t="s">
        <v>285</v>
      </c>
      <c r="G572" s="408">
        <v>37</v>
      </c>
      <c r="H572" s="390">
        <v>750230.27099554788</v>
      </c>
      <c r="I572" s="418" t="s">
        <v>267</v>
      </c>
      <c r="J572" s="53">
        <v>750230.27099554788</v>
      </c>
      <c r="K572" s="1617">
        <f>355673.028</f>
        <v>355673.02799999999</v>
      </c>
      <c r="L572" s="1617">
        <f>355673.028</f>
        <v>355673.02799999999</v>
      </c>
      <c r="M572" s="410" t="s">
        <v>84</v>
      </c>
      <c r="N572" s="410" t="s">
        <v>1017</v>
      </c>
      <c r="O572" s="410" t="s">
        <v>955</v>
      </c>
      <c r="P572" s="155" t="s">
        <v>40</v>
      </c>
      <c r="Q572" s="156"/>
      <c r="R572" s="155" t="s">
        <v>64</v>
      </c>
      <c r="S572" s="156"/>
      <c r="T572" s="155" t="s">
        <v>64</v>
      </c>
      <c r="U572" s="156"/>
      <c r="V572" s="155" t="s">
        <v>40</v>
      </c>
      <c r="W572" s="156"/>
      <c r="X572" s="155" t="s">
        <v>40</v>
      </c>
      <c r="Y572" s="156"/>
      <c r="Z572" s="155" t="s">
        <v>64</v>
      </c>
      <c r="AA572" s="156"/>
      <c r="AB572" s="155" t="s">
        <v>40</v>
      </c>
      <c r="AC572" s="156"/>
      <c r="AD572" s="156"/>
      <c r="AE572" s="1523">
        <v>46203</v>
      </c>
      <c r="AF572" s="419" t="s">
        <v>247</v>
      </c>
      <c r="AG572" s="414">
        <v>2023</v>
      </c>
      <c r="AH572" s="408">
        <v>3690307.68</v>
      </c>
      <c r="AI572" s="415" t="s">
        <v>1018</v>
      </c>
      <c r="AJ572" s="61"/>
      <c r="AK572" s="420" t="s">
        <v>43</v>
      </c>
      <c r="AL572" s="421" t="s">
        <v>41</v>
      </c>
      <c r="AM572" s="416">
        <v>0</v>
      </c>
      <c r="AN572" s="422" t="s">
        <v>40</v>
      </c>
      <c r="AO572" s="165"/>
      <c r="AP572" s="165"/>
      <c r="AQ572" s="165"/>
      <c r="AR572" s="165"/>
      <c r="AS572" s="165"/>
      <c r="AT572" s="315"/>
    </row>
    <row r="573" spans="1:46 16380:16384" s="143" customFormat="1" ht="28.8" x14ac:dyDescent="0.3">
      <c r="A573" s="143" t="s">
        <v>264</v>
      </c>
      <c r="B573" s="149" t="s">
        <v>913</v>
      </c>
      <c r="C573" s="407" t="s">
        <v>1021</v>
      </c>
      <c r="D573" s="223" t="s">
        <v>34</v>
      </c>
      <c r="E573" s="223">
        <v>25</v>
      </c>
      <c r="F573" s="1350" t="s">
        <v>285</v>
      </c>
      <c r="G573" s="408">
        <v>164.71</v>
      </c>
      <c r="H573" s="390">
        <v>2408276.6472178739</v>
      </c>
      <c r="I573" s="418" t="s">
        <v>267</v>
      </c>
      <c r="J573" s="53">
        <v>2408276.6472178739</v>
      </c>
      <c r="K573" s="1617">
        <v>0</v>
      </c>
      <c r="L573" s="1617">
        <v>0</v>
      </c>
      <c r="M573" s="858" t="s">
        <v>84</v>
      </c>
      <c r="N573" s="858" t="s">
        <v>1022</v>
      </c>
      <c r="O573" s="858" t="s">
        <v>1023</v>
      </c>
      <c r="P573" s="155" t="s">
        <v>40</v>
      </c>
      <c r="Q573" s="156"/>
      <c r="R573" s="155" t="s">
        <v>64</v>
      </c>
      <c r="S573" s="156"/>
      <c r="T573" s="155" t="s">
        <v>64</v>
      </c>
      <c r="U573" s="156"/>
      <c r="V573" s="155" t="s">
        <v>40</v>
      </c>
      <c r="W573" s="156"/>
      <c r="X573" s="155" t="s">
        <v>40</v>
      </c>
      <c r="Y573" s="156"/>
      <c r="Z573" s="155" t="s">
        <v>64</v>
      </c>
      <c r="AA573" s="156"/>
      <c r="AB573" s="155" t="s">
        <v>40</v>
      </c>
      <c r="AC573" s="156"/>
      <c r="AD573" s="156"/>
      <c r="AE573" s="1523">
        <v>46203</v>
      </c>
      <c r="AF573" s="419" t="s">
        <v>247</v>
      </c>
      <c r="AG573" s="414">
        <v>2023</v>
      </c>
      <c r="AH573" s="408">
        <v>11846072</v>
      </c>
      <c r="AI573" s="415" t="s">
        <v>1024</v>
      </c>
      <c r="AJ573" s="61"/>
      <c r="AK573" s="420" t="s">
        <v>43</v>
      </c>
      <c r="AL573" s="421" t="s">
        <v>41</v>
      </c>
      <c r="AM573" s="416">
        <v>0</v>
      </c>
      <c r="AN573" s="422" t="s">
        <v>40</v>
      </c>
      <c r="AO573" s="165"/>
      <c r="AP573" s="165"/>
      <c r="AQ573" s="165"/>
      <c r="AR573" s="165"/>
      <c r="AS573" s="165"/>
      <c r="AT573" s="315"/>
    </row>
    <row r="574" spans="1:46 16380:16384" s="143" customFormat="1" ht="45.75" customHeight="1" x14ac:dyDescent="0.3">
      <c r="A574" s="143" t="s">
        <v>264</v>
      </c>
      <c r="B574" s="149" t="s">
        <v>913</v>
      </c>
      <c r="C574" s="407" t="s">
        <v>1025</v>
      </c>
      <c r="D574" s="223" t="s">
        <v>34</v>
      </c>
      <c r="E574" s="223">
        <v>25</v>
      </c>
      <c r="F574" s="1350" t="s">
        <v>285</v>
      </c>
      <c r="G574" s="408">
        <v>7.96</v>
      </c>
      <c r="H574" s="390">
        <v>115274.9212222245</v>
      </c>
      <c r="I574" s="418" t="s">
        <v>267</v>
      </c>
      <c r="J574" s="53">
        <v>115274.9212222245</v>
      </c>
      <c r="K574" s="1617">
        <v>0</v>
      </c>
      <c r="L574" s="1617">
        <v>0</v>
      </c>
      <c r="M574" s="858" t="s">
        <v>67</v>
      </c>
      <c r="N574" s="858" t="s">
        <v>1026</v>
      </c>
      <c r="O574" s="858" t="s">
        <v>1027</v>
      </c>
      <c r="P574" s="155" t="s">
        <v>40</v>
      </c>
      <c r="Q574" s="156"/>
      <c r="R574" s="155" t="s">
        <v>64</v>
      </c>
      <c r="S574" s="156"/>
      <c r="T574" s="155" t="s">
        <v>64</v>
      </c>
      <c r="U574" s="156"/>
      <c r="V574" s="155" t="s">
        <v>40</v>
      </c>
      <c r="W574" s="156"/>
      <c r="X574" s="155" t="s">
        <v>40</v>
      </c>
      <c r="Y574" s="156"/>
      <c r="Z574" s="155" t="s">
        <v>64</v>
      </c>
      <c r="AA574" s="156"/>
      <c r="AB574" s="155" t="s">
        <v>40</v>
      </c>
      <c r="AC574" s="156"/>
      <c r="AD574" s="156"/>
      <c r="AE574" s="1523">
        <v>46203</v>
      </c>
      <c r="AF574" s="419" t="s">
        <v>247</v>
      </c>
      <c r="AG574" s="414">
        <v>2023</v>
      </c>
      <c r="AH574" s="408">
        <v>567025.81000000006</v>
      </c>
      <c r="AI574" s="415">
        <v>28532075</v>
      </c>
      <c r="AJ574" s="61"/>
      <c r="AK574" s="420" t="s">
        <v>43</v>
      </c>
      <c r="AL574" s="421" t="s">
        <v>41</v>
      </c>
      <c r="AM574" s="416">
        <v>0</v>
      </c>
      <c r="AN574" s="422" t="s">
        <v>40</v>
      </c>
      <c r="AO574" s="165"/>
      <c r="AP574" s="165"/>
      <c r="AQ574" s="165"/>
      <c r="AR574" s="165"/>
      <c r="AS574" s="165"/>
      <c r="AT574" s="315"/>
    </row>
    <row r="575" spans="1:46 16380:16384" s="102" customFormat="1" ht="28.8" x14ac:dyDescent="0.3">
      <c r="A575" s="102" t="s">
        <v>264</v>
      </c>
      <c r="B575" s="223" t="s">
        <v>913</v>
      </c>
      <c r="C575" s="392" t="s">
        <v>1028</v>
      </c>
      <c r="D575" s="223" t="s">
        <v>34</v>
      </c>
      <c r="E575" s="223">
        <v>25</v>
      </c>
      <c r="F575" s="1350" t="s">
        <v>285</v>
      </c>
      <c r="G575" s="859">
        <v>23.9</v>
      </c>
      <c r="H575" s="393">
        <v>449423.80816849298</v>
      </c>
      <c r="I575" s="404" t="s">
        <v>267</v>
      </c>
      <c r="J575" s="393">
        <v>449423.80816849298</v>
      </c>
      <c r="K575" s="1373">
        <f>249059.97</f>
        <v>249059.97</v>
      </c>
      <c r="L575" s="1373">
        <f>249059.97</f>
        <v>249059.97</v>
      </c>
      <c r="M575" s="395" t="s">
        <v>84</v>
      </c>
      <c r="N575" s="395" t="s">
        <v>1029</v>
      </c>
      <c r="O575" s="395" t="s">
        <v>955</v>
      </c>
      <c r="P575" s="172" t="s">
        <v>40</v>
      </c>
      <c r="Q575" s="173"/>
      <c r="R575" s="172" t="s">
        <v>64</v>
      </c>
      <c r="S575" s="173"/>
      <c r="T575" s="172" t="s">
        <v>64</v>
      </c>
      <c r="U575" s="173"/>
      <c r="V575" s="172" t="s">
        <v>40</v>
      </c>
      <c r="W575" s="173"/>
      <c r="X575" s="172" t="s">
        <v>40</v>
      </c>
      <c r="Y575" s="173"/>
      <c r="Z575" s="172" t="s">
        <v>64</v>
      </c>
      <c r="AA575" s="173"/>
      <c r="AB575" s="172" t="s">
        <v>40</v>
      </c>
      <c r="AC575" s="173"/>
      <c r="AD575" s="173"/>
      <c r="AE575" s="1526">
        <v>46203</v>
      </c>
      <c r="AF575" s="396" t="s">
        <v>247</v>
      </c>
      <c r="AG575" s="397">
        <v>2023</v>
      </c>
      <c r="AH575" s="393">
        <v>2210670.77</v>
      </c>
      <c r="AI575" s="860" t="s">
        <v>1018</v>
      </c>
      <c r="AJ575" s="113"/>
      <c r="AK575" s="222" t="s">
        <v>43</v>
      </c>
      <c r="AL575" s="223" t="s">
        <v>41</v>
      </c>
      <c r="AM575" s="224">
        <v>0</v>
      </c>
      <c r="AN575" s="225" t="s">
        <v>40</v>
      </c>
      <c r="AO575" s="104"/>
      <c r="AP575" s="104"/>
      <c r="AQ575" s="104"/>
      <c r="AR575" s="104"/>
      <c r="AS575" s="104"/>
      <c r="AT575" s="358"/>
    </row>
    <row r="576" spans="1:46 16380:16384" s="102" customFormat="1" ht="28.8" x14ac:dyDescent="0.3">
      <c r="A576" s="102" t="s">
        <v>264</v>
      </c>
      <c r="B576" s="223" t="s">
        <v>913</v>
      </c>
      <c r="C576" s="392" t="s">
        <v>1030</v>
      </c>
      <c r="D576" s="223" t="s">
        <v>34</v>
      </c>
      <c r="E576" s="223">
        <v>25</v>
      </c>
      <c r="F576" s="1350" t="s">
        <v>285</v>
      </c>
      <c r="G576" s="403">
        <v>38.200000000000003</v>
      </c>
      <c r="H576" s="393">
        <v>705943.17835288378</v>
      </c>
      <c r="I576" s="404" t="s">
        <v>267</v>
      </c>
      <c r="J576" s="393">
        <v>705943.17835288378</v>
      </c>
      <c r="K576" s="1373">
        <f>383832.14</f>
        <v>383832.14</v>
      </c>
      <c r="L576" s="1373">
        <f>383832.14</f>
        <v>383832.14</v>
      </c>
      <c r="M576" s="395" t="s">
        <v>84</v>
      </c>
      <c r="N576" s="395" t="s">
        <v>1031</v>
      </c>
      <c r="O576" s="395" t="s">
        <v>955</v>
      </c>
      <c r="P576" s="172" t="s">
        <v>40</v>
      </c>
      <c r="Q576" s="173"/>
      <c r="R576" s="172" t="s">
        <v>64</v>
      </c>
      <c r="S576" s="173"/>
      <c r="T576" s="172" t="s">
        <v>64</v>
      </c>
      <c r="U576" s="173"/>
      <c r="V576" s="172" t="s">
        <v>40</v>
      </c>
      <c r="W576" s="173"/>
      <c r="X576" s="172" t="s">
        <v>40</v>
      </c>
      <c r="Y576" s="173"/>
      <c r="Z576" s="172" t="s">
        <v>64</v>
      </c>
      <c r="AA576" s="173"/>
      <c r="AB576" s="172" t="s">
        <v>40</v>
      </c>
      <c r="AC576" s="173"/>
      <c r="AD576" s="173"/>
      <c r="AE576" s="1526">
        <v>46203</v>
      </c>
      <c r="AF576" s="396" t="s">
        <v>247</v>
      </c>
      <c r="AG576" s="397">
        <v>2023</v>
      </c>
      <c r="AH576" s="393">
        <v>3472463.9</v>
      </c>
      <c r="AI576" s="860" t="s">
        <v>1018</v>
      </c>
      <c r="AJ576" s="113"/>
      <c r="AK576" s="222" t="s">
        <v>43</v>
      </c>
      <c r="AL576" s="223" t="s">
        <v>41</v>
      </c>
      <c r="AM576" s="224">
        <v>0</v>
      </c>
      <c r="AN576" s="225" t="s">
        <v>40</v>
      </c>
      <c r="AO576" s="104"/>
      <c r="AP576" s="104"/>
      <c r="AQ576" s="104"/>
      <c r="AR576" s="104"/>
      <c r="AS576" s="104"/>
      <c r="AT576" s="358"/>
    </row>
    <row r="577" spans="1:46 16363:16371" s="102" customFormat="1" ht="28.8" x14ac:dyDescent="0.3">
      <c r="A577" s="102" t="s">
        <v>264</v>
      </c>
      <c r="B577" s="223" t="s">
        <v>913</v>
      </c>
      <c r="C577" s="392" t="s">
        <v>1032</v>
      </c>
      <c r="D577" s="223" t="s">
        <v>34</v>
      </c>
      <c r="E577" s="223">
        <v>25</v>
      </c>
      <c r="F577" s="1350" t="s">
        <v>285</v>
      </c>
      <c r="G577" s="403">
        <v>52.6</v>
      </c>
      <c r="H577" s="393">
        <v>971583.30521051458</v>
      </c>
      <c r="I577" s="404" t="s">
        <v>267</v>
      </c>
      <c r="J577" s="393">
        <v>971583.30521051458</v>
      </c>
      <c r="K577" s="1373">
        <f>513559.13</f>
        <v>513559.13</v>
      </c>
      <c r="L577" s="1373">
        <f>513559.13</f>
        <v>513559.13</v>
      </c>
      <c r="M577" s="395" t="s">
        <v>84</v>
      </c>
      <c r="N577" s="395" t="s">
        <v>1031</v>
      </c>
      <c r="O577" s="395" t="s">
        <v>955</v>
      </c>
      <c r="P577" s="172" t="s">
        <v>40</v>
      </c>
      <c r="Q577" s="173"/>
      <c r="R577" s="172" t="s">
        <v>64</v>
      </c>
      <c r="S577" s="173"/>
      <c r="T577" s="172" t="s">
        <v>64</v>
      </c>
      <c r="U577" s="173"/>
      <c r="V577" s="172" t="s">
        <v>40</v>
      </c>
      <c r="W577" s="173"/>
      <c r="X577" s="172" t="s">
        <v>40</v>
      </c>
      <c r="Y577" s="173"/>
      <c r="Z577" s="172" t="s">
        <v>64</v>
      </c>
      <c r="AA577" s="173"/>
      <c r="AB577" s="172" t="s">
        <v>40</v>
      </c>
      <c r="AC577" s="173"/>
      <c r="AD577" s="173"/>
      <c r="AE577" s="1526">
        <v>46203</v>
      </c>
      <c r="AF577" s="396" t="s">
        <v>247</v>
      </c>
      <c r="AG577" s="397">
        <v>2023</v>
      </c>
      <c r="AH577" s="393">
        <v>4779121.12</v>
      </c>
      <c r="AI577" s="860" t="s">
        <v>1018</v>
      </c>
      <c r="AJ577" s="113"/>
      <c r="AK577" s="222" t="s">
        <v>43</v>
      </c>
      <c r="AL577" s="223" t="s">
        <v>41</v>
      </c>
      <c r="AM577" s="224">
        <v>0</v>
      </c>
      <c r="AN577" s="225" t="s">
        <v>40</v>
      </c>
      <c r="AO577" s="104"/>
      <c r="AP577" s="104"/>
      <c r="AQ577" s="104"/>
      <c r="AR577" s="104"/>
      <c r="AS577" s="104"/>
      <c r="AT577" s="358"/>
    </row>
    <row r="578" spans="1:46 16363:16371" s="102" customFormat="1" ht="28.8" x14ac:dyDescent="0.3">
      <c r="A578" s="102" t="s">
        <v>264</v>
      </c>
      <c r="B578" s="223" t="s">
        <v>913</v>
      </c>
      <c r="C578" s="392" t="s">
        <v>1033</v>
      </c>
      <c r="D578" s="223" t="s">
        <v>34</v>
      </c>
      <c r="E578" s="223">
        <v>25</v>
      </c>
      <c r="F578" s="1350" t="s">
        <v>285</v>
      </c>
      <c r="G578" s="403">
        <v>37.200000000000003</v>
      </c>
      <c r="H578" s="393">
        <v>696708.06277826347</v>
      </c>
      <c r="I578" s="404" t="s">
        <v>267</v>
      </c>
      <c r="J578" s="393">
        <v>696708.06277826347</v>
      </c>
      <c r="K578" s="1373">
        <f>385005.53</f>
        <v>385005.53</v>
      </c>
      <c r="L578" s="1373">
        <f>385005.53</f>
        <v>385005.53</v>
      </c>
      <c r="M578" s="395" t="s">
        <v>84</v>
      </c>
      <c r="N578" s="395" t="s">
        <v>1031</v>
      </c>
      <c r="O578" s="395" t="s">
        <v>955</v>
      </c>
      <c r="P578" s="172" t="s">
        <v>40</v>
      </c>
      <c r="Q578" s="173"/>
      <c r="R578" s="172" t="s">
        <v>64</v>
      </c>
      <c r="S578" s="173"/>
      <c r="T578" s="172" t="s">
        <v>64</v>
      </c>
      <c r="U578" s="173"/>
      <c r="V578" s="172" t="s">
        <v>40</v>
      </c>
      <c r="W578" s="173"/>
      <c r="X578" s="172" t="s">
        <v>40</v>
      </c>
      <c r="Y578" s="173"/>
      <c r="Z578" s="172" t="s">
        <v>64</v>
      </c>
      <c r="AA578" s="173"/>
      <c r="AB578" s="172" t="s">
        <v>40</v>
      </c>
      <c r="AC578" s="173"/>
      <c r="AD578" s="173"/>
      <c r="AE578" s="1526">
        <v>46203</v>
      </c>
      <c r="AF578" s="396" t="s">
        <v>247</v>
      </c>
      <c r="AG578" s="397">
        <v>2023</v>
      </c>
      <c r="AH578" s="393">
        <v>3427037.29</v>
      </c>
      <c r="AI578" s="860" t="s">
        <v>1018</v>
      </c>
      <c r="AJ578" s="113"/>
      <c r="AK578" s="222" t="s">
        <v>43</v>
      </c>
      <c r="AL578" s="223" t="s">
        <v>41</v>
      </c>
      <c r="AM578" s="224">
        <v>0</v>
      </c>
      <c r="AN578" s="225" t="s">
        <v>40</v>
      </c>
      <c r="AO578" s="104"/>
      <c r="AP578" s="104"/>
      <c r="AQ578" s="104"/>
      <c r="AR578" s="104"/>
      <c r="AS578" s="104"/>
      <c r="AT578" s="358"/>
    </row>
    <row r="579" spans="1:46 16363:16371" s="102" customFormat="1" ht="28.8" x14ac:dyDescent="0.3">
      <c r="A579" s="102" t="s">
        <v>264</v>
      </c>
      <c r="B579" s="223" t="s">
        <v>913</v>
      </c>
      <c r="C579" s="392" t="s">
        <v>1034</v>
      </c>
      <c r="D579" s="223" t="s">
        <v>34</v>
      </c>
      <c r="E579" s="223">
        <v>25</v>
      </c>
      <c r="F579" s="1350" t="s">
        <v>285</v>
      </c>
      <c r="G579" s="403">
        <v>34.9</v>
      </c>
      <c r="H579" s="393">
        <v>646634.31864847825</v>
      </c>
      <c r="I579" s="404" t="s">
        <v>267</v>
      </c>
      <c r="J579" s="393">
        <v>646634.31864847825</v>
      </c>
      <c r="K579" s="1567">
        <v>0</v>
      </c>
      <c r="L579" s="1567">
        <v>0</v>
      </c>
      <c r="M579" s="395" t="s">
        <v>84</v>
      </c>
      <c r="N579" s="395" t="s">
        <v>1031</v>
      </c>
      <c r="O579" s="395" t="s">
        <v>955</v>
      </c>
      <c r="P579" s="172" t="s">
        <v>40</v>
      </c>
      <c r="Q579" s="173"/>
      <c r="R579" s="172" t="s">
        <v>64</v>
      </c>
      <c r="S579" s="173"/>
      <c r="T579" s="172" t="s">
        <v>64</v>
      </c>
      <c r="U579" s="173"/>
      <c r="V579" s="172" t="s">
        <v>40</v>
      </c>
      <c r="W579" s="173"/>
      <c r="X579" s="172" t="s">
        <v>40</v>
      </c>
      <c r="Y579" s="173"/>
      <c r="Z579" s="172" t="s">
        <v>64</v>
      </c>
      <c r="AA579" s="173"/>
      <c r="AB579" s="172" t="s">
        <v>40</v>
      </c>
      <c r="AC579" s="173"/>
      <c r="AD579" s="173"/>
      <c r="AE579" s="1526">
        <v>46203</v>
      </c>
      <c r="AF579" s="396" t="s">
        <v>247</v>
      </c>
      <c r="AG579" s="397">
        <v>2023</v>
      </c>
      <c r="AH579" s="393">
        <v>3180729.55</v>
      </c>
      <c r="AI579" s="860" t="s">
        <v>1018</v>
      </c>
      <c r="AJ579" s="113"/>
      <c r="AK579" s="222" t="s">
        <v>43</v>
      </c>
      <c r="AL579" s="223" t="s">
        <v>41</v>
      </c>
      <c r="AM579" s="224">
        <v>0</v>
      </c>
      <c r="AN579" s="225" t="s">
        <v>40</v>
      </c>
      <c r="AO579" s="104"/>
      <c r="AP579" s="104"/>
      <c r="AQ579" s="104"/>
      <c r="AR579" s="104"/>
      <c r="AS579" s="104"/>
      <c r="AT579" s="358"/>
    </row>
    <row r="580" spans="1:46 16363:16371" s="100" customFormat="1" ht="28.8" x14ac:dyDescent="0.3">
      <c r="A580" s="100" t="s">
        <v>264</v>
      </c>
      <c r="B580" s="400" t="s">
        <v>913</v>
      </c>
      <c r="C580" s="861" t="s">
        <v>1035</v>
      </c>
      <c r="D580" s="223" t="s">
        <v>34</v>
      </c>
      <c r="E580" s="223">
        <v>25</v>
      </c>
      <c r="F580" s="1350" t="s">
        <v>285</v>
      </c>
      <c r="G580" s="862">
        <v>55.3</v>
      </c>
      <c r="H580" s="863">
        <v>1017009.3028929231</v>
      </c>
      <c r="I580" s="864" t="s">
        <v>267</v>
      </c>
      <c r="J580" s="863">
        <v>1017009.3028929231</v>
      </c>
      <c r="K580" s="1567">
        <v>0</v>
      </c>
      <c r="L580" s="1567">
        <v>0</v>
      </c>
      <c r="M580" s="865" t="s">
        <v>84</v>
      </c>
      <c r="N580" s="865" t="s">
        <v>1031</v>
      </c>
      <c r="O580" s="865" t="s">
        <v>955</v>
      </c>
      <c r="P580" s="172" t="s">
        <v>40</v>
      </c>
      <c r="Q580" s="173"/>
      <c r="R580" s="172" t="s">
        <v>64</v>
      </c>
      <c r="S580" s="173"/>
      <c r="T580" s="172" t="s">
        <v>64</v>
      </c>
      <c r="U580" s="173"/>
      <c r="V580" s="172" t="s">
        <v>40</v>
      </c>
      <c r="W580" s="173"/>
      <c r="X580" s="172" t="s">
        <v>40</v>
      </c>
      <c r="Y580" s="173"/>
      <c r="Z580" s="172" t="s">
        <v>64</v>
      </c>
      <c r="AA580" s="173"/>
      <c r="AB580" s="172" t="s">
        <v>40</v>
      </c>
      <c r="AC580" s="173"/>
      <c r="AD580" s="173"/>
      <c r="AE580" s="1526">
        <v>46203</v>
      </c>
      <c r="AF580" s="396" t="s">
        <v>247</v>
      </c>
      <c r="AG580" s="397">
        <v>2023</v>
      </c>
      <c r="AH580" s="863">
        <v>5002567.0599999996</v>
      </c>
      <c r="AI580" s="866" t="s">
        <v>1018</v>
      </c>
      <c r="AJ580" s="123"/>
      <c r="AK580" s="399" t="s">
        <v>43</v>
      </c>
      <c r="AL580" s="400" t="s">
        <v>41</v>
      </c>
      <c r="AM580" s="401">
        <v>0</v>
      </c>
      <c r="AN580" s="402" t="s">
        <v>40</v>
      </c>
      <c r="AO580" s="104"/>
      <c r="AP580" s="104"/>
      <c r="AQ580" s="104"/>
      <c r="AR580" s="104"/>
      <c r="AS580" s="104"/>
      <c r="AT580" s="634"/>
    </row>
    <row r="581" spans="1:46 16363:16371" s="243" customFormat="1" ht="28.95" customHeight="1" x14ac:dyDescent="0.3">
      <c r="A581" s="243" t="s">
        <v>264</v>
      </c>
      <c r="B581" s="391" t="s">
        <v>913</v>
      </c>
      <c r="C581" s="392" t="s">
        <v>1036</v>
      </c>
      <c r="D581" s="223" t="s">
        <v>34</v>
      </c>
      <c r="E581" s="223">
        <v>25</v>
      </c>
      <c r="F581" s="1350" t="s">
        <v>285</v>
      </c>
      <c r="G581" s="393">
        <v>55.1</v>
      </c>
      <c r="H581" s="393">
        <v>1054948.6429892862</v>
      </c>
      <c r="I581" s="394" t="s">
        <v>267</v>
      </c>
      <c r="J581" s="393">
        <v>1054948.6429892862</v>
      </c>
      <c r="K581" s="1567">
        <v>0</v>
      </c>
      <c r="L581" s="1567">
        <v>0</v>
      </c>
      <c r="M581" s="395" t="s">
        <v>84</v>
      </c>
      <c r="N581" s="395" t="s">
        <v>1031</v>
      </c>
      <c r="O581" s="395" t="s">
        <v>955</v>
      </c>
      <c r="P581" s="172" t="s">
        <v>40</v>
      </c>
      <c r="Q581" s="173"/>
      <c r="R581" s="172" t="s">
        <v>64</v>
      </c>
      <c r="S581" s="173"/>
      <c r="T581" s="172" t="s">
        <v>64</v>
      </c>
      <c r="U581" s="173"/>
      <c r="V581" s="172" t="s">
        <v>40</v>
      </c>
      <c r="W581" s="173"/>
      <c r="X581" s="172" t="s">
        <v>40</v>
      </c>
      <c r="Y581" s="173"/>
      <c r="Z581" s="172" t="s">
        <v>64</v>
      </c>
      <c r="AA581" s="173"/>
      <c r="AB581" s="172" t="s">
        <v>40</v>
      </c>
      <c r="AC581" s="173"/>
      <c r="AD581" s="173"/>
      <c r="AE581" s="1526">
        <v>46203</v>
      </c>
      <c r="AF581" s="396" t="s">
        <v>247</v>
      </c>
      <c r="AG581" s="397">
        <v>2023</v>
      </c>
      <c r="AH581" s="393">
        <v>5189186.88</v>
      </c>
      <c r="AI581" s="398" t="s">
        <v>1018</v>
      </c>
      <c r="AJ581" s="123"/>
      <c r="AK581" s="399" t="s">
        <v>43</v>
      </c>
      <c r="AL581" s="400" t="s">
        <v>41</v>
      </c>
      <c r="AM581" s="401">
        <v>0</v>
      </c>
      <c r="AN581" s="402" t="s">
        <v>40</v>
      </c>
      <c r="XEI581" s="391"/>
      <c r="XEJ581" s="392"/>
      <c r="XEK581" s="403"/>
      <c r="XEL581" s="393"/>
      <c r="XEM581" s="404"/>
      <c r="XEN581" s="393"/>
      <c r="XEO581" s="395"/>
      <c r="XEP581" s="395"/>
      <c r="XEQ581" s="395"/>
    </row>
    <row r="582" spans="1:46 16363:16371" s="243" customFormat="1" ht="28.95" customHeight="1" x14ac:dyDescent="0.3">
      <c r="A582" s="243" t="s">
        <v>264</v>
      </c>
      <c r="B582" s="391" t="s">
        <v>913</v>
      </c>
      <c r="C582" s="392" t="s">
        <v>1037</v>
      </c>
      <c r="D582" s="223" t="s">
        <v>34</v>
      </c>
      <c r="E582" s="223">
        <v>25</v>
      </c>
      <c r="F582" s="1350" t="s">
        <v>285</v>
      </c>
      <c r="G582" s="403">
        <v>52</v>
      </c>
      <c r="H582" s="393">
        <v>994596.59476712288</v>
      </c>
      <c r="I582" s="404" t="s">
        <v>267</v>
      </c>
      <c r="J582" s="393">
        <v>994596.59476712288</v>
      </c>
      <c r="K582" s="1567">
        <v>0</v>
      </c>
      <c r="L582" s="1567">
        <v>0</v>
      </c>
      <c r="M582" s="395" t="s">
        <v>84</v>
      </c>
      <c r="N582" s="395" t="s">
        <v>1031</v>
      </c>
      <c r="O582" s="392" t="s">
        <v>955</v>
      </c>
      <c r="P582" s="172" t="s">
        <v>40</v>
      </c>
      <c r="Q582" s="173"/>
      <c r="R582" s="172" t="s">
        <v>64</v>
      </c>
      <c r="S582" s="173"/>
      <c r="T582" s="172" t="s">
        <v>64</v>
      </c>
      <c r="U582" s="173"/>
      <c r="V582" s="172" t="s">
        <v>40</v>
      </c>
      <c r="W582" s="173"/>
      <c r="X582" s="172" t="s">
        <v>40</v>
      </c>
      <c r="Y582" s="173"/>
      <c r="Z582" s="172" t="s">
        <v>64</v>
      </c>
      <c r="AA582" s="173"/>
      <c r="AB582" s="172" t="s">
        <v>40</v>
      </c>
      <c r="AC582" s="173"/>
      <c r="AD582" s="173"/>
      <c r="AE582" s="1526">
        <v>46203</v>
      </c>
      <c r="AF582" s="396" t="s">
        <v>247</v>
      </c>
      <c r="AG582" s="397">
        <v>2023</v>
      </c>
      <c r="AH582" s="393">
        <v>4892321.1900000004</v>
      </c>
      <c r="AI582" s="405" t="s">
        <v>1018</v>
      </c>
      <c r="AJ582" s="123"/>
      <c r="AK582" s="399" t="s">
        <v>43</v>
      </c>
      <c r="AL582" s="400" t="s">
        <v>41</v>
      </c>
      <c r="AM582" s="401">
        <v>0</v>
      </c>
      <c r="AN582" s="402" t="s">
        <v>40</v>
      </c>
    </row>
    <row r="583" spans="1:46 16363:16371" s="307" customFormat="1" ht="28.95" customHeight="1" x14ac:dyDescent="0.3">
      <c r="A583" s="243" t="s">
        <v>264</v>
      </c>
      <c r="B583" s="391" t="s">
        <v>913</v>
      </c>
      <c r="C583" s="392" t="s">
        <v>1038</v>
      </c>
      <c r="D583" s="223" t="s">
        <v>34</v>
      </c>
      <c r="E583" s="223">
        <v>25</v>
      </c>
      <c r="F583" s="1350" t="s">
        <v>285</v>
      </c>
      <c r="G583" s="403">
        <v>41.4</v>
      </c>
      <c r="H583" s="393">
        <v>792314.18609851797</v>
      </c>
      <c r="I583" s="404" t="s">
        <v>267</v>
      </c>
      <c r="J583" s="393">
        <v>792314.18609851797</v>
      </c>
      <c r="K583" s="1567">
        <v>0</v>
      </c>
      <c r="L583" s="1567">
        <v>0</v>
      </c>
      <c r="M583" s="395" t="s">
        <v>84</v>
      </c>
      <c r="N583" s="395" t="s">
        <v>1031</v>
      </c>
      <c r="O583" s="392" t="s">
        <v>955</v>
      </c>
      <c r="P583" s="172" t="s">
        <v>40</v>
      </c>
      <c r="Q583" s="173"/>
      <c r="R583" s="172" t="s">
        <v>64</v>
      </c>
      <c r="S583" s="173"/>
      <c r="T583" s="172" t="s">
        <v>64</v>
      </c>
      <c r="U583" s="173"/>
      <c r="V583" s="172" t="s">
        <v>40</v>
      </c>
      <c r="W583" s="173"/>
      <c r="X583" s="172" t="s">
        <v>40</v>
      </c>
      <c r="Y583" s="173"/>
      <c r="Z583" s="172" t="s">
        <v>64</v>
      </c>
      <c r="AA583" s="173"/>
      <c r="AB583" s="172" t="s">
        <v>40</v>
      </c>
      <c r="AC583" s="173"/>
      <c r="AD583" s="173"/>
      <c r="AE583" s="1526">
        <v>46203</v>
      </c>
      <c r="AF583" s="396" t="s">
        <v>247</v>
      </c>
      <c r="AG583" s="397">
        <v>2023</v>
      </c>
      <c r="AH583" s="393">
        <v>3897314.25</v>
      </c>
      <c r="AI583" s="405" t="s">
        <v>1018</v>
      </c>
      <c r="AJ583" s="123"/>
      <c r="AK583" s="399" t="s">
        <v>43</v>
      </c>
      <c r="AL583" s="400" t="s">
        <v>41</v>
      </c>
      <c r="AM583" s="401">
        <v>0</v>
      </c>
      <c r="AN583" s="402" t="s">
        <v>40</v>
      </c>
      <c r="AO583" s="104"/>
      <c r="AP583" s="104"/>
      <c r="AQ583" s="104"/>
      <c r="AR583" s="104"/>
      <c r="AS583" s="104"/>
      <c r="AT583" s="306"/>
    </row>
    <row r="584" spans="1:46 16363:16371" s="102" customFormat="1" ht="28.95" customHeight="1" x14ac:dyDescent="0.3">
      <c r="A584" s="243" t="s">
        <v>264</v>
      </c>
      <c r="B584" s="391" t="s">
        <v>913</v>
      </c>
      <c r="C584" s="392" t="s">
        <v>1039</v>
      </c>
      <c r="D584" s="223" t="s">
        <v>34</v>
      </c>
      <c r="E584" s="223">
        <v>25</v>
      </c>
      <c r="F584" s="1350" t="s">
        <v>285</v>
      </c>
      <c r="G584" s="403">
        <v>49.6</v>
      </c>
      <c r="H584" s="393">
        <v>949457.03917542554</v>
      </c>
      <c r="I584" s="404" t="s">
        <v>267</v>
      </c>
      <c r="J584" s="393">
        <v>949457.03917542554</v>
      </c>
      <c r="K584" s="1567">
        <v>0</v>
      </c>
      <c r="L584" s="1567">
        <v>0</v>
      </c>
      <c r="M584" s="395" t="s">
        <v>84</v>
      </c>
      <c r="N584" s="395" t="s">
        <v>1031</v>
      </c>
      <c r="O584" s="392" t="s">
        <v>955</v>
      </c>
      <c r="P584" s="172" t="s">
        <v>40</v>
      </c>
      <c r="Q584" s="173"/>
      <c r="R584" s="172" t="s">
        <v>64</v>
      </c>
      <c r="S584" s="173"/>
      <c r="T584" s="172" t="s">
        <v>64</v>
      </c>
      <c r="U584" s="173"/>
      <c r="V584" s="172" t="s">
        <v>40</v>
      </c>
      <c r="W584" s="173"/>
      <c r="X584" s="172" t="s">
        <v>40</v>
      </c>
      <c r="Y584" s="173"/>
      <c r="Z584" s="172" t="s">
        <v>64</v>
      </c>
      <c r="AA584" s="173"/>
      <c r="AB584" s="172" t="s">
        <v>40</v>
      </c>
      <c r="AC584" s="173"/>
      <c r="AD584" s="173"/>
      <c r="AE584" s="1526">
        <v>46203</v>
      </c>
      <c r="AF584" s="396" t="s">
        <v>247</v>
      </c>
      <c r="AG584" s="397">
        <v>2023</v>
      </c>
      <c r="AH584" s="393">
        <v>4670284.2300000004</v>
      </c>
      <c r="AI584" s="405" t="s">
        <v>1018</v>
      </c>
      <c r="AJ584" s="123"/>
      <c r="AK584" s="399" t="s">
        <v>43</v>
      </c>
      <c r="AL584" s="400" t="s">
        <v>41</v>
      </c>
      <c r="AM584" s="401">
        <v>0</v>
      </c>
      <c r="AN584" s="402" t="s">
        <v>40</v>
      </c>
      <c r="AO584" s="104"/>
      <c r="AP584" s="104"/>
      <c r="AQ584" s="104"/>
      <c r="AR584" s="104"/>
      <c r="AS584" s="104"/>
      <c r="AT584" s="358"/>
    </row>
    <row r="585" spans="1:46 16363:16371" s="102" customFormat="1" ht="28.95" customHeight="1" x14ac:dyDescent="0.3">
      <c r="A585" s="243" t="s">
        <v>264</v>
      </c>
      <c r="B585" s="391" t="s">
        <v>913</v>
      </c>
      <c r="C585" s="392" t="s">
        <v>1040</v>
      </c>
      <c r="D585" s="223" t="s">
        <v>34</v>
      </c>
      <c r="E585" s="223">
        <v>25</v>
      </c>
      <c r="F585" s="1350" t="s">
        <v>285</v>
      </c>
      <c r="G585" s="403">
        <v>40.4</v>
      </c>
      <c r="H585" s="393">
        <v>817793.85228404729</v>
      </c>
      <c r="I585" s="404" t="s">
        <v>267</v>
      </c>
      <c r="J585" s="393">
        <v>817793.85228404729</v>
      </c>
      <c r="K585" s="1373">
        <f>460683.57</f>
        <v>460683.57</v>
      </c>
      <c r="L585" s="1373">
        <f>460683.57</f>
        <v>460683.57</v>
      </c>
      <c r="M585" s="395" t="s">
        <v>84</v>
      </c>
      <c r="N585" s="395" t="s">
        <v>1031</v>
      </c>
      <c r="O585" s="392" t="s">
        <v>955</v>
      </c>
      <c r="P585" s="172" t="s">
        <v>40</v>
      </c>
      <c r="Q585" s="173"/>
      <c r="R585" s="172" t="s">
        <v>64</v>
      </c>
      <c r="S585" s="173"/>
      <c r="T585" s="172" t="s">
        <v>64</v>
      </c>
      <c r="U585" s="173"/>
      <c r="V585" s="172" t="s">
        <v>40</v>
      </c>
      <c r="W585" s="173"/>
      <c r="X585" s="172" t="s">
        <v>40</v>
      </c>
      <c r="Y585" s="173"/>
      <c r="Z585" s="172" t="s">
        <v>64</v>
      </c>
      <c r="AA585" s="173"/>
      <c r="AB585" s="172" t="s">
        <v>40</v>
      </c>
      <c r="AC585" s="173"/>
      <c r="AD585" s="173"/>
      <c r="AE585" s="1526">
        <v>46203</v>
      </c>
      <c r="AF585" s="396" t="s">
        <v>247</v>
      </c>
      <c r="AG585" s="397">
        <v>2023</v>
      </c>
      <c r="AH585" s="393">
        <v>4022646.18</v>
      </c>
      <c r="AI585" s="405" t="s">
        <v>1018</v>
      </c>
      <c r="AJ585" s="123"/>
      <c r="AK585" s="399" t="s">
        <v>43</v>
      </c>
      <c r="AL585" s="400" t="s">
        <v>41</v>
      </c>
      <c r="AM585" s="401">
        <v>0</v>
      </c>
      <c r="AN585" s="402" t="s">
        <v>40</v>
      </c>
      <c r="AO585" s="104"/>
      <c r="AP585" s="104"/>
      <c r="AQ585" s="104"/>
      <c r="AR585" s="104"/>
      <c r="AS585" s="104"/>
      <c r="AT585" s="358"/>
    </row>
    <row r="586" spans="1:46 16363:16371" s="102" customFormat="1" ht="28.95" customHeight="1" x14ac:dyDescent="0.3">
      <c r="A586" s="243" t="s">
        <v>264</v>
      </c>
      <c r="B586" s="391" t="s">
        <v>913</v>
      </c>
      <c r="C586" s="392" t="s">
        <v>1041</v>
      </c>
      <c r="D586" s="223" t="s">
        <v>34</v>
      </c>
      <c r="E586" s="223">
        <v>25</v>
      </c>
      <c r="F586" s="1350" t="s">
        <v>285</v>
      </c>
      <c r="G586" s="403">
        <v>50.5</v>
      </c>
      <c r="H586" s="393">
        <v>1021965.2462949033</v>
      </c>
      <c r="I586" s="404" t="s">
        <v>267</v>
      </c>
      <c r="J586" s="393">
        <v>1021965.2462949033</v>
      </c>
      <c r="K586" s="1567">
        <v>0</v>
      </c>
      <c r="L586" s="1567">
        <v>0</v>
      </c>
      <c r="M586" s="395" t="s">
        <v>84</v>
      </c>
      <c r="N586" s="395" t="s">
        <v>1031</v>
      </c>
      <c r="O586" s="392" t="s">
        <v>955</v>
      </c>
      <c r="P586" s="172" t="s">
        <v>40</v>
      </c>
      <c r="Q586" s="173"/>
      <c r="R586" s="172" t="s">
        <v>64</v>
      </c>
      <c r="S586" s="173"/>
      <c r="T586" s="172" t="s">
        <v>64</v>
      </c>
      <c r="U586" s="173"/>
      <c r="V586" s="172" t="s">
        <v>40</v>
      </c>
      <c r="W586" s="173"/>
      <c r="X586" s="172" t="s">
        <v>40</v>
      </c>
      <c r="Y586" s="173"/>
      <c r="Z586" s="172" t="s">
        <v>64</v>
      </c>
      <c r="AA586" s="173"/>
      <c r="AB586" s="172" t="s">
        <v>40</v>
      </c>
      <c r="AC586" s="173"/>
      <c r="AD586" s="173"/>
      <c r="AE586" s="1526">
        <v>46203</v>
      </c>
      <c r="AF586" s="396" t="s">
        <v>247</v>
      </c>
      <c r="AG586" s="397">
        <v>2023</v>
      </c>
      <c r="AH586" s="393">
        <v>5026944.8499999996</v>
      </c>
      <c r="AI586" s="405" t="s">
        <v>1018</v>
      </c>
      <c r="AJ586" s="123"/>
      <c r="AK586" s="399" t="s">
        <v>43</v>
      </c>
      <c r="AL586" s="400" t="s">
        <v>41</v>
      </c>
      <c r="AM586" s="401">
        <v>0</v>
      </c>
      <c r="AN586" s="402" t="s">
        <v>40</v>
      </c>
      <c r="AO586" s="104"/>
      <c r="AP586" s="104"/>
      <c r="AQ586" s="104"/>
      <c r="AR586" s="104"/>
      <c r="AS586" s="104"/>
      <c r="AT586" s="358"/>
    </row>
    <row r="587" spans="1:46 16363:16371" s="102" customFormat="1" ht="28.95" customHeight="1" x14ac:dyDescent="0.3">
      <c r="A587" s="243" t="s">
        <v>264</v>
      </c>
      <c r="B587" s="391" t="s">
        <v>913</v>
      </c>
      <c r="C587" s="392" t="s">
        <v>1042</v>
      </c>
      <c r="D587" s="223" t="s">
        <v>34</v>
      </c>
      <c r="E587" s="223">
        <v>25</v>
      </c>
      <c r="F587" s="1350" t="s">
        <v>285</v>
      </c>
      <c r="G587" s="403">
        <v>61.2</v>
      </c>
      <c r="H587" s="393">
        <v>1213459.7836914759</v>
      </c>
      <c r="I587" s="404" t="s">
        <v>267</v>
      </c>
      <c r="J587" s="393">
        <v>1213459.7836914759</v>
      </c>
      <c r="K587" s="1567">
        <v>0</v>
      </c>
      <c r="L587" s="1567">
        <v>0</v>
      </c>
      <c r="M587" s="395" t="s">
        <v>84</v>
      </c>
      <c r="N587" s="395" t="s">
        <v>1031</v>
      </c>
      <c r="O587" s="392" t="s">
        <v>955</v>
      </c>
      <c r="P587" s="172" t="s">
        <v>40</v>
      </c>
      <c r="Q587" s="173"/>
      <c r="R587" s="172" t="s">
        <v>64</v>
      </c>
      <c r="S587" s="173"/>
      <c r="T587" s="172" t="s">
        <v>64</v>
      </c>
      <c r="U587" s="173"/>
      <c r="V587" s="172" t="s">
        <v>40</v>
      </c>
      <c r="W587" s="173"/>
      <c r="X587" s="172" t="s">
        <v>40</v>
      </c>
      <c r="Y587" s="173"/>
      <c r="Z587" s="172" t="s">
        <v>64</v>
      </c>
      <c r="AA587" s="173"/>
      <c r="AB587" s="172" t="s">
        <v>40</v>
      </c>
      <c r="AC587" s="173"/>
      <c r="AD587" s="173"/>
      <c r="AE587" s="1526">
        <v>46203</v>
      </c>
      <c r="AF587" s="396" t="s">
        <v>247</v>
      </c>
      <c r="AG587" s="397">
        <v>2023</v>
      </c>
      <c r="AH587" s="393">
        <v>5968887.3300000001</v>
      </c>
      <c r="AI587" s="405" t="s">
        <v>1018</v>
      </c>
      <c r="AJ587" s="123"/>
      <c r="AK587" s="399" t="s">
        <v>43</v>
      </c>
      <c r="AL587" s="400" t="s">
        <v>41</v>
      </c>
      <c r="AM587" s="401">
        <v>0</v>
      </c>
      <c r="AN587" s="402" t="s">
        <v>40</v>
      </c>
      <c r="AO587" s="104"/>
      <c r="AP587" s="104"/>
      <c r="AQ587" s="104"/>
      <c r="AR587" s="104"/>
      <c r="AS587" s="104"/>
      <c r="AT587" s="358"/>
    </row>
    <row r="588" spans="1:46 16363:16371" s="102" customFormat="1" ht="28.95" customHeight="1" x14ac:dyDescent="0.3">
      <c r="A588" s="243" t="s">
        <v>264</v>
      </c>
      <c r="B588" s="391" t="s">
        <v>913</v>
      </c>
      <c r="C588" s="392" t="s">
        <v>1043</v>
      </c>
      <c r="D588" s="223" t="s">
        <v>34</v>
      </c>
      <c r="E588" s="223">
        <v>25</v>
      </c>
      <c r="F588" s="1350" t="s">
        <v>285</v>
      </c>
      <c r="G588" s="403">
        <v>56.7</v>
      </c>
      <c r="H588" s="393">
        <v>1048206.1741446258</v>
      </c>
      <c r="I588" s="404" t="s">
        <v>267</v>
      </c>
      <c r="J588" s="393">
        <v>1048206.1741446258</v>
      </c>
      <c r="K588" s="1373">
        <f>570202.78</f>
        <v>570202.78</v>
      </c>
      <c r="L588" s="1373">
        <f>570202.78</f>
        <v>570202.78</v>
      </c>
      <c r="M588" s="395" t="s">
        <v>84</v>
      </c>
      <c r="N588" s="395" t="s">
        <v>1031</v>
      </c>
      <c r="O588" s="392" t="s">
        <v>955</v>
      </c>
      <c r="P588" s="172" t="s">
        <v>40</v>
      </c>
      <c r="Q588" s="173"/>
      <c r="R588" s="172" t="s">
        <v>64</v>
      </c>
      <c r="S588" s="173"/>
      <c r="T588" s="172" t="s">
        <v>64</v>
      </c>
      <c r="U588" s="173"/>
      <c r="V588" s="172" t="s">
        <v>40</v>
      </c>
      <c r="W588" s="173"/>
      <c r="X588" s="172" t="s">
        <v>40</v>
      </c>
      <c r="Y588" s="173"/>
      <c r="Z588" s="172" t="s">
        <v>64</v>
      </c>
      <c r="AA588" s="173"/>
      <c r="AB588" s="172" t="s">
        <v>40</v>
      </c>
      <c r="AC588" s="173"/>
      <c r="AD588" s="173"/>
      <c r="AE588" s="1526">
        <v>46203</v>
      </c>
      <c r="AF588" s="396" t="s">
        <v>247</v>
      </c>
      <c r="AG588" s="397">
        <v>2023</v>
      </c>
      <c r="AH588" s="393">
        <v>5156021.3499999996</v>
      </c>
      <c r="AI588" s="405" t="s">
        <v>1018</v>
      </c>
      <c r="AJ588" s="123"/>
      <c r="AK588" s="399" t="s">
        <v>43</v>
      </c>
      <c r="AL588" s="400" t="s">
        <v>41</v>
      </c>
      <c r="AM588" s="401">
        <v>0</v>
      </c>
      <c r="AN588" s="402" t="s">
        <v>40</v>
      </c>
      <c r="AO588" s="104"/>
      <c r="AP588" s="104"/>
      <c r="AQ588" s="104"/>
      <c r="AR588" s="104"/>
      <c r="AS588" s="104"/>
      <c r="AT588" s="358"/>
    </row>
    <row r="589" spans="1:46 16363:16371" s="1381" customFormat="1" ht="28.95" customHeight="1" x14ac:dyDescent="0.3">
      <c r="A589" s="1358" t="s">
        <v>264</v>
      </c>
      <c r="B589" s="1359" t="s">
        <v>913</v>
      </c>
      <c r="C589" s="1586" t="s">
        <v>3885</v>
      </c>
      <c r="D589" s="1370" t="s">
        <v>34</v>
      </c>
      <c r="E589" s="1370">
        <v>25</v>
      </c>
      <c r="F589" s="1371" t="s">
        <v>285</v>
      </c>
      <c r="G589" s="1587">
        <v>12.5</v>
      </c>
      <c r="H589" s="1588">
        <v>288312.87889568805</v>
      </c>
      <c r="I589" s="1365" t="s">
        <v>267</v>
      </c>
      <c r="J589" s="1588">
        <v>288312.87889568805</v>
      </c>
      <c r="K589" s="1373">
        <v>0</v>
      </c>
      <c r="L589" s="1373">
        <v>0</v>
      </c>
      <c r="M589" s="1589" t="s">
        <v>80</v>
      </c>
      <c r="N589" s="1589" t="s">
        <v>3886</v>
      </c>
      <c r="O589" s="1582" t="s">
        <v>1280</v>
      </c>
      <c r="P589" s="1377" t="s">
        <v>40</v>
      </c>
      <c r="Q589" s="1378"/>
      <c r="R589" s="1377" t="s">
        <v>64</v>
      </c>
      <c r="S589" s="1378"/>
      <c r="T589" s="1377" t="s">
        <v>64</v>
      </c>
      <c r="U589" s="1378"/>
      <c r="V589" s="1377" t="s">
        <v>40</v>
      </c>
      <c r="W589" s="1378"/>
      <c r="X589" s="1377" t="s">
        <v>40</v>
      </c>
      <c r="Y589" s="1378"/>
      <c r="Z589" s="1377" t="s">
        <v>64</v>
      </c>
      <c r="AA589" s="1378"/>
      <c r="AB589" s="1377" t="s">
        <v>40</v>
      </c>
      <c r="AC589" s="1378"/>
      <c r="AD589" s="1378"/>
      <c r="AE589" s="1533">
        <v>46203</v>
      </c>
      <c r="AF589" s="1379" t="s">
        <v>247</v>
      </c>
      <c r="AG589" s="1380">
        <v>2023</v>
      </c>
      <c r="AH589" s="1588">
        <v>1418182.22</v>
      </c>
      <c r="AI589" s="1590" t="s">
        <v>3887</v>
      </c>
      <c r="AJ589" s="1591"/>
      <c r="AK589" s="1382" t="s">
        <v>43</v>
      </c>
      <c r="AL589" s="1383" t="s">
        <v>41</v>
      </c>
      <c r="AM589" s="1384">
        <v>0</v>
      </c>
      <c r="AN589" s="1385" t="s">
        <v>40</v>
      </c>
      <c r="AO589" s="1414"/>
      <c r="AP589" s="1414"/>
      <c r="AQ589" s="1414"/>
      <c r="AR589" s="1414"/>
      <c r="AS589" s="1414"/>
      <c r="AT589" s="1592"/>
    </row>
    <row r="590" spans="1:46 16363:16371" s="102" customFormat="1" ht="28.95" customHeight="1" x14ac:dyDescent="0.3">
      <c r="A590" s="243" t="s">
        <v>264</v>
      </c>
      <c r="B590" s="391" t="s">
        <v>913</v>
      </c>
      <c r="C590" s="392" t="s">
        <v>1044</v>
      </c>
      <c r="D590" s="223" t="s">
        <v>34</v>
      </c>
      <c r="E590" s="223">
        <v>25</v>
      </c>
      <c r="F590" s="1350" t="s">
        <v>285</v>
      </c>
      <c r="G590" s="403">
        <v>51.64</v>
      </c>
      <c r="H590" s="393">
        <v>578187.52769928239</v>
      </c>
      <c r="I590" s="404" t="s">
        <v>267</v>
      </c>
      <c r="J590" s="393">
        <v>578187.52769928239</v>
      </c>
      <c r="K590" s="1567">
        <v>0</v>
      </c>
      <c r="L590" s="1567">
        <v>0</v>
      </c>
      <c r="M590" s="395" t="s">
        <v>79</v>
      </c>
      <c r="N590" s="395" t="s">
        <v>934</v>
      </c>
      <c r="O590" s="392" t="s">
        <v>1045</v>
      </c>
      <c r="P590" s="172" t="s">
        <v>40</v>
      </c>
      <c r="Q590" s="173"/>
      <c r="R590" s="172" t="s">
        <v>64</v>
      </c>
      <c r="S590" s="173"/>
      <c r="T590" s="172" t="s">
        <v>64</v>
      </c>
      <c r="U590" s="173"/>
      <c r="V590" s="172" t="s">
        <v>40</v>
      </c>
      <c r="W590" s="173"/>
      <c r="X590" s="172" t="s">
        <v>40</v>
      </c>
      <c r="Y590" s="173"/>
      <c r="Z590" s="172" t="s">
        <v>64</v>
      </c>
      <c r="AA590" s="173"/>
      <c r="AB590" s="172" t="s">
        <v>40</v>
      </c>
      <c r="AC590" s="173"/>
      <c r="AD590" s="173"/>
      <c r="AE590" s="1526">
        <v>46203</v>
      </c>
      <c r="AF590" s="396" t="s">
        <v>247</v>
      </c>
      <c r="AG590" s="397">
        <v>2023</v>
      </c>
      <c r="AH590" s="393">
        <v>2844046.63</v>
      </c>
      <c r="AI590" s="405">
        <v>12824162</v>
      </c>
      <c r="AJ590" s="123"/>
      <c r="AK590" s="399" t="s">
        <v>43</v>
      </c>
      <c r="AL590" s="400" t="s">
        <v>41</v>
      </c>
      <c r="AM590" s="401">
        <v>0</v>
      </c>
      <c r="AN590" s="402" t="s">
        <v>40</v>
      </c>
      <c r="AO590" s="104"/>
      <c r="AP590" s="104"/>
      <c r="AQ590" s="104"/>
      <c r="AR590" s="104"/>
      <c r="AS590" s="104"/>
      <c r="AT590" s="358"/>
    </row>
    <row r="591" spans="1:46 16363:16371" s="102" customFormat="1" ht="43.2" x14ac:dyDescent="0.3">
      <c r="A591" s="243" t="s">
        <v>264</v>
      </c>
      <c r="B591" s="391" t="s">
        <v>913</v>
      </c>
      <c r="C591" s="392" t="s">
        <v>1046</v>
      </c>
      <c r="D591" s="223" t="s">
        <v>34</v>
      </c>
      <c r="E591" s="223">
        <v>25</v>
      </c>
      <c r="F591" s="1350" t="s">
        <v>285</v>
      </c>
      <c r="G591" s="403">
        <v>28.58</v>
      </c>
      <c r="H591" s="393">
        <v>397119.51859155501</v>
      </c>
      <c r="I591" s="404" t="s">
        <v>267</v>
      </c>
      <c r="J591" s="393">
        <v>333713.88115229015</v>
      </c>
      <c r="K591" s="1567">
        <v>0</v>
      </c>
      <c r="L591" s="1567">
        <v>0</v>
      </c>
      <c r="M591" s="406" t="s">
        <v>290</v>
      </c>
      <c r="N591" s="406" t="s">
        <v>1047</v>
      </c>
      <c r="O591" s="392" t="s">
        <v>1048</v>
      </c>
      <c r="P591" s="172" t="s">
        <v>40</v>
      </c>
      <c r="Q591" s="173"/>
      <c r="R591" s="172" t="s">
        <v>64</v>
      </c>
      <c r="S591" s="173"/>
      <c r="T591" s="172" t="s">
        <v>64</v>
      </c>
      <c r="U591" s="173"/>
      <c r="V591" s="172" t="s">
        <v>40</v>
      </c>
      <c r="W591" s="173"/>
      <c r="X591" s="172" t="s">
        <v>40</v>
      </c>
      <c r="Y591" s="173"/>
      <c r="Z591" s="172" t="s">
        <v>64</v>
      </c>
      <c r="AA591" s="173"/>
      <c r="AB591" s="172" t="s">
        <v>40</v>
      </c>
      <c r="AC591" s="173"/>
      <c r="AD591" s="173"/>
      <c r="AE591" s="1526">
        <v>46203</v>
      </c>
      <c r="AF591" s="396" t="s">
        <v>247</v>
      </c>
      <c r="AG591" s="397">
        <v>2023</v>
      </c>
      <c r="AH591" s="393">
        <v>1641505.21</v>
      </c>
      <c r="AI591" s="405">
        <v>15606693</v>
      </c>
      <c r="AJ591" s="123"/>
      <c r="AK591" s="399" t="s">
        <v>43</v>
      </c>
      <c r="AL591" s="400" t="s">
        <v>41</v>
      </c>
      <c r="AM591" s="401">
        <v>0</v>
      </c>
      <c r="AN591" s="402" t="s">
        <v>40</v>
      </c>
      <c r="AO591" s="104"/>
      <c r="AP591" s="104"/>
      <c r="AQ591" s="104"/>
      <c r="AR591" s="104"/>
      <c r="AS591" s="104"/>
      <c r="AT591" s="358"/>
    </row>
    <row r="592" spans="1:46 16363:16371" s="102" customFormat="1" ht="43.2" x14ac:dyDescent="0.3">
      <c r="A592" s="243" t="s">
        <v>264</v>
      </c>
      <c r="B592" s="391" t="s">
        <v>913</v>
      </c>
      <c r="C592" s="392" t="s">
        <v>1049</v>
      </c>
      <c r="D592" s="223" t="s">
        <v>34</v>
      </c>
      <c r="E592" s="223">
        <v>25</v>
      </c>
      <c r="F592" s="1350" t="s">
        <v>285</v>
      </c>
      <c r="G592" s="403">
        <v>36.270000000000003</v>
      </c>
      <c r="H592" s="393">
        <v>309385.67362621723</v>
      </c>
      <c r="I592" s="404" t="s">
        <v>267</v>
      </c>
      <c r="J592" s="393">
        <v>309385.67362621723</v>
      </c>
      <c r="K592" s="1567">
        <v>0</v>
      </c>
      <c r="L592" s="1567">
        <v>0</v>
      </c>
      <c r="M592" s="392" t="s">
        <v>303</v>
      </c>
      <c r="N592" s="392" t="s">
        <v>1050</v>
      </c>
      <c r="O592" s="392" t="s">
        <v>1051</v>
      </c>
      <c r="P592" s="172" t="s">
        <v>40</v>
      </c>
      <c r="Q592" s="173"/>
      <c r="R592" s="172" t="s">
        <v>64</v>
      </c>
      <c r="S592" s="173"/>
      <c r="T592" s="172" t="s">
        <v>64</v>
      </c>
      <c r="U592" s="173"/>
      <c r="V592" s="172" t="s">
        <v>40</v>
      </c>
      <c r="W592" s="173"/>
      <c r="X592" s="172" t="s">
        <v>40</v>
      </c>
      <c r="Y592" s="173"/>
      <c r="Z592" s="172" t="s">
        <v>64</v>
      </c>
      <c r="AA592" s="173"/>
      <c r="AB592" s="172" t="s">
        <v>40</v>
      </c>
      <c r="AC592" s="173"/>
      <c r="AD592" s="173"/>
      <c r="AE592" s="1526">
        <v>46203</v>
      </c>
      <c r="AF592" s="396" t="s">
        <v>247</v>
      </c>
      <c r="AG592" s="397">
        <v>2023</v>
      </c>
      <c r="AH592" s="393">
        <v>1521837.19</v>
      </c>
      <c r="AI592" s="405">
        <v>42988949</v>
      </c>
      <c r="AJ592" s="123"/>
      <c r="AK592" s="399" t="s">
        <v>43</v>
      </c>
      <c r="AL592" s="400" t="s">
        <v>41</v>
      </c>
      <c r="AM592" s="401">
        <v>0</v>
      </c>
      <c r="AN592" s="402" t="s">
        <v>40</v>
      </c>
      <c r="AO592" s="104"/>
      <c r="AP592" s="104"/>
      <c r="AQ592" s="104"/>
      <c r="AR592" s="104"/>
      <c r="AS592" s="104"/>
      <c r="AT592" s="358"/>
    </row>
    <row r="593" spans="1:129 16175:16381" s="1571" customFormat="1" ht="28.8" x14ac:dyDescent="0.3">
      <c r="A593" s="1502" t="s">
        <v>264</v>
      </c>
      <c r="B593" s="1503" t="s">
        <v>913</v>
      </c>
      <c r="C593" s="1565" t="s">
        <v>3817</v>
      </c>
      <c r="D593" s="1576" t="s">
        <v>34</v>
      </c>
      <c r="E593" s="1576">
        <v>25</v>
      </c>
      <c r="F593" s="1577" t="s">
        <v>285</v>
      </c>
      <c r="G593" s="1566">
        <v>78.8</v>
      </c>
      <c r="H593" s="1567">
        <v>876633.44446929195</v>
      </c>
      <c r="I593" s="1510" t="s">
        <v>267</v>
      </c>
      <c r="J593" s="1567">
        <v>876633.44446929195</v>
      </c>
      <c r="K593" s="1567">
        <v>0</v>
      </c>
      <c r="L593" s="1567">
        <v>0</v>
      </c>
      <c r="M593" s="1565" t="s">
        <v>79</v>
      </c>
      <c r="N593" s="1569" t="s">
        <v>2167</v>
      </c>
      <c r="O593" s="1570" t="s">
        <v>3814</v>
      </c>
      <c r="P593" s="1593" t="s">
        <v>40</v>
      </c>
      <c r="Q593" s="1594"/>
      <c r="R593" s="1593" t="s">
        <v>64</v>
      </c>
      <c r="S593" s="1594"/>
      <c r="T593" s="1593" t="s">
        <v>64</v>
      </c>
      <c r="U593" s="1594"/>
      <c r="V593" s="1593" t="s">
        <v>40</v>
      </c>
      <c r="W593" s="1594"/>
      <c r="X593" s="1593" t="s">
        <v>40</v>
      </c>
      <c r="Y593" s="1594"/>
      <c r="Z593" s="1593" t="s">
        <v>64</v>
      </c>
      <c r="AA593" s="1594"/>
      <c r="AB593" s="1593" t="s">
        <v>40</v>
      </c>
      <c r="AC593" s="1594"/>
      <c r="AD593" s="1594"/>
      <c r="AE593" s="1595">
        <v>46203</v>
      </c>
      <c r="AF593" s="1596" t="s">
        <v>247</v>
      </c>
      <c r="AG593" s="1597">
        <v>2023</v>
      </c>
      <c r="AH593" s="1567">
        <v>4312072.25</v>
      </c>
      <c r="AI593" s="1568" t="s">
        <v>3816</v>
      </c>
      <c r="AK593" s="1572" t="s">
        <v>43</v>
      </c>
      <c r="AL593" s="1573" t="s">
        <v>41</v>
      </c>
      <c r="AM593" s="1574">
        <v>0</v>
      </c>
      <c r="AN593" s="1575" t="s">
        <v>40</v>
      </c>
      <c r="XEM593" s="1502"/>
      <c r="XEN593" s="1503"/>
      <c r="XEO593" s="1565"/>
      <c r="XEP593" s="1576"/>
      <c r="XEQ593" s="1576"/>
      <c r="XER593" s="1577"/>
      <c r="XES593" s="1578"/>
      <c r="XET593" s="1567"/>
      <c r="XEU593" s="1510"/>
      <c r="XEV593" s="1567"/>
      <c r="XEW593" s="1567"/>
      <c r="XEX593" s="1567"/>
      <c r="XEY593" s="1565"/>
      <c r="XEZ593" s="1565"/>
      <c r="XFA593" s="1565"/>
    </row>
    <row r="594" spans="1:129 16175:16381" s="1571" customFormat="1" ht="28.2" customHeight="1" x14ac:dyDescent="0.3">
      <c r="A594" s="1502" t="s">
        <v>264</v>
      </c>
      <c r="B594" s="1503" t="s">
        <v>913</v>
      </c>
      <c r="C594" s="1565" t="s">
        <v>3818</v>
      </c>
      <c r="D594" s="1576" t="s">
        <v>34</v>
      </c>
      <c r="E594" s="1576">
        <v>25</v>
      </c>
      <c r="F594" s="1577" t="s">
        <v>285</v>
      </c>
      <c r="G594" s="1566">
        <v>18.445699999999999</v>
      </c>
      <c r="H594" s="1567">
        <v>178073.8844050499</v>
      </c>
      <c r="I594" s="1510" t="s">
        <v>267</v>
      </c>
      <c r="J594" s="1567">
        <v>178073.8844050499</v>
      </c>
      <c r="K594" s="1567">
        <v>0</v>
      </c>
      <c r="L594" s="1567">
        <v>0</v>
      </c>
      <c r="M594" s="1565" t="s">
        <v>73</v>
      </c>
      <c r="N594" s="1569" t="s">
        <v>3813</v>
      </c>
      <c r="O594" s="1570" t="s">
        <v>3815</v>
      </c>
      <c r="P594" s="1593" t="s">
        <v>40</v>
      </c>
      <c r="Q594" s="1594"/>
      <c r="R594" s="1593" t="s">
        <v>64</v>
      </c>
      <c r="S594" s="1594"/>
      <c r="T594" s="1593" t="s">
        <v>64</v>
      </c>
      <c r="U594" s="1594"/>
      <c r="V594" s="1593" t="s">
        <v>40</v>
      </c>
      <c r="W594" s="1594"/>
      <c r="X594" s="1593" t="s">
        <v>40</v>
      </c>
      <c r="Y594" s="1594"/>
      <c r="Z594" s="1593" t="s">
        <v>64</v>
      </c>
      <c r="AA594" s="1594"/>
      <c r="AB594" s="1593" t="s">
        <v>40</v>
      </c>
      <c r="AC594" s="1594"/>
      <c r="AD594" s="1594"/>
      <c r="AE594" s="1595">
        <v>46203</v>
      </c>
      <c r="AF594" s="1596" t="s">
        <v>247</v>
      </c>
      <c r="AG594" s="1597">
        <v>2023</v>
      </c>
      <c r="AH594" s="1567">
        <v>875927.63</v>
      </c>
      <c r="AI594" s="1568" t="s">
        <v>1160</v>
      </c>
      <c r="AK594" s="1572" t="s">
        <v>43</v>
      </c>
      <c r="AL594" s="1573" t="s">
        <v>41</v>
      </c>
      <c r="AM594" s="1574">
        <v>0</v>
      </c>
      <c r="AN594" s="1575" t="s">
        <v>40</v>
      </c>
      <c r="XDU594" s="1502"/>
      <c r="XDV594" s="1503"/>
      <c r="XDW594" s="1565"/>
      <c r="XDX594" s="1576"/>
      <c r="XDY594" s="1576"/>
      <c r="XDZ594" s="1577"/>
      <c r="XEA594" s="1578"/>
      <c r="XEB594" s="1567"/>
      <c r="XEC594" s="1510"/>
      <c r="XED594" s="1567"/>
      <c r="XEE594" s="1567"/>
      <c r="XEF594" s="1567"/>
      <c r="XEG594" s="1565"/>
      <c r="XEH594" s="1565"/>
      <c r="XEI594" s="1565"/>
      <c r="XEM594" s="1502"/>
      <c r="XEN594" s="1503"/>
      <c r="XEO594" s="1565"/>
      <c r="XEP594" s="1576"/>
      <c r="XEQ594" s="1576"/>
      <c r="XER594" s="1577"/>
      <c r="XES594" s="1578"/>
      <c r="XET594" s="1567"/>
      <c r="XEU594" s="1510"/>
      <c r="XEV594" s="1567"/>
      <c r="XEW594" s="1567"/>
      <c r="XEX594" s="1567"/>
      <c r="XEY594" s="1565"/>
      <c r="XEZ594" s="1565"/>
      <c r="XFA594" s="1565"/>
    </row>
    <row r="595" spans="1:129 16175:16381" s="1571" customFormat="1" ht="28.2" customHeight="1" x14ac:dyDescent="0.3">
      <c r="A595" s="1502" t="s">
        <v>264</v>
      </c>
      <c r="B595" s="1503" t="s">
        <v>913</v>
      </c>
      <c r="C595" s="1565" t="s">
        <v>3819</v>
      </c>
      <c r="D595" s="1576" t="s">
        <v>34</v>
      </c>
      <c r="E595" s="1576">
        <v>25</v>
      </c>
      <c r="F595" s="1577" t="s">
        <v>285</v>
      </c>
      <c r="G595" s="1566">
        <v>22.279699999999998</v>
      </c>
      <c r="H595" s="1567">
        <v>243701.498302466</v>
      </c>
      <c r="I595" s="1510" t="s">
        <v>267</v>
      </c>
      <c r="J595" s="1567">
        <v>243701.498302466</v>
      </c>
      <c r="K595" s="1567">
        <v>0</v>
      </c>
      <c r="L595" s="1567">
        <v>0</v>
      </c>
      <c r="M595" s="1565" t="s">
        <v>73</v>
      </c>
      <c r="N595" s="1569" t="s">
        <v>3813</v>
      </c>
      <c r="O595" s="1570" t="s">
        <v>3815</v>
      </c>
      <c r="P595" s="1593" t="s">
        <v>40</v>
      </c>
      <c r="Q595" s="1594"/>
      <c r="R595" s="1593" t="s">
        <v>64</v>
      </c>
      <c r="S595" s="1594"/>
      <c r="T595" s="1593" t="s">
        <v>64</v>
      </c>
      <c r="U595" s="1594"/>
      <c r="V595" s="1593" t="s">
        <v>40</v>
      </c>
      <c r="W595" s="1594"/>
      <c r="X595" s="1593" t="s">
        <v>40</v>
      </c>
      <c r="Y595" s="1594"/>
      <c r="Z595" s="1593" t="s">
        <v>64</v>
      </c>
      <c r="AA595" s="1594"/>
      <c r="AB595" s="1593" t="s">
        <v>40</v>
      </c>
      <c r="AC595" s="1594"/>
      <c r="AD595" s="1594"/>
      <c r="AE595" s="1595">
        <v>46203</v>
      </c>
      <c r="AF595" s="1596" t="s">
        <v>247</v>
      </c>
      <c r="AG595" s="1597">
        <v>2023</v>
      </c>
      <c r="AH595" s="1567">
        <v>1198743.3</v>
      </c>
      <c r="AI595" s="1568" t="s">
        <v>1160</v>
      </c>
      <c r="AK595" s="1572" t="s">
        <v>43</v>
      </c>
      <c r="AL595" s="1573" t="s">
        <v>41</v>
      </c>
      <c r="AM595" s="1574">
        <v>0</v>
      </c>
      <c r="AN595" s="1575" t="s">
        <v>40</v>
      </c>
      <c r="XDC595" s="1502"/>
      <c r="XDD595" s="1503"/>
      <c r="XDE595" s="1565"/>
      <c r="XDF595" s="1576"/>
      <c r="XDG595" s="1576"/>
      <c r="XDH595" s="1577"/>
      <c r="XDI595" s="1578"/>
      <c r="XDJ595" s="1567"/>
      <c r="XDK595" s="1510"/>
      <c r="XDL595" s="1567"/>
      <c r="XDM595" s="1567"/>
      <c r="XDN595" s="1567"/>
      <c r="XDO595" s="1565"/>
      <c r="XDP595" s="1565"/>
      <c r="XDQ595" s="1565"/>
      <c r="XDU595" s="1502"/>
      <c r="XDV595" s="1503"/>
      <c r="XDW595" s="1565"/>
      <c r="XDX595" s="1576"/>
      <c r="XDY595" s="1576"/>
      <c r="XDZ595" s="1577"/>
      <c r="XEA595" s="1578"/>
      <c r="XEB595" s="1567"/>
      <c r="XEC595" s="1510"/>
      <c r="XED595" s="1567"/>
      <c r="XEE595" s="1567"/>
      <c r="XEF595" s="1567"/>
      <c r="XEG595" s="1565"/>
      <c r="XEH595" s="1565"/>
      <c r="XEI595" s="1565"/>
      <c r="XEM595" s="1502"/>
      <c r="XEN595" s="1503"/>
      <c r="XEO595" s="1565"/>
      <c r="XEP595" s="1576"/>
      <c r="XEQ595" s="1576"/>
      <c r="XER595" s="1577"/>
      <c r="XES595" s="1578"/>
      <c r="XET595" s="1567"/>
      <c r="XEU595" s="1510"/>
      <c r="XEV595" s="1567"/>
      <c r="XEW595" s="1567"/>
      <c r="XEX595" s="1567"/>
      <c r="XEY595" s="1565"/>
      <c r="XEZ595" s="1565"/>
      <c r="XFA595" s="1565"/>
    </row>
    <row r="596" spans="1:129 16175:16381" s="1571" customFormat="1" ht="28.2" customHeight="1" x14ac:dyDescent="0.3">
      <c r="A596" s="1502" t="s">
        <v>264</v>
      </c>
      <c r="B596" s="1503" t="s">
        <v>913</v>
      </c>
      <c r="C596" s="1565" t="s">
        <v>3820</v>
      </c>
      <c r="D596" s="1576" t="s">
        <v>34</v>
      </c>
      <c r="E596" s="1576">
        <v>25</v>
      </c>
      <c r="F596" s="1577" t="s">
        <v>285</v>
      </c>
      <c r="G596" s="1566">
        <v>3.1429999999999998</v>
      </c>
      <c r="H596" s="1567">
        <v>34273.520502551386</v>
      </c>
      <c r="I596" s="1510" t="s">
        <v>267</v>
      </c>
      <c r="J596" s="1567">
        <v>34273.520502551386</v>
      </c>
      <c r="K596" s="1567">
        <v>0</v>
      </c>
      <c r="L596" s="1567">
        <v>0</v>
      </c>
      <c r="M596" s="1565" t="s">
        <v>73</v>
      </c>
      <c r="N596" s="1569" t="s">
        <v>3813</v>
      </c>
      <c r="O596" s="1570" t="s">
        <v>3815</v>
      </c>
      <c r="P596" s="1593" t="s">
        <v>40</v>
      </c>
      <c r="Q596" s="1594"/>
      <c r="R596" s="1593" t="s">
        <v>64</v>
      </c>
      <c r="S596" s="1594"/>
      <c r="T596" s="1593" t="s">
        <v>64</v>
      </c>
      <c r="U596" s="1594"/>
      <c r="V596" s="1593" t="s">
        <v>40</v>
      </c>
      <c r="W596" s="1594"/>
      <c r="X596" s="1593" t="s">
        <v>40</v>
      </c>
      <c r="Y596" s="1594"/>
      <c r="Z596" s="1593" t="s">
        <v>64</v>
      </c>
      <c r="AA596" s="1594"/>
      <c r="AB596" s="1593" t="s">
        <v>40</v>
      </c>
      <c r="AC596" s="1594"/>
      <c r="AD596" s="1594"/>
      <c r="AE596" s="1595">
        <v>46203</v>
      </c>
      <c r="AF596" s="1596" t="s">
        <v>247</v>
      </c>
      <c r="AG596" s="1597">
        <v>2023</v>
      </c>
      <c r="AH596" s="1567">
        <v>168588.02</v>
      </c>
      <c r="AI596" s="1568" t="s">
        <v>1160</v>
      </c>
      <c r="AK596" s="1572" t="s">
        <v>43</v>
      </c>
      <c r="AL596" s="1573" t="s">
        <v>41</v>
      </c>
      <c r="AM596" s="1574">
        <v>0</v>
      </c>
      <c r="AN596" s="1575" t="s">
        <v>40</v>
      </c>
      <c r="XCK596" s="1502"/>
      <c r="XCL596" s="1503"/>
      <c r="XCM596" s="1565"/>
      <c r="XCN596" s="1576"/>
      <c r="XCO596" s="1576"/>
      <c r="XCP596" s="1577"/>
      <c r="XCQ596" s="1578"/>
      <c r="XCR596" s="1567"/>
      <c r="XCS596" s="1510"/>
      <c r="XCT596" s="1567"/>
      <c r="XCU596" s="1567"/>
      <c r="XCV596" s="1567"/>
      <c r="XCW596" s="1565"/>
      <c r="XCX596" s="1565"/>
      <c r="XCY596" s="1565"/>
      <c r="XDC596" s="1502"/>
      <c r="XDD596" s="1503"/>
      <c r="XDE596" s="1565"/>
      <c r="XDF596" s="1576"/>
      <c r="XDG596" s="1576"/>
      <c r="XDH596" s="1577"/>
      <c r="XDI596" s="1578"/>
      <c r="XDJ596" s="1567"/>
      <c r="XDK596" s="1510"/>
      <c r="XDL596" s="1567"/>
      <c r="XDM596" s="1567"/>
      <c r="XDN596" s="1567"/>
      <c r="XDO596" s="1565"/>
      <c r="XDP596" s="1565"/>
      <c r="XDQ596" s="1565"/>
      <c r="XDU596" s="1502"/>
      <c r="XDV596" s="1503"/>
      <c r="XDW596" s="1565"/>
      <c r="XDX596" s="1576"/>
      <c r="XDY596" s="1576"/>
      <c r="XDZ596" s="1577"/>
      <c r="XEA596" s="1578"/>
      <c r="XEB596" s="1567"/>
      <c r="XEC596" s="1510"/>
      <c r="XED596" s="1567"/>
      <c r="XEE596" s="1567"/>
      <c r="XEF596" s="1567"/>
      <c r="XEG596" s="1565"/>
      <c r="XEH596" s="1565"/>
      <c r="XEI596" s="1565"/>
      <c r="XEM596" s="1502"/>
      <c r="XEN596" s="1503"/>
      <c r="XEO596" s="1565"/>
      <c r="XEP596" s="1576"/>
      <c r="XEQ596" s="1576"/>
      <c r="XER596" s="1577"/>
      <c r="XES596" s="1578"/>
      <c r="XET596" s="1567"/>
      <c r="XEU596" s="1510"/>
      <c r="XEV596" s="1567"/>
      <c r="XEW596" s="1567"/>
      <c r="XEX596" s="1567"/>
      <c r="XEY596" s="1565"/>
      <c r="XEZ596" s="1565"/>
      <c r="XFA596" s="1565"/>
    </row>
    <row r="597" spans="1:129 16175:16381" s="1571" customFormat="1" ht="28.2" customHeight="1" x14ac:dyDescent="0.3">
      <c r="A597" s="1502" t="s">
        <v>264</v>
      </c>
      <c r="B597" s="1503" t="s">
        <v>913</v>
      </c>
      <c r="C597" s="1565" t="s">
        <v>3821</v>
      </c>
      <c r="D597" s="1576" t="s">
        <v>34</v>
      </c>
      <c r="E597" s="1576">
        <v>25</v>
      </c>
      <c r="F597" s="1577" t="s">
        <v>285</v>
      </c>
      <c r="G597" s="1566">
        <v>5.1825999999999999</v>
      </c>
      <c r="H597" s="1567">
        <v>56461.591006119255</v>
      </c>
      <c r="I597" s="1510" t="s">
        <v>267</v>
      </c>
      <c r="J597" s="1567">
        <v>56461.591006119255</v>
      </c>
      <c r="K597" s="1567">
        <v>0</v>
      </c>
      <c r="L597" s="1567">
        <v>0</v>
      </c>
      <c r="M597" s="1565" t="s">
        <v>73</v>
      </c>
      <c r="N597" s="1569" t="s">
        <v>3813</v>
      </c>
      <c r="O597" s="1570" t="s">
        <v>3815</v>
      </c>
      <c r="P597" s="1593" t="s">
        <v>40</v>
      </c>
      <c r="Q597" s="1594"/>
      <c r="R597" s="1593" t="s">
        <v>64</v>
      </c>
      <c r="S597" s="1594"/>
      <c r="T597" s="1593" t="s">
        <v>64</v>
      </c>
      <c r="U597" s="1594"/>
      <c r="V597" s="1593" t="s">
        <v>40</v>
      </c>
      <c r="W597" s="1594"/>
      <c r="X597" s="1593" t="s">
        <v>40</v>
      </c>
      <c r="Y597" s="1594"/>
      <c r="Z597" s="1593" t="s">
        <v>64</v>
      </c>
      <c r="AA597" s="1594"/>
      <c r="AB597" s="1593" t="s">
        <v>40</v>
      </c>
      <c r="AC597" s="1594"/>
      <c r="AD597" s="1594"/>
      <c r="AE597" s="1595">
        <v>46203</v>
      </c>
      <c r="AF597" s="1596" t="s">
        <v>247</v>
      </c>
      <c r="AG597" s="1597">
        <v>2023</v>
      </c>
      <c r="AH597" s="1567">
        <v>277728.92</v>
      </c>
      <c r="AI597" s="1568" t="s">
        <v>1160</v>
      </c>
      <c r="AK597" s="1572" t="s">
        <v>43</v>
      </c>
      <c r="AL597" s="1573" t="s">
        <v>41</v>
      </c>
      <c r="AM597" s="1574">
        <v>0</v>
      </c>
      <c r="AN597" s="1575" t="s">
        <v>40</v>
      </c>
      <c r="XBS597" s="1516"/>
      <c r="XBT597" s="1516"/>
      <c r="XBU597" s="1516"/>
      <c r="XBY597" s="1516"/>
      <c r="XBZ597" s="1516"/>
      <c r="XCA597" s="1516"/>
      <c r="XCB597" s="1516"/>
      <c r="XCC597" s="1516"/>
      <c r="XCD597" s="1516"/>
      <c r="XCE597" s="1516"/>
      <c r="XCF597" s="1516"/>
      <c r="XCG597" s="1516"/>
      <c r="XCK597" s="1502"/>
      <c r="XCL597" s="1503"/>
      <c r="XCM597" s="1565"/>
      <c r="XCN597" s="1576"/>
      <c r="XCO597" s="1576"/>
      <c r="XCP597" s="1577"/>
      <c r="XCQ597" s="1578"/>
      <c r="XCR597" s="1567"/>
      <c r="XCS597" s="1510"/>
      <c r="XCT597" s="1567"/>
      <c r="XCU597" s="1567"/>
      <c r="XCV597" s="1567"/>
      <c r="XCW597" s="1565"/>
      <c r="XCX597" s="1565"/>
      <c r="XCY597" s="1565"/>
      <c r="XDC597" s="1502"/>
      <c r="XDD597" s="1503"/>
      <c r="XDE597" s="1565"/>
      <c r="XDF597" s="1576"/>
      <c r="XDG597" s="1576"/>
      <c r="XDH597" s="1577"/>
      <c r="XDI597" s="1578"/>
      <c r="XDJ597" s="1567"/>
      <c r="XDK597" s="1510"/>
      <c r="XDL597" s="1567"/>
      <c r="XDM597" s="1567"/>
      <c r="XDN597" s="1567"/>
      <c r="XDO597" s="1565"/>
      <c r="XDP597" s="1565"/>
      <c r="XDQ597" s="1565"/>
      <c r="XDU597" s="1502"/>
      <c r="XDV597" s="1503"/>
      <c r="XDW597" s="1565"/>
      <c r="XDX597" s="1576"/>
      <c r="XDY597" s="1576"/>
      <c r="XDZ597" s="1577"/>
      <c r="XEA597" s="1578"/>
      <c r="XEB597" s="1567"/>
      <c r="XEC597" s="1510"/>
      <c r="XED597" s="1567"/>
      <c r="XEE597" s="1567"/>
      <c r="XEF597" s="1567"/>
      <c r="XEG597" s="1565"/>
      <c r="XEH597" s="1565"/>
      <c r="XEI597" s="1565"/>
      <c r="XEM597" s="1502"/>
      <c r="XEN597" s="1503"/>
      <c r="XEO597" s="1565"/>
      <c r="XEP597" s="1576"/>
      <c r="XEQ597" s="1576"/>
      <c r="XER597" s="1577"/>
      <c r="XES597" s="1578"/>
      <c r="XET597" s="1567"/>
      <c r="XEU597" s="1510"/>
      <c r="XEV597" s="1567"/>
      <c r="XEW597" s="1567"/>
      <c r="XEX597" s="1567"/>
      <c r="XEY597" s="1565"/>
      <c r="XEZ597" s="1565"/>
      <c r="XFA597" s="1565"/>
    </row>
    <row r="598" spans="1:129 16175:16381" s="1571" customFormat="1" ht="28.8" x14ac:dyDescent="0.3">
      <c r="A598" s="1502" t="s">
        <v>264</v>
      </c>
      <c r="B598" s="1503" t="s">
        <v>913</v>
      </c>
      <c r="C598" s="1565" t="s">
        <v>3822</v>
      </c>
      <c r="D598" s="1576" t="s">
        <v>34</v>
      </c>
      <c r="E598" s="1576">
        <v>25</v>
      </c>
      <c r="F598" s="1577" t="s">
        <v>285</v>
      </c>
      <c r="G598" s="1566">
        <v>11.306800000000001</v>
      </c>
      <c r="H598" s="1567">
        <v>114881.57718189026</v>
      </c>
      <c r="I598" s="1510" t="s">
        <v>267</v>
      </c>
      <c r="J598" s="1567">
        <v>114881.57718189026</v>
      </c>
      <c r="K598" s="1567">
        <v>0</v>
      </c>
      <c r="L598" s="1567">
        <v>0</v>
      </c>
      <c r="M598" s="1565" t="s">
        <v>73</v>
      </c>
      <c r="N598" s="1569" t="s">
        <v>3813</v>
      </c>
      <c r="O598" s="1570" t="s">
        <v>3815</v>
      </c>
      <c r="P598" s="1593" t="s">
        <v>40</v>
      </c>
      <c r="Q598" s="1594"/>
      <c r="R598" s="1593" t="s">
        <v>64</v>
      </c>
      <c r="S598" s="1594"/>
      <c r="T598" s="1593" t="s">
        <v>64</v>
      </c>
      <c r="U598" s="1594"/>
      <c r="V598" s="1593" t="s">
        <v>40</v>
      </c>
      <c r="W598" s="1594"/>
      <c r="X598" s="1593" t="s">
        <v>40</v>
      </c>
      <c r="Y598" s="1594"/>
      <c r="Z598" s="1593" t="s">
        <v>64</v>
      </c>
      <c r="AA598" s="1594"/>
      <c r="AB598" s="1593" t="s">
        <v>40</v>
      </c>
      <c r="AC598" s="1594"/>
      <c r="AD598" s="1594"/>
      <c r="AE598" s="1595">
        <v>46203</v>
      </c>
      <c r="AF598" s="1596" t="s">
        <v>247</v>
      </c>
      <c r="AG598" s="1597">
        <v>2023</v>
      </c>
      <c r="AH598" s="1567">
        <v>565090.99</v>
      </c>
      <c r="AI598" s="1568" t="s">
        <v>1160</v>
      </c>
      <c r="AK598" s="1572" t="s">
        <v>43</v>
      </c>
      <c r="AL598" s="1573" t="s">
        <v>41</v>
      </c>
      <c r="AM598" s="1574">
        <v>0</v>
      </c>
      <c r="AN598" s="1575" t="s">
        <v>40</v>
      </c>
      <c r="XBS598" s="1502"/>
      <c r="XBT598" s="1503"/>
      <c r="XBU598" s="1565"/>
      <c r="XBV598" s="1576"/>
      <c r="XBW598" s="1576"/>
      <c r="XBX598" s="1577"/>
      <c r="XBY598" s="1578"/>
      <c r="XBZ598" s="1567"/>
      <c r="XCA598" s="1510"/>
      <c r="XCB598" s="1567"/>
      <c r="XCC598" s="1567"/>
      <c r="XCD598" s="1567"/>
      <c r="XCE598" s="1565"/>
      <c r="XCF598" s="1565"/>
      <c r="XCG598" s="1565"/>
      <c r="XCK598" s="1502"/>
      <c r="XCL598" s="1503"/>
      <c r="XCM598" s="1565"/>
      <c r="XCN598" s="1576"/>
      <c r="XCO598" s="1576"/>
      <c r="XCP598" s="1577"/>
      <c r="XCQ598" s="1578"/>
      <c r="XCR598" s="1567"/>
      <c r="XCS598" s="1510"/>
      <c r="XCT598" s="1567"/>
      <c r="XCU598" s="1567"/>
      <c r="XCV598" s="1567"/>
      <c r="XCW598" s="1565"/>
      <c r="XCX598" s="1565"/>
      <c r="XCY598" s="1565"/>
      <c r="XDC598" s="1502"/>
      <c r="XDD598" s="1503"/>
      <c r="XDE598" s="1565"/>
      <c r="XDF598" s="1576"/>
      <c r="XDG598" s="1576"/>
      <c r="XDH598" s="1577"/>
      <c r="XDI598" s="1578"/>
      <c r="XDJ598" s="1567"/>
      <c r="XDK598" s="1510"/>
      <c r="XDL598" s="1567"/>
      <c r="XDM598" s="1567"/>
      <c r="XDN598" s="1567"/>
      <c r="XDO598" s="1565"/>
      <c r="XDP598" s="1565"/>
      <c r="XDQ598" s="1565"/>
      <c r="XDU598" s="1502"/>
      <c r="XDV598" s="1503"/>
      <c r="XDW598" s="1565"/>
      <c r="XDX598" s="1576"/>
      <c r="XDY598" s="1576"/>
      <c r="XDZ598" s="1577"/>
      <c r="XEA598" s="1578"/>
      <c r="XEB598" s="1567"/>
      <c r="XEC598" s="1510"/>
      <c r="XED598" s="1567"/>
      <c r="XEE598" s="1567"/>
      <c r="XEF598" s="1567"/>
      <c r="XEG598" s="1565"/>
      <c r="XEH598" s="1565"/>
      <c r="XEI598" s="1565"/>
      <c r="XEM598" s="1502"/>
      <c r="XEN598" s="1503"/>
      <c r="XEO598" s="1565"/>
      <c r="XEP598" s="1576"/>
      <c r="XEQ598" s="1576"/>
      <c r="XER598" s="1577"/>
      <c r="XES598" s="1578"/>
      <c r="XET598" s="1567"/>
      <c r="XEU598" s="1510"/>
      <c r="XEV598" s="1567"/>
      <c r="XEW598" s="1567"/>
      <c r="XEX598" s="1567"/>
      <c r="XEY598" s="1565"/>
      <c r="XEZ598" s="1565"/>
      <c r="XFA598" s="1565"/>
    </row>
    <row r="599" spans="1:129 16175:16381" s="1381" customFormat="1" ht="28.95" customHeight="1" x14ac:dyDescent="0.3">
      <c r="A599" s="1358" t="s">
        <v>264</v>
      </c>
      <c r="B599" s="1359" t="s">
        <v>913</v>
      </c>
      <c r="C599" s="1369" t="s">
        <v>3871</v>
      </c>
      <c r="D599" s="1370" t="s">
        <v>34</v>
      </c>
      <c r="E599" s="1370">
        <v>25</v>
      </c>
      <c r="F599" s="1371" t="s">
        <v>285</v>
      </c>
      <c r="G599" s="1374">
        <v>29.76</v>
      </c>
      <c r="H599" s="1373">
        <v>465726.19284799445</v>
      </c>
      <c r="I599" s="1365" t="s">
        <v>267</v>
      </c>
      <c r="J599" s="1373">
        <v>465726.19284799445</v>
      </c>
      <c r="K599" s="1373">
        <v>0</v>
      </c>
      <c r="L599" s="1373">
        <v>0</v>
      </c>
      <c r="M599" s="1369" t="s">
        <v>1072</v>
      </c>
      <c r="N599" s="1375" t="s">
        <v>3872</v>
      </c>
      <c r="O599" s="1376" t="s">
        <v>3873</v>
      </c>
      <c r="P599" s="1377" t="s">
        <v>40</v>
      </c>
      <c r="Q599" s="1378"/>
      <c r="R599" s="1377" t="s">
        <v>64</v>
      </c>
      <c r="S599" s="1378"/>
      <c r="T599" s="1377" t="s">
        <v>64</v>
      </c>
      <c r="U599" s="1378"/>
      <c r="V599" s="1377" t="s">
        <v>40</v>
      </c>
      <c r="W599" s="1378"/>
      <c r="X599" s="1377" t="s">
        <v>40</v>
      </c>
      <c r="Y599" s="1378"/>
      <c r="Z599" s="1377" t="s">
        <v>64</v>
      </c>
      <c r="AA599" s="1378"/>
      <c r="AB599" s="1377" t="s">
        <v>40</v>
      </c>
      <c r="AC599" s="1378"/>
      <c r="AD599" s="1378"/>
      <c r="AE599" s="1533">
        <v>46203</v>
      </c>
      <c r="AF599" s="1379" t="s">
        <v>247</v>
      </c>
      <c r="AG599" s="1380">
        <v>2023</v>
      </c>
      <c r="AH599" s="1373">
        <v>2290860.5699999998</v>
      </c>
      <c r="AI599" s="1374">
        <v>25472076</v>
      </c>
      <c r="AK599" s="1382" t="s">
        <v>43</v>
      </c>
      <c r="AL599" s="1383" t="s">
        <v>41</v>
      </c>
      <c r="AM599" s="1384">
        <v>0</v>
      </c>
      <c r="AN599" s="1385" t="s">
        <v>40</v>
      </c>
      <c r="XAU599" s="1358"/>
      <c r="XAV599" s="1359"/>
      <c r="XAW599" s="1369"/>
      <c r="XAX599" s="1370"/>
      <c r="XAY599" s="1370"/>
      <c r="XAZ599" s="1371"/>
      <c r="XBA599" s="1583"/>
      <c r="XBB599" s="1373"/>
      <c r="XBC599" s="1365"/>
      <c r="XBD599" s="1373"/>
      <c r="XBE599" s="1373"/>
      <c r="XBF599" s="1373"/>
      <c r="XBG599" s="1369"/>
      <c r="XBH599" s="1369"/>
      <c r="XBI599" s="1369"/>
      <c r="XBM599" s="1358"/>
      <c r="XBN599" s="1359"/>
      <c r="XBO599" s="1369"/>
      <c r="XBP599" s="1370"/>
      <c r="XBQ599" s="1370"/>
      <c r="XBR599" s="1371"/>
      <c r="XBS599" s="1583"/>
      <c r="XBT599" s="1373"/>
      <c r="XBU599" s="1365"/>
      <c r="XBV599" s="1373"/>
      <c r="XBW599" s="1373"/>
      <c r="XBX599" s="1373"/>
      <c r="XBY599" s="1369"/>
      <c r="XBZ599" s="1369"/>
      <c r="XCA599" s="1369"/>
      <c r="XCE599" s="1358"/>
      <c r="XCF599" s="1359"/>
      <c r="XCG599" s="1369"/>
      <c r="XCH599" s="1370"/>
      <c r="XCI599" s="1370"/>
      <c r="XCJ599" s="1371"/>
      <c r="XCK599" s="1583"/>
      <c r="XCL599" s="1373"/>
      <c r="XCM599" s="1365"/>
      <c r="XCN599" s="1373"/>
      <c r="XCO599" s="1373"/>
      <c r="XCP599" s="1373"/>
      <c r="XCQ599" s="1369"/>
      <c r="XCR599" s="1369"/>
      <c r="XCS599" s="1369"/>
      <c r="XCW599" s="1358"/>
      <c r="XCX599" s="1359"/>
      <c r="XCY599" s="1369"/>
      <c r="XCZ599" s="1370"/>
      <c r="XDA599" s="1370"/>
      <c r="XDB599" s="1371"/>
      <c r="XDC599" s="1583"/>
      <c r="XDD599" s="1373"/>
      <c r="XDE599" s="1365"/>
      <c r="XDF599" s="1373"/>
      <c r="XDG599" s="1373"/>
      <c r="XDH599" s="1373"/>
      <c r="XDI599" s="1369"/>
      <c r="XDJ599" s="1369"/>
      <c r="XDK599" s="1369"/>
      <c r="XDO599" s="1358"/>
      <c r="XDP599" s="1359"/>
      <c r="XDQ599" s="1369"/>
      <c r="XDR599" s="1370"/>
      <c r="XDS599" s="1370"/>
      <c r="XDT599" s="1371"/>
      <c r="XDU599" s="1583"/>
      <c r="XDV599" s="1373"/>
      <c r="XDW599" s="1365"/>
      <c r="XDX599" s="1373"/>
      <c r="XDY599" s="1373"/>
      <c r="XDZ599" s="1373"/>
      <c r="XEA599" s="1369"/>
      <c r="XEB599" s="1369"/>
      <c r="XEC599" s="1369"/>
      <c r="XEG599" s="1358"/>
      <c r="XEH599" s="1359"/>
      <c r="XEI599" s="1369"/>
      <c r="XEJ599" s="1372"/>
      <c r="XEK599" s="1373"/>
      <c r="XEL599" s="1373"/>
      <c r="XEM599" s="1374"/>
      <c r="XEN599" s="1375"/>
      <c r="XEO599" s="1376"/>
      <c r="XEP599" s="1370"/>
      <c r="XEQ599" s="1370"/>
      <c r="XER599" s="1371"/>
      <c r="XES599" s="1584"/>
      <c r="XET599" s="1580"/>
      <c r="XEU599" s="1579"/>
      <c r="XEV599" s="1580"/>
      <c r="XEW599" s="1580"/>
      <c r="XEX599" s="1580"/>
      <c r="XEY599" s="1585"/>
      <c r="XEZ599" s="1585"/>
      <c r="XFA599" s="1585"/>
    </row>
    <row r="600" spans="1:129 16175:16381" s="1381" customFormat="1" ht="28.95" customHeight="1" x14ac:dyDescent="0.3">
      <c r="A600" s="1358" t="s">
        <v>264</v>
      </c>
      <c r="B600" s="1359" t="s">
        <v>913</v>
      </c>
      <c r="C600" s="1369" t="s">
        <v>3874</v>
      </c>
      <c r="D600" s="1370" t="s">
        <v>34</v>
      </c>
      <c r="E600" s="1370">
        <v>25</v>
      </c>
      <c r="F600" s="1371" t="s">
        <v>285</v>
      </c>
      <c r="G600" s="1382">
        <v>1.97</v>
      </c>
      <c r="H600" s="1373">
        <v>21099.768240866859</v>
      </c>
      <c r="I600" s="1365" t="s">
        <v>267</v>
      </c>
      <c r="J600" s="1373">
        <v>21099.768240866859</v>
      </c>
      <c r="K600" s="1373">
        <v>0</v>
      </c>
      <c r="L600" s="1373">
        <v>0</v>
      </c>
      <c r="M600" s="1369" t="s">
        <v>1162</v>
      </c>
      <c r="N600" s="1375" t="s">
        <v>3877</v>
      </c>
      <c r="O600" s="1376" t="s">
        <v>3875</v>
      </c>
      <c r="P600" s="1377" t="s">
        <v>40</v>
      </c>
      <c r="Q600" s="1378"/>
      <c r="R600" s="1377" t="s">
        <v>64</v>
      </c>
      <c r="S600" s="1378"/>
      <c r="T600" s="1377" t="s">
        <v>64</v>
      </c>
      <c r="U600" s="1378"/>
      <c r="V600" s="1377" t="s">
        <v>40</v>
      </c>
      <c r="W600" s="1378"/>
      <c r="X600" s="1377" t="s">
        <v>40</v>
      </c>
      <c r="Y600" s="1378"/>
      <c r="Z600" s="1377" t="s">
        <v>64</v>
      </c>
      <c r="AA600" s="1378"/>
      <c r="AB600" s="1377" t="s">
        <v>40</v>
      </c>
      <c r="AC600" s="1378"/>
      <c r="AD600" s="1378"/>
      <c r="AE600" s="1533">
        <v>46203</v>
      </c>
      <c r="AF600" s="1379" t="s">
        <v>247</v>
      </c>
      <c r="AG600" s="1380">
        <v>2023</v>
      </c>
      <c r="AH600" s="1373">
        <v>103787.65</v>
      </c>
      <c r="AI600" s="1581" t="s">
        <v>3876</v>
      </c>
      <c r="AK600" s="1382" t="s">
        <v>43</v>
      </c>
      <c r="AL600" s="1383" t="s">
        <v>41</v>
      </c>
      <c r="AM600" s="1384">
        <v>0</v>
      </c>
      <c r="AN600" s="1385" t="s">
        <v>40</v>
      </c>
      <c r="WZW600" s="1358"/>
      <c r="WZX600" s="1359"/>
      <c r="WZY600" s="1369"/>
      <c r="WZZ600" s="1370"/>
      <c r="XAA600" s="1370"/>
      <c r="XAB600" s="1371"/>
      <c r="XAC600" s="1583"/>
      <c r="XAD600" s="1373"/>
      <c r="XAE600" s="1365"/>
      <c r="XAF600" s="1373"/>
      <c r="XAG600" s="1373"/>
      <c r="XAH600" s="1373"/>
      <c r="XAI600" s="1369"/>
      <c r="XAJ600" s="1369"/>
      <c r="XAK600" s="1369"/>
      <c r="XAO600" s="1358"/>
      <c r="XAP600" s="1359"/>
      <c r="XAQ600" s="1369"/>
      <c r="XAR600" s="1370"/>
      <c r="XAS600" s="1370"/>
      <c r="XAT600" s="1371"/>
      <c r="XAU600" s="1583"/>
      <c r="XAV600" s="1373"/>
      <c r="XAW600" s="1365"/>
      <c r="XAX600" s="1373"/>
      <c r="XAY600" s="1373"/>
      <c r="XAZ600" s="1373"/>
      <c r="XBA600" s="1369"/>
      <c r="XBB600" s="1369"/>
      <c r="XBC600" s="1369"/>
      <c r="XBG600" s="1358"/>
      <c r="XBH600" s="1359"/>
      <c r="XBI600" s="1369"/>
      <c r="XBJ600" s="1370"/>
      <c r="XBK600" s="1370"/>
      <c r="XBL600" s="1371"/>
      <c r="XBM600" s="1583"/>
      <c r="XBN600" s="1373"/>
      <c r="XBO600" s="1365"/>
      <c r="XBP600" s="1373"/>
      <c r="XBQ600" s="1373"/>
      <c r="XBR600" s="1373"/>
      <c r="XBS600" s="1369"/>
      <c r="XBT600" s="1369"/>
      <c r="XBU600" s="1369"/>
      <c r="XBY600" s="1358"/>
      <c r="XBZ600" s="1359"/>
      <c r="XCA600" s="1369"/>
      <c r="XCB600" s="1370"/>
      <c r="XCC600" s="1370"/>
      <c r="XCD600" s="1371"/>
      <c r="XCE600" s="1583"/>
      <c r="XCF600" s="1373"/>
      <c r="XCG600" s="1365"/>
      <c r="XCH600" s="1373"/>
      <c r="XCI600" s="1373"/>
      <c r="XCJ600" s="1373"/>
      <c r="XCK600" s="1369"/>
      <c r="XCL600" s="1369"/>
      <c r="XCM600" s="1369"/>
      <c r="XCQ600" s="1358"/>
      <c r="XCR600" s="1359"/>
      <c r="XCS600" s="1369"/>
      <c r="XCT600" s="1370"/>
      <c r="XCU600" s="1370"/>
      <c r="XCV600" s="1371"/>
      <c r="XCW600" s="1583"/>
      <c r="XCX600" s="1373"/>
      <c r="XCY600" s="1365"/>
      <c r="XCZ600" s="1373"/>
      <c r="XDA600" s="1373"/>
      <c r="XDB600" s="1373"/>
      <c r="XDC600" s="1369"/>
      <c r="XDD600" s="1369"/>
      <c r="XDE600" s="1369"/>
      <c r="XDI600" s="1358"/>
      <c r="XDJ600" s="1359"/>
      <c r="XDK600" s="1369"/>
      <c r="XDL600" s="1372"/>
      <c r="XDM600" s="1373"/>
      <c r="XDN600" s="1373"/>
      <c r="XDO600" s="1374"/>
      <c r="XDP600" s="1375"/>
      <c r="XDQ600" s="1376"/>
      <c r="XDR600" s="1370"/>
      <c r="XDS600" s="1370"/>
      <c r="XDT600" s="1371"/>
      <c r="XDU600" s="1584"/>
      <c r="XDV600" s="1580"/>
      <c r="XDW600" s="1579"/>
      <c r="XDX600" s="1580"/>
      <c r="XDY600" s="1580"/>
      <c r="XDZ600" s="1580"/>
      <c r="XEA600" s="1585"/>
      <c r="XEB600" s="1585"/>
      <c r="XEC600" s="1585"/>
      <c r="XEG600" s="1358"/>
      <c r="XEH600" s="1359"/>
      <c r="XEI600" s="1369"/>
      <c r="XEJ600" s="1374"/>
      <c r="XEK600" s="1375"/>
      <c r="XEL600" s="1373"/>
      <c r="XEM600" s="1382"/>
      <c r="XEN600" s="1383"/>
      <c r="XEO600" s="1384"/>
      <c r="XEP600" s="1370"/>
      <c r="XEQ600" s="1370"/>
      <c r="XER600" s="1371"/>
      <c r="XES600" s="1584"/>
      <c r="XET600" s="1580"/>
      <c r="XEU600" s="1579"/>
      <c r="XEV600" s="1580"/>
      <c r="XEW600" s="1580"/>
      <c r="XEX600" s="1580"/>
      <c r="XEY600" s="1585"/>
      <c r="XEZ600" s="1585"/>
      <c r="XFA600" s="1585"/>
    </row>
    <row r="601" spans="1:129 16175:16381" s="1381" customFormat="1" ht="28.95" customHeight="1" x14ac:dyDescent="0.3">
      <c r="A601" s="1358" t="s">
        <v>264</v>
      </c>
      <c r="B601" s="1359" t="s">
        <v>913</v>
      </c>
      <c r="C601" s="1369" t="s">
        <v>3878</v>
      </c>
      <c r="D601" s="1370" t="s">
        <v>34</v>
      </c>
      <c r="E601" s="1370">
        <v>25</v>
      </c>
      <c r="F601" s="1371" t="s">
        <v>285</v>
      </c>
      <c r="G601" s="1381">
        <v>20.9053</v>
      </c>
      <c r="H601" s="1373">
        <v>205254.99806867391</v>
      </c>
      <c r="I601" s="1365" t="s">
        <v>267</v>
      </c>
      <c r="J601" s="1373">
        <v>205254.99806867391</v>
      </c>
      <c r="K601" s="1373">
        <v>0</v>
      </c>
      <c r="L601" s="1373">
        <v>0</v>
      </c>
      <c r="M601" s="1369" t="s">
        <v>73</v>
      </c>
      <c r="N601" s="1375" t="s">
        <v>3813</v>
      </c>
      <c r="O601" s="1376" t="s">
        <v>3815</v>
      </c>
      <c r="P601" s="1377" t="s">
        <v>40</v>
      </c>
      <c r="Q601" s="1378"/>
      <c r="R601" s="1377" t="s">
        <v>64</v>
      </c>
      <c r="S601" s="1378"/>
      <c r="T601" s="1377" t="s">
        <v>64</v>
      </c>
      <c r="U601" s="1378"/>
      <c r="V601" s="1377" t="s">
        <v>40</v>
      </c>
      <c r="W601" s="1378"/>
      <c r="X601" s="1377" t="s">
        <v>40</v>
      </c>
      <c r="Y601" s="1378"/>
      <c r="Z601" s="1377" t="s">
        <v>64</v>
      </c>
      <c r="AA601" s="1378"/>
      <c r="AB601" s="1377" t="s">
        <v>40</v>
      </c>
      <c r="AC601" s="1378"/>
      <c r="AD601" s="1378"/>
      <c r="AE601" s="1533">
        <v>46203</v>
      </c>
      <c r="AF601" s="1379" t="s">
        <v>247</v>
      </c>
      <c r="AG601" s="1380">
        <v>2023</v>
      </c>
      <c r="AH601" s="1373">
        <v>1009628.81</v>
      </c>
      <c r="AI601" s="1581" t="s">
        <v>1160</v>
      </c>
      <c r="AK601" s="1382" t="s">
        <v>43</v>
      </c>
      <c r="AL601" s="1383" t="s">
        <v>41</v>
      </c>
      <c r="AM601" s="1384">
        <v>0</v>
      </c>
      <c r="AN601" s="1385" t="s">
        <v>40</v>
      </c>
      <c r="WYY601" s="1358"/>
      <c r="WYZ601" s="1359"/>
      <c r="WZA601" s="1369"/>
      <c r="WZB601" s="1370"/>
      <c r="WZC601" s="1370"/>
      <c r="WZD601" s="1371"/>
      <c r="WZE601" s="1583"/>
      <c r="WZF601" s="1373"/>
      <c r="WZG601" s="1365"/>
      <c r="WZH601" s="1373"/>
      <c r="WZI601" s="1373"/>
      <c r="WZJ601" s="1373"/>
      <c r="WZK601" s="1369"/>
      <c r="WZL601" s="1369"/>
      <c r="WZM601" s="1369"/>
      <c r="WZQ601" s="1358"/>
      <c r="WZR601" s="1359"/>
      <c r="WZS601" s="1369"/>
      <c r="WZT601" s="1370"/>
      <c r="WZU601" s="1370"/>
      <c r="WZV601" s="1371"/>
      <c r="WZW601" s="1583"/>
      <c r="WZX601" s="1373"/>
      <c r="WZY601" s="1365"/>
      <c r="WZZ601" s="1373"/>
      <c r="XAA601" s="1373"/>
      <c r="XAB601" s="1373"/>
      <c r="XAC601" s="1369"/>
      <c r="XAD601" s="1369"/>
      <c r="XAE601" s="1369"/>
      <c r="XAI601" s="1358"/>
      <c r="XAJ601" s="1359"/>
      <c r="XAK601" s="1369"/>
      <c r="XAL601" s="1370"/>
      <c r="XAM601" s="1370"/>
      <c r="XAN601" s="1371"/>
      <c r="XAO601" s="1583"/>
      <c r="XAP601" s="1373"/>
      <c r="XAQ601" s="1365"/>
      <c r="XAR601" s="1373"/>
      <c r="XAS601" s="1373"/>
      <c r="XAT601" s="1373"/>
      <c r="XAU601" s="1369"/>
      <c r="XAV601" s="1369"/>
      <c r="XAW601" s="1369"/>
      <c r="XBA601" s="1358"/>
      <c r="XBB601" s="1359"/>
      <c r="XBC601" s="1369"/>
      <c r="XBD601" s="1370"/>
      <c r="XBE601" s="1370"/>
      <c r="XBF601" s="1371"/>
      <c r="XBG601" s="1583"/>
      <c r="XBH601" s="1373"/>
      <c r="XBI601" s="1365"/>
      <c r="XBJ601" s="1373"/>
      <c r="XBK601" s="1373"/>
      <c r="XBL601" s="1373"/>
      <c r="XBM601" s="1369"/>
      <c r="XBN601" s="1369"/>
      <c r="XBO601" s="1369"/>
      <c r="XBS601" s="1358"/>
      <c r="XBT601" s="1359"/>
      <c r="XBU601" s="1369"/>
      <c r="XBV601" s="1370"/>
      <c r="XBW601" s="1370"/>
      <c r="XBX601" s="1371"/>
      <c r="XBY601" s="1583"/>
      <c r="XBZ601" s="1373"/>
      <c r="XCA601" s="1365"/>
      <c r="XCB601" s="1373"/>
      <c r="XCC601" s="1373"/>
      <c r="XCD601" s="1373"/>
      <c r="XCE601" s="1369"/>
      <c r="XCF601" s="1369"/>
      <c r="XCG601" s="1369"/>
      <c r="XCK601" s="1358"/>
      <c r="XCL601" s="1359"/>
      <c r="XCM601" s="1369"/>
      <c r="XCN601" s="1372"/>
      <c r="XCO601" s="1373"/>
      <c r="XCP601" s="1373"/>
      <c r="XCQ601" s="1374"/>
      <c r="XCR601" s="1375"/>
      <c r="XCS601" s="1376"/>
      <c r="XCT601" s="1370"/>
      <c r="XCU601" s="1370"/>
      <c r="XCV601" s="1371"/>
      <c r="XCW601" s="1584"/>
      <c r="XCX601" s="1580"/>
      <c r="XCY601" s="1579"/>
      <c r="XCZ601" s="1580"/>
      <c r="XDA601" s="1580"/>
      <c r="XDB601" s="1580"/>
      <c r="XDC601" s="1585"/>
      <c r="XDD601" s="1585"/>
      <c r="XDE601" s="1585"/>
      <c r="XDI601" s="1358"/>
      <c r="XDJ601" s="1359"/>
      <c r="XDK601" s="1369"/>
      <c r="XDL601" s="1374"/>
      <c r="XDM601" s="1375"/>
      <c r="XDN601" s="1373"/>
      <c r="XDO601" s="1382"/>
      <c r="XDP601" s="1383"/>
      <c r="XDQ601" s="1384"/>
      <c r="XDR601" s="1370"/>
      <c r="XDS601" s="1370"/>
      <c r="XDT601" s="1371"/>
      <c r="XDU601" s="1584"/>
      <c r="XDV601" s="1580"/>
      <c r="XDW601" s="1579"/>
      <c r="XDX601" s="1580"/>
      <c r="XDY601" s="1580"/>
      <c r="XDZ601" s="1580"/>
      <c r="XEA601" s="1585"/>
      <c r="XEB601" s="1585"/>
      <c r="XEC601" s="1585"/>
      <c r="XEG601" s="1358"/>
      <c r="XEH601" s="1359"/>
      <c r="XEI601" s="1369"/>
      <c r="XEJ601" s="1382"/>
      <c r="XEK601" s="1383"/>
      <c r="XEP601" s="1370"/>
      <c r="XEQ601" s="1370"/>
      <c r="XER601" s="1371"/>
      <c r="XES601" s="1584"/>
      <c r="XET601" s="1580"/>
      <c r="XEU601" s="1579"/>
      <c r="XEV601" s="1580"/>
      <c r="XEW601" s="1580"/>
      <c r="XEX601" s="1580"/>
      <c r="XEY601" s="1585"/>
      <c r="XEZ601" s="1585"/>
      <c r="XFA601" s="1585"/>
    </row>
    <row r="602" spans="1:129 16175:16381" s="1381" customFormat="1" ht="28.95" customHeight="1" x14ac:dyDescent="0.3">
      <c r="A602" s="1358" t="s">
        <v>264</v>
      </c>
      <c r="B602" s="1359" t="s">
        <v>913</v>
      </c>
      <c r="C602" s="1369" t="s">
        <v>3879</v>
      </c>
      <c r="D602" s="1370" t="s">
        <v>34</v>
      </c>
      <c r="E602" s="1370">
        <v>25</v>
      </c>
      <c r="F602" s="1371" t="s">
        <v>285</v>
      </c>
      <c r="G602" s="1381">
        <v>3.9</v>
      </c>
      <c r="H602" s="1373">
        <v>107282.63636178822</v>
      </c>
      <c r="I602" s="1365" t="s">
        <v>267</v>
      </c>
      <c r="J602" s="1373">
        <v>107282.63636178822</v>
      </c>
      <c r="K602" s="1373">
        <v>0</v>
      </c>
      <c r="L602" s="1373">
        <v>0</v>
      </c>
      <c r="M602" s="1369" t="s">
        <v>73</v>
      </c>
      <c r="N602" s="1375" t="s">
        <v>3464</v>
      </c>
      <c r="O602" s="1376" t="s">
        <v>3880</v>
      </c>
      <c r="P602" s="1377" t="s">
        <v>40</v>
      </c>
      <c r="Q602" s="1378"/>
      <c r="R602" s="1377" t="s">
        <v>64</v>
      </c>
      <c r="S602" s="1378"/>
      <c r="T602" s="1377" t="s">
        <v>64</v>
      </c>
      <c r="U602" s="1378"/>
      <c r="V602" s="1377" t="s">
        <v>40</v>
      </c>
      <c r="W602" s="1378"/>
      <c r="X602" s="1377" t="s">
        <v>40</v>
      </c>
      <c r="Y602" s="1378"/>
      <c r="Z602" s="1377" t="s">
        <v>64</v>
      </c>
      <c r="AA602" s="1378"/>
      <c r="AB602" s="1377" t="s">
        <v>40</v>
      </c>
      <c r="AC602" s="1378"/>
      <c r="AD602" s="1378"/>
      <c r="AE602" s="1533">
        <v>46203</v>
      </c>
      <c r="AF602" s="1379" t="s">
        <v>247</v>
      </c>
      <c r="AG602" s="1380">
        <v>2023</v>
      </c>
      <c r="AH602" s="1373">
        <v>527712.56000000006</v>
      </c>
      <c r="AI602" s="1581" t="s">
        <v>3881</v>
      </c>
      <c r="AK602" s="1382" t="s">
        <v>43</v>
      </c>
      <c r="AL602" s="1383" t="s">
        <v>41</v>
      </c>
      <c r="AM602" s="1384">
        <v>0</v>
      </c>
      <c r="AN602" s="1385" t="s">
        <v>40</v>
      </c>
      <c r="WYA602" s="1358"/>
      <c r="WYB602" s="1359"/>
      <c r="WYC602" s="1369"/>
      <c r="WYD602" s="1370"/>
      <c r="WYE602" s="1370"/>
      <c r="WYF602" s="1371"/>
      <c r="WYG602" s="1583"/>
      <c r="WYH602" s="1373"/>
      <c r="WYI602" s="1365"/>
      <c r="WYJ602" s="1373"/>
      <c r="WYK602" s="1373"/>
      <c r="WYL602" s="1373"/>
      <c r="WYM602" s="1369"/>
      <c r="WYN602" s="1369"/>
      <c r="WYO602" s="1369"/>
      <c r="WYS602" s="1358"/>
      <c r="WYT602" s="1359"/>
      <c r="WYU602" s="1369"/>
      <c r="WYV602" s="1370"/>
      <c r="WYW602" s="1370"/>
      <c r="WYX602" s="1371"/>
      <c r="WYY602" s="1583"/>
      <c r="WYZ602" s="1373"/>
      <c r="WZA602" s="1365"/>
      <c r="WZB602" s="1373"/>
      <c r="WZC602" s="1373"/>
      <c r="WZD602" s="1373"/>
      <c r="WZE602" s="1369"/>
      <c r="WZF602" s="1369"/>
      <c r="WZG602" s="1369"/>
      <c r="WZK602" s="1358"/>
      <c r="WZL602" s="1359"/>
      <c r="WZM602" s="1369"/>
      <c r="WZN602" s="1370"/>
      <c r="WZO602" s="1370"/>
      <c r="WZP602" s="1371"/>
      <c r="WZQ602" s="1583"/>
      <c r="WZR602" s="1373"/>
      <c r="WZS602" s="1365"/>
      <c r="WZT602" s="1373"/>
      <c r="WZU602" s="1373"/>
      <c r="WZV602" s="1373"/>
      <c r="WZW602" s="1369"/>
      <c r="WZX602" s="1369"/>
      <c r="WZY602" s="1369"/>
      <c r="XAC602" s="1358"/>
      <c r="XAD602" s="1359"/>
      <c r="XAE602" s="1369"/>
      <c r="XAF602" s="1370"/>
      <c r="XAG602" s="1370"/>
      <c r="XAH602" s="1371"/>
      <c r="XAI602" s="1583"/>
      <c r="XAJ602" s="1373"/>
      <c r="XAK602" s="1365"/>
      <c r="XAL602" s="1373"/>
      <c r="XAM602" s="1373"/>
      <c r="XAN602" s="1373"/>
      <c r="XAO602" s="1369"/>
      <c r="XAP602" s="1369"/>
      <c r="XAQ602" s="1369"/>
      <c r="XAU602" s="1358"/>
      <c r="XAV602" s="1359"/>
      <c r="XAW602" s="1369"/>
      <c r="XAX602" s="1370"/>
      <c r="XAY602" s="1370"/>
      <c r="XAZ602" s="1371"/>
      <c r="XBA602" s="1583"/>
      <c r="XBB602" s="1373"/>
      <c r="XBC602" s="1365"/>
      <c r="XBD602" s="1373"/>
      <c r="XBE602" s="1373"/>
      <c r="XBF602" s="1373"/>
      <c r="XBG602" s="1369"/>
      <c r="XBH602" s="1369"/>
      <c r="XBI602" s="1369"/>
      <c r="XBM602" s="1358"/>
      <c r="XBN602" s="1359"/>
      <c r="XBO602" s="1369"/>
      <c r="XBP602" s="1372"/>
      <c r="XBQ602" s="1373"/>
      <c r="XBR602" s="1373"/>
      <c r="XBS602" s="1374"/>
      <c r="XBT602" s="1375"/>
      <c r="XBU602" s="1376"/>
      <c r="XBV602" s="1370"/>
      <c r="XBW602" s="1370"/>
      <c r="XBX602" s="1371"/>
      <c r="XBY602" s="1584"/>
      <c r="XBZ602" s="1580"/>
      <c r="XCA602" s="1579"/>
      <c r="XCB602" s="1580"/>
      <c r="XCC602" s="1580"/>
      <c r="XCD602" s="1580"/>
      <c r="XCE602" s="1585"/>
      <c r="XCF602" s="1585"/>
      <c r="XCG602" s="1585"/>
      <c r="XCK602" s="1358"/>
      <c r="XCL602" s="1359"/>
      <c r="XCM602" s="1369"/>
      <c r="XCN602" s="1374"/>
      <c r="XCO602" s="1375"/>
      <c r="XCP602" s="1373"/>
      <c r="XCQ602" s="1382"/>
      <c r="XCR602" s="1383"/>
      <c r="XCS602" s="1384"/>
      <c r="XCT602" s="1370"/>
      <c r="XCU602" s="1370"/>
      <c r="XCV602" s="1371"/>
      <c r="XCW602" s="1584"/>
      <c r="XCX602" s="1580"/>
      <c r="XCY602" s="1579"/>
      <c r="XCZ602" s="1580"/>
      <c r="XDA602" s="1580"/>
      <c r="XDB602" s="1580"/>
      <c r="XDC602" s="1585"/>
      <c r="XDD602" s="1585"/>
      <c r="XDE602" s="1585"/>
      <c r="XDI602" s="1358"/>
      <c r="XDJ602" s="1359"/>
      <c r="XDK602" s="1369"/>
      <c r="XDL602" s="1382"/>
      <c r="XDM602" s="1383"/>
      <c r="XDR602" s="1370"/>
      <c r="XDS602" s="1370"/>
      <c r="XDT602" s="1371"/>
      <c r="XDU602" s="1584"/>
      <c r="XDV602" s="1580"/>
      <c r="XDW602" s="1579"/>
      <c r="XDX602" s="1580"/>
      <c r="XDY602" s="1580"/>
      <c r="XDZ602" s="1580"/>
      <c r="XEA602" s="1585"/>
      <c r="XEB602" s="1585"/>
      <c r="XEC602" s="1585"/>
      <c r="XEG602" s="1358"/>
      <c r="XEH602" s="1359"/>
      <c r="XEI602" s="1369"/>
      <c r="XEP602" s="1370"/>
      <c r="XEQ602" s="1370"/>
      <c r="XER602" s="1371"/>
      <c r="XES602" s="1584"/>
      <c r="XET602" s="1580"/>
      <c r="XEU602" s="1579"/>
      <c r="XEV602" s="1580"/>
      <c r="XEW602" s="1580"/>
      <c r="XEX602" s="1580"/>
      <c r="XEY602" s="1585"/>
      <c r="XEZ602" s="1585"/>
      <c r="XFA602" s="1585"/>
    </row>
    <row r="603" spans="1:129 16175:16381" s="1381" customFormat="1" ht="28.95" customHeight="1" x14ac:dyDescent="0.3">
      <c r="A603" s="1358" t="s">
        <v>264</v>
      </c>
      <c r="B603" s="1359" t="s">
        <v>913</v>
      </c>
      <c r="C603" s="1369" t="s">
        <v>3882</v>
      </c>
      <c r="D603" s="1370" t="s">
        <v>34</v>
      </c>
      <c r="E603" s="1370">
        <v>25</v>
      </c>
      <c r="F603" s="1371" t="s">
        <v>285</v>
      </c>
      <c r="G603" s="1381">
        <v>12.961</v>
      </c>
      <c r="H603" s="1373">
        <v>122826.75394905366</v>
      </c>
      <c r="I603" s="1365" t="s">
        <v>267</v>
      </c>
      <c r="J603" s="1373">
        <v>122826.75394905366</v>
      </c>
      <c r="K603" s="1373">
        <v>0</v>
      </c>
      <c r="L603" s="1373">
        <v>0</v>
      </c>
      <c r="M603" s="1369" t="s">
        <v>1072</v>
      </c>
      <c r="N603" s="1375" t="s">
        <v>1727</v>
      </c>
      <c r="O603" s="1582" t="s">
        <v>3883</v>
      </c>
      <c r="P603" s="1377" t="s">
        <v>40</v>
      </c>
      <c r="Q603" s="1378"/>
      <c r="R603" s="1377" t="s">
        <v>64</v>
      </c>
      <c r="S603" s="1378"/>
      <c r="T603" s="1377" t="s">
        <v>64</v>
      </c>
      <c r="U603" s="1378"/>
      <c r="V603" s="1377" t="s">
        <v>40</v>
      </c>
      <c r="W603" s="1378"/>
      <c r="X603" s="1377" t="s">
        <v>40</v>
      </c>
      <c r="Y603" s="1378"/>
      <c r="Z603" s="1377" t="s">
        <v>64</v>
      </c>
      <c r="AA603" s="1378"/>
      <c r="AB603" s="1377" t="s">
        <v>40</v>
      </c>
      <c r="AC603" s="1378"/>
      <c r="AD603" s="1378"/>
      <c r="AE603" s="1533">
        <v>46203</v>
      </c>
      <c r="AF603" s="1379" t="s">
        <v>247</v>
      </c>
      <c r="AG603" s="1380">
        <v>2023</v>
      </c>
      <c r="AH603" s="1373">
        <v>604172.52</v>
      </c>
      <c r="AI603" s="1581" t="s">
        <v>3884</v>
      </c>
      <c r="AK603" s="1382" t="s">
        <v>43</v>
      </c>
      <c r="AL603" s="1383" t="s">
        <v>41</v>
      </c>
      <c r="AM603" s="1384">
        <v>0</v>
      </c>
      <c r="AN603" s="1385" t="s">
        <v>40</v>
      </c>
      <c r="WXC603" s="1358"/>
      <c r="WXD603" s="1359"/>
      <c r="WXE603" s="1369"/>
      <c r="WXF603" s="1370"/>
      <c r="WXG603" s="1370"/>
      <c r="WXH603" s="1371"/>
      <c r="WXI603" s="1583"/>
      <c r="WXJ603" s="1373"/>
      <c r="WXK603" s="1365"/>
      <c r="WXL603" s="1373"/>
      <c r="WXM603" s="1373"/>
      <c r="WXN603" s="1373"/>
      <c r="WXO603" s="1369"/>
      <c r="WXP603" s="1369"/>
      <c r="WXQ603" s="1369"/>
      <c r="WXU603" s="1358"/>
      <c r="WXV603" s="1359"/>
      <c r="WXW603" s="1369"/>
      <c r="WXX603" s="1370"/>
      <c r="WXY603" s="1370"/>
      <c r="WXZ603" s="1371"/>
      <c r="WYA603" s="1583"/>
      <c r="WYB603" s="1373"/>
      <c r="WYC603" s="1365"/>
      <c r="WYD603" s="1373"/>
      <c r="WYE603" s="1373"/>
      <c r="WYF603" s="1373"/>
      <c r="WYG603" s="1369"/>
      <c r="WYH603" s="1369"/>
      <c r="WYI603" s="1369"/>
      <c r="WYM603" s="1358"/>
      <c r="WYN603" s="1359"/>
      <c r="WYO603" s="1369"/>
      <c r="WYP603" s="1370"/>
      <c r="WYQ603" s="1370"/>
      <c r="WYR603" s="1371"/>
      <c r="WYS603" s="1583"/>
      <c r="WYT603" s="1373"/>
      <c r="WYU603" s="1365"/>
      <c r="WYV603" s="1373"/>
      <c r="WYW603" s="1373"/>
      <c r="WYX603" s="1373"/>
      <c r="WYY603" s="1369"/>
      <c r="WYZ603" s="1369"/>
      <c r="WZA603" s="1369"/>
      <c r="WZE603" s="1358"/>
      <c r="WZF603" s="1359"/>
      <c r="WZG603" s="1369"/>
      <c r="WZH603" s="1370"/>
      <c r="WZI603" s="1370"/>
      <c r="WZJ603" s="1371"/>
      <c r="WZK603" s="1583"/>
      <c r="WZL603" s="1373"/>
      <c r="WZM603" s="1365"/>
      <c r="WZN603" s="1373"/>
      <c r="WZO603" s="1373"/>
      <c r="WZP603" s="1373"/>
      <c r="WZQ603" s="1369"/>
      <c r="WZR603" s="1369"/>
      <c r="WZS603" s="1369"/>
      <c r="WZW603" s="1358"/>
      <c r="WZX603" s="1359"/>
      <c r="WZY603" s="1369"/>
      <c r="WZZ603" s="1370"/>
      <c r="XAA603" s="1370"/>
      <c r="XAB603" s="1371"/>
      <c r="XAC603" s="1583"/>
      <c r="XAD603" s="1373"/>
      <c r="XAE603" s="1365"/>
      <c r="XAF603" s="1373"/>
      <c r="XAG603" s="1373"/>
      <c r="XAH603" s="1373"/>
      <c r="XAI603" s="1369"/>
      <c r="XAJ603" s="1369"/>
      <c r="XAK603" s="1369"/>
      <c r="XAO603" s="1358"/>
      <c r="XAP603" s="1359"/>
      <c r="XAQ603" s="1369"/>
      <c r="XAR603" s="1372"/>
      <c r="XAS603" s="1373"/>
      <c r="XAT603" s="1373"/>
      <c r="XAU603" s="1374"/>
      <c r="XAV603" s="1375"/>
      <c r="XAW603" s="1376"/>
      <c r="XAX603" s="1370"/>
      <c r="XAY603" s="1370"/>
      <c r="XAZ603" s="1371"/>
      <c r="XBA603" s="1584"/>
      <c r="XBB603" s="1580"/>
      <c r="XBC603" s="1579"/>
      <c r="XBD603" s="1580"/>
      <c r="XBE603" s="1580"/>
      <c r="XBF603" s="1580"/>
      <c r="XBG603" s="1585"/>
      <c r="XBH603" s="1585"/>
      <c r="XBI603" s="1585"/>
      <c r="XBM603" s="1358"/>
      <c r="XBN603" s="1359"/>
      <c r="XBO603" s="1369"/>
      <c r="XBP603" s="1374"/>
      <c r="XBQ603" s="1375"/>
      <c r="XBR603" s="1373"/>
      <c r="XBS603" s="1382"/>
      <c r="XBT603" s="1383"/>
      <c r="XBU603" s="1384"/>
      <c r="XBV603" s="1370"/>
      <c r="XBW603" s="1370"/>
      <c r="XBX603" s="1371"/>
      <c r="XBY603" s="1584"/>
      <c r="XBZ603" s="1580"/>
      <c r="XCA603" s="1579"/>
      <c r="XCB603" s="1580"/>
      <c r="XCC603" s="1580"/>
      <c r="XCD603" s="1580"/>
      <c r="XCE603" s="1585"/>
      <c r="XCF603" s="1585"/>
      <c r="XCG603" s="1585"/>
      <c r="XCK603" s="1358"/>
      <c r="XCL603" s="1359"/>
      <c r="XCM603" s="1369"/>
      <c r="XCN603" s="1382"/>
      <c r="XCO603" s="1383"/>
      <c r="XCT603" s="1370"/>
      <c r="XCU603" s="1370"/>
      <c r="XCV603" s="1371"/>
      <c r="XCW603" s="1584"/>
      <c r="XCX603" s="1580"/>
      <c r="XCY603" s="1579"/>
      <c r="XCZ603" s="1580"/>
      <c r="XDA603" s="1580"/>
      <c r="XDB603" s="1580"/>
      <c r="XDC603" s="1585"/>
      <c r="XDD603" s="1585"/>
      <c r="XDE603" s="1585"/>
      <c r="XDI603" s="1358"/>
      <c r="XDJ603" s="1359"/>
      <c r="XDK603" s="1369"/>
      <c r="XDR603" s="1370"/>
      <c r="XDS603" s="1370"/>
      <c r="XDT603" s="1371"/>
      <c r="XDU603" s="1584"/>
      <c r="XDV603" s="1580"/>
      <c r="XDW603" s="1579"/>
      <c r="XDX603" s="1580"/>
      <c r="XDY603" s="1580"/>
      <c r="XDZ603" s="1580"/>
      <c r="XEA603" s="1585"/>
      <c r="XEB603" s="1585"/>
      <c r="XEC603" s="1585"/>
      <c r="XEG603" s="1358"/>
      <c r="XEH603" s="1359"/>
      <c r="XEI603" s="1369"/>
      <c r="XEP603" s="1370"/>
      <c r="XEQ603" s="1370"/>
      <c r="XER603" s="1371"/>
      <c r="XES603" s="1584"/>
      <c r="XET603" s="1580"/>
      <c r="XEU603" s="1579"/>
      <c r="XEV603" s="1580"/>
      <c r="XEW603" s="1580"/>
      <c r="XEX603" s="1580"/>
      <c r="XEY603" s="1585"/>
      <c r="XEZ603" s="1585"/>
      <c r="XFA603" s="1585"/>
    </row>
    <row r="604" spans="1:129 16175:16381" s="138" customFormat="1" ht="14.4" x14ac:dyDescent="0.3">
      <c r="A604" s="544" t="s">
        <v>264</v>
      </c>
      <c r="B604" s="831"/>
      <c r="C604" s="867" t="s">
        <v>912</v>
      </c>
      <c r="D604" s="709"/>
      <c r="E604" s="709"/>
      <c r="F604" s="709"/>
      <c r="G604" s="868"/>
      <c r="H604" s="869">
        <f>H529-H530</f>
        <v>67592331.894861236</v>
      </c>
      <c r="I604" s="870" t="s">
        <v>267</v>
      </c>
      <c r="J604" s="869"/>
      <c r="K604" s="1618"/>
      <c r="L604" s="1618"/>
      <c r="M604" s="835"/>
      <c r="N604" s="835"/>
      <c r="O604" s="835"/>
      <c r="P604" s="712"/>
      <c r="Q604" s="713"/>
      <c r="R604" s="712"/>
      <c r="S604" s="713"/>
      <c r="T604" s="712"/>
      <c r="U604" s="713"/>
      <c r="V604" s="712"/>
      <c r="W604" s="713"/>
      <c r="X604" s="712"/>
      <c r="Y604" s="713"/>
      <c r="Z604" s="712"/>
      <c r="AA604" s="713"/>
      <c r="AB604" s="712"/>
      <c r="AC604" s="713"/>
      <c r="AD604" s="713"/>
      <c r="AE604" s="1519"/>
      <c r="AF604" s="714"/>
      <c r="AG604" s="715"/>
      <c r="AH604" s="871"/>
      <c r="AI604" s="872"/>
      <c r="AJ604" s="873"/>
      <c r="AK604" s="874"/>
      <c r="AL604" s="831"/>
      <c r="AM604" s="875"/>
      <c r="AN604" s="876"/>
      <c r="AO604" s="104"/>
      <c r="AP604" s="104"/>
      <c r="AQ604" s="104"/>
      <c r="AR604" s="104"/>
      <c r="AS604" s="104"/>
      <c r="AT604" s="358"/>
      <c r="AU604" s="102"/>
      <c r="AV604" s="102"/>
      <c r="AW604" s="102"/>
      <c r="AX604" s="102"/>
      <c r="AY604" s="102"/>
      <c r="AZ604" s="102"/>
      <c r="BA604" s="102"/>
      <c r="BB604" s="102"/>
      <c r="BC604" s="102"/>
      <c r="BD604" s="102"/>
      <c r="BE604" s="102"/>
      <c r="BF604" s="102"/>
      <c r="BG604" s="102"/>
      <c r="BH604" s="102"/>
      <c r="BI604" s="102"/>
      <c r="BJ604" s="102"/>
      <c r="BK604" s="102"/>
      <c r="BL604" s="102"/>
      <c r="BM604" s="102"/>
      <c r="BN604" s="102"/>
      <c r="BO604" s="102"/>
      <c r="BP604" s="102"/>
      <c r="BQ604" s="102"/>
      <c r="BR604" s="102"/>
      <c r="BS604" s="102"/>
      <c r="BT604" s="102"/>
      <c r="BU604" s="102"/>
      <c r="BV604" s="102"/>
      <c r="BW604" s="102"/>
      <c r="BX604" s="102"/>
      <c r="BY604" s="102"/>
      <c r="BZ604" s="102"/>
      <c r="CA604" s="102"/>
      <c r="CB604" s="102"/>
      <c r="CC604" s="102"/>
      <c r="CD604" s="102"/>
      <c r="CE604" s="102"/>
      <c r="CF604" s="102"/>
      <c r="CG604" s="102"/>
      <c r="CH604" s="102"/>
      <c r="CI604" s="102"/>
      <c r="CJ604" s="102"/>
      <c r="CK604" s="102"/>
      <c r="CL604" s="102"/>
      <c r="CM604" s="102"/>
      <c r="CN604" s="102"/>
      <c r="CO604" s="102"/>
      <c r="CP604" s="102"/>
      <c r="CQ604" s="102"/>
      <c r="CR604" s="102"/>
      <c r="CS604" s="102"/>
      <c r="CT604" s="102"/>
      <c r="CU604" s="102"/>
      <c r="CV604" s="102"/>
      <c r="CW604" s="102"/>
      <c r="CX604" s="102"/>
      <c r="CY604" s="102"/>
      <c r="CZ604" s="102"/>
      <c r="DA604" s="102"/>
      <c r="DB604" s="102"/>
      <c r="DC604" s="102"/>
      <c r="DD604" s="102"/>
      <c r="DE604" s="102"/>
      <c r="DF604" s="102"/>
      <c r="DG604" s="102"/>
      <c r="DH604" s="102"/>
      <c r="DI604" s="102"/>
      <c r="DJ604" s="102"/>
      <c r="DK604" s="102"/>
      <c r="DL604" s="102"/>
      <c r="DM604" s="102"/>
      <c r="DN604" s="102"/>
      <c r="DO604" s="102"/>
      <c r="DP604" s="102"/>
      <c r="DQ604" s="102"/>
      <c r="DR604" s="102"/>
      <c r="DS604" s="102"/>
      <c r="DT604" s="102"/>
      <c r="DU604" s="102"/>
      <c r="DV604" s="102"/>
      <c r="DW604" s="102"/>
      <c r="DX604" s="102"/>
      <c r="DY604" s="102"/>
    </row>
    <row r="605" spans="1:129 16175:16381" s="359" customFormat="1" ht="14.4" x14ac:dyDescent="0.3">
      <c r="A605" s="506" t="s">
        <v>264</v>
      </c>
      <c r="B605" s="709" t="s">
        <v>1052</v>
      </c>
      <c r="C605" s="708" t="s">
        <v>1053</v>
      </c>
      <c r="D605" s="709" t="s">
        <v>34</v>
      </c>
      <c r="E605" s="709" t="s">
        <v>282</v>
      </c>
      <c r="F605" s="709"/>
      <c r="G605" s="709"/>
      <c r="H605" s="710">
        <v>5000000</v>
      </c>
      <c r="I605" s="711" t="s">
        <v>267</v>
      </c>
      <c r="J605" s="710">
        <v>0</v>
      </c>
      <c r="K605" s="1603">
        <v>0</v>
      </c>
      <c r="L605" s="1603">
        <v>0</v>
      </c>
      <c r="M605" s="712" t="s">
        <v>40</v>
      </c>
      <c r="N605" s="712" t="s">
        <v>40</v>
      </c>
      <c r="O605" s="712" t="s">
        <v>40</v>
      </c>
      <c r="P605" s="712" t="s">
        <v>40</v>
      </c>
      <c r="Q605" s="713"/>
      <c r="R605" s="712" t="s">
        <v>40</v>
      </c>
      <c r="S605" s="713"/>
      <c r="T605" s="712" t="s">
        <v>41</v>
      </c>
      <c r="U605" s="713">
        <v>45016</v>
      </c>
      <c r="V605" s="712" t="s">
        <v>40</v>
      </c>
      <c r="W605" s="713" t="s">
        <v>40</v>
      </c>
      <c r="X605" s="712" t="s">
        <v>40</v>
      </c>
      <c r="Y605" s="713" t="s">
        <v>40</v>
      </c>
      <c r="Z605" s="712" t="s">
        <v>41</v>
      </c>
      <c r="AA605" s="713">
        <v>45030</v>
      </c>
      <c r="AB605" s="712" t="s">
        <v>41</v>
      </c>
      <c r="AC605" s="713">
        <v>45091</v>
      </c>
      <c r="AD605" s="713"/>
      <c r="AE605" s="1519">
        <v>46203</v>
      </c>
      <c r="AF605" s="712" t="s">
        <v>278</v>
      </c>
      <c r="AG605" s="877" t="s">
        <v>279</v>
      </c>
      <c r="AH605" s="716">
        <v>0</v>
      </c>
      <c r="AI605" s="717"/>
      <c r="AJ605" s="718"/>
      <c r="AK605" s="719"/>
      <c r="AL605" s="709" t="s">
        <v>41</v>
      </c>
      <c r="AM605" s="720">
        <v>0</v>
      </c>
      <c r="AN605" s="721"/>
      <c r="AO605" s="104"/>
      <c r="AP605" s="104"/>
      <c r="AQ605" s="104"/>
      <c r="AR605" s="104"/>
      <c r="AS605" s="104"/>
      <c r="AT605" s="358"/>
      <c r="AU605" s="102"/>
      <c r="AV605" s="102"/>
      <c r="AW605" s="102"/>
      <c r="AX605" s="102"/>
      <c r="AY605" s="102"/>
      <c r="AZ605" s="102"/>
      <c r="BA605" s="102"/>
      <c r="BB605" s="102"/>
      <c r="BC605" s="102"/>
      <c r="BD605" s="102"/>
      <c r="BE605" s="102"/>
      <c r="BF605" s="102"/>
      <c r="BG605" s="102"/>
      <c r="BH605" s="102"/>
      <c r="BI605" s="102"/>
      <c r="BJ605" s="102"/>
      <c r="BK605" s="102"/>
      <c r="BL605" s="102"/>
      <c r="BM605" s="102"/>
      <c r="BN605" s="102"/>
      <c r="BO605" s="102"/>
      <c r="BP605" s="102"/>
      <c r="BQ605" s="102"/>
      <c r="BR605" s="102"/>
      <c r="BS605" s="102"/>
      <c r="BT605" s="102"/>
      <c r="BU605" s="102"/>
      <c r="BV605" s="102"/>
      <c r="BW605" s="102"/>
      <c r="BX605" s="102"/>
      <c r="BY605" s="102"/>
      <c r="BZ605" s="102"/>
      <c r="CA605" s="102"/>
      <c r="CB605" s="102"/>
      <c r="CC605" s="102"/>
      <c r="CD605" s="102"/>
      <c r="CE605" s="102"/>
      <c r="CF605" s="102"/>
      <c r="CG605" s="102"/>
      <c r="CH605" s="102"/>
      <c r="CI605" s="102"/>
      <c r="CJ605" s="102"/>
      <c r="CK605" s="102"/>
      <c r="CL605" s="102"/>
      <c r="CM605" s="102"/>
      <c r="CN605" s="102"/>
      <c r="CO605" s="102"/>
      <c r="CP605" s="102"/>
      <c r="CQ605" s="102"/>
      <c r="CR605" s="102"/>
      <c r="CS605" s="102"/>
      <c r="CT605" s="102"/>
      <c r="CU605" s="102"/>
      <c r="CV605" s="102"/>
      <c r="CW605" s="102"/>
      <c r="CX605" s="102"/>
      <c r="CY605" s="102"/>
      <c r="CZ605" s="102"/>
      <c r="DA605" s="102"/>
      <c r="DB605" s="102"/>
      <c r="DC605" s="102"/>
      <c r="DD605" s="102"/>
      <c r="DE605" s="102"/>
      <c r="DF605" s="102"/>
      <c r="DG605" s="102"/>
      <c r="DH605" s="102"/>
      <c r="DI605" s="102"/>
      <c r="DJ605" s="102"/>
      <c r="DK605" s="102"/>
      <c r="DL605" s="102"/>
      <c r="DM605" s="102"/>
      <c r="DN605" s="102"/>
      <c r="DO605" s="102"/>
      <c r="DP605" s="102"/>
      <c r="DQ605" s="102"/>
      <c r="DR605" s="102"/>
      <c r="DS605" s="102"/>
      <c r="DT605" s="102"/>
      <c r="DU605" s="102"/>
      <c r="DV605" s="102"/>
      <c r="DW605" s="102"/>
      <c r="DX605" s="102"/>
      <c r="DY605" s="102"/>
    </row>
    <row r="606" spans="1:129 16175:16381" s="138" customFormat="1" ht="14.4" x14ac:dyDescent="0.3">
      <c r="A606" s="102" t="s">
        <v>264</v>
      </c>
      <c r="B606" s="166" t="s">
        <v>228</v>
      </c>
      <c r="C606" s="732" t="s">
        <v>1054</v>
      </c>
      <c r="D606" s="166" t="s">
        <v>34</v>
      </c>
      <c r="E606" s="166"/>
      <c r="F606" s="166"/>
      <c r="G606" s="166"/>
      <c r="H606" s="425"/>
      <c r="I606" s="170" t="s">
        <v>267</v>
      </c>
      <c r="J606" s="425"/>
      <c r="K606" s="1605">
        <v>0</v>
      </c>
      <c r="L606" s="1605">
        <v>0</v>
      </c>
      <c r="M606" s="175" t="s">
        <v>40</v>
      </c>
      <c r="N606" s="175" t="s">
        <v>40</v>
      </c>
      <c r="O606" s="175" t="s">
        <v>40</v>
      </c>
      <c r="P606" s="175"/>
      <c r="Q606" s="174"/>
      <c r="R606" s="175"/>
      <c r="S606" s="174"/>
      <c r="T606" s="175"/>
      <c r="U606" s="174"/>
      <c r="V606" s="175"/>
      <c r="W606" s="174"/>
      <c r="X606" s="175"/>
      <c r="Y606" s="174"/>
      <c r="Z606" s="175"/>
      <c r="AA606" s="174"/>
      <c r="AB606" s="175"/>
      <c r="AC606" s="174"/>
      <c r="AD606" s="174"/>
      <c r="AE606" s="1521"/>
      <c r="AF606" s="176"/>
      <c r="AG606" s="177"/>
      <c r="AH606" s="426">
        <v>0</v>
      </c>
      <c r="AI606" s="878"/>
      <c r="AJ606" s="428"/>
      <c r="AK606" s="180"/>
      <c r="AL606" s="166"/>
      <c r="AM606" s="181"/>
      <c r="AN606" s="182"/>
      <c r="AO606" s="104"/>
      <c r="AP606" s="104"/>
      <c r="AQ606" s="104"/>
      <c r="AR606" s="104"/>
      <c r="AS606" s="104"/>
      <c r="AT606" s="358"/>
      <c r="AU606" s="102"/>
      <c r="AV606" s="102"/>
      <c r="AW606" s="102"/>
      <c r="AX606" s="102"/>
      <c r="AY606" s="102"/>
      <c r="AZ606" s="102"/>
      <c r="BA606" s="102"/>
      <c r="BB606" s="102"/>
      <c r="BC606" s="102"/>
      <c r="BD606" s="102"/>
      <c r="BE606" s="102"/>
      <c r="BF606" s="102"/>
      <c r="BG606" s="102"/>
      <c r="BH606" s="102"/>
      <c r="BI606" s="102"/>
      <c r="BJ606" s="102"/>
      <c r="BK606" s="102"/>
      <c r="BL606" s="102"/>
      <c r="BM606" s="102"/>
      <c r="BN606" s="102"/>
      <c r="BO606" s="102"/>
      <c r="BP606" s="102"/>
      <c r="BQ606" s="102"/>
      <c r="BR606" s="102"/>
      <c r="BS606" s="102"/>
      <c r="BT606" s="102"/>
      <c r="BU606" s="102"/>
      <c r="BV606" s="102"/>
      <c r="BW606" s="102"/>
      <c r="BX606" s="102"/>
      <c r="BY606" s="102"/>
      <c r="BZ606" s="102"/>
      <c r="CA606" s="102"/>
      <c r="CB606" s="102"/>
      <c r="CC606" s="102"/>
      <c r="CD606" s="102"/>
      <c r="CE606" s="102"/>
      <c r="CF606" s="102"/>
      <c r="CG606" s="102"/>
      <c r="CH606" s="102"/>
      <c r="CI606" s="102"/>
      <c r="CJ606" s="102"/>
      <c r="CK606" s="102"/>
      <c r="CL606" s="102"/>
      <c r="CM606" s="102"/>
      <c r="CN606" s="102"/>
      <c r="CO606" s="102"/>
      <c r="CP606" s="102"/>
      <c r="CQ606" s="102"/>
      <c r="CR606" s="102"/>
      <c r="CS606" s="102"/>
      <c r="CT606" s="102"/>
      <c r="CU606" s="102"/>
      <c r="CV606" s="102"/>
      <c r="CW606" s="102"/>
      <c r="CX606" s="102"/>
      <c r="CY606" s="102"/>
      <c r="CZ606" s="102"/>
      <c r="DA606" s="102"/>
      <c r="DB606" s="102"/>
      <c r="DC606" s="102"/>
      <c r="DD606" s="102"/>
      <c r="DE606" s="102"/>
      <c r="DF606" s="102"/>
      <c r="DG606" s="102"/>
      <c r="DH606" s="102"/>
      <c r="DI606" s="102"/>
      <c r="DJ606" s="102"/>
      <c r="DK606" s="102"/>
      <c r="DL606" s="102"/>
      <c r="DM606" s="102"/>
      <c r="DN606" s="102"/>
      <c r="DO606" s="102"/>
      <c r="DP606" s="102"/>
      <c r="DQ606" s="102"/>
      <c r="DR606" s="102"/>
      <c r="DS606" s="102"/>
      <c r="DT606" s="102"/>
      <c r="DU606" s="102"/>
      <c r="DV606" s="102"/>
      <c r="DW606" s="102"/>
      <c r="DX606" s="102"/>
      <c r="DY606" s="102"/>
    </row>
    <row r="607" spans="1:129 16175:16381" s="365" customFormat="1" ht="14.4" x14ac:dyDescent="0.3">
      <c r="A607" s="233" t="s">
        <v>264</v>
      </c>
      <c r="B607" s="709" t="s">
        <v>1055</v>
      </c>
      <c r="C607" s="708" t="s">
        <v>1056</v>
      </c>
      <c r="D607" s="709" t="s">
        <v>34</v>
      </c>
      <c r="E607" s="709" t="s">
        <v>1057</v>
      </c>
      <c r="F607" s="709" t="s">
        <v>1058</v>
      </c>
      <c r="G607" s="709">
        <v>3150000</v>
      </c>
      <c r="H607" s="710">
        <v>30000000</v>
      </c>
      <c r="I607" s="711" t="s">
        <v>267</v>
      </c>
      <c r="J607" s="710">
        <v>0</v>
      </c>
      <c r="K607" s="1603">
        <v>0</v>
      </c>
      <c r="L607" s="1603">
        <v>0</v>
      </c>
      <c r="M607" s="712" t="s">
        <v>40</v>
      </c>
      <c r="N607" s="712" t="s">
        <v>40</v>
      </c>
      <c r="O607" s="712" t="s">
        <v>40</v>
      </c>
      <c r="P607" s="712" t="s">
        <v>40</v>
      </c>
      <c r="Q607" s="713"/>
      <c r="R607" s="712" t="s">
        <v>40</v>
      </c>
      <c r="S607" s="713"/>
      <c r="T607" s="712" t="s">
        <v>40</v>
      </c>
      <c r="U607" s="713" t="s">
        <v>40</v>
      </c>
      <c r="V607" s="712" t="s">
        <v>40</v>
      </c>
      <c r="W607" s="713" t="s">
        <v>40</v>
      </c>
      <c r="X607" s="712" t="s">
        <v>40</v>
      </c>
      <c r="Y607" s="713" t="s">
        <v>40</v>
      </c>
      <c r="Z607" s="712" t="s">
        <v>41</v>
      </c>
      <c r="AA607" s="713">
        <v>45044</v>
      </c>
      <c r="AB607" s="712" t="s">
        <v>41</v>
      </c>
      <c r="AC607" s="713">
        <v>45122</v>
      </c>
      <c r="AD607" s="713"/>
      <c r="AE607" s="1519">
        <v>46203</v>
      </c>
      <c r="AF607" s="712" t="s">
        <v>278</v>
      </c>
      <c r="AG607" s="877" t="s">
        <v>279</v>
      </c>
      <c r="AH607" s="716">
        <v>0</v>
      </c>
      <c r="AI607" s="717"/>
      <c r="AJ607" s="718"/>
      <c r="AK607" s="719"/>
      <c r="AL607" s="709" t="s">
        <v>41</v>
      </c>
      <c r="AM607" s="720">
        <v>0</v>
      </c>
      <c r="AN607" s="721"/>
      <c r="AO607" s="104"/>
      <c r="AP607" s="104"/>
      <c r="AQ607" s="104"/>
      <c r="AR607" s="104"/>
      <c r="AS607" s="104"/>
      <c r="AT607" s="358"/>
      <c r="AU607" s="102"/>
      <c r="AV607" s="102"/>
      <c r="AW607" s="102"/>
      <c r="AX607" s="102"/>
      <c r="AY607" s="102"/>
      <c r="AZ607" s="102"/>
      <c r="BA607" s="102"/>
      <c r="BB607" s="102"/>
      <c r="BC607" s="102"/>
      <c r="BD607" s="102"/>
      <c r="BE607" s="102"/>
      <c r="BF607" s="102"/>
      <c r="BG607" s="102"/>
      <c r="BH607" s="102"/>
      <c r="BI607" s="102"/>
      <c r="BJ607" s="102"/>
      <c r="BK607" s="102"/>
      <c r="BL607" s="102"/>
      <c r="BM607" s="102"/>
      <c r="BN607" s="102"/>
      <c r="BO607" s="102"/>
      <c r="BP607" s="102"/>
      <c r="BQ607" s="102"/>
      <c r="BR607" s="102"/>
      <c r="BS607" s="102"/>
      <c r="BT607" s="102"/>
      <c r="BU607" s="102"/>
      <c r="BV607" s="102"/>
      <c r="BW607" s="102"/>
      <c r="BX607" s="102"/>
      <c r="BY607" s="102"/>
      <c r="BZ607" s="102"/>
      <c r="CA607" s="102"/>
      <c r="CB607" s="102"/>
      <c r="CC607" s="102"/>
      <c r="CD607" s="102"/>
      <c r="CE607" s="102"/>
      <c r="CF607" s="102"/>
      <c r="CG607" s="102"/>
      <c r="CH607" s="102"/>
      <c r="CI607" s="102"/>
      <c r="CJ607" s="102"/>
      <c r="CK607" s="102"/>
      <c r="CL607" s="102"/>
      <c r="CM607" s="102"/>
      <c r="CN607" s="102"/>
      <c r="CO607" s="102"/>
      <c r="CP607" s="102"/>
      <c r="CQ607" s="102"/>
      <c r="CR607" s="102"/>
      <c r="CS607" s="102"/>
      <c r="CT607" s="102"/>
      <c r="CU607" s="102"/>
      <c r="CV607" s="102"/>
      <c r="CW607" s="102"/>
      <c r="CX607" s="102"/>
      <c r="CY607" s="102"/>
      <c r="CZ607" s="102"/>
      <c r="DA607" s="102"/>
      <c r="DB607" s="102"/>
      <c r="DC607" s="102"/>
      <c r="DD607" s="102"/>
      <c r="DE607" s="102"/>
      <c r="DF607" s="102"/>
      <c r="DG607" s="102"/>
      <c r="DH607" s="102"/>
      <c r="DI607" s="102"/>
      <c r="DJ607" s="102"/>
      <c r="DK607" s="102"/>
      <c r="DL607" s="102"/>
      <c r="DM607" s="102"/>
      <c r="DN607" s="102"/>
      <c r="DO607" s="102"/>
      <c r="DP607" s="102"/>
      <c r="DQ607" s="102"/>
      <c r="DR607" s="102"/>
      <c r="DS607" s="102"/>
      <c r="DT607" s="102"/>
      <c r="DU607" s="102"/>
      <c r="DV607" s="102"/>
      <c r="DW607" s="102"/>
      <c r="DX607" s="102"/>
      <c r="DY607" s="102"/>
    </row>
    <row r="608" spans="1:129 16175:16381" s="359" customFormat="1" ht="14.4" x14ac:dyDescent="0.3">
      <c r="A608" s="102" t="s">
        <v>264</v>
      </c>
      <c r="B608" s="166" t="s">
        <v>228</v>
      </c>
      <c r="C608" s="732" t="s">
        <v>1054</v>
      </c>
      <c r="D608" s="166" t="s">
        <v>34</v>
      </c>
      <c r="E608" s="166"/>
      <c r="F608" s="166"/>
      <c r="G608" s="166"/>
      <c r="H608" s="425"/>
      <c r="I608" s="170" t="s">
        <v>267</v>
      </c>
      <c r="J608" s="425"/>
      <c r="K608" s="1605">
        <v>0</v>
      </c>
      <c r="L608" s="1605">
        <v>0</v>
      </c>
      <c r="M608" s="175" t="s">
        <v>40</v>
      </c>
      <c r="N608" s="175" t="s">
        <v>40</v>
      </c>
      <c r="O608" s="175" t="s">
        <v>40</v>
      </c>
      <c r="P608" s="175"/>
      <c r="Q608" s="174"/>
      <c r="R608" s="175"/>
      <c r="S608" s="174"/>
      <c r="T608" s="175"/>
      <c r="U608" s="174"/>
      <c r="V608" s="175"/>
      <c r="W608" s="174"/>
      <c r="X608" s="175"/>
      <c r="Y608" s="174"/>
      <c r="Z608" s="175"/>
      <c r="AA608" s="174"/>
      <c r="AB608" s="175"/>
      <c r="AC608" s="174"/>
      <c r="AD608" s="174"/>
      <c r="AE608" s="1521"/>
      <c r="AF608" s="176"/>
      <c r="AG608" s="177"/>
      <c r="AH608" s="426">
        <v>0</v>
      </c>
      <c r="AI608" s="878"/>
      <c r="AJ608" s="428"/>
      <c r="AK608" s="180"/>
      <c r="AL608" s="166"/>
      <c r="AM608" s="181"/>
      <c r="AN608" s="182"/>
      <c r="AO608" s="104"/>
      <c r="AP608" s="104"/>
      <c r="AQ608" s="104"/>
      <c r="AR608" s="104"/>
      <c r="AS608" s="104"/>
      <c r="AT608" s="358"/>
      <c r="AU608" s="102"/>
      <c r="AV608" s="102"/>
      <c r="AW608" s="102"/>
      <c r="AX608" s="102"/>
      <c r="AY608" s="102"/>
      <c r="AZ608" s="102"/>
      <c r="BA608" s="102"/>
      <c r="BB608" s="102"/>
      <c r="BC608" s="102"/>
      <c r="BD608" s="102"/>
      <c r="BE608" s="102"/>
      <c r="BF608" s="102"/>
      <c r="BG608" s="102"/>
      <c r="BH608" s="102"/>
      <c r="BI608" s="102"/>
      <c r="BJ608" s="102"/>
      <c r="BK608" s="102"/>
      <c r="BL608" s="102"/>
      <c r="BM608" s="102"/>
      <c r="BN608" s="102"/>
      <c r="BO608" s="102"/>
      <c r="BP608" s="102"/>
      <c r="BQ608" s="102"/>
      <c r="BR608" s="102"/>
      <c r="BS608" s="102"/>
      <c r="BT608" s="102"/>
      <c r="BU608" s="102"/>
      <c r="BV608" s="102"/>
      <c r="BW608" s="102"/>
      <c r="BX608" s="102"/>
      <c r="BY608" s="102"/>
      <c r="BZ608" s="102"/>
      <c r="CA608" s="102"/>
      <c r="CB608" s="102"/>
      <c r="CC608" s="102"/>
      <c r="CD608" s="102"/>
      <c r="CE608" s="102"/>
      <c r="CF608" s="102"/>
      <c r="CG608" s="102"/>
      <c r="CH608" s="102"/>
      <c r="CI608" s="102"/>
      <c r="CJ608" s="102"/>
      <c r="CK608" s="102"/>
      <c r="CL608" s="102"/>
      <c r="CM608" s="102"/>
      <c r="CN608" s="102"/>
      <c r="CO608" s="102"/>
      <c r="CP608" s="102"/>
      <c r="CQ608" s="102"/>
      <c r="CR608" s="102"/>
      <c r="CS608" s="102"/>
      <c r="CT608" s="102"/>
      <c r="CU608" s="102"/>
      <c r="CV608" s="102"/>
      <c r="CW608" s="102"/>
      <c r="CX608" s="102"/>
      <c r="CY608" s="102"/>
      <c r="CZ608" s="102"/>
      <c r="DA608" s="102"/>
      <c r="DB608" s="102"/>
      <c r="DC608" s="102"/>
      <c r="DD608" s="102"/>
      <c r="DE608" s="102"/>
      <c r="DF608" s="102"/>
      <c r="DG608" s="102"/>
      <c r="DH608" s="102"/>
      <c r="DI608" s="102"/>
      <c r="DJ608" s="102"/>
      <c r="DK608" s="102"/>
      <c r="DL608" s="102"/>
      <c r="DM608" s="102"/>
      <c r="DN608" s="102"/>
      <c r="DO608" s="102"/>
      <c r="DP608" s="102"/>
      <c r="DQ608" s="102"/>
      <c r="DR608" s="102"/>
      <c r="DS608" s="102"/>
      <c r="DT608" s="102"/>
      <c r="DU608" s="102"/>
      <c r="DV608" s="102"/>
      <c r="DW608" s="102"/>
      <c r="DX608" s="102"/>
      <c r="DY608" s="102"/>
    </row>
    <row r="609" spans="1:129" s="138" customFormat="1" ht="14.4" x14ac:dyDescent="0.3">
      <c r="A609" s="879" t="s">
        <v>264</v>
      </c>
      <c r="B609" s="693" t="s">
        <v>48</v>
      </c>
      <c r="C609" s="694" t="s">
        <v>1059</v>
      </c>
      <c r="D609" s="693" t="s">
        <v>34</v>
      </c>
      <c r="E609" s="693">
        <v>29</v>
      </c>
      <c r="F609" s="693" t="s">
        <v>35</v>
      </c>
      <c r="G609" s="693">
        <v>90</v>
      </c>
      <c r="H609" s="695">
        <v>50000000</v>
      </c>
      <c r="I609" s="696" t="s">
        <v>267</v>
      </c>
      <c r="J609" s="695">
        <f>J611+J646</f>
        <v>30131729.255112879</v>
      </c>
      <c r="K609" s="1602">
        <v>0</v>
      </c>
      <c r="L609" s="1602">
        <v>0</v>
      </c>
      <c r="M609" s="697" t="s">
        <v>40</v>
      </c>
      <c r="N609" s="697" t="s">
        <v>40</v>
      </c>
      <c r="O609" s="697" t="s">
        <v>40</v>
      </c>
      <c r="P609" s="697" t="s">
        <v>64</v>
      </c>
      <c r="Q609" s="698"/>
      <c r="R609" s="697" t="s">
        <v>64</v>
      </c>
      <c r="S609" s="698"/>
      <c r="T609" s="697" t="s">
        <v>64</v>
      </c>
      <c r="U609" s="698"/>
      <c r="V609" s="697" t="s">
        <v>40</v>
      </c>
      <c r="W609" s="698"/>
      <c r="X609" s="697" t="s">
        <v>40</v>
      </c>
      <c r="Y609" s="698"/>
      <c r="Z609" s="697" t="s">
        <v>41</v>
      </c>
      <c r="AA609" s="698">
        <f>AA610</f>
        <v>45016</v>
      </c>
      <c r="AB609" s="697" t="s">
        <v>41</v>
      </c>
      <c r="AC609" s="698">
        <v>45107</v>
      </c>
      <c r="AD609" s="698"/>
      <c r="AE609" s="1518">
        <v>45565</v>
      </c>
      <c r="AF609" s="697" t="s">
        <v>42</v>
      </c>
      <c r="AG609" s="880">
        <v>2024</v>
      </c>
      <c r="AH609" s="881">
        <f>AH611+AH645</f>
        <v>63803936.187999994</v>
      </c>
      <c r="AI609" s="882"/>
      <c r="AJ609" s="703"/>
      <c r="AK609" s="704"/>
      <c r="AL609" s="693" t="s">
        <v>41</v>
      </c>
      <c r="AM609" s="705">
        <v>0</v>
      </c>
      <c r="AN609" s="706"/>
      <c r="AO609" s="104"/>
      <c r="AP609" s="104"/>
      <c r="AQ609" s="104"/>
      <c r="AR609" s="104"/>
      <c r="AS609" s="104"/>
      <c r="AT609" s="358"/>
      <c r="AU609" s="102"/>
      <c r="AV609" s="102"/>
      <c r="AW609" s="102"/>
      <c r="AX609" s="102"/>
      <c r="AY609" s="102"/>
      <c r="AZ609" s="102"/>
      <c r="BA609" s="102"/>
      <c r="BB609" s="102"/>
      <c r="BC609" s="102"/>
      <c r="BD609" s="102"/>
      <c r="BE609" s="102"/>
      <c r="BF609" s="102"/>
      <c r="BG609" s="102"/>
      <c r="BH609" s="102"/>
      <c r="BI609" s="102"/>
      <c r="BJ609" s="102"/>
      <c r="BK609" s="102"/>
      <c r="BL609" s="102"/>
      <c r="BM609" s="102"/>
      <c r="BN609" s="102"/>
      <c r="BO609" s="102"/>
      <c r="BP609" s="102"/>
      <c r="BQ609" s="102"/>
      <c r="BR609" s="102"/>
      <c r="BS609" s="102"/>
      <c r="BT609" s="102"/>
      <c r="BU609" s="102"/>
      <c r="BV609" s="102"/>
      <c r="BW609" s="102"/>
      <c r="BX609" s="102"/>
      <c r="BY609" s="102"/>
      <c r="BZ609" s="102"/>
      <c r="CA609" s="102"/>
      <c r="CB609" s="102"/>
      <c r="CC609" s="102"/>
      <c r="CD609" s="102"/>
      <c r="CE609" s="102"/>
      <c r="CF609" s="102"/>
      <c r="CG609" s="102"/>
      <c r="CH609" s="102"/>
      <c r="CI609" s="102"/>
      <c r="CJ609" s="102"/>
      <c r="CK609" s="102"/>
      <c r="CL609" s="102"/>
      <c r="CM609" s="102"/>
      <c r="CN609" s="102"/>
      <c r="CO609" s="102"/>
      <c r="CP609" s="102"/>
      <c r="CQ609" s="102"/>
      <c r="CR609" s="102"/>
      <c r="CS609" s="102"/>
      <c r="CT609" s="102"/>
      <c r="CU609" s="102"/>
      <c r="CV609" s="102"/>
      <c r="CW609" s="102"/>
      <c r="CX609" s="102"/>
      <c r="CY609" s="102"/>
      <c r="CZ609" s="102"/>
      <c r="DA609" s="102"/>
      <c r="DB609" s="102"/>
      <c r="DC609" s="102"/>
      <c r="DD609" s="102"/>
      <c r="DE609" s="102"/>
      <c r="DF609" s="102"/>
      <c r="DG609" s="102"/>
      <c r="DH609" s="102"/>
      <c r="DI609" s="102"/>
      <c r="DJ609" s="102"/>
      <c r="DK609" s="102"/>
      <c r="DL609" s="102"/>
      <c r="DM609" s="102"/>
      <c r="DN609" s="102"/>
      <c r="DO609" s="102"/>
      <c r="DP609" s="102"/>
      <c r="DQ609" s="102"/>
      <c r="DR609" s="102"/>
      <c r="DS609" s="102"/>
      <c r="DT609" s="102"/>
      <c r="DU609" s="102"/>
      <c r="DV609" s="102"/>
      <c r="DW609" s="102"/>
      <c r="DX609" s="102"/>
      <c r="DY609" s="102"/>
    </row>
    <row r="610" spans="1:129" s="359" customFormat="1" ht="28.8" x14ac:dyDescent="0.3">
      <c r="A610" s="233" t="s">
        <v>264</v>
      </c>
      <c r="B610" s="709" t="s">
        <v>1060</v>
      </c>
      <c r="C610" s="708" t="s">
        <v>1061</v>
      </c>
      <c r="D610" s="709" t="s">
        <v>34</v>
      </c>
      <c r="E610" s="709">
        <v>29</v>
      </c>
      <c r="F610" s="709" t="s">
        <v>35</v>
      </c>
      <c r="G610" s="877">
        <f>G611+G646</f>
        <v>38</v>
      </c>
      <c r="H610" s="710">
        <v>32000000</v>
      </c>
      <c r="I610" s="711" t="s">
        <v>267</v>
      </c>
      <c r="J610" s="710">
        <f>J611</f>
        <v>20937079.089999996</v>
      </c>
      <c r="K610" s="1603">
        <v>0</v>
      </c>
      <c r="L610" s="1603">
        <v>0</v>
      </c>
      <c r="M610" s="712" t="s">
        <v>40</v>
      </c>
      <c r="N610" s="712" t="s">
        <v>40</v>
      </c>
      <c r="O610" s="712" t="s">
        <v>40</v>
      </c>
      <c r="P610" s="712" t="s">
        <v>40</v>
      </c>
      <c r="Q610" s="713" t="s">
        <v>40</v>
      </c>
      <c r="R610" s="712" t="s">
        <v>40</v>
      </c>
      <c r="S610" s="713" t="s">
        <v>40</v>
      </c>
      <c r="T610" s="712" t="s">
        <v>64</v>
      </c>
      <c r="U610" s="713"/>
      <c r="V610" s="712" t="s">
        <v>40</v>
      </c>
      <c r="W610" s="713" t="s">
        <v>40</v>
      </c>
      <c r="X610" s="712" t="s">
        <v>40</v>
      </c>
      <c r="Y610" s="713" t="s">
        <v>40</v>
      </c>
      <c r="Z610" s="712" t="s">
        <v>41</v>
      </c>
      <c r="AA610" s="713">
        <v>45016</v>
      </c>
      <c r="AB610" s="712" t="s">
        <v>41</v>
      </c>
      <c r="AC610" s="713">
        <v>45107</v>
      </c>
      <c r="AD610" s="713"/>
      <c r="AE610" s="1519">
        <v>45565</v>
      </c>
      <c r="AF610" s="714" t="s">
        <v>42</v>
      </c>
      <c r="AG610" s="715">
        <v>2024</v>
      </c>
      <c r="AH610" s="716">
        <f>AH611</f>
        <v>31487666.247999996</v>
      </c>
      <c r="AI610" s="717"/>
      <c r="AJ610" s="718"/>
      <c r="AK610" s="719"/>
      <c r="AL610" s="709" t="s">
        <v>41</v>
      </c>
      <c r="AM610" s="720">
        <v>0</v>
      </c>
      <c r="AN610" s="721"/>
      <c r="AO610" s="104"/>
      <c r="AP610" s="104"/>
      <c r="AQ610" s="104"/>
      <c r="AR610" s="104"/>
      <c r="AS610" s="104"/>
      <c r="AT610" s="358"/>
      <c r="AU610" s="102"/>
      <c r="AV610" s="102"/>
      <c r="AW610" s="102"/>
      <c r="AX610" s="102"/>
      <c r="AY610" s="102"/>
      <c r="AZ610" s="102"/>
      <c r="BA610" s="102"/>
      <c r="BB610" s="102"/>
      <c r="BC610" s="102"/>
      <c r="BD610" s="102"/>
      <c r="BE610" s="102"/>
      <c r="BF610" s="102"/>
      <c r="BG610" s="102"/>
      <c r="BH610" s="102"/>
      <c r="BI610" s="102"/>
      <c r="BJ610" s="102"/>
      <c r="BK610" s="102"/>
      <c r="BL610" s="102"/>
      <c r="BM610" s="102"/>
      <c r="BN610" s="102"/>
      <c r="BO610" s="102"/>
      <c r="BP610" s="102"/>
      <c r="BQ610" s="102"/>
      <c r="BR610" s="102"/>
      <c r="BS610" s="102"/>
      <c r="BT610" s="102"/>
      <c r="BU610" s="102"/>
      <c r="BV610" s="102"/>
      <c r="BW610" s="102"/>
      <c r="BX610" s="102"/>
      <c r="BY610" s="102"/>
      <c r="BZ610" s="102"/>
      <c r="CA610" s="102"/>
      <c r="CB610" s="102"/>
      <c r="CC610" s="102"/>
      <c r="CD610" s="102"/>
      <c r="CE610" s="102"/>
      <c r="CF610" s="102"/>
      <c r="CG610" s="102"/>
      <c r="CH610" s="102"/>
      <c r="CI610" s="102"/>
      <c r="CJ610" s="102"/>
      <c r="CK610" s="102"/>
      <c r="CL610" s="102"/>
      <c r="CM610" s="102"/>
      <c r="CN610" s="102"/>
      <c r="CO610" s="102"/>
      <c r="CP610" s="102"/>
      <c r="CQ610" s="102"/>
      <c r="CR610" s="102"/>
      <c r="CS610" s="102"/>
      <c r="CT610" s="102"/>
      <c r="CU610" s="102"/>
      <c r="CV610" s="102"/>
      <c r="CW610" s="102"/>
      <c r="CX610" s="102"/>
      <c r="CY610" s="102"/>
      <c r="CZ610" s="102"/>
      <c r="DA610" s="102"/>
      <c r="DB610" s="102"/>
      <c r="DC610" s="102"/>
      <c r="DD610" s="102"/>
      <c r="DE610" s="102"/>
      <c r="DF610" s="102"/>
      <c r="DG610" s="102"/>
      <c r="DH610" s="102"/>
      <c r="DI610" s="102"/>
      <c r="DJ610" s="102"/>
      <c r="DK610" s="102"/>
      <c r="DL610" s="102"/>
      <c r="DM610" s="102"/>
      <c r="DN610" s="102"/>
      <c r="DO610" s="102"/>
      <c r="DP610" s="102"/>
      <c r="DQ610" s="102"/>
      <c r="DR610" s="102"/>
      <c r="DS610" s="102"/>
      <c r="DT610" s="102"/>
      <c r="DU610" s="102"/>
      <c r="DV610" s="102"/>
      <c r="DW610" s="102"/>
      <c r="DX610" s="102"/>
      <c r="DY610" s="102"/>
    </row>
    <row r="611" spans="1:129" s="359" customFormat="1" ht="26.4" customHeight="1" x14ac:dyDescent="0.3">
      <c r="A611" s="140" t="s">
        <v>264</v>
      </c>
      <c r="B611" s="847" t="s">
        <v>1060</v>
      </c>
      <c r="C611" s="883" t="s">
        <v>1061</v>
      </c>
      <c r="D611" s="847" t="s">
        <v>34</v>
      </c>
      <c r="E611" s="847">
        <v>29</v>
      </c>
      <c r="F611" s="847" t="s">
        <v>35</v>
      </c>
      <c r="G611" s="884">
        <f>SUM(G612:G625)</f>
        <v>14</v>
      </c>
      <c r="H611" s="885">
        <f>SUM(H612:H644)</f>
        <v>18068037.300726734</v>
      </c>
      <c r="I611" s="711" t="s">
        <v>267</v>
      </c>
      <c r="J611" s="885">
        <f>SUM(J612:J644)</f>
        <v>20937079.089999996</v>
      </c>
      <c r="K611" s="1619">
        <f>SUM(K612:K644)</f>
        <v>247529.4100517786</v>
      </c>
      <c r="L611" s="1619">
        <f>SUM(L612:L644)</f>
        <v>247529.4100517786</v>
      </c>
      <c r="M611" s="886"/>
      <c r="N611" s="886"/>
      <c r="O611" s="886"/>
      <c r="P611" s="886"/>
      <c r="Q611" s="887"/>
      <c r="R611" s="886"/>
      <c r="S611" s="887"/>
      <c r="T611" s="886"/>
      <c r="U611" s="887"/>
      <c r="V611" s="886"/>
      <c r="W611" s="887"/>
      <c r="X611" s="886"/>
      <c r="Y611" s="887"/>
      <c r="Z611" s="886"/>
      <c r="AA611" s="887"/>
      <c r="AB611" s="886"/>
      <c r="AC611" s="887"/>
      <c r="AD611" s="887"/>
      <c r="AE611" s="1534"/>
      <c r="AF611" s="888"/>
      <c r="AG611" s="889"/>
      <c r="AH611" s="885">
        <f>SUM(AH612:AH625)</f>
        <v>31487666.247999996</v>
      </c>
      <c r="AI611" s="890"/>
      <c r="AJ611" s="891"/>
      <c r="AK611" s="892"/>
      <c r="AL611" s="847"/>
      <c r="AM611" s="855"/>
      <c r="AN611" s="893"/>
      <c r="AO611" s="104"/>
      <c r="AP611" s="104"/>
      <c r="AQ611" s="104"/>
      <c r="AR611" s="104"/>
      <c r="AS611" s="104"/>
      <c r="AT611" s="358"/>
      <c r="AU611" s="102"/>
      <c r="AV611" s="102"/>
      <c r="AW611" s="102"/>
      <c r="AX611" s="102"/>
      <c r="AY611" s="102"/>
      <c r="AZ611" s="102"/>
      <c r="BA611" s="102"/>
      <c r="BB611" s="102"/>
      <c r="BC611" s="102"/>
      <c r="BD611" s="102"/>
      <c r="BE611" s="102"/>
      <c r="BF611" s="102"/>
      <c r="BG611" s="102"/>
      <c r="BH611" s="102"/>
      <c r="BI611" s="102"/>
      <c r="BJ611" s="102"/>
      <c r="BK611" s="102"/>
      <c r="BL611" s="102"/>
      <c r="BM611" s="102"/>
      <c r="BN611" s="102"/>
      <c r="BO611" s="102"/>
      <c r="BP611" s="102"/>
      <c r="BQ611" s="102"/>
      <c r="BR611" s="102"/>
      <c r="BS611" s="102"/>
      <c r="BT611" s="102"/>
      <c r="BU611" s="102"/>
      <c r="BV611" s="102"/>
      <c r="BW611" s="102"/>
      <c r="BX611" s="102"/>
      <c r="BY611" s="102"/>
      <c r="BZ611" s="102"/>
      <c r="CA611" s="102"/>
      <c r="CB611" s="102"/>
      <c r="CC611" s="102"/>
      <c r="CD611" s="102"/>
      <c r="CE611" s="102"/>
      <c r="CF611" s="102"/>
      <c r="CG611" s="102"/>
      <c r="CH611" s="102"/>
      <c r="CI611" s="102"/>
      <c r="CJ611" s="102"/>
      <c r="CK611" s="102"/>
      <c r="CL611" s="102"/>
      <c r="CM611" s="102"/>
      <c r="CN611" s="102"/>
      <c r="CO611" s="102"/>
      <c r="CP611" s="102"/>
      <c r="CQ611" s="102"/>
      <c r="CR611" s="102"/>
      <c r="CS611" s="102"/>
      <c r="CT611" s="102"/>
      <c r="CU611" s="102"/>
      <c r="CV611" s="102"/>
      <c r="CW611" s="102"/>
      <c r="CX611" s="102"/>
      <c r="CY611" s="102"/>
      <c r="CZ611" s="102"/>
      <c r="DA611" s="102"/>
      <c r="DB611" s="102"/>
      <c r="DC611" s="102"/>
      <c r="DD611" s="102"/>
      <c r="DE611" s="102"/>
      <c r="DF611" s="102"/>
      <c r="DG611" s="102"/>
      <c r="DH611" s="102"/>
      <c r="DI611" s="102"/>
      <c r="DJ611" s="102"/>
      <c r="DK611" s="102"/>
      <c r="DL611" s="102"/>
      <c r="DM611" s="102"/>
      <c r="DN611" s="102"/>
      <c r="DO611" s="102"/>
      <c r="DP611" s="102"/>
      <c r="DQ611" s="102"/>
      <c r="DR611" s="102"/>
      <c r="DS611" s="102"/>
      <c r="DT611" s="102"/>
      <c r="DU611" s="102"/>
      <c r="DV611" s="102"/>
      <c r="DW611" s="102"/>
      <c r="DX611" s="102"/>
      <c r="DY611" s="102"/>
    </row>
    <row r="612" spans="1:129" s="143" customFormat="1" ht="28.8" x14ac:dyDescent="0.3">
      <c r="A612" s="143" t="s">
        <v>264</v>
      </c>
      <c r="B612" s="149" t="s">
        <v>1060</v>
      </c>
      <c r="C612" s="407" t="s">
        <v>1062</v>
      </c>
      <c r="D612" s="223" t="s">
        <v>34</v>
      </c>
      <c r="E612" s="223">
        <v>29</v>
      </c>
      <c r="F612" s="223" t="s">
        <v>35</v>
      </c>
      <c r="G612" s="894">
        <v>1</v>
      </c>
      <c r="H612" s="389">
        <v>449845.63245336898</v>
      </c>
      <c r="I612" s="895" t="s">
        <v>267</v>
      </c>
      <c r="J612" s="388">
        <v>499828.47999999998</v>
      </c>
      <c r="K612" s="1620">
        <f>4786.74</f>
        <v>4786.74</v>
      </c>
      <c r="L612" s="1620">
        <f>4786.74</f>
        <v>4786.74</v>
      </c>
      <c r="M612" s="896" t="s">
        <v>1063</v>
      </c>
      <c r="N612" s="896" t="s">
        <v>1064</v>
      </c>
      <c r="O612" s="896" t="s">
        <v>1065</v>
      </c>
      <c r="P612" s="897" t="s">
        <v>40</v>
      </c>
      <c r="Q612" s="898" t="s">
        <v>40</v>
      </c>
      <c r="R612" s="897" t="s">
        <v>40</v>
      </c>
      <c r="S612" s="898" t="s">
        <v>40</v>
      </c>
      <c r="T612" s="897" t="s">
        <v>64</v>
      </c>
      <c r="U612" s="898" t="s">
        <v>40</v>
      </c>
      <c r="V612" s="897"/>
      <c r="W612" s="898"/>
      <c r="X612" s="897"/>
      <c r="Y612" s="898"/>
      <c r="Z612" s="836" t="s">
        <v>64</v>
      </c>
      <c r="AA612" s="898" t="s">
        <v>40</v>
      </c>
      <c r="AB612" s="897"/>
      <c r="AC612" s="898"/>
      <c r="AD612" s="898">
        <v>45250</v>
      </c>
      <c r="AE612" s="1535">
        <v>45565</v>
      </c>
      <c r="AF612" s="419" t="s">
        <v>42</v>
      </c>
      <c r="AG612" s="414">
        <v>2024</v>
      </c>
      <c r="AH612" s="408">
        <v>2206717.75</v>
      </c>
      <c r="AI612" s="899" t="s">
        <v>1066</v>
      </c>
      <c r="AJ612" s="61"/>
      <c r="AK612" s="420"/>
      <c r="AL612" s="421" t="s">
        <v>41</v>
      </c>
      <c r="AM612" s="416">
        <v>0</v>
      </c>
      <c r="AN612" s="422"/>
      <c r="AO612" s="165"/>
      <c r="AP612" s="165"/>
      <c r="AQ612" s="165"/>
      <c r="AR612" s="165"/>
      <c r="AS612" s="165"/>
      <c r="AT612" s="315"/>
    </row>
    <row r="613" spans="1:129" s="143" customFormat="1" ht="28.8" x14ac:dyDescent="0.3">
      <c r="A613" s="143" t="s">
        <v>264</v>
      </c>
      <c r="B613" s="149" t="s">
        <v>1060</v>
      </c>
      <c r="C613" s="407" t="s">
        <v>1067</v>
      </c>
      <c r="D613" s="223" t="s">
        <v>34</v>
      </c>
      <c r="E613" s="223">
        <v>29</v>
      </c>
      <c r="F613" s="223" t="s">
        <v>35</v>
      </c>
      <c r="G613" s="900">
        <v>1</v>
      </c>
      <c r="H613" s="390">
        <v>449959.71052899805</v>
      </c>
      <c r="I613" s="418" t="s">
        <v>267</v>
      </c>
      <c r="J613" s="53">
        <v>499955.23</v>
      </c>
      <c r="K613" s="1617">
        <f>4786.74</f>
        <v>4786.74</v>
      </c>
      <c r="L613" s="1617">
        <f>4786.74</f>
        <v>4786.74</v>
      </c>
      <c r="M613" s="410" t="s">
        <v>1063</v>
      </c>
      <c r="N613" s="410" t="s">
        <v>1068</v>
      </c>
      <c r="O613" s="410" t="s">
        <v>1069</v>
      </c>
      <c r="P613" s="155" t="s">
        <v>40</v>
      </c>
      <c r="Q613" s="156" t="s">
        <v>40</v>
      </c>
      <c r="R613" s="155" t="s">
        <v>40</v>
      </c>
      <c r="S613" s="156" t="s">
        <v>40</v>
      </c>
      <c r="T613" s="155" t="s">
        <v>64</v>
      </c>
      <c r="U613" s="156" t="s">
        <v>40</v>
      </c>
      <c r="V613" s="155"/>
      <c r="W613" s="156"/>
      <c r="X613" s="155"/>
      <c r="Y613" s="156"/>
      <c r="Z613" s="713" t="s">
        <v>64</v>
      </c>
      <c r="AA613" s="156" t="s">
        <v>40</v>
      </c>
      <c r="AB613" s="155"/>
      <c r="AC613" s="156"/>
      <c r="AD613" s="156">
        <v>45250</v>
      </c>
      <c r="AE613" s="1523">
        <v>45565</v>
      </c>
      <c r="AF613" s="419" t="s">
        <v>42</v>
      </c>
      <c r="AG613" s="414">
        <v>2024</v>
      </c>
      <c r="AH613" s="408">
        <v>2207277.36</v>
      </c>
      <c r="AI613" s="899" t="s">
        <v>1070</v>
      </c>
      <c r="AJ613" s="61"/>
      <c r="AK613" s="420"/>
      <c r="AL613" s="421" t="s">
        <v>41</v>
      </c>
      <c r="AM613" s="416">
        <v>0</v>
      </c>
      <c r="AN613" s="422"/>
      <c r="AO613" s="165"/>
      <c r="AP613" s="165"/>
      <c r="AQ613" s="165"/>
      <c r="AR613" s="165"/>
      <c r="AS613" s="165"/>
      <c r="AT613" s="315"/>
    </row>
    <row r="614" spans="1:129" s="143" customFormat="1" ht="28.8" x14ac:dyDescent="0.3">
      <c r="A614" s="143" t="s">
        <v>264</v>
      </c>
      <c r="B614" s="149" t="s">
        <v>1060</v>
      </c>
      <c r="C614" s="407" t="s">
        <v>1071</v>
      </c>
      <c r="D614" s="223" t="s">
        <v>34</v>
      </c>
      <c r="E614" s="223">
        <v>29</v>
      </c>
      <c r="F614" s="223" t="s">
        <v>35</v>
      </c>
      <c r="G614" s="900">
        <v>1</v>
      </c>
      <c r="H614" s="390">
        <v>449774.9990826624</v>
      </c>
      <c r="I614" s="418" t="s">
        <v>267</v>
      </c>
      <c r="J614" s="53">
        <v>499750</v>
      </c>
      <c r="K614" s="1617">
        <v>0</v>
      </c>
      <c r="L614" s="1617">
        <v>0</v>
      </c>
      <c r="M614" s="410" t="s">
        <v>1072</v>
      </c>
      <c r="N614" s="410" t="s">
        <v>1073</v>
      </c>
      <c r="O614" s="410" t="s">
        <v>1074</v>
      </c>
      <c r="P614" s="155" t="s">
        <v>40</v>
      </c>
      <c r="Q614" s="156" t="s">
        <v>40</v>
      </c>
      <c r="R614" s="155" t="s">
        <v>40</v>
      </c>
      <c r="S614" s="156" t="s">
        <v>40</v>
      </c>
      <c r="T614" s="155" t="s">
        <v>64</v>
      </c>
      <c r="U614" s="156" t="s">
        <v>40</v>
      </c>
      <c r="V614" s="155"/>
      <c r="W614" s="156"/>
      <c r="X614" s="155"/>
      <c r="Y614" s="156"/>
      <c r="Z614" s="713" t="s">
        <v>64</v>
      </c>
      <c r="AA614" s="156" t="s">
        <v>40</v>
      </c>
      <c r="AB614" s="155"/>
      <c r="AC614" s="156"/>
      <c r="AD614" s="156">
        <v>45250</v>
      </c>
      <c r="AE614" s="1523">
        <v>45565</v>
      </c>
      <c r="AF614" s="419" t="s">
        <v>42</v>
      </c>
      <c r="AG614" s="414">
        <v>2024</v>
      </c>
      <c r="AH614" s="408">
        <v>2206371.2580000004</v>
      </c>
      <c r="AI614" s="899" t="s">
        <v>1075</v>
      </c>
      <c r="AJ614" s="61"/>
      <c r="AK614" s="420"/>
      <c r="AL614" s="421" t="s">
        <v>41</v>
      </c>
      <c r="AM614" s="416">
        <v>0</v>
      </c>
      <c r="AN614" s="422"/>
      <c r="AO614" s="165"/>
      <c r="AP614" s="165"/>
      <c r="AQ614" s="165"/>
      <c r="AR614" s="165"/>
      <c r="AS614" s="165"/>
      <c r="AT614" s="315"/>
    </row>
    <row r="615" spans="1:129" s="143" customFormat="1" ht="14.4" x14ac:dyDescent="0.3">
      <c r="A615" s="143" t="s">
        <v>264</v>
      </c>
      <c r="B615" s="149" t="s">
        <v>1060</v>
      </c>
      <c r="C615" s="407" t="s">
        <v>1076</v>
      </c>
      <c r="D615" s="223" t="s">
        <v>34</v>
      </c>
      <c r="E615" s="223">
        <v>29</v>
      </c>
      <c r="F615" s="223" t="s">
        <v>35</v>
      </c>
      <c r="G615" s="900">
        <v>1</v>
      </c>
      <c r="H615" s="390">
        <v>200950.00203852818</v>
      </c>
      <c r="I615" s="418" t="s">
        <v>267</v>
      </c>
      <c r="J615" s="53">
        <v>223277.78</v>
      </c>
      <c r="K615" s="1617">
        <v>0</v>
      </c>
      <c r="L615" s="1617">
        <v>0</v>
      </c>
      <c r="M615" s="410" t="s">
        <v>1077</v>
      </c>
      <c r="N615" s="410" t="s">
        <v>1078</v>
      </c>
      <c r="O615" s="410" t="s">
        <v>1079</v>
      </c>
      <c r="P615" s="155" t="s">
        <v>40</v>
      </c>
      <c r="Q615" s="156" t="s">
        <v>40</v>
      </c>
      <c r="R615" s="155" t="s">
        <v>40</v>
      </c>
      <c r="S615" s="156" t="s">
        <v>40</v>
      </c>
      <c r="T615" s="155" t="s">
        <v>64</v>
      </c>
      <c r="U615" s="156" t="s">
        <v>40</v>
      </c>
      <c r="V615" s="155"/>
      <c r="W615" s="156"/>
      <c r="X615" s="155"/>
      <c r="Y615" s="156"/>
      <c r="Z615" s="713" t="s">
        <v>64</v>
      </c>
      <c r="AA615" s="156" t="s">
        <v>40</v>
      </c>
      <c r="AB615" s="155"/>
      <c r="AC615" s="156"/>
      <c r="AD615" s="156">
        <v>45250</v>
      </c>
      <c r="AE615" s="1523">
        <v>45565</v>
      </c>
      <c r="AF615" s="419" t="s">
        <v>42</v>
      </c>
      <c r="AG615" s="414">
        <v>2024</v>
      </c>
      <c r="AH615" s="408">
        <v>985760.23499999999</v>
      </c>
      <c r="AI615" s="899" t="s">
        <v>1080</v>
      </c>
      <c r="AJ615" s="61"/>
      <c r="AK615" s="420"/>
      <c r="AL615" s="421" t="s">
        <v>41</v>
      </c>
      <c r="AM615" s="416">
        <v>0</v>
      </c>
      <c r="AN615" s="422"/>
      <c r="AO615" s="165"/>
      <c r="AP615" s="165"/>
      <c r="AQ615" s="165"/>
      <c r="AR615" s="165"/>
      <c r="AS615" s="165"/>
      <c r="AT615" s="315"/>
    </row>
    <row r="616" spans="1:129" s="143" customFormat="1" ht="14.4" x14ac:dyDescent="0.3">
      <c r="A616" s="143" t="s">
        <v>264</v>
      </c>
      <c r="B616" s="149" t="s">
        <v>1060</v>
      </c>
      <c r="C616" s="407" t="s">
        <v>1081</v>
      </c>
      <c r="D616" s="223" t="s">
        <v>34</v>
      </c>
      <c r="E616" s="223">
        <v>29</v>
      </c>
      <c r="F616" s="223" t="s">
        <v>35</v>
      </c>
      <c r="G616" s="900">
        <v>1</v>
      </c>
      <c r="H616" s="390">
        <v>190878.08745285904</v>
      </c>
      <c r="I616" s="418" t="s">
        <v>267</v>
      </c>
      <c r="J616" s="53">
        <v>212086.76</v>
      </c>
      <c r="K616" s="1617">
        <v>0</v>
      </c>
      <c r="L616" s="1617">
        <v>0</v>
      </c>
      <c r="M616" s="410" t="s">
        <v>1082</v>
      </c>
      <c r="N616" s="410" t="s">
        <v>1083</v>
      </c>
      <c r="O616" s="410" t="s">
        <v>1084</v>
      </c>
      <c r="P616" s="155" t="s">
        <v>40</v>
      </c>
      <c r="Q616" s="156" t="s">
        <v>40</v>
      </c>
      <c r="R616" s="155" t="s">
        <v>40</v>
      </c>
      <c r="S616" s="156" t="s">
        <v>40</v>
      </c>
      <c r="T616" s="155" t="s">
        <v>64</v>
      </c>
      <c r="U616" s="156" t="s">
        <v>40</v>
      </c>
      <c r="V616" s="155"/>
      <c r="W616" s="156"/>
      <c r="X616" s="155"/>
      <c r="Y616" s="156"/>
      <c r="Z616" s="713" t="s">
        <v>64</v>
      </c>
      <c r="AA616" s="156" t="s">
        <v>40</v>
      </c>
      <c r="AB616" s="155"/>
      <c r="AC616" s="156"/>
      <c r="AD616" s="156">
        <v>45250</v>
      </c>
      <c r="AE616" s="1523">
        <v>45565</v>
      </c>
      <c r="AF616" s="419" t="s">
        <v>42</v>
      </c>
      <c r="AG616" s="414">
        <v>2024</v>
      </c>
      <c r="AH616" s="408">
        <v>936352.45799999998</v>
      </c>
      <c r="AI616" s="899" t="s">
        <v>1085</v>
      </c>
      <c r="AJ616" s="61"/>
      <c r="AK616" s="420"/>
      <c r="AL616" s="421" t="s">
        <v>41</v>
      </c>
      <c r="AM616" s="416">
        <v>0</v>
      </c>
      <c r="AN616" s="422"/>
      <c r="AO616" s="165"/>
      <c r="AP616" s="165"/>
      <c r="AQ616" s="165"/>
      <c r="AR616" s="165"/>
      <c r="AS616" s="165"/>
      <c r="AT616" s="315"/>
    </row>
    <row r="617" spans="1:129" s="143" customFormat="1" ht="14.4" x14ac:dyDescent="0.3">
      <c r="A617" s="143" t="s">
        <v>264</v>
      </c>
      <c r="B617" s="149" t="s">
        <v>1060</v>
      </c>
      <c r="C617" s="407" t="s">
        <v>1086</v>
      </c>
      <c r="D617" s="223" t="s">
        <v>34</v>
      </c>
      <c r="E617" s="223">
        <v>29</v>
      </c>
      <c r="F617" s="223" t="s">
        <v>35</v>
      </c>
      <c r="G617" s="900">
        <v>1</v>
      </c>
      <c r="H617" s="390">
        <v>452802.81928447663</v>
      </c>
      <c r="I617" s="418" t="s">
        <v>267</v>
      </c>
      <c r="J617" s="53">
        <v>566003.52</v>
      </c>
      <c r="K617" s="1617">
        <v>0</v>
      </c>
      <c r="L617" s="1617">
        <v>0</v>
      </c>
      <c r="M617" s="410" t="s">
        <v>1087</v>
      </c>
      <c r="N617" s="410" t="s">
        <v>539</v>
      </c>
      <c r="O617" s="410" t="s">
        <v>454</v>
      </c>
      <c r="P617" s="155" t="s">
        <v>40</v>
      </c>
      <c r="Q617" s="156" t="s">
        <v>40</v>
      </c>
      <c r="R617" s="155" t="s">
        <v>40</v>
      </c>
      <c r="S617" s="156" t="s">
        <v>40</v>
      </c>
      <c r="T617" s="155" t="s">
        <v>64</v>
      </c>
      <c r="U617" s="156" t="s">
        <v>40</v>
      </c>
      <c r="V617" s="155"/>
      <c r="W617" s="156"/>
      <c r="X617" s="155"/>
      <c r="Y617" s="156"/>
      <c r="Z617" s="713" t="s">
        <v>64</v>
      </c>
      <c r="AA617" s="156" t="s">
        <v>40</v>
      </c>
      <c r="AB617" s="155"/>
      <c r="AC617" s="156"/>
      <c r="AD617" s="156">
        <v>45250</v>
      </c>
      <c r="AE617" s="1523">
        <v>45565</v>
      </c>
      <c r="AF617" s="419" t="s">
        <v>42</v>
      </c>
      <c r="AG617" s="414">
        <v>2024</v>
      </c>
      <c r="AH617" s="408">
        <v>2221224.23</v>
      </c>
      <c r="AI617" s="899" t="s">
        <v>1088</v>
      </c>
      <c r="AJ617" s="61"/>
      <c r="AK617" s="420"/>
      <c r="AL617" s="421" t="s">
        <v>41</v>
      </c>
      <c r="AM617" s="416">
        <v>0</v>
      </c>
      <c r="AN617" s="422"/>
      <c r="AO617" s="165"/>
      <c r="AP617" s="165"/>
      <c r="AQ617" s="165"/>
      <c r="AR617" s="165"/>
      <c r="AS617" s="165"/>
      <c r="AT617" s="315"/>
    </row>
    <row r="618" spans="1:129" s="143" customFormat="1" ht="28.8" x14ac:dyDescent="0.3">
      <c r="A618" s="143" t="s">
        <v>264</v>
      </c>
      <c r="B618" s="149" t="s">
        <v>1060</v>
      </c>
      <c r="C618" s="407" t="s">
        <v>1089</v>
      </c>
      <c r="D618" s="223" t="s">
        <v>34</v>
      </c>
      <c r="E618" s="223">
        <v>29</v>
      </c>
      <c r="F618" s="223" t="s">
        <v>35</v>
      </c>
      <c r="G618" s="900">
        <v>1</v>
      </c>
      <c r="H618" s="390">
        <v>1315573.7621037611</v>
      </c>
      <c r="I618" s="418" t="s">
        <v>267</v>
      </c>
      <c r="J618" s="53">
        <v>1879391.09</v>
      </c>
      <c r="K618" s="1617">
        <v>0</v>
      </c>
      <c r="L618" s="1617">
        <v>0</v>
      </c>
      <c r="M618" s="410" t="s">
        <v>1090</v>
      </c>
      <c r="N618" s="410" t="s">
        <v>1091</v>
      </c>
      <c r="O618" s="410" t="s">
        <v>1092</v>
      </c>
      <c r="P618" s="155" t="s">
        <v>40</v>
      </c>
      <c r="Q618" s="156" t="s">
        <v>40</v>
      </c>
      <c r="R618" s="155" t="s">
        <v>40</v>
      </c>
      <c r="S618" s="156" t="s">
        <v>40</v>
      </c>
      <c r="T618" s="155" t="s">
        <v>64</v>
      </c>
      <c r="U618" s="156" t="s">
        <v>40</v>
      </c>
      <c r="V618" s="155"/>
      <c r="W618" s="156"/>
      <c r="X618" s="155"/>
      <c r="Y618" s="156"/>
      <c r="Z618" s="713" t="s">
        <v>64</v>
      </c>
      <c r="AA618" s="156" t="s">
        <v>40</v>
      </c>
      <c r="AB618" s="155"/>
      <c r="AC618" s="156"/>
      <c r="AD618" s="156">
        <v>45250</v>
      </c>
      <c r="AE618" s="1523">
        <v>45565</v>
      </c>
      <c r="AF618" s="419" t="s">
        <v>42</v>
      </c>
      <c r="AG618" s="414">
        <v>2024</v>
      </c>
      <c r="AH618" s="408">
        <v>6453547.0899999999</v>
      </c>
      <c r="AI618" s="899" t="s">
        <v>1093</v>
      </c>
      <c r="AJ618" s="61"/>
      <c r="AK618" s="420"/>
      <c r="AL618" s="421" t="s">
        <v>41</v>
      </c>
      <c r="AM618" s="416">
        <v>0</v>
      </c>
      <c r="AN618" s="422"/>
      <c r="AO618" s="165"/>
      <c r="AP618" s="165"/>
      <c r="AQ618" s="165"/>
      <c r="AR618" s="165"/>
      <c r="AS618" s="165"/>
      <c r="AT618" s="315"/>
    </row>
    <row r="619" spans="1:129" s="143" customFormat="1" ht="14.4" x14ac:dyDescent="0.3">
      <c r="A619" s="143" t="s">
        <v>264</v>
      </c>
      <c r="B619" s="149" t="s">
        <v>1060</v>
      </c>
      <c r="C619" s="407" t="s">
        <v>1094</v>
      </c>
      <c r="D619" s="223" t="s">
        <v>34</v>
      </c>
      <c r="E619" s="223">
        <v>29</v>
      </c>
      <c r="F619" s="223" t="s">
        <v>35</v>
      </c>
      <c r="G619" s="900">
        <v>1</v>
      </c>
      <c r="H619" s="390">
        <v>449958.90327183774</v>
      </c>
      <c r="I619" s="418" t="s">
        <v>267</v>
      </c>
      <c r="J619" s="53">
        <v>499954.34</v>
      </c>
      <c r="K619" s="1621">
        <f>25582.5400061156</f>
        <v>25582.5400061156</v>
      </c>
      <c r="L619" s="1622">
        <f>25582.5400061156</f>
        <v>25582.5400061156</v>
      </c>
      <c r="M619" s="410" t="s">
        <v>1095</v>
      </c>
      <c r="N619" s="410" t="s">
        <v>1096</v>
      </c>
      <c r="O619" s="410" t="s">
        <v>1097</v>
      </c>
      <c r="P619" s="155" t="s">
        <v>40</v>
      </c>
      <c r="Q619" s="156" t="s">
        <v>40</v>
      </c>
      <c r="R619" s="155" t="s">
        <v>40</v>
      </c>
      <c r="S619" s="156" t="s">
        <v>40</v>
      </c>
      <c r="T619" s="155" t="s">
        <v>64</v>
      </c>
      <c r="U619" s="156" t="s">
        <v>40</v>
      </c>
      <c r="V619" s="155"/>
      <c r="W619" s="156"/>
      <c r="X619" s="155"/>
      <c r="Y619" s="156"/>
      <c r="Z619" s="713" t="s">
        <v>64</v>
      </c>
      <c r="AA619" s="156" t="s">
        <v>40</v>
      </c>
      <c r="AB619" s="155"/>
      <c r="AC619" s="156"/>
      <c r="AD619" s="156">
        <v>45250</v>
      </c>
      <c r="AE619" s="1523">
        <v>45565</v>
      </c>
      <c r="AF619" s="419" t="s">
        <v>42</v>
      </c>
      <c r="AG619" s="414">
        <v>2024</v>
      </c>
      <c r="AH619" s="408">
        <v>2207273.4</v>
      </c>
      <c r="AI619" s="899" t="s">
        <v>1098</v>
      </c>
      <c r="AJ619" s="61"/>
      <c r="AK619" s="420"/>
      <c r="AL619" s="421" t="s">
        <v>41</v>
      </c>
      <c r="AM619" s="416">
        <v>0</v>
      </c>
      <c r="AN619" s="422"/>
      <c r="AO619" s="165"/>
      <c r="AP619" s="165"/>
      <c r="AQ619" s="165"/>
      <c r="AR619" s="165"/>
      <c r="AS619" s="165"/>
      <c r="AT619" s="315"/>
    </row>
    <row r="620" spans="1:129" s="143" customFormat="1" ht="43.2" x14ac:dyDescent="0.3">
      <c r="A620" s="143" t="s">
        <v>264</v>
      </c>
      <c r="B620" s="149" t="s">
        <v>1060</v>
      </c>
      <c r="C620" s="407" t="s">
        <v>1099</v>
      </c>
      <c r="D620" s="223" t="s">
        <v>34</v>
      </c>
      <c r="E620" s="223">
        <v>29</v>
      </c>
      <c r="F620" s="223" t="s">
        <v>35</v>
      </c>
      <c r="G620" s="900">
        <v>1</v>
      </c>
      <c r="H620" s="390">
        <v>450000</v>
      </c>
      <c r="I620" s="418" t="s">
        <v>267</v>
      </c>
      <c r="J620" s="53">
        <v>500000</v>
      </c>
      <c r="K620" s="1617">
        <f>909.63+23525.37</f>
        <v>24435</v>
      </c>
      <c r="L620" s="1617">
        <f>909.63+23525.37</f>
        <v>24435</v>
      </c>
      <c r="M620" s="410" t="s">
        <v>1095</v>
      </c>
      <c r="N620" s="410" t="s">
        <v>1100</v>
      </c>
      <c r="O620" s="410" t="s">
        <v>1101</v>
      </c>
      <c r="P620" s="155" t="s">
        <v>40</v>
      </c>
      <c r="Q620" s="156" t="s">
        <v>40</v>
      </c>
      <c r="R620" s="155" t="s">
        <v>40</v>
      </c>
      <c r="S620" s="156" t="s">
        <v>40</v>
      </c>
      <c r="T620" s="155" t="s">
        <v>64</v>
      </c>
      <c r="U620" s="156" t="s">
        <v>40</v>
      </c>
      <c r="V620" s="155"/>
      <c r="W620" s="156"/>
      <c r="X620" s="155"/>
      <c r="Y620" s="156"/>
      <c r="Z620" s="713" t="s">
        <v>64</v>
      </c>
      <c r="AA620" s="156" t="s">
        <v>40</v>
      </c>
      <c r="AB620" s="155"/>
      <c r="AC620" s="156"/>
      <c r="AD620" s="156">
        <v>45250</v>
      </c>
      <c r="AE620" s="1523">
        <v>45565</v>
      </c>
      <c r="AF620" s="419" t="s">
        <v>42</v>
      </c>
      <c r="AG620" s="414">
        <v>2024</v>
      </c>
      <c r="AH620" s="408">
        <v>2207475</v>
      </c>
      <c r="AI620" s="899" t="s">
        <v>1102</v>
      </c>
      <c r="AJ620" s="61"/>
      <c r="AK620" s="420"/>
      <c r="AL620" s="421" t="s">
        <v>41</v>
      </c>
      <c r="AM620" s="416">
        <v>0</v>
      </c>
      <c r="AN620" s="422"/>
      <c r="AO620" s="165"/>
      <c r="AP620" s="165"/>
      <c r="AQ620" s="165"/>
      <c r="AR620" s="165"/>
      <c r="AS620" s="165"/>
      <c r="AT620" s="315"/>
    </row>
    <row r="621" spans="1:129" s="143" customFormat="1" ht="43.2" x14ac:dyDescent="0.3">
      <c r="A621" s="143" t="s">
        <v>264</v>
      </c>
      <c r="B621" s="149" t="s">
        <v>1060</v>
      </c>
      <c r="C621" s="407" t="s">
        <v>1103</v>
      </c>
      <c r="D621" s="223" t="s">
        <v>34</v>
      </c>
      <c r="E621" s="223">
        <v>29</v>
      </c>
      <c r="F621" s="223" t="s">
        <v>35</v>
      </c>
      <c r="G621" s="900">
        <v>1</v>
      </c>
      <c r="H621" s="390">
        <v>449740.57690347568</v>
      </c>
      <c r="I621" s="418" t="s">
        <v>267</v>
      </c>
      <c r="J621" s="53">
        <v>499711.75</v>
      </c>
      <c r="K621" s="1402">
        <f>909.63+23525.369</f>
        <v>24434.999</v>
      </c>
      <c r="L621" s="1402">
        <f>909.63+23525.369</f>
        <v>24434.999</v>
      </c>
      <c r="M621" s="410" t="s">
        <v>1095</v>
      </c>
      <c r="N621" s="410" t="s">
        <v>1104</v>
      </c>
      <c r="O621" s="410" t="s">
        <v>1101</v>
      </c>
      <c r="P621" s="155" t="s">
        <v>40</v>
      </c>
      <c r="Q621" s="156" t="s">
        <v>40</v>
      </c>
      <c r="R621" s="155" t="s">
        <v>40</v>
      </c>
      <c r="S621" s="156" t="s">
        <v>40</v>
      </c>
      <c r="T621" s="155" t="s">
        <v>64</v>
      </c>
      <c r="U621" s="156" t="s">
        <v>40</v>
      </c>
      <c r="V621" s="155"/>
      <c r="W621" s="156"/>
      <c r="X621" s="155"/>
      <c r="Y621" s="156"/>
      <c r="Z621" s="713" t="s">
        <v>64</v>
      </c>
      <c r="AA621" s="156" t="s">
        <v>40</v>
      </c>
      <c r="AB621" s="155"/>
      <c r="AC621" s="156"/>
      <c r="AD621" s="156">
        <v>45250</v>
      </c>
      <c r="AE621" s="1523">
        <v>45565</v>
      </c>
      <c r="AF621" s="419" t="s">
        <v>42</v>
      </c>
      <c r="AG621" s="414">
        <v>2024</v>
      </c>
      <c r="AH621" s="408">
        <v>2206202.4</v>
      </c>
      <c r="AI621" s="899" t="s">
        <v>1102</v>
      </c>
      <c r="AJ621" s="61"/>
      <c r="AK621" s="420"/>
      <c r="AL621" s="421" t="s">
        <v>41</v>
      </c>
      <c r="AM621" s="416">
        <v>0</v>
      </c>
      <c r="AN621" s="422"/>
      <c r="AO621" s="165"/>
      <c r="AP621" s="165"/>
      <c r="AQ621" s="165"/>
      <c r="AR621" s="165"/>
      <c r="AS621" s="165"/>
      <c r="AT621" s="315"/>
    </row>
    <row r="622" spans="1:129" s="143" customFormat="1" ht="43.2" x14ac:dyDescent="0.3">
      <c r="A622" s="143" t="s">
        <v>264</v>
      </c>
      <c r="B622" s="149" t="s">
        <v>1060</v>
      </c>
      <c r="C622" s="407" t="s">
        <v>1105</v>
      </c>
      <c r="D622" s="223" t="s">
        <v>34</v>
      </c>
      <c r="E622" s="223">
        <v>29</v>
      </c>
      <c r="F622" s="223" t="s">
        <v>35</v>
      </c>
      <c r="G622" s="900">
        <v>1</v>
      </c>
      <c r="H622" s="390">
        <v>418700.62175109575</v>
      </c>
      <c r="I622" s="418" t="s">
        <v>267</v>
      </c>
      <c r="J622" s="53">
        <v>465222.91</v>
      </c>
      <c r="K622" s="1402">
        <f>909.632045663031+23525.369</f>
        <v>24435.00104566303</v>
      </c>
      <c r="L622" s="1402">
        <f>909.632045663031+23525.369</f>
        <v>24435.00104566303</v>
      </c>
      <c r="M622" s="410" t="s">
        <v>1095</v>
      </c>
      <c r="N622" s="410" t="s">
        <v>637</v>
      </c>
      <c r="O622" s="410" t="s">
        <v>1101</v>
      </c>
      <c r="P622" s="155" t="s">
        <v>40</v>
      </c>
      <c r="Q622" s="156" t="s">
        <v>40</v>
      </c>
      <c r="R622" s="155" t="s">
        <v>40</v>
      </c>
      <c r="S622" s="156" t="s">
        <v>40</v>
      </c>
      <c r="T622" s="155" t="s">
        <v>64</v>
      </c>
      <c r="U622" s="156" t="s">
        <v>40</v>
      </c>
      <c r="V622" s="155"/>
      <c r="W622" s="156"/>
      <c r="X622" s="155"/>
      <c r="Y622" s="156"/>
      <c r="Z622" s="713" t="s">
        <v>64</v>
      </c>
      <c r="AA622" s="156" t="s">
        <v>40</v>
      </c>
      <c r="AB622" s="155"/>
      <c r="AC622" s="156"/>
      <c r="AD622" s="156">
        <v>45250</v>
      </c>
      <c r="AE622" s="1523">
        <v>45565</v>
      </c>
      <c r="AF622" s="419" t="s">
        <v>42</v>
      </c>
      <c r="AG622" s="414">
        <v>2024</v>
      </c>
      <c r="AH622" s="408">
        <v>2053935.9000000001</v>
      </c>
      <c r="AI622" s="899" t="s">
        <v>1102</v>
      </c>
      <c r="AJ622" s="61"/>
      <c r="AK622" s="420"/>
      <c r="AL622" s="421" t="s">
        <v>41</v>
      </c>
      <c r="AM622" s="416">
        <v>0</v>
      </c>
      <c r="AN622" s="422"/>
      <c r="AO622" s="165"/>
      <c r="AP622" s="165"/>
      <c r="AQ622" s="165"/>
      <c r="AR622" s="165"/>
      <c r="AS622" s="165"/>
      <c r="AT622" s="315"/>
    </row>
    <row r="623" spans="1:129" s="143" customFormat="1" ht="14.4" x14ac:dyDescent="0.3">
      <c r="A623" s="143" t="s">
        <v>264</v>
      </c>
      <c r="B623" s="149" t="s">
        <v>1060</v>
      </c>
      <c r="C623" s="407" t="s">
        <v>1106</v>
      </c>
      <c r="D623" s="223" t="s">
        <v>34</v>
      </c>
      <c r="E623" s="223">
        <v>29</v>
      </c>
      <c r="F623" s="223" t="s">
        <v>35</v>
      </c>
      <c r="G623" s="900">
        <v>1</v>
      </c>
      <c r="H623" s="390">
        <v>437789.2502293344</v>
      </c>
      <c r="I623" s="418" t="s">
        <v>267</v>
      </c>
      <c r="J623" s="53">
        <v>486432.5</v>
      </c>
      <c r="K623" s="1617">
        <v>0</v>
      </c>
      <c r="L623" s="1617">
        <v>0</v>
      </c>
      <c r="M623" s="410" t="s">
        <v>1107</v>
      </c>
      <c r="N623" s="410" t="s">
        <v>1108</v>
      </c>
      <c r="O623" s="410" t="s">
        <v>1109</v>
      </c>
      <c r="P623" s="155" t="s">
        <v>40</v>
      </c>
      <c r="Q623" s="156" t="s">
        <v>40</v>
      </c>
      <c r="R623" s="155" t="s">
        <v>40</v>
      </c>
      <c r="S623" s="156" t="s">
        <v>40</v>
      </c>
      <c r="T623" s="155" t="s">
        <v>64</v>
      </c>
      <c r="U623" s="156" t="s">
        <v>40</v>
      </c>
      <c r="V623" s="155"/>
      <c r="W623" s="156"/>
      <c r="X623" s="155"/>
      <c r="Y623" s="156"/>
      <c r="Z623" s="713" t="s">
        <v>64</v>
      </c>
      <c r="AA623" s="156" t="s">
        <v>40</v>
      </c>
      <c r="AB623" s="155"/>
      <c r="AC623" s="156"/>
      <c r="AD623" s="156">
        <v>45250</v>
      </c>
      <c r="AE623" s="1523">
        <v>45565</v>
      </c>
      <c r="AF623" s="419" t="s">
        <v>42</v>
      </c>
      <c r="AG623" s="414">
        <v>2024</v>
      </c>
      <c r="AH623" s="408">
        <v>2147575.1669999999</v>
      </c>
      <c r="AI623" s="899" t="s">
        <v>1110</v>
      </c>
      <c r="AJ623" s="61"/>
      <c r="AK623" s="420"/>
      <c r="AL623" s="421" t="s">
        <v>41</v>
      </c>
      <c r="AM623" s="416">
        <v>0</v>
      </c>
      <c r="AN623" s="422"/>
      <c r="AO623" s="165"/>
      <c r="AP623" s="165"/>
      <c r="AQ623" s="165"/>
      <c r="AR623" s="165"/>
      <c r="AS623" s="165"/>
      <c r="AT623" s="315"/>
    </row>
    <row r="624" spans="1:129" s="143" customFormat="1" ht="28.8" x14ac:dyDescent="0.3">
      <c r="A624" s="143" t="s">
        <v>264</v>
      </c>
      <c r="B624" s="149" t="s">
        <v>1060</v>
      </c>
      <c r="C624" s="407" t="s">
        <v>1111</v>
      </c>
      <c r="D624" s="223" t="s">
        <v>34</v>
      </c>
      <c r="E624" s="223">
        <v>29</v>
      </c>
      <c r="F624" s="223" t="s">
        <v>35</v>
      </c>
      <c r="G624" s="900">
        <v>1</v>
      </c>
      <c r="H624" s="390">
        <v>253379.67587401895</v>
      </c>
      <c r="I624" s="418" t="s">
        <v>267</v>
      </c>
      <c r="J624" s="53">
        <v>281532.96999999997</v>
      </c>
      <c r="K624" s="1402">
        <f>114850.677</f>
        <v>114850.677</v>
      </c>
      <c r="L624" s="1402">
        <f>114850.677</f>
        <v>114850.677</v>
      </c>
      <c r="M624" s="410" t="s">
        <v>1112</v>
      </c>
      <c r="N624" s="410" t="s">
        <v>317</v>
      </c>
      <c r="O624" s="410" t="s">
        <v>1113</v>
      </c>
      <c r="P624" s="155" t="s">
        <v>40</v>
      </c>
      <c r="Q624" s="156" t="s">
        <v>40</v>
      </c>
      <c r="R624" s="155" t="s">
        <v>40</v>
      </c>
      <c r="S624" s="156" t="s">
        <v>40</v>
      </c>
      <c r="T624" s="155" t="s">
        <v>64</v>
      </c>
      <c r="U624" s="156" t="s">
        <v>40</v>
      </c>
      <c r="V624" s="155"/>
      <c r="W624" s="156"/>
      <c r="X624" s="155"/>
      <c r="Y624" s="156"/>
      <c r="Z624" s="713" t="s">
        <v>64</v>
      </c>
      <c r="AA624" s="156" t="s">
        <v>40</v>
      </c>
      <c r="AB624" s="155"/>
      <c r="AC624" s="156"/>
      <c r="AD624" s="156">
        <v>45250</v>
      </c>
      <c r="AE624" s="1523">
        <v>45565</v>
      </c>
      <c r="AF624" s="419" t="s">
        <v>42</v>
      </c>
      <c r="AG624" s="414">
        <v>2024</v>
      </c>
      <c r="AH624" s="408">
        <v>1242954</v>
      </c>
      <c r="AI624" s="899" t="s">
        <v>1114</v>
      </c>
      <c r="AJ624" s="61"/>
      <c r="AK624" s="420"/>
      <c r="AL624" s="421" t="s">
        <v>41</v>
      </c>
      <c r="AM624" s="416">
        <v>0</v>
      </c>
      <c r="AN624" s="422"/>
      <c r="AO624" s="165"/>
      <c r="AP624" s="165"/>
      <c r="AQ624" s="165"/>
      <c r="AR624" s="165"/>
      <c r="AS624" s="165"/>
      <c r="AT624" s="315"/>
    </row>
    <row r="625" spans="1:46 16361:16367" s="901" customFormat="1" ht="31.95" customHeight="1" x14ac:dyDescent="0.3">
      <c r="A625" s="901" t="s">
        <v>264</v>
      </c>
      <c r="B625" s="902" t="s">
        <v>1060</v>
      </c>
      <c r="C625" s="903" t="s">
        <v>1115</v>
      </c>
      <c r="D625" s="400" t="s">
        <v>34</v>
      </c>
      <c r="E625" s="400">
        <v>29</v>
      </c>
      <c r="F625" s="400" t="s">
        <v>35</v>
      </c>
      <c r="G625" s="904">
        <v>1</v>
      </c>
      <c r="H625" s="905">
        <v>449495.46427479363</v>
      </c>
      <c r="I625" s="906" t="s">
        <v>267</v>
      </c>
      <c r="J625" s="907">
        <v>499439.4</v>
      </c>
      <c r="K625" s="1623">
        <v>0</v>
      </c>
      <c r="L625" s="1623">
        <v>0</v>
      </c>
      <c r="M625" s="908" t="s">
        <v>1116</v>
      </c>
      <c r="N625" s="908" t="s">
        <v>1117</v>
      </c>
      <c r="O625" s="908" t="s">
        <v>1118</v>
      </c>
      <c r="P625" s="909" t="s">
        <v>40</v>
      </c>
      <c r="Q625" s="910" t="s">
        <v>40</v>
      </c>
      <c r="R625" s="909" t="s">
        <v>40</v>
      </c>
      <c r="S625" s="910" t="s">
        <v>40</v>
      </c>
      <c r="T625" s="909" t="s">
        <v>64</v>
      </c>
      <c r="U625" s="910" t="s">
        <v>40</v>
      </c>
      <c r="V625" s="909"/>
      <c r="W625" s="910"/>
      <c r="X625" s="909"/>
      <c r="Y625" s="910"/>
      <c r="Z625" s="911" t="s">
        <v>64</v>
      </c>
      <c r="AA625" s="910" t="s">
        <v>40</v>
      </c>
      <c r="AB625" s="909"/>
      <c r="AC625" s="910"/>
      <c r="AD625" s="910">
        <v>45250</v>
      </c>
      <c r="AE625" s="1536">
        <v>45565</v>
      </c>
      <c r="AF625" s="912" t="s">
        <v>42</v>
      </c>
      <c r="AG625" s="913">
        <v>2024</v>
      </c>
      <c r="AH625" s="914">
        <v>2205000</v>
      </c>
      <c r="AI625" s="899" t="s">
        <v>1119</v>
      </c>
      <c r="AJ625" s="79"/>
      <c r="AK625" s="915"/>
      <c r="AL625" s="916" t="s">
        <v>41</v>
      </c>
      <c r="AM625" s="917">
        <v>0</v>
      </c>
      <c r="AN625" s="918"/>
      <c r="AO625" s="165"/>
      <c r="AP625" s="165"/>
      <c r="AQ625" s="165"/>
      <c r="AR625" s="165"/>
      <c r="AS625" s="165"/>
      <c r="AT625" s="919"/>
    </row>
    <row r="626" spans="1:46 16361:16367" s="100" customFormat="1" ht="43.2" x14ac:dyDescent="0.3">
      <c r="A626" s="100" t="s">
        <v>264</v>
      </c>
      <c r="B626" s="400" t="s">
        <v>1060</v>
      </c>
      <c r="C626" s="861" t="s">
        <v>1120</v>
      </c>
      <c r="D626" s="400" t="s">
        <v>34</v>
      </c>
      <c r="E626" s="400">
        <v>29</v>
      </c>
      <c r="F626" s="400" t="s">
        <v>35</v>
      </c>
      <c r="G626" s="920">
        <v>1</v>
      </c>
      <c r="H626" s="863">
        <v>448374.44093364588</v>
      </c>
      <c r="I626" s="864" t="s">
        <v>267</v>
      </c>
      <c r="J626" s="447">
        <v>498193.82</v>
      </c>
      <c r="K626" s="1624">
        <v>0</v>
      </c>
      <c r="L626" s="1624">
        <v>0</v>
      </c>
      <c r="M626" s="921" t="s">
        <v>1121</v>
      </c>
      <c r="N626" s="921" t="s">
        <v>1122</v>
      </c>
      <c r="O626" s="921" t="s">
        <v>1123</v>
      </c>
      <c r="P626" s="922" t="s">
        <v>40</v>
      </c>
      <c r="Q626" s="923" t="s">
        <v>40</v>
      </c>
      <c r="R626" s="922" t="s">
        <v>40</v>
      </c>
      <c r="S626" s="923" t="s">
        <v>40</v>
      </c>
      <c r="T626" s="922" t="s">
        <v>64</v>
      </c>
      <c r="U626" s="923" t="s">
        <v>40</v>
      </c>
      <c r="V626" s="922"/>
      <c r="W626" s="923"/>
      <c r="X626" s="922"/>
      <c r="Y626" s="923"/>
      <c r="Z626" s="923" t="s">
        <v>64</v>
      </c>
      <c r="AA626" s="923" t="s">
        <v>40</v>
      </c>
      <c r="AB626" s="922"/>
      <c r="AC626" s="923"/>
      <c r="AD626" s="923">
        <v>45250</v>
      </c>
      <c r="AE626" s="1537">
        <v>45565</v>
      </c>
      <c r="AF626" s="924" t="s">
        <v>42</v>
      </c>
      <c r="AG626" s="925">
        <v>2024</v>
      </c>
      <c r="AH626" s="862">
        <v>2199500.8199999998</v>
      </c>
      <c r="AI626" s="926">
        <v>13765323</v>
      </c>
      <c r="AJ626" s="123"/>
      <c r="AK626" s="399"/>
      <c r="AL626" s="400" t="s">
        <v>41</v>
      </c>
      <c r="AM626" s="401">
        <v>0</v>
      </c>
      <c r="XEG626" s="400"/>
      <c r="XEH626" s="861"/>
      <c r="XEI626" s="927"/>
      <c r="XEJ626" s="447"/>
      <c r="XEK626" s="921"/>
      <c r="XEL626" s="921"/>
      <c r="XEM626" s="921"/>
    </row>
    <row r="627" spans="1:46 16361:16367" s="100" customFormat="1" ht="31.95" customHeight="1" x14ac:dyDescent="0.3">
      <c r="A627" s="100" t="s">
        <v>264</v>
      </c>
      <c r="B627" s="400" t="s">
        <v>1060</v>
      </c>
      <c r="C627" s="861" t="s">
        <v>1124</v>
      </c>
      <c r="D627" s="400" t="s">
        <v>34</v>
      </c>
      <c r="E627" s="400">
        <v>29</v>
      </c>
      <c r="F627" s="400" t="s">
        <v>35</v>
      </c>
      <c r="G627" s="920">
        <v>1</v>
      </c>
      <c r="H627" s="863">
        <v>1389468.54</v>
      </c>
      <c r="I627" s="864" t="s">
        <v>267</v>
      </c>
      <c r="J627" s="447">
        <v>1984955.06</v>
      </c>
      <c r="K627" s="1624">
        <v>0</v>
      </c>
      <c r="L627" s="1624">
        <v>0</v>
      </c>
      <c r="M627" s="921" t="s">
        <v>84</v>
      </c>
      <c r="N627" s="928" t="s">
        <v>1125</v>
      </c>
      <c r="O627" s="921" t="s">
        <v>1126</v>
      </c>
      <c r="P627" s="922" t="s">
        <v>40</v>
      </c>
      <c r="Q627" s="923" t="s">
        <v>40</v>
      </c>
      <c r="R627" s="922" t="s">
        <v>40</v>
      </c>
      <c r="S627" s="923" t="s">
        <v>40</v>
      </c>
      <c r="T627" s="922" t="s">
        <v>64</v>
      </c>
      <c r="U627" s="923" t="s">
        <v>40</v>
      </c>
      <c r="V627" s="922"/>
      <c r="W627" s="923"/>
      <c r="X627" s="922"/>
      <c r="Y627" s="923"/>
      <c r="Z627" s="923" t="s">
        <v>64</v>
      </c>
      <c r="AA627" s="923" t="s">
        <v>40</v>
      </c>
      <c r="AB627" s="922"/>
      <c r="AC627" s="923"/>
      <c r="AD627" s="923">
        <v>45250</v>
      </c>
      <c r="AE627" s="1537">
        <v>45565</v>
      </c>
      <c r="AF627" s="924" t="s">
        <v>42</v>
      </c>
      <c r="AG627" s="925">
        <v>2024</v>
      </c>
      <c r="AH627" s="862">
        <v>6816037.9400000004</v>
      </c>
      <c r="AI627" s="926">
        <v>39138808</v>
      </c>
      <c r="AJ627" s="123"/>
      <c r="AK627" s="399"/>
      <c r="AL627" s="400" t="s">
        <v>41</v>
      </c>
      <c r="AM627" s="401">
        <v>0</v>
      </c>
      <c r="AN627" s="402"/>
      <c r="AO627" s="104"/>
      <c r="AP627" s="104"/>
      <c r="AQ627" s="104"/>
      <c r="AR627" s="104"/>
      <c r="AS627" s="104"/>
      <c r="AT627" s="634"/>
    </row>
    <row r="628" spans="1:46 16361:16367" s="100" customFormat="1" ht="31.95" customHeight="1" x14ac:dyDescent="0.3">
      <c r="A628" s="100" t="s">
        <v>264</v>
      </c>
      <c r="B628" s="400" t="s">
        <v>1060</v>
      </c>
      <c r="C628" s="861" t="s">
        <v>1127</v>
      </c>
      <c r="D628" s="400" t="s">
        <v>34</v>
      </c>
      <c r="E628" s="400">
        <v>29</v>
      </c>
      <c r="F628" s="400" t="s">
        <v>35</v>
      </c>
      <c r="G628" s="920">
        <v>1</v>
      </c>
      <c r="H628" s="863">
        <v>1339726.51</v>
      </c>
      <c r="I628" s="864" t="s">
        <v>267</v>
      </c>
      <c r="J628" s="447">
        <v>1913895.01</v>
      </c>
      <c r="K628" s="1624">
        <v>0</v>
      </c>
      <c r="L628" s="1624">
        <v>0</v>
      </c>
      <c r="M628" s="921" t="s">
        <v>84</v>
      </c>
      <c r="N628" s="928" t="s">
        <v>1125</v>
      </c>
      <c r="O628" s="921" t="s">
        <v>1126</v>
      </c>
      <c r="P628" s="922" t="s">
        <v>40</v>
      </c>
      <c r="Q628" s="923" t="s">
        <v>40</v>
      </c>
      <c r="R628" s="922" t="s">
        <v>40</v>
      </c>
      <c r="S628" s="923" t="s">
        <v>40</v>
      </c>
      <c r="T628" s="922" t="s">
        <v>64</v>
      </c>
      <c r="U628" s="923" t="s">
        <v>40</v>
      </c>
      <c r="V628" s="922"/>
      <c r="W628" s="923"/>
      <c r="X628" s="922"/>
      <c r="Y628" s="923"/>
      <c r="Z628" s="923" t="s">
        <v>64</v>
      </c>
      <c r="AA628" s="923" t="s">
        <v>40</v>
      </c>
      <c r="AB628" s="922"/>
      <c r="AC628" s="923"/>
      <c r="AD628" s="923">
        <v>45250</v>
      </c>
      <c r="AE628" s="1537">
        <v>45565</v>
      </c>
      <c r="AF628" s="924" t="s">
        <v>42</v>
      </c>
      <c r="AG628" s="925">
        <v>2024</v>
      </c>
      <c r="AH628" s="862">
        <v>6572028.3899999997</v>
      </c>
      <c r="AI628" s="926">
        <v>39138808</v>
      </c>
      <c r="AJ628" s="123"/>
      <c r="AK628" s="399"/>
      <c r="AL628" s="400" t="s">
        <v>41</v>
      </c>
      <c r="AM628" s="401">
        <v>0</v>
      </c>
      <c r="AN628" s="402"/>
      <c r="AO628" s="104"/>
      <c r="AP628" s="104"/>
      <c r="AQ628" s="104"/>
      <c r="AR628" s="104"/>
      <c r="AS628" s="104"/>
      <c r="AT628" s="634"/>
    </row>
    <row r="629" spans="1:46 16361:16367" s="100" customFormat="1" ht="31.95" customHeight="1" x14ac:dyDescent="0.3">
      <c r="A629" s="100" t="s">
        <v>264</v>
      </c>
      <c r="B629" s="400" t="s">
        <v>1060</v>
      </c>
      <c r="C629" s="861" t="s">
        <v>1128</v>
      </c>
      <c r="D629" s="400" t="s">
        <v>34</v>
      </c>
      <c r="E629" s="400">
        <v>29</v>
      </c>
      <c r="F629" s="400" t="s">
        <v>35</v>
      </c>
      <c r="G629" s="920">
        <v>1</v>
      </c>
      <c r="H629" s="863">
        <v>799479.65</v>
      </c>
      <c r="I629" s="864" t="s">
        <v>267</v>
      </c>
      <c r="J629" s="447">
        <v>999349.56</v>
      </c>
      <c r="K629" s="1624">
        <v>0</v>
      </c>
      <c r="L629" s="1624">
        <v>0</v>
      </c>
      <c r="M629" s="921" t="s">
        <v>84</v>
      </c>
      <c r="N629" s="928" t="s">
        <v>1129</v>
      </c>
      <c r="O629" s="921" t="s">
        <v>1130</v>
      </c>
      <c r="P629" s="922" t="s">
        <v>40</v>
      </c>
      <c r="Q629" s="923" t="s">
        <v>40</v>
      </c>
      <c r="R629" s="922" t="s">
        <v>40</v>
      </c>
      <c r="S629" s="923" t="s">
        <v>40</v>
      </c>
      <c r="T629" s="922" t="s">
        <v>64</v>
      </c>
      <c r="U629" s="923" t="s">
        <v>40</v>
      </c>
      <c r="V629" s="922"/>
      <c r="W629" s="923"/>
      <c r="X629" s="922"/>
      <c r="Y629" s="923"/>
      <c r="Z629" s="923" t="s">
        <v>64</v>
      </c>
      <c r="AA629" s="923" t="s">
        <v>40</v>
      </c>
      <c r="AB629" s="922"/>
      <c r="AC629" s="923"/>
      <c r="AD629" s="923">
        <v>45250</v>
      </c>
      <c r="AE629" s="1537">
        <v>45565</v>
      </c>
      <c r="AF629" s="924" t="s">
        <v>42</v>
      </c>
      <c r="AG629" s="925">
        <v>2024</v>
      </c>
      <c r="AH629" s="862">
        <v>3921847.41</v>
      </c>
      <c r="AI629" s="926">
        <v>46957155</v>
      </c>
      <c r="AJ629" s="123"/>
      <c r="AK629" s="399"/>
      <c r="AL629" s="400" t="s">
        <v>41</v>
      </c>
      <c r="AM629" s="401">
        <v>0</v>
      </c>
      <c r="AN629" s="402"/>
      <c r="AO629" s="104"/>
      <c r="AP629" s="104"/>
      <c r="AQ629" s="104"/>
      <c r="AR629" s="104"/>
      <c r="AS629" s="104"/>
      <c r="AT629" s="634"/>
    </row>
    <row r="630" spans="1:46 16361:16367" s="100" customFormat="1" ht="31.95" customHeight="1" x14ac:dyDescent="0.3">
      <c r="A630" s="100" t="s">
        <v>264</v>
      </c>
      <c r="B630" s="400" t="s">
        <v>1060</v>
      </c>
      <c r="C630" s="861" t="s">
        <v>1131</v>
      </c>
      <c r="D630" s="400" t="s">
        <v>34</v>
      </c>
      <c r="E630" s="400">
        <v>29</v>
      </c>
      <c r="F630" s="400" t="s">
        <v>35</v>
      </c>
      <c r="G630" s="920">
        <v>1</v>
      </c>
      <c r="H630" s="863">
        <v>435644.95</v>
      </c>
      <c r="I630" s="864" t="s">
        <v>267</v>
      </c>
      <c r="J630" s="447">
        <v>484049.94</v>
      </c>
      <c r="K630" s="1624">
        <v>0</v>
      </c>
      <c r="L630" s="1624">
        <v>0</v>
      </c>
      <c r="M630" s="921" t="s">
        <v>322</v>
      </c>
      <c r="N630" s="928" t="s">
        <v>1132</v>
      </c>
      <c r="O630" s="921" t="s">
        <v>1133</v>
      </c>
      <c r="P630" s="922" t="s">
        <v>40</v>
      </c>
      <c r="Q630" s="923" t="s">
        <v>40</v>
      </c>
      <c r="R630" s="922" t="s">
        <v>40</v>
      </c>
      <c r="S630" s="923" t="s">
        <v>40</v>
      </c>
      <c r="T630" s="922" t="s">
        <v>64</v>
      </c>
      <c r="U630" s="923" t="s">
        <v>40</v>
      </c>
      <c r="V630" s="922"/>
      <c r="W630" s="923"/>
      <c r="X630" s="922"/>
      <c r="Y630" s="923"/>
      <c r="Z630" s="923" t="s">
        <v>64</v>
      </c>
      <c r="AA630" s="923" t="s">
        <v>40</v>
      </c>
      <c r="AB630" s="922"/>
      <c r="AC630" s="923"/>
      <c r="AD630" s="923">
        <v>45250</v>
      </c>
      <c r="AE630" s="1537">
        <v>45565</v>
      </c>
      <c r="AF630" s="924" t="s">
        <v>42</v>
      </c>
      <c r="AG630" s="925">
        <v>2024</v>
      </c>
      <c r="AH630" s="862">
        <v>2137056.2999999998</v>
      </c>
      <c r="AI630" s="926">
        <v>16228120</v>
      </c>
      <c r="AJ630" s="123"/>
      <c r="AK630" s="399"/>
      <c r="AL630" s="400" t="s">
        <v>41</v>
      </c>
      <c r="AM630" s="401">
        <v>0</v>
      </c>
      <c r="AN630" s="402"/>
      <c r="AO630" s="104"/>
      <c r="AP630" s="104"/>
      <c r="AQ630" s="104"/>
      <c r="AR630" s="104"/>
      <c r="AS630" s="104"/>
      <c r="AT630" s="634"/>
    </row>
    <row r="631" spans="1:46 16361:16367" s="100" customFormat="1" ht="31.95" customHeight="1" x14ac:dyDescent="0.3">
      <c r="A631" s="100" t="s">
        <v>264</v>
      </c>
      <c r="B631" s="400" t="s">
        <v>1060</v>
      </c>
      <c r="C631" s="861" t="s">
        <v>1134</v>
      </c>
      <c r="D631" s="400" t="s">
        <v>34</v>
      </c>
      <c r="E631" s="400">
        <v>29</v>
      </c>
      <c r="F631" s="400" t="s">
        <v>35</v>
      </c>
      <c r="G631" s="920">
        <v>1</v>
      </c>
      <c r="H631" s="863">
        <v>1374171.85</v>
      </c>
      <c r="I631" s="864" t="s">
        <v>267</v>
      </c>
      <c r="J631" s="447">
        <v>1963102.64</v>
      </c>
      <c r="K631" s="1624">
        <v>0</v>
      </c>
      <c r="L631" s="1624">
        <v>0</v>
      </c>
      <c r="M631" s="921" t="s">
        <v>69</v>
      </c>
      <c r="N631" s="929" t="s">
        <v>69</v>
      </c>
      <c r="O631" s="921" t="s">
        <v>1135</v>
      </c>
      <c r="P631" s="922" t="s">
        <v>40</v>
      </c>
      <c r="Q631" s="923" t="s">
        <v>40</v>
      </c>
      <c r="R631" s="922" t="s">
        <v>40</v>
      </c>
      <c r="S631" s="923" t="s">
        <v>40</v>
      </c>
      <c r="T631" s="922" t="s">
        <v>64</v>
      </c>
      <c r="U631" s="923" t="s">
        <v>40</v>
      </c>
      <c r="V631" s="922"/>
      <c r="W631" s="923"/>
      <c r="X631" s="922"/>
      <c r="Y631" s="923"/>
      <c r="Z631" s="923" t="s">
        <v>64</v>
      </c>
      <c r="AA631" s="923" t="s">
        <v>40</v>
      </c>
      <c r="AB631" s="922"/>
      <c r="AC631" s="923"/>
      <c r="AD631" s="923">
        <v>45250</v>
      </c>
      <c r="AE631" s="1537">
        <v>45565</v>
      </c>
      <c r="AF631" s="924" t="s">
        <v>42</v>
      </c>
      <c r="AG631" s="925">
        <v>2024</v>
      </c>
      <c r="AH631" s="862">
        <v>6741000</v>
      </c>
      <c r="AI631" s="926">
        <v>13697512</v>
      </c>
      <c r="AJ631" s="123"/>
      <c r="AK631" s="399"/>
      <c r="AL631" s="400" t="s">
        <v>41</v>
      </c>
      <c r="AM631" s="401">
        <v>0</v>
      </c>
      <c r="AN631" s="402"/>
      <c r="AO631" s="104"/>
      <c r="AP631" s="104"/>
      <c r="AQ631" s="104"/>
      <c r="AR631" s="104"/>
      <c r="AS631" s="104"/>
      <c r="AT631" s="634"/>
    </row>
    <row r="632" spans="1:46 16361:16367" s="100" customFormat="1" ht="31.95" customHeight="1" x14ac:dyDescent="0.3">
      <c r="A632" s="100" t="s">
        <v>264</v>
      </c>
      <c r="B632" s="400" t="s">
        <v>1060</v>
      </c>
      <c r="C632" s="861" t="s">
        <v>1136</v>
      </c>
      <c r="D632" s="400" t="s">
        <v>34</v>
      </c>
      <c r="E632" s="400">
        <v>29</v>
      </c>
      <c r="F632" s="400" t="s">
        <v>35</v>
      </c>
      <c r="G632" s="920">
        <v>1</v>
      </c>
      <c r="H632" s="863">
        <v>200007.13</v>
      </c>
      <c r="I632" s="864" t="s">
        <v>267</v>
      </c>
      <c r="J632" s="447">
        <v>222230.15</v>
      </c>
      <c r="K632" s="1624">
        <v>0</v>
      </c>
      <c r="L632" s="1624">
        <v>0</v>
      </c>
      <c r="M632" s="921" t="s">
        <v>68</v>
      </c>
      <c r="N632" s="928" t="s">
        <v>1137</v>
      </c>
      <c r="O632" s="921" t="s">
        <v>1138</v>
      </c>
      <c r="P632" s="922" t="s">
        <v>40</v>
      </c>
      <c r="Q632" s="923" t="s">
        <v>40</v>
      </c>
      <c r="R632" s="922" t="s">
        <v>40</v>
      </c>
      <c r="S632" s="923" t="s">
        <v>40</v>
      </c>
      <c r="T632" s="922" t="s">
        <v>64</v>
      </c>
      <c r="U632" s="923" t="s">
        <v>40</v>
      </c>
      <c r="V632" s="922"/>
      <c r="W632" s="923"/>
      <c r="X632" s="922"/>
      <c r="Y632" s="923"/>
      <c r="Z632" s="923" t="s">
        <v>64</v>
      </c>
      <c r="AA632" s="923" t="s">
        <v>40</v>
      </c>
      <c r="AB632" s="922"/>
      <c r="AC632" s="923"/>
      <c r="AD632" s="923">
        <v>45250</v>
      </c>
      <c r="AE632" s="1537">
        <v>45565</v>
      </c>
      <c r="AF632" s="924" t="s">
        <v>42</v>
      </c>
      <c r="AG632" s="925">
        <v>2024</v>
      </c>
      <c r="AH632" s="862">
        <v>981135</v>
      </c>
      <c r="AI632" s="926" t="s">
        <v>1139</v>
      </c>
      <c r="AJ632" s="123"/>
      <c r="AK632" s="399"/>
      <c r="AL632" s="400" t="s">
        <v>41</v>
      </c>
      <c r="AM632" s="401">
        <v>0</v>
      </c>
      <c r="AN632" s="402"/>
      <c r="AO632" s="104"/>
      <c r="AP632" s="104"/>
      <c r="AQ632" s="104"/>
      <c r="AR632" s="104"/>
      <c r="AS632" s="104"/>
      <c r="AT632" s="634"/>
    </row>
    <row r="633" spans="1:46 16361:16367" s="100" customFormat="1" ht="31.95" customHeight="1" x14ac:dyDescent="0.3">
      <c r="A633" s="100" t="s">
        <v>264</v>
      </c>
      <c r="B633" s="400" t="s">
        <v>1060</v>
      </c>
      <c r="C633" s="861" t="s">
        <v>1140</v>
      </c>
      <c r="D633" s="400" t="s">
        <v>34</v>
      </c>
      <c r="E633" s="400">
        <v>29</v>
      </c>
      <c r="F633" s="400" t="s">
        <v>35</v>
      </c>
      <c r="G633" s="920">
        <v>1</v>
      </c>
      <c r="H633" s="863">
        <v>449495.46</v>
      </c>
      <c r="I633" s="864" t="s">
        <v>267</v>
      </c>
      <c r="J633" s="447">
        <v>499439.4</v>
      </c>
      <c r="K633" s="1624">
        <v>0</v>
      </c>
      <c r="L633" s="1624">
        <v>0</v>
      </c>
      <c r="M633" s="921" t="s">
        <v>351</v>
      </c>
      <c r="N633" s="929" t="s">
        <v>1141</v>
      </c>
      <c r="O633" s="921" t="s">
        <v>1142</v>
      </c>
      <c r="P633" s="922" t="s">
        <v>40</v>
      </c>
      <c r="Q633" s="923" t="s">
        <v>40</v>
      </c>
      <c r="R633" s="922" t="s">
        <v>40</v>
      </c>
      <c r="S633" s="923" t="s">
        <v>40</v>
      </c>
      <c r="T633" s="922" t="s">
        <v>64</v>
      </c>
      <c r="U633" s="923" t="s">
        <v>40</v>
      </c>
      <c r="V633" s="922"/>
      <c r="W633" s="923"/>
      <c r="X633" s="922"/>
      <c r="Y633" s="923"/>
      <c r="Z633" s="923" t="s">
        <v>64</v>
      </c>
      <c r="AA633" s="923" t="s">
        <v>40</v>
      </c>
      <c r="AB633" s="922"/>
      <c r="AC633" s="923"/>
      <c r="AD633" s="923">
        <v>45250</v>
      </c>
      <c r="AE633" s="1537">
        <v>45565</v>
      </c>
      <c r="AF633" s="924" t="s">
        <v>42</v>
      </c>
      <c r="AG633" s="925">
        <v>2024</v>
      </c>
      <c r="AH633" s="862">
        <v>2205000</v>
      </c>
      <c r="AI633" s="926">
        <v>4507759</v>
      </c>
      <c r="AJ633" s="123"/>
      <c r="AK633" s="399"/>
      <c r="AL633" s="400" t="s">
        <v>41</v>
      </c>
      <c r="AM633" s="401">
        <v>0</v>
      </c>
      <c r="AN633" s="402"/>
      <c r="AO633" s="104"/>
      <c r="AP633" s="104"/>
      <c r="AQ633" s="104"/>
      <c r="AR633" s="104"/>
      <c r="AS633" s="104"/>
      <c r="AT633" s="634"/>
    </row>
    <row r="634" spans="1:46 16361:16367" s="100" customFormat="1" ht="31.95" customHeight="1" x14ac:dyDescent="0.3">
      <c r="A634" s="100" t="s">
        <v>264</v>
      </c>
      <c r="B634" s="400" t="s">
        <v>1060</v>
      </c>
      <c r="C634" s="861" t="s">
        <v>1143</v>
      </c>
      <c r="D634" s="400" t="s">
        <v>34</v>
      </c>
      <c r="E634" s="400">
        <v>29</v>
      </c>
      <c r="F634" s="400" t="s">
        <v>35</v>
      </c>
      <c r="G634" s="920">
        <v>1</v>
      </c>
      <c r="H634" s="863">
        <v>1293500.76</v>
      </c>
      <c r="I634" s="864" t="s">
        <v>267</v>
      </c>
      <c r="J634" s="447">
        <v>404508.46</v>
      </c>
      <c r="K634" s="1624">
        <v>0</v>
      </c>
      <c r="L634" s="1624">
        <v>0</v>
      </c>
      <c r="M634" s="921" t="s">
        <v>303</v>
      </c>
      <c r="N634" s="928" t="s">
        <v>1144</v>
      </c>
      <c r="O634" s="921" t="s">
        <v>1145</v>
      </c>
      <c r="P634" s="922" t="s">
        <v>40</v>
      </c>
      <c r="Q634" s="923" t="s">
        <v>40</v>
      </c>
      <c r="R634" s="922" t="s">
        <v>40</v>
      </c>
      <c r="S634" s="923" t="s">
        <v>40</v>
      </c>
      <c r="T634" s="922" t="s">
        <v>64</v>
      </c>
      <c r="U634" s="923" t="s">
        <v>40</v>
      </c>
      <c r="V634" s="922"/>
      <c r="W634" s="923"/>
      <c r="X634" s="922"/>
      <c r="Y634" s="923"/>
      <c r="Z634" s="923" t="s">
        <v>64</v>
      </c>
      <c r="AA634" s="923" t="s">
        <v>40</v>
      </c>
      <c r="AB634" s="922"/>
      <c r="AC634" s="923"/>
      <c r="AD634" s="923">
        <v>45250</v>
      </c>
      <c r="AE634" s="1537">
        <v>45565</v>
      </c>
      <c r="AF634" s="924" t="s">
        <v>42</v>
      </c>
      <c r="AG634" s="925">
        <v>2024</v>
      </c>
      <c r="AH634" s="862">
        <v>6345267.9900000002</v>
      </c>
      <c r="AI634" s="926">
        <v>714140</v>
      </c>
      <c r="AJ634" s="123"/>
      <c r="AK634" s="399"/>
      <c r="AL634" s="400" t="s">
        <v>41</v>
      </c>
      <c r="AM634" s="401">
        <v>0</v>
      </c>
      <c r="AN634" s="402"/>
      <c r="AO634" s="104"/>
      <c r="AP634" s="104"/>
      <c r="AQ634" s="104"/>
      <c r="AR634" s="104"/>
      <c r="AS634" s="104"/>
      <c r="AT634" s="634"/>
    </row>
    <row r="635" spans="1:46 16361:16367" s="100" customFormat="1" ht="31.95" customHeight="1" x14ac:dyDescent="0.3">
      <c r="A635" s="100" t="s">
        <v>264</v>
      </c>
      <c r="B635" s="400" t="s">
        <v>1060</v>
      </c>
      <c r="C635" s="861" t="s">
        <v>1146</v>
      </c>
      <c r="D635" s="400" t="s">
        <v>34</v>
      </c>
      <c r="E635" s="400">
        <v>29</v>
      </c>
      <c r="F635" s="400" t="s">
        <v>35</v>
      </c>
      <c r="G635" s="920">
        <v>1</v>
      </c>
      <c r="H635" s="863">
        <v>364057.61</v>
      </c>
      <c r="I635" s="864" t="s">
        <v>267</v>
      </c>
      <c r="J635" s="447">
        <v>404508.46</v>
      </c>
      <c r="K635" s="1624">
        <v>0</v>
      </c>
      <c r="L635" s="1624">
        <v>0</v>
      </c>
      <c r="M635" s="921" t="s">
        <v>303</v>
      </c>
      <c r="N635" s="929" t="s">
        <v>1147</v>
      </c>
      <c r="O635" s="921" t="s">
        <v>1145</v>
      </c>
      <c r="P635" s="922" t="s">
        <v>40</v>
      </c>
      <c r="Q635" s="923" t="s">
        <v>40</v>
      </c>
      <c r="R635" s="922" t="s">
        <v>40</v>
      </c>
      <c r="S635" s="923" t="s">
        <v>40</v>
      </c>
      <c r="T635" s="922" t="s">
        <v>64</v>
      </c>
      <c r="U635" s="923" t="s">
        <v>40</v>
      </c>
      <c r="V635" s="922"/>
      <c r="W635" s="923"/>
      <c r="X635" s="922"/>
      <c r="Y635" s="923"/>
      <c r="Z635" s="923" t="s">
        <v>64</v>
      </c>
      <c r="AA635" s="923" t="s">
        <v>40</v>
      </c>
      <c r="AB635" s="922"/>
      <c r="AC635" s="923"/>
      <c r="AD635" s="923">
        <v>45250</v>
      </c>
      <c r="AE635" s="1537">
        <v>45565</v>
      </c>
      <c r="AF635" s="924" t="s">
        <v>42</v>
      </c>
      <c r="AG635" s="925">
        <v>2024</v>
      </c>
      <c r="AH635" s="862">
        <v>1785884.61</v>
      </c>
      <c r="AI635" s="926">
        <v>714140</v>
      </c>
      <c r="AJ635" s="123"/>
      <c r="AK635" s="399"/>
      <c r="AL635" s="400" t="s">
        <v>41</v>
      </c>
      <c r="AM635" s="401">
        <v>0</v>
      </c>
      <c r="AN635" s="402"/>
      <c r="AO635" s="104"/>
      <c r="AP635" s="104"/>
      <c r="AQ635" s="104"/>
      <c r="AR635" s="104"/>
      <c r="AS635" s="104"/>
      <c r="AT635" s="634"/>
    </row>
    <row r="636" spans="1:46 16361:16367" s="100" customFormat="1" ht="31.95" customHeight="1" x14ac:dyDescent="0.3">
      <c r="A636" s="100" t="s">
        <v>264</v>
      </c>
      <c r="B636" s="400" t="s">
        <v>1060</v>
      </c>
      <c r="C636" s="861" t="s">
        <v>1148</v>
      </c>
      <c r="D636" s="400" t="s">
        <v>34</v>
      </c>
      <c r="E636" s="400">
        <v>29</v>
      </c>
      <c r="F636" s="400" t="s">
        <v>35</v>
      </c>
      <c r="G636" s="920">
        <v>1</v>
      </c>
      <c r="H636" s="863">
        <v>354989.77</v>
      </c>
      <c r="I636" s="864" t="s">
        <v>267</v>
      </c>
      <c r="J636" s="447">
        <v>394433.08</v>
      </c>
      <c r="K636" s="1645">
        <f>9173.376</f>
        <v>9173.3760000000002</v>
      </c>
      <c r="L636" s="1645">
        <f>9173.376</f>
        <v>9173.3760000000002</v>
      </c>
      <c r="M636" s="921" t="s">
        <v>55</v>
      </c>
      <c r="N636" s="928" t="s">
        <v>1149</v>
      </c>
      <c r="O636" s="921" t="s">
        <v>1150</v>
      </c>
      <c r="P636" s="922" t="s">
        <v>40</v>
      </c>
      <c r="Q636" s="923" t="s">
        <v>40</v>
      </c>
      <c r="R636" s="922" t="s">
        <v>40</v>
      </c>
      <c r="S636" s="923" t="s">
        <v>40</v>
      </c>
      <c r="T636" s="922" t="s">
        <v>64</v>
      </c>
      <c r="U636" s="923" t="s">
        <v>40</v>
      </c>
      <c r="V636" s="922"/>
      <c r="W636" s="923"/>
      <c r="X636" s="922"/>
      <c r="Y636" s="923"/>
      <c r="Z636" s="923" t="s">
        <v>64</v>
      </c>
      <c r="AA636" s="923" t="s">
        <v>40</v>
      </c>
      <c r="AB636" s="922"/>
      <c r="AC636" s="923"/>
      <c r="AD636" s="923">
        <v>45250</v>
      </c>
      <c r="AE636" s="1537">
        <v>45565</v>
      </c>
      <c r="AF636" s="924" t="s">
        <v>42</v>
      </c>
      <c r="AG636" s="925">
        <v>2024</v>
      </c>
      <c r="AH636" s="862">
        <v>1741402.31</v>
      </c>
      <c r="AI636" s="926">
        <v>13687209</v>
      </c>
      <c r="AJ636" s="123"/>
      <c r="AK636" s="399"/>
      <c r="AL636" s="400" t="s">
        <v>41</v>
      </c>
      <c r="AM636" s="401">
        <v>0</v>
      </c>
      <c r="AN636" s="402"/>
      <c r="AO636" s="104"/>
      <c r="AP636" s="104"/>
      <c r="AQ636" s="104"/>
      <c r="AR636" s="104"/>
      <c r="AS636" s="104"/>
      <c r="AT636" s="634"/>
    </row>
    <row r="637" spans="1:46 16361:16367" s="100" customFormat="1" ht="31.95" customHeight="1" x14ac:dyDescent="0.3">
      <c r="A637" s="100" t="s">
        <v>264</v>
      </c>
      <c r="B637" s="400" t="s">
        <v>1060</v>
      </c>
      <c r="C637" s="861" t="s">
        <v>1151</v>
      </c>
      <c r="D637" s="400" t="s">
        <v>34</v>
      </c>
      <c r="E637" s="400">
        <v>29</v>
      </c>
      <c r="F637" s="400" t="s">
        <v>35</v>
      </c>
      <c r="G637" s="920">
        <v>1</v>
      </c>
      <c r="H637" s="863">
        <v>447224.40118234634</v>
      </c>
      <c r="I637" s="864" t="s">
        <v>267</v>
      </c>
      <c r="J637" s="447">
        <v>496916</v>
      </c>
      <c r="K637" s="1624">
        <v>0</v>
      </c>
      <c r="L637" s="1624">
        <v>0</v>
      </c>
      <c r="M637" s="921" t="s">
        <v>1152</v>
      </c>
      <c r="N637" s="620" t="s">
        <v>1153</v>
      </c>
      <c r="O637" s="921" t="s">
        <v>1154</v>
      </c>
      <c r="P637" s="922" t="s">
        <v>40</v>
      </c>
      <c r="Q637" s="923" t="s">
        <v>40</v>
      </c>
      <c r="R637" s="922" t="s">
        <v>40</v>
      </c>
      <c r="S637" s="923" t="s">
        <v>40</v>
      </c>
      <c r="T637" s="922" t="s">
        <v>64</v>
      </c>
      <c r="U637" s="923" t="s">
        <v>40</v>
      </c>
      <c r="V637" s="922"/>
      <c r="W637" s="923"/>
      <c r="X637" s="922"/>
      <c r="Y637" s="923"/>
      <c r="Z637" s="923" t="s">
        <v>64</v>
      </c>
      <c r="AA637" s="923" t="s">
        <v>40</v>
      </c>
      <c r="AB637" s="922"/>
      <c r="AC637" s="923"/>
      <c r="AD637" s="923">
        <v>45250</v>
      </c>
      <c r="AE637" s="1537">
        <v>45565</v>
      </c>
      <c r="AF637" s="924" t="s">
        <v>42</v>
      </c>
      <c r="AG637" s="925">
        <v>2024</v>
      </c>
      <c r="AH637" s="862">
        <v>2193859.2999999998</v>
      </c>
      <c r="AI637" s="899" t="s">
        <v>1155</v>
      </c>
      <c r="AJ637" s="123"/>
      <c r="AK637" s="399"/>
      <c r="AL637" s="400" t="s">
        <v>41</v>
      </c>
      <c r="AM637" s="401">
        <v>0</v>
      </c>
      <c r="AN637" s="402"/>
      <c r="AO637" s="104"/>
      <c r="AP637" s="104"/>
      <c r="AQ637" s="104"/>
      <c r="AR637" s="104"/>
      <c r="AS637" s="104"/>
      <c r="AT637" s="634"/>
    </row>
    <row r="638" spans="1:46 16361:16367" s="100" customFormat="1" ht="31.95" customHeight="1" x14ac:dyDescent="0.3">
      <c r="A638" s="100" t="s">
        <v>264</v>
      </c>
      <c r="B638" s="400" t="s">
        <v>1060</v>
      </c>
      <c r="C638" s="861" t="s">
        <v>1156</v>
      </c>
      <c r="D638" s="400" t="s">
        <v>34</v>
      </c>
      <c r="E638" s="400">
        <v>29</v>
      </c>
      <c r="F638" s="400" t="s">
        <v>35</v>
      </c>
      <c r="G638" s="920">
        <v>1</v>
      </c>
      <c r="H638" s="863">
        <v>446746.12985424529</v>
      </c>
      <c r="I638" s="864" t="s">
        <v>267</v>
      </c>
      <c r="J638" s="447">
        <v>496384.59</v>
      </c>
      <c r="K638" s="1645">
        <f>12842.727</f>
        <v>12842.727000000001</v>
      </c>
      <c r="L638" s="1645">
        <f>12842.727</f>
        <v>12842.727000000001</v>
      </c>
      <c r="M638" s="921" t="s">
        <v>1157</v>
      </c>
      <c r="N638" s="928" t="s">
        <v>1158</v>
      </c>
      <c r="O638" s="921" t="s">
        <v>1159</v>
      </c>
      <c r="P638" s="922" t="s">
        <v>40</v>
      </c>
      <c r="Q638" s="923" t="s">
        <v>40</v>
      </c>
      <c r="R638" s="922" t="s">
        <v>40</v>
      </c>
      <c r="S638" s="923" t="s">
        <v>40</v>
      </c>
      <c r="T638" s="922" t="s">
        <v>64</v>
      </c>
      <c r="U638" s="923" t="s">
        <v>40</v>
      </c>
      <c r="V638" s="922"/>
      <c r="W638" s="923"/>
      <c r="X638" s="922"/>
      <c r="Y638" s="923"/>
      <c r="Z638" s="923" t="s">
        <v>64</v>
      </c>
      <c r="AA638" s="923" t="s">
        <v>40</v>
      </c>
      <c r="AB638" s="922"/>
      <c r="AC638" s="923"/>
      <c r="AD638" s="923">
        <v>45250</v>
      </c>
      <c r="AE638" s="1537">
        <v>45565</v>
      </c>
      <c r="AF638" s="924" t="s">
        <v>42</v>
      </c>
      <c r="AG638" s="925">
        <v>2024</v>
      </c>
      <c r="AH638" s="862">
        <v>2191513.14</v>
      </c>
      <c r="AI638" s="930" t="s">
        <v>1160</v>
      </c>
      <c r="AJ638" s="123"/>
      <c r="AK638" s="399"/>
      <c r="AL638" s="400" t="s">
        <v>41</v>
      </c>
      <c r="AM638" s="401">
        <v>0</v>
      </c>
      <c r="AN638" s="402"/>
      <c r="AO638" s="104"/>
      <c r="AP638" s="104"/>
      <c r="AQ638" s="104"/>
      <c r="AR638" s="104"/>
      <c r="AS638" s="104"/>
      <c r="AT638" s="634"/>
    </row>
    <row r="639" spans="1:46 16361:16367" s="100" customFormat="1" ht="31.95" customHeight="1" x14ac:dyDescent="0.3">
      <c r="A639" s="100" t="s">
        <v>264</v>
      </c>
      <c r="B639" s="400" t="s">
        <v>1060</v>
      </c>
      <c r="C639" s="861" t="s">
        <v>1161</v>
      </c>
      <c r="D639" s="400" t="s">
        <v>34</v>
      </c>
      <c r="E639" s="400">
        <v>29</v>
      </c>
      <c r="F639" s="400" t="s">
        <v>35</v>
      </c>
      <c r="G639" s="920">
        <v>1</v>
      </c>
      <c r="H639" s="863">
        <v>250403.40026500865</v>
      </c>
      <c r="I639" s="864" t="s">
        <v>267</v>
      </c>
      <c r="J639" s="447">
        <v>278225.96999999997</v>
      </c>
      <c r="K639" s="1624">
        <v>0</v>
      </c>
      <c r="L639" s="1624">
        <v>0</v>
      </c>
      <c r="M639" s="921" t="s">
        <v>1162</v>
      </c>
      <c r="N639" s="931" t="s">
        <v>1163</v>
      </c>
      <c r="O639" s="921" t="s">
        <v>1164</v>
      </c>
      <c r="P639" s="922" t="s">
        <v>40</v>
      </c>
      <c r="Q639" s="923" t="s">
        <v>40</v>
      </c>
      <c r="R639" s="922" t="s">
        <v>40</v>
      </c>
      <c r="S639" s="923" t="s">
        <v>40</v>
      </c>
      <c r="T639" s="922" t="s">
        <v>64</v>
      </c>
      <c r="U639" s="923" t="s">
        <v>40</v>
      </c>
      <c r="V639" s="922"/>
      <c r="W639" s="923"/>
      <c r="X639" s="922"/>
      <c r="Y639" s="923"/>
      <c r="Z639" s="923" t="s">
        <v>64</v>
      </c>
      <c r="AA639" s="923" t="s">
        <v>40</v>
      </c>
      <c r="AB639" s="922"/>
      <c r="AC639" s="923"/>
      <c r="AD639" s="923">
        <v>45250</v>
      </c>
      <c r="AE639" s="1537">
        <v>45565</v>
      </c>
      <c r="AF639" s="924" t="s">
        <v>42</v>
      </c>
      <c r="AG639" s="925">
        <v>2024</v>
      </c>
      <c r="AH639" s="862">
        <v>1228353.8799999999</v>
      </c>
      <c r="AI639" s="930" t="s">
        <v>1165</v>
      </c>
      <c r="AJ639" s="123"/>
      <c r="AK639" s="399"/>
      <c r="AL639" s="400" t="s">
        <v>41</v>
      </c>
      <c r="AM639" s="401">
        <v>0</v>
      </c>
      <c r="AN639" s="402"/>
      <c r="AO639" s="104"/>
      <c r="AP639" s="104"/>
      <c r="AQ639" s="104"/>
      <c r="AR639" s="104"/>
      <c r="AS639" s="104"/>
      <c r="AT639" s="634"/>
    </row>
    <row r="640" spans="1:46 16361:16367" s="100" customFormat="1" ht="31.95" customHeight="1" x14ac:dyDescent="0.3">
      <c r="A640" s="100" t="s">
        <v>264</v>
      </c>
      <c r="B640" s="400" t="s">
        <v>1060</v>
      </c>
      <c r="C640" s="861" t="s">
        <v>1166</v>
      </c>
      <c r="D640" s="400" t="s">
        <v>34</v>
      </c>
      <c r="E640" s="400">
        <v>29</v>
      </c>
      <c r="F640" s="400" t="s">
        <v>35</v>
      </c>
      <c r="G640" s="920">
        <v>1</v>
      </c>
      <c r="H640" s="863">
        <v>423637.73315666086</v>
      </c>
      <c r="I640" s="864" t="s">
        <v>267</v>
      </c>
      <c r="J640" s="447">
        <v>470708.59</v>
      </c>
      <c r="K640" s="1624">
        <v>0</v>
      </c>
      <c r="L640" s="1624">
        <v>0</v>
      </c>
      <c r="M640" s="921" t="s">
        <v>1090</v>
      </c>
      <c r="N640" s="928" t="s">
        <v>1167</v>
      </c>
      <c r="O640" s="921" t="s">
        <v>1168</v>
      </c>
      <c r="P640" s="922" t="s">
        <v>40</v>
      </c>
      <c r="Q640" s="923" t="s">
        <v>40</v>
      </c>
      <c r="R640" s="922" t="s">
        <v>40</v>
      </c>
      <c r="S640" s="923" t="s">
        <v>40</v>
      </c>
      <c r="T640" s="922" t="s">
        <v>64</v>
      </c>
      <c r="U640" s="923" t="s">
        <v>40</v>
      </c>
      <c r="V640" s="922"/>
      <c r="W640" s="923"/>
      <c r="X640" s="922"/>
      <c r="Y640" s="923"/>
      <c r="Z640" s="923" t="s">
        <v>64</v>
      </c>
      <c r="AA640" s="923" t="s">
        <v>40</v>
      </c>
      <c r="AB640" s="922"/>
      <c r="AC640" s="923"/>
      <c r="AD640" s="923">
        <v>45250</v>
      </c>
      <c r="AE640" s="1537">
        <v>45565</v>
      </c>
      <c r="AF640" s="924" t="s">
        <v>42</v>
      </c>
      <c r="AG640" s="925">
        <v>2024</v>
      </c>
      <c r="AH640" s="862">
        <v>2078154.9</v>
      </c>
      <c r="AI640" s="930" t="s">
        <v>1169</v>
      </c>
      <c r="AJ640" s="123"/>
      <c r="AK640" s="399"/>
      <c r="AL640" s="400" t="s">
        <v>41</v>
      </c>
      <c r="AM640" s="401">
        <v>0</v>
      </c>
      <c r="AN640" s="402"/>
      <c r="AO640" s="104"/>
      <c r="AP640" s="104"/>
      <c r="AQ640" s="104"/>
      <c r="AR640" s="104"/>
      <c r="AS640" s="104"/>
      <c r="AT640" s="634"/>
    </row>
    <row r="641" spans="1:129" s="100" customFormat="1" ht="31.95" customHeight="1" x14ac:dyDescent="0.3">
      <c r="A641" s="100" t="s">
        <v>264</v>
      </c>
      <c r="B641" s="400" t="s">
        <v>1060</v>
      </c>
      <c r="C641" s="861" t="s">
        <v>1170</v>
      </c>
      <c r="D641" s="400" t="s">
        <v>34</v>
      </c>
      <c r="E641" s="400">
        <v>29</v>
      </c>
      <c r="F641" s="400" t="s">
        <v>35</v>
      </c>
      <c r="G641" s="920">
        <v>1</v>
      </c>
      <c r="H641" s="863">
        <v>447671.67668943026</v>
      </c>
      <c r="I641" s="864" t="s">
        <v>267</v>
      </c>
      <c r="J641" s="447">
        <v>497412.97</v>
      </c>
      <c r="K641" s="1645">
        <f>2201.61</f>
        <v>2201.61</v>
      </c>
      <c r="L641" s="1645">
        <f>2201.61</f>
        <v>2201.61</v>
      </c>
      <c r="M641" s="921" t="s">
        <v>1171</v>
      </c>
      <c r="N641" s="620" t="s">
        <v>1172</v>
      </c>
      <c r="O641" s="921" t="s">
        <v>1173</v>
      </c>
      <c r="P641" s="922" t="s">
        <v>40</v>
      </c>
      <c r="Q641" s="923" t="s">
        <v>40</v>
      </c>
      <c r="R641" s="922" t="s">
        <v>40</v>
      </c>
      <c r="S641" s="923" t="s">
        <v>40</v>
      </c>
      <c r="T641" s="922" t="s">
        <v>64</v>
      </c>
      <c r="U641" s="923" t="s">
        <v>40</v>
      </c>
      <c r="V641" s="922"/>
      <c r="W641" s="923"/>
      <c r="X641" s="922"/>
      <c r="Y641" s="923"/>
      <c r="Z641" s="923" t="s">
        <v>64</v>
      </c>
      <c r="AA641" s="923" t="s">
        <v>40</v>
      </c>
      <c r="AB641" s="922"/>
      <c r="AC641" s="923"/>
      <c r="AD641" s="923">
        <v>45250</v>
      </c>
      <c r="AE641" s="1537">
        <v>45565</v>
      </c>
      <c r="AF641" s="924" t="s">
        <v>42</v>
      </c>
      <c r="AG641" s="925">
        <v>2024</v>
      </c>
      <c r="AH641" s="862">
        <v>2196053.41</v>
      </c>
      <c r="AI641" s="899" t="s">
        <v>1174</v>
      </c>
      <c r="AJ641" s="123"/>
      <c r="AK641" s="399"/>
      <c r="AL641" s="400" t="s">
        <v>41</v>
      </c>
      <c r="AM641" s="401">
        <v>0</v>
      </c>
      <c r="AN641" s="402"/>
      <c r="AO641" s="104"/>
      <c r="AP641" s="104"/>
      <c r="AQ641" s="104"/>
      <c r="AR641" s="104"/>
      <c r="AS641" s="104"/>
      <c r="AT641" s="634"/>
    </row>
    <row r="642" spans="1:129" s="100" customFormat="1" ht="31.95" customHeight="1" x14ac:dyDescent="0.3">
      <c r="A642" s="100" t="s">
        <v>264</v>
      </c>
      <c r="B642" s="400" t="s">
        <v>1060</v>
      </c>
      <c r="C642" s="861" t="s">
        <v>1175</v>
      </c>
      <c r="D642" s="400" t="s">
        <v>34</v>
      </c>
      <c r="E642" s="400">
        <v>29</v>
      </c>
      <c r="F642" s="400" t="s">
        <v>35</v>
      </c>
      <c r="G642" s="920">
        <v>1</v>
      </c>
      <c r="H642" s="863">
        <v>449922.20161043725</v>
      </c>
      <c r="I642" s="864" t="s">
        <v>267</v>
      </c>
      <c r="J642" s="447">
        <v>499913.56</v>
      </c>
      <c r="K642" s="1624">
        <v>0</v>
      </c>
      <c r="L642" s="1624">
        <v>0</v>
      </c>
      <c r="M642" s="921" t="s">
        <v>59</v>
      </c>
      <c r="N642" s="928" t="s">
        <v>1176</v>
      </c>
      <c r="O642" s="921" t="s">
        <v>1177</v>
      </c>
      <c r="P642" s="922" t="s">
        <v>40</v>
      </c>
      <c r="Q642" s="923" t="s">
        <v>40</v>
      </c>
      <c r="R642" s="922" t="s">
        <v>40</v>
      </c>
      <c r="S642" s="923" t="s">
        <v>40</v>
      </c>
      <c r="T642" s="922" t="s">
        <v>64</v>
      </c>
      <c r="U642" s="923" t="s">
        <v>40</v>
      </c>
      <c r="V642" s="922"/>
      <c r="W642" s="923"/>
      <c r="X642" s="922"/>
      <c r="Y642" s="923"/>
      <c r="Z642" s="923" t="s">
        <v>64</v>
      </c>
      <c r="AA642" s="923" t="s">
        <v>40</v>
      </c>
      <c r="AB642" s="922"/>
      <c r="AC642" s="923"/>
      <c r="AD642" s="923">
        <v>45250</v>
      </c>
      <c r="AE642" s="1537">
        <v>45565</v>
      </c>
      <c r="AF642" s="924" t="s">
        <v>42</v>
      </c>
      <c r="AG642" s="925">
        <v>2024</v>
      </c>
      <c r="AH642" s="862">
        <v>2207093.36</v>
      </c>
      <c r="AI642" s="930">
        <v>2865416</v>
      </c>
      <c r="AJ642" s="123"/>
      <c r="AK642" s="399"/>
      <c r="AL642" s="400" t="s">
        <v>41</v>
      </c>
      <c r="AM642" s="401">
        <v>0</v>
      </c>
      <c r="AN642" s="402"/>
      <c r="AO642" s="104"/>
      <c r="AP642" s="104"/>
      <c r="AQ642" s="104"/>
      <c r="AR642" s="104"/>
      <c r="AS642" s="104"/>
      <c r="AT642" s="634"/>
    </row>
    <row r="643" spans="1:129" s="100" customFormat="1" ht="31.95" customHeight="1" x14ac:dyDescent="0.3">
      <c r="A643" s="100" t="s">
        <v>264</v>
      </c>
      <c r="B643" s="400" t="s">
        <v>1060</v>
      </c>
      <c r="C643" s="861" t="s">
        <v>1178</v>
      </c>
      <c r="D643" s="400" t="s">
        <v>34</v>
      </c>
      <c r="E643" s="400">
        <v>29</v>
      </c>
      <c r="F643" s="400" t="s">
        <v>35</v>
      </c>
      <c r="G643" s="920">
        <v>1</v>
      </c>
      <c r="H643" s="863">
        <v>367763.9</v>
      </c>
      <c r="I643" s="864" t="s">
        <v>267</v>
      </c>
      <c r="J643" s="447">
        <v>408596.56</v>
      </c>
      <c r="K643" s="1624">
        <v>0</v>
      </c>
      <c r="L643" s="1624">
        <v>0</v>
      </c>
      <c r="M643" s="921" t="s">
        <v>84</v>
      </c>
      <c r="N643" s="931" t="s">
        <v>847</v>
      </c>
      <c r="O643" s="921" t="s">
        <v>1179</v>
      </c>
      <c r="P643" s="922" t="s">
        <v>40</v>
      </c>
      <c r="Q643" s="923" t="s">
        <v>40</v>
      </c>
      <c r="R643" s="922" t="s">
        <v>40</v>
      </c>
      <c r="S643" s="923" t="s">
        <v>40</v>
      </c>
      <c r="T643" s="922" t="s">
        <v>64</v>
      </c>
      <c r="U643" s="923" t="s">
        <v>40</v>
      </c>
      <c r="V643" s="922"/>
      <c r="W643" s="923"/>
      <c r="X643" s="922"/>
      <c r="Y643" s="923"/>
      <c r="Z643" s="923" t="s">
        <v>64</v>
      </c>
      <c r="AA643" s="923" t="s">
        <v>40</v>
      </c>
      <c r="AB643" s="922"/>
      <c r="AC643" s="923"/>
      <c r="AD643" s="923">
        <v>45250</v>
      </c>
      <c r="AE643" s="1537">
        <v>45565</v>
      </c>
      <c r="AF643" s="924" t="s">
        <v>42</v>
      </c>
      <c r="AG643" s="925">
        <v>2024</v>
      </c>
      <c r="AH643" s="862">
        <v>1803933.39</v>
      </c>
      <c r="AI643" s="930" t="s">
        <v>1180</v>
      </c>
      <c r="AJ643" s="123"/>
      <c r="AK643" s="399"/>
      <c r="AL643" s="400" t="s">
        <v>41</v>
      </c>
      <c r="AM643" s="401">
        <v>0</v>
      </c>
      <c r="AN643" s="402"/>
      <c r="AO643" s="104"/>
      <c r="AP643" s="104"/>
      <c r="AQ643" s="104"/>
      <c r="AR643" s="104"/>
      <c r="AS643" s="104"/>
      <c r="AT643" s="634"/>
    </row>
    <row r="644" spans="1:129" s="100" customFormat="1" ht="31.95" customHeight="1" x14ac:dyDescent="0.3">
      <c r="A644" s="100" t="s">
        <v>264</v>
      </c>
      <c r="B644" s="400" t="s">
        <v>1060</v>
      </c>
      <c r="C644" s="861" t="s">
        <v>1181</v>
      </c>
      <c r="D644" s="400" t="s">
        <v>34</v>
      </c>
      <c r="E644" s="400">
        <v>29</v>
      </c>
      <c r="F644" s="400" t="s">
        <v>35</v>
      </c>
      <c r="G644" s="920">
        <v>1</v>
      </c>
      <c r="H644" s="863">
        <v>366901.68178575067</v>
      </c>
      <c r="I644" s="864" t="s">
        <v>267</v>
      </c>
      <c r="J644" s="447">
        <v>407668.54</v>
      </c>
      <c r="K644" s="1624">
        <v>0</v>
      </c>
      <c r="L644" s="1624">
        <v>0</v>
      </c>
      <c r="M644" s="921" t="s">
        <v>58</v>
      </c>
      <c r="N644" s="620" t="s">
        <v>1182</v>
      </c>
      <c r="O644" s="921" t="s">
        <v>1183</v>
      </c>
      <c r="P644" s="922" t="s">
        <v>40</v>
      </c>
      <c r="Q644" s="923" t="s">
        <v>40</v>
      </c>
      <c r="R644" s="922" t="s">
        <v>40</v>
      </c>
      <c r="S644" s="923" t="s">
        <v>40</v>
      </c>
      <c r="T644" s="922" t="s">
        <v>64</v>
      </c>
      <c r="U644" s="923" t="s">
        <v>40</v>
      </c>
      <c r="V644" s="922"/>
      <c r="W644" s="923"/>
      <c r="X644" s="922"/>
      <c r="Y644" s="923"/>
      <c r="Z644" s="923" t="s">
        <v>64</v>
      </c>
      <c r="AA644" s="923" t="s">
        <v>40</v>
      </c>
      <c r="AB644" s="922"/>
      <c r="AC644" s="923"/>
      <c r="AD644" s="923">
        <v>45250</v>
      </c>
      <c r="AE644" s="1537">
        <v>45565</v>
      </c>
      <c r="AF644" s="924" t="s">
        <v>42</v>
      </c>
      <c r="AG644" s="925">
        <v>2024</v>
      </c>
      <c r="AH644" s="862">
        <v>1799836.2</v>
      </c>
      <c r="AI644" s="899" t="s">
        <v>1184</v>
      </c>
      <c r="AJ644" s="123"/>
      <c r="AK644" s="399"/>
      <c r="AL644" s="400" t="s">
        <v>41</v>
      </c>
      <c r="AM644" s="401">
        <v>0</v>
      </c>
      <c r="AN644" s="402"/>
      <c r="AO644" s="104"/>
      <c r="AP644" s="104"/>
      <c r="AQ644" s="104"/>
      <c r="AR644" s="104"/>
      <c r="AS644" s="104"/>
      <c r="AT644" s="634"/>
    </row>
    <row r="645" spans="1:129" s="360" customFormat="1" ht="27" customHeight="1" x14ac:dyDescent="0.3">
      <c r="A645" s="932" t="s">
        <v>264</v>
      </c>
      <c r="B645" s="933" t="s">
        <v>1185</v>
      </c>
      <c r="C645" s="934" t="s">
        <v>1186</v>
      </c>
      <c r="D645" s="933" t="s">
        <v>34</v>
      </c>
      <c r="E645" s="933"/>
      <c r="F645" s="933"/>
      <c r="G645" s="933"/>
      <c r="H645" s="935">
        <v>18000000</v>
      </c>
      <c r="I645" s="936" t="s">
        <v>267</v>
      </c>
      <c r="J645" s="935">
        <f>J646</f>
        <v>9194650.1651128847</v>
      </c>
      <c r="K645" s="1625">
        <v>0</v>
      </c>
      <c r="L645" s="1625">
        <v>0</v>
      </c>
      <c r="M645" s="937" t="s">
        <v>40</v>
      </c>
      <c r="N645" s="937" t="s">
        <v>40</v>
      </c>
      <c r="O645" s="937" t="s">
        <v>40</v>
      </c>
      <c r="P645" s="937" t="s">
        <v>40</v>
      </c>
      <c r="Q645" s="938" t="s">
        <v>40</v>
      </c>
      <c r="R645" s="937" t="s">
        <v>40</v>
      </c>
      <c r="S645" s="938" t="s">
        <v>40</v>
      </c>
      <c r="T645" s="937" t="s">
        <v>64</v>
      </c>
      <c r="U645" s="938"/>
      <c r="V645" s="937" t="s">
        <v>40</v>
      </c>
      <c r="W645" s="938" t="s">
        <v>40</v>
      </c>
      <c r="X645" s="937" t="s">
        <v>40</v>
      </c>
      <c r="Y645" s="938" t="s">
        <v>40</v>
      </c>
      <c r="Z645" s="937" t="s">
        <v>64</v>
      </c>
      <c r="AA645" s="938"/>
      <c r="AB645" s="937" t="s">
        <v>41</v>
      </c>
      <c r="AC645" s="938">
        <v>45107</v>
      </c>
      <c r="AD645" s="938"/>
      <c r="AE645" s="1538">
        <v>45565</v>
      </c>
      <c r="AF645" s="939" t="s">
        <v>42</v>
      </c>
      <c r="AG645" s="940">
        <v>2024</v>
      </c>
      <c r="AH645" s="941">
        <f>SUM(AH647:AH685)</f>
        <v>32316269.940000001</v>
      </c>
      <c r="AI645" s="942"/>
      <c r="AJ645" s="718"/>
      <c r="AK645" s="933"/>
      <c r="AL645" s="933" t="s">
        <v>41</v>
      </c>
      <c r="AM645" s="943">
        <v>0</v>
      </c>
      <c r="AN645" s="933"/>
      <c r="AO645" s="104"/>
      <c r="AP645" s="104"/>
      <c r="AQ645" s="104"/>
      <c r="AR645" s="104"/>
      <c r="AS645" s="104"/>
      <c r="AT645" s="944"/>
      <c r="AU645" s="243"/>
      <c r="AV645" s="243"/>
      <c r="AW645" s="243"/>
      <c r="AX645" s="243"/>
      <c r="AY645" s="243"/>
      <c r="AZ645" s="243"/>
      <c r="BA645" s="243"/>
      <c r="BB645" s="243"/>
      <c r="BC645" s="243"/>
      <c r="BD645" s="243"/>
      <c r="BE645" s="243"/>
      <c r="BF645" s="243"/>
      <c r="BG645" s="243"/>
      <c r="BH645" s="243"/>
      <c r="BI645" s="243"/>
      <c r="BJ645" s="243"/>
      <c r="BK645" s="243"/>
      <c r="BL645" s="243"/>
      <c r="BM645" s="243"/>
      <c r="BN645" s="243"/>
      <c r="BO645" s="243"/>
      <c r="BP645" s="243"/>
      <c r="BQ645" s="243"/>
      <c r="BR645" s="243"/>
      <c r="BS645" s="243"/>
      <c r="BT645" s="243"/>
      <c r="BU645" s="243"/>
      <c r="BV645" s="243"/>
      <c r="BW645" s="243"/>
      <c r="BX645" s="243"/>
      <c r="BY645" s="243"/>
      <c r="BZ645" s="243"/>
      <c r="CA645" s="243"/>
      <c r="CB645" s="243"/>
      <c r="CC645" s="243"/>
      <c r="CD645" s="243"/>
      <c r="CE645" s="243"/>
      <c r="CF645" s="243"/>
      <c r="CG645" s="243"/>
      <c r="CH645" s="243"/>
      <c r="CI645" s="243"/>
      <c r="CJ645" s="243"/>
      <c r="CK645" s="243"/>
      <c r="CL645" s="243"/>
      <c r="CM645" s="243"/>
      <c r="CN645" s="243"/>
      <c r="CO645" s="243"/>
      <c r="CP645" s="243"/>
      <c r="CQ645" s="243"/>
      <c r="CR645" s="243"/>
      <c r="CS645" s="243"/>
      <c r="CT645" s="243"/>
      <c r="CU645" s="243"/>
      <c r="CV645" s="243"/>
      <c r="CW645" s="243"/>
      <c r="CX645" s="243"/>
      <c r="CY645" s="243"/>
      <c r="CZ645" s="243"/>
      <c r="DA645" s="243"/>
      <c r="DB645" s="243"/>
      <c r="DC645" s="243"/>
      <c r="DD645" s="243"/>
      <c r="DE645" s="243"/>
      <c r="DF645" s="243"/>
      <c r="DG645" s="243"/>
      <c r="DH645" s="243"/>
      <c r="DI645" s="243"/>
      <c r="DJ645" s="243"/>
      <c r="DK645" s="243"/>
      <c r="DL645" s="243"/>
      <c r="DM645" s="243"/>
      <c r="DN645" s="243"/>
      <c r="DO645" s="243"/>
      <c r="DP645" s="243"/>
      <c r="DQ645" s="243"/>
      <c r="DR645" s="243"/>
      <c r="DS645" s="243"/>
      <c r="DT645" s="243"/>
      <c r="DU645" s="243"/>
      <c r="DV645" s="243"/>
      <c r="DW645" s="243"/>
      <c r="DX645" s="243"/>
      <c r="DY645" s="243"/>
    </row>
    <row r="646" spans="1:129" s="470" customFormat="1" ht="29.4" customHeight="1" x14ac:dyDescent="0.3">
      <c r="A646" s="945" t="s">
        <v>264</v>
      </c>
      <c r="B646" s="946" t="s">
        <v>1185</v>
      </c>
      <c r="C646" s="947" t="s">
        <v>1187</v>
      </c>
      <c r="D646" s="946" t="s">
        <v>34</v>
      </c>
      <c r="E646" s="948">
        <v>29</v>
      </c>
      <c r="F646" s="946"/>
      <c r="G646" s="949">
        <f>SUM(G647:G670)</f>
        <v>24</v>
      </c>
      <c r="H646" s="950">
        <f>SUM(H647:H702)</f>
        <v>9299043.0352843422</v>
      </c>
      <c r="I646" s="951"/>
      <c r="J646" s="950">
        <f>SUM(J647:J702)</f>
        <v>9194650.1651128847</v>
      </c>
      <c r="K646" s="1626">
        <f>SUM(K647:K702)</f>
        <v>66945.736999999994</v>
      </c>
      <c r="L646" s="1626">
        <f>SUM(L647:L702)</f>
        <v>66945.736999999994</v>
      </c>
      <c r="M646" s="949"/>
      <c r="N646" s="949"/>
      <c r="O646" s="949"/>
      <c r="P646" s="949"/>
      <c r="Q646" s="952"/>
      <c r="R646" s="949"/>
      <c r="S646" s="952"/>
      <c r="T646" s="949"/>
      <c r="U646" s="952"/>
      <c r="V646" s="949"/>
      <c r="W646" s="952"/>
      <c r="X646" s="949"/>
      <c r="Y646" s="952"/>
      <c r="Z646" s="949"/>
      <c r="AA646" s="952"/>
      <c r="AB646" s="949"/>
      <c r="AC646" s="952"/>
      <c r="AD646" s="952"/>
      <c r="AE646" s="1539"/>
      <c r="AF646" s="953"/>
      <c r="AG646" s="954"/>
      <c r="AH646" s="950">
        <f>SUM(AH647:AH685)</f>
        <v>32316269.940000001</v>
      </c>
      <c r="AI646" s="955"/>
      <c r="AJ646" s="956"/>
      <c r="AK646" s="946"/>
      <c r="AL646" s="946"/>
      <c r="AM646" s="957"/>
      <c r="AN646" s="958"/>
      <c r="AO646" s="104"/>
      <c r="AP646" s="104"/>
      <c r="AQ646" s="104"/>
      <c r="AR646" s="104"/>
      <c r="AS646" s="104"/>
      <c r="AT646" s="306"/>
      <c r="AU646" s="307"/>
      <c r="AV646" s="307"/>
      <c r="AW646" s="307"/>
      <c r="AX646" s="307"/>
      <c r="AY646" s="307"/>
      <c r="AZ646" s="307"/>
      <c r="BA646" s="307"/>
      <c r="BB646" s="307"/>
      <c r="BC646" s="307"/>
      <c r="BD646" s="307"/>
      <c r="BE646" s="307"/>
      <c r="BF646" s="307"/>
      <c r="BG646" s="307"/>
      <c r="BH646" s="307"/>
      <c r="BI646" s="307"/>
      <c r="BJ646" s="307"/>
      <c r="BK646" s="307"/>
      <c r="BL646" s="307"/>
      <c r="BM646" s="307"/>
      <c r="BN646" s="307"/>
      <c r="BO646" s="307"/>
      <c r="BP646" s="307"/>
      <c r="BQ646" s="307"/>
      <c r="BR646" s="307"/>
      <c r="BS646" s="307"/>
      <c r="BT646" s="307"/>
      <c r="BU646" s="307"/>
      <c r="BV646" s="307"/>
      <c r="BW646" s="307"/>
      <c r="BX646" s="307"/>
      <c r="BY646" s="307"/>
      <c r="BZ646" s="307"/>
      <c r="CA646" s="307"/>
      <c r="CB646" s="307"/>
      <c r="CC646" s="307"/>
      <c r="CD646" s="307"/>
      <c r="CE646" s="307"/>
      <c r="CF646" s="307"/>
      <c r="CG646" s="307"/>
      <c r="CH646" s="307"/>
      <c r="CI646" s="307"/>
      <c r="CJ646" s="307"/>
      <c r="CK646" s="307"/>
      <c r="CL646" s="307"/>
      <c r="CM646" s="307"/>
      <c r="CN646" s="307"/>
      <c r="CO646" s="307"/>
      <c r="CP646" s="307"/>
      <c r="CQ646" s="307"/>
      <c r="CR646" s="307"/>
      <c r="CS646" s="307"/>
      <c r="CT646" s="307"/>
      <c r="CU646" s="307"/>
      <c r="CV646" s="307"/>
      <c r="CW646" s="307"/>
      <c r="CX646" s="307"/>
      <c r="CY646" s="307"/>
      <c r="CZ646" s="307"/>
      <c r="DA646" s="307"/>
      <c r="DB646" s="307"/>
      <c r="DC646" s="307"/>
      <c r="DD646" s="307"/>
      <c r="DE646" s="307"/>
      <c r="DF646" s="307"/>
      <c r="DG646" s="307"/>
      <c r="DH646" s="307"/>
      <c r="DI646" s="307"/>
      <c r="DJ646" s="307"/>
      <c r="DK646" s="307"/>
      <c r="DL646" s="307"/>
      <c r="DM646" s="307"/>
      <c r="DN646" s="307"/>
      <c r="DO646" s="307"/>
      <c r="DP646" s="307"/>
      <c r="DQ646" s="307"/>
      <c r="DR646" s="307"/>
      <c r="DS646" s="307"/>
      <c r="DT646" s="307"/>
      <c r="DU646" s="307"/>
      <c r="DV646" s="307"/>
      <c r="DW646" s="307"/>
      <c r="DX646" s="307"/>
      <c r="DY646" s="307"/>
    </row>
    <row r="647" spans="1:129" s="143" customFormat="1" ht="14.4" x14ac:dyDescent="0.3">
      <c r="A647" s="308" t="s">
        <v>264</v>
      </c>
      <c r="B647" s="959" t="s">
        <v>1185</v>
      </c>
      <c r="C647" s="960" t="s">
        <v>1188</v>
      </c>
      <c r="D647" s="214" t="s">
        <v>34</v>
      </c>
      <c r="E647" s="214">
        <v>29</v>
      </c>
      <c r="F647" s="214" t="s">
        <v>35</v>
      </c>
      <c r="G647" s="961">
        <v>1</v>
      </c>
      <c r="H647" s="389">
        <f>J647</f>
        <v>200000</v>
      </c>
      <c r="I647" s="895" t="s">
        <v>267</v>
      </c>
      <c r="J647" s="388">
        <v>200000</v>
      </c>
      <c r="K647" s="1646">
        <f>23166.87</f>
        <v>23166.87</v>
      </c>
      <c r="L647" s="1646">
        <f>23166.87</f>
        <v>23166.87</v>
      </c>
      <c r="M647" s="896" t="s">
        <v>79</v>
      </c>
      <c r="N647" s="896" t="s">
        <v>1189</v>
      </c>
      <c r="O647" s="896" t="s">
        <v>1190</v>
      </c>
      <c r="P647" s="897" t="s">
        <v>40</v>
      </c>
      <c r="Q647" s="898" t="s">
        <v>40</v>
      </c>
      <c r="R647" s="897" t="s">
        <v>40</v>
      </c>
      <c r="S647" s="898" t="s">
        <v>40</v>
      </c>
      <c r="T647" s="897" t="s">
        <v>64</v>
      </c>
      <c r="U647" s="898"/>
      <c r="V647" s="897" t="s">
        <v>40</v>
      </c>
      <c r="W647" s="898" t="s">
        <v>40</v>
      </c>
      <c r="X647" s="897" t="s">
        <v>40</v>
      </c>
      <c r="Y647" s="898" t="s">
        <v>40</v>
      </c>
      <c r="Z647" s="836" t="s">
        <v>64</v>
      </c>
      <c r="AA647" s="898"/>
      <c r="AB647" s="897" t="s">
        <v>64</v>
      </c>
      <c r="AC647" s="898"/>
      <c r="AD647" s="898">
        <v>45250</v>
      </c>
      <c r="AE647" s="1535">
        <v>45565</v>
      </c>
      <c r="AF647" s="962" t="s">
        <v>42</v>
      </c>
      <c r="AG647" s="963">
        <v>2024</v>
      </c>
      <c r="AH647" s="964">
        <v>986840</v>
      </c>
      <c r="AI647" s="965">
        <v>46164796</v>
      </c>
      <c r="AJ647" s="966"/>
      <c r="AK647" s="967"/>
      <c r="AL647" s="968" t="s">
        <v>41</v>
      </c>
      <c r="AM647" s="969">
        <v>0</v>
      </c>
      <c r="AN647" s="970"/>
      <c r="AO647" s="165"/>
      <c r="AP647" s="165"/>
      <c r="AQ647" s="165"/>
      <c r="AR647" s="165"/>
      <c r="AS647" s="165"/>
      <c r="AT647" s="315"/>
    </row>
    <row r="648" spans="1:129" s="143" customFormat="1" ht="14.4" x14ac:dyDescent="0.3">
      <c r="A648" s="143" t="s">
        <v>264</v>
      </c>
      <c r="B648" s="149" t="s">
        <v>1185</v>
      </c>
      <c r="C648" s="407" t="s">
        <v>1191</v>
      </c>
      <c r="D648" s="223" t="s">
        <v>34</v>
      </c>
      <c r="E648" s="223">
        <v>29</v>
      </c>
      <c r="F648" s="223" t="s">
        <v>35</v>
      </c>
      <c r="G648" s="971">
        <v>1</v>
      </c>
      <c r="H648" s="389">
        <f t="shared" ref="H648:H685" si="4">J648</f>
        <v>199907.51692270278</v>
      </c>
      <c r="I648" s="418" t="s">
        <v>267</v>
      </c>
      <c r="J648" s="53">
        <v>199907.51692270278</v>
      </c>
      <c r="K648" s="1617">
        <v>0</v>
      </c>
      <c r="L648" s="1617">
        <v>0</v>
      </c>
      <c r="M648" s="410" t="s">
        <v>79</v>
      </c>
      <c r="N648" s="410" t="s">
        <v>934</v>
      </c>
      <c r="O648" s="410" t="s">
        <v>1192</v>
      </c>
      <c r="P648" s="155" t="s">
        <v>40</v>
      </c>
      <c r="Q648" s="156" t="s">
        <v>40</v>
      </c>
      <c r="R648" s="155" t="s">
        <v>40</v>
      </c>
      <c r="S648" s="156" t="s">
        <v>40</v>
      </c>
      <c r="T648" s="155" t="s">
        <v>64</v>
      </c>
      <c r="U648" s="156"/>
      <c r="V648" s="155" t="s">
        <v>40</v>
      </c>
      <c r="W648" s="156" t="s">
        <v>40</v>
      </c>
      <c r="X648" s="155" t="s">
        <v>40</v>
      </c>
      <c r="Y648" s="156" t="s">
        <v>40</v>
      </c>
      <c r="Z648" s="713" t="s">
        <v>64</v>
      </c>
      <c r="AA648" s="156"/>
      <c r="AB648" s="155" t="s">
        <v>64</v>
      </c>
      <c r="AC648" s="156"/>
      <c r="AD648" s="156">
        <v>45250</v>
      </c>
      <c r="AE648" s="1523">
        <v>45565</v>
      </c>
      <c r="AF648" s="419" t="s">
        <v>42</v>
      </c>
      <c r="AG648" s="414">
        <v>2024</v>
      </c>
      <c r="AH648" s="408">
        <v>986383.67</v>
      </c>
      <c r="AI648" s="415">
        <v>12824162</v>
      </c>
      <c r="AJ648" s="61"/>
      <c r="AK648" s="420"/>
      <c r="AL648" s="421" t="s">
        <v>41</v>
      </c>
      <c r="AM648" s="416">
        <v>0</v>
      </c>
      <c r="AN648" s="422"/>
      <c r="AO648" s="165"/>
      <c r="AP648" s="165"/>
      <c r="AQ648" s="165"/>
      <c r="AR648" s="165"/>
      <c r="AS648" s="165"/>
      <c r="AT648" s="315"/>
    </row>
    <row r="649" spans="1:129" s="143" customFormat="1" ht="14.4" x14ac:dyDescent="0.3">
      <c r="A649" s="143" t="s">
        <v>264</v>
      </c>
      <c r="B649" s="149" t="s">
        <v>1185</v>
      </c>
      <c r="C649" s="407" t="s">
        <v>1193</v>
      </c>
      <c r="D649" s="223" t="s">
        <v>34</v>
      </c>
      <c r="E649" s="223">
        <v>29</v>
      </c>
      <c r="F649" s="223" t="s">
        <v>35</v>
      </c>
      <c r="G649" s="971">
        <v>1</v>
      </c>
      <c r="H649" s="389">
        <f t="shared" si="4"/>
        <v>199378.42000729602</v>
      </c>
      <c r="I649" s="418" t="s">
        <v>267</v>
      </c>
      <c r="J649" s="53">
        <v>199378.42000729602</v>
      </c>
      <c r="K649" s="1617">
        <v>0</v>
      </c>
      <c r="L649" s="1617">
        <v>0</v>
      </c>
      <c r="M649" s="410" t="s">
        <v>79</v>
      </c>
      <c r="N649" s="410" t="s">
        <v>1189</v>
      </c>
      <c r="O649" s="410" t="s">
        <v>1194</v>
      </c>
      <c r="P649" s="155" t="s">
        <v>40</v>
      </c>
      <c r="Q649" s="156" t="s">
        <v>40</v>
      </c>
      <c r="R649" s="155" t="s">
        <v>40</v>
      </c>
      <c r="S649" s="156" t="s">
        <v>40</v>
      </c>
      <c r="T649" s="155" t="s">
        <v>64</v>
      </c>
      <c r="U649" s="156"/>
      <c r="V649" s="155" t="s">
        <v>40</v>
      </c>
      <c r="W649" s="156" t="s">
        <v>40</v>
      </c>
      <c r="X649" s="155" t="s">
        <v>40</v>
      </c>
      <c r="Y649" s="156" t="s">
        <v>40</v>
      </c>
      <c r="Z649" s="713" t="s">
        <v>64</v>
      </c>
      <c r="AA649" s="156"/>
      <c r="AB649" s="155" t="s">
        <v>64</v>
      </c>
      <c r="AC649" s="156"/>
      <c r="AD649" s="156">
        <v>45250</v>
      </c>
      <c r="AE649" s="1523">
        <v>45565</v>
      </c>
      <c r="AF649" s="419" t="s">
        <v>42</v>
      </c>
      <c r="AG649" s="414">
        <v>2024</v>
      </c>
      <c r="AH649" s="408">
        <v>983773</v>
      </c>
      <c r="AI649" s="415">
        <v>21509393</v>
      </c>
      <c r="AJ649" s="61"/>
      <c r="AK649" s="420"/>
      <c r="AL649" s="421" t="s">
        <v>41</v>
      </c>
      <c r="AM649" s="416">
        <v>0</v>
      </c>
      <c r="AN649" s="422"/>
      <c r="AO649" s="165"/>
      <c r="AP649" s="165"/>
      <c r="AQ649" s="165"/>
      <c r="AR649" s="165"/>
      <c r="AS649" s="165"/>
      <c r="AT649" s="315"/>
    </row>
    <row r="650" spans="1:129" s="143" customFormat="1" ht="28.8" x14ac:dyDescent="0.3">
      <c r="A650" s="143" t="s">
        <v>264</v>
      </c>
      <c r="B650" s="149" t="s">
        <v>1185</v>
      </c>
      <c r="C650" s="407" t="s">
        <v>1195</v>
      </c>
      <c r="D650" s="223" t="s">
        <v>34</v>
      </c>
      <c r="E650" s="223">
        <v>29</v>
      </c>
      <c r="F650" s="223" t="s">
        <v>35</v>
      </c>
      <c r="G650" s="971">
        <v>1</v>
      </c>
      <c r="H650" s="389">
        <f t="shared" si="4"/>
        <v>124996.84041992624</v>
      </c>
      <c r="I650" s="418" t="s">
        <v>267</v>
      </c>
      <c r="J650" s="53">
        <v>124996.84041992624</v>
      </c>
      <c r="K650" s="1617">
        <v>0</v>
      </c>
      <c r="L650" s="1617">
        <v>0</v>
      </c>
      <c r="M650" s="410" t="s">
        <v>133</v>
      </c>
      <c r="N650" s="410" t="s">
        <v>1196</v>
      </c>
      <c r="O650" s="410" t="s">
        <v>1197</v>
      </c>
      <c r="P650" s="155" t="s">
        <v>40</v>
      </c>
      <c r="Q650" s="156" t="s">
        <v>40</v>
      </c>
      <c r="R650" s="155" t="s">
        <v>40</v>
      </c>
      <c r="S650" s="156" t="s">
        <v>40</v>
      </c>
      <c r="T650" s="155" t="s">
        <v>64</v>
      </c>
      <c r="U650" s="156"/>
      <c r="V650" s="155" t="s">
        <v>40</v>
      </c>
      <c r="W650" s="156" t="s">
        <v>40</v>
      </c>
      <c r="X650" s="155" t="s">
        <v>40</v>
      </c>
      <c r="Y650" s="156" t="s">
        <v>40</v>
      </c>
      <c r="Z650" s="713" t="s">
        <v>64</v>
      </c>
      <c r="AA650" s="156"/>
      <c r="AB650" s="155" t="s">
        <v>64</v>
      </c>
      <c r="AC650" s="156"/>
      <c r="AD650" s="156">
        <v>45250</v>
      </c>
      <c r="AE650" s="1523">
        <v>45565</v>
      </c>
      <c r="AF650" s="419" t="s">
        <v>42</v>
      </c>
      <c r="AG650" s="414">
        <v>2024</v>
      </c>
      <c r="AH650" s="408">
        <v>616759.41</v>
      </c>
      <c r="AI650" s="415" t="s">
        <v>1198</v>
      </c>
      <c r="AJ650" s="61"/>
      <c r="AK650" s="420"/>
      <c r="AL650" s="421" t="s">
        <v>41</v>
      </c>
      <c r="AM650" s="416">
        <v>0</v>
      </c>
      <c r="AN650" s="422"/>
      <c r="AO650" s="165"/>
      <c r="AP650" s="165"/>
      <c r="AQ650" s="165"/>
      <c r="AR650" s="165"/>
      <c r="AS650" s="165"/>
      <c r="AT650" s="315"/>
    </row>
    <row r="651" spans="1:129" s="143" customFormat="1" ht="28.8" x14ac:dyDescent="0.3">
      <c r="A651" s="143" t="s">
        <v>264</v>
      </c>
      <c r="B651" s="149" t="s">
        <v>1185</v>
      </c>
      <c r="C651" s="407" t="s">
        <v>1199</v>
      </c>
      <c r="D651" s="223" t="s">
        <v>34</v>
      </c>
      <c r="E651" s="223">
        <v>29</v>
      </c>
      <c r="F651" s="223" t="s">
        <v>35</v>
      </c>
      <c r="G651" s="971">
        <v>1</v>
      </c>
      <c r="H651" s="389">
        <f t="shared" si="4"/>
        <v>161899.22581168174</v>
      </c>
      <c r="I651" s="418" t="s">
        <v>267</v>
      </c>
      <c r="J651" s="53">
        <v>161899.22581168174</v>
      </c>
      <c r="K651" s="1617">
        <v>0</v>
      </c>
      <c r="L651" s="1617">
        <v>0</v>
      </c>
      <c r="M651" s="410" t="s">
        <v>322</v>
      </c>
      <c r="N651" s="410" t="s">
        <v>1200</v>
      </c>
      <c r="O651" s="410" t="s">
        <v>1201</v>
      </c>
      <c r="P651" s="155" t="s">
        <v>40</v>
      </c>
      <c r="Q651" s="156" t="s">
        <v>40</v>
      </c>
      <c r="R651" s="155" t="s">
        <v>40</v>
      </c>
      <c r="S651" s="156" t="s">
        <v>40</v>
      </c>
      <c r="T651" s="155" t="s">
        <v>64</v>
      </c>
      <c r="U651" s="156"/>
      <c r="V651" s="155" t="s">
        <v>40</v>
      </c>
      <c r="W651" s="156" t="s">
        <v>40</v>
      </c>
      <c r="X651" s="155" t="s">
        <v>40</v>
      </c>
      <c r="Y651" s="156" t="s">
        <v>40</v>
      </c>
      <c r="Z651" s="713" t="s">
        <v>64</v>
      </c>
      <c r="AA651" s="156"/>
      <c r="AB651" s="155" t="s">
        <v>64</v>
      </c>
      <c r="AC651" s="156"/>
      <c r="AD651" s="156">
        <v>45250</v>
      </c>
      <c r="AE651" s="1523">
        <v>45565</v>
      </c>
      <c r="AF651" s="419" t="s">
        <v>42</v>
      </c>
      <c r="AG651" s="414">
        <v>2024</v>
      </c>
      <c r="AH651" s="408">
        <v>798843.16</v>
      </c>
      <c r="AI651" s="415" t="s">
        <v>1202</v>
      </c>
      <c r="AJ651" s="61"/>
      <c r="AK651" s="420"/>
      <c r="AL651" s="421" t="s">
        <v>41</v>
      </c>
      <c r="AM651" s="416">
        <v>0</v>
      </c>
      <c r="AN651" s="422"/>
      <c r="AO651" s="165"/>
      <c r="AP651" s="165"/>
      <c r="AQ651" s="165"/>
      <c r="AR651" s="165"/>
      <c r="AS651" s="165"/>
      <c r="AT651" s="315"/>
    </row>
    <row r="652" spans="1:129" s="143" customFormat="1" ht="14.4" x14ac:dyDescent="0.3">
      <c r="A652" s="143" t="s">
        <v>264</v>
      </c>
      <c r="B652" s="149" t="s">
        <v>1185</v>
      </c>
      <c r="C652" s="407" t="s">
        <v>1203</v>
      </c>
      <c r="D652" s="223" t="s">
        <v>34</v>
      </c>
      <c r="E652" s="223">
        <v>29</v>
      </c>
      <c r="F652" s="223" t="s">
        <v>35</v>
      </c>
      <c r="G652" s="971">
        <v>1</v>
      </c>
      <c r="H652" s="389">
        <f t="shared" si="4"/>
        <v>168014.2961371651</v>
      </c>
      <c r="I652" s="418" t="s">
        <v>267</v>
      </c>
      <c r="J652" s="53">
        <v>168014.2961371651</v>
      </c>
      <c r="K652" s="1617">
        <v>0</v>
      </c>
      <c r="L652" s="1617">
        <v>0</v>
      </c>
      <c r="M652" s="410" t="s">
        <v>73</v>
      </c>
      <c r="N652" s="410" t="s">
        <v>1204</v>
      </c>
      <c r="O652" s="410" t="s">
        <v>1205</v>
      </c>
      <c r="P652" s="155" t="s">
        <v>40</v>
      </c>
      <c r="Q652" s="156" t="s">
        <v>40</v>
      </c>
      <c r="R652" s="155" t="s">
        <v>40</v>
      </c>
      <c r="S652" s="156" t="s">
        <v>40</v>
      </c>
      <c r="T652" s="155" t="s">
        <v>64</v>
      </c>
      <c r="U652" s="156"/>
      <c r="V652" s="155" t="s">
        <v>40</v>
      </c>
      <c r="W652" s="156" t="s">
        <v>40</v>
      </c>
      <c r="X652" s="155" t="s">
        <v>40</v>
      </c>
      <c r="Y652" s="156" t="s">
        <v>40</v>
      </c>
      <c r="Z652" s="713" t="s">
        <v>64</v>
      </c>
      <c r="AA652" s="156"/>
      <c r="AB652" s="155" t="s">
        <v>64</v>
      </c>
      <c r="AC652" s="156"/>
      <c r="AD652" s="156">
        <v>45250</v>
      </c>
      <c r="AE652" s="1523">
        <v>45565</v>
      </c>
      <c r="AF652" s="419" t="s">
        <v>42</v>
      </c>
      <c r="AG652" s="414">
        <v>2024</v>
      </c>
      <c r="AH652" s="408">
        <v>829016.14</v>
      </c>
      <c r="AI652" s="415" t="s">
        <v>1206</v>
      </c>
      <c r="AJ652" s="61"/>
      <c r="AK652" s="420"/>
      <c r="AL652" s="421" t="s">
        <v>41</v>
      </c>
      <c r="AM652" s="416">
        <v>0</v>
      </c>
      <c r="AN652" s="422"/>
      <c r="AO652" s="165"/>
      <c r="AP652" s="165"/>
      <c r="AQ652" s="165"/>
      <c r="AR652" s="165"/>
      <c r="AS652" s="165"/>
      <c r="AT652" s="315"/>
    </row>
    <row r="653" spans="1:129" s="143" customFormat="1" ht="28.8" x14ac:dyDescent="0.3">
      <c r="A653" s="143" t="s">
        <v>264</v>
      </c>
      <c r="B653" s="149" t="s">
        <v>1185</v>
      </c>
      <c r="C653" s="407" t="s">
        <v>1207</v>
      </c>
      <c r="D653" s="223" t="s">
        <v>34</v>
      </c>
      <c r="E653" s="223">
        <v>29</v>
      </c>
      <c r="F653" s="223" t="s">
        <v>35</v>
      </c>
      <c r="G653" s="971">
        <v>1</v>
      </c>
      <c r="H653" s="389">
        <f t="shared" si="4"/>
        <v>106409.51724697012</v>
      </c>
      <c r="I653" s="418" t="s">
        <v>267</v>
      </c>
      <c r="J653" s="53">
        <v>106409.51724697012</v>
      </c>
      <c r="K653" s="1617">
        <v>0</v>
      </c>
      <c r="L653" s="1617">
        <v>0</v>
      </c>
      <c r="M653" s="410" t="s">
        <v>1208</v>
      </c>
      <c r="N653" s="410" t="s">
        <v>1209</v>
      </c>
      <c r="O653" s="410" t="s">
        <v>1210</v>
      </c>
      <c r="P653" s="155" t="s">
        <v>40</v>
      </c>
      <c r="Q653" s="156" t="s">
        <v>40</v>
      </c>
      <c r="R653" s="155" t="s">
        <v>40</v>
      </c>
      <c r="S653" s="156" t="s">
        <v>40</v>
      </c>
      <c r="T653" s="155" t="s">
        <v>64</v>
      </c>
      <c r="U653" s="156"/>
      <c r="V653" s="155" t="s">
        <v>40</v>
      </c>
      <c r="W653" s="156" t="s">
        <v>40</v>
      </c>
      <c r="X653" s="155" t="s">
        <v>40</v>
      </c>
      <c r="Y653" s="156" t="s">
        <v>40</v>
      </c>
      <c r="Z653" s="713" t="s">
        <v>64</v>
      </c>
      <c r="AA653" s="156"/>
      <c r="AB653" s="155" t="s">
        <v>64</v>
      </c>
      <c r="AC653" s="156"/>
      <c r="AD653" s="156">
        <v>45250</v>
      </c>
      <c r="AE653" s="1523">
        <v>45565</v>
      </c>
      <c r="AF653" s="419" t="s">
        <v>42</v>
      </c>
      <c r="AG653" s="414">
        <v>2024</v>
      </c>
      <c r="AH653" s="408">
        <v>525045.84</v>
      </c>
      <c r="AI653" s="415" t="s">
        <v>1211</v>
      </c>
      <c r="AJ653" s="61"/>
      <c r="AK653" s="420"/>
      <c r="AL653" s="421" t="s">
        <v>41</v>
      </c>
      <c r="AM653" s="416">
        <v>0</v>
      </c>
      <c r="AN653" s="422"/>
      <c r="AO653" s="165"/>
      <c r="AP653" s="165"/>
      <c r="AQ653" s="165"/>
      <c r="AR653" s="165"/>
      <c r="AS653" s="165"/>
      <c r="AT653" s="315"/>
    </row>
    <row r="654" spans="1:129" s="143" customFormat="1" ht="28.8" x14ac:dyDescent="0.3">
      <c r="A654" s="143" t="s">
        <v>264</v>
      </c>
      <c r="B654" s="149" t="s">
        <v>1185</v>
      </c>
      <c r="C654" s="407" t="s">
        <v>1212</v>
      </c>
      <c r="D654" s="223" t="s">
        <v>34</v>
      </c>
      <c r="E654" s="223">
        <v>29</v>
      </c>
      <c r="F654" s="223" t="s">
        <v>35</v>
      </c>
      <c r="G654" s="971">
        <v>1</v>
      </c>
      <c r="H654" s="389">
        <f t="shared" si="4"/>
        <v>123320.09241619716</v>
      </c>
      <c r="I654" s="418" t="s">
        <v>267</v>
      </c>
      <c r="J654" s="53">
        <v>123320.09241619716</v>
      </c>
      <c r="K654" s="1617">
        <v>0</v>
      </c>
      <c r="L654" s="1617">
        <v>0</v>
      </c>
      <c r="M654" s="410" t="s">
        <v>322</v>
      </c>
      <c r="N654" s="410" t="s">
        <v>469</v>
      </c>
      <c r="O654" s="410" t="s">
        <v>1213</v>
      </c>
      <c r="P654" s="155" t="s">
        <v>40</v>
      </c>
      <c r="Q654" s="156" t="s">
        <v>40</v>
      </c>
      <c r="R654" s="155" t="s">
        <v>40</v>
      </c>
      <c r="S654" s="156" t="s">
        <v>40</v>
      </c>
      <c r="T654" s="155" t="s">
        <v>64</v>
      </c>
      <c r="U654" s="156"/>
      <c r="V654" s="155" t="s">
        <v>40</v>
      </c>
      <c r="W654" s="156" t="s">
        <v>40</v>
      </c>
      <c r="X654" s="155" t="s">
        <v>40</v>
      </c>
      <c r="Y654" s="156" t="s">
        <v>40</v>
      </c>
      <c r="Z654" s="713" t="s">
        <v>64</v>
      </c>
      <c r="AA654" s="156"/>
      <c r="AB654" s="155" t="s">
        <v>64</v>
      </c>
      <c r="AC654" s="156"/>
      <c r="AD654" s="156">
        <v>45250</v>
      </c>
      <c r="AE654" s="1523">
        <v>45565</v>
      </c>
      <c r="AF654" s="419" t="s">
        <v>42</v>
      </c>
      <c r="AG654" s="414">
        <v>2024</v>
      </c>
      <c r="AH654" s="408">
        <v>608486</v>
      </c>
      <c r="AI654" s="415" t="s">
        <v>1214</v>
      </c>
      <c r="AJ654" s="61"/>
      <c r="AK654" s="420"/>
      <c r="AL654" s="421" t="s">
        <v>41</v>
      </c>
      <c r="AM654" s="416">
        <v>0</v>
      </c>
      <c r="AN654" s="422"/>
      <c r="AO654" s="165"/>
      <c r="AP654" s="165"/>
      <c r="AQ654" s="165"/>
      <c r="AR654" s="165"/>
      <c r="AS654" s="165"/>
      <c r="AT654" s="315"/>
    </row>
    <row r="655" spans="1:129" s="143" customFormat="1" ht="28.8" x14ac:dyDescent="0.3">
      <c r="A655" s="143" t="s">
        <v>264</v>
      </c>
      <c r="B655" s="149" t="s">
        <v>1185</v>
      </c>
      <c r="C655" s="407" t="s">
        <v>1215</v>
      </c>
      <c r="D655" s="223" t="s">
        <v>34</v>
      </c>
      <c r="E655" s="223">
        <v>29</v>
      </c>
      <c r="F655" s="223" t="s">
        <v>35</v>
      </c>
      <c r="G655" s="971">
        <v>1</v>
      </c>
      <c r="H655" s="389">
        <f t="shared" si="4"/>
        <v>199780.6696120952</v>
      </c>
      <c r="I655" s="418" t="s">
        <v>267</v>
      </c>
      <c r="J655" s="53">
        <v>199780.6696120952</v>
      </c>
      <c r="K655" s="1617">
        <v>0</v>
      </c>
      <c r="L655" s="1617">
        <v>0</v>
      </c>
      <c r="M655" s="410" t="s">
        <v>303</v>
      </c>
      <c r="N655" s="410" t="s">
        <v>1216</v>
      </c>
      <c r="O655" s="410" t="s">
        <v>1217</v>
      </c>
      <c r="P655" s="155" t="s">
        <v>40</v>
      </c>
      <c r="Q655" s="156" t="s">
        <v>40</v>
      </c>
      <c r="R655" s="155" t="s">
        <v>40</v>
      </c>
      <c r="S655" s="156" t="s">
        <v>40</v>
      </c>
      <c r="T655" s="155" t="s">
        <v>64</v>
      </c>
      <c r="U655" s="156"/>
      <c r="V655" s="155" t="s">
        <v>40</v>
      </c>
      <c r="W655" s="156" t="s">
        <v>40</v>
      </c>
      <c r="X655" s="155" t="s">
        <v>40</v>
      </c>
      <c r="Y655" s="156" t="s">
        <v>40</v>
      </c>
      <c r="Z655" s="713" t="s">
        <v>64</v>
      </c>
      <c r="AA655" s="156"/>
      <c r="AB655" s="155" t="s">
        <v>64</v>
      </c>
      <c r="AC655" s="156"/>
      <c r="AD655" s="156">
        <v>45250</v>
      </c>
      <c r="AE655" s="1523">
        <v>45565</v>
      </c>
      <c r="AF655" s="419" t="s">
        <v>42</v>
      </c>
      <c r="AG655" s="414">
        <v>2024</v>
      </c>
      <c r="AH655" s="408">
        <v>985757.78</v>
      </c>
      <c r="AI655" s="415" t="s">
        <v>1218</v>
      </c>
      <c r="AJ655" s="61"/>
      <c r="AK655" s="420"/>
      <c r="AL655" s="421" t="s">
        <v>41</v>
      </c>
      <c r="AM655" s="416">
        <v>0</v>
      </c>
      <c r="AN655" s="422"/>
      <c r="AO655" s="165"/>
      <c r="AP655" s="165"/>
      <c r="AQ655" s="165"/>
      <c r="AR655" s="165"/>
      <c r="AS655" s="165"/>
      <c r="AT655" s="315"/>
    </row>
    <row r="656" spans="1:129" s="143" customFormat="1" ht="28.8" x14ac:dyDescent="0.3">
      <c r="A656" s="143" t="s">
        <v>264</v>
      </c>
      <c r="B656" s="149" t="s">
        <v>1185</v>
      </c>
      <c r="C656" s="407" t="s">
        <v>1219</v>
      </c>
      <c r="D656" s="223" t="s">
        <v>34</v>
      </c>
      <c r="E656" s="223">
        <v>29</v>
      </c>
      <c r="F656" s="223" t="s">
        <v>35</v>
      </c>
      <c r="G656" s="971">
        <v>1</v>
      </c>
      <c r="H656" s="389">
        <f t="shared" si="4"/>
        <v>145793.84702687367</v>
      </c>
      <c r="I656" s="418" t="s">
        <v>267</v>
      </c>
      <c r="J656" s="53">
        <v>145793.84702687367</v>
      </c>
      <c r="K656" s="1617">
        <v>0</v>
      </c>
      <c r="L656" s="1617">
        <v>0</v>
      </c>
      <c r="M656" s="410" t="s">
        <v>290</v>
      </c>
      <c r="N656" s="410" t="s">
        <v>291</v>
      </c>
      <c r="O656" s="410" t="s">
        <v>1220</v>
      </c>
      <c r="P656" s="155" t="s">
        <v>40</v>
      </c>
      <c r="Q656" s="156" t="s">
        <v>40</v>
      </c>
      <c r="R656" s="155" t="s">
        <v>40</v>
      </c>
      <c r="S656" s="156" t="s">
        <v>40</v>
      </c>
      <c r="T656" s="155" t="s">
        <v>64</v>
      </c>
      <c r="U656" s="156"/>
      <c r="V656" s="155" t="s">
        <v>40</v>
      </c>
      <c r="W656" s="156" t="s">
        <v>40</v>
      </c>
      <c r="X656" s="155" t="s">
        <v>40</v>
      </c>
      <c r="Y656" s="156" t="s">
        <v>40</v>
      </c>
      <c r="Z656" s="713" t="s">
        <v>64</v>
      </c>
      <c r="AA656" s="156"/>
      <c r="AB656" s="155" t="s">
        <v>64</v>
      </c>
      <c r="AC656" s="156"/>
      <c r="AD656" s="156">
        <v>45250</v>
      </c>
      <c r="AE656" s="1523">
        <v>45565</v>
      </c>
      <c r="AF656" s="419" t="s">
        <v>42</v>
      </c>
      <c r="AG656" s="414">
        <v>2024</v>
      </c>
      <c r="AH656" s="408">
        <v>719376</v>
      </c>
      <c r="AI656" s="415" t="s">
        <v>1221</v>
      </c>
      <c r="AJ656" s="61"/>
      <c r="AK656" s="420"/>
      <c r="AL656" s="421" t="s">
        <v>41</v>
      </c>
      <c r="AM656" s="416">
        <v>0</v>
      </c>
      <c r="AN656" s="422"/>
      <c r="AO656" s="165"/>
      <c r="AP656" s="165"/>
      <c r="AQ656" s="165"/>
      <c r="AR656" s="165"/>
      <c r="AS656" s="165"/>
      <c r="AT656" s="315"/>
    </row>
    <row r="657" spans="1:46" s="143" customFormat="1" ht="28.8" x14ac:dyDescent="0.3">
      <c r="A657" s="143" t="s">
        <v>264</v>
      </c>
      <c r="B657" s="149" t="s">
        <v>1185</v>
      </c>
      <c r="C657" s="407" t="s">
        <v>1222</v>
      </c>
      <c r="D657" s="223" t="s">
        <v>34</v>
      </c>
      <c r="E657" s="223">
        <v>29</v>
      </c>
      <c r="F657" s="223" t="s">
        <v>35</v>
      </c>
      <c r="G657" s="971">
        <v>1</v>
      </c>
      <c r="H657" s="389">
        <f t="shared" si="4"/>
        <v>199484.0095658871</v>
      </c>
      <c r="I657" s="418" t="s">
        <v>267</v>
      </c>
      <c r="J657" s="53">
        <v>199484.0095658871</v>
      </c>
      <c r="K657" s="1617">
        <v>0</v>
      </c>
      <c r="L657" s="1617">
        <v>0</v>
      </c>
      <c r="M657" s="410" t="s">
        <v>79</v>
      </c>
      <c r="N657" s="410" t="s">
        <v>1223</v>
      </c>
      <c r="O657" s="410" t="s">
        <v>1224</v>
      </c>
      <c r="P657" s="155" t="s">
        <v>40</v>
      </c>
      <c r="Q657" s="156" t="s">
        <v>40</v>
      </c>
      <c r="R657" s="155" t="s">
        <v>40</v>
      </c>
      <c r="S657" s="156" t="s">
        <v>40</v>
      </c>
      <c r="T657" s="155" t="s">
        <v>64</v>
      </c>
      <c r="U657" s="156"/>
      <c r="V657" s="155" t="s">
        <v>40</v>
      </c>
      <c r="W657" s="156" t="s">
        <v>40</v>
      </c>
      <c r="X657" s="155" t="s">
        <v>40</v>
      </c>
      <c r="Y657" s="156" t="s">
        <v>40</v>
      </c>
      <c r="Z657" s="713" t="s">
        <v>64</v>
      </c>
      <c r="AA657" s="156"/>
      <c r="AB657" s="155" t="s">
        <v>64</v>
      </c>
      <c r="AC657" s="156"/>
      <c r="AD657" s="156">
        <v>45250</v>
      </c>
      <c r="AE657" s="1523">
        <v>45565</v>
      </c>
      <c r="AF657" s="419" t="s">
        <v>42</v>
      </c>
      <c r="AG657" s="414">
        <v>2024</v>
      </c>
      <c r="AH657" s="408">
        <v>984294</v>
      </c>
      <c r="AI657" s="415" t="s">
        <v>1225</v>
      </c>
      <c r="AJ657" s="61"/>
      <c r="AK657" s="420"/>
      <c r="AL657" s="421" t="s">
        <v>41</v>
      </c>
      <c r="AM657" s="416">
        <v>0</v>
      </c>
      <c r="AN657" s="422"/>
      <c r="AO657" s="165"/>
      <c r="AP657" s="165"/>
      <c r="AQ657" s="165"/>
      <c r="AR657" s="165"/>
      <c r="AS657" s="165"/>
      <c r="AT657" s="315"/>
    </row>
    <row r="658" spans="1:46" s="143" customFormat="1" ht="28.8" x14ac:dyDescent="0.3">
      <c r="A658" s="143" t="s">
        <v>264</v>
      </c>
      <c r="B658" s="149" t="s">
        <v>1185</v>
      </c>
      <c r="C658" s="407" t="s">
        <v>1226</v>
      </c>
      <c r="D658" s="223" t="s">
        <v>34</v>
      </c>
      <c r="E658" s="223">
        <v>29</v>
      </c>
      <c r="F658" s="223" t="s">
        <v>35</v>
      </c>
      <c r="G658" s="971">
        <v>1</v>
      </c>
      <c r="H658" s="389">
        <f t="shared" si="4"/>
        <v>124183.29212435654</v>
      </c>
      <c r="I658" s="418" t="s">
        <v>267</v>
      </c>
      <c r="J658" s="53">
        <v>124183.29212435654</v>
      </c>
      <c r="K658" s="1617">
        <v>0</v>
      </c>
      <c r="L658" s="1617">
        <v>0</v>
      </c>
      <c r="M658" s="410" t="s">
        <v>82</v>
      </c>
      <c r="N658" s="410" t="s">
        <v>82</v>
      </c>
      <c r="O658" s="410" t="s">
        <v>1227</v>
      </c>
      <c r="P658" s="155" t="s">
        <v>40</v>
      </c>
      <c r="Q658" s="156" t="s">
        <v>40</v>
      </c>
      <c r="R658" s="155" t="s">
        <v>40</v>
      </c>
      <c r="S658" s="156" t="s">
        <v>40</v>
      </c>
      <c r="T658" s="155" t="s">
        <v>64</v>
      </c>
      <c r="U658" s="156"/>
      <c r="V658" s="155" t="s">
        <v>40</v>
      </c>
      <c r="W658" s="156" t="s">
        <v>40</v>
      </c>
      <c r="X658" s="155" t="s">
        <v>40</v>
      </c>
      <c r="Y658" s="156" t="s">
        <v>40</v>
      </c>
      <c r="Z658" s="713" t="s">
        <v>64</v>
      </c>
      <c r="AA658" s="156"/>
      <c r="AB658" s="155" t="s">
        <v>64</v>
      </c>
      <c r="AC658" s="156"/>
      <c r="AD658" s="156">
        <v>45250</v>
      </c>
      <c r="AE658" s="1523">
        <v>45565</v>
      </c>
      <c r="AF658" s="419" t="s">
        <v>42</v>
      </c>
      <c r="AG658" s="414">
        <v>2024</v>
      </c>
      <c r="AH658" s="408">
        <v>612745.19999999995</v>
      </c>
      <c r="AI658" s="415" t="s">
        <v>1228</v>
      </c>
      <c r="AJ658" s="61"/>
      <c r="AK658" s="420"/>
      <c r="AL658" s="421" t="s">
        <v>41</v>
      </c>
      <c r="AM658" s="416">
        <v>0</v>
      </c>
      <c r="AN658" s="422"/>
      <c r="AO658" s="165"/>
      <c r="AP658" s="165"/>
      <c r="AQ658" s="165"/>
      <c r="AR658" s="165"/>
      <c r="AS658" s="165"/>
      <c r="AT658" s="315"/>
    </row>
    <row r="659" spans="1:46" s="143" customFormat="1" ht="28.8" x14ac:dyDescent="0.3">
      <c r="A659" s="143" t="s">
        <v>264</v>
      </c>
      <c r="B659" s="149" t="s">
        <v>1185</v>
      </c>
      <c r="C659" s="407" t="s">
        <v>1229</v>
      </c>
      <c r="D659" s="223" t="s">
        <v>34</v>
      </c>
      <c r="E659" s="223">
        <v>29</v>
      </c>
      <c r="F659" s="223" t="s">
        <v>35</v>
      </c>
      <c r="G659" s="971">
        <v>1</v>
      </c>
      <c r="H659" s="389">
        <f t="shared" si="4"/>
        <v>199970.00526934458</v>
      </c>
      <c r="I659" s="418" t="s">
        <v>267</v>
      </c>
      <c r="J659" s="53">
        <v>199970.00526934458</v>
      </c>
      <c r="K659" s="1617">
        <v>0</v>
      </c>
      <c r="L659" s="1617">
        <v>0</v>
      </c>
      <c r="M659" s="410" t="s">
        <v>838</v>
      </c>
      <c r="N659" s="410" t="s">
        <v>1230</v>
      </c>
      <c r="O659" s="410" t="s">
        <v>1231</v>
      </c>
      <c r="P659" s="155" t="s">
        <v>40</v>
      </c>
      <c r="Q659" s="156" t="s">
        <v>40</v>
      </c>
      <c r="R659" s="155" t="s">
        <v>40</v>
      </c>
      <c r="S659" s="156" t="s">
        <v>40</v>
      </c>
      <c r="T659" s="155" t="s">
        <v>64</v>
      </c>
      <c r="U659" s="156"/>
      <c r="V659" s="155" t="s">
        <v>40</v>
      </c>
      <c r="W659" s="156" t="s">
        <v>40</v>
      </c>
      <c r="X659" s="155" t="s">
        <v>40</v>
      </c>
      <c r="Y659" s="156" t="s">
        <v>40</v>
      </c>
      <c r="Z659" s="713" t="s">
        <v>64</v>
      </c>
      <c r="AA659" s="156"/>
      <c r="AB659" s="155" t="s">
        <v>64</v>
      </c>
      <c r="AC659" s="156"/>
      <c r="AD659" s="156">
        <v>45250</v>
      </c>
      <c r="AE659" s="1523">
        <v>45565</v>
      </c>
      <c r="AF659" s="419" t="s">
        <v>42</v>
      </c>
      <c r="AG659" s="414">
        <v>2024</v>
      </c>
      <c r="AH659" s="408">
        <v>986692</v>
      </c>
      <c r="AI659" s="415" t="s">
        <v>1232</v>
      </c>
      <c r="AJ659" s="61"/>
      <c r="AK659" s="420"/>
      <c r="AL659" s="421" t="s">
        <v>41</v>
      </c>
      <c r="AM659" s="416">
        <v>0</v>
      </c>
      <c r="AN659" s="422"/>
      <c r="AO659" s="165"/>
      <c r="AP659" s="165"/>
      <c r="AQ659" s="165"/>
      <c r="AR659" s="165"/>
      <c r="AS659" s="165"/>
      <c r="AT659" s="315"/>
    </row>
    <row r="660" spans="1:46" s="143" customFormat="1" ht="28.8" x14ac:dyDescent="0.3">
      <c r="A660" s="143" t="s">
        <v>264</v>
      </c>
      <c r="B660" s="149" t="s">
        <v>1185</v>
      </c>
      <c r="C660" s="407" t="s">
        <v>1233</v>
      </c>
      <c r="D660" s="223" t="s">
        <v>34</v>
      </c>
      <c r="E660" s="223">
        <v>29</v>
      </c>
      <c r="F660" s="223" t="s">
        <v>35</v>
      </c>
      <c r="G660" s="971">
        <v>1</v>
      </c>
      <c r="H660" s="389">
        <f t="shared" si="4"/>
        <v>199323.09188926272</v>
      </c>
      <c r="I660" s="418" t="s">
        <v>267</v>
      </c>
      <c r="J660" s="53">
        <v>199323.09188926272</v>
      </c>
      <c r="K660" s="1617">
        <v>0</v>
      </c>
      <c r="L660" s="1617">
        <v>0</v>
      </c>
      <c r="M660" s="410" t="s">
        <v>69</v>
      </c>
      <c r="N660" s="410" t="s">
        <v>1234</v>
      </c>
      <c r="O660" s="410" t="s">
        <v>1235</v>
      </c>
      <c r="P660" s="155" t="s">
        <v>40</v>
      </c>
      <c r="Q660" s="156" t="s">
        <v>40</v>
      </c>
      <c r="R660" s="155" t="s">
        <v>40</v>
      </c>
      <c r="S660" s="156" t="s">
        <v>40</v>
      </c>
      <c r="T660" s="155" t="s">
        <v>64</v>
      </c>
      <c r="U660" s="156"/>
      <c r="V660" s="155" t="s">
        <v>40</v>
      </c>
      <c r="W660" s="156" t="s">
        <v>40</v>
      </c>
      <c r="X660" s="155" t="s">
        <v>40</v>
      </c>
      <c r="Y660" s="156" t="s">
        <v>40</v>
      </c>
      <c r="Z660" s="713" t="s">
        <v>64</v>
      </c>
      <c r="AA660" s="156"/>
      <c r="AB660" s="155" t="s">
        <v>64</v>
      </c>
      <c r="AC660" s="156"/>
      <c r="AD660" s="156">
        <v>45250</v>
      </c>
      <c r="AE660" s="1523">
        <v>45565</v>
      </c>
      <c r="AF660" s="419" t="s">
        <v>42</v>
      </c>
      <c r="AG660" s="414">
        <v>2024</v>
      </c>
      <c r="AH660" s="408">
        <v>983500</v>
      </c>
      <c r="AI660" s="415" t="s">
        <v>1236</v>
      </c>
      <c r="AJ660" s="61"/>
      <c r="AK660" s="420"/>
      <c r="AL660" s="421" t="s">
        <v>41</v>
      </c>
      <c r="AM660" s="416">
        <v>0</v>
      </c>
      <c r="AN660" s="422"/>
      <c r="AO660" s="165"/>
      <c r="AP660" s="165"/>
      <c r="AQ660" s="165"/>
      <c r="AR660" s="165"/>
      <c r="AS660" s="165"/>
      <c r="AT660" s="315"/>
    </row>
    <row r="661" spans="1:46" s="143" customFormat="1" ht="14.4" x14ac:dyDescent="0.3">
      <c r="A661" s="143" t="s">
        <v>264</v>
      </c>
      <c r="B661" s="149" t="s">
        <v>1185</v>
      </c>
      <c r="C661" s="407" t="s">
        <v>1237</v>
      </c>
      <c r="D661" s="223" t="s">
        <v>34</v>
      </c>
      <c r="E661" s="223">
        <v>29</v>
      </c>
      <c r="F661" s="223" t="s">
        <v>35</v>
      </c>
      <c r="G661" s="971">
        <v>1</v>
      </c>
      <c r="H661" s="389">
        <f t="shared" si="4"/>
        <v>199978.92262170161</v>
      </c>
      <c r="I661" s="418" t="s">
        <v>267</v>
      </c>
      <c r="J661" s="53">
        <v>199978.92262170161</v>
      </c>
      <c r="K661" s="1402">
        <f>996.919+11102.18</f>
        <v>12099.099</v>
      </c>
      <c r="L661" s="1402">
        <f>996.919+11102.18</f>
        <v>12099.099</v>
      </c>
      <c r="M661" s="410" t="s">
        <v>303</v>
      </c>
      <c r="N661" s="410" t="s">
        <v>303</v>
      </c>
      <c r="O661" s="410" t="s">
        <v>1238</v>
      </c>
      <c r="P661" s="155" t="s">
        <v>40</v>
      </c>
      <c r="Q661" s="156" t="s">
        <v>40</v>
      </c>
      <c r="R661" s="155" t="s">
        <v>40</v>
      </c>
      <c r="S661" s="156" t="s">
        <v>40</v>
      </c>
      <c r="T661" s="155" t="s">
        <v>64</v>
      </c>
      <c r="U661" s="156"/>
      <c r="V661" s="155" t="s">
        <v>40</v>
      </c>
      <c r="W661" s="156" t="s">
        <v>40</v>
      </c>
      <c r="X661" s="155" t="s">
        <v>40</v>
      </c>
      <c r="Y661" s="156" t="s">
        <v>40</v>
      </c>
      <c r="Z661" s="713" t="s">
        <v>64</v>
      </c>
      <c r="AA661" s="156"/>
      <c r="AB661" s="155" t="s">
        <v>64</v>
      </c>
      <c r="AC661" s="156"/>
      <c r="AD661" s="156">
        <v>45250</v>
      </c>
      <c r="AE661" s="1523">
        <v>45565</v>
      </c>
      <c r="AF661" s="419" t="s">
        <v>42</v>
      </c>
      <c r="AG661" s="414">
        <v>2024</v>
      </c>
      <c r="AH661" s="408">
        <v>986736</v>
      </c>
      <c r="AI661" s="415" t="s">
        <v>1239</v>
      </c>
      <c r="AJ661" s="61"/>
      <c r="AK661" s="420"/>
      <c r="AL661" s="421" t="s">
        <v>41</v>
      </c>
      <c r="AM661" s="416">
        <v>0</v>
      </c>
      <c r="AN661" s="422"/>
      <c r="AO661" s="165"/>
      <c r="AP661" s="165"/>
      <c r="AQ661" s="165"/>
      <c r="AR661" s="165"/>
      <c r="AS661" s="165"/>
      <c r="AT661" s="315"/>
    </row>
    <row r="662" spans="1:46" s="143" customFormat="1" ht="14.4" x14ac:dyDescent="0.3">
      <c r="A662" s="143" t="s">
        <v>264</v>
      </c>
      <c r="B662" s="149" t="s">
        <v>1185</v>
      </c>
      <c r="C662" s="407" t="s">
        <v>1240</v>
      </c>
      <c r="D662" s="223" t="s">
        <v>34</v>
      </c>
      <c r="E662" s="223">
        <v>29</v>
      </c>
      <c r="F662" s="223" t="s">
        <v>35</v>
      </c>
      <c r="G662" s="971">
        <v>1</v>
      </c>
      <c r="H662" s="389">
        <f t="shared" si="4"/>
        <v>199994.32532122737</v>
      </c>
      <c r="I662" s="418" t="s">
        <v>267</v>
      </c>
      <c r="J662" s="53">
        <v>199994.32532122737</v>
      </c>
      <c r="K662" s="1402">
        <f>996.919+11102.18</f>
        <v>12099.099</v>
      </c>
      <c r="L662" s="1402">
        <f>996.919+11102.18</f>
        <v>12099.099</v>
      </c>
      <c r="M662" s="410" t="s">
        <v>303</v>
      </c>
      <c r="N662" s="410" t="s">
        <v>303</v>
      </c>
      <c r="O662" s="410" t="s">
        <v>1241</v>
      </c>
      <c r="P662" s="155" t="s">
        <v>40</v>
      </c>
      <c r="Q662" s="156" t="s">
        <v>40</v>
      </c>
      <c r="R662" s="155" t="s">
        <v>40</v>
      </c>
      <c r="S662" s="156" t="s">
        <v>40</v>
      </c>
      <c r="T662" s="155" t="s">
        <v>64</v>
      </c>
      <c r="U662" s="156"/>
      <c r="V662" s="155" t="s">
        <v>40</v>
      </c>
      <c r="W662" s="156" t="s">
        <v>40</v>
      </c>
      <c r="X662" s="155" t="s">
        <v>40</v>
      </c>
      <c r="Y662" s="156" t="s">
        <v>40</v>
      </c>
      <c r="Z662" s="713" t="s">
        <v>64</v>
      </c>
      <c r="AA662" s="156"/>
      <c r="AB662" s="155" t="s">
        <v>64</v>
      </c>
      <c r="AC662" s="156"/>
      <c r="AD662" s="156">
        <v>45250</v>
      </c>
      <c r="AE662" s="1523">
        <v>45565</v>
      </c>
      <c r="AF662" s="419" t="s">
        <v>42</v>
      </c>
      <c r="AG662" s="414">
        <v>2024</v>
      </c>
      <c r="AH662" s="408">
        <v>986812</v>
      </c>
      <c r="AI662" s="415" t="s">
        <v>1242</v>
      </c>
      <c r="AJ662" s="61"/>
      <c r="AK662" s="420"/>
      <c r="AL662" s="421" t="s">
        <v>41</v>
      </c>
      <c r="AM662" s="416">
        <v>0</v>
      </c>
      <c r="AN662" s="422"/>
      <c r="AO662" s="165"/>
      <c r="AP662" s="165"/>
      <c r="AQ662" s="165"/>
      <c r="AR662" s="165"/>
      <c r="AS662" s="165"/>
      <c r="AT662" s="315"/>
    </row>
    <row r="663" spans="1:46" s="143" customFormat="1" ht="14.4" x14ac:dyDescent="0.3">
      <c r="A663" s="143" t="s">
        <v>264</v>
      </c>
      <c r="B663" s="149" t="s">
        <v>1185</v>
      </c>
      <c r="C663" s="407" t="s">
        <v>1243</v>
      </c>
      <c r="D663" s="223" t="s">
        <v>34</v>
      </c>
      <c r="E663" s="223">
        <v>29</v>
      </c>
      <c r="F663" s="223" t="s">
        <v>35</v>
      </c>
      <c r="G663" s="971">
        <v>1</v>
      </c>
      <c r="H663" s="389">
        <f t="shared" si="4"/>
        <v>199174.47813222001</v>
      </c>
      <c r="I663" s="418" t="s">
        <v>267</v>
      </c>
      <c r="J663" s="53">
        <v>199174.47813222001</v>
      </c>
      <c r="K663" s="1617">
        <v>0</v>
      </c>
      <c r="L663" s="1617">
        <v>0</v>
      </c>
      <c r="M663" s="410" t="s">
        <v>84</v>
      </c>
      <c r="N663" s="410" t="s">
        <v>1244</v>
      </c>
      <c r="O663" s="410" t="s">
        <v>1245</v>
      </c>
      <c r="P663" s="155" t="s">
        <v>40</v>
      </c>
      <c r="Q663" s="156" t="s">
        <v>40</v>
      </c>
      <c r="R663" s="155" t="s">
        <v>40</v>
      </c>
      <c r="S663" s="156" t="s">
        <v>40</v>
      </c>
      <c r="T663" s="155" t="s">
        <v>64</v>
      </c>
      <c r="U663" s="156"/>
      <c r="V663" s="155" t="s">
        <v>40</v>
      </c>
      <c r="W663" s="156" t="s">
        <v>40</v>
      </c>
      <c r="X663" s="155" t="s">
        <v>40</v>
      </c>
      <c r="Y663" s="156" t="s">
        <v>40</v>
      </c>
      <c r="Z663" s="713" t="s">
        <v>64</v>
      </c>
      <c r="AA663" s="156"/>
      <c r="AB663" s="155" t="s">
        <v>64</v>
      </c>
      <c r="AC663" s="156"/>
      <c r="AD663" s="156">
        <v>45250</v>
      </c>
      <c r="AE663" s="1523">
        <v>45565</v>
      </c>
      <c r="AF663" s="419" t="s">
        <v>42</v>
      </c>
      <c r="AG663" s="414">
        <v>2024</v>
      </c>
      <c r="AH663" s="408">
        <v>982766.71</v>
      </c>
      <c r="AI663" s="415" t="s">
        <v>1246</v>
      </c>
      <c r="AJ663" s="61"/>
      <c r="AK663" s="420"/>
      <c r="AL663" s="421" t="s">
        <v>41</v>
      </c>
      <c r="AM663" s="416">
        <v>0</v>
      </c>
      <c r="AN663" s="422"/>
      <c r="AO663" s="165"/>
      <c r="AP663" s="165"/>
      <c r="AQ663" s="165"/>
      <c r="AR663" s="165"/>
      <c r="AS663" s="165"/>
      <c r="AT663" s="315"/>
    </row>
    <row r="664" spans="1:46" s="143" customFormat="1" ht="14.4" x14ac:dyDescent="0.3">
      <c r="A664" s="143" t="s">
        <v>264</v>
      </c>
      <c r="B664" s="149" t="s">
        <v>1185</v>
      </c>
      <c r="C664" s="407" t="s">
        <v>1247</v>
      </c>
      <c r="D664" s="223" t="s">
        <v>34</v>
      </c>
      <c r="E664" s="223">
        <v>29</v>
      </c>
      <c r="F664" s="223" t="s">
        <v>35</v>
      </c>
      <c r="G664" s="971">
        <v>1</v>
      </c>
      <c r="H664" s="389">
        <f t="shared" si="4"/>
        <v>182203.26496696527</v>
      </c>
      <c r="I664" s="418" t="s">
        <v>267</v>
      </c>
      <c r="J664" s="53">
        <v>182203.26496696527</v>
      </c>
      <c r="K664" s="1617">
        <v>0</v>
      </c>
      <c r="L664" s="1617">
        <v>0</v>
      </c>
      <c r="M664" s="410" t="s">
        <v>49</v>
      </c>
      <c r="N664" s="410" t="s">
        <v>847</v>
      </c>
      <c r="O664" s="410" t="s">
        <v>1248</v>
      </c>
      <c r="P664" s="155" t="s">
        <v>40</v>
      </c>
      <c r="Q664" s="156" t="s">
        <v>40</v>
      </c>
      <c r="R664" s="155" t="s">
        <v>40</v>
      </c>
      <c r="S664" s="156" t="s">
        <v>40</v>
      </c>
      <c r="T664" s="155" t="s">
        <v>64</v>
      </c>
      <c r="U664" s="156"/>
      <c r="V664" s="155" t="s">
        <v>40</v>
      </c>
      <c r="W664" s="156" t="s">
        <v>40</v>
      </c>
      <c r="X664" s="155" t="s">
        <v>40</v>
      </c>
      <c r="Y664" s="156" t="s">
        <v>40</v>
      </c>
      <c r="Z664" s="713" t="s">
        <v>64</v>
      </c>
      <c r="AA664" s="156"/>
      <c r="AB664" s="155" t="s">
        <v>64</v>
      </c>
      <c r="AC664" s="156"/>
      <c r="AD664" s="156">
        <v>45250</v>
      </c>
      <c r="AE664" s="1523">
        <v>45565</v>
      </c>
      <c r="AF664" s="419" t="s">
        <v>42</v>
      </c>
      <c r="AG664" s="414">
        <v>2024</v>
      </c>
      <c r="AH664" s="408">
        <v>899027.35</v>
      </c>
      <c r="AI664" s="415" t="s">
        <v>1249</v>
      </c>
      <c r="AJ664" s="61"/>
      <c r="AK664" s="420"/>
      <c r="AL664" s="421" t="s">
        <v>41</v>
      </c>
      <c r="AM664" s="416">
        <v>0</v>
      </c>
      <c r="AN664" s="422"/>
      <c r="AO664" s="165"/>
      <c r="AP664" s="165"/>
      <c r="AQ664" s="165"/>
      <c r="AR664" s="165"/>
      <c r="AS664" s="165"/>
      <c r="AT664" s="315"/>
    </row>
    <row r="665" spans="1:46" s="143" customFormat="1" ht="14.4" x14ac:dyDescent="0.3">
      <c r="A665" s="143" t="s">
        <v>264</v>
      </c>
      <c r="B665" s="149" t="s">
        <v>1185</v>
      </c>
      <c r="C665" s="407" t="s">
        <v>1250</v>
      </c>
      <c r="D665" s="223" t="s">
        <v>34</v>
      </c>
      <c r="E665" s="223">
        <v>29</v>
      </c>
      <c r="F665" s="223" t="s">
        <v>35</v>
      </c>
      <c r="G665" s="971">
        <v>1</v>
      </c>
      <c r="H665" s="389">
        <f t="shared" si="4"/>
        <v>165731.50054720117</v>
      </c>
      <c r="I665" s="418" t="s">
        <v>267</v>
      </c>
      <c r="J665" s="53">
        <v>165731.50054720117</v>
      </c>
      <c r="K665" s="1617">
        <v>0</v>
      </c>
      <c r="L665" s="1617">
        <v>0</v>
      </c>
      <c r="M665" s="410" t="s">
        <v>76</v>
      </c>
      <c r="N665" s="410" t="s">
        <v>1251</v>
      </c>
      <c r="O665" s="410" t="s">
        <v>1252</v>
      </c>
      <c r="P665" s="155" t="s">
        <v>40</v>
      </c>
      <c r="Q665" s="156" t="s">
        <v>40</v>
      </c>
      <c r="R665" s="155" t="s">
        <v>40</v>
      </c>
      <c r="S665" s="156" t="s">
        <v>40</v>
      </c>
      <c r="T665" s="155" t="s">
        <v>64</v>
      </c>
      <c r="U665" s="156"/>
      <c r="V665" s="155" t="s">
        <v>40</v>
      </c>
      <c r="W665" s="156" t="s">
        <v>40</v>
      </c>
      <c r="X665" s="155" t="s">
        <v>40</v>
      </c>
      <c r="Y665" s="156" t="s">
        <v>40</v>
      </c>
      <c r="Z665" s="713" t="s">
        <v>64</v>
      </c>
      <c r="AA665" s="156"/>
      <c r="AB665" s="155" t="s">
        <v>64</v>
      </c>
      <c r="AC665" s="156"/>
      <c r="AD665" s="156">
        <v>45250</v>
      </c>
      <c r="AE665" s="1523">
        <v>45565</v>
      </c>
      <c r="AF665" s="419" t="s">
        <v>42</v>
      </c>
      <c r="AG665" s="414">
        <v>2024</v>
      </c>
      <c r="AH665" s="408">
        <v>817752.37</v>
      </c>
      <c r="AI665" s="415" t="s">
        <v>1253</v>
      </c>
      <c r="AJ665" s="61"/>
      <c r="AK665" s="420"/>
      <c r="AL665" s="421" t="s">
        <v>41</v>
      </c>
      <c r="AM665" s="416">
        <v>0</v>
      </c>
      <c r="AN665" s="422"/>
      <c r="AO665" s="165"/>
      <c r="AP665" s="165"/>
      <c r="AQ665" s="165"/>
      <c r="AR665" s="165"/>
      <c r="AS665" s="165"/>
      <c r="AT665" s="315"/>
    </row>
    <row r="666" spans="1:46" s="143" customFormat="1" ht="14.4" x14ac:dyDescent="0.3">
      <c r="A666" s="143" t="s">
        <v>264</v>
      </c>
      <c r="B666" s="149" t="s">
        <v>1185</v>
      </c>
      <c r="C666" s="407" t="s">
        <v>1254</v>
      </c>
      <c r="D666" s="223" t="s">
        <v>34</v>
      </c>
      <c r="E666" s="223">
        <v>29</v>
      </c>
      <c r="F666" s="223" t="s">
        <v>35</v>
      </c>
      <c r="G666" s="971">
        <v>1</v>
      </c>
      <c r="H666" s="389">
        <f t="shared" si="4"/>
        <v>177663.35373515464</v>
      </c>
      <c r="I666" s="418" t="s">
        <v>267</v>
      </c>
      <c r="J666" s="53">
        <v>177663.35373515464</v>
      </c>
      <c r="K666" s="1617">
        <v>0</v>
      </c>
      <c r="L666" s="1617">
        <v>0</v>
      </c>
      <c r="M666" s="410" t="s">
        <v>80</v>
      </c>
      <c r="N666" s="410" t="s">
        <v>1255</v>
      </c>
      <c r="O666" s="410" t="s">
        <v>1256</v>
      </c>
      <c r="P666" s="155" t="s">
        <v>40</v>
      </c>
      <c r="Q666" s="156" t="s">
        <v>40</v>
      </c>
      <c r="R666" s="155" t="s">
        <v>40</v>
      </c>
      <c r="S666" s="156" t="s">
        <v>40</v>
      </c>
      <c r="T666" s="155" t="s">
        <v>64</v>
      </c>
      <c r="U666" s="156"/>
      <c r="V666" s="155" t="s">
        <v>40</v>
      </c>
      <c r="W666" s="156" t="s">
        <v>40</v>
      </c>
      <c r="X666" s="155" t="s">
        <v>40</v>
      </c>
      <c r="Y666" s="156" t="s">
        <v>40</v>
      </c>
      <c r="Z666" s="713" t="s">
        <v>64</v>
      </c>
      <c r="AA666" s="156"/>
      <c r="AB666" s="155" t="s">
        <v>64</v>
      </c>
      <c r="AC666" s="156"/>
      <c r="AD666" s="156">
        <v>45250</v>
      </c>
      <c r="AE666" s="1523">
        <v>45565</v>
      </c>
      <c r="AF666" s="419" t="s">
        <v>42</v>
      </c>
      <c r="AG666" s="414">
        <v>2024</v>
      </c>
      <c r="AH666" s="408">
        <v>876626.52</v>
      </c>
      <c r="AI666" s="415" t="s">
        <v>1257</v>
      </c>
      <c r="AJ666" s="61"/>
      <c r="AK666" s="420"/>
      <c r="AL666" s="421" t="s">
        <v>41</v>
      </c>
      <c r="AM666" s="416">
        <v>0</v>
      </c>
      <c r="AN666" s="422"/>
      <c r="AO666" s="165"/>
      <c r="AP666" s="165"/>
      <c r="AQ666" s="165"/>
      <c r="AR666" s="165"/>
      <c r="AS666" s="165"/>
      <c r="AT666" s="315"/>
    </row>
    <row r="667" spans="1:46" s="143" customFormat="1" ht="28.8" x14ac:dyDescent="0.3">
      <c r="A667" s="143" t="s">
        <v>264</v>
      </c>
      <c r="B667" s="149" t="s">
        <v>1185</v>
      </c>
      <c r="C667" s="407" t="s">
        <v>1258</v>
      </c>
      <c r="D667" s="223" t="s">
        <v>34</v>
      </c>
      <c r="E667" s="223">
        <v>29</v>
      </c>
      <c r="F667" s="223" t="s">
        <v>35</v>
      </c>
      <c r="G667" s="971">
        <v>1</v>
      </c>
      <c r="H667" s="389">
        <f t="shared" si="4"/>
        <v>199878.00048640106</v>
      </c>
      <c r="I667" s="418" t="s">
        <v>267</v>
      </c>
      <c r="J667" s="53">
        <v>199878.00048640106</v>
      </c>
      <c r="K667" s="1617">
        <v>0</v>
      </c>
      <c r="L667" s="1617">
        <v>0</v>
      </c>
      <c r="M667" s="410" t="s">
        <v>79</v>
      </c>
      <c r="N667" s="410" t="s">
        <v>1259</v>
      </c>
      <c r="O667" s="410" t="s">
        <v>1260</v>
      </c>
      <c r="P667" s="155" t="s">
        <v>40</v>
      </c>
      <c r="Q667" s="156" t="s">
        <v>40</v>
      </c>
      <c r="R667" s="155" t="s">
        <v>40</v>
      </c>
      <c r="S667" s="156" t="s">
        <v>40</v>
      </c>
      <c r="T667" s="155" t="s">
        <v>64</v>
      </c>
      <c r="U667" s="156"/>
      <c r="V667" s="155" t="s">
        <v>40</v>
      </c>
      <c r="W667" s="156" t="s">
        <v>40</v>
      </c>
      <c r="X667" s="155" t="s">
        <v>40</v>
      </c>
      <c r="Y667" s="156" t="s">
        <v>40</v>
      </c>
      <c r="Z667" s="713" t="s">
        <v>64</v>
      </c>
      <c r="AA667" s="156"/>
      <c r="AB667" s="155" t="s">
        <v>64</v>
      </c>
      <c r="AC667" s="156"/>
      <c r="AD667" s="156">
        <v>45250</v>
      </c>
      <c r="AE667" s="1523">
        <v>45565</v>
      </c>
      <c r="AF667" s="419" t="s">
        <v>42</v>
      </c>
      <c r="AG667" s="414">
        <v>2024</v>
      </c>
      <c r="AH667" s="408">
        <v>986238.03</v>
      </c>
      <c r="AI667" s="415" t="s">
        <v>1261</v>
      </c>
      <c r="AJ667" s="61"/>
      <c r="AK667" s="420"/>
      <c r="AL667" s="421" t="s">
        <v>41</v>
      </c>
      <c r="AM667" s="416">
        <v>0</v>
      </c>
      <c r="AN667" s="422"/>
      <c r="AO667" s="165"/>
      <c r="AP667" s="165"/>
      <c r="AQ667" s="165"/>
      <c r="AR667" s="165"/>
      <c r="AS667" s="165"/>
      <c r="AT667" s="315"/>
    </row>
    <row r="668" spans="1:46" s="143" customFormat="1" ht="14.4" x14ac:dyDescent="0.3">
      <c r="A668" s="143" t="s">
        <v>264</v>
      </c>
      <c r="B668" s="149" t="s">
        <v>1185</v>
      </c>
      <c r="C668" s="407" t="s">
        <v>1262</v>
      </c>
      <c r="D668" s="223" t="s">
        <v>34</v>
      </c>
      <c r="E668" s="223">
        <v>29</v>
      </c>
      <c r="F668" s="223" t="s">
        <v>35</v>
      </c>
      <c r="G668" s="971">
        <v>1</v>
      </c>
      <c r="H668" s="389">
        <f t="shared" si="4"/>
        <v>140223.33914312351</v>
      </c>
      <c r="I668" s="418" t="s">
        <v>267</v>
      </c>
      <c r="J668" s="53">
        <v>140223.33914312351</v>
      </c>
      <c r="K668" s="1402">
        <f>995.906+7504.387</f>
        <v>8500.2929999999997</v>
      </c>
      <c r="L668" s="1402">
        <f>995.906+7504.387</f>
        <v>8500.2929999999997</v>
      </c>
      <c r="M668" s="410" t="s">
        <v>79</v>
      </c>
      <c r="N668" s="410" t="s">
        <v>1263</v>
      </c>
      <c r="O668" s="410" t="s">
        <v>1264</v>
      </c>
      <c r="P668" s="155" t="s">
        <v>40</v>
      </c>
      <c r="Q668" s="156" t="s">
        <v>40</v>
      </c>
      <c r="R668" s="155" t="s">
        <v>40</v>
      </c>
      <c r="S668" s="156" t="s">
        <v>40</v>
      </c>
      <c r="T668" s="155" t="s">
        <v>64</v>
      </c>
      <c r="U668" s="156"/>
      <c r="V668" s="155" t="s">
        <v>40</v>
      </c>
      <c r="W668" s="156" t="s">
        <v>40</v>
      </c>
      <c r="X668" s="155" t="s">
        <v>40</v>
      </c>
      <c r="Y668" s="156" t="s">
        <v>40</v>
      </c>
      <c r="Z668" s="713" t="s">
        <v>64</v>
      </c>
      <c r="AA668" s="156"/>
      <c r="AB668" s="155" t="s">
        <v>64</v>
      </c>
      <c r="AC668" s="156"/>
      <c r="AD668" s="156">
        <v>45250</v>
      </c>
      <c r="AE668" s="1523">
        <v>45565</v>
      </c>
      <c r="AF668" s="419" t="s">
        <v>42</v>
      </c>
      <c r="AG668" s="414">
        <v>2024</v>
      </c>
      <c r="AH668" s="408">
        <v>691890</v>
      </c>
      <c r="AI668" s="415">
        <v>36860405</v>
      </c>
      <c r="AJ668" s="61"/>
      <c r="AK668" s="420"/>
      <c r="AL668" s="421" t="s">
        <v>41</v>
      </c>
      <c r="AM668" s="416">
        <v>0</v>
      </c>
      <c r="AN668" s="422"/>
      <c r="AO668" s="165"/>
      <c r="AP668" s="165"/>
      <c r="AQ668" s="165"/>
      <c r="AR668" s="165"/>
      <c r="AS668" s="165"/>
      <c r="AT668" s="315"/>
    </row>
    <row r="669" spans="1:46" s="143" customFormat="1" ht="14.4" x14ac:dyDescent="0.3">
      <c r="A669" s="143" t="s">
        <v>264</v>
      </c>
      <c r="B669" s="149" t="s">
        <v>1185</v>
      </c>
      <c r="C669" s="407" t="s">
        <v>1265</v>
      </c>
      <c r="D669" s="223" t="s">
        <v>34</v>
      </c>
      <c r="E669" s="223">
        <v>29</v>
      </c>
      <c r="F669" s="223" t="s">
        <v>35</v>
      </c>
      <c r="G669" s="971">
        <v>1</v>
      </c>
      <c r="H669" s="389">
        <f t="shared" si="4"/>
        <v>185592.7222244741</v>
      </c>
      <c r="I669" s="418" t="s">
        <v>267</v>
      </c>
      <c r="J669" s="53">
        <v>185592.7222244741</v>
      </c>
      <c r="K669" s="1617">
        <v>0</v>
      </c>
      <c r="L669" s="1617">
        <v>0</v>
      </c>
      <c r="M669" s="410" t="s">
        <v>84</v>
      </c>
      <c r="N669" s="410" t="s">
        <v>1244</v>
      </c>
      <c r="O669" s="410" t="s">
        <v>1266</v>
      </c>
      <c r="P669" s="155" t="s">
        <v>40</v>
      </c>
      <c r="Q669" s="156" t="s">
        <v>40</v>
      </c>
      <c r="R669" s="155" t="s">
        <v>40</v>
      </c>
      <c r="S669" s="156" t="s">
        <v>40</v>
      </c>
      <c r="T669" s="155" t="s">
        <v>64</v>
      </c>
      <c r="U669" s="156"/>
      <c r="V669" s="155" t="s">
        <v>40</v>
      </c>
      <c r="W669" s="156" t="s">
        <v>40</v>
      </c>
      <c r="X669" s="155" t="s">
        <v>40</v>
      </c>
      <c r="Y669" s="156" t="s">
        <v>40</v>
      </c>
      <c r="Z669" s="713" t="s">
        <v>64</v>
      </c>
      <c r="AA669" s="156"/>
      <c r="AB669" s="155" t="s">
        <v>64</v>
      </c>
      <c r="AC669" s="156"/>
      <c r="AD669" s="156">
        <v>45250</v>
      </c>
      <c r="AE669" s="1523">
        <v>45565</v>
      </c>
      <c r="AF669" s="419" t="s">
        <v>42</v>
      </c>
      <c r="AG669" s="414">
        <v>2024</v>
      </c>
      <c r="AH669" s="408">
        <v>915751.61</v>
      </c>
      <c r="AI669" s="415" t="s">
        <v>1267</v>
      </c>
      <c r="AJ669" s="61"/>
      <c r="AK669" s="420"/>
      <c r="AL669" s="421" t="s">
        <v>41</v>
      </c>
      <c r="AM669" s="416">
        <v>0</v>
      </c>
      <c r="AN669" s="422"/>
      <c r="AO669" s="165"/>
      <c r="AP669" s="165"/>
      <c r="AQ669" s="165"/>
      <c r="AR669" s="165"/>
      <c r="AS669" s="165"/>
      <c r="AT669" s="315"/>
    </row>
    <row r="670" spans="1:46" s="143" customFormat="1" ht="14.4" x14ac:dyDescent="0.3">
      <c r="A670" s="143" t="s">
        <v>264</v>
      </c>
      <c r="B670" s="149" t="s">
        <v>1185</v>
      </c>
      <c r="C670" s="407" t="s">
        <v>1268</v>
      </c>
      <c r="D670" s="223" t="s">
        <v>34</v>
      </c>
      <c r="E670" s="223">
        <v>29</v>
      </c>
      <c r="F670" s="223" t="s">
        <v>35</v>
      </c>
      <c r="G670" s="971">
        <v>1</v>
      </c>
      <c r="H670" s="389">
        <f t="shared" si="4"/>
        <v>199130.61489197845</v>
      </c>
      <c r="I670" s="418" t="s">
        <v>267</v>
      </c>
      <c r="J670" s="53">
        <v>199130.61489197845</v>
      </c>
      <c r="K670" s="1617">
        <v>0</v>
      </c>
      <c r="L670" s="1617">
        <v>0</v>
      </c>
      <c r="M670" s="410" t="s">
        <v>316</v>
      </c>
      <c r="N670" s="410" t="s">
        <v>1269</v>
      </c>
      <c r="O670" s="410" t="s">
        <v>1270</v>
      </c>
      <c r="P670" s="155" t="s">
        <v>40</v>
      </c>
      <c r="Q670" s="156" t="s">
        <v>40</v>
      </c>
      <c r="R670" s="155" t="s">
        <v>40</v>
      </c>
      <c r="S670" s="156" t="s">
        <v>40</v>
      </c>
      <c r="T670" s="155" t="s">
        <v>64</v>
      </c>
      <c r="U670" s="156"/>
      <c r="V670" s="155" t="s">
        <v>40</v>
      </c>
      <c r="W670" s="156" t="s">
        <v>40</v>
      </c>
      <c r="X670" s="155" t="s">
        <v>40</v>
      </c>
      <c r="Y670" s="156" t="s">
        <v>40</v>
      </c>
      <c r="Z670" s="713" t="s">
        <v>64</v>
      </c>
      <c r="AA670" s="156"/>
      <c r="AB670" s="155" t="s">
        <v>64</v>
      </c>
      <c r="AC670" s="156"/>
      <c r="AD670" s="156">
        <v>45250</v>
      </c>
      <c r="AE670" s="1523">
        <v>45565</v>
      </c>
      <c r="AF670" s="419" t="s">
        <v>42</v>
      </c>
      <c r="AG670" s="414">
        <v>2024</v>
      </c>
      <c r="AH670" s="408">
        <v>982550.28</v>
      </c>
      <c r="AI670" s="415" t="s">
        <v>1271</v>
      </c>
      <c r="AJ670" s="61"/>
      <c r="AK670" s="420"/>
      <c r="AL670" s="421" t="s">
        <v>41</v>
      </c>
      <c r="AM670" s="416">
        <v>0</v>
      </c>
      <c r="AN670" s="422"/>
      <c r="AO670" s="165"/>
      <c r="AP670" s="165"/>
      <c r="AQ670" s="165"/>
      <c r="AR670" s="165"/>
      <c r="AS670" s="165"/>
      <c r="AT670" s="315"/>
    </row>
    <row r="671" spans="1:46" s="143" customFormat="1" ht="28.8" x14ac:dyDescent="0.3">
      <c r="A671" s="143" t="s">
        <v>264</v>
      </c>
      <c r="B671" s="149" t="s">
        <v>1185</v>
      </c>
      <c r="C671" s="407" t="s">
        <v>1272</v>
      </c>
      <c r="D671" s="223" t="s">
        <v>34</v>
      </c>
      <c r="E671" s="223">
        <v>29</v>
      </c>
      <c r="F671" s="223" t="s">
        <v>35</v>
      </c>
      <c r="G671" s="971">
        <v>1</v>
      </c>
      <c r="H671" s="389">
        <f t="shared" si="4"/>
        <v>200000</v>
      </c>
      <c r="I671" s="418" t="s">
        <v>267</v>
      </c>
      <c r="J671" s="53">
        <v>200000</v>
      </c>
      <c r="K671" s="1617">
        <v>0</v>
      </c>
      <c r="L671" s="1617">
        <v>0</v>
      </c>
      <c r="M671" s="410" t="s">
        <v>68</v>
      </c>
      <c r="N671" s="410" t="s">
        <v>1273</v>
      </c>
      <c r="O671" s="410" t="s">
        <v>1274</v>
      </c>
      <c r="P671" s="155" t="s">
        <v>40</v>
      </c>
      <c r="Q671" s="156" t="s">
        <v>40</v>
      </c>
      <c r="R671" s="155" t="s">
        <v>40</v>
      </c>
      <c r="S671" s="156" t="s">
        <v>40</v>
      </c>
      <c r="T671" s="155" t="s">
        <v>64</v>
      </c>
      <c r="U671" s="156"/>
      <c r="V671" s="155" t="s">
        <v>40</v>
      </c>
      <c r="W671" s="156" t="s">
        <v>40</v>
      </c>
      <c r="X671" s="155" t="s">
        <v>40</v>
      </c>
      <c r="Y671" s="156" t="s">
        <v>40</v>
      </c>
      <c r="Z671" s="713" t="s">
        <v>64</v>
      </c>
      <c r="AA671" s="156"/>
      <c r="AB671" s="155" t="s">
        <v>64</v>
      </c>
      <c r="AC671" s="156"/>
      <c r="AD671" s="156">
        <v>45250</v>
      </c>
      <c r="AE671" s="1523">
        <v>45565</v>
      </c>
      <c r="AF671" s="419" t="s">
        <v>42</v>
      </c>
      <c r="AG671" s="414">
        <v>2024</v>
      </c>
      <c r="AH671" s="408">
        <v>986840</v>
      </c>
      <c r="AI671" s="415">
        <v>14154310</v>
      </c>
      <c r="AJ671" s="61"/>
      <c r="AK671" s="420"/>
      <c r="AL671" s="421" t="s">
        <v>41</v>
      </c>
      <c r="AM671" s="416">
        <v>0</v>
      </c>
      <c r="AN671" s="422"/>
      <c r="AO671" s="165"/>
      <c r="AP671" s="165"/>
      <c r="AQ671" s="165"/>
      <c r="AR671" s="165"/>
      <c r="AS671" s="165"/>
      <c r="AT671" s="315"/>
    </row>
    <row r="672" spans="1:46" s="143" customFormat="1" ht="28.8" x14ac:dyDescent="0.3">
      <c r="A672" s="143" t="s">
        <v>264</v>
      </c>
      <c r="B672" s="149" t="s">
        <v>1185</v>
      </c>
      <c r="C672" s="407" t="s">
        <v>1275</v>
      </c>
      <c r="D672" s="223" t="s">
        <v>34</v>
      </c>
      <c r="E672" s="223">
        <v>29</v>
      </c>
      <c r="F672" s="223" t="s">
        <v>35</v>
      </c>
      <c r="G672" s="971">
        <v>1</v>
      </c>
      <c r="H672" s="389">
        <f t="shared" si="4"/>
        <v>198838.11154797132</v>
      </c>
      <c r="I672" s="418" t="s">
        <v>267</v>
      </c>
      <c r="J672" s="53">
        <v>198838.11154797132</v>
      </c>
      <c r="K672" s="1617">
        <v>0</v>
      </c>
      <c r="L672" s="1617">
        <v>0</v>
      </c>
      <c r="M672" s="410" t="s">
        <v>838</v>
      </c>
      <c r="N672" s="410" t="s">
        <v>1276</v>
      </c>
      <c r="O672" s="410" t="s">
        <v>1277</v>
      </c>
      <c r="P672" s="155" t="s">
        <v>40</v>
      </c>
      <c r="Q672" s="156" t="s">
        <v>40</v>
      </c>
      <c r="R672" s="155" t="s">
        <v>40</v>
      </c>
      <c r="S672" s="156" t="s">
        <v>40</v>
      </c>
      <c r="T672" s="155" t="s">
        <v>64</v>
      </c>
      <c r="U672" s="156"/>
      <c r="V672" s="155" t="s">
        <v>40</v>
      </c>
      <c r="W672" s="156" t="s">
        <v>40</v>
      </c>
      <c r="X672" s="155" t="s">
        <v>40</v>
      </c>
      <c r="Y672" s="156" t="s">
        <v>40</v>
      </c>
      <c r="Z672" s="713" t="s">
        <v>64</v>
      </c>
      <c r="AA672" s="156"/>
      <c r="AB672" s="155" t="s">
        <v>64</v>
      </c>
      <c r="AC672" s="156"/>
      <c r="AD672" s="156">
        <v>45250</v>
      </c>
      <c r="AE672" s="1523">
        <v>45565</v>
      </c>
      <c r="AF672" s="419" t="s">
        <v>42</v>
      </c>
      <c r="AG672" s="414">
        <v>2024</v>
      </c>
      <c r="AH672" s="408">
        <v>981107.01</v>
      </c>
      <c r="AI672" s="415">
        <v>9201471</v>
      </c>
      <c r="AJ672" s="61"/>
      <c r="AK672" s="420"/>
      <c r="AL672" s="421" t="s">
        <v>41</v>
      </c>
      <c r="AM672" s="416">
        <v>0</v>
      </c>
      <c r="AN672" s="422"/>
      <c r="AO672" s="165"/>
      <c r="AP672" s="165"/>
      <c r="AQ672" s="165"/>
      <c r="AR672" s="165"/>
      <c r="AS672" s="165"/>
      <c r="AT672" s="315"/>
    </row>
    <row r="673" spans="1:46 16337:16367" s="143" customFormat="1" ht="14.4" x14ac:dyDescent="0.3">
      <c r="A673" s="143" t="s">
        <v>264</v>
      </c>
      <c r="B673" s="149" t="s">
        <v>1185</v>
      </c>
      <c r="C673" s="407" t="s">
        <v>1278</v>
      </c>
      <c r="D673" s="223" t="s">
        <v>34</v>
      </c>
      <c r="E673" s="223">
        <v>29</v>
      </c>
      <c r="F673" s="223" t="s">
        <v>35</v>
      </c>
      <c r="G673" s="971">
        <v>1</v>
      </c>
      <c r="H673" s="389">
        <f t="shared" si="4"/>
        <v>199843.80041344091</v>
      </c>
      <c r="I673" s="418" t="s">
        <v>267</v>
      </c>
      <c r="J673" s="53">
        <v>199843.80041344091</v>
      </c>
      <c r="K673" s="1617">
        <v>0</v>
      </c>
      <c r="L673" s="1617">
        <v>0</v>
      </c>
      <c r="M673" s="410" t="s">
        <v>80</v>
      </c>
      <c r="N673" s="410" t="s">
        <v>1279</v>
      </c>
      <c r="O673" s="410" t="s">
        <v>1280</v>
      </c>
      <c r="P673" s="155" t="s">
        <v>40</v>
      </c>
      <c r="Q673" s="156" t="s">
        <v>40</v>
      </c>
      <c r="R673" s="155" t="s">
        <v>40</v>
      </c>
      <c r="S673" s="156" t="s">
        <v>40</v>
      </c>
      <c r="T673" s="155" t="s">
        <v>64</v>
      </c>
      <c r="U673" s="156"/>
      <c r="V673" s="155" t="s">
        <v>40</v>
      </c>
      <c r="W673" s="156" t="s">
        <v>40</v>
      </c>
      <c r="X673" s="155" t="s">
        <v>40</v>
      </c>
      <c r="Y673" s="156" t="s">
        <v>40</v>
      </c>
      <c r="Z673" s="713" t="s">
        <v>64</v>
      </c>
      <c r="AA673" s="156"/>
      <c r="AB673" s="155" t="s">
        <v>64</v>
      </c>
      <c r="AC673" s="156"/>
      <c r="AD673" s="156">
        <v>45250</v>
      </c>
      <c r="AE673" s="1523">
        <v>45565</v>
      </c>
      <c r="AF673" s="419" t="s">
        <v>42</v>
      </c>
      <c r="AG673" s="414">
        <v>2024</v>
      </c>
      <c r="AH673" s="408">
        <v>986069.28</v>
      </c>
      <c r="AI673" s="415">
        <v>23379796</v>
      </c>
      <c r="AJ673" s="61"/>
      <c r="AK673" s="420"/>
      <c r="AL673" s="421" t="s">
        <v>41</v>
      </c>
      <c r="AM673" s="416">
        <v>0</v>
      </c>
      <c r="AN673" s="422"/>
      <c r="AO673" s="165"/>
      <c r="AP673" s="165"/>
      <c r="AQ673" s="165"/>
      <c r="AR673" s="165"/>
      <c r="AS673" s="165"/>
      <c r="AT673" s="315"/>
    </row>
    <row r="674" spans="1:46 16337:16367" s="143" customFormat="1" ht="14.4" x14ac:dyDescent="0.3">
      <c r="A674" s="143" t="s">
        <v>264</v>
      </c>
      <c r="B674" s="149" t="s">
        <v>1185</v>
      </c>
      <c r="C674" s="407" t="s">
        <v>1281</v>
      </c>
      <c r="D674" s="223" t="s">
        <v>34</v>
      </c>
      <c r="E674" s="223">
        <v>29</v>
      </c>
      <c r="F674" s="223" t="s">
        <v>35</v>
      </c>
      <c r="G674" s="971">
        <v>1</v>
      </c>
      <c r="H674" s="389">
        <f t="shared" si="4"/>
        <v>168049.00085120182</v>
      </c>
      <c r="I674" s="418" t="s">
        <v>267</v>
      </c>
      <c r="J674" s="53">
        <v>168049.00085120182</v>
      </c>
      <c r="K674" s="1617">
        <v>0</v>
      </c>
      <c r="L674" s="1617">
        <v>0</v>
      </c>
      <c r="M674" s="410" t="s">
        <v>55</v>
      </c>
      <c r="N674" s="410" t="s">
        <v>1282</v>
      </c>
      <c r="O674" s="410" t="s">
        <v>1283</v>
      </c>
      <c r="P674" s="155" t="s">
        <v>40</v>
      </c>
      <c r="Q674" s="156" t="s">
        <v>40</v>
      </c>
      <c r="R674" s="155" t="s">
        <v>40</v>
      </c>
      <c r="S674" s="156" t="s">
        <v>40</v>
      </c>
      <c r="T674" s="155" t="s">
        <v>64</v>
      </c>
      <c r="U674" s="156"/>
      <c r="V674" s="155" t="s">
        <v>40</v>
      </c>
      <c r="W674" s="156" t="s">
        <v>40</v>
      </c>
      <c r="X674" s="155" t="s">
        <v>40</v>
      </c>
      <c r="Y674" s="156" t="s">
        <v>40</v>
      </c>
      <c r="Z674" s="713" t="s">
        <v>64</v>
      </c>
      <c r="AA674" s="156"/>
      <c r="AB674" s="155" t="s">
        <v>64</v>
      </c>
      <c r="AC674" s="156"/>
      <c r="AD674" s="156">
        <v>45250</v>
      </c>
      <c r="AE674" s="1523">
        <v>45565</v>
      </c>
      <c r="AF674" s="419" t="s">
        <v>42</v>
      </c>
      <c r="AG674" s="414">
        <v>2024</v>
      </c>
      <c r="AH674" s="408">
        <v>829187.38</v>
      </c>
      <c r="AI674" s="415">
        <v>24182236</v>
      </c>
      <c r="AJ674" s="61"/>
      <c r="AK674" s="420"/>
      <c r="AL674" s="421" t="s">
        <v>41</v>
      </c>
      <c r="AM674" s="416">
        <v>0</v>
      </c>
      <c r="AN674" s="422"/>
      <c r="AO674" s="165"/>
      <c r="AP674" s="165"/>
      <c r="AQ674" s="165"/>
      <c r="AR674" s="165"/>
      <c r="AS674" s="165"/>
      <c r="AT674" s="315"/>
    </row>
    <row r="675" spans="1:46 16337:16367" s="143" customFormat="1" ht="28.8" x14ac:dyDescent="0.3">
      <c r="A675" s="143" t="s">
        <v>264</v>
      </c>
      <c r="B675" s="149" t="s">
        <v>1185</v>
      </c>
      <c r="C675" s="407" t="s">
        <v>1284</v>
      </c>
      <c r="D675" s="223" t="s">
        <v>34</v>
      </c>
      <c r="E675" s="223">
        <v>29</v>
      </c>
      <c r="F675" s="223" t="s">
        <v>35</v>
      </c>
      <c r="G675" s="971">
        <v>1</v>
      </c>
      <c r="H675" s="389">
        <f t="shared" si="4"/>
        <v>139470.02553605448</v>
      </c>
      <c r="I675" s="418" t="s">
        <v>267</v>
      </c>
      <c r="J675" s="53">
        <v>139470.02553605448</v>
      </c>
      <c r="K675" s="1402">
        <f>996.919+7383.077</f>
        <v>8379.996000000001</v>
      </c>
      <c r="L675" s="1402">
        <f>996.919+7383.077</f>
        <v>8379.996000000001</v>
      </c>
      <c r="M675" s="410" t="s">
        <v>838</v>
      </c>
      <c r="N675" s="410" t="s">
        <v>1285</v>
      </c>
      <c r="O675" s="410" t="s">
        <v>1286</v>
      </c>
      <c r="P675" s="155" t="s">
        <v>40</v>
      </c>
      <c r="Q675" s="156" t="s">
        <v>40</v>
      </c>
      <c r="R675" s="155" t="s">
        <v>40</v>
      </c>
      <c r="S675" s="156" t="s">
        <v>40</v>
      </c>
      <c r="T675" s="155" t="s">
        <v>64</v>
      </c>
      <c r="U675" s="156"/>
      <c r="V675" s="155" t="s">
        <v>40</v>
      </c>
      <c r="W675" s="156" t="s">
        <v>40</v>
      </c>
      <c r="X675" s="155" t="s">
        <v>40</v>
      </c>
      <c r="Y675" s="156" t="s">
        <v>40</v>
      </c>
      <c r="Z675" s="713" t="s">
        <v>64</v>
      </c>
      <c r="AA675" s="156"/>
      <c r="AB675" s="155" t="s">
        <v>64</v>
      </c>
      <c r="AC675" s="156"/>
      <c r="AD675" s="156">
        <v>45250</v>
      </c>
      <c r="AE675" s="1523">
        <v>45565</v>
      </c>
      <c r="AF675" s="419" t="s">
        <v>42</v>
      </c>
      <c r="AG675" s="414">
        <v>2024</v>
      </c>
      <c r="AH675" s="408">
        <v>688173</v>
      </c>
      <c r="AI675" s="415">
        <v>25542546</v>
      </c>
      <c r="AJ675" s="61"/>
      <c r="AK675" s="420"/>
      <c r="AL675" s="421" t="s">
        <v>41</v>
      </c>
      <c r="AM675" s="416">
        <v>0</v>
      </c>
      <c r="AN675" s="422"/>
      <c r="AO675" s="165"/>
      <c r="AP675" s="165"/>
      <c r="AQ675" s="165"/>
      <c r="AR675" s="165"/>
      <c r="AS675" s="165"/>
      <c r="AT675" s="315"/>
    </row>
    <row r="676" spans="1:46 16337:16367" s="143" customFormat="1" ht="14.4" x14ac:dyDescent="0.3">
      <c r="A676" s="143" t="s">
        <v>264</v>
      </c>
      <c r="B676" s="149" t="s">
        <v>1185</v>
      </c>
      <c r="C676" s="407" t="s">
        <v>1287</v>
      </c>
      <c r="D676" s="223" t="s">
        <v>34</v>
      </c>
      <c r="E676" s="223">
        <v>29</v>
      </c>
      <c r="F676" s="223" t="s">
        <v>35</v>
      </c>
      <c r="G676" s="971">
        <v>1</v>
      </c>
      <c r="H676" s="389">
        <f t="shared" si="4"/>
        <v>199824.66661262212</v>
      </c>
      <c r="I676" s="418" t="s">
        <v>267</v>
      </c>
      <c r="J676" s="53">
        <v>199824.66661262212</v>
      </c>
      <c r="K676" s="1617">
        <v>0</v>
      </c>
      <c r="L676" s="1617">
        <v>0</v>
      </c>
      <c r="M676" s="410" t="s">
        <v>67</v>
      </c>
      <c r="N676" s="410" t="s">
        <v>1288</v>
      </c>
      <c r="O676" s="410" t="s">
        <v>1289</v>
      </c>
      <c r="P676" s="155" t="s">
        <v>40</v>
      </c>
      <c r="Q676" s="156" t="s">
        <v>40</v>
      </c>
      <c r="R676" s="155" t="s">
        <v>40</v>
      </c>
      <c r="S676" s="156" t="s">
        <v>40</v>
      </c>
      <c r="T676" s="155" t="s">
        <v>64</v>
      </c>
      <c r="U676" s="156"/>
      <c r="V676" s="155" t="s">
        <v>40</v>
      </c>
      <c r="W676" s="156" t="s">
        <v>40</v>
      </c>
      <c r="X676" s="155" t="s">
        <v>40</v>
      </c>
      <c r="Y676" s="156" t="s">
        <v>40</v>
      </c>
      <c r="Z676" s="713" t="s">
        <v>64</v>
      </c>
      <c r="AA676" s="156"/>
      <c r="AB676" s="155" t="s">
        <v>64</v>
      </c>
      <c r="AC676" s="156"/>
      <c r="AD676" s="156">
        <v>45250</v>
      </c>
      <c r="AE676" s="1523">
        <v>45565</v>
      </c>
      <c r="AF676" s="419" t="s">
        <v>42</v>
      </c>
      <c r="AG676" s="414">
        <v>2024</v>
      </c>
      <c r="AH676" s="408">
        <v>985974.87</v>
      </c>
      <c r="AI676" s="415" t="s">
        <v>1290</v>
      </c>
      <c r="AJ676" s="61"/>
      <c r="AK676" s="420"/>
      <c r="AL676" s="421" t="s">
        <v>41</v>
      </c>
      <c r="AM676" s="416">
        <v>0</v>
      </c>
      <c r="AN676" s="422"/>
      <c r="AO676" s="165"/>
      <c r="AP676" s="165"/>
      <c r="AQ676" s="165"/>
      <c r="AR676" s="165"/>
      <c r="AS676" s="165"/>
      <c r="AT676" s="315"/>
    </row>
    <row r="677" spans="1:46 16337:16367" s="143" customFormat="1" ht="14.4" x14ac:dyDescent="0.3">
      <c r="A677" s="143" t="s">
        <v>264</v>
      </c>
      <c r="B677" s="149" t="s">
        <v>1185</v>
      </c>
      <c r="C677" s="407" t="s">
        <v>1291</v>
      </c>
      <c r="D677" s="223" t="s">
        <v>34</v>
      </c>
      <c r="E677" s="223">
        <v>29</v>
      </c>
      <c r="F677" s="223" t="s">
        <v>35</v>
      </c>
      <c r="G677" s="971">
        <v>1</v>
      </c>
      <c r="H677" s="389">
        <f t="shared" si="4"/>
        <v>159299.98783997406</v>
      </c>
      <c r="I677" s="418" t="s">
        <v>267</v>
      </c>
      <c r="J677" s="53">
        <v>159299.98783997406</v>
      </c>
      <c r="K677" s="1617">
        <v>0</v>
      </c>
      <c r="L677" s="1617">
        <v>0</v>
      </c>
      <c r="M677" s="410" t="s">
        <v>1292</v>
      </c>
      <c r="N677" s="410" t="s">
        <v>1293</v>
      </c>
      <c r="O677" s="410" t="s">
        <v>1294</v>
      </c>
      <c r="P677" s="155" t="s">
        <v>40</v>
      </c>
      <c r="Q677" s="156" t="s">
        <v>40</v>
      </c>
      <c r="R677" s="155" t="s">
        <v>40</v>
      </c>
      <c r="S677" s="156" t="s">
        <v>40</v>
      </c>
      <c r="T677" s="155" t="s">
        <v>64</v>
      </c>
      <c r="U677" s="156"/>
      <c r="V677" s="155" t="s">
        <v>40</v>
      </c>
      <c r="W677" s="156" t="s">
        <v>40</v>
      </c>
      <c r="X677" s="155" t="s">
        <v>40</v>
      </c>
      <c r="Y677" s="156" t="s">
        <v>40</v>
      </c>
      <c r="Z677" s="713" t="s">
        <v>64</v>
      </c>
      <c r="AA677" s="156"/>
      <c r="AB677" s="155" t="s">
        <v>64</v>
      </c>
      <c r="AC677" s="156"/>
      <c r="AD677" s="156">
        <v>45250</v>
      </c>
      <c r="AE677" s="1523">
        <v>45565</v>
      </c>
      <c r="AF677" s="419" t="s">
        <v>42</v>
      </c>
      <c r="AG677" s="414">
        <v>2024</v>
      </c>
      <c r="AH677" s="408">
        <v>786018</v>
      </c>
      <c r="AI677" s="415" t="s">
        <v>1295</v>
      </c>
      <c r="AJ677" s="61"/>
      <c r="AK677" s="420"/>
      <c r="AL677" s="421" t="s">
        <v>41</v>
      </c>
      <c r="AM677" s="416">
        <v>0</v>
      </c>
      <c r="AN677" s="422"/>
      <c r="AO677" s="165"/>
      <c r="AP677" s="165"/>
      <c r="AQ677" s="165"/>
      <c r="AR677" s="165"/>
      <c r="AS677" s="165"/>
      <c r="AT677" s="315"/>
    </row>
    <row r="678" spans="1:46 16337:16367" s="143" customFormat="1" ht="14.4" x14ac:dyDescent="0.3">
      <c r="A678" s="143" t="s">
        <v>264</v>
      </c>
      <c r="B678" s="149" t="s">
        <v>1185</v>
      </c>
      <c r="C678" s="407" t="s">
        <v>1296</v>
      </c>
      <c r="D678" s="223" t="s">
        <v>34</v>
      </c>
      <c r="E678" s="223">
        <v>29</v>
      </c>
      <c r="F678" s="223" t="s">
        <v>35</v>
      </c>
      <c r="G678" s="971">
        <v>1</v>
      </c>
      <c r="H678" s="389">
        <f t="shared" si="4"/>
        <v>199938.99720319404</v>
      </c>
      <c r="I678" s="418" t="s">
        <v>267</v>
      </c>
      <c r="J678" s="53">
        <v>199938.99720319404</v>
      </c>
      <c r="K678" s="1617">
        <v>0</v>
      </c>
      <c r="L678" s="1617">
        <v>0</v>
      </c>
      <c r="M678" s="410" t="s">
        <v>1297</v>
      </c>
      <c r="N678" s="410" t="s">
        <v>1298</v>
      </c>
      <c r="O678" s="410" t="s">
        <v>1299</v>
      </c>
      <c r="P678" s="155" t="s">
        <v>40</v>
      </c>
      <c r="Q678" s="156" t="s">
        <v>40</v>
      </c>
      <c r="R678" s="155" t="s">
        <v>40</v>
      </c>
      <c r="S678" s="156" t="s">
        <v>40</v>
      </c>
      <c r="T678" s="155" t="s">
        <v>64</v>
      </c>
      <c r="U678" s="156"/>
      <c r="V678" s="155" t="s">
        <v>40</v>
      </c>
      <c r="W678" s="156" t="s">
        <v>40</v>
      </c>
      <c r="X678" s="155" t="s">
        <v>40</v>
      </c>
      <c r="Y678" s="156" t="s">
        <v>40</v>
      </c>
      <c r="Z678" s="713" t="s">
        <v>64</v>
      </c>
      <c r="AA678" s="156"/>
      <c r="AB678" s="155" t="s">
        <v>64</v>
      </c>
      <c r="AC678" s="156"/>
      <c r="AD678" s="156">
        <v>45250</v>
      </c>
      <c r="AE678" s="1523">
        <v>45565</v>
      </c>
      <c r="AF678" s="419" t="s">
        <v>42</v>
      </c>
      <c r="AG678" s="414">
        <v>2024</v>
      </c>
      <c r="AH678" s="408">
        <v>986539</v>
      </c>
      <c r="AI678" s="415" t="s">
        <v>1300</v>
      </c>
      <c r="AJ678" s="61"/>
      <c r="AK678" s="420"/>
      <c r="AL678" s="421" t="s">
        <v>41</v>
      </c>
      <c r="AM678" s="416">
        <v>0</v>
      </c>
      <c r="AN678" s="422"/>
      <c r="AO678" s="165"/>
      <c r="AP678" s="165"/>
      <c r="AQ678" s="165"/>
      <c r="AR678" s="165"/>
      <c r="AS678" s="165"/>
      <c r="AT678" s="315"/>
    </row>
    <row r="679" spans="1:46 16337:16367" s="143" customFormat="1" ht="14.4" x14ac:dyDescent="0.3">
      <c r="A679" s="143" t="s">
        <v>264</v>
      </c>
      <c r="B679" s="149" t="s">
        <v>1185</v>
      </c>
      <c r="C679" s="407" t="s">
        <v>1301</v>
      </c>
      <c r="D679" s="223" t="s">
        <v>34</v>
      </c>
      <c r="E679" s="223">
        <v>29</v>
      </c>
      <c r="F679" s="223" t="s">
        <v>35</v>
      </c>
      <c r="G679" s="971">
        <v>1</v>
      </c>
      <c r="H679" s="389">
        <f t="shared" si="4"/>
        <v>199627.09253779743</v>
      </c>
      <c r="I679" s="418" t="s">
        <v>267</v>
      </c>
      <c r="J679" s="53">
        <v>199627.09253779743</v>
      </c>
      <c r="K679" s="1617">
        <v>0</v>
      </c>
      <c r="L679" s="1617">
        <v>0</v>
      </c>
      <c r="M679" s="410" t="s">
        <v>79</v>
      </c>
      <c r="N679" s="410" t="s">
        <v>1302</v>
      </c>
      <c r="O679" s="410" t="s">
        <v>1303</v>
      </c>
      <c r="P679" s="155" t="s">
        <v>40</v>
      </c>
      <c r="Q679" s="156" t="s">
        <v>40</v>
      </c>
      <c r="R679" s="155" t="s">
        <v>40</v>
      </c>
      <c r="S679" s="156" t="s">
        <v>40</v>
      </c>
      <c r="T679" s="155" t="s">
        <v>64</v>
      </c>
      <c r="U679" s="156"/>
      <c r="V679" s="155" t="s">
        <v>40</v>
      </c>
      <c r="W679" s="156" t="s">
        <v>40</v>
      </c>
      <c r="X679" s="155" t="s">
        <v>40</v>
      </c>
      <c r="Y679" s="156" t="s">
        <v>40</v>
      </c>
      <c r="Z679" s="713" t="s">
        <v>64</v>
      </c>
      <c r="AA679" s="156"/>
      <c r="AB679" s="155" t="s">
        <v>64</v>
      </c>
      <c r="AC679" s="156"/>
      <c r="AD679" s="156">
        <v>45250</v>
      </c>
      <c r="AE679" s="1523">
        <v>45565</v>
      </c>
      <c r="AF679" s="419" t="s">
        <v>42</v>
      </c>
      <c r="AG679" s="414">
        <v>2024</v>
      </c>
      <c r="AH679" s="408">
        <v>985000</v>
      </c>
      <c r="AI679" s="415" t="s">
        <v>1304</v>
      </c>
      <c r="AJ679" s="61"/>
      <c r="AK679" s="420"/>
      <c r="AL679" s="421" t="s">
        <v>41</v>
      </c>
      <c r="AM679" s="416">
        <v>0</v>
      </c>
      <c r="AN679" s="422"/>
      <c r="AO679" s="165"/>
      <c r="AP679" s="165"/>
      <c r="AQ679" s="165"/>
      <c r="AR679" s="165"/>
      <c r="AS679" s="165"/>
      <c r="AT679" s="315"/>
    </row>
    <row r="680" spans="1:46 16337:16367" s="143" customFormat="1" ht="14.4" x14ac:dyDescent="0.3">
      <c r="A680" s="143" t="s">
        <v>264</v>
      </c>
      <c r="B680" s="149" t="s">
        <v>1185</v>
      </c>
      <c r="C680" s="407" t="s">
        <v>1305</v>
      </c>
      <c r="D680" s="223" t="s">
        <v>34</v>
      </c>
      <c r="E680" s="223">
        <v>29</v>
      </c>
      <c r="F680" s="223" t="s">
        <v>35</v>
      </c>
      <c r="G680" s="971">
        <v>1</v>
      </c>
      <c r="H680" s="389">
        <f t="shared" si="4"/>
        <v>167973.99983786634</v>
      </c>
      <c r="I680" s="418" t="s">
        <v>267</v>
      </c>
      <c r="J680" s="53">
        <v>167973.99983786634</v>
      </c>
      <c r="K680" s="1617">
        <v>0</v>
      </c>
      <c r="L680" s="1617">
        <v>0</v>
      </c>
      <c r="M680" s="410" t="s">
        <v>322</v>
      </c>
      <c r="N680" s="410" t="s">
        <v>1200</v>
      </c>
      <c r="O680" s="410" t="s">
        <v>1306</v>
      </c>
      <c r="P680" s="155" t="s">
        <v>40</v>
      </c>
      <c r="Q680" s="156" t="s">
        <v>40</v>
      </c>
      <c r="R680" s="155" t="s">
        <v>40</v>
      </c>
      <c r="S680" s="156" t="s">
        <v>40</v>
      </c>
      <c r="T680" s="155" t="s">
        <v>64</v>
      </c>
      <c r="U680" s="156"/>
      <c r="V680" s="155" t="s">
        <v>40</v>
      </c>
      <c r="W680" s="156" t="s">
        <v>40</v>
      </c>
      <c r="X680" s="155" t="s">
        <v>40</v>
      </c>
      <c r="Y680" s="156" t="s">
        <v>40</v>
      </c>
      <c r="Z680" s="713" t="s">
        <v>64</v>
      </c>
      <c r="AA680" s="156"/>
      <c r="AB680" s="155" t="s">
        <v>64</v>
      </c>
      <c r="AC680" s="156"/>
      <c r="AD680" s="156">
        <v>45250</v>
      </c>
      <c r="AE680" s="1523">
        <v>45565</v>
      </c>
      <c r="AF680" s="419" t="s">
        <v>42</v>
      </c>
      <c r="AG680" s="414">
        <v>2024</v>
      </c>
      <c r="AH680" s="408">
        <v>828817.31</v>
      </c>
      <c r="AI680" s="415" t="s">
        <v>1307</v>
      </c>
      <c r="AJ680" s="61"/>
      <c r="AK680" s="420"/>
      <c r="AL680" s="421" t="s">
        <v>41</v>
      </c>
      <c r="AM680" s="416">
        <v>0</v>
      </c>
      <c r="AN680" s="422"/>
      <c r="AO680" s="165"/>
      <c r="AP680" s="165"/>
      <c r="AQ680" s="165"/>
      <c r="AR680" s="165"/>
      <c r="AS680" s="165"/>
      <c r="AT680" s="315"/>
    </row>
    <row r="681" spans="1:46 16337:16367" s="143" customFormat="1" ht="28.8" x14ac:dyDescent="0.3">
      <c r="A681" s="143" t="s">
        <v>264</v>
      </c>
      <c r="B681" s="149" t="s">
        <v>1185</v>
      </c>
      <c r="C681" s="407" t="s">
        <v>1308</v>
      </c>
      <c r="D681" s="223" t="s">
        <v>34</v>
      </c>
      <c r="E681" s="223">
        <v>29</v>
      </c>
      <c r="F681" s="223" t="s">
        <v>35</v>
      </c>
      <c r="G681" s="971">
        <v>1</v>
      </c>
      <c r="H681" s="389">
        <f t="shared" si="4"/>
        <v>200000</v>
      </c>
      <c r="I681" s="418" t="s">
        <v>267</v>
      </c>
      <c r="J681" s="53">
        <v>200000</v>
      </c>
      <c r="K681" s="1617">
        <v>0</v>
      </c>
      <c r="L681" s="1617">
        <v>0</v>
      </c>
      <c r="M681" s="410" t="s">
        <v>79</v>
      </c>
      <c r="N681" s="410" t="s">
        <v>942</v>
      </c>
      <c r="O681" s="410" t="s">
        <v>1309</v>
      </c>
      <c r="P681" s="155" t="s">
        <v>40</v>
      </c>
      <c r="Q681" s="156" t="s">
        <v>40</v>
      </c>
      <c r="R681" s="155" t="s">
        <v>40</v>
      </c>
      <c r="S681" s="156" t="s">
        <v>40</v>
      </c>
      <c r="T681" s="155" t="s">
        <v>64</v>
      </c>
      <c r="U681" s="156"/>
      <c r="V681" s="155" t="s">
        <v>40</v>
      </c>
      <c r="W681" s="156" t="s">
        <v>40</v>
      </c>
      <c r="X681" s="155" t="s">
        <v>40</v>
      </c>
      <c r="Y681" s="156" t="s">
        <v>40</v>
      </c>
      <c r="Z681" s="713" t="s">
        <v>64</v>
      </c>
      <c r="AA681" s="156"/>
      <c r="AB681" s="155" t="s">
        <v>64</v>
      </c>
      <c r="AC681" s="156"/>
      <c r="AD681" s="156">
        <v>45250</v>
      </c>
      <c r="AE681" s="1523">
        <v>45565</v>
      </c>
      <c r="AF681" s="419" t="s">
        <v>42</v>
      </c>
      <c r="AG681" s="414">
        <v>2024</v>
      </c>
      <c r="AH681" s="408">
        <v>986840</v>
      </c>
      <c r="AI681" s="415" t="s">
        <v>1310</v>
      </c>
      <c r="AJ681" s="61"/>
      <c r="AK681" s="420"/>
      <c r="AL681" s="421" t="s">
        <v>41</v>
      </c>
      <c r="AM681" s="416">
        <v>0</v>
      </c>
      <c r="AN681" s="422"/>
      <c r="AO681" s="165"/>
      <c r="AP681" s="165"/>
      <c r="AQ681" s="165"/>
      <c r="AR681" s="165"/>
      <c r="AS681" s="165"/>
      <c r="AT681" s="315"/>
    </row>
    <row r="682" spans="1:46 16337:16367" s="143" customFormat="1" ht="14.4" x14ac:dyDescent="0.3">
      <c r="A682" s="143" t="s">
        <v>264</v>
      </c>
      <c r="B682" s="149" t="s">
        <v>1185</v>
      </c>
      <c r="C682" s="407" t="s">
        <v>1311</v>
      </c>
      <c r="D682" s="223" t="s">
        <v>34</v>
      </c>
      <c r="E682" s="223">
        <v>29</v>
      </c>
      <c r="F682" s="223" t="s">
        <v>35</v>
      </c>
      <c r="G682" s="971">
        <v>1</v>
      </c>
      <c r="H682" s="389">
        <f t="shared" si="4"/>
        <v>72347.493007985089</v>
      </c>
      <c r="I682" s="418" t="s">
        <v>267</v>
      </c>
      <c r="J682" s="53">
        <v>72347.493007985089</v>
      </c>
      <c r="K682" s="1617">
        <v>0</v>
      </c>
      <c r="L682" s="1617">
        <v>0</v>
      </c>
      <c r="M682" s="410" t="s">
        <v>1063</v>
      </c>
      <c r="N682" s="410" t="s">
        <v>1312</v>
      </c>
      <c r="O682" s="410" t="s">
        <v>1313</v>
      </c>
      <c r="P682" s="155" t="s">
        <v>40</v>
      </c>
      <c r="Q682" s="156" t="s">
        <v>40</v>
      </c>
      <c r="R682" s="155" t="s">
        <v>40</v>
      </c>
      <c r="S682" s="156" t="s">
        <v>40</v>
      </c>
      <c r="T682" s="155" t="s">
        <v>64</v>
      </c>
      <c r="U682" s="156"/>
      <c r="V682" s="155" t="s">
        <v>40</v>
      </c>
      <c r="W682" s="156" t="s">
        <v>40</v>
      </c>
      <c r="X682" s="155" t="s">
        <v>40</v>
      </c>
      <c r="Y682" s="156" t="s">
        <v>40</v>
      </c>
      <c r="Z682" s="713" t="s">
        <v>64</v>
      </c>
      <c r="AA682" s="156"/>
      <c r="AB682" s="155" t="s">
        <v>64</v>
      </c>
      <c r="AC682" s="156"/>
      <c r="AD682" s="156">
        <v>45250</v>
      </c>
      <c r="AE682" s="1523">
        <v>45565</v>
      </c>
      <c r="AF682" s="419" t="s">
        <v>42</v>
      </c>
      <c r="AG682" s="414">
        <v>2024</v>
      </c>
      <c r="AH682" s="408">
        <v>356977</v>
      </c>
      <c r="AI682" s="415" t="s">
        <v>1314</v>
      </c>
      <c r="AJ682" s="61"/>
      <c r="AK682" s="420"/>
      <c r="AL682" s="421" t="s">
        <v>41</v>
      </c>
      <c r="AM682" s="416">
        <v>0</v>
      </c>
      <c r="AN682" s="422"/>
      <c r="AO682" s="165"/>
      <c r="AP682" s="165"/>
      <c r="AQ682" s="165"/>
      <c r="AR682" s="165"/>
      <c r="AS682" s="165"/>
      <c r="AT682" s="315"/>
    </row>
    <row r="683" spans="1:46 16337:16367" s="143" customFormat="1" ht="28.8" x14ac:dyDescent="0.3">
      <c r="A683" s="143" t="s">
        <v>264</v>
      </c>
      <c r="B683" s="149" t="s">
        <v>1185</v>
      </c>
      <c r="C683" s="407" t="s">
        <v>1315</v>
      </c>
      <c r="D683" s="223" t="s">
        <v>34</v>
      </c>
      <c r="E683" s="223">
        <v>29</v>
      </c>
      <c r="F683" s="223" t="s">
        <v>35</v>
      </c>
      <c r="G683" s="971">
        <v>1</v>
      </c>
      <c r="H683" s="389">
        <f t="shared" si="4"/>
        <v>42525.637388026429</v>
      </c>
      <c r="I683" s="418" t="s">
        <v>267</v>
      </c>
      <c r="J683" s="53">
        <v>42525.637388026429</v>
      </c>
      <c r="K683" s="1617">
        <v>0</v>
      </c>
      <c r="L683" s="1617">
        <v>0</v>
      </c>
      <c r="M683" s="410" t="s">
        <v>1077</v>
      </c>
      <c r="N683" s="410" t="s">
        <v>1316</v>
      </c>
      <c r="O683" s="410" t="s">
        <v>1317</v>
      </c>
      <c r="P683" s="155" t="s">
        <v>40</v>
      </c>
      <c r="Q683" s="156" t="s">
        <v>40</v>
      </c>
      <c r="R683" s="155" t="s">
        <v>40</v>
      </c>
      <c r="S683" s="156" t="s">
        <v>40</v>
      </c>
      <c r="T683" s="155" t="s">
        <v>64</v>
      </c>
      <c r="U683" s="156"/>
      <c r="V683" s="155" t="s">
        <v>40</v>
      </c>
      <c r="W683" s="156" t="s">
        <v>40</v>
      </c>
      <c r="X683" s="155" t="s">
        <v>40</v>
      </c>
      <c r="Y683" s="156" t="s">
        <v>40</v>
      </c>
      <c r="Z683" s="713" t="s">
        <v>64</v>
      </c>
      <c r="AA683" s="156"/>
      <c r="AB683" s="155" t="s">
        <v>64</v>
      </c>
      <c r="AC683" s="156"/>
      <c r="AD683" s="156">
        <v>45250</v>
      </c>
      <c r="AE683" s="1523">
        <v>45565</v>
      </c>
      <c r="AF683" s="419" t="s">
        <v>42</v>
      </c>
      <c r="AG683" s="414">
        <v>2024</v>
      </c>
      <c r="AH683" s="408">
        <v>209830</v>
      </c>
      <c r="AI683" s="415" t="s">
        <v>1318</v>
      </c>
      <c r="AJ683" s="61"/>
      <c r="AK683" s="420"/>
      <c r="AL683" s="421" t="s">
        <v>41</v>
      </c>
      <c r="AM683" s="416">
        <v>0</v>
      </c>
      <c r="AN683" s="422"/>
      <c r="AO683" s="165"/>
      <c r="AP683" s="165"/>
      <c r="AQ683" s="165"/>
      <c r="AR683" s="165"/>
      <c r="AS683" s="165"/>
      <c r="AT683" s="315"/>
    </row>
    <row r="684" spans="1:46 16337:16367" s="143" customFormat="1" ht="28.8" x14ac:dyDescent="0.3">
      <c r="A684" s="143" t="s">
        <v>264</v>
      </c>
      <c r="B684" s="149" t="s">
        <v>1185</v>
      </c>
      <c r="C684" s="407" t="s">
        <v>1319</v>
      </c>
      <c r="D684" s="223" t="s">
        <v>34</v>
      </c>
      <c r="E684" s="223">
        <v>29</v>
      </c>
      <c r="F684" s="223" t="s">
        <v>35</v>
      </c>
      <c r="G684" s="971">
        <v>1</v>
      </c>
      <c r="H684" s="389">
        <f t="shared" si="4"/>
        <v>158798.18410279276</v>
      </c>
      <c r="I684" s="418" t="s">
        <v>267</v>
      </c>
      <c r="J684" s="53">
        <v>158798.18410279276</v>
      </c>
      <c r="K684" s="1617">
        <v>0</v>
      </c>
      <c r="L684" s="1617">
        <v>0</v>
      </c>
      <c r="M684" s="410" t="s">
        <v>79</v>
      </c>
      <c r="N684" s="410" t="s">
        <v>1320</v>
      </c>
      <c r="O684" s="410" t="s">
        <v>1321</v>
      </c>
      <c r="P684" s="155" t="s">
        <v>40</v>
      </c>
      <c r="Q684" s="156" t="s">
        <v>40</v>
      </c>
      <c r="R684" s="155" t="s">
        <v>40</v>
      </c>
      <c r="S684" s="156" t="s">
        <v>40</v>
      </c>
      <c r="T684" s="155" t="s">
        <v>64</v>
      </c>
      <c r="U684" s="156"/>
      <c r="V684" s="155" t="s">
        <v>40</v>
      </c>
      <c r="W684" s="156" t="s">
        <v>40</v>
      </c>
      <c r="X684" s="155" t="s">
        <v>40</v>
      </c>
      <c r="Y684" s="156" t="s">
        <v>40</v>
      </c>
      <c r="Z684" s="713" t="s">
        <v>64</v>
      </c>
      <c r="AA684" s="156"/>
      <c r="AB684" s="155" t="s">
        <v>64</v>
      </c>
      <c r="AC684" s="156"/>
      <c r="AD684" s="156">
        <v>45250</v>
      </c>
      <c r="AE684" s="1523">
        <v>45565</v>
      </c>
      <c r="AF684" s="419" t="s">
        <v>42</v>
      </c>
      <c r="AG684" s="414">
        <v>2024</v>
      </c>
      <c r="AH684" s="408">
        <v>783542</v>
      </c>
      <c r="AI684" s="415">
        <v>18771067</v>
      </c>
      <c r="AJ684" s="61"/>
      <c r="AK684" s="420"/>
      <c r="AL684" s="421" t="s">
        <v>41</v>
      </c>
      <c r="AM684" s="416">
        <v>0</v>
      </c>
      <c r="AN684" s="422"/>
      <c r="AO684" s="165"/>
      <c r="AP684" s="165"/>
      <c r="AQ684" s="165"/>
      <c r="AR684" s="165"/>
      <c r="AS684" s="165"/>
      <c r="AT684" s="315"/>
    </row>
    <row r="685" spans="1:46 16337:16367" s="143" customFormat="1" ht="40.950000000000003" customHeight="1" x14ac:dyDescent="0.3">
      <c r="A685" s="143" t="s">
        <v>264</v>
      </c>
      <c r="B685" s="149" t="s">
        <v>1185</v>
      </c>
      <c r="C685" s="407" t="s">
        <v>1322</v>
      </c>
      <c r="D685" s="223" t="s">
        <v>34</v>
      </c>
      <c r="E685" s="223">
        <v>29</v>
      </c>
      <c r="F685" s="400" t="s">
        <v>35</v>
      </c>
      <c r="G685" s="972">
        <v>1</v>
      </c>
      <c r="H685" s="973">
        <f t="shared" si="4"/>
        <v>40876.336589518061</v>
      </c>
      <c r="I685" s="906" t="s">
        <v>267</v>
      </c>
      <c r="J685" s="907">
        <v>40876.336589518061</v>
      </c>
      <c r="K685" s="1623">
        <v>0</v>
      </c>
      <c r="L685" s="1623">
        <v>0</v>
      </c>
      <c r="M685" s="908" t="s">
        <v>1077</v>
      </c>
      <c r="N685" s="908" t="s">
        <v>1323</v>
      </c>
      <c r="O685" s="908" t="s">
        <v>1324</v>
      </c>
      <c r="P685" s="155" t="s">
        <v>40</v>
      </c>
      <c r="Q685" s="156" t="s">
        <v>40</v>
      </c>
      <c r="R685" s="155" t="s">
        <v>40</v>
      </c>
      <c r="S685" s="156" t="s">
        <v>40</v>
      </c>
      <c r="T685" s="155" t="s">
        <v>64</v>
      </c>
      <c r="U685" s="156"/>
      <c r="V685" s="155" t="s">
        <v>40</v>
      </c>
      <c r="W685" s="156" t="s">
        <v>40</v>
      </c>
      <c r="X685" s="155" t="s">
        <v>40</v>
      </c>
      <c r="Y685" s="156" t="s">
        <v>40</v>
      </c>
      <c r="Z685" s="713" t="s">
        <v>64</v>
      </c>
      <c r="AA685" s="156"/>
      <c r="AB685" s="155" t="s">
        <v>64</v>
      </c>
      <c r="AC685" s="156"/>
      <c r="AD685" s="156">
        <v>45250</v>
      </c>
      <c r="AE685" s="1523">
        <v>45565</v>
      </c>
      <c r="AF685" s="912" t="s">
        <v>42</v>
      </c>
      <c r="AG685" s="913">
        <v>2024</v>
      </c>
      <c r="AH685" s="914">
        <v>201692.02</v>
      </c>
      <c r="AI685" s="974">
        <v>23073940</v>
      </c>
      <c r="AJ685" s="79"/>
      <c r="AK685" s="915"/>
      <c r="AL685" s="916" t="s">
        <v>41</v>
      </c>
      <c r="AM685" s="917">
        <v>0</v>
      </c>
      <c r="AN685" s="918"/>
      <c r="AO685" s="165"/>
      <c r="AP685" s="165"/>
      <c r="AQ685" s="165"/>
      <c r="AR685" s="165"/>
      <c r="AS685" s="165"/>
      <c r="AT685" s="315"/>
    </row>
    <row r="686" spans="1:46 16337:16367" s="102" customFormat="1" ht="28.8" x14ac:dyDescent="0.3">
      <c r="A686" s="102" t="s">
        <v>264</v>
      </c>
      <c r="B686" s="223" t="s">
        <v>1185</v>
      </c>
      <c r="C686" s="392" t="s">
        <v>1325</v>
      </c>
      <c r="D686" s="223" t="s">
        <v>34</v>
      </c>
      <c r="E686" s="223">
        <v>29</v>
      </c>
      <c r="F686" s="400" t="s">
        <v>35</v>
      </c>
      <c r="G686" s="975">
        <v>1</v>
      </c>
      <c r="H686" s="393">
        <v>199989.5</v>
      </c>
      <c r="I686" s="864" t="s">
        <v>267</v>
      </c>
      <c r="J686" s="449">
        <v>199989.5</v>
      </c>
      <c r="K686" s="1624">
        <v>0</v>
      </c>
      <c r="L686" s="1624">
        <v>0</v>
      </c>
      <c r="M686" s="976" t="s">
        <v>868</v>
      </c>
      <c r="N686" s="976" t="s">
        <v>1326</v>
      </c>
      <c r="O686" s="977" t="s">
        <v>1327</v>
      </c>
      <c r="P686" s="172" t="s">
        <v>40</v>
      </c>
      <c r="Q686" s="173" t="s">
        <v>40</v>
      </c>
      <c r="R686" s="172" t="s">
        <v>40</v>
      </c>
      <c r="S686" s="173" t="s">
        <v>40</v>
      </c>
      <c r="T686" s="172" t="s">
        <v>64</v>
      </c>
      <c r="U686" s="173"/>
      <c r="V686" s="172" t="s">
        <v>40</v>
      </c>
      <c r="W686" s="173" t="s">
        <v>40</v>
      </c>
      <c r="X686" s="172" t="s">
        <v>40</v>
      </c>
      <c r="Y686" s="173" t="s">
        <v>40</v>
      </c>
      <c r="Z686" s="173" t="s">
        <v>64</v>
      </c>
      <c r="AA686" s="173"/>
      <c r="AB686" s="172" t="s">
        <v>64</v>
      </c>
      <c r="AC686" s="173"/>
      <c r="AD686" s="173">
        <v>45250</v>
      </c>
      <c r="AE686" s="1526">
        <v>45565</v>
      </c>
      <c r="AF686" s="924" t="s">
        <v>42</v>
      </c>
      <c r="AG686" s="925">
        <v>2024</v>
      </c>
      <c r="AH686" s="403">
        <v>986788.19</v>
      </c>
      <c r="AI686" s="974" t="s">
        <v>1328</v>
      </c>
      <c r="AJ686" s="123"/>
      <c r="AK686" s="399"/>
      <c r="AL686" s="400" t="s">
        <v>41</v>
      </c>
      <c r="AM686" s="401">
        <v>0</v>
      </c>
      <c r="AN686" s="391"/>
      <c r="AO686" s="104"/>
      <c r="AP686" s="104"/>
      <c r="AQ686" s="104"/>
      <c r="AR686" s="104"/>
      <c r="AS686" s="104"/>
      <c r="AT686" s="358"/>
      <c r="XEH686" s="104"/>
      <c r="XEI686" s="104"/>
      <c r="XEJ686" s="104"/>
      <c r="XEK686" s="104"/>
      <c r="XEL686" s="104"/>
      <c r="XEM686" s="104"/>
    </row>
    <row r="687" spans="1:46 16337:16367" s="102" customFormat="1" ht="14.4" x14ac:dyDescent="0.3">
      <c r="A687" s="102" t="s">
        <v>264</v>
      </c>
      <c r="B687" s="223" t="s">
        <v>1185</v>
      </c>
      <c r="C687" s="392" t="s">
        <v>1329</v>
      </c>
      <c r="D687" s="223" t="s">
        <v>34</v>
      </c>
      <c r="E687" s="223">
        <v>29</v>
      </c>
      <c r="F687" s="400" t="s">
        <v>35</v>
      </c>
      <c r="G687" s="975">
        <v>1</v>
      </c>
      <c r="H687" s="393">
        <v>199939</v>
      </c>
      <c r="I687" s="864" t="s">
        <v>267</v>
      </c>
      <c r="J687" s="449">
        <v>199939</v>
      </c>
      <c r="K687" s="1624">
        <v>0</v>
      </c>
      <c r="L687" s="1624">
        <v>0</v>
      </c>
      <c r="M687" s="391" t="s">
        <v>53</v>
      </c>
      <c r="N687" s="812" t="s">
        <v>1330</v>
      </c>
      <c r="O687" s="977" t="s">
        <v>1331</v>
      </c>
      <c r="P687" s="172" t="s">
        <v>40</v>
      </c>
      <c r="Q687" s="173" t="s">
        <v>40</v>
      </c>
      <c r="R687" s="172" t="s">
        <v>40</v>
      </c>
      <c r="S687" s="173" t="s">
        <v>40</v>
      </c>
      <c r="T687" s="172" t="s">
        <v>64</v>
      </c>
      <c r="U687" s="173"/>
      <c r="V687" s="172" t="s">
        <v>40</v>
      </c>
      <c r="W687" s="173" t="s">
        <v>40</v>
      </c>
      <c r="X687" s="172" t="s">
        <v>40</v>
      </c>
      <c r="Y687" s="173" t="s">
        <v>40</v>
      </c>
      <c r="Z687" s="173" t="s">
        <v>64</v>
      </c>
      <c r="AA687" s="173"/>
      <c r="AB687" s="172" t="s">
        <v>64</v>
      </c>
      <c r="AC687" s="173"/>
      <c r="AD687" s="173">
        <v>45250</v>
      </c>
      <c r="AE687" s="1526">
        <v>45565</v>
      </c>
      <c r="AF687" s="924" t="s">
        <v>42</v>
      </c>
      <c r="AG687" s="925">
        <v>2024</v>
      </c>
      <c r="AH687" s="403">
        <v>986539.01</v>
      </c>
      <c r="AI687" s="974">
        <v>5810261</v>
      </c>
      <c r="AJ687" s="123"/>
      <c r="AK687" s="399"/>
      <c r="AL687" s="400" t="s">
        <v>41</v>
      </c>
      <c r="AM687" s="401">
        <v>0</v>
      </c>
      <c r="XDI687" s="104"/>
      <c r="XDJ687" s="104"/>
      <c r="XDK687" s="104"/>
      <c r="XDL687" s="104"/>
      <c r="XDM687" s="104"/>
      <c r="XDN687" s="104"/>
      <c r="XEG687" s="223"/>
      <c r="XEH687" s="392"/>
      <c r="XEI687" s="978"/>
      <c r="XEJ687" s="449"/>
      <c r="XEK687" s="976"/>
      <c r="XEL687" s="976"/>
      <c r="XEM687" s="977"/>
    </row>
    <row r="688" spans="1:46 16337:16367" s="102" customFormat="1" ht="28.8" x14ac:dyDescent="0.3">
      <c r="A688" s="102" t="s">
        <v>264</v>
      </c>
      <c r="B688" s="223" t="s">
        <v>1185</v>
      </c>
      <c r="C688" s="392" t="s">
        <v>1332</v>
      </c>
      <c r="D688" s="223" t="s">
        <v>34</v>
      </c>
      <c r="E688" s="223">
        <v>29</v>
      </c>
      <c r="F688" s="400" t="s">
        <v>35</v>
      </c>
      <c r="G688" s="975">
        <v>1</v>
      </c>
      <c r="H688" s="393">
        <v>138025.53200113494</v>
      </c>
      <c r="I688" s="864" t="s">
        <v>267</v>
      </c>
      <c r="J688" s="449">
        <v>138025.53200113494</v>
      </c>
      <c r="K688" s="1624">
        <v>0</v>
      </c>
      <c r="L688" s="1624">
        <v>0</v>
      </c>
      <c r="M688" s="976" t="s">
        <v>54</v>
      </c>
      <c r="N688" s="976" t="s">
        <v>1333</v>
      </c>
      <c r="O688" s="977" t="s">
        <v>1334</v>
      </c>
      <c r="P688" s="172" t="s">
        <v>40</v>
      </c>
      <c r="Q688" s="173" t="s">
        <v>40</v>
      </c>
      <c r="R688" s="172" t="s">
        <v>40</v>
      </c>
      <c r="S688" s="173" t="s">
        <v>40</v>
      </c>
      <c r="T688" s="172" t="s">
        <v>64</v>
      </c>
      <c r="U688" s="173"/>
      <c r="V688" s="172" t="s">
        <v>40</v>
      </c>
      <c r="W688" s="173" t="s">
        <v>40</v>
      </c>
      <c r="X688" s="172" t="s">
        <v>40</v>
      </c>
      <c r="Y688" s="173" t="s">
        <v>40</v>
      </c>
      <c r="Z688" s="173" t="s">
        <v>64</v>
      </c>
      <c r="AA688" s="173"/>
      <c r="AB688" s="172" t="s">
        <v>64</v>
      </c>
      <c r="AC688" s="173"/>
      <c r="AD688" s="173">
        <v>45250</v>
      </c>
      <c r="AE688" s="1526">
        <v>45565</v>
      </c>
      <c r="AF688" s="924" t="s">
        <v>42</v>
      </c>
      <c r="AG688" s="925">
        <v>2024</v>
      </c>
      <c r="AH688" s="403">
        <v>681045.58</v>
      </c>
      <c r="AI688" s="974" t="s">
        <v>1335</v>
      </c>
      <c r="AJ688" s="123"/>
      <c r="AK688" s="399"/>
      <c r="AL688" s="400" t="s">
        <v>41</v>
      </c>
      <c r="AM688" s="401">
        <v>0</v>
      </c>
      <c r="AN688" s="391"/>
      <c r="AO688" s="104"/>
      <c r="AP688" s="104"/>
      <c r="AQ688" s="104"/>
      <c r="AR688" s="104"/>
      <c r="AS688" s="104"/>
      <c r="AT688" s="358"/>
      <c r="XEH688" s="104"/>
      <c r="XEI688" s="104"/>
      <c r="XEJ688" s="104"/>
      <c r="XEK688" s="104"/>
      <c r="XEL688" s="104"/>
      <c r="XEM688" s="104"/>
    </row>
    <row r="689" spans="1:129 16361:16367" s="102" customFormat="1" ht="14.4" x14ac:dyDescent="0.3">
      <c r="A689" s="102" t="s">
        <v>264</v>
      </c>
      <c r="B689" s="223" t="s">
        <v>1185</v>
      </c>
      <c r="C689" s="392" t="s">
        <v>1336</v>
      </c>
      <c r="D689" s="223" t="s">
        <v>34</v>
      </c>
      <c r="E689" s="223">
        <v>29</v>
      </c>
      <c r="F689" s="400" t="s">
        <v>35</v>
      </c>
      <c r="G689" s="975">
        <v>1</v>
      </c>
      <c r="H689" s="393">
        <v>134497.43626119738</v>
      </c>
      <c r="I689" s="864" t="s">
        <v>267</v>
      </c>
      <c r="J689" s="449">
        <v>134497.43626119738</v>
      </c>
      <c r="K689" s="1624">
        <v>0</v>
      </c>
      <c r="L689" s="1624">
        <v>0</v>
      </c>
      <c r="M689" s="928" t="s">
        <v>79</v>
      </c>
      <c r="N689" s="620" t="s">
        <v>1337</v>
      </c>
      <c r="O689" s="977" t="s">
        <v>1338</v>
      </c>
      <c r="P689" s="172" t="s">
        <v>40</v>
      </c>
      <c r="Q689" s="173" t="s">
        <v>40</v>
      </c>
      <c r="R689" s="172" t="s">
        <v>40</v>
      </c>
      <c r="S689" s="173" t="s">
        <v>40</v>
      </c>
      <c r="T689" s="172" t="s">
        <v>64</v>
      </c>
      <c r="U689" s="173"/>
      <c r="V689" s="172" t="s">
        <v>40</v>
      </c>
      <c r="W689" s="173" t="s">
        <v>40</v>
      </c>
      <c r="X689" s="172" t="s">
        <v>40</v>
      </c>
      <c r="Y689" s="173" t="s">
        <v>40</v>
      </c>
      <c r="Z689" s="173" t="s">
        <v>64</v>
      </c>
      <c r="AA689" s="173"/>
      <c r="AB689" s="172" t="s">
        <v>64</v>
      </c>
      <c r="AC689" s="173"/>
      <c r="AD689" s="173">
        <v>45250</v>
      </c>
      <c r="AE689" s="1526">
        <v>45565</v>
      </c>
      <c r="AF689" s="924" t="s">
        <v>42</v>
      </c>
      <c r="AG689" s="925">
        <v>2024</v>
      </c>
      <c r="AH689" s="403">
        <v>663637.25</v>
      </c>
      <c r="AI689" s="974" t="s">
        <v>1339</v>
      </c>
      <c r="AJ689" s="123"/>
      <c r="AK689" s="399"/>
      <c r="AL689" s="400" t="s">
        <v>41</v>
      </c>
      <c r="AM689" s="401">
        <v>0</v>
      </c>
      <c r="AN689" s="391"/>
      <c r="AO689" s="104"/>
      <c r="AP689" s="104"/>
      <c r="AQ689" s="104"/>
      <c r="AR689" s="104"/>
      <c r="AS689" s="104"/>
      <c r="AT689" s="358"/>
      <c r="XEH689" s="104"/>
      <c r="XEI689" s="104"/>
      <c r="XEJ689" s="104"/>
      <c r="XEK689" s="104"/>
      <c r="XEL689" s="104"/>
      <c r="XEM689" s="104"/>
    </row>
    <row r="690" spans="1:129 16361:16367" s="102" customFormat="1" ht="28.8" x14ac:dyDescent="0.3">
      <c r="A690" s="102" t="s">
        <v>264</v>
      </c>
      <c r="B690" s="223" t="s">
        <v>1185</v>
      </c>
      <c r="C690" s="392" t="s">
        <v>1340</v>
      </c>
      <c r="D690" s="223" t="s">
        <v>34</v>
      </c>
      <c r="E690" s="223">
        <v>29</v>
      </c>
      <c r="F690" s="400" t="s">
        <v>35</v>
      </c>
      <c r="G690" s="975">
        <v>1</v>
      </c>
      <c r="H690" s="393">
        <v>199837.0556523854</v>
      </c>
      <c r="I690" s="864" t="s">
        <v>267</v>
      </c>
      <c r="J690" s="449">
        <v>199837.0556523854</v>
      </c>
      <c r="K690" s="1624">
        <v>0</v>
      </c>
      <c r="L690" s="1624">
        <v>0</v>
      </c>
      <c r="M690" s="976" t="s">
        <v>303</v>
      </c>
      <c r="N690" s="976" t="s">
        <v>1216</v>
      </c>
      <c r="O690" s="977" t="s">
        <v>1341</v>
      </c>
      <c r="P690" s="172" t="s">
        <v>40</v>
      </c>
      <c r="Q690" s="173" t="s">
        <v>40</v>
      </c>
      <c r="R690" s="172" t="s">
        <v>40</v>
      </c>
      <c r="S690" s="173" t="s">
        <v>40</v>
      </c>
      <c r="T690" s="172" t="s">
        <v>64</v>
      </c>
      <c r="U690" s="173"/>
      <c r="V690" s="172" t="s">
        <v>40</v>
      </c>
      <c r="W690" s="173" t="s">
        <v>40</v>
      </c>
      <c r="X690" s="172" t="s">
        <v>40</v>
      </c>
      <c r="Y690" s="173" t="s">
        <v>40</v>
      </c>
      <c r="Z690" s="173" t="s">
        <v>64</v>
      </c>
      <c r="AA690" s="173"/>
      <c r="AB690" s="172" t="s">
        <v>64</v>
      </c>
      <c r="AC690" s="173"/>
      <c r="AD690" s="173">
        <v>45250</v>
      </c>
      <c r="AE690" s="1526">
        <v>45565</v>
      </c>
      <c r="AF690" s="924" t="s">
        <v>42</v>
      </c>
      <c r="AG690" s="925">
        <v>2024</v>
      </c>
      <c r="AH690" s="403">
        <v>986036</v>
      </c>
      <c r="AI690" s="974" t="s">
        <v>1342</v>
      </c>
      <c r="AJ690" s="123"/>
      <c r="AK690" s="399"/>
      <c r="AL690" s="400" t="s">
        <v>41</v>
      </c>
      <c r="AM690" s="401">
        <v>0</v>
      </c>
      <c r="AN690" s="391"/>
      <c r="AO690" s="104"/>
      <c r="AP690" s="104"/>
      <c r="AQ690" s="104"/>
      <c r="AR690" s="104"/>
      <c r="AS690" s="104"/>
      <c r="AT690" s="358"/>
      <c r="XEH690" s="104"/>
      <c r="XEI690" s="104"/>
      <c r="XEJ690" s="104"/>
      <c r="XEK690" s="104"/>
      <c r="XEL690" s="104"/>
      <c r="XEM690" s="104"/>
    </row>
    <row r="691" spans="1:129 16361:16367" s="102" customFormat="1" ht="14.4" x14ac:dyDescent="0.3">
      <c r="A691" s="102" t="s">
        <v>264</v>
      </c>
      <c r="B691" s="223" t="s">
        <v>1185</v>
      </c>
      <c r="C691" s="392" t="s">
        <v>1343</v>
      </c>
      <c r="D691" s="223" t="s">
        <v>34</v>
      </c>
      <c r="E691" s="223">
        <v>29</v>
      </c>
      <c r="F691" s="400" t="s">
        <v>35</v>
      </c>
      <c r="G691" s="975">
        <v>1</v>
      </c>
      <c r="H691" s="393">
        <v>190911.52365125046</v>
      </c>
      <c r="I691" s="864" t="s">
        <v>267</v>
      </c>
      <c r="J691" s="449">
        <v>190911.52365125046</v>
      </c>
      <c r="K691" s="1624">
        <v>0</v>
      </c>
      <c r="L691" s="1624">
        <v>0</v>
      </c>
      <c r="M691" s="928" t="s">
        <v>60</v>
      </c>
      <c r="N691" s="620" t="s">
        <v>1344</v>
      </c>
      <c r="O691" s="977" t="s">
        <v>1345</v>
      </c>
      <c r="P691" s="172" t="s">
        <v>40</v>
      </c>
      <c r="Q691" s="173" t="s">
        <v>40</v>
      </c>
      <c r="R691" s="172" t="s">
        <v>40</v>
      </c>
      <c r="S691" s="173" t="s">
        <v>40</v>
      </c>
      <c r="T691" s="172" t="s">
        <v>64</v>
      </c>
      <c r="U691" s="173"/>
      <c r="V691" s="172" t="s">
        <v>40</v>
      </c>
      <c r="W691" s="173" t="s">
        <v>40</v>
      </c>
      <c r="X691" s="172" t="s">
        <v>40</v>
      </c>
      <c r="Y691" s="173" t="s">
        <v>40</v>
      </c>
      <c r="Z691" s="173" t="s">
        <v>64</v>
      </c>
      <c r="AA691" s="173"/>
      <c r="AB691" s="172" t="s">
        <v>64</v>
      </c>
      <c r="AC691" s="173"/>
      <c r="AD691" s="173">
        <v>45250</v>
      </c>
      <c r="AE691" s="1526">
        <v>45565</v>
      </c>
      <c r="AF691" s="924" t="s">
        <v>42</v>
      </c>
      <c r="AG691" s="925">
        <v>2024</v>
      </c>
      <c r="AH691" s="403">
        <v>941995.64</v>
      </c>
      <c r="AI691" s="974" t="s">
        <v>1346</v>
      </c>
      <c r="AJ691" s="123"/>
      <c r="AK691" s="399"/>
      <c r="AL691" s="400" t="s">
        <v>41</v>
      </c>
      <c r="AM691" s="401">
        <v>0</v>
      </c>
      <c r="AN691" s="391"/>
      <c r="AO691" s="104"/>
      <c r="AP691" s="104"/>
      <c r="AQ691" s="104"/>
      <c r="AR691" s="104"/>
      <c r="AS691" s="104"/>
      <c r="AT691" s="358"/>
      <c r="XEH691" s="104"/>
      <c r="XEI691" s="104"/>
      <c r="XEJ691" s="104"/>
      <c r="XEK691" s="104"/>
      <c r="XEL691" s="104"/>
      <c r="XEM691" s="104"/>
    </row>
    <row r="692" spans="1:129 16361:16367" s="102" customFormat="1" ht="14.4" x14ac:dyDescent="0.3">
      <c r="A692" s="102" t="s">
        <v>264</v>
      </c>
      <c r="B692" s="223" t="s">
        <v>1185</v>
      </c>
      <c r="C692" s="392" t="s">
        <v>1347</v>
      </c>
      <c r="D692" s="223" t="s">
        <v>34</v>
      </c>
      <c r="E692" s="223">
        <v>29</v>
      </c>
      <c r="F692" s="400" t="s">
        <v>35</v>
      </c>
      <c r="G692" s="975">
        <v>1</v>
      </c>
      <c r="H692" s="393">
        <v>173249.18325159093</v>
      </c>
      <c r="I692" s="864" t="s">
        <v>267</v>
      </c>
      <c r="J692" s="449">
        <v>145587.54813343601</v>
      </c>
      <c r="K692" s="1624">
        <v>0</v>
      </c>
      <c r="L692" s="1624">
        <v>0</v>
      </c>
      <c r="M692" s="976" t="s">
        <v>59</v>
      </c>
      <c r="N692" s="976" t="s">
        <v>1348</v>
      </c>
      <c r="O692" s="977" t="s">
        <v>1349</v>
      </c>
      <c r="P692" s="172" t="s">
        <v>40</v>
      </c>
      <c r="Q692" s="173" t="s">
        <v>40</v>
      </c>
      <c r="R692" s="172" t="s">
        <v>40</v>
      </c>
      <c r="S692" s="173" t="s">
        <v>40</v>
      </c>
      <c r="T692" s="172" t="s">
        <v>64</v>
      </c>
      <c r="U692" s="173"/>
      <c r="V692" s="172" t="s">
        <v>40</v>
      </c>
      <c r="W692" s="173" t="s">
        <v>40</v>
      </c>
      <c r="X692" s="172" t="s">
        <v>40</v>
      </c>
      <c r="Y692" s="173" t="s">
        <v>40</v>
      </c>
      <c r="Z692" s="173" t="s">
        <v>64</v>
      </c>
      <c r="AA692" s="173"/>
      <c r="AB692" s="172" t="s">
        <v>64</v>
      </c>
      <c r="AC692" s="173"/>
      <c r="AD692" s="173">
        <v>45250</v>
      </c>
      <c r="AE692" s="1526">
        <v>45565</v>
      </c>
      <c r="AF692" s="924" t="s">
        <v>42</v>
      </c>
      <c r="AG692" s="925">
        <v>2024</v>
      </c>
      <c r="AH692" s="403">
        <v>718358.08</v>
      </c>
      <c r="AI692" s="974" t="s">
        <v>1350</v>
      </c>
      <c r="AJ692" s="123"/>
      <c r="AK692" s="399"/>
      <c r="AL692" s="400" t="s">
        <v>41</v>
      </c>
      <c r="AM692" s="401">
        <v>0</v>
      </c>
      <c r="AN692" s="391"/>
      <c r="AO692" s="104"/>
      <c r="AP692" s="104"/>
      <c r="AQ692" s="104"/>
      <c r="AR692" s="104"/>
      <c r="AS692" s="104"/>
      <c r="AT692" s="358"/>
      <c r="XEH692" s="104"/>
      <c r="XEI692" s="104"/>
      <c r="XEJ692" s="104"/>
      <c r="XEK692" s="104"/>
      <c r="XEL692" s="104"/>
      <c r="XEM692" s="104"/>
    </row>
    <row r="693" spans="1:129 16361:16367" s="102" customFormat="1" ht="14.4" x14ac:dyDescent="0.3">
      <c r="A693" s="102" t="s">
        <v>264</v>
      </c>
      <c r="B693" s="223" t="s">
        <v>1185</v>
      </c>
      <c r="C693" s="392" t="s">
        <v>1351</v>
      </c>
      <c r="D693" s="223" t="s">
        <v>34</v>
      </c>
      <c r="E693" s="223">
        <v>29</v>
      </c>
      <c r="F693" s="400" t="s">
        <v>35</v>
      </c>
      <c r="G693" s="975">
        <v>1</v>
      </c>
      <c r="H693" s="393">
        <v>193254.87414373152</v>
      </c>
      <c r="I693" s="864" t="s">
        <v>267</v>
      </c>
      <c r="J693" s="449">
        <v>193254.87414373152</v>
      </c>
      <c r="K693" s="1624">
        <v>0</v>
      </c>
      <c r="L693" s="1624">
        <v>0</v>
      </c>
      <c r="M693" s="928" t="s">
        <v>60</v>
      </c>
      <c r="N693" s="620" t="s">
        <v>1352</v>
      </c>
      <c r="O693" s="977" t="s">
        <v>1353</v>
      </c>
      <c r="P693" s="172" t="s">
        <v>40</v>
      </c>
      <c r="Q693" s="173" t="s">
        <v>40</v>
      </c>
      <c r="R693" s="172" t="s">
        <v>40</v>
      </c>
      <c r="S693" s="173" t="s">
        <v>40</v>
      </c>
      <c r="T693" s="172" t="s">
        <v>64</v>
      </c>
      <c r="U693" s="173"/>
      <c r="V693" s="172" t="s">
        <v>40</v>
      </c>
      <c r="W693" s="173" t="s">
        <v>40</v>
      </c>
      <c r="X693" s="172" t="s">
        <v>40</v>
      </c>
      <c r="Y693" s="173" t="s">
        <v>40</v>
      </c>
      <c r="Z693" s="173" t="s">
        <v>64</v>
      </c>
      <c r="AA693" s="173"/>
      <c r="AB693" s="172" t="s">
        <v>64</v>
      </c>
      <c r="AC693" s="173"/>
      <c r="AD693" s="173">
        <v>45250</v>
      </c>
      <c r="AE693" s="1526">
        <v>45565</v>
      </c>
      <c r="AF693" s="924" t="s">
        <v>42</v>
      </c>
      <c r="AG693" s="925">
        <v>2024</v>
      </c>
      <c r="AH693" s="403">
        <v>953558.2</v>
      </c>
      <c r="AI693" s="974">
        <v>13094309</v>
      </c>
      <c r="AJ693" s="123"/>
      <c r="AK693" s="399"/>
      <c r="AL693" s="400" t="s">
        <v>41</v>
      </c>
      <c r="AM693" s="401">
        <v>0</v>
      </c>
      <c r="AN693" s="391"/>
      <c r="AO693" s="104"/>
      <c r="AP693" s="104"/>
      <c r="AQ693" s="104"/>
      <c r="AR693" s="104"/>
      <c r="AS693" s="104"/>
      <c r="AT693" s="358"/>
      <c r="XEH693" s="104"/>
      <c r="XEI693" s="104"/>
      <c r="XEJ693" s="104"/>
      <c r="XEK693" s="104"/>
      <c r="XEL693" s="104"/>
      <c r="XEM693" s="104"/>
    </row>
    <row r="694" spans="1:129 16361:16367" s="102" customFormat="1" ht="28.8" x14ac:dyDescent="0.3">
      <c r="A694" s="102" t="s">
        <v>264</v>
      </c>
      <c r="B694" s="223" t="s">
        <v>1185</v>
      </c>
      <c r="C694" s="392" t="s">
        <v>1354</v>
      </c>
      <c r="D694" s="223" t="s">
        <v>34</v>
      </c>
      <c r="E694" s="223">
        <v>29</v>
      </c>
      <c r="F694" s="400" t="s">
        <v>35</v>
      </c>
      <c r="G694" s="975">
        <v>1</v>
      </c>
      <c r="H694" s="393">
        <v>180852.00032426737</v>
      </c>
      <c r="I694" s="864" t="s">
        <v>267</v>
      </c>
      <c r="J694" s="449">
        <v>180852.00032426737</v>
      </c>
      <c r="K694" s="1624">
        <v>0</v>
      </c>
      <c r="L694" s="1624">
        <v>0</v>
      </c>
      <c r="M694" s="976" t="s">
        <v>130</v>
      </c>
      <c r="N694" s="976" t="s">
        <v>1355</v>
      </c>
      <c r="O694" s="977" t="s">
        <v>1356</v>
      </c>
      <c r="P694" s="172" t="s">
        <v>40</v>
      </c>
      <c r="Q694" s="173" t="s">
        <v>40</v>
      </c>
      <c r="R694" s="172" t="s">
        <v>40</v>
      </c>
      <c r="S694" s="173" t="s">
        <v>40</v>
      </c>
      <c r="T694" s="172" t="s">
        <v>64</v>
      </c>
      <c r="U694" s="173"/>
      <c r="V694" s="172" t="s">
        <v>40</v>
      </c>
      <c r="W694" s="173" t="s">
        <v>40</v>
      </c>
      <c r="X694" s="172" t="s">
        <v>40</v>
      </c>
      <c r="Y694" s="173" t="s">
        <v>40</v>
      </c>
      <c r="Z694" s="173" t="s">
        <v>64</v>
      </c>
      <c r="AA694" s="173"/>
      <c r="AB694" s="172" t="s">
        <v>64</v>
      </c>
      <c r="AC694" s="173"/>
      <c r="AD694" s="173">
        <v>45250</v>
      </c>
      <c r="AE694" s="1526">
        <v>45565</v>
      </c>
      <c r="AF694" s="924" t="s">
        <v>42</v>
      </c>
      <c r="AG694" s="925">
        <v>2024</v>
      </c>
      <c r="AH694" s="403">
        <v>892359.94</v>
      </c>
      <c r="AI694" s="974">
        <v>17910345</v>
      </c>
      <c r="AJ694" s="123"/>
      <c r="AK694" s="399"/>
      <c r="AL694" s="400" t="s">
        <v>41</v>
      </c>
      <c r="AM694" s="401">
        <v>0</v>
      </c>
      <c r="AN694" s="391"/>
      <c r="AO694" s="104"/>
      <c r="AP694" s="104"/>
      <c r="AQ694" s="104"/>
      <c r="AR694" s="104"/>
      <c r="AS694" s="104"/>
      <c r="AT694" s="358"/>
      <c r="XEH694" s="104"/>
      <c r="XEI694" s="104"/>
      <c r="XEJ694" s="104"/>
      <c r="XEK694" s="104"/>
      <c r="XEL694" s="104"/>
      <c r="XEM694" s="104"/>
    </row>
    <row r="695" spans="1:129 16361:16367" s="102" customFormat="1" ht="28.8" x14ac:dyDescent="0.3">
      <c r="A695" s="102" t="s">
        <v>264</v>
      </c>
      <c r="B695" s="223" t="s">
        <v>1185</v>
      </c>
      <c r="C695" s="392" t="s">
        <v>1357</v>
      </c>
      <c r="D695" s="223" t="s">
        <v>34</v>
      </c>
      <c r="E695" s="223">
        <v>29</v>
      </c>
      <c r="F695" s="400" t="s">
        <v>35</v>
      </c>
      <c r="G695" s="975">
        <v>1</v>
      </c>
      <c r="H695" s="393">
        <v>121436.22674395039</v>
      </c>
      <c r="I695" s="864" t="s">
        <v>267</v>
      </c>
      <c r="J695" s="449">
        <v>102047.24980746626</v>
      </c>
      <c r="K695" s="1645">
        <f>2700.38</f>
        <v>2700.38</v>
      </c>
      <c r="L695" s="1645">
        <f>2700.38</f>
        <v>2700.38</v>
      </c>
      <c r="M695" s="928" t="s">
        <v>58</v>
      </c>
      <c r="N695" s="620" t="s">
        <v>1358</v>
      </c>
      <c r="O695" s="977" t="s">
        <v>1359</v>
      </c>
      <c r="P695" s="172" t="s">
        <v>40</v>
      </c>
      <c r="Q695" s="173" t="s">
        <v>40</v>
      </c>
      <c r="R695" s="172" t="s">
        <v>40</v>
      </c>
      <c r="S695" s="173" t="s">
        <v>40</v>
      </c>
      <c r="T695" s="172" t="s">
        <v>64</v>
      </c>
      <c r="U695" s="173"/>
      <c r="V695" s="172" t="s">
        <v>40</v>
      </c>
      <c r="W695" s="173" t="s">
        <v>40</v>
      </c>
      <c r="X695" s="172" t="s">
        <v>40</v>
      </c>
      <c r="Y695" s="173" t="s">
        <v>40</v>
      </c>
      <c r="Z695" s="173" t="s">
        <v>64</v>
      </c>
      <c r="AA695" s="173"/>
      <c r="AB695" s="172" t="s">
        <v>64</v>
      </c>
      <c r="AC695" s="173"/>
      <c r="AD695" s="173">
        <v>45250</v>
      </c>
      <c r="AE695" s="1526">
        <v>45565</v>
      </c>
      <c r="AF695" s="924" t="s">
        <v>42</v>
      </c>
      <c r="AG695" s="925">
        <v>2024</v>
      </c>
      <c r="AH695" s="403">
        <v>503521.54</v>
      </c>
      <c r="AI695" s="974">
        <v>31626951</v>
      </c>
      <c r="AJ695" s="123"/>
      <c r="AK695" s="399"/>
      <c r="AL695" s="400" t="s">
        <v>41</v>
      </c>
      <c r="AM695" s="401">
        <v>0</v>
      </c>
      <c r="AN695" s="391"/>
      <c r="AO695" s="104"/>
      <c r="AP695" s="104"/>
      <c r="AQ695" s="104"/>
      <c r="AR695" s="104"/>
      <c r="AS695" s="104"/>
      <c r="AT695" s="358"/>
      <c r="XEH695" s="104"/>
      <c r="XEI695" s="104"/>
      <c r="XEJ695" s="104"/>
      <c r="XEK695" s="104"/>
      <c r="XEL695" s="104"/>
      <c r="XEM695" s="104"/>
    </row>
    <row r="696" spans="1:129 16361:16367" s="102" customFormat="1" ht="28.8" x14ac:dyDescent="0.3">
      <c r="A696" s="102" t="s">
        <v>264</v>
      </c>
      <c r="B696" s="223" t="s">
        <v>1185</v>
      </c>
      <c r="C696" s="392" t="s">
        <v>1360</v>
      </c>
      <c r="D696" s="223" t="s">
        <v>34</v>
      </c>
      <c r="E696" s="223">
        <v>29</v>
      </c>
      <c r="F696" s="400" t="s">
        <v>35</v>
      </c>
      <c r="G696" s="975">
        <v>1</v>
      </c>
      <c r="H696" s="393">
        <v>173502.99947306555</v>
      </c>
      <c r="I696" s="864" t="s">
        <v>267</v>
      </c>
      <c r="J696" s="449">
        <v>173502.99947306555</v>
      </c>
      <c r="K696" s="1624">
        <v>0</v>
      </c>
      <c r="L696" s="1624">
        <v>0</v>
      </c>
      <c r="M696" s="976" t="s">
        <v>322</v>
      </c>
      <c r="N696" s="976" t="s">
        <v>1361</v>
      </c>
      <c r="O696" s="977" t="s">
        <v>1362</v>
      </c>
      <c r="P696" s="172" t="s">
        <v>40</v>
      </c>
      <c r="Q696" s="173" t="s">
        <v>40</v>
      </c>
      <c r="R696" s="172" t="s">
        <v>40</v>
      </c>
      <c r="S696" s="173" t="s">
        <v>40</v>
      </c>
      <c r="T696" s="172" t="s">
        <v>64</v>
      </c>
      <c r="U696" s="173"/>
      <c r="V696" s="172" t="s">
        <v>40</v>
      </c>
      <c r="W696" s="173" t="s">
        <v>40</v>
      </c>
      <c r="X696" s="172" t="s">
        <v>40</v>
      </c>
      <c r="Y696" s="173" t="s">
        <v>40</v>
      </c>
      <c r="Z696" s="173" t="s">
        <v>64</v>
      </c>
      <c r="AA696" s="173"/>
      <c r="AB696" s="172" t="s">
        <v>64</v>
      </c>
      <c r="AC696" s="173"/>
      <c r="AD696" s="173">
        <v>45250</v>
      </c>
      <c r="AE696" s="1526">
        <v>45565</v>
      </c>
      <c r="AF696" s="924" t="s">
        <v>42</v>
      </c>
      <c r="AG696" s="925">
        <v>2024</v>
      </c>
      <c r="AH696" s="403">
        <v>856098.5</v>
      </c>
      <c r="AI696" s="974">
        <v>21457952</v>
      </c>
      <c r="AJ696" s="123"/>
      <c r="AK696" s="399"/>
      <c r="AL696" s="400" t="s">
        <v>41</v>
      </c>
      <c r="AM696" s="401">
        <v>0</v>
      </c>
      <c r="AN696" s="391"/>
      <c r="AO696" s="104"/>
      <c r="AP696" s="104"/>
      <c r="AQ696" s="104"/>
      <c r="AR696" s="104"/>
      <c r="AS696" s="104"/>
      <c r="AT696" s="358"/>
      <c r="XEH696" s="104"/>
      <c r="XEI696" s="104"/>
      <c r="XEJ696" s="104"/>
      <c r="XEK696" s="104"/>
      <c r="XEL696" s="104"/>
      <c r="XEM696" s="104"/>
    </row>
    <row r="697" spans="1:129 16361:16367" s="102" customFormat="1" ht="28.8" x14ac:dyDescent="0.3">
      <c r="A697" s="102" t="s">
        <v>264</v>
      </c>
      <c r="B697" s="223" t="s">
        <v>1185</v>
      </c>
      <c r="C697" s="392" t="s">
        <v>1363</v>
      </c>
      <c r="D697" s="223" t="s">
        <v>34</v>
      </c>
      <c r="E697" s="223">
        <v>29</v>
      </c>
      <c r="F697" s="400" t="s">
        <v>35</v>
      </c>
      <c r="G697" s="975">
        <v>1</v>
      </c>
      <c r="H697" s="393">
        <v>161948.23882290951</v>
      </c>
      <c r="I697" s="864" t="s">
        <v>267</v>
      </c>
      <c r="J697" s="449">
        <v>136090.9569940416</v>
      </c>
      <c r="K697" s="1624">
        <v>0</v>
      </c>
      <c r="L697" s="1624">
        <v>0</v>
      </c>
      <c r="M697" s="928" t="s">
        <v>76</v>
      </c>
      <c r="N697" s="620" t="s">
        <v>1364</v>
      </c>
      <c r="O697" s="977" t="s">
        <v>1365</v>
      </c>
      <c r="P697" s="172" t="s">
        <v>40</v>
      </c>
      <c r="Q697" s="173" t="s">
        <v>40</v>
      </c>
      <c r="R697" s="172" t="s">
        <v>40</v>
      </c>
      <c r="S697" s="173" t="s">
        <v>40</v>
      </c>
      <c r="T697" s="172" t="s">
        <v>64</v>
      </c>
      <c r="U697" s="173"/>
      <c r="V697" s="172" t="s">
        <v>40</v>
      </c>
      <c r="W697" s="173" t="s">
        <v>40</v>
      </c>
      <c r="X697" s="172" t="s">
        <v>40</v>
      </c>
      <c r="Y697" s="173" t="s">
        <v>40</v>
      </c>
      <c r="Z697" s="173" t="s">
        <v>64</v>
      </c>
      <c r="AA697" s="173"/>
      <c r="AB697" s="172" t="s">
        <v>64</v>
      </c>
      <c r="AC697" s="173"/>
      <c r="AD697" s="173">
        <v>45250</v>
      </c>
      <c r="AE697" s="1526">
        <v>45565</v>
      </c>
      <c r="AF697" s="924" t="s">
        <v>42</v>
      </c>
      <c r="AG697" s="925">
        <v>2024</v>
      </c>
      <c r="AH697" s="403">
        <v>671500</v>
      </c>
      <c r="AI697" s="974" t="s">
        <v>1366</v>
      </c>
      <c r="AJ697" s="123"/>
      <c r="AK697" s="399"/>
      <c r="AL697" s="400" t="s">
        <v>41</v>
      </c>
      <c r="AM697" s="401">
        <v>0</v>
      </c>
      <c r="AN697" s="391"/>
      <c r="AO697" s="104"/>
      <c r="AP697" s="104"/>
      <c r="AQ697" s="104"/>
      <c r="AR697" s="104"/>
      <c r="AS697" s="104"/>
      <c r="AT697" s="358"/>
      <c r="XEH697" s="104"/>
      <c r="XEI697" s="104"/>
      <c r="XEJ697" s="104"/>
      <c r="XEK697" s="104"/>
      <c r="XEL697" s="104"/>
      <c r="XEM697" s="104"/>
    </row>
    <row r="698" spans="1:129 16361:16367" s="102" customFormat="1" ht="14.4" x14ac:dyDescent="0.3">
      <c r="A698" s="102" t="s">
        <v>264</v>
      </c>
      <c r="B698" s="223" t="s">
        <v>1185</v>
      </c>
      <c r="C698" s="392" t="s">
        <v>1367</v>
      </c>
      <c r="D698" s="223" t="s">
        <v>34</v>
      </c>
      <c r="E698" s="223">
        <v>29</v>
      </c>
      <c r="F698" s="400" t="s">
        <v>35</v>
      </c>
      <c r="G698" s="975">
        <v>1</v>
      </c>
      <c r="H698" s="393">
        <v>48095.821004418147</v>
      </c>
      <c r="I698" s="864" t="s">
        <v>267</v>
      </c>
      <c r="J698" s="449">
        <v>48095.821004418147</v>
      </c>
      <c r="K698" s="1624">
        <v>0</v>
      </c>
      <c r="L698" s="1624">
        <v>0</v>
      </c>
      <c r="M698" s="976" t="s">
        <v>79</v>
      </c>
      <c r="N698" s="976" t="s">
        <v>1368</v>
      </c>
      <c r="O698" s="977" t="s">
        <v>1369</v>
      </c>
      <c r="P698" s="172" t="s">
        <v>40</v>
      </c>
      <c r="Q698" s="173" t="s">
        <v>40</v>
      </c>
      <c r="R698" s="172" t="s">
        <v>40</v>
      </c>
      <c r="S698" s="173" t="s">
        <v>40</v>
      </c>
      <c r="T698" s="172" t="s">
        <v>64</v>
      </c>
      <c r="U698" s="173"/>
      <c r="V698" s="172" t="s">
        <v>40</v>
      </c>
      <c r="W698" s="173" t="s">
        <v>40</v>
      </c>
      <c r="X698" s="172" t="s">
        <v>40</v>
      </c>
      <c r="Y698" s="173" t="s">
        <v>40</v>
      </c>
      <c r="Z698" s="173" t="s">
        <v>64</v>
      </c>
      <c r="AA698" s="173"/>
      <c r="AB698" s="172" t="s">
        <v>64</v>
      </c>
      <c r="AC698" s="173"/>
      <c r="AD698" s="173">
        <v>45250</v>
      </c>
      <c r="AE698" s="1526">
        <v>45565</v>
      </c>
      <c r="AF698" s="924" t="s">
        <v>42</v>
      </c>
      <c r="AG698" s="925">
        <v>2024</v>
      </c>
      <c r="AH698" s="403">
        <v>237314.4</v>
      </c>
      <c r="AI698" s="974" t="s">
        <v>1370</v>
      </c>
      <c r="AJ698" s="123"/>
      <c r="AK698" s="399"/>
      <c r="AL698" s="400" t="s">
        <v>41</v>
      </c>
      <c r="AM698" s="401">
        <v>0</v>
      </c>
      <c r="AN698" s="391"/>
      <c r="AO698" s="104"/>
      <c r="AP698" s="104"/>
      <c r="AQ698" s="104"/>
      <c r="AR698" s="104"/>
      <c r="AS698" s="104"/>
      <c r="AT698" s="358"/>
      <c r="XEH698" s="104"/>
      <c r="XEI698" s="104"/>
      <c r="XEJ698" s="104"/>
      <c r="XEK698" s="104"/>
      <c r="XEL698" s="104"/>
      <c r="XEM698" s="104"/>
    </row>
    <row r="699" spans="1:129 16361:16367" s="102" customFormat="1" ht="14.4" x14ac:dyDescent="0.3">
      <c r="A699" s="102" t="s">
        <v>264</v>
      </c>
      <c r="B699" s="223" t="s">
        <v>1185</v>
      </c>
      <c r="C699" s="392" t="s">
        <v>1371</v>
      </c>
      <c r="D699" s="223" t="s">
        <v>34</v>
      </c>
      <c r="E699" s="223">
        <v>29</v>
      </c>
      <c r="F699" s="400" t="s">
        <v>35</v>
      </c>
      <c r="G699" s="975">
        <v>1</v>
      </c>
      <c r="H699" s="393">
        <v>197195.3791901423</v>
      </c>
      <c r="I699" s="864" t="s">
        <v>267</v>
      </c>
      <c r="J699" s="449">
        <v>165710.40290219287</v>
      </c>
      <c r="K699" s="1624">
        <v>0</v>
      </c>
      <c r="L699" s="1624">
        <v>0</v>
      </c>
      <c r="M699" s="928" t="s">
        <v>50</v>
      </c>
      <c r="N699" s="620" t="s">
        <v>1372</v>
      </c>
      <c r="O699" s="977" t="s">
        <v>1373</v>
      </c>
      <c r="P699" s="172" t="s">
        <v>40</v>
      </c>
      <c r="Q699" s="173" t="s">
        <v>40</v>
      </c>
      <c r="R699" s="172" t="s">
        <v>40</v>
      </c>
      <c r="S699" s="173" t="s">
        <v>40</v>
      </c>
      <c r="T699" s="172" t="s">
        <v>64</v>
      </c>
      <c r="U699" s="173"/>
      <c r="V699" s="172" t="s">
        <v>40</v>
      </c>
      <c r="W699" s="173" t="s">
        <v>40</v>
      </c>
      <c r="X699" s="172" t="s">
        <v>40</v>
      </c>
      <c r="Y699" s="173" t="s">
        <v>40</v>
      </c>
      <c r="Z699" s="173" t="s">
        <v>64</v>
      </c>
      <c r="AA699" s="173"/>
      <c r="AB699" s="172" t="s">
        <v>64</v>
      </c>
      <c r="AC699" s="173"/>
      <c r="AD699" s="173">
        <v>45250</v>
      </c>
      <c r="AE699" s="1526">
        <v>45565</v>
      </c>
      <c r="AF699" s="924" t="s">
        <v>42</v>
      </c>
      <c r="AG699" s="925">
        <v>2024</v>
      </c>
      <c r="AH699" s="403">
        <v>817648.27</v>
      </c>
      <c r="AI699" s="974" t="s">
        <v>1374</v>
      </c>
      <c r="AJ699" s="123"/>
      <c r="AK699" s="399"/>
      <c r="AL699" s="400" t="s">
        <v>41</v>
      </c>
      <c r="AM699" s="401">
        <v>0</v>
      </c>
      <c r="AN699" s="979"/>
      <c r="AO699" s="104"/>
      <c r="AP699" s="104"/>
      <c r="AQ699" s="104"/>
      <c r="AR699" s="104"/>
      <c r="AS699" s="104"/>
      <c r="AT699" s="358"/>
      <c r="XEH699" s="104"/>
      <c r="XEI699" s="104"/>
      <c r="XEJ699" s="104"/>
      <c r="XEK699" s="104"/>
      <c r="XEL699" s="104"/>
      <c r="XEM699" s="104"/>
    </row>
    <row r="700" spans="1:129 16361:16367" s="102" customFormat="1" ht="14.4" x14ac:dyDescent="0.3">
      <c r="A700" s="102" t="s">
        <v>264</v>
      </c>
      <c r="B700" s="223" t="s">
        <v>1185</v>
      </c>
      <c r="C700" s="392" t="s">
        <v>1375</v>
      </c>
      <c r="D700" s="223" t="s">
        <v>34</v>
      </c>
      <c r="E700" s="223">
        <v>29</v>
      </c>
      <c r="F700" s="400" t="s">
        <v>35</v>
      </c>
      <c r="G700" s="975">
        <v>1</v>
      </c>
      <c r="H700" s="393">
        <v>87940.342912731547</v>
      </c>
      <c r="I700" s="864" t="s">
        <v>267</v>
      </c>
      <c r="J700" s="449">
        <v>87940.342912731547</v>
      </c>
      <c r="K700" s="1624">
        <v>0</v>
      </c>
      <c r="L700" s="1624">
        <v>0</v>
      </c>
      <c r="M700" s="976" t="s">
        <v>79</v>
      </c>
      <c r="N700" s="976" t="s">
        <v>959</v>
      </c>
      <c r="O700" s="977" t="s">
        <v>1376</v>
      </c>
      <c r="P700" s="172" t="s">
        <v>40</v>
      </c>
      <c r="Q700" s="173" t="s">
        <v>40</v>
      </c>
      <c r="R700" s="172" t="s">
        <v>40</v>
      </c>
      <c r="S700" s="173" t="s">
        <v>40</v>
      </c>
      <c r="T700" s="172" t="s">
        <v>64</v>
      </c>
      <c r="U700" s="173"/>
      <c r="V700" s="172" t="s">
        <v>40</v>
      </c>
      <c r="W700" s="173" t="s">
        <v>40</v>
      </c>
      <c r="X700" s="172" t="s">
        <v>40</v>
      </c>
      <c r="Y700" s="173" t="s">
        <v>40</v>
      </c>
      <c r="Z700" s="173" t="s">
        <v>64</v>
      </c>
      <c r="AA700" s="173"/>
      <c r="AB700" s="172" t="s">
        <v>64</v>
      </c>
      <c r="AC700" s="173"/>
      <c r="AD700" s="173">
        <v>45250</v>
      </c>
      <c r="AE700" s="1526">
        <v>45565</v>
      </c>
      <c r="AF700" s="924" t="s">
        <v>42</v>
      </c>
      <c r="AG700" s="925">
        <v>2024</v>
      </c>
      <c r="AH700" s="403">
        <v>433915.24</v>
      </c>
      <c r="AI700" s="974" t="s">
        <v>1377</v>
      </c>
      <c r="AJ700" s="123"/>
      <c r="AK700" s="399"/>
      <c r="AL700" s="400" t="s">
        <v>41</v>
      </c>
      <c r="AM700" s="401">
        <v>0</v>
      </c>
      <c r="AN700" s="391"/>
      <c r="AO700" s="243"/>
      <c r="AP700" s="243"/>
      <c r="AQ700" s="243"/>
      <c r="AR700" s="243"/>
      <c r="AS700" s="243"/>
      <c r="AT700" s="358"/>
      <c r="XEH700" s="104"/>
      <c r="XEI700" s="104"/>
      <c r="XEJ700" s="104"/>
      <c r="XEK700" s="104"/>
      <c r="XEL700" s="104"/>
      <c r="XEM700" s="104"/>
    </row>
    <row r="701" spans="1:129 16361:16367" s="102" customFormat="1" ht="14.4" x14ac:dyDescent="0.3">
      <c r="A701" s="102" t="s">
        <v>264</v>
      </c>
      <c r="B701" s="223" t="s">
        <v>1185</v>
      </c>
      <c r="C701" s="392" t="s">
        <v>1378</v>
      </c>
      <c r="D701" s="223" t="s">
        <v>34</v>
      </c>
      <c r="E701" s="223">
        <v>29</v>
      </c>
      <c r="F701" s="400" t="s">
        <v>35</v>
      </c>
      <c r="G701" s="975">
        <v>1</v>
      </c>
      <c r="H701" s="393">
        <v>179545.90207125776</v>
      </c>
      <c r="I701" s="864" t="s">
        <v>267</v>
      </c>
      <c r="J701" s="449">
        <v>179545.90207125776</v>
      </c>
      <c r="K701" s="1624">
        <v>0</v>
      </c>
      <c r="L701" s="1624">
        <v>0</v>
      </c>
      <c r="M701" s="928" t="s">
        <v>183</v>
      </c>
      <c r="N701" s="620" t="s">
        <v>1379</v>
      </c>
      <c r="O701" s="977" t="s">
        <v>1380</v>
      </c>
      <c r="P701" s="172" t="s">
        <v>40</v>
      </c>
      <c r="Q701" s="173" t="s">
        <v>40</v>
      </c>
      <c r="R701" s="172" t="s">
        <v>40</v>
      </c>
      <c r="S701" s="173" t="s">
        <v>40</v>
      </c>
      <c r="T701" s="172" t="s">
        <v>64</v>
      </c>
      <c r="U701" s="173"/>
      <c r="V701" s="172" t="s">
        <v>40</v>
      </c>
      <c r="W701" s="173" t="s">
        <v>40</v>
      </c>
      <c r="X701" s="172" t="s">
        <v>40</v>
      </c>
      <c r="Y701" s="173" t="s">
        <v>40</v>
      </c>
      <c r="Z701" s="173" t="s">
        <v>64</v>
      </c>
      <c r="AA701" s="173"/>
      <c r="AB701" s="172" t="s">
        <v>64</v>
      </c>
      <c r="AC701" s="173"/>
      <c r="AD701" s="173">
        <v>45250</v>
      </c>
      <c r="AE701" s="1526">
        <v>45565</v>
      </c>
      <c r="AF701" s="924" t="s">
        <v>42</v>
      </c>
      <c r="AG701" s="925">
        <v>2024</v>
      </c>
      <c r="AH701" s="403">
        <v>885915.39</v>
      </c>
      <c r="AI701" s="974" t="s">
        <v>1381</v>
      </c>
      <c r="AJ701" s="123"/>
      <c r="AK701" s="399"/>
      <c r="AL701" s="400" t="s">
        <v>41</v>
      </c>
      <c r="AM701" s="401">
        <v>0</v>
      </c>
      <c r="AN701" s="391"/>
      <c r="AO701" s="243"/>
      <c r="AP701" s="243"/>
      <c r="AQ701" s="243"/>
      <c r="AR701" s="243"/>
      <c r="AS701" s="243"/>
      <c r="AT701" s="358"/>
      <c r="XEH701" s="104"/>
      <c r="XEI701" s="104"/>
      <c r="XEJ701" s="104"/>
      <c r="XEK701" s="104"/>
      <c r="XEL701" s="104"/>
      <c r="XEM701" s="104"/>
    </row>
    <row r="702" spans="1:129 16361:16367" s="102" customFormat="1" ht="28.8" x14ac:dyDescent="0.3">
      <c r="A702" s="102" t="s">
        <v>264</v>
      </c>
      <c r="B702" s="223" t="s">
        <v>1185</v>
      </c>
      <c r="C702" s="392" t="s">
        <v>1382</v>
      </c>
      <c r="D702" s="223" t="s">
        <v>34</v>
      </c>
      <c r="E702" s="223">
        <v>29</v>
      </c>
      <c r="F702" s="400" t="s">
        <v>35</v>
      </c>
      <c r="G702" s="975">
        <v>1</v>
      </c>
      <c r="H702" s="393">
        <v>169377.33979165825</v>
      </c>
      <c r="I702" s="864" t="s">
        <v>267</v>
      </c>
      <c r="J702" s="449">
        <v>169377.33979165825</v>
      </c>
      <c r="K702" s="1624">
        <v>0</v>
      </c>
      <c r="L702" s="1624">
        <v>0</v>
      </c>
      <c r="M702" s="976" t="s">
        <v>316</v>
      </c>
      <c r="N702" s="980" t="s">
        <v>1383</v>
      </c>
      <c r="O702" s="977" t="s">
        <v>1384</v>
      </c>
      <c r="P702" s="172" t="s">
        <v>40</v>
      </c>
      <c r="Q702" s="173" t="s">
        <v>40</v>
      </c>
      <c r="R702" s="172" t="s">
        <v>40</v>
      </c>
      <c r="S702" s="173" t="s">
        <v>40</v>
      </c>
      <c r="T702" s="172" t="s">
        <v>64</v>
      </c>
      <c r="U702" s="173"/>
      <c r="V702" s="172" t="s">
        <v>40</v>
      </c>
      <c r="W702" s="173" t="s">
        <v>40</v>
      </c>
      <c r="X702" s="172" t="s">
        <v>40</v>
      </c>
      <c r="Y702" s="173" t="s">
        <v>40</v>
      </c>
      <c r="Z702" s="173" t="s">
        <v>64</v>
      </c>
      <c r="AA702" s="173"/>
      <c r="AB702" s="172" t="s">
        <v>64</v>
      </c>
      <c r="AC702" s="173"/>
      <c r="AD702" s="173">
        <v>45250</v>
      </c>
      <c r="AE702" s="1526">
        <v>45565</v>
      </c>
      <c r="AF702" s="924" t="s">
        <v>42</v>
      </c>
      <c r="AG702" s="925">
        <v>2024</v>
      </c>
      <c r="AH702" s="403">
        <v>835741.67</v>
      </c>
      <c r="AI702" s="974">
        <v>39281459</v>
      </c>
      <c r="AJ702" s="123"/>
      <c r="AK702" s="399"/>
      <c r="AL702" s="400" t="s">
        <v>41</v>
      </c>
      <c r="AM702" s="401">
        <v>0</v>
      </c>
      <c r="AN702" s="307"/>
      <c r="AO702" s="307"/>
      <c r="AP702" s="307"/>
      <c r="AQ702" s="307"/>
      <c r="AR702" s="307"/>
      <c r="AS702" s="307"/>
      <c r="XEG702" s="223"/>
      <c r="XEH702" s="392"/>
      <c r="XEI702" s="981"/>
      <c r="XEJ702" s="447"/>
      <c r="XEK702" s="921"/>
      <c r="XEL702" s="921"/>
      <c r="XEM702" s="921"/>
    </row>
    <row r="703" spans="1:129 16361:16367" s="143" customFormat="1" ht="48.6" customHeight="1" x14ac:dyDescent="0.3">
      <c r="A703" s="637" t="s">
        <v>264</v>
      </c>
      <c r="B703" s="982" t="s">
        <v>1385</v>
      </c>
      <c r="C703" s="983" t="s">
        <v>1386</v>
      </c>
      <c r="D703" s="693" t="s">
        <v>34</v>
      </c>
      <c r="E703" s="984" t="s">
        <v>1387</v>
      </c>
      <c r="F703" s="984" t="s">
        <v>35</v>
      </c>
      <c r="G703" s="985">
        <v>250</v>
      </c>
      <c r="H703" s="986">
        <v>125000000</v>
      </c>
      <c r="I703" s="987" t="s">
        <v>36</v>
      </c>
      <c r="J703" s="988">
        <v>125000000</v>
      </c>
      <c r="K703" s="1627"/>
      <c r="L703" s="1627"/>
      <c r="M703" s="989"/>
      <c r="N703" s="989"/>
      <c r="O703" s="989"/>
      <c r="P703" s="155"/>
      <c r="Q703" s="156"/>
      <c r="R703" s="155"/>
      <c r="S703" s="156"/>
      <c r="T703" s="155"/>
      <c r="U703" s="156"/>
      <c r="V703" s="155"/>
      <c r="W703" s="156"/>
      <c r="X703" s="155"/>
      <c r="Y703" s="156"/>
      <c r="Z703" s="713"/>
      <c r="AA703" s="156"/>
      <c r="AB703" s="155"/>
      <c r="AC703" s="156"/>
      <c r="AD703" s="156"/>
      <c r="AE703" s="1523"/>
      <c r="AF703" s="990"/>
      <c r="AG703" s="991"/>
      <c r="AH703" s="992">
        <f>AH704+AH706</f>
        <v>19741200</v>
      </c>
      <c r="AI703" s="993"/>
      <c r="AJ703" s="994"/>
      <c r="AK703" s="984"/>
      <c r="AL703" s="984"/>
      <c r="AM703" s="995"/>
      <c r="AN703" s="996"/>
      <c r="AO703" s="165"/>
      <c r="AP703" s="165"/>
      <c r="AQ703" s="165"/>
      <c r="AR703" s="165"/>
      <c r="AS703" s="165"/>
      <c r="AT703" s="315"/>
    </row>
    <row r="704" spans="1:129 16361:16367" s="359" customFormat="1" ht="32.4" customHeight="1" x14ac:dyDescent="0.3">
      <c r="A704" s="365" t="s">
        <v>264</v>
      </c>
      <c r="B704" s="693" t="s">
        <v>1388</v>
      </c>
      <c r="C704" s="694" t="s">
        <v>1389</v>
      </c>
      <c r="D704" s="693" t="s">
        <v>34</v>
      </c>
      <c r="E704" s="693" t="s">
        <v>1390</v>
      </c>
      <c r="F704" s="997" t="s">
        <v>35</v>
      </c>
      <c r="G704" s="997">
        <v>250</v>
      </c>
      <c r="H704" s="998">
        <v>120000000</v>
      </c>
      <c r="I704" s="997" t="s">
        <v>36</v>
      </c>
      <c r="J704" s="998">
        <v>120000000</v>
      </c>
      <c r="K704" s="1628">
        <v>0</v>
      </c>
      <c r="L704" s="1628">
        <v>0</v>
      </c>
      <c r="M704" s="999" t="s">
        <v>40</v>
      </c>
      <c r="N704" s="999" t="s">
        <v>40</v>
      </c>
      <c r="O704" s="999" t="s">
        <v>40</v>
      </c>
      <c r="P704" s="697" t="s">
        <v>41</v>
      </c>
      <c r="Q704" s="698">
        <v>45323</v>
      </c>
      <c r="R704" s="697" t="s">
        <v>41</v>
      </c>
      <c r="S704" s="698">
        <v>45657</v>
      </c>
      <c r="T704" s="697" t="s">
        <v>40</v>
      </c>
      <c r="U704" s="698"/>
      <c r="V704" s="697" t="s">
        <v>41</v>
      </c>
      <c r="W704" s="698">
        <v>45473</v>
      </c>
      <c r="X704" s="697" t="s">
        <v>41</v>
      </c>
      <c r="Y704" s="698">
        <v>45689</v>
      </c>
      <c r="Z704" s="697" t="s">
        <v>40</v>
      </c>
      <c r="AA704" s="698"/>
      <c r="AB704" s="697" t="s">
        <v>40</v>
      </c>
      <c r="AC704" s="698"/>
      <c r="AD704" s="698"/>
      <c r="AE704" s="1518">
        <v>45746</v>
      </c>
      <c r="AF704" s="999" t="s">
        <v>88</v>
      </c>
      <c r="AG704" s="1000">
        <v>2025</v>
      </c>
      <c r="AH704" s="1001">
        <v>0</v>
      </c>
      <c r="AI704" s="1002"/>
      <c r="AJ704" s="1003"/>
      <c r="AK704" s="1004"/>
      <c r="AL704" s="997" t="s">
        <v>41</v>
      </c>
      <c r="AM704" s="1005">
        <v>0</v>
      </c>
      <c r="AN704" s="706"/>
      <c r="AO704" s="104"/>
      <c r="AP704" s="104"/>
      <c r="AQ704" s="104"/>
      <c r="AR704" s="104"/>
      <c r="AS704" s="104"/>
      <c r="AT704" s="358"/>
      <c r="AU704" s="102"/>
      <c r="AV704" s="102"/>
      <c r="AW704" s="102"/>
      <c r="AX704" s="102"/>
      <c r="AY704" s="102"/>
      <c r="AZ704" s="102"/>
      <c r="BA704" s="102"/>
      <c r="BB704" s="102"/>
      <c r="BC704" s="102"/>
      <c r="BD704" s="102"/>
      <c r="BE704" s="102"/>
      <c r="BF704" s="102"/>
      <c r="BG704" s="102"/>
      <c r="BH704" s="102"/>
      <c r="BI704" s="102"/>
      <c r="BJ704" s="102"/>
      <c r="BK704" s="102"/>
      <c r="BL704" s="102"/>
      <c r="BM704" s="102"/>
      <c r="BN704" s="102"/>
      <c r="BO704" s="102"/>
      <c r="BP704" s="102"/>
      <c r="BQ704" s="102"/>
      <c r="BR704" s="102"/>
      <c r="BS704" s="102"/>
      <c r="BT704" s="102"/>
      <c r="BU704" s="102"/>
      <c r="BV704" s="102"/>
      <c r="BW704" s="102"/>
      <c r="BX704" s="102"/>
      <c r="BY704" s="102"/>
      <c r="BZ704" s="102"/>
      <c r="CA704" s="102"/>
      <c r="CB704" s="102"/>
      <c r="CC704" s="102"/>
      <c r="CD704" s="102"/>
      <c r="CE704" s="102"/>
      <c r="CF704" s="102"/>
      <c r="CG704" s="102"/>
      <c r="CH704" s="102"/>
      <c r="CI704" s="102"/>
      <c r="CJ704" s="102"/>
      <c r="CK704" s="102"/>
      <c r="CL704" s="102"/>
      <c r="CM704" s="102"/>
      <c r="CN704" s="102"/>
      <c r="CO704" s="102"/>
      <c r="CP704" s="102"/>
      <c r="CQ704" s="102"/>
      <c r="CR704" s="102"/>
      <c r="CS704" s="102"/>
      <c r="CT704" s="102"/>
      <c r="CU704" s="102"/>
      <c r="CV704" s="102"/>
      <c r="CW704" s="102"/>
      <c r="CX704" s="102"/>
      <c r="CY704" s="102"/>
      <c r="CZ704" s="102"/>
      <c r="DA704" s="102"/>
      <c r="DB704" s="102"/>
      <c r="DC704" s="102"/>
      <c r="DD704" s="102"/>
      <c r="DE704" s="102"/>
      <c r="DF704" s="102"/>
      <c r="DG704" s="102"/>
      <c r="DH704" s="102"/>
      <c r="DI704" s="102"/>
      <c r="DJ704" s="102"/>
      <c r="DK704" s="102"/>
      <c r="DL704" s="102"/>
      <c r="DM704" s="102"/>
      <c r="DN704" s="102"/>
      <c r="DO704" s="102"/>
      <c r="DP704" s="102"/>
      <c r="DQ704" s="102"/>
      <c r="DR704" s="102"/>
      <c r="DS704" s="102"/>
      <c r="DT704" s="102"/>
      <c r="DU704" s="102"/>
      <c r="DV704" s="102"/>
      <c r="DW704" s="102"/>
      <c r="DX704" s="102"/>
      <c r="DY704" s="102"/>
    </row>
    <row r="705" spans="1:130" s="359" customFormat="1" ht="57.6" x14ac:dyDescent="0.3">
      <c r="A705" s="233" t="s">
        <v>264</v>
      </c>
      <c r="B705" s="1006" t="s">
        <v>1388</v>
      </c>
      <c r="C705" s="1007" t="s">
        <v>1391</v>
      </c>
      <c r="D705" s="1008" t="s">
        <v>34</v>
      </c>
      <c r="E705" s="1006" t="s">
        <v>1392</v>
      </c>
      <c r="F705" s="1006" t="s">
        <v>35</v>
      </c>
      <c r="G705" s="1009">
        <v>250</v>
      </c>
      <c r="H705" s="1010">
        <v>120000000</v>
      </c>
      <c r="I705" s="1011" t="s">
        <v>36</v>
      </c>
      <c r="J705" s="1012">
        <v>120000000</v>
      </c>
      <c r="K705" s="1629">
        <v>0</v>
      </c>
      <c r="L705" s="1629">
        <v>0</v>
      </c>
      <c r="M705" s="1013" t="s">
        <v>40</v>
      </c>
      <c r="N705" s="1013" t="s">
        <v>40</v>
      </c>
      <c r="O705" s="1013" t="s">
        <v>40</v>
      </c>
      <c r="P705" s="1014" t="s">
        <v>41</v>
      </c>
      <c r="Q705" s="1015">
        <v>45323</v>
      </c>
      <c r="R705" s="1014" t="s">
        <v>41</v>
      </c>
      <c r="S705" s="1015">
        <v>45657</v>
      </c>
      <c r="T705" s="1014" t="s">
        <v>40</v>
      </c>
      <c r="U705" s="1015"/>
      <c r="V705" s="1014" t="s">
        <v>41</v>
      </c>
      <c r="W705" s="1015">
        <v>45473</v>
      </c>
      <c r="X705" s="1014" t="s">
        <v>41</v>
      </c>
      <c r="Y705" s="1015">
        <v>45689</v>
      </c>
      <c r="Z705" s="1014" t="s">
        <v>40</v>
      </c>
      <c r="AA705" s="1015"/>
      <c r="AB705" s="1014" t="s">
        <v>40</v>
      </c>
      <c r="AC705" s="1015"/>
      <c r="AD705" s="1015"/>
      <c r="AE705" s="1540">
        <v>45746</v>
      </c>
      <c r="AF705" s="1016" t="s">
        <v>88</v>
      </c>
      <c r="AG705" s="1017">
        <v>2025</v>
      </c>
      <c r="AH705" s="1009">
        <v>0</v>
      </c>
      <c r="AI705" s="1018"/>
      <c r="AJ705" s="1019"/>
      <c r="AK705" s="1020"/>
      <c r="AL705" s="1006" t="s">
        <v>41</v>
      </c>
      <c r="AM705" s="1021">
        <v>0</v>
      </c>
      <c r="AN705" s="1022"/>
      <c r="AO705" s="104"/>
      <c r="AP705" s="104"/>
      <c r="AQ705" s="104"/>
      <c r="AR705" s="104"/>
      <c r="AS705" s="104"/>
      <c r="AT705" s="358"/>
      <c r="AU705" s="102"/>
      <c r="AV705" s="102"/>
      <c r="AW705" s="102"/>
      <c r="AX705" s="102"/>
      <c r="AY705" s="102"/>
      <c r="AZ705" s="102"/>
      <c r="BA705" s="102"/>
      <c r="BB705" s="102"/>
      <c r="BC705" s="102"/>
      <c r="BD705" s="102"/>
      <c r="BE705" s="102"/>
      <c r="BF705" s="102"/>
      <c r="BG705" s="102"/>
      <c r="BH705" s="102"/>
      <c r="BI705" s="102"/>
      <c r="BJ705" s="102"/>
      <c r="BK705" s="102"/>
      <c r="BL705" s="102"/>
      <c r="BM705" s="102"/>
      <c r="BN705" s="102"/>
      <c r="BO705" s="102"/>
      <c r="BP705" s="102"/>
      <c r="BQ705" s="102"/>
      <c r="BR705" s="102"/>
      <c r="BS705" s="102"/>
      <c r="BT705" s="102"/>
      <c r="BU705" s="102"/>
      <c r="BV705" s="102"/>
      <c r="BW705" s="102"/>
      <c r="BX705" s="102"/>
      <c r="BY705" s="102"/>
      <c r="BZ705" s="102"/>
      <c r="CA705" s="102"/>
      <c r="CB705" s="102"/>
      <c r="CC705" s="102"/>
      <c r="CD705" s="102"/>
      <c r="CE705" s="102"/>
      <c r="CF705" s="102"/>
      <c r="CG705" s="102"/>
      <c r="CH705" s="102"/>
      <c r="CI705" s="102"/>
      <c r="CJ705" s="102"/>
      <c r="CK705" s="102"/>
      <c r="CL705" s="102"/>
      <c r="CM705" s="102"/>
      <c r="CN705" s="102"/>
      <c r="CO705" s="102"/>
      <c r="CP705" s="102"/>
      <c r="CQ705" s="102"/>
      <c r="CR705" s="102"/>
      <c r="CS705" s="102"/>
      <c r="CT705" s="102"/>
      <c r="CU705" s="102"/>
      <c r="CV705" s="102"/>
      <c r="CW705" s="102"/>
      <c r="CX705" s="102"/>
      <c r="CY705" s="102"/>
      <c r="CZ705" s="102"/>
      <c r="DA705" s="102"/>
      <c r="DB705" s="102"/>
      <c r="DC705" s="102"/>
      <c r="DD705" s="102"/>
      <c r="DE705" s="102"/>
      <c r="DF705" s="102"/>
      <c r="DG705" s="102"/>
      <c r="DH705" s="102"/>
      <c r="DI705" s="102"/>
      <c r="DJ705" s="102"/>
      <c r="DK705" s="102"/>
      <c r="DL705" s="102"/>
      <c r="DM705" s="102"/>
      <c r="DN705" s="102"/>
      <c r="DO705" s="102"/>
      <c r="DP705" s="102"/>
      <c r="DQ705" s="102"/>
      <c r="DR705" s="102"/>
      <c r="DS705" s="102"/>
      <c r="DT705" s="102"/>
      <c r="DU705" s="102"/>
      <c r="DV705" s="102"/>
      <c r="DW705" s="102"/>
      <c r="DX705" s="102"/>
      <c r="DY705" s="102"/>
    </row>
    <row r="706" spans="1:130" s="138" customFormat="1" ht="38.4" customHeight="1" x14ac:dyDescent="0.3">
      <c r="A706" s="365" t="s">
        <v>264</v>
      </c>
      <c r="B706" s="693" t="s">
        <v>1393</v>
      </c>
      <c r="C706" s="694" t="s">
        <v>1394</v>
      </c>
      <c r="D706" s="693" t="s">
        <v>34</v>
      </c>
      <c r="E706" s="693" t="s">
        <v>1395</v>
      </c>
      <c r="F706" s="693" t="s">
        <v>1396</v>
      </c>
      <c r="G706" s="693"/>
      <c r="H706" s="695">
        <v>5000000</v>
      </c>
      <c r="I706" s="693" t="s">
        <v>36</v>
      </c>
      <c r="J706" s="695">
        <v>5000000</v>
      </c>
      <c r="K706" s="1602">
        <f>138743.37</f>
        <v>138743.37</v>
      </c>
      <c r="L706" s="1602">
        <f>K706</f>
        <v>138743.37</v>
      </c>
      <c r="M706" s="697" t="s">
        <v>40</v>
      </c>
      <c r="N706" s="697" t="s">
        <v>40</v>
      </c>
      <c r="O706" s="697" t="s">
        <v>34</v>
      </c>
      <c r="P706" s="697" t="s">
        <v>41</v>
      </c>
      <c r="Q706" s="698">
        <v>46022</v>
      </c>
      <c r="R706" s="697" t="s">
        <v>41</v>
      </c>
      <c r="S706" s="698">
        <v>46022</v>
      </c>
      <c r="T706" s="697" t="s">
        <v>40</v>
      </c>
      <c r="U706" s="698" t="s">
        <v>40</v>
      </c>
      <c r="V706" s="697" t="s">
        <v>41</v>
      </c>
      <c r="W706" s="698">
        <v>45199</v>
      </c>
      <c r="X706" s="697" t="s">
        <v>41</v>
      </c>
      <c r="Y706" s="698">
        <v>45291</v>
      </c>
      <c r="Z706" s="697" t="s">
        <v>40</v>
      </c>
      <c r="AA706" s="1023" t="s">
        <v>40</v>
      </c>
      <c r="AB706" s="234">
        <v>45154</v>
      </c>
      <c r="AC706" s="1024" t="s">
        <v>40</v>
      </c>
      <c r="AD706" s="235" t="s">
        <v>1397</v>
      </c>
      <c r="AE706" s="1541" t="s">
        <v>1398</v>
      </c>
      <c r="AF706" s="1025" t="s">
        <v>247</v>
      </c>
      <c r="AG706" s="1026">
        <v>2025</v>
      </c>
      <c r="AH706" s="236">
        <f>AH709</f>
        <v>19741200</v>
      </c>
      <c r="AI706" s="1027"/>
      <c r="AJ706" s="1028"/>
      <c r="AK706" s="1029" t="s">
        <v>1399</v>
      </c>
      <c r="AL706" s="1030" t="s">
        <v>41</v>
      </c>
      <c r="AM706" s="705">
        <v>0</v>
      </c>
      <c r="AN706" s="706" t="s">
        <v>40</v>
      </c>
      <c r="AO706" s="104"/>
      <c r="AP706" s="104"/>
      <c r="AQ706" s="104"/>
      <c r="AR706" s="104"/>
      <c r="AS706" s="104"/>
      <c r="AT706" s="358"/>
      <c r="AU706" s="102"/>
      <c r="AV706" s="102"/>
      <c r="AW706" s="102"/>
      <c r="AX706" s="102"/>
      <c r="AY706" s="102"/>
      <c r="AZ706" s="102"/>
      <c r="BA706" s="102"/>
      <c r="BB706" s="102"/>
      <c r="BC706" s="102"/>
      <c r="BD706" s="102"/>
      <c r="BE706" s="102"/>
      <c r="BF706" s="102"/>
      <c r="BG706" s="102"/>
      <c r="BH706" s="102"/>
      <c r="BI706" s="102"/>
      <c r="BJ706" s="102"/>
      <c r="BK706" s="102"/>
      <c r="BL706" s="102"/>
      <c r="BM706" s="102"/>
      <c r="BN706" s="102"/>
      <c r="BO706" s="102"/>
      <c r="BP706" s="102"/>
      <c r="BQ706" s="102"/>
      <c r="BR706" s="102"/>
      <c r="BS706" s="102"/>
      <c r="BT706" s="102"/>
      <c r="BU706" s="102"/>
      <c r="BV706" s="102"/>
      <c r="BW706" s="102"/>
      <c r="BX706" s="102"/>
      <c r="BY706" s="102"/>
      <c r="BZ706" s="102"/>
      <c r="CA706" s="102"/>
      <c r="CB706" s="102"/>
      <c r="CC706" s="102"/>
      <c r="CD706" s="102"/>
      <c r="CE706" s="102"/>
      <c r="CF706" s="102"/>
      <c r="CG706" s="102"/>
      <c r="CH706" s="102"/>
      <c r="CI706" s="102"/>
      <c r="CJ706" s="102"/>
      <c r="CK706" s="102"/>
      <c r="CL706" s="102"/>
      <c r="CM706" s="102"/>
      <c r="CN706" s="102"/>
      <c r="CO706" s="102"/>
      <c r="CP706" s="102"/>
      <c r="CQ706" s="102"/>
      <c r="CR706" s="102"/>
      <c r="CS706" s="102"/>
      <c r="CT706" s="102"/>
      <c r="CU706" s="102"/>
      <c r="CV706" s="102"/>
      <c r="CW706" s="102"/>
      <c r="CX706" s="102"/>
      <c r="CY706" s="102"/>
      <c r="CZ706" s="102"/>
      <c r="DA706" s="102"/>
      <c r="DB706" s="102"/>
      <c r="DC706" s="102"/>
      <c r="DD706" s="102"/>
      <c r="DE706" s="102"/>
      <c r="DF706" s="102"/>
      <c r="DG706" s="102"/>
      <c r="DH706" s="102"/>
      <c r="DI706" s="102"/>
      <c r="DJ706" s="102"/>
      <c r="DK706" s="102"/>
      <c r="DL706" s="102"/>
      <c r="DM706" s="102"/>
      <c r="DN706" s="102"/>
      <c r="DO706" s="102"/>
      <c r="DP706" s="102"/>
      <c r="DQ706" s="102"/>
      <c r="DR706" s="102"/>
      <c r="DS706" s="102"/>
      <c r="DT706" s="102"/>
      <c r="DU706" s="102"/>
      <c r="DV706" s="102"/>
      <c r="DW706" s="102"/>
      <c r="DX706" s="102"/>
      <c r="DY706" s="102"/>
    </row>
    <row r="707" spans="1:130" s="365" customFormat="1" ht="85.2" customHeight="1" x14ac:dyDescent="0.3">
      <c r="A707" s="359" t="s">
        <v>264</v>
      </c>
      <c r="B707" s="707" t="s">
        <v>1393</v>
      </c>
      <c r="C707" s="708" t="s">
        <v>1400</v>
      </c>
      <c r="D707" s="709" t="s">
        <v>34</v>
      </c>
      <c r="E707" s="709" t="s">
        <v>1395</v>
      </c>
      <c r="F707" s="709"/>
      <c r="G707" s="709"/>
      <c r="H707" s="710">
        <v>5000000</v>
      </c>
      <c r="I707" s="709" t="s">
        <v>36</v>
      </c>
      <c r="J707" s="710">
        <v>5000000</v>
      </c>
      <c r="K707" s="1603">
        <f>K708</f>
        <v>1090126</v>
      </c>
      <c r="L707" s="1603">
        <f>L708</f>
        <v>1090126</v>
      </c>
      <c r="M707" s="712" t="s">
        <v>40</v>
      </c>
      <c r="N707" s="712" t="s">
        <v>40</v>
      </c>
      <c r="O707" s="712" t="s">
        <v>34</v>
      </c>
      <c r="P707" s="712" t="s">
        <v>41</v>
      </c>
      <c r="Q707" s="713">
        <v>46022</v>
      </c>
      <c r="R707" s="712" t="s">
        <v>41</v>
      </c>
      <c r="S707" s="713">
        <v>46022</v>
      </c>
      <c r="T707" s="712" t="s">
        <v>40</v>
      </c>
      <c r="U707" s="713" t="s">
        <v>40</v>
      </c>
      <c r="V707" s="712" t="s">
        <v>41</v>
      </c>
      <c r="W707" s="713">
        <v>45199</v>
      </c>
      <c r="X707" s="712" t="s">
        <v>41</v>
      </c>
      <c r="Y707" s="713">
        <v>45291</v>
      </c>
      <c r="Z707" s="712" t="s">
        <v>40</v>
      </c>
      <c r="AA707" s="713" t="s">
        <v>40</v>
      </c>
      <c r="AB707" s="712" t="s">
        <v>40</v>
      </c>
      <c r="AC707" s="713" t="s">
        <v>40</v>
      </c>
      <c r="AD707" s="713"/>
      <c r="AE707" s="1519">
        <v>46022</v>
      </c>
      <c r="AF707" s="712" t="s">
        <v>247</v>
      </c>
      <c r="AG707" s="877">
        <v>2025</v>
      </c>
      <c r="AH707" s="716">
        <f>AH708</f>
        <v>19741200</v>
      </c>
      <c r="AI707" s="717"/>
      <c r="AJ707" s="718"/>
      <c r="AK707" s="719" t="s">
        <v>43</v>
      </c>
      <c r="AL707" s="709" t="s">
        <v>41</v>
      </c>
      <c r="AM707" s="720">
        <v>0</v>
      </c>
      <c r="AN707" s="721" t="s">
        <v>40</v>
      </c>
      <c r="AO707" s="104"/>
      <c r="AP707" s="104"/>
      <c r="AQ707" s="104"/>
      <c r="AR707" s="104"/>
      <c r="AS707" s="104"/>
      <c r="AT707" s="358"/>
      <c r="AU707" s="102"/>
      <c r="AV707" s="102"/>
      <c r="AW707" s="102"/>
      <c r="AX707" s="102"/>
      <c r="AY707" s="102"/>
      <c r="AZ707" s="102"/>
      <c r="BA707" s="102"/>
      <c r="BB707" s="102"/>
      <c r="BC707" s="102"/>
      <c r="BD707" s="102"/>
      <c r="BE707" s="102"/>
      <c r="BF707" s="102"/>
      <c r="BG707" s="102"/>
      <c r="BH707" s="102"/>
      <c r="BI707" s="102"/>
      <c r="BJ707" s="102"/>
      <c r="BK707" s="102"/>
      <c r="BL707" s="102"/>
      <c r="BM707" s="102"/>
      <c r="BN707" s="102"/>
      <c r="BO707" s="102"/>
      <c r="BP707" s="102"/>
      <c r="BQ707" s="102"/>
      <c r="BR707" s="102"/>
      <c r="BS707" s="102"/>
      <c r="BT707" s="102"/>
      <c r="BU707" s="102"/>
      <c r="BV707" s="102"/>
      <c r="BW707" s="102"/>
      <c r="BX707" s="102"/>
      <c r="BY707" s="102"/>
      <c r="BZ707" s="102"/>
      <c r="CA707" s="102"/>
      <c r="CB707" s="102"/>
      <c r="CC707" s="102"/>
      <c r="CD707" s="102"/>
      <c r="CE707" s="102"/>
      <c r="CF707" s="102"/>
      <c r="CG707" s="102"/>
      <c r="CH707" s="102"/>
      <c r="CI707" s="102"/>
      <c r="CJ707" s="102"/>
      <c r="CK707" s="102"/>
      <c r="CL707" s="102"/>
      <c r="CM707" s="102"/>
      <c r="CN707" s="102"/>
      <c r="CO707" s="102"/>
      <c r="CP707" s="102"/>
      <c r="CQ707" s="102"/>
      <c r="CR707" s="102"/>
      <c r="CS707" s="102"/>
      <c r="CT707" s="102"/>
      <c r="CU707" s="102"/>
      <c r="CV707" s="102"/>
      <c r="CW707" s="102"/>
      <c r="CX707" s="102"/>
      <c r="CY707" s="102"/>
      <c r="CZ707" s="102"/>
      <c r="DA707" s="102"/>
      <c r="DB707" s="102"/>
      <c r="DC707" s="102"/>
      <c r="DD707" s="102"/>
      <c r="DE707" s="102"/>
      <c r="DF707" s="102"/>
      <c r="DG707" s="102"/>
      <c r="DH707" s="102"/>
      <c r="DI707" s="102"/>
      <c r="DJ707" s="102"/>
      <c r="DK707" s="102"/>
      <c r="DL707" s="102"/>
      <c r="DM707" s="102"/>
      <c r="DN707" s="102"/>
      <c r="DO707" s="102"/>
      <c r="DP707" s="102"/>
      <c r="DQ707" s="102"/>
      <c r="DR707" s="102"/>
      <c r="DS707" s="102"/>
      <c r="DT707" s="102"/>
      <c r="DU707" s="102"/>
      <c r="DV707" s="102"/>
      <c r="DW707" s="102"/>
      <c r="DX707" s="102"/>
      <c r="DY707" s="102"/>
    </row>
    <row r="708" spans="1:130" s="359" customFormat="1" ht="88.2" customHeight="1" x14ac:dyDescent="0.3">
      <c r="A708" s="140" t="s">
        <v>264</v>
      </c>
      <c r="B708" s="1031" t="s">
        <v>1393</v>
      </c>
      <c r="C708" s="1032" t="s">
        <v>1400</v>
      </c>
      <c r="D708" s="1033" t="s">
        <v>34</v>
      </c>
      <c r="E708" s="1033" t="s">
        <v>1395</v>
      </c>
      <c r="F708" s="1033"/>
      <c r="G708" s="1033"/>
      <c r="H708" s="1034">
        <f>H709</f>
        <v>4028816.33</v>
      </c>
      <c r="I708" s="1033" t="s">
        <v>36</v>
      </c>
      <c r="J708" s="1034">
        <f>J709</f>
        <v>4028816.33</v>
      </c>
      <c r="K708" s="1630">
        <f>K709</f>
        <v>1090126</v>
      </c>
      <c r="L708" s="1630">
        <f>L709</f>
        <v>1090126</v>
      </c>
      <c r="M708" s="1035" t="s">
        <v>40</v>
      </c>
      <c r="N708" s="1035" t="s">
        <v>40</v>
      </c>
      <c r="O708" s="1035" t="s">
        <v>34</v>
      </c>
      <c r="P708" s="1035" t="s">
        <v>41</v>
      </c>
      <c r="Q708" s="1036">
        <v>45291</v>
      </c>
      <c r="R708" s="1035" t="s">
        <v>41</v>
      </c>
      <c r="S708" s="1036">
        <v>45291</v>
      </c>
      <c r="T708" s="1035" t="s">
        <v>40</v>
      </c>
      <c r="U708" s="1036"/>
      <c r="V708" s="1035" t="s">
        <v>41</v>
      </c>
      <c r="W708" s="1036">
        <v>45930</v>
      </c>
      <c r="X708" s="1035" t="s">
        <v>41</v>
      </c>
      <c r="Y708" s="1036">
        <v>46022</v>
      </c>
      <c r="Z708" s="1035" t="s">
        <v>40</v>
      </c>
      <c r="AA708" s="1036"/>
      <c r="AB708" s="1035" t="s">
        <v>40</v>
      </c>
      <c r="AC708" s="1036"/>
      <c r="AD708" s="1036"/>
      <c r="AE708" s="1542">
        <v>46022</v>
      </c>
      <c r="AF708" s="1035" t="s">
        <v>247</v>
      </c>
      <c r="AG708" s="1037">
        <v>2025</v>
      </c>
      <c r="AH708" s="1038">
        <v>19741200</v>
      </c>
      <c r="AI708" s="1039"/>
      <c r="AJ708" s="1040"/>
      <c r="AK708" s="729" t="s">
        <v>43</v>
      </c>
      <c r="AL708" s="1033" t="s">
        <v>41</v>
      </c>
      <c r="AM708" s="1041">
        <v>0</v>
      </c>
      <c r="AN708" s="1042" t="s">
        <v>40</v>
      </c>
      <c r="AO708" s="104"/>
      <c r="AP708" s="104"/>
      <c r="AQ708" s="104"/>
      <c r="AR708" s="104"/>
      <c r="AS708" s="104"/>
      <c r="AT708" s="358"/>
      <c r="AU708" s="102"/>
      <c r="AV708" s="102"/>
      <c r="AW708" s="102"/>
      <c r="AX708" s="102"/>
      <c r="AY708" s="102"/>
      <c r="AZ708" s="102"/>
      <c r="BA708" s="102"/>
      <c r="BB708" s="102"/>
      <c r="BC708" s="102"/>
      <c r="BD708" s="102"/>
      <c r="BE708" s="102"/>
      <c r="BF708" s="102"/>
      <c r="BG708" s="102"/>
      <c r="BH708" s="102"/>
      <c r="BI708" s="102"/>
      <c r="BJ708" s="102"/>
      <c r="BK708" s="102"/>
      <c r="BL708" s="102"/>
      <c r="BM708" s="102"/>
      <c r="BN708" s="102"/>
      <c r="BO708" s="102"/>
      <c r="BP708" s="102"/>
      <c r="BQ708" s="102"/>
      <c r="BR708" s="102"/>
      <c r="BS708" s="102"/>
      <c r="BT708" s="102"/>
      <c r="BU708" s="102"/>
      <c r="BV708" s="102"/>
      <c r="BW708" s="102"/>
      <c r="BX708" s="102"/>
      <c r="BY708" s="102"/>
      <c r="BZ708" s="102"/>
      <c r="CA708" s="102"/>
      <c r="CB708" s="102"/>
      <c r="CC708" s="102"/>
      <c r="CD708" s="102"/>
      <c r="CE708" s="102"/>
      <c r="CF708" s="102"/>
      <c r="CG708" s="102"/>
      <c r="CH708" s="102"/>
      <c r="CI708" s="102"/>
      <c r="CJ708" s="102"/>
      <c r="CK708" s="102"/>
      <c r="CL708" s="102"/>
      <c r="CM708" s="102"/>
      <c r="CN708" s="102"/>
      <c r="CO708" s="102"/>
      <c r="CP708" s="102"/>
      <c r="CQ708" s="102"/>
      <c r="CR708" s="102"/>
      <c r="CS708" s="102"/>
      <c r="CT708" s="102"/>
      <c r="CU708" s="102"/>
      <c r="CV708" s="102"/>
      <c r="CW708" s="102"/>
      <c r="CX708" s="102"/>
      <c r="CY708" s="102"/>
      <c r="CZ708" s="102"/>
      <c r="DA708" s="102"/>
      <c r="DB708" s="102"/>
      <c r="DC708" s="102"/>
      <c r="DD708" s="102"/>
      <c r="DE708" s="102"/>
      <c r="DF708" s="102"/>
      <c r="DG708" s="102"/>
      <c r="DH708" s="102"/>
      <c r="DI708" s="102"/>
      <c r="DJ708" s="102"/>
      <c r="DK708" s="102"/>
      <c r="DL708" s="102"/>
      <c r="DM708" s="102"/>
      <c r="DN708" s="102"/>
      <c r="DO708" s="102"/>
      <c r="DP708" s="102"/>
      <c r="DQ708" s="102"/>
      <c r="DR708" s="102"/>
      <c r="DS708" s="102"/>
      <c r="DT708" s="102"/>
      <c r="DU708" s="102"/>
      <c r="DV708" s="102"/>
      <c r="DW708" s="102"/>
      <c r="DX708" s="102"/>
      <c r="DY708" s="102"/>
    </row>
    <row r="709" spans="1:130" s="1387" customFormat="1" ht="63" customHeight="1" x14ac:dyDescent="0.3">
      <c r="A709" s="1381" t="s">
        <v>264</v>
      </c>
      <c r="B709" s="1736" t="s">
        <v>1393</v>
      </c>
      <c r="C709" s="732" t="s">
        <v>1401</v>
      </c>
      <c r="D709" s="1735" t="s">
        <v>34</v>
      </c>
      <c r="E709" s="1737" t="s">
        <v>1395</v>
      </c>
      <c r="F709" s="1735"/>
      <c r="G709" s="1735"/>
      <c r="H709" s="1738">
        <v>4028816.33</v>
      </c>
      <c r="I709" s="1735" t="s">
        <v>36</v>
      </c>
      <c r="J709" s="1738">
        <v>4028816.33</v>
      </c>
      <c r="K709" s="1738">
        <v>1090126</v>
      </c>
      <c r="L709" s="1738">
        <v>1090126</v>
      </c>
      <c r="M709" s="1739" t="s">
        <v>40</v>
      </c>
      <c r="N709" s="1739" t="s">
        <v>40</v>
      </c>
      <c r="O709" s="1739" t="s">
        <v>34</v>
      </c>
      <c r="P709" s="1739" t="s">
        <v>40</v>
      </c>
      <c r="Q709" s="1729"/>
      <c r="R709" s="1739" t="s">
        <v>40</v>
      </c>
      <c r="S709" s="1729"/>
      <c r="T709" s="1739" t="s">
        <v>40</v>
      </c>
      <c r="U709" s="1729"/>
      <c r="V709" s="1739" t="s">
        <v>3937</v>
      </c>
      <c r="W709" s="1729"/>
      <c r="X709" s="1739" t="s">
        <v>64</v>
      </c>
      <c r="Y709" s="1729"/>
      <c r="Z709" s="1739" t="s">
        <v>40</v>
      </c>
      <c r="AA709" s="1729"/>
      <c r="AB709" s="1739" t="s">
        <v>40</v>
      </c>
      <c r="AC709" s="1729"/>
      <c r="AD709" s="1729" t="s">
        <v>3938</v>
      </c>
      <c r="AE709" s="1730" t="s">
        <v>3939</v>
      </c>
      <c r="AF709" s="1739"/>
      <c r="AG709" s="1740"/>
      <c r="AH709" s="1715">
        <v>19741200</v>
      </c>
      <c r="AI709" s="1716" t="s">
        <v>1402</v>
      </c>
      <c r="AJ709" s="1717" t="s">
        <v>3940</v>
      </c>
      <c r="AK709" s="1734" t="s">
        <v>43</v>
      </c>
      <c r="AL709" s="1735" t="s">
        <v>41</v>
      </c>
      <c r="AM709" s="1741"/>
      <c r="AN709" s="1735"/>
      <c r="AO709" s="1381"/>
      <c r="AP709" s="1381"/>
      <c r="AQ709" s="1381"/>
      <c r="AR709" s="1381"/>
      <c r="AS709" s="1381"/>
      <c r="AT709" s="1381"/>
      <c r="AU709" s="1381"/>
      <c r="AV709" s="1381"/>
      <c r="AW709" s="1381"/>
      <c r="AX709" s="1381"/>
      <c r="AY709" s="1381"/>
      <c r="AZ709" s="1381"/>
      <c r="BA709" s="1381"/>
      <c r="BB709" s="1381"/>
      <c r="BC709" s="1381"/>
      <c r="BD709" s="1381"/>
      <c r="BE709" s="1381"/>
      <c r="BF709" s="1381"/>
      <c r="BG709" s="1381"/>
      <c r="BH709" s="1381"/>
      <c r="BI709" s="1381"/>
      <c r="BJ709" s="1381"/>
      <c r="BK709" s="1381"/>
      <c r="BL709" s="1381"/>
      <c r="BM709" s="1381"/>
      <c r="BN709" s="1381"/>
      <c r="BO709" s="1381"/>
      <c r="BP709" s="1381"/>
      <c r="BQ709" s="1381"/>
      <c r="BR709" s="1381"/>
      <c r="BS709" s="1381"/>
      <c r="BT709" s="1381"/>
      <c r="BU709" s="1381"/>
      <c r="BV709" s="1381"/>
      <c r="BW709" s="1381"/>
      <c r="BX709" s="1381"/>
      <c r="BY709" s="1381"/>
      <c r="BZ709" s="1381"/>
      <c r="CA709" s="1381"/>
      <c r="CB709" s="1381"/>
      <c r="CC709" s="1381"/>
      <c r="CD709" s="1381"/>
      <c r="CE709" s="1381"/>
      <c r="CF709" s="1381"/>
      <c r="CG709" s="1381"/>
      <c r="CH709" s="1381"/>
      <c r="CI709" s="1381"/>
      <c r="CJ709" s="1381"/>
      <c r="CK709" s="1381"/>
      <c r="CL709" s="1381"/>
      <c r="CM709" s="1381"/>
      <c r="CN709" s="1381"/>
      <c r="CO709" s="1381"/>
      <c r="CP709" s="1381"/>
      <c r="CQ709" s="1381"/>
      <c r="CR709" s="1381"/>
      <c r="CS709" s="1381"/>
      <c r="CT709" s="1381"/>
      <c r="CU709" s="1381"/>
      <c r="CV709" s="1381"/>
      <c r="CW709" s="1381"/>
      <c r="CX709" s="1381"/>
      <c r="CY709" s="1381"/>
      <c r="CZ709" s="1381"/>
      <c r="DA709" s="1381"/>
      <c r="DB709" s="1381"/>
      <c r="DC709" s="1381"/>
      <c r="DD709" s="1381"/>
      <c r="DE709" s="1381"/>
      <c r="DF709" s="1381"/>
      <c r="DG709" s="1381"/>
      <c r="DH709" s="1381"/>
      <c r="DI709" s="1381"/>
      <c r="DJ709" s="1381"/>
      <c r="DK709" s="1381"/>
      <c r="DL709" s="1381"/>
      <c r="DM709" s="1381"/>
      <c r="DN709" s="1381"/>
      <c r="DO709" s="1381"/>
      <c r="DP709" s="1381"/>
      <c r="DQ709" s="1381"/>
      <c r="DR709" s="1381"/>
      <c r="DS709" s="1381"/>
      <c r="DT709" s="1381"/>
      <c r="DU709" s="1381"/>
      <c r="DV709" s="1381"/>
      <c r="DW709" s="1381"/>
      <c r="DX709" s="1381"/>
      <c r="DY709" s="1381"/>
    </row>
    <row r="710" spans="1:130" s="138" customFormat="1" ht="45" customHeight="1" x14ac:dyDescent="0.3">
      <c r="A710" s="365" t="s">
        <v>264</v>
      </c>
      <c r="B710" s="693" t="s">
        <v>75</v>
      </c>
      <c r="C710" s="694" t="s">
        <v>1403</v>
      </c>
      <c r="D710" s="693" t="s">
        <v>34</v>
      </c>
      <c r="E710" s="693">
        <v>36</v>
      </c>
      <c r="F710" s="693" t="s">
        <v>285</v>
      </c>
      <c r="G710" s="693">
        <v>1700</v>
      </c>
      <c r="H710" s="695">
        <v>150000000</v>
      </c>
      <c r="I710" s="693" t="s">
        <v>36</v>
      </c>
      <c r="J710" s="695">
        <v>150000000</v>
      </c>
      <c r="K710" s="1631">
        <v>4919.68</v>
      </c>
      <c r="L710" s="1631">
        <v>4919.68</v>
      </c>
      <c r="M710" s="697"/>
      <c r="N710" s="697"/>
      <c r="O710" s="697"/>
      <c r="P710" s="697" t="s">
        <v>41</v>
      </c>
      <c r="Q710" s="698">
        <v>45260</v>
      </c>
      <c r="R710" s="697" t="s">
        <v>40</v>
      </c>
      <c r="S710" s="698"/>
      <c r="T710" s="697" t="s">
        <v>40</v>
      </c>
      <c r="U710" s="698"/>
      <c r="V710" s="697" t="s">
        <v>41</v>
      </c>
      <c r="W710" s="698">
        <v>45227</v>
      </c>
      <c r="X710" s="697" t="s">
        <v>41</v>
      </c>
      <c r="Y710" s="698">
        <v>45252</v>
      </c>
      <c r="Z710" s="697" t="s">
        <v>40</v>
      </c>
      <c r="AA710" s="698"/>
      <c r="AB710" s="697" t="s">
        <v>40</v>
      </c>
      <c r="AC710" s="698"/>
      <c r="AD710" s="698"/>
      <c r="AE710" s="1518">
        <v>46112</v>
      </c>
      <c r="AF710" s="697" t="s">
        <v>65</v>
      </c>
      <c r="AG710" s="733">
        <v>2026</v>
      </c>
      <c r="AH710" s="701">
        <f>AH711</f>
        <v>0</v>
      </c>
      <c r="AI710" s="702"/>
      <c r="AJ710" s="703" t="s">
        <v>1404</v>
      </c>
      <c r="AK710" s="704" t="s">
        <v>43</v>
      </c>
      <c r="AL710" s="693" t="s">
        <v>41</v>
      </c>
      <c r="AM710" s="705">
        <v>0</v>
      </c>
      <c r="AN710" s="706" t="s">
        <v>40</v>
      </c>
      <c r="AO710" s="104"/>
      <c r="AP710" s="104"/>
      <c r="AQ710" s="104"/>
      <c r="AR710" s="104"/>
      <c r="AS710" s="104"/>
      <c r="AT710" s="358"/>
      <c r="AU710" s="102"/>
      <c r="AV710" s="102"/>
      <c r="AW710" s="102"/>
      <c r="AX710" s="102"/>
      <c r="AY710" s="102"/>
      <c r="AZ710" s="102"/>
      <c r="BA710" s="102"/>
      <c r="BB710" s="102"/>
      <c r="BC710" s="102"/>
      <c r="BD710" s="102"/>
      <c r="BE710" s="102"/>
      <c r="BF710" s="102"/>
      <c r="BG710" s="102"/>
      <c r="BH710" s="102"/>
      <c r="BI710" s="102"/>
      <c r="BJ710" s="102"/>
      <c r="BK710" s="102"/>
      <c r="BL710" s="102"/>
      <c r="BM710" s="102"/>
      <c r="BN710" s="102"/>
      <c r="BO710" s="102"/>
      <c r="BP710" s="102"/>
      <c r="BQ710" s="102"/>
      <c r="BR710" s="102"/>
      <c r="BS710" s="102"/>
      <c r="BT710" s="102"/>
      <c r="BU710" s="102"/>
      <c r="BV710" s="102"/>
      <c r="BW710" s="102"/>
      <c r="BX710" s="102"/>
      <c r="BY710" s="102"/>
      <c r="BZ710" s="102"/>
      <c r="CA710" s="102"/>
      <c r="CB710" s="102"/>
      <c r="CC710" s="102"/>
      <c r="CD710" s="102"/>
      <c r="CE710" s="102"/>
      <c r="CF710" s="102"/>
      <c r="CG710" s="102"/>
      <c r="CH710" s="102"/>
      <c r="CI710" s="102"/>
      <c r="CJ710" s="102"/>
      <c r="CK710" s="102"/>
      <c r="CL710" s="102"/>
      <c r="CM710" s="102"/>
      <c r="CN710" s="102"/>
      <c r="CO710" s="102"/>
      <c r="CP710" s="102"/>
      <c r="CQ710" s="102"/>
      <c r="CR710" s="102"/>
      <c r="CS710" s="102"/>
      <c r="CT710" s="102"/>
      <c r="CU710" s="102"/>
      <c r="CV710" s="102"/>
      <c r="CW710" s="102"/>
      <c r="CX710" s="102"/>
      <c r="CY710" s="102"/>
      <c r="CZ710" s="102"/>
      <c r="DA710" s="102"/>
      <c r="DB710" s="102"/>
      <c r="DC710" s="102"/>
      <c r="DD710" s="102"/>
      <c r="DE710" s="102"/>
      <c r="DF710" s="102"/>
      <c r="DG710" s="102"/>
      <c r="DH710" s="102"/>
      <c r="DI710" s="102"/>
      <c r="DJ710" s="102"/>
      <c r="DK710" s="102"/>
      <c r="DL710" s="102"/>
      <c r="DM710" s="102"/>
      <c r="DN710" s="102"/>
      <c r="DO710" s="102"/>
      <c r="DP710" s="102"/>
      <c r="DQ710" s="102"/>
      <c r="DR710" s="102"/>
      <c r="DS710" s="102"/>
      <c r="DT710" s="102"/>
      <c r="DU710" s="102"/>
      <c r="DV710" s="102"/>
      <c r="DW710" s="102"/>
      <c r="DX710" s="102"/>
      <c r="DY710" s="102"/>
    </row>
    <row r="711" spans="1:130" s="365" customFormat="1" ht="48" customHeight="1" x14ac:dyDescent="0.3">
      <c r="A711" s="359" t="s">
        <v>264</v>
      </c>
      <c r="B711" s="707" t="s">
        <v>75</v>
      </c>
      <c r="C711" s="708" t="s">
        <v>1405</v>
      </c>
      <c r="D711" s="709" t="s">
        <v>34</v>
      </c>
      <c r="E711" s="709">
        <v>36</v>
      </c>
      <c r="F711" s="709" t="s">
        <v>285</v>
      </c>
      <c r="G711" s="709">
        <v>1700</v>
      </c>
      <c r="H711" s="710">
        <v>6476161.79</v>
      </c>
      <c r="I711" s="709" t="s">
        <v>36</v>
      </c>
      <c r="J711" s="710">
        <f>J712</f>
        <v>6476161.79</v>
      </c>
      <c r="K711" s="1722">
        <f t="shared" ref="K711:L711" si="5">K712</f>
        <v>57028.11</v>
      </c>
      <c r="L711" s="1722">
        <f t="shared" si="5"/>
        <v>57028.11</v>
      </c>
      <c r="M711" s="712" t="s">
        <v>1406</v>
      </c>
      <c r="N711" s="712" t="s">
        <v>1407</v>
      </c>
      <c r="O711" s="712" t="s">
        <v>1408</v>
      </c>
      <c r="P711" s="712" t="s">
        <v>41</v>
      </c>
      <c r="Q711" s="713">
        <v>45260</v>
      </c>
      <c r="R711" s="712" t="s">
        <v>40</v>
      </c>
      <c r="S711" s="713"/>
      <c r="T711" s="712" t="s">
        <v>40</v>
      </c>
      <c r="U711" s="713"/>
      <c r="V711" s="712" t="s">
        <v>41</v>
      </c>
      <c r="W711" s="713">
        <v>45227</v>
      </c>
      <c r="X711" s="712" t="s">
        <v>41</v>
      </c>
      <c r="Y711" s="713">
        <v>45252</v>
      </c>
      <c r="Z711" s="712" t="s">
        <v>40</v>
      </c>
      <c r="AA711" s="713"/>
      <c r="AB711" s="712" t="s">
        <v>40</v>
      </c>
      <c r="AC711" s="713"/>
      <c r="AD711" s="713"/>
      <c r="AE711" s="1519">
        <v>46112</v>
      </c>
      <c r="AF711" s="712" t="s">
        <v>65</v>
      </c>
      <c r="AG711" s="877">
        <v>2026</v>
      </c>
      <c r="AH711" s="716">
        <f>AH712</f>
        <v>0</v>
      </c>
      <c r="AI711" s="717"/>
      <c r="AJ711" s="718"/>
      <c r="AK711" s="719" t="s">
        <v>43</v>
      </c>
      <c r="AL711" s="709" t="s">
        <v>41</v>
      </c>
      <c r="AM711" s="720">
        <v>0</v>
      </c>
      <c r="AN711" s="721" t="s">
        <v>40</v>
      </c>
      <c r="AO711" s="104"/>
      <c r="AP711" s="104"/>
      <c r="AQ711" s="104"/>
      <c r="AR711" s="104"/>
      <c r="AS711" s="104"/>
      <c r="AT711" s="358"/>
      <c r="AU711" s="102"/>
      <c r="AV711" s="102"/>
      <c r="AW711" s="102"/>
      <c r="AX711" s="102"/>
      <c r="AY711" s="102"/>
      <c r="AZ711" s="102"/>
      <c r="BA711" s="102"/>
      <c r="BB711" s="102"/>
      <c r="BC711" s="102"/>
      <c r="BD711" s="102"/>
      <c r="BE711" s="102"/>
      <c r="BF711" s="102"/>
      <c r="BG711" s="102"/>
      <c r="BH711" s="102"/>
      <c r="BI711" s="102"/>
      <c r="BJ711" s="102"/>
      <c r="BK711" s="102"/>
      <c r="BL711" s="102"/>
      <c r="BM711" s="102"/>
      <c r="BN711" s="102"/>
      <c r="BO711" s="102"/>
      <c r="BP711" s="102"/>
      <c r="BQ711" s="102"/>
      <c r="BR711" s="102"/>
      <c r="BS711" s="102"/>
      <c r="BT711" s="102"/>
      <c r="BU711" s="102"/>
      <c r="BV711" s="102"/>
      <c r="BW711" s="102"/>
      <c r="BX711" s="102"/>
      <c r="BY711" s="102"/>
      <c r="BZ711" s="102"/>
      <c r="CA711" s="102"/>
      <c r="CB711" s="102"/>
      <c r="CC711" s="102"/>
      <c r="CD711" s="102"/>
      <c r="CE711" s="102"/>
      <c r="CF711" s="102"/>
      <c r="CG711" s="102"/>
      <c r="CH711" s="102"/>
      <c r="CI711" s="102"/>
      <c r="CJ711" s="102"/>
      <c r="CK711" s="102"/>
      <c r="CL711" s="102"/>
      <c r="CM711" s="102"/>
      <c r="CN711" s="102"/>
      <c r="CO711" s="102"/>
      <c r="CP711" s="102"/>
      <c r="CQ711" s="102"/>
      <c r="CR711" s="102"/>
      <c r="CS711" s="102"/>
      <c r="CT711" s="102"/>
      <c r="CU711" s="102"/>
      <c r="CV711" s="102"/>
      <c r="CW711" s="102"/>
      <c r="CX711" s="102"/>
      <c r="CY711" s="102"/>
      <c r="CZ711" s="102"/>
      <c r="DA711" s="102"/>
      <c r="DB711" s="102"/>
      <c r="DC711" s="102"/>
      <c r="DD711" s="102"/>
      <c r="DE711" s="102"/>
      <c r="DF711" s="102"/>
      <c r="DG711" s="102"/>
      <c r="DH711" s="102"/>
      <c r="DI711" s="102"/>
      <c r="DJ711" s="102"/>
      <c r="DK711" s="102"/>
      <c r="DL711" s="102"/>
      <c r="DM711" s="102"/>
      <c r="DN711" s="102"/>
      <c r="DO711" s="102"/>
      <c r="DP711" s="102"/>
      <c r="DQ711" s="102"/>
      <c r="DR711" s="102"/>
      <c r="DS711" s="102"/>
      <c r="DT711" s="102"/>
      <c r="DU711" s="102"/>
      <c r="DV711" s="102"/>
      <c r="DW711" s="102"/>
      <c r="DX711" s="102"/>
      <c r="DY711" s="102"/>
    </row>
    <row r="712" spans="1:130" s="1045" customFormat="1" ht="46.2" customHeight="1" x14ac:dyDescent="0.3">
      <c r="A712" s="140" t="s">
        <v>264</v>
      </c>
      <c r="B712" s="1031" t="s">
        <v>75</v>
      </c>
      <c r="C712" s="1044" t="s">
        <v>1409</v>
      </c>
      <c r="D712" s="1033" t="s">
        <v>34</v>
      </c>
      <c r="E712" s="1033">
        <v>36</v>
      </c>
      <c r="F712" s="1033" t="s">
        <v>285</v>
      </c>
      <c r="G712" s="1033">
        <v>1700</v>
      </c>
      <c r="H712" s="1034">
        <v>6476161.79</v>
      </c>
      <c r="I712" s="1033" t="s">
        <v>36</v>
      </c>
      <c r="J712" s="1034">
        <v>6476161.79</v>
      </c>
      <c r="K712" s="1721">
        <f>K713+K714</f>
        <v>57028.11</v>
      </c>
      <c r="L712" s="1721">
        <f>L713+L714</f>
        <v>57028.11</v>
      </c>
      <c r="M712" s="1035" t="s">
        <v>1406</v>
      </c>
      <c r="N712" s="1035" t="s">
        <v>1407</v>
      </c>
      <c r="O712" s="1014" t="s">
        <v>1408</v>
      </c>
      <c r="P712" s="1035" t="s">
        <v>41</v>
      </c>
      <c r="Q712" s="1036">
        <v>45260</v>
      </c>
      <c r="R712" s="1035"/>
      <c r="S712" s="1036"/>
      <c r="T712" s="1035" t="s">
        <v>40</v>
      </c>
      <c r="U712" s="1036"/>
      <c r="V712" s="1035" t="s">
        <v>41</v>
      </c>
      <c r="W712" s="1036">
        <v>45227</v>
      </c>
      <c r="X712" s="1035" t="s">
        <v>41</v>
      </c>
      <c r="Y712" s="1036">
        <v>45252</v>
      </c>
      <c r="Z712" s="1035" t="s">
        <v>40</v>
      </c>
      <c r="AA712" s="1036"/>
      <c r="AB712" s="1035" t="s">
        <v>40</v>
      </c>
      <c r="AC712" s="1036"/>
      <c r="AD712" s="1036"/>
      <c r="AE712" s="1542">
        <v>46112</v>
      </c>
      <c r="AF712" s="1035" t="s">
        <v>65</v>
      </c>
      <c r="AG712" s="1037">
        <v>2026</v>
      </c>
      <c r="AH712" s="1038">
        <v>0</v>
      </c>
      <c r="AI712" s="1039"/>
      <c r="AJ712" s="1040"/>
      <c r="AK712" s="729" t="s">
        <v>43</v>
      </c>
      <c r="AL712" s="1033" t="s">
        <v>41</v>
      </c>
      <c r="AM712" s="1041">
        <v>0</v>
      </c>
      <c r="AN712" s="1042" t="s">
        <v>40</v>
      </c>
      <c r="AO712" s="104"/>
      <c r="AP712" s="104"/>
      <c r="AQ712" s="104"/>
      <c r="AR712" s="104"/>
      <c r="AS712" s="104"/>
      <c r="AT712" s="358"/>
      <c r="AU712" s="102"/>
      <c r="AV712" s="102"/>
      <c r="AW712" s="102"/>
      <c r="AX712" s="102"/>
      <c r="AY712" s="102"/>
      <c r="AZ712" s="102"/>
      <c r="BA712" s="102"/>
      <c r="BB712" s="102"/>
      <c r="BC712" s="102"/>
      <c r="BD712" s="102"/>
      <c r="BE712" s="102"/>
      <c r="BF712" s="102"/>
      <c r="BG712" s="102"/>
      <c r="BH712" s="102"/>
      <c r="BI712" s="102"/>
      <c r="BJ712" s="102"/>
      <c r="BK712" s="102"/>
      <c r="BL712" s="102"/>
      <c r="BM712" s="102"/>
      <c r="BN712" s="102"/>
      <c r="BO712" s="102"/>
      <c r="BP712" s="102"/>
      <c r="BQ712" s="102"/>
      <c r="BR712" s="102"/>
      <c r="BS712" s="102"/>
      <c r="BT712" s="102"/>
      <c r="BU712" s="102"/>
      <c r="BV712" s="102"/>
      <c r="BW712" s="102"/>
      <c r="BX712" s="102"/>
      <c r="BY712" s="102"/>
      <c r="BZ712" s="102"/>
      <c r="CA712" s="102"/>
      <c r="CB712" s="102"/>
      <c r="CC712" s="102"/>
      <c r="CD712" s="102"/>
      <c r="CE712" s="102"/>
      <c r="CF712" s="102"/>
      <c r="CG712" s="102"/>
      <c r="CH712" s="102"/>
      <c r="CI712" s="102"/>
      <c r="CJ712" s="102"/>
      <c r="CK712" s="102"/>
      <c r="CL712" s="102"/>
      <c r="CM712" s="102"/>
      <c r="CN712" s="102"/>
      <c r="CO712" s="102"/>
      <c r="CP712" s="102"/>
      <c r="CQ712" s="102"/>
      <c r="CR712" s="102"/>
      <c r="CS712" s="102"/>
      <c r="CT712" s="102"/>
      <c r="CU712" s="102"/>
      <c r="CV712" s="102"/>
      <c r="CW712" s="102"/>
      <c r="CX712" s="102"/>
      <c r="CY712" s="102"/>
      <c r="CZ712" s="102"/>
      <c r="DA712" s="102"/>
      <c r="DB712" s="102"/>
      <c r="DC712" s="102"/>
      <c r="DD712" s="102"/>
      <c r="DE712" s="102"/>
      <c r="DF712" s="102"/>
      <c r="DG712" s="102"/>
      <c r="DH712" s="102"/>
      <c r="DI712" s="102"/>
      <c r="DJ712" s="102"/>
      <c r="DK712" s="102"/>
      <c r="DL712" s="102"/>
      <c r="DM712" s="102"/>
      <c r="DN712" s="102"/>
      <c r="DO712" s="102"/>
      <c r="DP712" s="102"/>
      <c r="DQ712" s="102"/>
      <c r="DR712" s="102"/>
      <c r="DS712" s="102"/>
      <c r="DT712" s="102"/>
      <c r="DU712" s="102"/>
      <c r="DV712" s="102"/>
      <c r="DW712" s="102"/>
      <c r="DX712" s="102"/>
      <c r="DY712" s="102"/>
      <c r="DZ712" s="102"/>
    </row>
    <row r="713" spans="1:130" s="1381" customFormat="1" ht="46.2" customHeight="1" x14ac:dyDescent="0.3">
      <c r="A713" s="1381" t="s">
        <v>264</v>
      </c>
      <c r="B713" s="1370" t="s">
        <v>75</v>
      </c>
      <c r="C713" s="1713" t="s">
        <v>3909</v>
      </c>
      <c r="D713" s="1370" t="s">
        <v>34</v>
      </c>
      <c r="E713" s="1370">
        <v>36</v>
      </c>
      <c r="F713" s="1370"/>
      <c r="G713" s="1370"/>
      <c r="H713" s="1401">
        <v>4919.68</v>
      </c>
      <c r="I713" s="1370" t="s">
        <v>36</v>
      </c>
      <c r="J713" s="1401">
        <v>4919.68</v>
      </c>
      <c r="K713" s="1401">
        <v>4919.68</v>
      </c>
      <c r="L713" s="1401">
        <v>4919.68</v>
      </c>
      <c r="M713" s="1377" t="s">
        <v>1406</v>
      </c>
      <c r="N713" s="1377" t="s">
        <v>1406</v>
      </c>
      <c r="O713" s="1377" t="s">
        <v>1408</v>
      </c>
      <c r="P713" s="1377" t="s">
        <v>41</v>
      </c>
      <c r="Q713" s="1378"/>
      <c r="R713" s="1377" t="s">
        <v>40</v>
      </c>
      <c r="S713" s="1378"/>
      <c r="T713" s="1377" t="s">
        <v>40</v>
      </c>
      <c r="U713" s="1378"/>
      <c r="V713" s="1377" t="s">
        <v>64</v>
      </c>
      <c r="W713" s="1378"/>
      <c r="X713" s="1377" t="s">
        <v>64</v>
      </c>
      <c r="Y713" s="1378"/>
      <c r="Z713" s="1377" t="s">
        <v>40</v>
      </c>
      <c r="AA713" s="1378"/>
      <c r="AB713" s="1377" t="s">
        <v>64</v>
      </c>
      <c r="AC713" s="1378"/>
      <c r="AD713" s="1378" t="s">
        <v>3910</v>
      </c>
      <c r="AE713" s="1533" t="s">
        <v>1435</v>
      </c>
      <c r="AF713" s="1377" t="s">
        <v>65</v>
      </c>
      <c r="AG713" s="1714">
        <v>2026</v>
      </c>
      <c r="AH713" s="1715">
        <v>24500</v>
      </c>
      <c r="AI713" s="1716" t="s">
        <v>3911</v>
      </c>
      <c r="AJ713" s="1717" t="s">
        <v>3912</v>
      </c>
      <c r="AK713" s="1718" t="s">
        <v>1483</v>
      </c>
      <c r="AL713" s="1370" t="s">
        <v>41</v>
      </c>
      <c r="AM713" s="1719"/>
      <c r="AN713" s="1720"/>
      <c r="AO713" s="1414"/>
      <c r="AP713" s="1414"/>
      <c r="AQ713" s="1414"/>
      <c r="AR713" s="1414"/>
      <c r="AS713" s="1414"/>
      <c r="AT713" s="1592"/>
    </row>
    <row r="714" spans="1:130" s="1381" customFormat="1" ht="46.2" customHeight="1" x14ac:dyDescent="0.3">
      <c r="A714" s="1381" t="s">
        <v>264</v>
      </c>
      <c r="B714" s="1370" t="s">
        <v>75</v>
      </c>
      <c r="C714" s="1713" t="s">
        <v>3913</v>
      </c>
      <c r="D714" s="1370" t="s">
        <v>34</v>
      </c>
      <c r="E714" s="1370">
        <v>36</v>
      </c>
      <c r="F714" s="1370"/>
      <c r="G714" s="1370"/>
      <c r="H714" s="1401">
        <v>52108.43</v>
      </c>
      <c r="I714" s="1370" t="s">
        <v>36</v>
      </c>
      <c r="J714" s="1401">
        <v>52108.43</v>
      </c>
      <c r="K714" s="1401">
        <v>52108.43</v>
      </c>
      <c r="L714" s="1401">
        <v>52108.43</v>
      </c>
      <c r="M714" s="1377" t="s">
        <v>1406</v>
      </c>
      <c r="N714" s="1377" t="s">
        <v>1406</v>
      </c>
      <c r="O714" s="1377" t="s">
        <v>1408</v>
      </c>
      <c r="P714" s="1377" t="s">
        <v>41</v>
      </c>
      <c r="Q714" s="1378"/>
      <c r="R714" s="1377" t="s">
        <v>40</v>
      </c>
      <c r="S714" s="1378"/>
      <c r="T714" s="1377" t="s">
        <v>40</v>
      </c>
      <c r="U714" s="1378"/>
      <c r="V714" s="1377" t="s">
        <v>64</v>
      </c>
      <c r="W714" s="1378"/>
      <c r="X714" s="1377" t="s">
        <v>64</v>
      </c>
      <c r="Y714" s="1378"/>
      <c r="Z714" s="1377" t="s">
        <v>40</v>
      </c>
      <c r="AA714" s="1378"/>
      <c r="AB714" s="1377" t="s">
        <v>64</v>
      </c>
      <c r="AC714" s="1378"/>
      <c r="AD714" s="1378" t="s">
        <v>3914</v>
      </c>
      <c r="AE714" s="1533" t="s">
        <v>3915</v>
      </c>
      <c r="AF714" s="1377" t="s">
        <v>65</v>
      </c>
      <c r="AG714" s="1714">
        <v>2026</v>
      </c>
      <c r="AH714" s="1715">
        <v>259500</v>
      </c>
      <c r="AI714" s="1716" t="s">
        <v>3916</v>
      </c>
      <c r="AJ714" s="1717" t="s">
        <v>3917</v>
      </c>
      <c r="AK714" s="1718" t="s">
        <v>1483</v>
      </c>
      <c r="AL714" s="1370" t="s">
        <v>41</v>
      </c>
      <c r="AM714" s="1719"/>
      <c r="AN714" s="1720"/>
      <c r="AO714" s="1414"/>
      <c r="AP714" s="1414"/>
      <c r="AQ714" s="1414"/>
      <c r="AR714" s="1414"/>
      <c r="AS714" s="1414"/>
      <c r="AT714" s="1592"/>
    </row>
    <row r="715" spans="1:130" s="359" customFormat="1" ht="23.4" customHeight="1" thickBot="1" x14ac:dyDescent="0.35">
      <c r="A715" s="365" t="s">
        <v>264</v>
      </c>
      <c r="B715" s="693" t="s">
        <v>85</v>
      </c>
      <c r="C715" s="694" t="s">
        <v>1410</v>
      </c>
      <c r="D715" s="693" t="s">
        <v>34</v>
      </c>
      <c r="E715" s="693">
        <v>37</v>
      </c>
      <c r="F715" s="693" t="s">
        <v>285</v>
      </c>
      <c r="G715" s="693">
        <v>2800</v>
      </c>
      <c r="H715" s="695">
        <v>35000000</v>
      </c>
      <c r="I715" s="693" t="s">
        <v>36</v>
      </c>
      <c r="J715" s="695">
        <v>35000000</v>
      </c>
      <c r="K715" s="1602">
        <v>0</v>
      </c>
      <c r="L715" s="1602">
        <v>0</v>
      </c>
      <c r="M715" s="697" t="s">
        <v>40</v>
      </c>
      <c r="N715" s="697" t="s">
        <v>40</v>
      </c>
      <c r="O715" s="697"/>
      <c r="P715" s="697" t="s">
        <v>40</v>
      </c>
      <c r="Q715" s="698"/>
      <c r="R715" s="697" t="s">
        <v>40</v>
      </c>
      <c r="S715" s="698"/>
      <c r="T715" s="697" t="s">
        <v>40</v>
      </c>
      <c r="U715" s="698"/>
      <c r="V715" s="697" t="s">
        <v>40</v>
      </c>
      <c r="W715" s="698"/>
      <c r="X715" s="697" t="s">
        <v>40</v>
      </c>
      <c r="Y715" s="698"/>
      <c r="Z715" s="697" t="s">
        <v>40</v>
      </c>
      <c r="AA715" s="698"/>
      <c r="AB715" s="697" t="s">
        <v>40</v>
      </c>
      <c r="AC715" s="698"/>
      <c r="AD715" s="698"/>
      <c r="AE715" s="1518">
        <v>46203</v>
      </c>
      <c r="AF715" s="697" t="s">
        <v>65</v>
      </c>
      <c r="AG715" s="733">
        <v>2026</v>
      </c>
      <c r="AH715" s="701">
        <v>0</v>
      </c>
      <c r="AI715" s="702"/>
      <c r="AJ715" s="703"/>
      <c r="AK715" s="704"/>
      <c r="AL715" s="693"/>
      <c r="AM715" s="705"/>
      <c r="AN715" s="706"/>
      <c r="AO715" s="104"/>
      <c r="AP715" s="104"/>
      <c r="AQ715" s="104"/>
      <c r="AR715" s="104"/>
      <c r="AS715" s="104"/>
      <c r="AT715" s="358"/>
      <c r="AU715" s="102"/>
      <c r="AV715" s="102"/>
      <c r="AW715" s="102"/>
      <c r="AX715" s="102"/>
      <c r="AY715" s="102"/>
      <c r="AZ715" s="102"/>
      <c r="BA715" s="102"/>
      <c r="BB715" s="102"/>
      <c r="BC715" s="102"/>
      <c r="BD715" s="102"/>
      <c r="BE715" s="102"/>
      <c r="BF715" s="102"/>
      <c r="BG715" s="102"/>
      <c r="BH715" s="102"/>
      <c r="BI715" s="102"/>
      <c r="BJ715" s="102"/>
      <c r="BK715" s="102"/>
      <c r="BL715" s="102"/>
      <c r="BM715" s="102"/>
      <c r="BN715" s="102"/>
      <c r="BO715" s="102"/>
      <c r="BP715" s="102"/>
      <c r="BQ715" s="102"/>
      <c r="BR715" s="102"/>
      <c r="BS715" s="102"/>
      <c r="BT715" s="102"/>
      <c r="BU715" s="102"/>
      <c r="BV715" s="102"/>
      <c r="BW715" s="102"/>
      <c r="BX715" s="102"/>
      <c r="BY715" s="102"/>
      <c r="BZ715" s="102"/>
      <c r="CA715" s="102"/>
      <c r="CB715" s="102"/>
      <c r="CC715" s="102"/>
      <c r="CD715" s="102"/>
      <c r="CE715" s="102"/>
      <c r="CF715" s="102"/>
      <c r="CG715" s="102"/>
      <c r="CH715" s="102"/>
      <c r="CI715" s="102"/>
      <c r="CJ715" s="102"/>
      <c r="CK715" s="102"/>
      <c r="CL715" s="102"/>
      <c r="CM715" s="102"/>
      <c r="CN715" s="102"/>
      <c r="CO715" s="102"/>
      <c r="CP715" s="102"/>
      <c r="CQ715" s="102"/>
      <c r="CR715" s="102"/>
      <c r="CS715" s="102"/>
      <c r="CT715" s="102"/>
      <c r="CU715" s="102"/>
      <c r="CV715" s="102"/>
      <c r="CW715" s="102"/>
      <c r="CX715" s="102"/>
      <c r="CY715" s="102"/>
      <c r="CZ715" s="102"/>
      <c r="DA715" s="102"/>
      <c r="DB715" s="102"/>
      <c r="DC715" s="102"/>
      <c r="DD715" s="102"/>
      <c r="DE715" s="102"/>
      <c r="DF715" s="102"/>
      <c r="DG715" s="102"/>
      <c r="DH715" s="102"/>
      <c r="DI715" s="102"/>
      <c r="DJ715" s="102"/>
      <c r="DK715" s="102"/>
      <c r="DL715" s="102"/>
      <c r="DM715" s="102"/>
      <c r="DN715" s="102"/>
      <c r="DO715" s="102"/>
      <c r="DP715" s="102"/>
      <c r="DQ715" s="102"/>
      <c r="DR715" s="102"/>
      <c r="DS715" s="102"/>
      <c r="DT715" s="102"/>
      <c r="DU715" s="102"/>
      <c r="DV715" s="102"/>
      <c r="DW715" s="102"/>
      <c r="DX715" s="102"/>
      <c r="DY715" s="102"/>
    </row>
    <row r="716" spans="1:130" s="365" customFormat="1" ht="43.8" thickBot="1" x14ac:dyDescent="0.35">
      <c r="A716" s="1046" t="s">
        <v>264</v>
      </c>
      <c r="B716" s="1047" t="s">
        <v>85</v>
      </c>
      <c r="C716" s="1048" t="s">
        <v>1411</v>
      </c>
      <c r="D716" s="1033" t="s">
        <v>34</v>
      </c>
      <c r="E716" s="1047">
        <v>37</v>
      </c>
      <c r="F716" s="1047" t="s">
        <v>285</v>
      </c>
      <c r="G716" s="1047">
        <v>2800</v>
      </c>
      <c r="H716" s="1049"/>
      <c r="I716" s="1047" t="s">
        <v>36</v>
      </c>
      <c r="J716" s="1049">
        <v>35000000</v>
      </c>
      <c r="K716" s="1632">
        <v>0</v>
      </c>
      <c r="L716" s="1632">
        <v>0</v>
      </c>
      <c r="M716" s="1050" t="s">
        <v>40</v>
      </c>
      <c r="N716" s="1050" t="s">
        <v>40</v>
      </c>
      <c r="O716" s="1051"/>
      <c r="P716" s="1035" t="s">
        <v>40</v>
      </c>
      <c r="Q716" s="1036"/>
      <c r="R716" s="1035" t="s">
        <v>40</v>
      </c>
      <c r="S716" s="1036"/>
      <c r="T716" s="1035" t="s">
        <v>40</v>
      </c>
      <c r="U716" s="1036"/>
      <c r="V716" s="1035" t="s">
        <v>40</v>
      </c>
      <c r="W716" s="1036"/>
      <c r="X716" s="1035" t="s">
        <v>40</v>
      </c>
      <c r="Y716" s="1036"/>
      <c r="Z716" s="1035" t="s">
        <v>40</v>
      </c>
      <c r="AA716" s="1036"/>
      <c r="AB716" s="1035" t="s">
        <v>40</v>
      </c>
      <c r="AC716" s="1036"/>
      <c r="AD716" s="1036"/>
      <c r="AE716" s="1542">
        <v>46203</v>
      </c>
      <c r="AF716" s="1051" t="s">
        <v>65</v>
      </c>
      <c r="AG716" s="1052">
        <v>2026</v>
      </c>
      <c r="AH716" s="1053">
        <v>0</v>
      </c>
      <c r="AI716" s="1054"/>
      <c r="AJ716" s="1055"/>
      <c r="AK716" s="1056"/>
      <c r="AL716" s="1047"/>
      <c r="AM716" s="1057"/>
      <c r="AN716" s="1058"/>
      <c r="AO716" s="104"/>
      <c r="AP716" s="104"/>
      <c r="AQ716" s="104"/>
      <c r="AR716" s="104"/>
      <c r="AS716" s="104"/>
      <c r="AT716" s="358"/>
      <c r="AU716" s="102"/>
      <c r="AV716" s="102"/>
      <c r="AW716" s="102"/>
      <c r="AX716" s="102"/>
      <c r="AY716" s="102"/>
      <c r="AZ716" s="102"/>
      <c r="BA716" s="102"/>
      <c r="BB716" s="102"/>
      <c r="BC716" s="102"/>
      <c r="BD716" s="102"/>
      <c r="BE716" s="102"/>
      <c r="BF716" s="102"/>
      <c r="BG716" s="102"/>
      <c r="BH716" s="102"/>
      <c r="BI716" s="102"/>
      <c r="BJ716" s="102"/>
      <c r="BK716" s="102"/>
      <c r="BL716" s="102"/>
      <c r="BM716" s="102"/>
      <c r="BN716" s="102"/>
      <c r="BO716" s="102"/>
      <c r="BP716" s="102"/>
      <c r="BQ716" s="102"/>
      <c r="BR716" s="102"/>
      <c r="BS716" s="102"/>
      <c r="BT716" s="102"/>
      <c r="BU716" s="102"/>
      <c r="BV716" s="102"/>
      <c r="BW716" s="102"/>
      <c r="BX716" s="102"/>
      <c r="BY716" s="102"/>
      <c r="BZ716" s="102"/>
      <c r="CA716" s="102"/>
      <c r="CB716" s="102"/>
      <c r="CC716" s="102"/>
      <c r="CD716" s="102"/>
      <c r="CE716" s="102"/>
      <c r="CF716" s="102"/>
      <c r="CG716" s="102"/>
      <c r="CH716" s="102"/>
      <c r="CI716" s="102"/>
      <c r="CJ716" s="102"/>
      <c r="CK716" s="102"/>
      <c r="CL716" s="102"/>
      <c r="CM716" s="102"/>
      <c r="CN716" s="102"/>
      <c r="CO716" s="102"/>
      <c r="CP716" s="102"/>
      <c r="CQ716" s="102"/>
      <c r="CR716" s="102"/>
      <c r="CS716" s="102"/>
      <c r="CT716" s="102"/>
      <c r="CU716" s="102"/>
      <c r="CV716" s="102"/>
      <c r="CW716" s="102"/>
      <c r="CX716" s="102"/>
      <c r="CY716" s="102"/>
      <c r="CZ716" s="102"/>
      <c r="DA716" s="102"/>
      <c r="DB716" s="102"/>
      <c r="DC716" s="102"/>
      <c r="DD716" s="102"/>
      <c r="DE716" s="102"/>
      <c r="DF716" s="102"/>
      <c r="DG716" s="102"/>
      <c r="DH716" s="102"/>
      <c r="DI716" s="102"/>
      <c r="DJ716" s="102"/>
      <c r="DK716" s="102"/>
      <c r="DL716" s="102"/>
      <c r="DM716" s="102"/>
      <c r="DN716" s="102"/>
      <c r="DO716" s="102"/>
      <c r="DP716" s="102"/>
      <c r="DQ716" s="102"/>
      <c r="DR716" s="102"/>
      <c r="DS716" s="102"/>
      <c r="DT716" s="102"/>
      <c r="DU716" s="102"/>
      <c r="DV716" s="102"/>
      <c r="DW716" s="102"/>
      <c r="DX716" s="102"/>
      <c r="DY716" s="102"/>
    </row>
    <row r="717" spans="1:130" s="590" customFormat="1" ht="57.6" customHeight="1" x14ac:dyDescent="0.3">
      <c r="A717" s="879" t="s">
        <v>264</v>
      </c>
      <c r="B717" s="1030" t="s">
        <v>1412</v>
      </c>
      <c r="C717" s="1059" t="s">
        <v>1413</v>
      </c>
      <c r="D717" s="1030" t="s">
        <v>34</v>
      </c>
      <c r="E717" s="1030">
        <v>38</v>
      </c>
      <c r="F717" s="1030" t="s">
        <v>285</v>
      </c>
      <c r="G717" s="1030">
        <v>100</v>
      </c>
      <c r="H717" s="1043">
        <v>35000000</v>
      </c>
      <c r="I717" s="1030" t="s">
        <v>36</v>
      </c>
      <c r="J717" s="1043">
        <v>35000000</v>
      </c>
      <c r="K717" s="1631">
        <v>22088.35</v>
      </c>
      <c r="L717" s="1631">
        <v>22088.35</v>
      </c>
      <c r="M717" s="1060" t="s">
        <v>351</v>
      </c>
      <c r="N717" s="1060" t="s">
        <v>351</v>
      </c>
      <c r="O717" s="1060" t="s">
        <v>1414</v>
      </c>
      <c r="P717" s="1060" t="s">
        <v>41</v>
      </c>
      <c r="Q717" s="1023">
        <v>45291</v>
      </c>
      <c r="R717" s="1060" t="s">
        <v>41</v>
      </c>
      <c r="S717" s="1023">
        <v>45291</v>
      </c>
      <c r="T717" s="1060" t="s">
        <v>40</v>
      </c>
      <c r="U717" s="1023"/>
      <c r="V717" s="1060" t="s">
        <v>41</v>
      </c>
      <c r="W717" s="1023">
        <v>45169</v>
      </c>
      <c r="X717" s="1060" t="s">
        <v>41</v>
      </c>
      <c r="Y717" s="1023">
        <v>45184</v>
      </c>
      <c r="Z717" s="1060" t="s">
        <v>40</v>
      </c>
      <c r="AA717" s="1023"/>
      <c r="AB717" s="1060" t="s">
        <v>40</v>
      </c>
      <c r="AC717" s="1023"/>
      <c r="AD717" s="1023"/>
      <c r="AE717" s="1543">
        <v>46203</v>
      </c>
      <c r="AF717" s="1060" t="s">
        <v>65</v>
      </c>
      <c r="AG717" s="880">
        <v>2026</v>
      </c>
      <c r="AH717" s="1061">
        <f>AH718</f>
        <v>372500</v>
      </c>
      <c r="AI717" s="882"/>
      <c r="AJ717" s="1062"/>
      <c r="AK717" s="1063" t="s">
        <v>43</v>
      </c>
      <c r="AL717" s="1030" t="s">
        <v>41</v>
      </c>
      <c r="AM717" s="1064">
        <v>0</v>
      </c>
      <c r="AN717" s="1065" t="s">
        <v>40</v>
      </c>
      <c r="AO717" s="104"/>
      <c r="AP717" s="104"/>
      <c r="AQ717" s="104"/>
      <c r="AR717" s="104"/>
      <c r="AS717" s="104"/>
      <c r="AT717" s="358"/>
      <c r="AU717" s="102"/>
      <c r="AV717" s="102"/>
      <c r="AW717" s="102"/>
      <c r="AX717" s="102"/>
      <c r="AY717" s="102"/>
      <c r="AZ717" s="102"/>
      <c r="BA717" s="102"/>
      <c r="BB717" s="102"/>
      <c r="BC717" s="102"/>
      <c r="BD717" s="102"/>
      <c r="BE717" s="102"/>
      <c r="BF717" s="102"/>
      <c r="BG717" s="102"/>
      <c r="BH717" s="102"/>
      <c r="BI717" s="102"/>
      <c r="BJ717" s="102"/>
      <c r="BK717" s="102"/>
      <c r="BL717" s="102"/>
      <c r="BM717" s="102"/>
      <c r="BN717" s="102"/>
      <c r="BO717" s="102"/>
      <c r="BP717" s="102"/>
      <c r="BQ717" s="102"/>
      <c r="BR717" s="102"/>
      <c r="BS717" s="102"/>
      <c r="BT717" s="102"/>
      <c r="BU717" s="102"/>
      <c r="BV717" s="102"/>
      <c r="BW717" s="102"/>
      <c r="BX717" s="102"/>
      <c r="BY717" s="102"/>
      <c r="BZ717" s="102"/>
      <c r="CA717" s="102"/>
      <c r="CB717" s="102"/>
      <c r="CC717" s="102"/>
      <c r="CD717" s="102"/>
      <c r="CE717" s="102"/>
      <c r="CF717" s="102"/>
      <c r="CG717" s="102"/>
      <c r="CH717" s="102"/>
      <c r="CI717" s="102"/>
      <c r="CJ717" s="102"/>
      <c r="CK717" s="102"/>
      <c r="CL717" s="102"/>
      <c r="CM717" s="102"/>
      <c r="CN717" s="102"/>
      <c r="CO717" s="102"/>
      <c r="CP717" s="102"/>
      <c r="CQ717" s="102"/>
      <c r="CR717" s="102"/>
      <c r="CS717" s="102"/>
      <c r="CT717" s="102"/>
      <c r="CU717" s="102"/>
      <c r="CV717" s="102"/>
      <c r="CW717" s="102"/>
      <c r="CX717" s="102"/>
      <c r="CY717" s="102"/>
      <c r="CZ717" s="102"/>
      <c r="DA717" s="102"/>
      <c r="DB717" s="102"/>
      <c r="DC717" s="102"/>
      <c r="DD717" s="102"/>
      <c r="DE717" s="102"/>
      <c r="DF717" s="102"/>
      <c r="DG717" s="102"/>
      <c r="DH717" s="102"/>
      <c r="DI717" s="102"/>
      <c r="DJ717" s="102"/>
      <c r="DK717" s="102"/>
      <c r="DL717" s="102"/>
      <c r="DM717" s="102"/>
      <c r="DN717" s="102"/>
      <c r="DO717" s="102"/>
      <c r="DP717" s="102"/>
      <c r="DQ717" s="102"/>
      <c r="DR717" s="102"/>
      <c r="DS717" s="102"/>
      <c r="DT717" s="102"/>
      <c r="DU717" s="102"/>
      <c r="DV717" s="102"/>
      <c r="DW717" s="102"/>
      <c r="DX717" s="102"/>
      <c r="DY717" s="102"/>
    </row>
    <row r="718" spans="1:130" s="138" customFormat="1" ht="39" customHeight="1" x14ac:dyDescent="0.3">
      <c r="A718" s="1046" t="s">
        <v>264</v>
      </c>
      <c r="B718" s="707" t="s">
        <v>1412</v>
      </c>
      <c r="C718" s="1066" t="s">
        <v>1415</v>
      </c>
      <c r="D718" s="709" t="s">
        <v>34</v>
      </c>
      <c r="E718" s="709">
        <v>38</v>
      </c>
      <c r="F718" s="709" t="s">
        <v>285</v>
      </c>
      <c r="G718" s="709">
        <v>100</v>
      </c>
      <c r="H718" s="710">
        <v>35000000</v>
      </c>
      <c r="I718" s="709" t="s">
        <v>36</v>
      </c>
      <c r="J718" s="710">
        <v>35000000</v>
      </c>
      <c r="K718" s="1603">
        <v>0</v>
      </c>
      <c r="L718" s="1603">
        <v>0</v>
      </c>
      <c r="M718" s="712" t="s">
        <v>351</v>
      </c>
      <c r="N718" s="712" t="s">
        <v>351</v>
      </c>
      <c r="O718" s="712" t="s">
        <v>1414</v>
      </c>
      <c r="P718" s="712" t="s">
        <v>41</v>
      </c>
      <c r="Q718" s="713">
        <v>45291</v>
      </c>
      <c r="R718" s="712" t="s">
        <v>41</v>
      </c>
      <c r="S718" s="713">
        <v>45291</v>
      </c>
      <c r="T718" s="712" t="s">
        <v>40</v>
      </c>
      <c r="U718" s="713"/>
      <c r="V718" s="712" t="s">
        <v>41</v>
      </c>
      <c r="W718" s="713">
        <v>45169</v>
      </c>
      <c r="X718" s="712" t="s">
        <v>41</v>
      </c>
      <c r="Y718" s="713">
        <v>45184</v>
      </c>
      <c r="Z718" s="712" t="s">
        <v>40</v>
      </c>
      <c r="AA718" s="713"/>
      <c r="AB718" s="712" t="s">
        <v>40</v>
      </c>
      <c r="AC718" s="713"/>
      <c r="AD718" s="713"/>
      <c r="AE718" s="1519">
        <v>46203</v>
      </c>
      <c r="AF718" s="712" t="s">
        <v>65</v>
      </c>
      <c r="AG718" s="877">
        <v>2026</v>
      </c>
      <c r="AH718" s="716">
        <f>AH719</f>
        <v>372500</v>
      </c>
      <c r="AI718" s="717"/>
      <c r="AJ718" s="718"/>
      <c r="AK718" s="719" t="s">
        <v>43</v>
      </c>
      <c r="AL718" s="709" t="s">
        <v>41</v>
      </c>
      <c r="AM718" s="720">
        <v>0</v>
      </c>
      <c r="AN718" s="721" t="s">
        <v>40</v>
      </c>
      <c r="AO718" s="104"/>
      <c r="AP718" s="104"/>
      <c r="AQ718" s="104"/>
      <c r="AR718" s="104"/>
      <c r="AS718" s="104"/>
      <c r="AT718" s="358"/>
      <c r="AU718" s="102"/>
      <c r="AV718" s="102"/>
      <c r="AW718" s="102"/>
      <c r="AX718" s="102"/>
      <c r="AY718" s="102"/>
      <c r="AZ718" s="102"/>
      <c r="BA718" s="102"/>
      <c r="BB718" s="102"/>
      <c r="BC718" s="102"/>
      <c r="BD718" s="102"/>
      <c r="BE718" s="102"/>
      <c r="BF718" s="102"/>
      <c r="BG718" s="102"/>
      <c r="BH718" s="102"/>
      <c r="BI718" s="102"/>
      <c r="BJ718" s="102"/>
      <c r="BK718" s="102"/>
      <c r="BL718" s="102"/>
      <c r="BM718" s="102"/>
      <c r="BN718" s="102"/>
      <c r="BO718" s="102"/>
      <c r="BP718" s="102"/>
      <c r="BQ718" s="102"/>
      <c r="BR718" s="102"/>
      <c r="BS718" s="102"/>
      <c r="BT718" s="102"/>
      <c r="BU718" s="102"/>
      <c r="BV718" s="102"/>
      <c r="BW718" s="102"/>
      <c r="BX718" s="102"/>
      <c r="BY718" s="102"/>
      <c r="BZ718" s="102"/>
      <c r="CA718" s="102"/>
      <c r="CB718" s="102"/>
      <c r="CC718" s="102"/>
      <c r="CD718" s="102"/>
      <c r="CE718" s="102"/>
      <c r="CF718" s="102"/>
      <c r="CG718" s="102"/>
      <c r="CH718" s="102"/>
      <c r="CI718" s="102"/>
      <c r="CJ718" s="102"/>
      <c r="CK718" s="102"/>
      <c r="CL718" s="102"/>
      <c r="CM718" s="102"/>
      <c r="CN718" s="102"/>
      <c r="CO718" s="102"/>
      <c r="CP718" s="102"/>
      <c r="CQ718" s="102"/>
      <c r="CR718" s="102"/>
      <c r="CS718" s="102"/>
      <c r="CT718" s="102"/>
      <c r="CU718" s="102"/>
      <c r="CV718" s="102"/>
      <c r="CW718" s="102"/>
      <c r="CX718" s="102"/>
      <c r="CY718" s="102"/>
      <c r="CZ718" s="102"/>
      <c r="DA718" s="102"/>
      <c r="DB718" s="102"/>
      <c r="DC718" s="102"/>
      <c r="DD718" s="102"/>
      <c r="DE718" s="102"/>
      <c r="DF718" s="102"/>
      <c r="DG718" s="102"/>
      <c r="DH718" s="102"/>
      <c r="DI718" s="102"/>
      <c r="DJ718" s="102"/>
      <c r="DK718" s="102"/>
      <c r="DL718" s="102"/>
      <c r="DM718" s="102"/>
      <c r="DN718" s="102"/>
      <c r="DO718" s="102"/>
      <c r="DP718" s="102"/>
      <c r="DQ718" s="102"/>
      <c r="DR718" s="102"/>
      <c r="DS718" s="102"/>
      <c r="DT718" s="102"/>
      <c r="DU718" s="102"/>
      <c r="DV718" s="102"/>
      <c r="DW718" s="102"/>
      <c r="DX718" s="102"/>
      <c r="DY718" s="102"/>
    </row>
    <row r="719" spans="1:130" s="138" customFormat="1" ht="36.6" customHeight="1" thickBot="1" x14ac:dyDescent="0.35">
      <c r="A719" s="1067" t="s">
        <v>264</v>
      </c>
      <c r="B719" s="1031" t="s">
        <v>1412</v>
      </c>
      <c r="C719" s="723" t="s">
        <v>1415</v>
      </c>
      <c r="D719" s="722" t="s">
        <v>34</v>
      </c>
      <c r="E719" s="722">
        <v>38</v>
      </c>
      <c r="F719" s="722" t="s">
        <v>285</v>
      </c>
      <c r="G719" s="722">
        <v>100</v>
      </c>
      <c r="H719" s="724">
        <f>H720+H721</f>
        <v>74799.19</v>
      </c>
      <c r="I719" s="722" t="s">
        <v>36</v>
      </c>
      <c r="J719" s="724">
        <f>J720+J721+J722</f>
        <v>118534.13</v>
      </c>
      <c r="K719" s="1604">
        <f>K720+K721+K722</f>
        <v>23468.87</v>
      </c>
      <c r="L719" s="1604">
        <f>L720+L721+L722</f>
        <v>23468.87</v>
      </c>
      <c r="M719" s="735" t="s">
        <v>351</v>
      </c>
      <c r="N719" s="735" t="s">
        <v>351</v>
      </c>
      <c r="O719" s="735" t="s">
        <v>1414</v>
      </c>
      <c r="P719" s="735" t="s">
        <v>41</v>
      </c>
      <c r="Q719" s="736">
        <v>45291</v>
      </c>
      <c r="R719" s="735" t="s">
        <v>41</v>
      </c>
      <c r="S719" s="736">
        <v>45291</v>
      </c>
      <c r="T719" s="735" t="s">
        <v>40</v>
      </c>
      <c r="U719" s="736"/>
      <c r="V719" s="735" t="s">
        <v>41</v>
      </c>
      <c r="W719" s="736">
        <v>45169</v>
      </c>
      <c r="X719" s="735" t="s">
        <v>41</v>
      </c>
      <c r="Y719" s="736">
        <v>45184</v>
      </c>
      <c r="Z719" s="735" t="s">
        <v>40</v>
      </c>
      <c r="AA719" s="736"/>
      <c r="AB719" s="735" t="s">
        <v>40</v>
      </c>
      <c r="AC719" s="736"/>
      <c r="AD719" s="736"/>
      <c r="AE719" s="1522">
        <v>46203</v>
      </c>
      <c r="AF719" s="735" t="s">
        <v>65</v>
      </c>
      <c r="AG719" s="1068">
        <v>2026</v>
      </c>
      <c r="AH719" s="726">
        <f>AH720+AH721</f>
        <v>372500</v>
      </c>
      <c r="AI719" s="727"/>
      <c r="AJ719" s="728"/>
      <c r="AK719" s="1069" t="s">
        <v>43</v>
      </c>
      <c r="AL719" s="722" t="s">
        <v>41</v>
      </c>
      <c r="AM719" s="730">
        <v>0</v>
      </c>
      <c r="AN719" s="731" t="s">
        <v>40</v>
      </c>
      <c r="AO719" s="104"/>
      <c r="AP719" s="104"/>
      <c r="AQ719" s="104"/>
      <c r="AR719" s="104"/>
      <c r="AS719" s="104"/>
      <c r="AT719" s="358"/>
      <c r="AU719" s="102"/>
      <c r="AV719" s="102"/>
      <c r="AW719" s="102"/>
      <c r="AX719" s="102"/>
      <c r="AY719" s="102"/>
      <c r="AZ719" s="102"/>
      <c r="BA719" s="102"/>
      <c r="BB719" s="102"/>
      <c r="BC719" s="102"/>
      <c r="BD719" s="102"/>
      <c r="BE719" s="102"/>
      <c r="BF719" s="102"/>
      <c r="BG719" s="102"/>
      <c r="BH719" s="102"/>
      <c r="BI719" s="102"/>
      <c r="BJ719" s="102"/>
      <c r="BK719" s="102"/>
      <c r="BL719" s="102"/>
      <c r="BM719" s="102"/>
      <c r="BN719" s="102"/>
      <c r="BO719" s="102"/>
      <c r="BP719" s="102"/>
      <c r="BQ719" s="102"/>
      <c r="BR719" s="102"/>
      <c r="BS719" s="102"/>
      <c r="BT719" s="102"/>
      <c r="BU719" s="102"/>
      <c r="BV719" s="102"/>
      <c r="BW719" s="102"/>
      <c r="BX719" s="102"/>
      <c r="BY719" s="102"/>
      <c r="BZ719" s="102"/>
      <c r="CA719" s="102"/>
      <c r="CB719" s="102"/>
      <c r="CC719" s="102"/>
      <c r="CD719" s="102"/>
      <c r="CE719" s="102"/>
      <c r="CF719" s="102"/>
      <c r="CG719" s="102"/>
      <c r="CH719" s="102"/>
      <c r="CI719" s="102"/>
      <c r="CJ719" s="102"/>
      <c r="CK719" s="102"/>
      <c r="CL719" s="102"/>
      <c r="CM719" s="102"/>
      <c r="CN719" s="102"/>
      <c r="CO719" s="102"/>
      <c r="CP719" s="102"/>
      <c r="CQ719" s="102"/>
      <c r="CR719" s="102"/>
      <c r="CS719" s="102"/>
      <c r="CT719" s="102"/>
      <c r="CU719" s="102"/>
      <c r="CV719" s="102"/>
      <c r="CW719" s="102"/>
      <c r="CX719" s="102"/>
      <c r="CY719" s="102"/>
      <c r="CZ719" s="102"/>
      <c r="DA719" s="102"/>
      <c r="DB719" s="102"/>
      <c r="DC719" s="102"/>
      <c r="DD719" s="102"/>
      <c r="DE719" s="102"/>
      <c r="DF719" s="102"/>
      <c r="DG719" s="102"/>
      <c r="DH719" s="102"/>
      <c r="DI719" s="102"/>
      <c r="DJ719" s="102"/>
      <c r="DK719" s="102"/>
      <c r="DL719" s="102"/>
      <c r="DM719" s="102"/>
      <c r="DN719" s="102"/>
      <c r="DO719" s="102"/>
      <c r="DP719" s="102"/>
      <c r="DQ719" s="102"/>
      <c r="DR719" s="102"/>
      <c r="DS719" s="102"/>
      <c r="DT719" s="102"/>
      <c r="DU719" s="102"/>
      <c r="DV719" s="102"/>
      <c r="DW719" s="102"/>
      <c r="DX719" s="102"/>
      <c r="DY719" s="102"/>
    </row>
    <row r="720" spans="1:130" s="365" customFormat="1" ht="35.4" customHeight="1" thickBot="1" x14ac:dyDescent="0.35">
      <c r="A720" s="100" t="s">
        <v>264</v>
      </c>
      <c r="B720" s="166" t="s">
        <v>1412</v>
      </c>
      <c r="C720" s="1070" t="s">
        <v>1416</v>
      </c>
      <c r="D720" s="166" t="s">
        <v>34</v>
      </c>
      <c r="E720" s="166">
        <v>38</v>
      </c>
      <c r="F720" s="166"/>
      <c r="G720" s="166"/>
      <c r="H720" s="1738">
        <v>22088.35</v>
      </c>
      <c r="I720" s="166" t="s">
        <v>36</v>
      </c>
      <c r="J720" s="425">
        <v>22088.35</v>
      </c>
      <c r="K720" s="1605">
        <v>22088.35</v>
      </c>
      <c r="L720" s="1605">
        <v>22088.35</v>
      </c>
      <c r="M720" s="175" t="s">
        <v>351</v>
      </c>
      <c r="N720" s="175" t="s">
        <v>351</v>
      </c>
      <c r="O720" s="172" t="s">
        <v>1414</v>
      </c>
      <c r="P720" s="175" t="s">
        <v>40</v>
      </c>
      <c r="Q720" s="174"/>
      <c r="R720" s="175" t="s">
        <v>40</v>
      </c>
      <c r="S720" s="174"/>
      <c r="T720" s="175" t="s">
        <v>40</v>
      </c>
      <c r="U720" s="174"/>
      <c r="V720" s="1739" t="s">
        <v>3945</v>
      </c>
      <c r="W720" s="174">
        <v>45169</v>
      </c>
      <c r="X720" s="1739" t="s">
        <v>64</v>
      </c>
      <c r="Y720" s="174"/>
      <c r="Z720" s="175" t="s">
        <v>40</v>
      </c>
      <c r="AA720" s="174"/>
      <c r="AB720" s="175" t="s">
        <v>40</v>
      </c>
      <c r="AC720" s="174"/>
      <c r="AD720" s="1729" t="s">
        <v>3946</v>
      </c>
      <c r="AE720" s="1730" t="s">
        <v>3947</v>
      </c>
      <c r="AF720" s="172" t="s">
        <v>65</v>
      </c>
      <c r="AG720" s="1071">
        <v>2026</v>
      </c>
      <c r="AH720" s="426">
        <v>110000</v>
      </c>
      <c r="AI720" s="1716" t="s">
        <v>3948</v>
      </c>
      <c r="AJ720" s="1717" t="s">
        <v>3945</v>
      </c>
      <c r="AK720" s="1734" t="s">
        <v>77</v>
      </c>
      <c r="AL720" s="1735" t="s">
        <v>40</v>
      </c>
      <c r="AM720" s="181">
        <v>1</v>
      </c>
      <c r="AN720" s="182" t="s">
        <v>40</v>
      </c>
      <c r="AO720" s="104"/>
      <c r="AP720" s="104"/>
      <c r="AQ720" s="104"/>
      <c r="AR720" s="104"/>
      <c r="AS720" s="104"/>
      <c r="AT720" s="358"/>
      <c r="AU720" s="102"/>
      <c r="AV720" s="102"/>
      <c r="AW720" s="102"/>
      <c r="AX720" s="102"/>
      <c r="AY720" s="102"/>
      <c r="AZ720" s="102"/>
      <c r="BA720" s="102"/>
      <c r="BB720" s="102"/>
      <c r="BC720" s="102"/>
      <c r="BD720" s="102"/>
      <c r="BE720" s="102"/>
      <c r="BF720" s="102"/>
      <c r="BG720" s="102"/>
      <c r="BH720" s="102"/>
      <c r="BI720" s="102"/>
      <c r="BJ720" s="102"/>
      <c r="BK720" s="102"/>
      <c r="BL720" s="102"/>
      <c r="BM720" s="102"/>
      <c r="BN720" s="102"/>
      <c r="BO720" s="102"/>
      <c r="BP720" s="102"/>
      <c r="BQ720" s="102"/>
      <c r="BR720" s="102"/>
      <c r="BS720" s="102"/>
      <c r="BT720" s="102"/>
      <c r="BU720" s="102"/>
      <c r="BV720" s="102"/>
      <c r="BW720" s="102"/>
      <c r="BX720" s="102"/>
      <c r="BY720" s="102"/>
      <c r="BZ720" s="102"/>
      <c r="CA720" s="102"/>
      <c r="CB720" s="102"/>
      <c r="CC720" s="102"/>
      <c r="CD720" s="102"/>
      <c r="CE720" s="102"/>
      <c r="CF720" s="102"/>
      <c r="CG720" s="102"/>
      <c r="CH720" s="102"/>
      <c r="CI720" s="102"/>
      <c r="CJ720" s="102"/>
      <c r="CK720" s="102"/>
      <c r="CL720" s="102"/>
      <c r="CM720" s="102"/>
      <c r="CN720" s="102"/>
      <c r="CO720" s="102"/>
      <c r="CP720" s="102"/>
      <c r="CQ720" s="102"/>
      <c r="CR720" s="102"/>
      <c r="CS720" s="102"/>
      <c r="CT720" s="102"/>
      <c r="CU720" s="102"/>
      <c r="CV720" s="102"/>
      <c r="CW720" s="102"/>
      <c r="CX720" s="102"/>
      <c r="CY720" s="102"/>
      <c r="CZ720" s="102"/>
      <c r="DA720" s="102"/>
      <c r="DB720" s="102"/>
      <c r="DC720" s="102"/>
      <c r="DD720" s="102"/>
      <c r="DE720" s="102"/>
      <c r="DF720" s="102"/>
      <c r="DG720" s="102"/>
      <c r="DH720" s="102"/>
      <c r="DI720" s="102"/>
      <c r="DJ720" s="102"/>
      <c r="DK720" s="102"/>
      <c r="DL720" s="102"/>
      <c r="DM720" s="102"/>
      <c r="DN720" s="102"/>
      <c r="DO720" s="102"/>
      <c r="DP720" s="102"/>
      <c r="DQ720" s="102"/>
      <c r="DR720" s="102"/>
      <c r="DS720" s="102"/>
      <c r="DT720" s="102"/>
      <c r="DU720" s="102"/>
      <c r="DV720" s="102"/>
      <c r="DW720" s="102"/>
      <c r="DX720" s="102"/>
      <c r="DY720" s="102"/>
    </row>
    <row r="721" spans="1:129" s="1387" customFormat="1" ht="47.4" customHeight="1" thickBot="1" x14ac:dyDescent="0.35">
      <c r="A721" s="1742" t="s">
        <v>264</v>
      </c>
      <c r="B721" s="1735" t="s">
        <v>1417</v>
      </c>
      <c r="C721" s="1743" t="s">
        <v>3941</v>
      </c>
      <c r="D721" s="1735" t="s">
        <v>34</v>
      </c>
      <c r="E721" s="1735">
        <v>38</v>
      </c>
      <c r="F721" s="1735"/>
      <c r="G721" s="1735"/>
      <c r="H721" s="1738">
        <v>52710.84</v>
      </c>
      <c r="I721" s="1735" t="s">
        <v>36</v>
      </c>
      <c r="J721" s="1738">
        <v>52710.84</v>
      </c>
      <c r="K721" s="1738">
        <v>1380.52</v>
      </c>
      <c r="L721" s="1738">
        <v>1380.52</v>
      </c>
      <c r="M721" s="1739" t="s">
        <v>351</v>
      </c>
      <c r="N721" s="1739" t="s">
        <v>351</v>
      </c>
      <c r="O721" s="1377" t="s">
        <v>1414</v>
      </c>
      <c r="P721" s="1739" t="s">
        <v>40</v>
      </c>
      <c r="Q721" s="1729"/>
      <c r="R721" s="1739" t="s">
        <v>40</v>
      </c>
      <c r="S721" s="1729"/>
      <c r="T721" s="1739" t="s">
        <v>40</v>
      </c>
      <c r="U721" s="1729"/>
      <c r="V721" s="1739" t="s">
        <v>3942</v>
      </c>
      <c r="W721" s="1729">
        <v>45169</v>
      </c>
      <c r="X721" s="1744" t="s">
        <v>64</v>
      </c>
      <c r="Y721" s="1745"/>
      <c r="Z721" s="1744" t="s">
        <v>40</v>
      </c>
      <c r="AA721" s="1745"/>
      <c r="AB721" s="1744" t="s">
        <v>40</v>
      </c>
      <c r="AC721" s="1745"/>
      <c r="AD721" s="1745" t="s">
        <v>3943</v>
      </c>
      <c r="AE721" s="1730" t="s">
        <v>3935</v>
      </c>
      <c r="AF721" s="1377" t="s">
        <v>65</v>
      </c>
      <c r="AG721" s="1714">
        <v>2026</v>
      </c>
      <c r="AH721" s="1715">
        <v>262500</v>
      </c>
      <c r="AI721" s="1716" t="s">
        <v>3944</v>
      </c>
      <c r="AJ721" s="1717" t="s">
        <v>3942</v>
      </c>
      <c r="AK721" s="1718" t="s">
        <v>43</v>
      </c>
      <c r="AL721" s="1735" t="s">
        <v>40</v>
      </c>
      <c r="AM721" s="1741"/>
      <c r="AN721" s="1746" t="s">
        <v>40</v>
      </c>
      <c r="AO721" s="1414"/>
      <c r="AP721" s="1414"/>
      <c r="AQ721" s="1414"/>
      <c r="AR721" s="1414"/>
      <c r="AS721" s="1414"/>
      <c r="AT721" s="1592"/>
      <c r="AU721" s="1381"/>
      <c r="AV721" s="1381"/>
      <c r="AW721" s="1381"/>
      <c r="AX721" s="1381"/>
      <c r="AY721" s="1381"/>
      <c r="AZ721" s="1381"/>
      <c r="BA721" s="1381"/>
      <c r="BB721" s="1381"/>
      <c r="BC721" s="1381"/>
      <c r="BD721" s="1381"/>
      <c r="BE721" s="1381"/>
      <c r="BF721" s="1381"/>
      <c r="BG721" s="1381"/>
      <c r="BH721" s="1381"/>
      <c r="BI721" s="1381"/>
      <c r="BJ721" s="1381"/>
      <c r="BK721" s="1381"/>
      <c r="BL721" s="1381"/>
      <c r="BM721" s="1381"/>
      <c r="BN721" s="1381"/>
      <c r="BO721" s="1381"/>
      <c r="BP721" s="1381"/>
      <c r="BQ721" s="1381"/>
      <c r="BR721" s="1381"/>
      <c r="BS721" s="1381"/>
      <c r="BT721" s="1381"/>
      <c r="BU721" s="1381"/>
      <c r="BV721" s="1381"/>
      <c r="BW721" s="1381"/>
      <c r="BX721" s="1381"/>
      <c r="BY721" s="1381"/>
      <c r="BZ721" s="1381"/>
      <c r="CA721" s="1381"/>
      <c r="CB721" s="1381"/>
      <c r="CC721" s="1381"/>
      <c r="CD721" s="1381"/>
      <c r="CE721" s="1381"/>
      <c r="CF721" s="1381"/>
      <c r="CG721" s="1381"/>
      <c r="CH721" s="1381"/>
      <c r="CI721" s="1381"/>
      <c r="CJ721" s="1381"/>
      <c r="CK721" s="1381"/>
      <c r="CL721" s="1381"/>
      <c r="CM721" s="1381"/>
      <c r="CN721" s="1381"/>
      <c r="CO721" s="1381"/>
      <c r="CP721" s="1381"/>
      <c r="CQ721" s="1381"/>
      <c r="CR721" s="1381"/>
      <c r="CS721" s="1381"/>
      <c r="CT721" s="1381"/>
      <c r="CU721" s="1381"/>
      <c r="CV721" s="1381"/>
      <c r="CW721" s="1381"/>
      <c r="CX721" s="1381"/>
      <c r="CY721" s="1381"/>
      <c r="CZ721" s="1381"/>
      <c r="DA721" s="1381"/>
      <c r="DB721" s="1381"/>
      <c r="DC721" s="1381"/>
      <c r="DD721" s="1381"/>
      <c r="DE721" s="1381"/>
      <c r="DF721" s="1381"/>
      <c r="DG721" s="1381"/>
      <c r="DH721" s="1381"/>
      <c r="DI721" s="1381"/>
      <c r="DJ721" s="1381"/>
      <c r="DK721" s="1381"/>
      <c r="DL721" s="1381"/>
      <c r="DM721" s="1381"/>
      <c r="DN721" s="1381"/>
      <c r="DO721" s="1381"/>
      <c r="DP721" s="1381"/>
      <c r="DQ721" s="1381"/>
      <c r="DR721" s="1381"/>
      <c r="DS721" s="1381"/>
      <c r="DT721" s="1381"/>
      <c r="DU721" s="1381"/>
      <c r="DV721" s="1381"/>
      <c r="DW721" s="1381"/>
      <c r="DX721" s="1381"/>
      <c r="DY721" s="1381"/>
    </row>
    <row r="722" spans="1:129" s="1387" customFormat="1" ht="47.4" customHeight="1" x14ac:dyDescent="0.3">
      <c r="A722" s="1742" t="s">
        <v>264</v>
      </c>
      <c r="B722" s="1735" t="s">
        <v>1417</v>
      </c>
      <c r="C722" s="1747" t="s">
        <v>3949</v>
      </c>
      <c r="D722" s="1735" t="s">
        <v>34</v>
      </c>
      <c r="E722" s="1735">
        <v>38</v>
      </c>
      <c r="F722" s="1735"/>
      <c r="G722" s="1735"/>
      <c r="H722" s="1738">
        <v>43734.94</v>
      </c>
      <c r="I722" s="1735" t="s">
        <v>36</v>
      </c>
      <c r="J722" s="1738">
        <v>43734.94</v>
      </c>
      <c r="K722" s="1738">
        <v>0</v>
      </c>
      <c r="L722" s="1738">
        <v>0</v>
      </c>
      <c r="M722" s="1739" t="s">
        <v>351</v>
      </c>
      <c r="N722" s="1739" t="s">
        <v>351</v>
      </c>
      <c r="O722" s="1377" t="s">
        <v>1414</v>
      </c>
      <c r="P722" s="1739" t="s">
        <v>40</v>
      </c>
      <c r="Q722" s="1729"/>
      <c r="R722" s="1739" t="s">
        <v>40</v>
      </c>
      <c r="S722" s="1729"/>
      <c r="T722" s="1739" t="s">
        <v>40</v>
      </c>
      <c r="U722" s="1729"/>
      <c r="V722" s="1739" t="s">
        <v>3950</v>
      </c>
      <c r="W722" s="1729"/>
      <c r="X722" s="1744" t="s">
        <v>64</v>
      </c>
      <c r="Y722" s="1745"/>
      <c r="Z722" s="1744" t="s">
        <v>40</v>
      </c>
      <c r="AA722" s="1745"/>
      <c r="AB722" s="1744" t="s">
        <v>40</v>
      </c>
      <c r="AC722" s="1745"/>
      <c r="AD722" s="1745" t="s">
        <v>3951</v>
      </c>
      <c r="AE722" s="1730" t="s">
        <v>1482</v>
      </c>
      <c r="AF722" s="1377"/>
      <c r="AG722" s="1714"/>
      <c r="AH722" s="1715">
        <v>217800</v>
      </c>
      <c r="AI722" s="1716" t="s">
        <v>3952</v>
      </c>
      <c r="AJ722" s="1717" t="s">
        <v>3950</v>
      </c>
      <c r="AK722" s="1718" t="s">
        <v>43</v>
      </c>
      <c r="AL722" s="1735" t="s">
        <v>40</v>
      </c>
      <c r="AM722" s="1741"/>
      <c r="AN722" s="1746" t="s">
        <v>40</v>
      </c>
      <c r="AO722" s="1414"/>
      <c r="AP722" s="1414"/>
      <c r="AQ722" s="1414"/>
      <c r="AR722" s="1414"/>
      <c r="AS722" s="1414"/>
      <c r="AT722" s="1592"/>
      <c r="AU722" s="1381"/>
      <c r="AV722" s="1381"/>
      <c r="AW722" s="1381"/>
      <c r="AX722" s="1381"/>
      <c r="AY722" s="1381"/>
      <c r="AZ722" s="1381"/>
      <c r="BA722" s="1381"/>
      <c r="BB722" s="1381"/>
      <c r="BC722" s="1381"/>
      <c r="BD722" s="1381"/>
      <c r="BE722" s="1381"/>
      <c r="BF722" s="1381"/>
      <c r="BG722" s="1381"/>
      <c r="BH722" s="1381"/>
      <c r="BI722" s="1381"/>
      <c r="BJ722" s="1381"/>
      <c r="BK722" s="1381"/>
      <c r="BL722" s="1381"/>
      <c r="BM722" s="1381"/>
      <c r="BN722" s="1381"/>
      <c r="BO722" s="1381"/>
      <c r="BP722" s="1381"/>
      <c r="BQ722" s="1381"/>
      <c r="BR722" s="1381"/>
      <c r="BS722" s="1381"/>
      <c r="BT722" s="1381"/>
      <c r="BU722" s="1381"/>
      <c r="BV722" s="1381"/>
      <c r="BW722" s="1381"/>
      <c r="BX722" s="1381"/>
      <c r="BY722" s="1381"/>
      <c r="BZ722" s="1381"/>
      <c r="CA722" s="1381"/>
      <c r="CB722" s="1381"/>
      <c r="CC722" s="1381"/>
      <c r="CD722" s="1381"/>
      <c r="CE722" s="1381"/>
      <c r="CF722" s="1381"/>
      <c r="CG722" s="1381"/>
      <c r="CH722" s="1381"/>
      <c r="CI722" s="1381"/>
      <c r="CJ722" s="1381"/>
      <c r="CK722" s="1381"/>
      <c r="CL722" s="1381"/>
      <c r="CM722" s="1381"/>
      <c r="CN722" s="1381"/>
      <c r="CO722" s="1381"/>
      <c r="CP722" s="1381"/>
      <c r="CQ722" s="1381"/>
      <c r="CR722" s="1381"/>
      <c r="CS722" s="1381"/>
      <c r="CT722" s="1381"/>
      <c r="CU722" s="1381"/>
      <c r="CV722" s="1381"/>
      <c r="CW722" s="1381"/>
      <c r="CX722" s="1381"/>
      <c r="CY722" s="1381"/>
      <c r="CZ722" s="1381"/>
      <c r="DA722" s="1381"/>
      <c r="DB722" s="1381"/>
      <c r="DC722" s="1381"/>
      <c r="DD722" s="1381"/>
      <c r="DE722" s="1381"/>
      <c r="DF722" s="1381"/>
      <c r="DG722" s="1381"/>
      <c r="DH722" s="1381"/>
      <c r="DI722" s="1381"/>
      <c r="DJ722" s="1381"/>
      <c r="DK722" s="1381"/>
      <c r="DL722" s="1381"/>
      <c r="DM722" s="1381"/>
      <c r="DN722" s="1381"/>
      <c r="DO722" s="1381"/>
      <c r="DP722" s="1381"/>
      <c r="DQ722" s="1381"/>
      <c r="DR722" s="1381"/>
      <c r="DS722" s="1381"/>
      <c r="DT722" s="1381"/>
      <c r="DU722" s="1381"/>
      <c r="DV722" s="1381"/>
      <c r="DW722" s="1381"/>
      <c r="DX722" s="1381"/>
      <c r="DY722" s="1381"/>
    </row>
    <row r="723" spans="1:129" s="138" customFormat="1" ht="58.2" customHeight="1" x14ac:dyDescent="0.3">
      <c r="A723" s="1072" t="s">
        <v>264</v>
      </c>
      <c r="B723" s="1030" t="s">
        <v>1418</v>
      </c>
      <c r="C723" s="1059" t="s">
        <v>1419</v>
      </c>
      <c r="D723" s="1030" t="s">
        <v>34</v>
      </c>
      <c r="E723" s="1030">
        <v>39</v>
      </c>
      <c r="F723" s="1030" t="s">
        <v>1420</v>
      </c>
      <c r="G723" s="1030">
        <v>1</v>
      </c>
      <c r="H723" s="1043">
        <v>10000000</v>
      </c>
      <c r="I723" s="1073" t="s">
        <v>36</v>
      </c>
      <c r="J723" s="1043">
        <v>10000000</v>
      </c>
      <c r="K723" s="1631">
        <f>K725</f>
        <v>1890298.52</v>
      </c>
      <c r="L723" s="1631">
        <f>L725</f>
        <v>1890298.52</v>
      </c>
      <c r="M723" s="1881" t="s">
        <v>1421</v>
      </c>
      <c r="N723" s="1881"/>
      <c r="O723" s="1060" t="s">
        <v>1422</v>
      </c>
      <c r="P723" s="1060" t="s">
        <v>41</v>
      </c>
      <c r="Q723" s="1023">
        <v>45107</v>
      </c>
      <c r="R723" s="1060" t="s">
        <v>41</v>
      </c>
      <c r="S723" s="1023">
        <v>45107</v>
      </c>
      <c r="T723" s="1060" t="s">
        <v>40</v>
      </c>
      <c r="U723" s="1023" t="s">
        <v>40</v>
      </c>
      <c r="V723" s="1060" t="s">
        <v>41</v>
      </c>
      <c r="W723" s="1023">
        <v>45169</v>
      </c>
      <c r="X723" s="1060" t="s">
        <v>41</v>
      </c>
      <c r="Y723" s="1023">
        <v>45230</v>
      </c>
      <c r="Z723" s="1060" t="s">
        <v>40</v>
      </c>
      <c r="AA723" s="1023"/>
      <c r="AB723" s="1060" t="s">
        <v>40</v>
      </c>
      <c r="AC723" s="1023"/>
      <c r="AD723" s="1023"/>
      <c r="AE723" s="1543">
        <v>45473</v>
      </c>
      <c r="AF723" s="1060" t="s">
        <v>42</v>
      </c>
      <c r="AG723" s="880">
        <v>2025</v>
      </c>
      <c r="AH723" s="1061">
        <f>AH724</f>
        <v>9413689.8386000004</v>
      </c>
      <c r="AI723" s="882"/>
      <c r="AJ723" s="1062"/>
      <c r="AK723" s="1063" t="s">
        <v>43</v>
      </c>
      <c r="AL723" s="1030" t="s">
        <v>41</v>
      </c>
      <c r="AM723" s="1064">
        <v>0</v>
      </c>
      <c r="AN723" s="1065" t="s">
        <v>40</v>
      </c>
      <c r="AO723" s="104"/>
      <c r="AP723" s="104"/>
      <c r="AQ723" s="104"/>
      <c r="AR723" s="104"/>
      <c r="AS723" s="104"/>
      <c r="AT723" s="358"/>
      <c r="AU723" s="102"/>
      <c r="AV723" s="102"/>
      <c r="AW723" s="102"/>
      <c r="AX723" s="102"/>
      <c r="AY723" s="102"/>
      <c r="AZ723" s="102"/>
      <c r="BA723" s="102"/>
      <c r="BB723" s="102"/>
      <c r="BC723" s="102"/>
      <c r="BD723" s="102"/>
      <c r="BE723" s="102"/>
      <c r="BF723" s="102"/>
      <c r="BG723" s="102"/>
      <c r="BH723" s="102"/>
      <c r="BI723" s="102"/>
      <c r="BJ723" s="102"/>
      <c r="BK723" s="102"/>
      <c r="BL723" s="102"/>
      <c r="BM723" s="102"/>
      <c r="BN723" s="102"/>
      <c r="BO723" s="102"/>
      <c r="BP723" s="102"/>
      <c r="BQ723" s="102"/>
      <c r="BR723" s="102"/>
      <c r="BS723" s="102"/>
      <c r="BT723" s="102"/>
      <c r="BU723" s="102"/>
      <c r="BV723" s="102"/>
      <c r="BW723" s="102"/>
      <c r="BX723" s="102"/>
      <c r="BY723" s="102"/>
      <c r="BZ723" s="102"/>
      <c r="CA723" s="102"/>
      <c r="CB723" s="102"/>
      <c r="CC723" s="102"/>
      <c r="CD723" s="102"/>
      <c r="CE723" s="102"/>
      <c r="CF723" s="102"/>
      <c r="CG723" s="102"/>
      <c r="CH723" s="102"/>
      <c r="CI723" s="102"/>
      <c r="CJ723" s="102"/>
      <c r="CK723" s="102"/>
      <c r="CL723" s="102"/>
      <c r="CM723" s="102"/>
      <c r="CN723" s="102"/>
      <c r="CO723" s="102"/>
      <c r="CP723" s="102"/>
      <c r="CQ723" s="102"/>
      <c r="CR723" s="102"/>
      <c r="CS723" s="102"/>
      <c r="CT723" s="102"/>
      <c r="CU723" s="102"/>
      <c r="CV723" s="102"/>
      <c r="CW723" s="102"/>
      <c r="CX723" s="102"/>
      <c r="CY723" s="102"/>
      <c r="CZ723" s="102"/>
      <c r="DA723" s="102"/>
      <c r="DB723" s="102"/>
      <c r="DC723" s="102"/>
      <c r="DD723" s="102"/>
      <c r="DE723" s="102"/>
      <c r="DF723" s="102"/>
      <c r="DG723" s="102"/>
      <c r="DH723" s="102"/>
      <c r="DI723" s="102"/>
      <c r="DJ723" s="102"/>
      <c r="DK723" s="102"/>
      <c r="DL723" s="102"/>
      <c r="DM723" s="102"/>
      <c r="DN723" s="102"/>
      <c r="DO723" s="102"/>
      <c r="DP723" s="102"/>
      <c r="DQ723" s="102"/>
      <c r="DR723" s="102"/>
      <c r="DS723" s="102"/>
      <c r="DT723" s="102"/>
      <c r="DU723" s="102"/>
      <c r="DV723" s="102"/>
      <c r="DW723" s="102"/>
      <c r="DX723" s="102"/>
      <c r="DY723" s="102"/>
    </row>
    <row r="724" spans="1:129" s="138" customFormat="1" ht="58.2" customHeight="1" x14ac:dyDescent="0.3">
      <c r="A724" s="1074" t="s">
        <v>264</v>
      </c>
      <c r="B724" s="707" t="s">
        <v>1418</v>
      </c>
      <c r="C724" s="1075" t="s">
        <v>1423</v>
      </c>
      <c r="D724" s="707"/>
      <c r="E724" s="707">
        <v>39</v>
      </c>
      <c r="F724" s="707"/>
      <c r="G724" s="707">
        <v>1</v>
      </c>
      <c r="H724" s="1076">
        <v>10000000</v>
      </c>
      <c r="I724" s="1077" t="s">
        <v>36</v>
      </c>
      <c r="J724" s="1076">
        <v>10000000</v>
      </c>
      <c r="K724" s="1633">
        <f>K725</f>
        <v>1890298.52</v>
      </c>
      <c r="L724" s="1633">
        <f>L725</f>
        <v>1890298.52</v>
      </c>
      <c r="M724" s="1882" t="s">
        <v>1421</v>
      </c>
      <c r="N724" s="1882"/>
      <c r="O724" s="1078" t="s">
        <v>1422</v>
      </c>
      <c r="P724" s="1078" t="s">
        <v>41</v>
      </c>
      <c r="Q724" s="1079">
        <v>45107</v>
      </c>
      <c r="R724" s="1078" t="s">
        <v>41</v>
      </c>
      <c r="S724" s="1079">
        <v>45107</v>
      </c>
      <c r="T724" s="1078" t="s">
        <v>40</v>
      </c>
      <c r="U724" s="1079" t="s">
        <v>40</v>
      </c>
      <c r="V724" s="1078" t="s">
        <v>41</v>
      </c>
      <c r="W724" s="1079">
        <v>45169</v>
      </c>
      <c r="X724" s="1078" t="s">
        <v>41</v>
      </c>
      <c r="Y724" s="1079">
        <v>45230</v>
      </c>
      <c r="Z724" s="1078" t="s">
        <v>40</v>
      </c>
      <c r="AA724" s="1079"/>
      <c r="AB724" s="1078"/>
      <c r="AC724" s="1079"/>
      <c r="AD724" s="1079"/>
      <c r="AE724" s="1544">
        <v>45473</v>
      </c>
      <c r="AF724" s="1078" t="s">
        <v>42</v>
      </c>
      <c r="AG724" s="1080">
        <v>2025</v>
      </c>
      <c r="AH724" s="1081">
        <f>SUM(AH726:AH731)</f>
        <v>9413689.8386000004</v>
      </c>
      <c r="AI724" s="1082"/>
      <c r="AJ724" s="1083"/>
      <c r="AK724" s="1084" t="s">
        <v>43</v>
      </c>
      <c r="AL724" s="707" t="s">
        <v>41</v>
      </c>
      <c r="AM724" s="1085">
        <v>0</v>
      </c>
      <c r="AN724" s="1086" t="s">
        <v>40</v>
      </c>
      <c r="AO724" s="104"/>
      <c r="AP724" s="104"/>
      <c r="AQ724" s="104"/>
      <c r="AR724" s="104"/>
      <c r="AS724" s="104"/>
      <c r="AT724" s="358"/>
      <c r="AU724" s="102"/>
      <c r="AV724" s="102"/>
      <c r="AW724" s="102"/>
      <c r="AX724" s="102"/>
      <c r="AY724" s="102"/>
      <c r="AZ724" s="102"/>
      <c r="BA724" s="102"/>
      <c r="BB724" s="102"/>
      <c r="BC724" s="102"/>
      <c r="BD724" s="102"/>
      <c r="BE724" s="102"/>
      <c r="BF724" s="102"/>
      <c r="BG724" s="102"/>
      <c r="BH724" s="102"/>
      <c r="BI724" s="102"/>
      <c r="BJ724" s="102"/>
      <c r="BK724" s="102"/>
      <c r="BL724" s="102"/>
      <c r="BM724" s="102"/>
      <c r="BN724" s="102"/>
      <c r="BO724" s="102"/>
      <c r="BP724" s="102"/>
      <c r="BQ724" s="102"/>
      <c r="BR724" s="102"/>
      <c r="BS724" s="102"/>
      <c r="BT724" s="102"/>
      <c r="BU724" s="102"/>
      <c r="BV724" s="102"/>
      <c r="BW724" s="102"/>
      <c r="BX724" s="102"/>
      <c r="BY724" s="102"/>
      <c r="BZ724" s="102"/>
      <c r="CA724" s="102"/>
      <c r="CB724" s="102"/>
      <c r="CC724" s="102"/>
      <c r="CD724" s="102"/>
      <c r="CE724" s="102"/>
      <c r="CF724" s="102"/>
      <c r="CG724" s="102"/>
      <c r="CH724" s="102"/>
      <c r="CI724" s="102"/>
      <c r="CJ724" s="102"/>
      <c r="CK724" s="102"/>
      <c r="CL724" s="102"/>
      <c r="CM724" s="102"/>
      <c r="CN724" s="102"/>
      <c r="CO724" s="102"/>
      <c r="CP724" s="102"/>
      <c r="CQ724" s="102"/>
      <c r="CR724" s="102"/>
      <c r="CS724" s="102"/>
      <c r="CT724" s="102"/>
      <c r="CU724" s="102"/>
      <c r="CV724" s="102"/>
      <c r="CW724" s="102"/>
      <c r="CX724" s="102"/>
      <c r="CY724" s="102"/>
      <c r="CZ724" s="102"/>
      <c r="DA724" s="102"/>
      <c r="DB724" s="102"/>
      <c r="DC724" s="102"/>
      <c r="DD724" s="102"/>
      <c r="DE724" s="102"/>
      <c r="DF724" s="102"/>
      <c r="DG724" s="102"/>
      <c r="DH724" s="102"/>
      <c r="DI724" s="102"/>
      <c r="DJ724" s="102"/>
      <c r="DK724" s="102"/>
      <c r="DL724" s="102"/>
      <c r="DM724" s="102"/>
      <c r="DN724" s="102"/>
      <c r="DO724" s="102"/>
      <c r="DP724" s="102"/>
      <c r="DQ724" s="102"/>
      <c r="DR724" s="102"/>
      <c r="DS724" s="102"/>
      <c r="DT724" s="102"/>
      <c r="DU724" s="102"/>
      <c r="DV724" s="102"/>
      <c r="DW724" s="102"/>
      <c r="DX724" s="102"/>
      <c r="DY724" s="102"/>
    </row>
    <row r="725" spans="1:129" s="359" customFormat="1" ht="41.4" customHeight="1" x14ac:dyDescent="0.3">
      <c r="A725" s="1067" t="s">
        <v>264</v>
      </c>
      <c r="B725" s="1031" t="s">
        <v>1418</v>
      </c>
      <c r="C725" s="723" t="s">
        <v>1423</v>
      </c>
      <c r="D725" s="722" t="s">
        <v>34</v>
      </c>
      <c r="E725" s="722">
        <v>39</v>
      </c>
      <c r="F725" s="722" t="s">
        <v>1420</v>
      </c>
      <c r="G725" s="735">
        <v>1</v>
      </c>
      <c r="H725" s="724">
        <f>SUM(H726:H731)</f>
        <v>1890298.51</v>
      </c>
      <c r="I725" s="722" t="s">
        <v>36</v>
      </c>
      <c r="J725" s="724">
        <f>SUM(J726:J731)</f>
        <v>1890298.51</v>
      </c>
      <c r="K725" s="1604">
        <f>SUM(K726:K731)</f>
        <v>1890298.52</v>
      </c>
      <c r="L725" s="1604">
        <f>SUM(L726:L731)</f>
        <v>1890298.52</v>
      </c>
      <c r="M725" s="1883" t="s">
        <v>1421</v>
      </c>
      <c r="N725" s="1883"/>
      <c r="O725" s="735" t="s">
        <v>1422</v>
      </c>
      <c r="P725" s="735" t="s">
        <v>41</v>
      </c>
      <c r="Q725" s="736">
        <v>45107</v>
      </c>
      <c r="R725" s="735" t="s">
        <v>41</v>
      </c>
      <c r="S725" s="736">
        <v>45107</v>
      </c>
      <c r="T725" s="735" t="s">
        <v>40</v>
      </c>
      <c r="U725" s="736"/>
      <c r="V725" s="735" t="s">
        <v>41</v>
      </c>
      <c r="W725" s="736">
        <v>45169</v>
      </c>
      <c r="X725" s="735" t="s">
        <v>41</v>
      </c>
      <c r="Y725" s="736">
        <v>45230</v>
      </c>
      <c r="Z725" s="735" t="s">
        <v>40</v>
      </c>
      <c r="AA725" s="736"/>
      <c r="AB725" s="735" t="s">
        <v>40</v>
      </c>
      <c r="AC725" s="736"/>
      <c r="AD725" s="736"/>
      <c r="AE725" s="1522">
        <v>45473</v>
      </c>
      <c r="AF725" s="735" t="s">
        <v>42</v>
      </c>
      <c r="AG725" s="1068">
        <v>2025</v>
      </c>
      <c r="AH725" s="726">
        <f>SUM(AH726:AH731)</f>
        <v>9413689.8386000004</v>
      </c>
      <c r="AI725" s="727"/>
      <c r="AJ725" s="728"/>
      <c r="AK725" s="1069" t="s">
        <v>43</v>
      </c>
      <c r="AL725" s="722" t="s">
        <v>41</v>
      </c>
      <c r="AM725" s="730">
        <v>0</v>
      </c>
      <c r="AN725" s="731" t="s">
        <v>40</v>
      </c>
      <c r="AO725" s="104"/>
      <c r="AP725" s="104"/>
      <c r="AQ725" s="104"/>
      <c r="AR725" s="104"/>
      <c r="AS725" s="104"/>
      <c r="AT725" s="358"/>
      <c r="AU725" s="102"/>
      <c r="AV725" s="102"/>
      <c r="AW725" s="102"/>
      <c r="AX725" s="102"/>
      <c r="AY725" s="102"/>
      <c r="AZ725" s="102"/>
      <c r="BA725" s="102"/>
      <c r="BB725" s="102"/>
      <c r="BC725" s="102"/>
      <c r="BD725" s="102"/>
      <c r="BE725" s="102"/>
      <c r="BF725" s="102"/>
      <c r="BG725" s="102"/>
      <c r="BH725" s="102"/>
      <c r="BI725" s="102"/>
      <c r="BJ725" s="102"/>
      <c r="BK725" s="102"/>
      <c r="BL725" s="102"/>
      <c r="BM725" s="102"/>
      <c r="BN725" s="102"/>
      <c r="BO725" s="102"/>
      <c r="BP725" s="102"/>
      <c r="BQ725" s="102"/>
      <c r="BR725" s="102"/>
      <c r="BS725" s="102"/>
      <c r="BT725" s="102"/>
      <c r="BU725" s="102"/>
      <c r="BV725" s="102"/>
      <c r="BW725" s="102"/>
      <c r="BX725" s="102"/>
      <c r="BY725" s="102"/>
      <c r="BZ725" s="102"/>
      <c r="CA725" s="102"/>
      <c r="CB725" s="102"/>
      <c r="CC725" s="102"/>
      <c r="CD725" s="102"/>
      <c r="CE725" s="102"/>
      <c r="CF725" s="102"/>
      <c r="CG725" s="102"/>
      <c r="CH725" s="102"/>
      <c r="CI725" s="102"/>
      <c r="CJ725" s="102"/>
      <c r="CK725" s="102"/>
      <c r="CL725" s="102"/>
      <c r="CM725" s="102"/>
      <c r="CN725" s="102"/>
      <c r="CO725" s="102"/>
      <c r="CP725" s="102"/>
      <c r="CQ725" s="102"/>
      <c r="CR725" s="102"/>
      <c r="CS725" s="102"/>
      <c r="CT725" s="102"/>
      <c r="CU725" s="102"/>
      <c r="CV725" s="102"/>
      <c r="CW725" s="102"/>
      <c r="CX725" s="102"/>
      <c r="CY725" s="102"/>
      <c r="CZ725" s="102"/>
      <c r="DA725" s="102"/>
      <c r="DB725" s="102"/>
      <c r="DC725" s="102"/>
      <c r="DD725" s="102"/>
      <c r="DE725" s="102"/>
      <c r="DF725" s="102"/>
      <c r="DG725" s="102"/>
      <c r="DH725" s="102"/>
      <c r="DI725" s="102"/>
      <c r="DJ725" s="102"/>
      <c r="DK725" s="102"/>
      <c r="DL725" s="102"/>
      <c r="DM725" s="102"/>
      <c r="DN725" s="102"/>
      <c r="DO725" s="102"/>
      <c r="DP725" s="102"/>
      <c r="DQ725" s="102"/>
      <c r="DR725" s="102"/>
      <c r="DS725" s="102"/>
      <c r="DT725" s="102"/>
      <c r="DU725" s="102"/>
      <c r="DV725" s="102"/>
      <c r="DW725" s="102"/>
      <c r="DX725" s="102"/>
      <c r="DY725" s="102"/>
    </row>
    <row r="726" spans="1:129" s="1087" customFormat="1" ht="52.95" customHeight="1" x14ac:dyDescent="0.3">
      <c r="A726" s="100" t="s">
        <v>264</v>
      </c>
      <c r="B726" s="223" t="s">
        <v>1418</v>
      </c>
      <c r="C726" s="423" t="s">
        <v>1424</v>
      </c>
      <c r="D726" s="223" t="s">
        <v>34</v>
      </c>
      <c r="E726" s="223">
        <v>39</v>
      </c>
      <c r="F726" s="223"/>
      <c r="G726" s="223">
        <v>1</v>
      </c>
      <c r="H726" s="432">
        <f>J726</f>
        <v>40160</v>
      </c>
      <c r="I726" s="223" t="s">
        <v>36</v>
      </c>
      <c r="J726" s="432">
        <v>40160</v>
      </c>
      <c r="K726" s="1606">
        <v>40160</v>
      </c>
      <c r="L726" s="1606">
        <f>K726</f>
        <v>40160</v>
      </c>
      <c r="M726" s="1873" t="s">
        <v>38</v>
      </c>
      <c r="N726" s="1873" t="s">
        <v>38</v>
      </c>
      <c r="O726" s="172" t="s">
        <v>1425</v>
      </c>
      <c r="P726" s="172" t="s">
        <v>41</v>
      </c>
      <c r="Q726" s="173"/>
      <c r="R726" s="172" t="s">
        <v>64</v>
      </c>
      <c r="S726" s="173"/>
      <c r="T726" s="172" t="s">
        <v>41</v>
      </c>
      <c r="U726" s="173"/>
      <c r="V726" s="172" t="s">
        <v>64</v>
      </c>
      <c r="W726" s="173"/>
      <c r="X726" s="172" t="s">
        <v>64</v>
      </c>
      <c r="Y726" s="173"/>
      <c r="Z726" s="172" t="s">
        <v>40</v>
      </c>
      <c r="AA726" s="173" t="s">
        <v>40</v>
      </c>
      <c r="AB726" s="172" t="s">
        <v>40</v>
      </c>
      <c r="AC726" s="173" t="s">
        <v>1426</v>
      </c>
      <c r="AD726" s="173" t="s">
        <v>1427</v>
      </c>
      <c r="AE726" s="1526" t="s">
        <v>1428</v>
      </c>
      <c r="AF726" s="172" t="s">
        <v>247</v>
      </c>
      <c r="AG726" s="1071">
        <v>2023</v>
      </c>
      <c r="AH726" s="426">
        <v>200000</v>
      </c>
      <c r="AI726" s="878" t="s">
        <v>1429</v>
      </c>
      <c r="AJ726" s="428" t="s">
        <v>1430</v>
      </c>
      <c r="AK726" s="222" t="s">
        <v>1431</v>
      </c>
      <c r="AL726" s="223" t="s">
        <v>41</v>
      </c>
      <c r="AM726" s="224">
        <v>0.19</v>
      </c>
      <c r="AN726" s="225" t="s">
        <v>1432</v>
      </c>
    </row>
    <row r="727" spans="1:129" s="1087" customFormat="1" ht="73.5" customHeight="1" x14ac:dyDescent="0.3">
      <c r="A727" s="100" t="s">
        <v>264</v>
      </c>
      <c r="B727" s="223" t="s">
        <v>1418</v>
      </c>
      <c r="C727" s="423" t="s">
        <v>1433</v>
      </c>
      <c r="D727" s="223" t="s">
        <v>34</v>
      </c>
      <c r="E727" s="223">
        <v>39</v>
      </c>
      <c r="F727" s="223"/>
      <c r="G727" s="223">
        <v>1</v>
      </c>
      <c r="H727" s="432">
        <f t="shared" ref="H727:H731" si="6">J727</f>
        <v>730100.4</v>
      </c>
      <c r="I727" s="223" t="s">
        <v>36</v>
      </c>
      <c r="J727" s="432">
        <v>730100.4</v>
      </c>
      <c r="K727" s="1606">
        <v>730100.4</v>
      </c>
      <c r="L727" s="1606">
        <f t="shared" ref="L727:L731" si="7">K727</f>
        <v>730100.4</v>
      </c>
      <c r="M727" s="1873" t="s">
        <v>38</v>
      </c>
      <c r="N727" s="1873" t="s">
        <v>38</v>
      </c>
      <c r="O727" s="172" t="s">
        <v>1425</v>
      </c>
      <c r="P727" s="172" t="s">
        <v>1434</v>
      </c>
      <c r="Q727" s="173" t="s">
        <v>40</v>
      </c>
      <c r="R727" s="172" t="s">
        <v>40</v>
      </c>
      <c r="S727" s="173" t="s">
        <v>40</v>
      </c>
      <c r="T727" s="172" t="s">
        <v>40</v>
      </c>
      <c r="U727" s="173" t="s">
        <v>40</v>
      </c>
      <c r="V727" s="172" t="s">
        <v>64</v>
      </c>
      <c r="W727" s="173"/>
      <c r="X727" s="172" t="s">
        <v>64</v>
      </c>
      <c r="Y727" s="173"/>
      <c r="Z727" s="172" t="s">
        <v>40</v>
      </c>
      <c r="AA727" s="173" t="s">
        <v>40</v>
      </c>
      <c r="AB727" s="172" t="s">
        <v>40</v>
      </c>
      <c r="AC727" s="173" t="s">
        <v>1426</v>
      </c>
      <c r="AD727" s="173" t="s">
        <v>1435</v>
      </c>
      <c r="AE727" s="1526" t="s">
        <v>1436</v>
      </c>
      <c r="AF727" s="172" t="s">
        <v>247</v>
      </c>
      <c r="AG727" s="1071">
        <v>2023</v>
      </c>
      <c r="AH727" s="426">
        <v>3635900</v>
      </c>
      <c r="AI727" s="878" t="s">
        <v>1437</v>
      </c>
      <c r="AJ727" s="428" t="s">
        <v>1438</v>
      </c>
      <c r="AK727" s="222" t="s">
        <v>43</v>
      </c>
      <c r="AL727" s="223" t="s">
        <v>41</v>
      </c>
      <c r="AM727" s="224">
        <v>0.1</v>
      </c>
      <c r="AN727" s="225" t="s">
        <v>40</v>
      </c>
    </row>
    <row r="728" spans="1:129" s="1087" customFormat="1" ht="53.4" customHeight="1" x14ac:dyDescent="0.3">
      <c r="A728" s="100" t="s">
        <v>264</v>
      </c>
      <c r="B728" s="223" t="s">
        <v>1418</v>
      </c>
      <c r="C728" s="423" t="s">
        <v>1439</v>
      </c>
      <c r="D728" s="223" t="s">
        <v>34</v>
      </c>
      <c r="E728" s="223">
        <v>39</v>
      </c>
      <c r="F728" s="223"/>
      <c r="G728" s="223">
        <v>1</v>
      </c>
      <c r="H728" s="432">
        <f t="shared" si="6"/>
        <v>75919.240000000005</v>
      </c>
      <c r="I728" s="223" t="s">
        <v>36</v>
      </c>
      <c r="J728" s="432">
        <v>75919.240000000005</v>
      </c>
      <c r="K728" s="1606">
        <v>75919.240000000005</v>
      </c>
      <c r="L728" s="1606">
        <f t="shared" si="7"/>
        <v>75919.240000000005</v>
      </c>
      <c r="M728" s="1873" t="s">
        <v>38</v>
      </c>
      <c r="N728" s="1873" t="s">
        <v>38</v>
      </c>
      <c r="O728" s="172" t="s">
        <v>1425</v>
      </c>
      <c r="P728" s="172" t="s">
        <v>1434</v>
      </c>
      <c r="Q728" s="173" t="s">
        <v>40</v>
      </c>
      <c r="R728" s="172" t="s">
        <v>40</v>
      </c>
      <c r="S728" s="173" t="s">
        <v>40</v>
      </c>
      <c r="T728" s="172" t="s">
        <v>40</v>
      </c>
      <c r="U728" s="173" t="s">
        <v>40</v>
      </c>
      <c r="V728" s="172" t="s">
        <v>64</v>
      </c>
      <c r="W728" s="173"/>
      <c r="X728" s="172" t="s">
        <v>64</v>
      </c>
      <c r="Y728" s="173"/>
      <c r="Z728" s="172" t="s">
        <v>40</v>
      </c>
      <c r="AA728" s="173" t="s">
        <v>40</v>
      </c>
      <c r="AB728" s="172" t="s">
        <v>40</v>
      </c>
      <c r="AC728" s="173" t="s">
        <v>1426</v>
      </c>
      <c r="AD728" s="1378" t="s">
        <v>3953</v>
      </c>
      <c r="AE728" s="1526" t="s">
        <v>1440</v>
      </c>
      <c r="AF728" s="172" t="s">
        <v>247</v>
      </c>
      <c r="AG728" s="1071">
        <v>2023</v>
      </c>
      <c r="AH728" s="426">
        <v>378077.84</v>
      </c>
      <c r="AI728" s="878" t="s">
        <v>1441</v>
      </c>
      <c r="AJ728" s="428" t="s">
        <v>1442</v>
      </c>
      <c r="AK728" s="222" t="s">
        <v>43</v>
      </c>
      <c r="AL728" s="223" t="s">
        <v>41</v>
      </c>
      <c r="AM728" s="224">
        <v>0.7</v>
      </c>
      <c r="AN728" s="225" t="s">
        <v>1443</v>
      </c>
    </row>
    <row r="729" spans="1:129" s="1087" customFormat="1" ht="57.6" x14ac:dyDescent="0.3">
      <c r="A729" s="100" t="s">
        <v>264</v>
      </c>
      <c r="B729" s="223" t="s">
        <v>1418</v>
      </c>
      <c r="C729" s="423" t="s">
        <v>1444</v>
      </c>
      <c r="D729" s="223" t="s">
        <v>34</v>
      </c>
      <c r="E729" s="223">
        <v>39</v>
      </c>
      <c r="F729" s="223"/>
      <c r="G729" s="223">
        <v>1</v>
      </c>
      <c r="H729" s="432">
        <f t="shared" si="6"/>
        <v>508032.12</v>
      </c>
      <c r="I729" s="223" t="s">
        <v>36</v>
      </c>
      <c r="J729" s="432">
        <v>508032.12</v>
      </c>
      <c r="K729" s="1606">
        <v>508032.13</v>
      </c>
      <c r="L729" s="1606">
        <f t="shared" si="7"/>
        <v>508032.13</v>
      </c>
      <c r="M729" s="1873" t="s">
        <v>38</v>
      </c>
      <c r="N729" s="1873" t="s">
        <v>38</v>
      </c>
      <c r="O729" s="172" t="s">
        <v>1425</v>
      </c>
      <c r="P729" s="172" t="s">
        <v>1434</v>
      </c>
      <c r="Q729" s="173" t="s">
        <v>40</v>
      </c>
      <c r="R729" s="172" t="s">
        <v>40</v>
      </c>
      <c r="S729" s="173" t="s">
        <v>40</v>
      </c>
      <c r="T729" s="172" t="s">
        <v>40</v>
      </c>
      <c r="U729" s="173" t="s">
        <v>40</v>
      </c>
      <c r="V729" s="172" t="s">
        <v>64</v>
      </c>
      <c r="W729" s="173"/>
      <c r="X729" s="172" t="s">
        <v>64</v>
      </c>
      <c r="Y729" s="173"/>
      <c r="Z729" s="172" t="s">
        <v>40</v>
      </c>
      <c r="AA729" s="173" t="s">
        <v>40</v>
      </c>
      <c r="AB729" s="172" t="s">
        <v>40</v>
      </c>
      <c r="AC729" s="173" t="s">
        <v>1426</v>
      </c>
      <c r="AD729" s="173" t="s">
        <v>1445</v>
      </c>
      <c r="AE729" s="1526" t="s">
        <v>1446</v>
      </c>
      <c r="AF729" s="172" t="s">
        <v>247</v>
      </c>
      <c r="AG729" s="1071">
        <v>2023</v>
      </c>
      <c r="AH729" s="426">
        <v>2530000</v>
      </c>
      <c r="AI729" s="878" t="s">
        <v>1447</v>
      </c>
      <c r="AJ729" s="428" t="s">
        <v>1448</v>
      </c>
      <c r="AK729" s="222" t="s">
        <v>1449</v>
      </c>
      <c r="AL729" s="223" t="s">
        <v>41</v>
      </c>
      <c r="AM729" s="224">
        <v>0</v>
      </c>
      <c r="AN729" s="225" t="s">
        <v>1450</v>
      </c>
    </row>
    <row r="730" spans="1:129" s="1087" customFormat="1" ht="46.95" customHeight="1" x14ac:dyDescent="0.3">
      <c r="A730" s="100" t="s">
        <v>264</v>
      </c>
      <c r="B730" s="223">
        <v>14.4</v>
      </c>
      <c r="C730" s="423" t="s">
        <v>1451</v>
      </c>
      <c r="D730" s="223"/>
      <c r="E730" s="223"/>
      <c r="F730" s="223"/>
      <c r="G730" s="223">
        <v>1</v>
      </c>
      <c r="H730" s="432">
        <f t="shared" si="6"/>
        <v>375444.18</v>
      </c>
      <c r="I730" s="223" t="s">
        <v>36</v>
      </c>
      <c r="J730" s="432">
        <v>375444.18</v>
      </c>
      <c r="K730" s="1606">
        <v>375444.18</v>
      </c>
      <c r="L730" s="1606">
        <f t="shared" si="7"/>
        <v>375444.18</v>
      </c>
      <c r="M730" s="172"/>
      <c r="N730" s="172"/>
      <c r="O730" s="172"/>
      <c r="P730" s="172"/>
      <c r="Q730" s="173"/>
      <c r="R730" s="172"/>
      <c r="S730" s="173"/>
      <c r="T730" s="172"/>
      <c r="U730" s="173"/>
      <c r="V730" s="172"/>
      <c r="W730" s="173"/>
      <c r="X730" s="172"/>
      <c r="Y730" s="173"/>
      <c r="Z730" s="172"/>
      <c r="AA730" s="173"/>
      <c r="AB730" s="172"/>
      <c r="AC730" s="173"/>
      <c r="AD730" s="173"/>
      <c r="AE730" s="1526" t="s">
        <v>3954</v>
      </c>
      <c r="AF730" s="172"/>
      <c r="AG730" s="1071"/>
      <c r="AH730" s="426">
        <v>1869712</v>
      </c>
      <c r="AI730" s="878" t="s">
        <v>1452</v>
      </c>
      <c r="AJ730" s="428" t="s">
        <v>1453</v>
      </c>
      <c r="AK730" s="222"/>
      <c r="AL730" s="223"/>
      <c r="AM730" s="224"/>
      <c r="AN730" s="225"/>
    </row>
    <row r="731" spans="1:129" s="1087" customFormat="1" ht="45.6" customHeight="1" x14ac:dyDescent="0.3">
      <c r="A731" s="100" t="s">
        <v>264</v>
      </c>
      <c r="B731" s="223" t="s">
        <v>1418</v>
      </c>
      <c r="C731" s="423" t="s">
        <v>1454</v>
      </c>
      <c r="D731" s="223" t="s">
        <v>34</v>
      </c>
      <c r="E731" s="223">
        <v>39</v>
      </c>
      <c r="F731" s="223"/>
      <c r="G731" s="223">
        <v>1</v>
      </c>
      <c r="H731" s="432">
        <f t="shared" si="6"/>
        <v>160642.57</v>
      </c>
      <c r="I731" s="223" t="s">
        <v>36</v>
      </c>
      <c r="J731" s="432">
        <v>160642.57</v>
      </c>
      <c r="K731" s="1606">
        <v>160642.57</v>
      </c>
      <c r="L731" s="1606">
        <f t="shared" si="7"/>
        <v>160642.57</v>
      </c>
      <c r="M731" s="1873" t="s">
        <v>38</v>
      </c>
      <c r="N731" s="1873" t="s">
        <v>38</v>
      </c>
      <c r="O731" s="172" t="s">
        <v>1425</v>
      </c>
      <c r="P731" s="172" t="s">
        <v>1434</v>
      </c>
      <c r="Q731" s="173" t="s">
        <v>40</v>
      </c>
      <c r="R731" s="172" t="s">
        <v>40</v>
      </c>
      <c r="S731" s="173" t="s">
        <v>40</v>
      </c>
      <c r="T731" s="172" t="s">
        <v>40</v>
      </c>
      <c r="U731" s="173" t="s">
        <v>40</v>
      </c>
      <c r="V731" s="172" t="s">
        <v>64</v>
      </c>
      <c r="W731" s="173"/>
      <c r="X731" s="172" t="s">
        <v>41</v>
      </c>
      <c r="Y731" s="173" t="s">
        <v>1455</v>
      </c>
      <c r="Z731" s="172" t="s">
        <v>40</v>
      </c>
      <c r="AA731" s="173" t="s">
        <v>40</v>
      </c>
      <c r="AB731" s="172" t="s">
        <v>40</v>
      </c>
      <c r="AC731" s="173" t="s">
        <v>1426</v>
      </c>
      <c r="AD731" s="173" t="s">
        <v>1456</v>
      </c>
      <c r="AE731" s="1526" t="s">
        <v>1457</v>
      </c>
      <c r="AF731" s="172" t="s">
        <v>247</v>
      </c>
      <c r="AG731" s="1071">
        <v>2023</v>
      </c>
      <c r="AH731" s="426">
        <v>799999.99860000005</v>
      </c>
      <c r="AI731" s="878" t="s">
        <v>1458</v>
      </c>
      <c r="AJ731" s="428" t="s">
        <v>1459</v>
      </c>
      <c r="AK731" s="222" t="s">
        <v>43</v>
      </c>
      <c r="AL731" s="223" t="s">
        <v>41</v>
      </c>
      <c r="AM731" s="224">
        <v>0</v>
      </c>
      <c r="AN731" s="225" t="s">
        <v>40</v>
      </c>
    </row>
    <row r="732" spans="1:129" s="590" customFormat="1" ht="34.950000000000003" customHeight="1" x14ac:dyDescent="0.3">
      <c r="A732" s="1088" t="s">
        <v>264</v>
      </c>
      <c r="B732" s="1030" t="s">
        <v>1460</v>
      </c>
      <c r="C732" s="1059" t="s">
        <v>1461</v>
      </c>
      <c r="D732" s="1030" t="s">
        <v>34</v>
      </c>
      <c r="E732" s="1030">
        <v>40</v>
      </c>
      <c r="F732" s="1030" t="s">
        <v>35</v>
      </c>
      <c r="G732" s="1030">
        <v>10</v>
      </c>
      <c r="H732" s="1043">
        <v>15000000</v>
      </c>
      <c r="I732" s="1030" t="s">
        <v>36</v>
      </c>
      <c r="J732" s="1043">
        <f>J733</f>
        <v>15000000</v>
      </c>
      <c r="K732" s="1631">
        <v>22088.35</v>
      </c>
      <c r="L732" s="1631">
        <v>22088.35</v>
      </c>
      <c r="M732" s="1060" t="s">
        <v>351</v>
      </c>
      <c r="N732" s="1060" t="s">
        <v>40</v>
      </c>
      <c r="O732" s="1060" t="s">
        <v>1414</v>
      </c>
      <c r="P732" s="1060" t="s">
        <v>41</v>
      </c>
      <c r="Q732" s="1023">
        <v>45444</v>
      </c>
      <c r="R732" s="1060" t="s">
        <v>41</v>
      </c>
      <c r="S732" s="1023">
        <v>45444</v>
      </c>
      <c r="T732" s="1060" t="s">
        <v>40</v>
      </c>
      <c r="U732" s="1023" t="s">
        <v>40</v>
      </c>
      <c r="V732" s="1060" t="s">
        <v>41</v>
      </c>
      <c r="W732" s="1023">
        <v>45078</v>
      </c>
      <c r="X732" s="1060" t="s">
        <v>41</v>
      </c>
      <c r="Y732" s="1023">
        <v>45078</v>
      </c>
      <c r="Z732" s="1060" t="s">
        <v>40</v>
      </c>
      <c r="AA732" s="1023"/>
      <c r="AB732" s="1060" t="s">
        <v>40</v>
      </c>
      <c r="AC732" s="1023"/>
      <c r="AD732" s="1023"/>
      <c r="AE732" s="1543">
        <v>46203</v>
      </c>
      <c r="AF732" s="1060" t="s">
        <v>65</v>
      </c>
      <c r="AG732" s="880">
        <v>2026</v>
      </c>
      <c r="AH732" s="881">
        <f>AH733</f>
        <v>344000</v>
      </c>
      <c r="AI732" s="1089"/>
      <c r="AJ732" s="1090"/>
      <c r="AK732" s="1063" t="s">
        <v>43</v>
      </c>
      <c r="AL732" s="1030" t="s">
        <v>41</v>
      </c>
      <c r="AM732" s="1064">
        <v>0</v>
      </c>
      <c r="AN732" s="1065" t="s">
        <v>40</v>
      </c>
      <c r="AO732" s="104"/>
      <c r="AP732" s="104"/>
      <c r="AQ732" s="104"/>
      <c r="AR732" s="104"/>
      <c r="AS732" s="104"/>
      <c r="AT732" s="358"/>
      <c r="AU732" s="102"/>
      <c r="AV732" s="102"/>
      <c r="AW732" s="102"/>
      <c r="AX732" s="102"/>
      <c r="AY732" s="102"/>
      <c r="AZ732" s="102"/>
      <c r="BA732" s="102"/>
      <c r="BB732" s="102"/>
      <c r="BC732" s="102"/>
      <c r="BD732" s="102"/>
      <c r="BE732" s="102"/>
      <c r="BF732" s="102"/>
      <c r="BG732" s="102"/>
      <c r="BH732" s="102"/>
      <c r="BI732" s="102"/>
      <c r="BJ732" s="102"/>
      <c r="BK732" s="102"/>
      <c r="BL732" s="102"/>
      <c r="BM732" s="102"/>
      <c r="BN732" s="102"/>
      <c r="BO732" s="102"/>
      <c r="BP732" s="102"/>
      <c r="BQ732" s="102"/>
      <c r="BR732" s="102"/>
      <c r="BS732" s="102"/>
      <c r="BT732" s="102"/>
      <c r="BU732" s="102"/>
      <c r="BV732" s="102"/>
      <c r="BW732" s="102"/>
      <c r="BX732" s="102"/>
      <c r="BY732" s="102"/>
      <c r="BZ732" s="102"/>
      <c r="CA732" s="102"/>
      <c r="CB732" s="102"/>
      <c r="CC732" s="102"/>
      <c r="CD732" s="102"/>
      <c r="CE732" s="102"/>
      <c r="CF732" s="102"/>
      <c r="CG732" s="102"/>
      <c r="CH732" s="102"/>
      <c r="CI732" s="102"/>
      <c r="CJ732" s="102"/>
      <c r="CK732" s="102"/>
      <c r="CL732" s="102"/>
      <c r="CM732" s="102"/>
      <c r="CN732" s="102"/>
      <c r="CO732" s="102"/>
      <c r="CP732" s="102"/>
      <c r="CQ732" s="102"/>
      <c r="CR732" s="102"/>
      <c r="CS732" s="102"/>
      <c r="CT732" s="102"/>
      <c r="CU732" s="102"/>
      <c r="CV732" s="102"/>
      <c r="CW732" s="102"/>
      <c r="CX732" s="102"/>
      <c r="CY732" s="102"/>
      <c r="CZ732" s="102"/>
      <c r="DA732" s="102"/>
      <c r="DB732" s="102"/>
      <c r="DC732" s="102"/>
      <c r="DD732" s="102"/>
      <c r="DE732" s="102"/>
      <c r="DF732" s="102"/>
      <c r="DG732" s="102"/>
      <c r="DH732" s="102"/>
      <c r="DI732" s="102"/>
      <c r="DJ732" s="102"/>
      <c r="DK732" s="102"/>
      <c r="DL732" s="102"/>
      <c r="DM732" s="102"/>
      <c r="DN732" s="102"/>
      <c r="DO732" s="102"/>
      <c r="DP732" s="102"/>
      <c r="DQ732" s="102"/>
      <c r="DR732" s="102"/>
      <c r="DS732" s="102"/>
      <c r="DT732" s="102"/>
      <c r="DU732" s="102"/>
      <c r="DV732" s="102"/>
      <c r="DW732" s="102"/>
      <c r="DX732" s="102"/>
      <c r="DY732" s="102"/>
    </row>
    <row r="733" spans="1:129" s="138" customFormat="1" ht="37.200000000000003" customHeight="1" x14ac:dyDescent="0.3">
      <c r="A733" s="1046" t="s">
        <v>264</v>
      </c>
      <c r="B733" s="707" t="s">
        <v>1460</v>
      </c>
      <c r="C733" s="1066" t="s">
        <v>1462</v>
      </c>
      <c r="D733" s="709" t="s">
        <v>34</v>
      </c>
      <c r="E733" s="709">
        <v>40</v>
      </c>
      <c r="F733" s="709" t="s">
        <v>35</v>
      </c>
      <c r="G733" s="709">
        <v>10</v>
      </c>
      <c r="H733" s="710">
        <v>15000000</v>
      </c>
      <c r="I733" s="709" t="s">
        <v>36</v>
      </c>
      <c r="J733" s="710">
        <v>15000000</v>
      </c>
      <c r="K733" s="1603">
        <v>0</v>
      </c>
      <c r="L733" s="1603">
        <f>L734</f>
        <v>22088</v>
      </c>
      <c r="M733" s="712" t="s">
        <v>351</v>
      </c>
      <c r="N733" s="712" t="s">
        <v>40</v>
      </c>
      <c r="O733" s="712" t="s">
        <v>1414</v>
      </c>
      <c r="P733" s="712" t="s">
        <v>41</v>
      </c>
      <c r="Q733" s="713">
        <v>45444</v>
      </c>
      <c r="R733" s="712" t="s">
        <v>41</v>
      </c>
      <c r="S733" s="713">
        <v>45444</v>
      </c>
      <c r="T733" s="712" t="s">
        <v>40</v>
      </c>
      <c r="U733" s="713" t="s">
        <v>40</v>
      </c>
      <c r="V733" s="712" t="s">
        <v>41</v>
      </c>
      <c r="W733" s="713">
        <v>45078</v>
      </c>
      <c r="X733" s="712" t="s">
        <v>41</v>
      </c>
      <c r="Y733" s="713">
        <v>45078</v>
      </c>
      <c r="Z733" s="712" t="s">
        <v>40</v>
      </c>
      <c r="AA733" s="713"/>
      <c r="AB733" s="712" t="s">
        <v>40</v>
      </c>
      <c r="AC733" s="713"/>
      <c r="AD733" s="713"/>
      <c r="AE733" s="1519">
        <v>46203</v>
      </c>
      <c r="AF733" s="712" t="s">
        <v>65</v>
      </c>
      <c r="AG733" s="877">
        <v>2026</v>
      </c>
      <c r="AH733" s="716">
        <f>AH734</f>
        <v>344000</v>
      </c>
      <c r="AI733" s="717"/>
      <c r="AJ733" s="718"/>
      <c r="AK733" s="719" t="s">
        <v>43</v>
      </c>
      <c r="AL733" s="709" t="s">
        <v>41</v>
      </c>
      <c r="AM733" s="720">
        <v>0</v>
      </c>
      <c r="AN733" s="721" t="s">
        <v>40</v>
      </c>
      <c r="AO733" s="104"/>
      <c r="AP733" s="104"/>
      <c r="AQ733" s="104"/>
      <c r="AR733" s="104"/>
      <c r="AS733" s="104"/>
      <c r="AT733" s="358"/>
      <c r="AU733" s="102"/>
      <c r="AV733" s="102"/>
      <c r="AW733" s="102"/>
      <c r="AX733" s="102"/>
      <c r="AY733" s="102"/>
      <c r="AZ733" s="102"/>
      <c r="BA733" s="102"/>
      <c r="BB733" s="102"/>
      <c r="BC733" s="102"/>
      <c r="BD733" s="102"/>
      <c r="BE733" s="102"/>
      <c r="BF733" s="102"/>
      <c r="BG733" s="102"/>
      <c r="BH733" s="102"/>
      <c r="BI733" s="102"/>
      <c r="BJ733" s="102"/>
      <c r="BK733" s="102"/>
      <c r="BL733" s="102"/>
      <c r="BM733" s="102"/>
      <c r="BN733" s="102"/>
      <c r="BO733" s="102"/>
      <c r="BP733" s="102"/>
      <c r="BQ733" s="102"/>
      <c r="BR733" s="102"/>
      <c r="BS733" s="102"/>
      <c r="BT733" s="102"/>
      <c r="BU733" s="102"/>
      <c r="BV733" s="102"/>
      <c r="BW733" s="102"/>
      <c r="BX733" s="102"/>
      <c r="BY733" s="102"/>
      <c r="BZ733" s="102"/>
      <c r="CA733" s="102"/>
      <c r="CB733" s="102"/>
      <c r="CC733" s="102"/>
      <c r="CD733" s="102"/>
      <c r="CE733" s="102"/>
      <c r="CF733" s="102"/>
      <c r="CG733" s="102"/>
      <c r="CH733" s="102"/>
      <c r="CI733" s="102"/>
      <c r="CJ733" s="102"/>
      <c r="CK733" s="102"/>
      <c r="CL733" s="102"/>
      <c r="CM733" s="102"/>
      <c r="CN733" s="102"/>
      <c r="CO733" s="102"/>
      <c r="CP733" s="102"/>
      <c r="CQ733" s="102"/>
      <c r="CR733" s="102"/>
      <c r="CS733" s="102"/>
      <c r="CT733" s="102"/>
      <c r="CU733" s="102"/>
      <c r="CV733" s="102"/>
      <c r="CW733" s="102"/>
      <c r="CX733" s="102"/>
      <c r="CY733" s="102"/>
      <c r="CZ733" s="102"/>
      <c r="DA733" s="102"/>
      <c r="DB733" s="102"/>
      <c r="DC733" s="102"/>
      <c r="DD733" s="102"/>
      <c r="DE733" s="102"/>
      <c r="DF733" s="102"/>
      <c r="DG733" s="102"/>
      <c r="DH733" s="102"/>
      <c r="DI733" s="102"/>
      <c r="DJ733" s="102"/>
      <c r="DK733" s="102"/>
      <c r="DL733" s="102"/>
      <c r="DM733" s="102"/>
      <c r="DN733" s="102"/>
      <c r="DO733" s="102"/>
      <c r="DP733" s="102"/>
      <c r="DQ733" s="102"/>
      <c r="DR733" s="102"/>
      <c r="DS733" s="102"/>
      <c r="DT733" s="102"/>
      <c r="DU733" s="102"/>
      <c r="DV733" s="102"/>
      <c r="DW733" s="102"/>
      <c r="DX733" s="102"/>
      <c r="DY733" s="102"/>
    </row>
    <row r="734" spans="1:129" s="365" customFormat="1" ht="46.2" customHeight="1" thickBot="1" x14ac:dyDescent="0.35">
      <c r="A734" s="1067" t="s">
        <v>264</v>
      </c>
      <c r="B734" s="1031" t="s">
        <v>1460</v>
      </c>
      <c r="C734" s="723" t="s">
        <v>1462</v>
      </c>
      <c r="D734" s="722" t="s">
        <v>34</v>
      </c>
      <c r="E734" s="722">
        <v>40</v>
      </c>
      <c r="F734" s="722" t="s">
        <v>35</v>
      </c>
      <c r="G734" s="722">
        <v>10</v>
      </c>
      <c r="H734" s="724">
        <f>SUM(H735:H736)</f>
        <v>69075.95</v>
      </c>
      <c r="I734" s="722" t="s">
        <v>36</v>
      </c>
      <c r="J734" s="724">
        <f>SUM(J735:J736)</f>
        <v>69075.95</v>
      </c>
      <c r="K734" s="1604">
        <v>0</v>
      </c>
      <c r="L734" s="1604">
        <f>L735+L736</f>
        <v>22088</v>
      </c>
      <c r="M734" s="735" t="s">
        <v>351</v>
      </c>
      <c r="N734" s="735" t="s">
        <v>40</v>
      </c>
      <c r="O734" s="735" t="s">
        <v>1414</v>
      </c>
      <c r="P734" s="735" t="s">
        <v>41</v>
      </c>
      <c r="Q734" s="736">
        <v>45444</v>
      </c>
      <c r="R734" s="735" t="s">
        <v>41</v>
      </c>
      <c r="S734" s="736">
        <v>45444</v>
      </c>
      <c r="T734" s="735" t="s">
        <v>40</v>
      </c>
      <c r="U734" s="736" t="s">
        <v>40</v>
      </c>
      <c r="V734" s="735" t="s">
        <v>41</v>
      </c>
      <c r="W734" s="736">
        <v>45078</v>
      </c>
      <c r="X734" s="735" t="s">
        <v>41</v>
      </c>
      <c r="Y734" s="736">
        <v>45078</v>
      </c>
      <c r="Z734" s="735" t="s">
        <v>40</v>
      </c>
      <c r="AA734" s="736"/>
      <c r="AB734" s="735" t="s">
        <v>40</v>
      </c>
      <c r="AC734" s="736"/>
      <c r="AD734" s="736"/>
      <c r="AE734" s="1522">
        <v>46203</v>
      </c>
      <c r="AF734" s="735" t="s">
        <v>65</v>
      </c>
      <c r="AG734" s="1068">
        <v>2026</v>
      </c>
      <c r="AH734" s="726">
        <f>SUM(AH735:AH736)</f>
        <v>344000</v>
      </c>
      <c r="AI734" s="727"/>
      <c r="AJ734" s="728"/>
      <c r="AK734" s="1069" t="s">
        <v>43</v>
      </c>
      <c r="AL734" s="722" t="s">
        <v>41</v>
      </c>
      <c r="AM734" s="730">
        <v>0</v>
      </c>
      <c r="AN734" s="731" t="s">
        <v>40</v>
      </c>
      <c r="AO734" s="104"/>
      <c r="AP734" s="104"/>
      <c r="AQ734" s="104"/>
      <c r="AR734" s="104"/>
      <c r="AS734" s="104"/>
      <c r="AT734" s="358"/>
      <c r="AU734" s="102"/>
      <c r="AV734" s="102"/>
      <c r="AW734" s="102"/>
      <c r="AX734" s="102"/>
      <c r="AY734" s="102"/>
      <c r="AZ734" s="102"/>
      <c r="BA734" s="102"/>
      <c r="BB734" s="102"/>
      <c r="BC734" s="102"/>
      <c r="BD734" s="102"/>
      <c r="BE734" s="102"/>
      <c r="BF734" s="102"/>
      <c r="BG734" s="102"/>
      <c r="BH734" s="102"/>
      <c r="BI734" s="102"/>
      <c r="BJ734" s="102"/>
      <c r="BK734" s="102"/>
      <c r="BL734" s="102"/>
      <c r="BM734" s="102"/>
      <c r="BN734" s="102"/>
      <c r="BO734" s="102"/>
      <c r="BP734" s="102"/>
      <c r="BQ734" s="102"/>
      <c r="BR734" s="102"/>
      <c r="BS734" s="102"/>
      <c r="BT734" s="102"/>
      <c r="BU734" s="102"/>
      <c r="BV734" s="102"/>
      <c r="BW734" s="102"/>
      <c r="BX734" s="102"/>
      <c r="BY734" s="102"/>
      <c r="BZ734" s="102"/>
      <c r="CA734" s="102"/>
      <c r="CB734" s="102"/>
      <c r="CC734" s="102"/>
      <c r="CD734" s="102"/>
      <c r="CE734" s="102"/>
      <c r="CF734" s="102"/>
      <c r="CG734" s="102"/>
      <c r="CH734" s="102"/>
      <c r="CI734" s="102"/>
      <c r="CJ734" s="102"/>
      <c r="CK734" s="102"/>
      <c r="CL734" s="102"/>
      <c r="CM734" s="102"/>
      <c r="CN734" s="102"/>
      <c r="CO734" s="102"/>
      <c r="CP734" s="102"/>
      <c r="CQ734" s="102"/>
      <c r="CR734" s="102"/>
      <c r="CS734" s="102"/>
      <c r="CT734" s="102"/>
      <c r="CU734" s="102"/>
      <c r="CV734" s="102"/>
      <c r="CW734" s="102"/>
      <c r="CX734" s="102"/>
      <c r="CY734" s="102"/>
      <c r="CZ734" s="102"/>
      <c r="DA734" s="102"/>
      <c r="DB734" s="102"/>
      <c r="DC734" s="102"/>
      <c r="DD734" s="102"/>
      <c r="DE734" s="102"/>
      <c r="DF734" s="102"/>
      <c r="DG734" s="102"/>
      <c r="DH734" s="102"/>
      <c r="DI734" s="102"/>
      <c r="DJ734" s="102"/>
      <c r="DK734" s="102"/>
      <c r="DL734" s="102"/>
      <c r="DM734" s="102"/>
      <c r="DN734" s="102"/>
      <c r="DO734" s="102"/>
      <c r="DP734" s="102"/>
      <c r="DQ734" s="102"/>
      <c r="DR734" s="102"/>
      <c r="DS734" s="102"/>
      <c r="DT734" s="102"/>
      <c r="DU734" s="102"/>
      <c r="DV734" s="102"/>
      <c r="DW734" s="102"/>
      <c r="DX734" s="102"/>
      <c r="DY734" s="102"/>
    </row>
    <row r="735" spans="1:129" s="359" customFormat="1" ht="33" customHeight="1" thickBot="1" x14ac:dyDescent="0.35">
      <c r="A735" s="100" t="s">
        <v>264</v>
      </c>
      <c r="B735" s="166" t="s">
        <v>1460</v>
      </c>
      <c r="C735" s="1070" t="s">
        <v>1463</v>
      </c>
      <c r="D735" s="166" t="s">
        <v>34</v>
      </c>
      <c r="E735" s="166">
        <v>40</v>
      </c>
      <c r="F735" s="166" t="s">
        <v>35</v>
      </c>
      <c r="G735" s="166"/>
      <c r="H735" s="425">
        <v>22088</v>
      </c>
      <c r="I735" s="166" t="s">
        <v>36</v>
      </c>
      <c r="J735" s="425">
        <v>22088</v>
      </c>
      <c r="K735" s="1605">
        <v>22088</v>
      </c>
      <c r="L735" s="1605">
        <v>22088</v>
      </c>
      <c r="M735" s="175" t="s">
        <v>351</v>
      </c>
      <c r="N735" s="175" t="s">
        <v>351</v>
      </c>
      <c r="O735" s="172" t="s">
        <v>1414</v>
      </c>
      <c r="P735" s="175" t="s">
        <v>40</v>
      </c>
      <c r="Q735" s="174"/>
      <c r="R735" s="175" t="s">
        <v>40</v>
      </c>
      <c r="S735" s="174"/>
      <c r="T735" s="175" t="s">
        <v>40</v>
      </c>
      <c r="U735" s="174"/>
      <c r="V735" s="175" t="s">
        <v>40</v>
      </c>
      <c r="W735" s="174"/>
      <c r="X735" s="175" t="s">
        <v>64</v>
      </c>
      <c r="Y735" s="174"/>
      <c r="Z735" s="175" t="s">
        <v>40</v>
      </c>
      <c r="AA735" s="174"/>
      <c r="AB735" s="175" t="s">
        <v>40</v>
      </c>
      <c r="AC735" s="174"/>
      <c r="AD735" s="174" t="s">
        <v>3946</v>
      </c>
      <c r="AE735" s="1521" t="s">
        <v>3947</v>
      </c>
      <c r="AF735" s="172" t="s">
        <v>65</v>
      </c>
      <c r="AG735" s="1071">
        <v>2026</v>
      </c>
      <c r="AH735" s="426">
        <v>110000</v>
      </c>
      <c r="AI735" s="1716" t="s">
        <v>3948</v>
      </c>
      <c r="AJ735" s="1717"/>
      <c r="AK735" s="180" t="s">
        <v>77</v>
      </c>
      <c r="AL735" s="166" t="s">
        <v>40</v>
      </c>
      <c r="AM735" s="181">
        <v>1</v>
      </c>
      <c r="AN735" s="182" t="s">
        <v>40</v>
      </c>
      <c r="AO735" s="104"/>
      <c r="AP735" s="104"/>
      <c r="AQ735" s="104"/>
      <c r="AR735" s="104"/>
      <c r="AS735" s="104"/>
      <c r="AT735" s="358"/>
      <c r="AU735" s="102"/>
      <c r="AV735" s="102"/>
      <c r="AW735" s="102"/>
      <c r="AX735" s="102"/>
      <c r="AY735" s="102"/>
      <c r="AZ735" s="102"/>
      <c r="BA735" s="102"/>
      <c r="BB735" s="102"/>
      <c r="BC735" s="102"/>
      <c r="BD735" s="102"/>
      <c r="BE735" s="102"/>
      <c r="BF735" s="102"/>
      <c r="BG735" s="102"/>
      <c r="BH735" s="102"/>
      <c r="BI735" s="102"/>
      <c r="BJ735" s="102"/>
      <c r="BK735" s="102"/>
      <c r="BL735" s="102"/>
      <c r="BM735" s="102"/>
      <c r="BN735" s="102"/>
      <c r="BO735" s="102"/>
      <c r="BP735" s="102"/>
      <c r="BQ735" s="102"/>
      <c r="BR735" s="102"/>
      <c r="BS735" s="102"/>
      <c r="BT735" s="102"/>
      <c r="BU735" s="102"/>
      <c r="BV735" s="102"/>
      <c r="BW735" s="102"/>
      <c r="BX735" s="102"/>
      <c r="BY735" s="102"/>
      <c r="BZ735" s="102"/>
      <c r="CA735" s="102"/>
      <c r="CB735" s="102"/>
      <c r="CC735" s="102"/>
      <c r="CD735" s="102"/>
      <c r="CE735" s="102"/>
      <c r="CF735" s="102"/>
      <c r="CG735" s="102"/>
      <c r="CH735" s="102"/>
      <c r="CI735" s="102"/>
      <c r="CJ735" s="102"/>
      <c r="CK735" s="102"/>
      <c r="CL735" s="102"/>
      <c r="CM735" s="102"/>
      <c r="CN735" s="102"/>
      <c r="CO735" s="102"/>
      <c r="CP735" s="102"/>
      <c r="CQ735" s="102"/>
      <c r="CR735" s="102"/>
      <c r="CS735" s="102"/>
      <c r="CT735" s="102"/>
      <c r="CU735" s="102"/>
      <c r="CV735" s="102"/>
      <c r="CW735" s="102"/>
      <c r="CX735" s="102"/>
      <c r="CY735" s="102"/>
      <c r="CZ735" s="102"/>
      <c r="DA735" s="102"/>
      <c r="DB735" s="102"/>
      <c r="DC735" s="102"/>
      <c r="DD735" s="102"/>
      <c r="DE735" s="102"/>
      <c r="DF735" s="102"/>
      <c r="DG735" s="102"/>
      <c r="DH735" s="102"/>
      <c r="DI735" s="102"/>
      <c r="DJ735" s="102"/>
      <c r="DK735" s="102"/>
      <c r="DL735" s="102"/>
      <c r="DM735" s="102"/>
      <c r="DN735" s="102"/>
      <c r="DO735" s="102"/>
      <c r="DP735" s="102"/>
      <c r="DQ735" s="102"/>
      <c r="DR735" s="102"/>
      <c r="DS735" s="102"/>
      <c r="DT735" s="102"/>
      <c r="DU735" s="102"/>
      <c r="DV735" s="102"/>
      <c r="DW735" s="102"/>
      <c r="DX735" s="102"/>
      <c r="DY735" s="102"/>
    </row>
    <row r="736" spans="1:129" s="359" customFormat="1" ht="30.6" customHeight="1" thickBot="1" x14ac:dyDescent="0.35">
      <c r="A736" s="100" t="s">
        <v>264</v>
      </c>
      <c r="B736" s="166" t="s">
        <v>1460</v>
      </c>
      <c r="C736" s="1091" t="s">
        <v>1464</v>
      </c>
      <c r="D736" s="166" t="s">
        <v>34</v>
      </c>
      <c r="E736" s="166">
        <v>40</v>
      </c>
      <c r="F736" s="166" t="s">
        <v>35</v>
      </c>
      <c r="G736" s="166"/>
      <c r="H736" s="425">
        <v>46987.95</v>
      </c>
      <c r="I736" s="166" t="s">
        <v>36</v>
      </c>
      <c r="J736" s="1738">
        <v>46987.95</v>
      </c>
      <c r="K736" s="1605">
        <v>0</v>
      </c>
      <c r="L736" s="1605">
        <v>0</v>
      </c>
      <c r="M736" s="175" t="s">
        <v>351</v>
      </c>
      <c r="N736" s="175" t="s">
        <v>351</v>
      </c>
      <c r="O736" s="172" t="s">
        <v>1414</v>
      </c>
      <c r="P736" s="175" t="s">
        <v>40</v>
      </c>
      <c r="Q736" s="174"/>
      <c r="R736" s="175" t="s">
        <v>40</v>
      </c>
      <c r="S736" s="174"/>
      <c r="T736" s="175" t="s">
        <v>40</v>
      </c>
      <c r="U736" s="174"/>
      <c r="V736" s="175" t="s">
        <v>3955</v>
      </c>
      <c r="W736" s="174"/>
      <c r="X736" s="175" t="s">
        <v>64</v>
      </c>
      <c r="Y736" s="174"/>
      <c r="Z736" s="175" t="s">
        <v>40</v>
      </c>
      <c r="AA736" s="174"/>
      <c r="AB736" s="175" t="s">
        <v>40</v>
      </c>
      <c r="AC736" s="174"/>
      <c r="AD736" s="334" t="s">
        <v>3956</v>
      </c>
      <c r="AE736" s="1545" t="s">
        <v>1482</v>
      </c>
      <c r="AF736" s="172" t="s">
        <v>65</v>
      </c>
      <c r="AG736" s="1071">
        <v>2026</v>
      </c>
      <c r="AH736" s="1092">
        <v>234000</v>
      </c>
      <c r="AI736" s="1410" t="s">
        <v>3957</v>
      </c>
      <c r="AJ736" s="1411" t="s">
        <v>3955</v>
      </c>
      <c r="AK736" s="137" t="s">
        <v>1465</v>
      </c>
      <c r="AL736" s="166" t="s">
        <v>40</v>
      </c>
      <c r="AM736" s="181">
        <v>0</v>
      </c>
      <c r="AN736" s="182" t="s">
        <v>40</v>
      </c>
      <c r="AO736" s="104"/>
      <c r="AP736" s="104"/>
      <c r="AQ736" s="104"/>
      <c r="AR736" s="104"/>
      <c r="AS736" s="104"/>
      <c r="AT736" s="358"/>
      <c r="AU736" s="102"/>
      <c r="AV736" s="102"/>
      <c r="AW736" s="102"/>
      <c r="AX736" s="102"/>
      <c r="AY736" s="102"/>
      <c r="AZ736" s="102"/>
      <c r="BA736" s="102"/>
      <c r="BB736" s="102"/>
      <c r="BC736" s="102"/>
      <c r="BD736" s="102"/>
      <c r="BE736" s="102"/>
      <c r="BF736" s="102"/>
      <c r="BG736" s="102"/>
      <c r="BH736" s="102"/>
      <c r="BI736" s="102"/>
      <c r="BJ736" s="102"/>
      <c r="BK736" s="102"/>
      <c r="BL736" s="102"/>
      <c r="BM736" s="102"/>
      <c r="BN736" s="102"/>
      <c r="BO736" s="102"/>
      <c r="BP736" s="102"/>
      <c r="BQ736" s="102"/>
      <c r="BR736" s="102"/>
      <c r="BS736" s="102"/>
      <c r="BT736" s="102"/>
      <c r="BU736" s="102"/>
      <c r="BV736" s="102"/>
      <c r="BW736" s="102"/>
      <c r="BX736" s="102"/>
      <c r="BY736" s="102"/>
      <c r="BZ736" s="102"/>
      <c r="CA736" s="102"/>
      <c r="CB736" s="102"/>
      <c r="CC736" s="102"/>
      <c r="CD736" s="102"/>
      <c r="CE736" s="102"/>
      <c r="CF736" s="102"/>
      <c r="CG736" s="102"/>
      <c r="CH736" s="102"/>
      <c r="CI736" s="102"/>
      <c r="CJ736" s="102"/>
      <c r="CK736" s="102"/>
      <c r="CL736" s="102"/>
      <c r="CM736" s="102"/>
      <c r="CN736" s="102"/>
      <c r="CO736" s="102"/>
      <c r="CP736" s="102"/>
      <c r="CQ736" s="102"/>
      <c r="CR736" s="102"/>
      <c r="CS736" s="102"/>
      <c r="CT736" s="102"/>
      <c r="CU736" s="102"/>
      <c r="CV736" s="102"/>
      <c r="CW736" s="102"/>
      <c r="CX736" s="102"/>
      <c r="CY736" s="102"/>
      <c r="CZ736" s="102"/>
      <c r="DA736" s="102"/>
      <c r="DB736" s="102"/>
      <c r="DC736" s="102"/>
      <c r="DD736" s="102"/>
      <c r="DE736" s="102"/>
      <c r="DF736" s="102"/>
      <c r="DG736" s="102"/>
      <c r="DH736" s="102"/>
      <c r="DI736" s="102"/>
      <c r="DJ736" s="102"/>
      <c r="DK736" s="102"/>
      <c r="DL736" s="102"/>
      <c r="DM736" s="102"/>
      <c r="DN736" s="102"/>
      <c r="DO736" s="102"/>
      <c r="DP736" s="102"/>
      <c r="DQ736" s="102"/>
      <c r="DR736" s="102"/>
      <c r="DS736" s="102"/>
      <c r="DT736" s="102"/>
      <c r="DU736" s="102"/>
      <c r="DV736" s="102"/>
      <c r="DW736" s="102"/>
      <c r="DX736" s="102"/>
      <c r="DY736" s="102"/>
    </row>
    <row r="737" spans="1:129" s="1387" customFormat="1" ht="30.6" customHeight="1" x14ac:dyDescent="0.3">
      <c r="A737" s="1742" t="s">
        <v>264</v>
      </c>
      <c r="B737" s="1735" t="s">
        <v>1460</v>
      </c>
      <c r="C737" s="1748" t="s">
        <v>3958</v>
      </c>
      <c r="D737" s="1735" t="s">
        <v>34</v>
      </c>
      <c r="E737" s="1735"/>
      <c r="F737" s="1735"/>
      <c r="G737" s="1735"/>
      <c r="H737" s="1738">
        <v>50000</v>
      </c>
      <c r="I737" s="1735" t="s">
        <v>36</v>
      </c>
      <c r="J737" s="1738">
        <v>50000</v>
      </c>
      <c r="K737" s="1738">
        <v>0</v>
      </c>
      <c r="L737" s="1738">
        <v>0</v>
      </c>
      <c r="M737" s="1739" t="s">
        <v>351</v>
      </c>
      <c r="N737" s="1739" t="s">
        <v>351</v>
      </c>
      <c r="O737" s="1377" t="s">
        <v>1414</v>
      </c>
      <c r="P737" s="1739" t="s">
        <v>40</v>
      </c>
      <c r="Q737" s="1729"/>
      <c r="R737" s="1739" t="s">
        <v>40</v>
      </c>
      <c r="S737" s="1729"/>
      <c r="T737" s="1739" t="s">
        <v>40</v>
      </c>
      <c r="U737" s="1729"/>
      <c r="V737" s="1739" t="s">
        <v>3959</v>
      </c>
      <c r="W737" s="1729"/>
      <c r="X737" s="1739" t="s">
        <v>64</v>
      </c>
      <c r="Y737" s="1729"/>
      <c r="Z737" s="1739" t="s">
        <v>40</v>
      </c>
      <c r="AA737" s="1729"/>
      <c r="AB737" s="1739" t="s">
        <v>40</v>
      </c>
      <c r="AC737" s="1729"/>
      <c r="AD737" s="1749" t="s">
        <v>3960</v>
      </c>
      <c r="AE737" s="1750" t="s">
        <v>1482</v>
      </c>
      <c r="AF737" s="1377"/>
      <c r="AG737" s="1714"/>
      <c r="AH737" s="1751">
        <v>249000</v>
      </c>
      <c r="AI737" s="1410" t="s">
        <v>3961</v>
      </c>
      <c r="AJ737" s="1411" t="s">
        <v>3959</v>
      </c>
      <c r="AK737" s="1752"/>
      <c r="AL737" s="1735"/>
      <c r="AM737" s="1741"/>
      <c r="AN737" s="1746"/>
      <c r="AO737" s="1414"/>
      <c r="AP737" s="1414"/>
      <c r="AQ737" s="1414"/>
      <c r="AR737" s="1414"/>
      <c r="AS737" s="1414"/>
      <c r="AT737" s="1592"/>
      <c r="AU737" s="1381"/>
      <c r="AV737" s="1381"/>
      <c r="AW737" s="1381"/>
      <c r="AX737" s="1381"/>
      <c r="AY737" s="1381"/>
      <c r="AZ737" s="1381"/>
      <c r="BA737" s="1381"/>
      <c r="BB737" s="1381"/>
      <c r="BC737" s="1381"/>
      <c r="BD737" s="1381"/>
      <c r="BE737" s="1381"/>
      <c r="BF737" s="1381"/>
      <c r="BG737" s="1381"/>
      <c r="BH737" s="1381"/>
      <c r="BI737" s="1381"/>
      <c r="BJ737" s="1381"/>
      <c r="BK737" s="1381"/>
      <c r="BL737" s="1381"/>
      <c r="BM737" s="1381"/>
      <c r="BN737" s="1381"/>
      <c r="BO737" s="1381"/>
      <c r="BP737" s="1381"/>
      <c r="BQ737" s="1381"/>
      <c r="BR737" s="1381"/>
      <c r="BS737" s="1381"/>
      <c r="BT737" s="1381"/>
      <c r="BU737" s="1381"/>
      <c r="BV737" s="1381"/>
      <c r="BW737" s="1381"/>
      <c r="BX737" s="1381"/>
      <c r="BY737" s="1381"/>
      <c r="BZ737" s="1381"/>
      <c r="CA737" s="1381"/>
      <c r="CB737" s="1381"/>
      <c r="CC737" s="1381"/>
      <c r="CD737" s="1381"/>
      <c r="CE737" s="1381"/>
      <c r="CF737" s="1381"/>
      <c r="CG737" s="1381"/>
      <c r="CH737" s="1381"/>
      <c r="CI737" s="1381"/>
      <c r="CJ737" s="1381"/>
      <c r="CK737" s="1381"/>
      <c r="CL737" s="1381"/>
      <c r="CM737" s="1381"/>
      <c r="CN737" s="1381"/>
      <c r="CO737" s="1381"/>
      <c r="CP737" s="1381"/>
      <c r="CQ737" s="1381"/>
      <c r="CR737" s="1381"/>
      <c r="CS737" s="1381"/>
      <c r="CT737" s="1381"/>
      <c r="CU737" s="1381"/>
      <c r="CV737" s="1381"/>
      <c r="CW737" s="1381"/>
      <c r="CX737" s="1381"/>
      <c r="CY737" s="1381"/>
      <c r="CZ737" s="1381"/>
      <c r="DA737" s="1381"/>
      <c r="DB737" s="1381"/>
      <c r="DC737" s="1381"/>
      <c r="DD737" s="1381"/>
      <c r="DE737" s="1381"/>
      <c r="DF737" s="1381"/>
      <c r="DG737" s="1381"/>
      <c r="DH737" s="1381"/>
      <c r="DI737" s="1381"/>
      <c r="DJ737" s="1381"/>
      <c r="DK737" s="1381"/>
      <c r="DL737" s="1381"/>
      <c r="DM737" s="1381"/>
      <c r="DN737" s="1381"/>
      <c r="DO737" s="1381"/>
      <c r="DP737" s="1381"/>
      <c r="DQ737" s="1381"/>
      <c r="DR737" s="1381"/>
      <c r="DS737" s="1381"/>
      <c r="DT737" s="1381"/>
      <c r="DU737" s="1381"/>
      <c r="DV737" s="1381"/>
      <c r="DW737" s="1381"/>
      <c r="DX737" s="1381"/>
      <c r="DY737" s="1381"/>
    </row>
    <row r="738" spans="1:129" s="590" customFormat="1" ht="42.6" customHeight="1" x14ac:dyDescent="0.3">
      <c r="A738" s="1088" t="s">
        <v>264</v>
      </c>
      <c r="B738" s="1030" t="s">
        <v>223</v>
      </c>
      <c r="C738" s="1059" t="s">
        <v>1466</v>
      </c>
      <c r="D738" s="1030" t="s">
        <v>34</v>
      </c>
      <c r="E738" s="1030" t="s">
        <v>1467</v>
      </c>
      <c r="F738" s="1030"/>
      <c r="G738" s="1030"/>
      <c r="H738" s="1043">
        <v>22000000</v>
      </c>
      <c r="I738" s="1030" t="s">
        <v>36</v>
      </c>
      <c r="J738" s="1043">
        <f>J739</f>
        <v>22000000</v>
      </c>
      <c r="K738" s="1631">
        <f>K739</f>
        <v>2140267.3633333333</v>
      </c>
      <c r="L738" s="1631">
        <f>L739</f>
        <v>2213551.1723293173</v>
      </c>
      <c r="M738" s="1060" t="s">
        <v>1468</v>
      </c>
      <c r="N738" s="1060" t="s">
        <v>40</v>
      </c>
      <c r="O738" s="1060" t="s">
        <v>1469</v>
      </c>
      <c r="P738" s="1060" t="s">
        <v>64</v>
      </c>
      <c r="Q738" s="1023"/>
      <c r="R738" s="1060"/>
      <c r="S738" s="1023">
        <v>45078</v>
      </c>
      <c r="T738" s="1060" t="s">
        <v>40</v>
      </c>
      <c r="U738" s="1023" t="s">
        <v>40</v>
      </c>
      <c r="V738" s="1060"/>
      <c r="W738" s="1023"/>
      <c r="X738" s="1060"/>
      <c r="Y738" s="1023"/>
      <c r="Z738" s="1060" t="s">
        <v>40</v>
      </c>
      <c r="AA738" s="1023"/>
      <c r="AB738" s="1060" t="s">
        <v>40</v>
      </c>
      <c r="AC738" s="1023"/>
      <c r="AD738" s="1023"/>
      <c r="AE738" s="1543">
        <v>46203</v>
      </c>
      <c r="AF738" s="1060" t="s">
        <v>1470</v>
      </c>
      <c r="AG738" s="880" t="s">
        <v>1471</v>
      </c>
      <c r="AH738" s="1061">
        <f>AH740</f>
        <v>57417044.979999982</v>
      </c>
      <c r="AI738" s="882"/>
      <c r="AJ738" s="1062"/>
      <c r="AK738" s="1063" t="s">
        <v>43</v>
      </c>
      <c r="AL738" s="1030" t="s">
        <v>41</v>
      </c>
      <c r="AM738" s="1064">
        <v>0</v>
      </c>
      <c r="AN738" s="1065" t="s">
        <v>40</v>
      </c>
      <c r="AO738" s="104"/>
      <c r="AP738" s="104"/>
      <c r="AQ738" s="104"/>
      <c r="AR738" s="104"/>
      <c r="AS738" s="104"/>
      <c r="AT738" s="358"/>
      <c r="AU738" s="102"/>
      <c r="AV738" s="102"/>
      <c r="AW738" s="102"/>
      <c r="AX738" s="102"/>
      <c r="AY738" s="102"/>
      <c r="AZ738" s="102"/>
      <c r="BA738" s="102"/>
      <c r="BB738" s="102"/>
      <c r="BC738" s="102"/>
      <c r="BD738" s="102"/>
      <c r="BE738" s="102"/>
      <c r="BF738" s="102"/>
      <c r="BG738" s="102"/>
      <c r="BH738" s="102"/>
      <c r="BI738" s="102"/>
      <c r="BJ738" s="102"/>
      <c r="BK738" s="102"/>
      <c r="BL738" s="102"/>
      <c r="BM738" s="102"/>
      <c r="BN738" s="102"/>
      <c r="BO738" s="102"/>
      <c r="BP738" s="102"/>
      <c r="BQ738" s="102"/>
      <c r="BR738" s="102"/>
      <c r="BS738" s="102"/>
      <c r="BT738" s="102"/>
      <c r="BU738" s="102"/>
      <c r="BV738" s="102"/>
      <c r="BW738" s="102"/>
      <c r="BX738" s="102"/>
      <c r="BY738" s="102"/>
      <c r="BZ738" s="102"/>
      <c r="CA738" s="102"/>
      <c r="CB738" s="102"/>
      <c r="CC738" s="102"/>
      <c r="CD738" s="102"/>
      <c r="CE738" s="102"/>
      <c r="CF738" s="102"/>
      <c r="CG738" s="102"/>
      <c r="CH738" s="102"/>
      <c r="CI738" s="102"/>
      <c r="CJ738" s="102"/>
      <c r="CK738" s="102"/>
      <c r="CL738" s="102"/>
      <c r="CM738" s="102"/>
      <c r="CN738" s="102"/>
      <c r="CO738" s="102"/>
      <c r="CP738" s="102"/>
      <c r="CQ738" s="102"/>
      <c r="CR738" s="102"/>
      <c r="CS738" s="102"/>
      <c r="CT738" s="102"/>
      <c r="CU738" s="102"/>
      <c r="CV738" s="102"/>
      <c r="CW738" s="102"/>
      <c r="CX738" s="102"/>
      <c r="CY738" s="102"/>
      <c r="CZ738" s="102"/>
      <c r="DA738" s="102"/>
      <c r="DB738" s="102"/>
      <c r="DC738" s="102"/>
      <c r="DD738" s="102"/>
      <c r="DE738" s="102"/>
      <c r="DF738" s="102"/>
      <c r="DG738" s="102"/>
      <c r="DH738" s="102"/>
      <c r="DI738" s="102"/>
      <c r="DJ738" s="102"/>
      <c r="DK738" s="102"/>
      <c r="DL738" s="102"/>
      <c r="DM738" s="102"/>
      <c r="DN738" s="102"/>
      <c r="DO738" s="102"/>
      <c r="DP738" s="102"/>
      <c r="DQ738" s="102"/>
      <c r="DR738" s="102"/>
      <c r="DS738" s="102"/>
      <c r="DT738" s="102"/>
      <c r="DU738" s="102"/>
      <c r="DV738" s="102"/>
      <c r="DW738" s="102"/>
      <c r="DX738" s="102"/>
      <c r="DY738" s="102"/>
    </row>
    <row r="739" spans="1:129" s="138" customFormat="1" ht="54.6" customHeight="1" x14ac:dyDescent="0.3">
      <c r="A739" s="1046" t="s">
        <v>264</v>
      </c>
      <c r="B739" s="707" t="s">
        <v>223</v>
      </c>
      <c r="C739" s="1094" t="s">
        <v>1472</v>
      </c>
      <c r="D739" s="1095" t="s">
        <v>34</v>
      </c>
      <c r="E739" s="1095" t="s">
        <v>1467</v>
      </c>
      <c r="F739" s="1096"/>
      <c r="G739" s="1097"/>
      <c r="H739" s="1098">
        <v>22000000</v>
      </c>
      <c r="I739" s="709" t="s">
        <v>36</v>
      </c>
      <c r="J739" s="710">
        <v>22000000</v>
      </c>
      <c r="K739" s="1603">
        <f>K740</f>
        <v>2140267.3633333333</v>
      </c>
      <c r="L739" s="1603">
        <f>L740</f>
        <v>2213551.1723293173</v>
      </c>
      <c r="M739" s="712" t="s">
        <v>1473</v>
      </c>
      <c r="N739" s="712" t="s">
        <v>40</v>
      </c>
      <c r="O739" s="712" t="s">
        <v>1469</v>
      </c>
      <c r="P739" s="712" t="s">
        <v>64</v>
      </c>
      <c r="Q739" s="713"/>
      <c r="R739" s="712" t="s">
        <v>41</v>
      </c>
      <c r="S739" s="713">
        <v>45078</v>
      </c>
      <c r="T739" s="712" t="s">
        <v>40</v>
      </c>
      <c r="U739" s="713" t="s">
        <v>40</v>
      </c>
      <c r="V739" s="712"/>
      <c r="W739" s="713"/>
      <c r="X739" s="712"/>
      <c r="Y739" s="713"/>
      <c r="Z739" s="712" t="s">
        <v>40</v>
      </c>
      <c r="AA739" s="713"/>
      <c r="AB739" s="712" t="s">
        <v>40</v>
      </c>
      <c r="AC739" s="713"/>
      <c r="AD739" s="713"/>
      <c r="AE739" s="1519">
        <v>46203</v>
      </c>
      <c r="AF739" s="712" t="s">
        <v>1470</v>
      </c>
      <c r="AG739" s="877" t="s">
        <v>1471</v>
      </c>
      <c r="AH739" s="716">
        <f>AH738</f>
        <v>57417044.979999982</v>
      </c>
      <c r="AI739" s="717"/>
      <c r="AJ739" s="718"/>
      <c r="AK739" s="719" t="s">
        <v>43</v>
      </c>
      <c r="AL739" s="709" t="s">
        <v>41</v>
      </c>
      <c r="AM739" s="720">
        <v>0</v>
      </c>
      <c r="AN739" s="721" t="s">
        <v>40</v>
      </c>
      <c r="AO739" s="104"/>
      <c r="AP739" s="104"/>
      <c r="AQ739" s="104"/>
      <c r="AR739" s="104"/>
      <c r="AS739" s="104"/>
      <c r="AT739" s="358"/>
      <c r="AU739" s="102"/>
      <c r="AV739" s="102"/>
      <c r="AW739" s="102"/>
      <c r="AX739" s="102"/>
      <c r="AY739" s="102"/>
      <c r="AZ739" s="102"/>
      <c r="BA739" s="102"/>
      <c r="BB739" s="102"/>
      <c r="BC739" s="102"/>
      <c r="BD739" s="102"/>
      <c r="BE739" s="102"/>
      <c r="BF739" s="102"/>
      <c r="BG739" s="102"/>
      <c r="BH739" s="102"/>
      <c r="BI739" s="102"/>
      <c r="BJ739" s="102"/>
      <c r="BK739" s="102"/>
      <c r="BL739" s="102"/>
      <c r="BM739" s="102"/>
      <c r="BN739" s="102"/>
      <c r="BO739" s="102"/>
      <c r="BP739" s="102"/>
      <c r="BQ739" s="102"/>
      <c r="BR739" s="102"/>
      <c r="BS739" s="102"/>
      <c r="BT739" s="102"/>
      <c r="BU739" s="102"/>
      <c r="BV739" s="102"/>
      <c r="BW739" s="102"/>
      <c r="BX739" s="102"/>
      <c r="BY739" s="102"/>
      <c r="BZ739" s="102"/>
      <c r="CA739" s="102"/>
      <c r="CB739" s="102"/>
      <c r="CC739" s="102"/>
      <c r="CD739" s="102"/>
      <c r="CE739" s="102"/>
      <c r="CF739" s="102"/>
      <c r="CG739" s="102"/>
      <c r="CH739" s="102"/>
      <c r="CI739" s="102"/>
      <c r="CJ739" s="102"/>
      <c r="CK739" s="102"/>
      <c r="CL739" s="102"/>
      <c r="CM739" s="102"/>
      <c r="CN739" s="102"/>
      <c r="CO739" s="102"/>
      <c r="CP739" s="102"/>
      <c r="CQ739" s="102"/>
      <c r="CR739" s="102"/>
      <c r="CS739" s="102"/>
      <c r="CT739" s="102"/>
      <c r="CU739" s="102"/>
      <c r="CV739" s="102"/>
      <c r="CW739" s="102"/>
      <c r="CX739" s="102"/>
      <c r="CY739" s="102"/>
      <c r="CZ739" s="102"/>
      <c r="DA739" s="102"/>
      <c r="DB739" s="102"/>
      <c r="DC739" s="102"/>
      <c r="DD739" s="102"/>
      <c r="DE739" s="102"/>
      <c r="DF739" s="102"/>
      <c r="DG739" s="102"/>
      <c r="DH739" s="102"/>
      <c r="DI739" s="102"/>
      <c r="DJ739" s="102"/>
      <c r="DK739" s="102"/>
      <c r="DL739" s="102"/>
      <c r="DM739" s="102"/>
      <c r="DN739" s="102"/>
      <c r="DO739" s="102"/>
      <c r="DP739" s="102"/>
      <c r="DQ739" s="102"/>
      <c r="DR739" s="102"/>
      <c r="DS739" s="102"/>
      <c r="DT739" s="102"/>
      <c r="DU739" s="102"/>
      <c r="DV739" s="102"/>
      <c r="DW739" s="102"/>
      <c r="DX739" s="102"/>
      <c r="DY739" s="102"/>
    </row>
    <row r="740" spans="1:129" s="138" customFormat="1" ht="153" customHeight="1" x14ac:dyDescent="0.3">
      <c r="A740" s="1067" t="s">
        <v>264</v>
      </c>
      <c r="B740" s="1031" t="s">
        <v>223</v>
      </c>
      <c r="C740" s="1099" t="s">
        <v>1474</v>
      </c>
      <c r="D740" s="1100" t="s">
        <v>34</v>
      </c>
      <c r="E740" s="1100" t="s">
        <v>1467</v>
      </c>
      <c r="F740" s="1100" t="s">
        <v>1475</v>
      </c>
      <c r="G740" s="1101" t="s">
        <v>1476</v>
      </c>
      <c r="H740" s="1102">
        <f>SUM(H741:H821)</f>
        <v>11462075.656746984</v>
      </c>
      <c r="I740" s="1100" t="s">
        <v>36</v>
      </c>
      <c r="J740" s="1423">
        <f>SUM(J741:J828)</f>
        <v>11548705.663132528</v>
      </c>
      <c r="K740" s="1634">
        <f>SUM(K741:K828)</f>
        <v>2140267.3633333333</v>
      </c>
      <c r="L740" s="1635">
        <f>SUM(L741:L828)</f>
        <v>2213551.1723293173</v>
      </c>
      <c r="M740" s="1103" t="s">
        <v>1468</v>
      </c>
      <c r="N740" s="1103" t="s">
        <v>40</v>
      </c>
      <c r="O740" s="1103" t="s">
        <v>1469</v>
      </c>
      <c r="P740" s="735" t="s">
        <v>40</v>
      </c>
      <c r="Q740" s="736" t="s">
        <v>40</v>
      </c>
      <c r="R740" s="735" t="s">
        <v>41</v>
      </c>
      <c r="S740" s="736" t="s">
        <v>40</v>
      </c>
      <c r="T740" s="735" t="s">
        <v>40</v>
      </c>
      <c r="U740" s="736"/>
      <c r="V740" s="735" t="s">
        <v>40</v>
      </c>
      <c r="W740" s="736"/>
      <c r="X740" s="735" t="s">
        <v>40</v>
      </c>
      <c r="Y740" s="736"/>
      <c r="Z740" s="735" t="s">
        <v>40</v>
      </c>
      <c r="AA740" s="736"/>
      <c r="AB740" s="735" t="s">
        <v>40</v>
      </c>
      <c r="AC740" s="736"/>
      <c r="AD740" s="1104"/>
      <c r="AE740" s="1546">
        <v>46203</v>
      </c>
      <c r="AF740" s="1103" t="s">
        <v>1470</v>
      </c>
      <c r="AG740" s="1105" t="s">
        <v>1471</v>
      </c>
      <c r="AH740" s="1106">
        <f>SUM(AH741:AH821)</f>
        <v>57417044.979999982</v>
      </c>
      <c r="AI740" s="515"/>
      <c r="AJ740" s="1107"/>
      <c r="AK740" s="1108" t="s">
        <v>43</v>
      </c>
      <c r="AL740" s="1109" t="s">
        <v>41</v>
      </c>
      <c r="AM740" s="1110">
        <v>0</v>
      </c>
      <c r="AN740" s="1111" t="s">
        <v>40</v>
      </c>
      <c r="AO740" s="104"/>
      <c r="AP740" s="104"/>
      <c r="AQ740" s="104"/>
      <c r="AR740" s="104"/>
      <c r="AS740" s="104"/>
      <c r="AT740" s="358"/>
      <c r="AU740" s="102"/>
      <c r="AV740" s="102"/>
      <c r="AW740" s="102"/>
      <c r="AX740" s="102"/>
      <c r="AY740" s="102"/>
      <c r="AZ740" s="102"/>
      <c r="BA740" s="102"/>
      <c r="BB740" s="102"/>
      <c r="BC740" s="102"/>
      <c r="BD740" s="102"/>
      <c r="BE740" s="102"/>
      <c r="BF740" s="102"/>
      <c r="BG740" s="102"/>
      <c r="BH740" s="102"/>
      <c r="BI740" s="102"/>
      <c r="BJ740" s="102"/>
      <c r="BK740" s="102"/>
      <c r="BL740" s="102"/>
      <c r="BM740" s="102"/>
      <c r="BN740" s="102"/>
      <c r="BO740" s="102"/>
      <c r="BP740" s="102"/>
      <c r="BQ740" s="102"/>
      <c r="BR740" s="102"/>
      <c r="BS740" s="102"/>
      <c r="BT740" s="102"/>
      <c r="BU740" s="102"/>
      <c r="BV740" s="102"/>
      <c r="BW740" s="102"/>
      <c r="BX740" s="102"/>
      <c r="BY740" s="102"/>
      <c r="BZ740" s="102"/>
      <c r="CA740" s="102"/>
      <c r="CB740" s="102"/>
      <c r="CC740" s="102"/>
      <c r="CD740" s="102"/>
      <c r="CE740" s="102"/>
      <c r="CF740" s="102"/>
      <c r="CG740" s="102"/>
      <c r="CH740" s="102"/>
      <c r="CI740" s="102"/>
      <c r="CJ740" s="102"/>
      <c r="CK740" s="102"/>
      <c r="CL740" s="102"/>
      <c r="CM740" s="102"/>
      <c r="CN740" s="102"/>
      <c r="CO740" s="102"/>
      <c r="CP740" s="102"/>
      <c r="CQ740" s="102"/>
      <c r="CR740" s="102"/>
      <c r="CS740" s="102"/>
      <c r="CT740" s="102"/>
      <c r="CU740" s="102"/>
      <c r="CV740" s="102"/>
      <c r="CW740" s="102"/>
      <c r="CX740" s="102"/>
      <c r="CY740" s="102"/>
      <c r="CZ740" s="102"/>
      <c r="DA740" s="102"/>
      <c r="DB740" s="102"/>
      <c r="DC740" s="102"/>
      <c r="DD740" s="102"/>
      <c r="DE740" s="102"/>
      <c r="DF740" s="102"/>
      <c r="DG740" s="102"/>
      <c r="DH740" s="102"/>
      <c r="DI740" s="102"/>
      <c r="DJ740" s="102"/>
      <c r="DK740" s="102"/>
      <c r="DL740" s="102"/>
      <c r="DM740" s="102"/>
      <c r="DN740" s="102"/>
      <c r="DO740" s="102"/>
      <c r="DP740" s="102"/>
      <c r="DQ740" s="102"/>
      <c r="DR740" s="102"/>
      <c r="DS740" s="102"/>
      <c r="DT740" s="102"/>
      <c r="DU740" s="102"/>
      <c r="DV740" s="102"/>
      <c r="DW740" s="102"/>
      <c r="DX740" s="102"/>
      <c r="DY740" s="102"/>
    </row>
    <row r="741" spans="1:129" s="1121" customFormat="1" ht="61.2" customHeight="1" x14ac:dyDescent="0.3">
      <c r="A741" s="111" t="s">
        <v>264</v>
      </c>
      <c r="B741" s="1112" t="s">
        <v>223</v>
      </c>
      <c r="C741" s="1113" t="s">
        <v>1477</v>
      </c>
      <c r="D741" s="1112" t="s">
        <v>34</v>
      </c>
      <c r="E741" s="1114">
        <v>42</v>
      </c>
      <c r="F741" s="116"/>
      <c r="G741" s="287" t="s">
        <v>1478</v>
      </c>
      <c r="H741" s="1115">
        <v>605923.48192771082</v>
      </c>
      <c r="I741" s="1115" t="s">
        <v>36</v>
      </c>
      <c r="J741" s="1115">
        <v>605923.48192771082</v>
      </c>
      <c r="K741" s="1636">
        <f>146191.04</f>
        <v>146191.04000000001</v>
      </c>
      <c r="L741" s="1636">
        <f>146191.04</f>
        <v>146191.04000000001</v>
      </c>
      <c r="M741" s="1116" t="s">
        <v>183</v>
      </c>
      <c r="N741" s="1116" t="s">
        <v>1479</v>
      </c>
      <c r="O741" s="1116" t="s">
        <v>1480</v>
      </c>
      <c r="P741" s="1117" t="s">
        <v>64</v>
      </c>
      <c r="Q741" s="1118" t="s">
        <v>1481</v>
      </c>
      <c r="R741" s="1117" t="s">
        <v>64</v>
      </c>
      <c r="S741" s="1118" t="s">
        <v>1481</v>
      </c>
      <c r="T741" s="1117" t="s">
        <v>40</v>
      </c>
      <c r="U741" s="1118" t="s">
        <v>40</v>
      </c>
      <c r="V741" s="1117" t="s">
        <v>64</v>
      </c>
      <c r="W741" s="1118" t="s">
        <v>1481</v>
      </c>
      <c r="X741" s="1117" t="s">
        <v>64</v>
      </c>
      <c r="Y741" s="1118" t="s">
        <v>1481</v>
      </c>
      <c r="Z741" s="1117" t="s">
        <v>40</v>
      </c>
      <c r="AA741" s="1118" t="s">
        <v>40</v>
      </c>
      <c r="AB741" s="1117" t="s">
        <v>1481</v>
      </c>
      <c r="AC741" s="1118" t="s">
        <v>1481</v>
      </c>
      <c r="AD741" s="1118"/>
      <c r="AE741" s="1547" t="s">
        <v>1482</v>
      </c>
      <c r="AF741" s="1117" t="s">
        <v>65</v>
      </c>
      <c r="AG741" s="1119">
        <v>2026</v>
      </c>
      <c r="AH741" s="1120">
        <v>3017498.94</v>
      </c>
      <c r="AI741" s="1093"/>
      <c r="AJ741" s="232"/>
      <c r="AK741" s="1114" t="s">
        <v>1483</v>
      </c>
      <c r="AL741" s="1114" t="s">
        <v>64</v>
      </c>
      <c r="AM741" s="1114" t="s">
        <v>1484</v>
      </c>
      <c r="AN741" s="1112" t="s">
        <v>1481</v>
      </c>
    </row>
    <row r="742" spans="1:129" s="1137" customFormat="1" ht="61.2" customHeight="1" x14ac:dyDescent="0.3">
      <c r="A742" s="1122"/>
      <c r="B742" s="1123"/>
      <c r="C742" s="1124" t="s">
        <v>1485</v>
      </c>
      <c r="D742" s="1123"/>
      <c r="E742" s="1125">
        <v>41</v>
      </c>
      <c r="F742" s="1126"/>
      <c r="G742" s="1127"/>
      <c r="H742" s="1128">
        <v>0</v>
      </c>
      <c r="I742" s="1129"/>
      <c r="J742" s="1128">
        <f>4000/4.98</f>
        <v>803.21285140562247</v>
      </c>
      <c r="K742" s="1128">
        <v>0</v>
      </c>
      <c r="L742" s="1437">
        <v>0</v>
      </c>
      <c r="M742" s="1131"/>
      <c r="N742" s="1131"/>
      <c r="O742" s="1131"/>
      <c r="P742" s="1130"/>
      <c r="Q742" s="1132"/>
      <c r="R742" s="1130"/>
      <c r="S742" s="1132"/>
      <c r="T742" s="1130"/>
      <c r="U742" s="1132"/>
      <c r="V742" s="1130"/>
      <c r="W742" s="1132"/>
      <c r="X742" s="1130"/>
      <c r="Y742" s="1132"/>
      <c r="Z742" s="1130"/>
      <c r="AA742" s="1132"/>
      <c r="AB742" s="1130"/>
      <c r="AC742" s="1132"/>
      <c r="AD742" s="1132"/>
      <c r="AE742" s="1132"/>
      <c r="AF742" s="1130"/>
      <c r="AG742" s="1133"/>
      <c r="AH742" s="1134">
        <v>4000</v>
      </c>
      <c r="AI742" s="1135"/>
      <c r="AJ742" s="1135"/>
      <c r="AK742" s="1125"/>
      <c r="AL742" s="1125"/>
      <c r="AM742" s="1125"/>
      <c r="AN742" s="1136"/>
    </row>
    <row r="743" spans="1:129" s="1121" customFormat="1" ht="45" customHeight="1" x14ac:dyDescent="0.3">
      <c r="A743" s="1138" t="s">
        <v>264</v>
      </c>
      <c r="B743" s="1112" t="s">
        <v>223</v>
      </c>
      <c r="C743" s="1139" t="s">
        <v>1486</v>
      </c>
      <c r="D743" s="1112" t="s">
        <v>34</v>
      </c>
      <c r="E743" s="1140">
        <v>41</v>
      </c>
      <c r="F743" s="1140" t="s">
        <v>1481</v>
      </c>
      <c r="G743" s="1141" t="s">
        <v>1481</v>
      </c>
      <c r="H743" s="1142">
        <f>6919.27/4.98</f>
        <v>1389.4116465863453</v>
      </c>
      <c r="I743" s="1115" t="s">
        <v>36</v>
      </c>
      <c r="J743" s="1142">
        <f>AH743/4.98</f>
        <v>12604.192771084336</v>
      </c>
      <c r="K743" s="1637">
        <f>3979.72/4.98</f>
        <v>799.14056224899582</v>
      </c>
      <c r="L743" s="1637">
        <f>799.16+11427.72</f>
        <v>12226.88</v>
      </c>
      <c r="M743" s="1143" t="s">
        <v>183</v>
      </c>
      <c r="N743" s="1143" t="s">
        <v>1487</v>
      </c>
      <c r="O743" s="1143" t="s">
        <v>1480</v>
      </c>
      <c r="P743" s="1144" t="s">
        <v>64</v>
      </c>
      <c r="Q743" s="1145" t="s">
        <v>1481</v>
      </c>
      <c r="R743" s="1144" t="s">
        <v>64</v>
      </c>
      <c r="S743" s="1145" t="s">
        <v>1481</v>
      </c>
      <c r="T743" s="1144" t="s">
        <v>40</v>
      </c>
      <c r="U743" s="1145" t="s">
        <v>40</v>
      </c>
      <c r="V743" s="1144" t="s">
        <v>40</v>
      </c>
      <c r="W743" s="1145" t="s">
        <v>1481</v>
      </c>
      <c r="X743" s="1144" t="s">
        <v>64</v>
      </c>
      <c r="Y743" s="1145" t="s">
        <v>1481</v>
      </c>
      <c r="Z743" s="1144" t="s">
        <v>40</v>
      </c>
      <c r="AA743" s="1145" t="s">
        <v>40</v>
      </c>
      <c r="AB743" s="1144" t="s">
        <v>1481</v>
      </c>
      <c r="AC743" s="1145" t="s">
        <v>1481</v>
      </c>
      <c r="AD743" s="1145"/>
      <c r="AE743" s="1548" t="s">
        <v>1482</v>
      </c>
      <c r="AF743" s="1144" t="s">
        <v>1470</v>
      </c>
      <c r="AG743" s="1146" t="s">
        <v>1471</v>
      </c>
      <c r="AH743" s="1147">
        <v>62768.88</v>
      </c>
      <c r="AI743" s="1093"/>
      <c r="AJ743" s="232"/>
      <c r="AK743" s="1140" t="s">
        <v>1483</v>
      </c>
      <c r="AL743" s="1140" t="s">
        <v>64</v>
      </c>
      <c r="AM743" s="1148" t="s">
        <v>1488</v>
      </c>
      <c r="AN743" s="1149" t="s">
        <v>1481</v>
      </c>
    </row>
    <row r="744" spans="1:129" s="1121" customFormat="1" ht="33" customHeight="1" x14ac:dyDescent="0.3">
      <c r="A744" s="1138" t="s">
        <v>264</v>
      </c>
      <c r="B744" s="1112" t="s">
        <v>223</v>
      </c>
      <c r="C744" s="1139" t="s">
        <v>1489</v>
      </c>
      <c r="D744" s="1112" t="s">
        <v>34</v>
      </c>
      <c r="E744" s="1140">
        <v>42</v>
      </c>
      <c r="F744" s="1140" t="s">
        <v>1481</v>
      </c>
      <c r="G744" s="1141" t="s">
        <v>1481</v>
      </c>
      <c r="H744" s="1142">
        <v>2409.6385542168673</v>
      </c>
      <c r="I744" s="1115" t="s">
        <v>36</v>
      </c>
      <c r="J744" s="1142">
        <v>2409.6385542168673</v>
      </c>
      <c r="K744" s="1636">
        <f>863.45</f>
        <v>863.45</v>
      </c>
      <c r="L744" s="1636">
        <f>863.45</f>
        <v>863.45</v>
      </c>
      <c r="M744" s="1143" t="s">
        <v>183</v>
      </c>
      <c r="N744" s="1143" t="s">
        <v>1487</v>
      </c>
      <c r="O744" s="1143" t="s">
        <v>1480</v>
      </c>
      <c r="P744" s="1144" t="s">
        <v>40</v>
      </c>
      <c r="Q744" s="1145" t="s">
        <v>40</v>
      </c>
      <c r="R744" s="1144" t="s">
        <v>64</v>
      </c>
      <c r="S744" s="1145" t="s">
        <v>1481</v>
      </c>
      <c r="T744" s="1144" t="s">
        <v>40</v>
      </c>
      <c r="U744" s="1145" t="s">
        <v>40</v>
      </c>
      <c r="V744" s="1144" t="s">
        <v>40</v>
      </c>
      <c r="W744" s="1145" t="s">
        <v>1481</v>
      </c>
      <c r="X744" s="1144" t="s">
        <v>64</v>
      </c>
      <c r="Y744" s="1145" t="s">
        <v>1481</v>
      </c>
      <c r="Z744" s="1144" t="s">
        <v>40</v>
      </c>
      <c r="AA744" s="1145" t="s">
        <v>40</v>
      </c>
      <c r="AB744" s="1144" t="s">
        <v>1481</v>
      </c>
      <c r="AC744" s="1145" t="s">
        <v>1481</v>
      </c>
      <c r="AD744" s="1145"/>
      <c r="AE744" s="1548" t="s">
        <v>1482</v>
      </c>
      <c r="AF744" s="1144" t="s">
        <v>65</v>
      </c>
      <c r="AG744" s="1146">
        <v>2026</v>
      </c>
      <c r="AH744" s="1147">
        <v>12000</v>
      </c>
      <c r="AI744" s="1093"/>
      <c r="AJ744" s="232"/>
      <c r="AK744" s="1140" t="s">
        <v>1483</v>
      </c>
      <c r="AL744" s="1140" t="s">
        <v>64</v>
      </c>
      <c r="AM744" s="1150">
        <v>0.35830000000000001</v>
      </c>
      <c r="AN744" s="1149" t="s">
        <v>1481</v>
      </c>
    </row>
    <row r="745" spans="1:129" s="1121" customFormat="1" ht="23.4" customHeight="1" x14ac:dyDescent="0.3">
      <c r="A745" s="1138" t="s">
        <v>264</v>
      </c>
      <c r="B745" s="1112" t="s">
        <v>223</v>
      </c>
      <c r="C745" s="1139" t="s">
        <v>1490</v>
      </c>
      <c r="D745" s="1112" t="s">
        <v>34</v>
      </c>
      <c r="E745" s="1140">
        <v>42</v>
      </c>
      <c r="F745" s="1140" t="s">
        <v>1481</v>
      </c>
      <c r="G745" s="1141" t="s">
        <v>1481</v>
      </c>
      <c r="H745" s="1142">
        <v>6425.7028112449798</v>
      </c>
      <c r="I745" s="1115" t="s">
        <v>36</v>
      </c>
      <c r="J745" s="1142">
        <v>6425.7028112449798</v>
      </c>
      <c r="K745" s="1636">
        <f>1549.62</f>
        <v>1549.62</v>
      </c>
      <c r="L745" s="1636">
        <f>1549.62</f>
        <v>1549.62</v>
      </c>
      <c r="M745" s="1143" t="s">
        <v>183</v>
      </c>
      <c r="N745" s="1143" t="s">
        <v>1487</v>
      </c>
      <c r="O745" s="1143" t="s">
        <v>1480</v>
      </c>
      <c r="P745" s="1144" t="s">
        <v>40</v>
      </c>
      <c r="Q745" s="1145" t="s">
        <v>40</v>
      </c>
      <c r="R745" s="1144" t="s">
        <v>64</v>
      </c>
      <c r="S745" s="1145" t="s">
        <v>1481</v>
      </c>
      <c r="T745" s="1144" t="s">
        <v>40</v>
      </c>
      <c r="U745" s="1145" t="s">
        <v>40</v>
      </c>
      <c r="V745" s="1144" t="s">
        <v>40</v>
      </c>
      <c r="W745" s="1145" t="s">
        <v>1481</v>
      </c>
      <c r="X745" s="1144" t="s">
        <v>64</v>
      </c>
      <c r="Y745" s="1145" t="s">
        <v>1481</v>
      </c>
      <c r="Z745" s="1144" t="s">
        <v>40</v>
      </c>
      <c r="AA745" s="1145" t="s">
        <v>40</v>
      </c>
      <c r="AB745" s="1144" t="s">
        <v>1481</v>
      </c>
      <c r="AC745" s="1145" t="s">
        <v>1481</v>
      </c>
      <c r="AD745" s="1145"/>
      <c r="AE745" s="1548" t="s">
        <v>1482</v>
      </c>
      <c r="AF745" s="1144" t="s">
        <v>65</v>
      </c>
      <c r="AG745" s="1146">
        <v>2026</v>
      </c>
      <c r="AH745" s="1147">
        <v>32000</v>
      </c>
      <c r="AI745" s="1093"/>
      <c r="AJ745" s="232"/>
      <c r="AK745" s="1140" t="s">
        <v>1483</v>
      </c>
      <c r="AL745" s="1140" t="s">
        <v>64</v>
      </c>
      <c r="AM745" s="1150">
        <v>0.2412</v>
      </c>
      <c r="AN745" s="1149" t="s">
        <v>1481</v>
      </c>
    </row>
    <row r="746" spans="1:129" s="1121" customFormat="1" ht="37.950000000000003" customHeight="1" x14ac:dyDescent="0.3">
      <c r="A746" s="1138" t="s">
        <v>264</v>
      </c>
      <c r="B746" s="1112" t="s">
        <v>223</v>
      </c>
      <c r="C746" s="1139" t="s">
        <v>1491</v>
      </c>
      <c r="D746" s="1112" t="s">
        <v>34</v>
      </c>
      <c r="E746" s="1140">
        <v>42</v>
      </c>
      <c r="F746" s="116"/>
      <c r="G746" s="1151" t="s">
        <v>1492</v>
      </c>
      <c r="H746" s="1142">
        <v>445195.17269076302</v>
      </c>
      <c r="I746" s="1115" t="s">
        <v>36</v>
      </c>
      <c r="J746" s="1142">
        <v>445195.17269076302</v>
      </c>
      <c r="K746" s="1636">
        <f>278622.01</f>
        <v>278622.01</v>
      </c>
      <c r="L746" s="1636">
        <f>278622.01</f>
        <v>278622.01</v>
      </c>
      <c r="M746" s="1143" t="s">
        <v>183</v>
      </c>
      <c r="N746" s="1143" t="s">
        <v>1493</v>
      </c>
      <c r="O746" s="1143" t="s">
        <v>1480</v>
      </c>
      <c r="P746" s="1144" t="s">
        <v>64</v>
      </c>
      <c r="Q746" s="1145" t="s">
        <v>1481</v>
      </c>
      <c r="R746" s="1144" t="s">
        <v>64</v>
      </c>
      <c r="S746" s="1145" t="s">
        <v>1481</v>
      </c>
      <c r="T746" s="1144" t="s">
        <v>40</v>
      </c>
      <c r="U746" s="1145" t="s">
        <v>40</v>
      </c>
      <c r="V746" s="1144" t="s">
        <v>64</v>
      </c>
      <c r="W746" s="1145" t="s">
        <v>1481</v>
      </c>
      <c r="X746" s="1144" t="s">
        <v>64</v>
      </c>
      <c r="Y746" s="1145" t="s">
        <v>1481</v>
      </c>
      <c r="Z746" s="1144" t="s">
        <v>40</v>
      </c>
      <c r="AA746" s="1145" t="s">
        <v>40</v>
      </c>
      <c r="AB746" s="1144" t="s">
        <v>1481</v>
      </c>
      <c r="AC746" s="1145" t="s">
        <v>1481</v>
      </c>
      <c r="AD746" s="1145"/>
      <c r="AE746" s="1548" t="s">
        <v>1482</v>
      </c>
      <c r="AF746" s="1144" t="s">
        <v>65</v>
      </c>
      <c r="AG746" s="1146">
        <v>2026</v>
      </c>
      <c r="AH746" s="1147">
        <v>2217071.96</v>
      </c>
      <c r="AI746" s="1093"/>
      <c r="AJ746" s="232"/>
      <c r="AK746" s="1140" t="s">
        <v>1483</v>
      </c>
      <c r="AL746" s="1140" t="s">
        <v>64</v>
      </c>
      <c r="AM746" s="1150">
        <v>0.62580000000000002</v>
      </c>
      <c r="AN746" s="1149" t="s">
        <v>1481</v>
      </c>
    </row>
    <row r="747" spans="1:129" s="1121" customFormat="1" ht="23.4" customHeight="1" x14ac:dyDescent="0.3">
      <c r="A747" s="1138" t="s">
        <v>264</v>
      </c>
      <c r="B747" s="1112" t="s">
        <v>223</v>
      </c>
      <c r="C747" s="1139" t="s">
        <v>1494</v>
      </c>
      <c r="D747" s="1112" t="s">
        <v>34</v>
      </c>
      <c r="E747" s="1140">
        <v>41</v>
      </c>
      <c r="F747" s="1140" t="s">
        <v>1481</v>
      </c>
      <c r="G747" s="1141" t="s">
        <v>1481</v>
      </c>
      <c r="H747" s="1142">
        <f>9443.34/4.98</f>
        <v>1896.2530120481927</v>
      </c>
      <c r="I747" s="1115" t="s">
        <v>36</v>
      </c>
      <c r="J747" s="1142">
        <f>AH747/4.98</f>
        <v>11456.194779116464</v>
      </c>
      <c r="K747" s="1637">
        <v>1566.61</v>
      </c>
      <c r="L747" s="1637">
        <f>K747+9296.17</f>
        <v>10862.78</v>
      </c>
      <c r="M747" s="1143" t="s">
        <v>183</v>
      </c>
      <c r="N747" s="1143" t="s">
        <v>1493</v>
      </c>
      <c r="O747" s="1143" t="s">
        <v>1480</v>
      </c>
      <c r="P747" s="1144" t="s">
        <v>64</v>
      </c>
      <c r="Q747" s="1145" t="s">
        <v>1481</v>
      </c>
      <c r="R747" s="1144" t="s">
        <v>64</v>
      </c>
      <c r="S747" s="1145" t="s">
        <v>1481</v>
      </c>
      <c r="T747" s="1144" t="s">
        <v>40</v>
      </c>
      <c r="U747" s="1145" t="s">
        <v>40</v>
      </c>
      <c r="V747" s="1144" t="s">
        <v>40</v>
      </c>
      <c r="W747" s="1145" t="s">
        <v>1481</v>
      </c>
      <c r="X747" s="1144" t="s">
        <v>64</v>
      </c>
      <c r="Y747" s="1145" t="s">
        <v>1481</v>
      </c>
      <c r="Z747" s="1144" t="s">
        <v>40</v>
      </c>
      <c r="AA747" s="1145" t="s">
        <v>40</v>
      </c>
      <c r="AB747" s="1144" t="s">
        <v>1481</v>
      </c>
      <c r="AC747" s="1145" t="s">
        <v>1481</v>
      </c>
      <c r="AD747" s="1145"/>
      <c r="AE747" s="1548" t="s">
        <v>1482</v>
      </c>
      <c r="AF747" s="1144" t="s">
        <v>1470</v>
      </c>
      <c r="AG747" s="1146" t="s">
        <v>1471</v>
      </c>
      <c r="AH747" s="1147">
        <v>57051.85</v>
      </c>
      <c r="AI747" s="1093"/>
      <c r="AJ747" s="232"/>
      <c r="AK747" s="1140" t="s">
        <v>1483</v>
      </c>
      <c r="AL747" s="1140" t="s">
        <v>64</v>
      </c>
      <c r="AM747" s="1140" t="s">
        <v>1495</v>
      </c>
      <c r="AN747" s="1149" t="s">
        <v>1481</v>
      </c>
    </row>
    <row r="748" spans="1:129" s="1121" customFormat="1" ht="28.8" x14ac:dyDescent="0.3">
      <c r="A748" s="1138" t="s">
        <v>264</v>
      </c>
      <c r="B748" s="1112" t="s">
        <v>223</v>
      </c>
      <c r="C748" s="1139" t="s">
        <v>1496</v>
      </c>
      <c r="D748" s="1112" t="s">
        <v>34</v>
      </c>
      <c r="E748" s="1140">
        <v>42</v>
      </c>
      <c r="F748" s="1140" t="s">
        <v>1481</v>
      </c>
      <c r="G748" s="1141" t="s">
        <v>1481</v>
      </c>
      <c r="H748" s="1142">
        <v>321.28514056224896</v>
      </c>
      <c r="I748" s="1115" t="s">
        <v>36</v>
      </c>
      <c r="J748" s="1142">
        <v>321.28514056224896</v>
      </c>
      <c r="K748" s="1636">
        <f>7801.72/4.98</f>
        <v>1566.6104417670681</v>
      </c>
      <c r="L748" s="1636">
        <v>321.29000000000002</v>
      </c>
      <c r="M748" s="1143" t="s">
        <v>183</v>
      </c>
      <c r="N748" s="1143" t="s">
        <v>1493</v>
      </c>
      <c r="O748" s="1143" t="s">
        <v>1480</v>
      </c>
      <c r="P748" s="1144" t="s">
        <v>40</v>
      </c>
      <c r="Q748" s="1145" t="s">
        <v>40</v>
      </c>
      <c r="R748" s="1144" t="s">
        <v>64</v>
      </c>
      <c r="S748" s="1145" t="s">
        <v>1481</v>
      </c>
      <c r="T748" s="1144" t="s">
        <v>40</v>
      </c>
      <c r="U748" s="1145" t="s">
        <v>40</v>
      </c>
      <c r="V748" s="1144" t="s">
        <v>40</v>
      </c>
      <c r="W748" s="1145" t="s">
        <v>1481</v>
      </c>
      <c r="X748" s="1144" t="s">
        <v>64</v>
      </c>
      <c r="Y748" s="1145" t="s">
        <v>1481</v>
      </c>
      <c r="Z748" s="1144" t="s">
        <v>40</v>
      </c>
      <c r="AA748" s="1145" t="s">
        <v>40</v>
      </c>
      <c r="AB748" s="1144" t="s">
        <v>1481</v>
      </c>
      <c r="AC748" s="1145" t="s">
        <v>1481</v>
      </c>
      <c r="AD748" s="1145"/>
      <c r="AE748" s="1548" t="s">
        <v>1497</v>
      </c>
      <c r="AF748" s="1144" t="s">
        <v>65</v>
      </c>
      <c r="AG748" s="1146">
        <v>2026</v>
      </c>
      <c r="AH748" s="1147">
        <v>1600</v>
      </c>
      <c r="AI748" s="1093"/>
      <c r="AJ748" s="232"/>
      <c r="AK748" s="1140" t="s">
        <v>1483</v>
      </c>
      <c r="AL748" s="1140" t="s">
        <v>64</v>
      </c>
      <c r="AM748" s="1150">
        <v>1</v>
      </c>
      <c r="AN748" s="1149" t="s">
        <v>1481</v>
      </c>
    </row>
    <row r="749" spans="1:129" s="1121" customFormat="1" ht="28.8" x14ac:dyDescent="0.3">
      <c r="A749" s="1138" t="s">
        <v>264</v>
      </c>
      <c r="B749" s="1112" t="s">
        <v>223</v>
      </c>
      <c r="C749" s="1139" t="s">
        <v>1498</v>
      </c>
      <c r="D749" s="1112" t="s">
        <v>34</v>
      </c>
      <c r="E749" s="1140">
        <v>42</v>
      </c>
      <c r="F749" s="1140" t="s">
        <v>1481</v>
      </c>
      <c r="G749" s="1141" t="s">
        <v>1481</v>
      </c>
      <c r="H749" s="1142">
        <v>4819.2771084337346</v>
      </c>
      <c r="I749" s="1115" t="s">
        <v>36</v>
      </c>
      <c r="J749" s="1142">
        <v>4819.2771084337346</v>
      </c>
      <c r="K749" s="1636">
        <f>3009.12</f>
        <v>3009.12</v>
      </c>
      <c r="L749" s="1636">
        <f>3009.12</f>
        <v>3009.12</v>
      </c>
      <c r="M749" s="1143" t="s">
        <v>183</v>
      </c>
      <c r="N749" s="1143" t="s">
        <v>1493</v>
      </c>
      <c r="O749" s="1143" t="s">
        <v>1480</v>
      </c>
      <c r="P749" s="1144" t="s">
        <v>40</v>
      </c>
      <c r="Q749" s="1145" t="s">
        <v>40</v>
      </c>
      <c r="R749" s="1144" t="s">
        <v>64</v>
      </c>
      <c r="S749" s="1145" t="s">
        <v>1481</v>
      </c>
      <c r="T749" s="1144" t="s">
        <v>40</v>
      </c>
      <c r="U749" s="1145" t="s">
        <v>40</v>
      </c>
      <c r="V749" s="1144" t="s">
        <v>40</v>
      </c>
      <c r="W749" s="1145" t="s">
        <v>1481</v>
      </c>
      <c r="X749" s="1144" t="s">
        <v>64</v>
      </c>
      <c r="Y749" s="1145" t="s">
        <v>1481</v>
      </c>
      <c r="Z749" s="1144" t="s">
        <v>40</v>
      </c>
      <c r="AA749" s="1145" t="s">
        <v>40</v>
      </c>
      <c r="AB749" s="1144" t="s">
        <v>1481</v>
      </c>
      <c r="AC749" s="1145" t="s">
        <v>1481</v>
      </c>
      <c r="AD749" s="1145"/>
      <c r="AE749" s="1548" t="s">
        <v>1482</v>
      </c>
      <c r="AF749" s="1144" t="s">
        <v>65</v>
      </c>
      <c r="AG749" s="1146">
        <v>2026</v>
      </c>
      <c r="AH749" s="1147">
        <v>24000</v>
      </c>
      <c r="AI749" s="1093"/>
      <c r="AJ749" s="232"/>
      <c r="AK749" s="1140" t="s">
        <v>1483</v>
      </c>
      <c r="AL749" s="1140" t="s">
        <v>64</v>
      </c>
      <c r="AM749" s="1150">
        <v>0.62439999999999996</v>
      </c>
      <c r="AN749" s="1149" t="s">
        <v>1481</v>
      </c>
    </row>
    <row r="750" spans="1:129" s="1121" customFormat="1" ht="28.8" x14ac:dyDescent="0.3">
      <c r="A750" s="1138" t="s">
        <v>264</v>
      </c>
      <c r="B750" s="1112" t="s">
        <v>223</v>
      </c>
      <c r="C750" s="1139" t="s">
        <v>1499</v>
      </c>
      <c r="D750" s="1112" t="s">
        <v>34</v>
      </c>
      <c r="E750" s="1140">
        <v>42</v>
      </c>
      <c r="F750" s="1140" t="s">
        <v>1481</v>
      </c>
      <c r="G750" s="1141" t="s">
        <v>1481</v>
      </c>
      <c r="H750" s="1142">
        <v>2409.6385542168673</v>
      </c>
      <c r="I750" s="1115" t="s">
        <v>36</v>
      </c>
      <c r="J750" s="1142">
        <v>2409.6385542168673</v>
      </c>
      <c r="K750" s="1636">
        <f>1285.14</f>
        <v>1285.1400000000001</v>
      </c>
      <c r="L750" s="1636">
        <f>1285.14</f>
        <v>1285.1400000000001</v>
      </c>
      <c r="M750" s="1143" t="s">
        <v>183</v>
      </c>
      <c r="N750" s="1143" t="s">
        <v>1493</v>
      </c>
      <c r="O750" s="1143" t="s">
        <v>1480</v>
      </c>
      <c r="P750" s="1144" t="s">
        <v>40</v>
      </c>
      <c r="Q750" s="1145" t="s">
        <v>40</v>
      </c>
      <c r="R750" s="1144" t="s">
        <v>64</v>
      </c>
      <c r="S750" s="1145" t="s">
        <v>1481</v>
      </c>
      <c r="T750" s="1144" t="s">
        <v>40</v>
      </c>
      <c r="U750" s="1145" t="s">
        <v>40</v>
      </c>
      <c r="V750" s="1144" t="s">
        <v>40</v>
      </c>
      <c r="W750" s="1145" t="s">
        <v>1481</v>
      </c>
      <c r="X750" s="1144" t="s">
        <v>64</v>
      </c>
      <c r="Y750" s="1145" t="s">
        <v>1481</v>
      </c>
      <c r="Z750" s="1144" t="s">
        <v>40</v>
      </c>
      <c r="AA750" s="1145" t="s">
        <v>40</v>
      </c>
      <c r="AB750" s="1144" t="s">
        <v>1481</v>
      </c>
      <c r="AC750" s="1145" t="s">
        <v>1481</v>
      </c>
      <c r="AD750" s="1145"/>
      <c r="AE750" s="1548" t="s">
        <v>1482</v>
      </c>
      <c r="AF750" s="1144" t="s">
        <v>65</v>
      </c>
      <c r="AG750" s="1146">
        <v>2026</v>
      </c>
      <c r="AH750" s="1147">
        <v>12000</v>
      </c>
      <c r="AI750" s="1093"/>
      <c r="AJ750" s="232"/>
      <c r="AK750" s="1140" t="s">
        <v>1483</v>
      </c>
      <c r="AL750" s="1140" t="s">
        <v>64</v>
      </c>
      <c r="AM750" s="1150">
        <v>0.5333</v>
      </c>
      <c r="AN750" s="1149" t="s">
        <v>1481</v>
      </c>
    </row>
    <row r="751" spans="1:129" s="1121" customFormat="1" ht="28.8" x14ac:dyDescent="0.3">
      <c r="A751" s="1138" t="s">
        <v>264</v>
      </c>
      <c r="B751" s="1112" t="s">
        <v>223</v>
      </c>
      <c r="C751" s="1139" t="s">
        <v>1500</v>
      </c>
      <c r="D751" s="1112" t="s">
        <v>34</v>
      </c>
      <c r="E751" s="1140">
        <v>41</v>
      </c>
      <c r="F751" s="1344" t="s">
        <v>1481</v>
      </c>
      <c r="G751" s="1141" t="s">
        <v>1481</v>
      </c>
      <c r="H751" s="1142">
        <v>16202.901606425701</v>
      </c>
      <c r="I751" s="1115" t="s">
        <v>36</v>
      </c>
      <c r="J751" s="1142">
        <v>16202.901606425701</v>
      </c>
      <c r="K751" s="1637">
        <v>14836.75</v>
      </c>
      <c r="L751" s="1637">
        <f>K751</f>
        <v>14836.75</v>
      </c>
      <c r="M751" s="1143" t="s">
        <v>183</v>
      </c>
      <c r="N751" s="1143" t="s">
        <v>1493</v>
      </c>
      <c r="O751" s="1143" t="s">
        <v>1480</v>
      </c>
      <c r="P751" s="1144" t="s">
        <v>64</v>
      </c>
      <c r="Q751" s="1145" t="s">
        <v>1481</v>
      </c>
      <c r="R751" s="1144" t="s">
        <v>64</v>
      </c>
      <c r="S751" s="1145" t="s">
        <v>1481</v>
      </c>
      <c r="T751" s="1144" t="s">
        <v>40</v>
      </c>
      <c r="U751" s="1145" t="s">
        <v>40</v>
      </c>
      <c r="V751" s="1144" t="s">
        <v>40</v>
      </c>
      <c r="W751" s="1145" t="s">
        <v>1481</v>
      </c>
      <c r="X751" s="1144" t="s">
        <v>64</v>
      </c>
      <c r="Y751" s="1145" t="s">
        <v>1481</v>
      </c>
      <c r="Z751" s="1144" t="s">
        <v>40</v>
      </c>
      <c r="AA751" s="1145" t="s">
        <v>40</v>
      </c>
      <c r="AB751" s="1144" t="s">
        <v>1481</v>
      </c>
      <c r="AC751" s="1145" t="s">
        <v>1481</v>
      </c>
      <c r="AD751" s="1145"/>
      <c r="AE751" s="1548" t="s">
        <v>1482</v>
      </c>
      <c r="AF751" s="1144" t="s">
        <v>1470</v>
      </c>
      <c r="AG751" s="1146" t="s">
        <v>1471</v>
      </c>
      <c r="AH751" s="1147">
        <v>80690.45</v>
      </c>
      <c r="AI751" s="1093"/>
      <c r="AJ751" s="232"/>
      <c r="AK751" s="1140" t="s">
        <v>1483</v>
      </c>
      <c r="AL751" s="1140" t="s">
        <v>64</v>
      </c>
      <c r="AM751" s="1148" t="s">
        <v>1501</v>
      </c>
      <c r="AN751" s="1149" t="s">
        <v>1481</v>
      </c>
    </row>
    <row r="752" spans="1:129" s="1121" customFormat="1" ht="28.8" x14ac:dyDescent="0.3">
      <c r="A752" s="1138" t="s">
        <v>264</v>
      </c>
      <c r="B752" s="1112" t="s">
        <v>223</v>
      </c>
      <c r="C752" s="1139" t="s">
        <v>1502</v>
      </c>
      <c r="D752" s="1112" t="s">
        <v>34</v>
      </c>
      <c r="E752" s="1140">
        <v>42</v>
      </c>
      <c r="F752" s="1140" t="s">
        <v>1481</v>
      </c>
      <c r="G752" s="1141" t="s">
        <v>1481</v>
      </c>
      <c r="H752" s="1142">
        <v>803.21285140562247</v>
      </c>
      <c r="I752" s="1115" t="s">
        <v>36</v>
      </c>
      <c r="J752" s="1142">
        <v>803.21285140562247</v>
      </c>
      <c r="K752" s="1636">
        <v>803.21</v>
      </c>
      <c r="L752" s="1636">
        <v>803.21</v>
      </c>
      <c r="M752" s="1143" t="s">
        <v>183</v>
      </c>
      <c r="N752" s="1143" t="s">
        <v>1493</v>
      </c>
      <c r="O752" s="1143" t="s">
        <v>1480</v>
      </c>
      <c r="P752" s="1144" t="s">
        <v>40</v>
      </c>
      <c r="Q752" s="1145" t="s">
        <v>40</v>
      </c>
      <c r="R752" s="1144" t="s">
        <v>64</v>
      </c>
      <c r="S752" s="1145" t="s">
        <v>1481</v>
      </c>
      <c r="T752" s="1144" t="s">
        <v>40</v>
      </c>
      <c r="U752" s="1145" t="s">
        <v>40</v>
      </c>
      <c r="V752" s="1144" t="s">
        <v>40</v>
      </c>
      <c r="W752" s="1145" t="s">
        <v>1481</v>
      </c>
      <c r="X752" s="1144" t="s">
        <v>64</v>
      </c>
      <c r="Y752" s="1145" t="s">
        <v>1481</v>
      </c>
      <c r="Z752" s="1144" t="s">
        <v>40</v>
      </c>
      <c r="AA752" s="1145" t="s">
        <v>40</v>
      </c>
      <c r="AB752" s="1144" t="s">
        <v>1481</v>
      </c>
      <c r="AC752" s="1145" t="s">
        <v>1481</v>
      </c>
      <c r="AD752" s="1145"/>
      <c r="AE752" s="1548" t="s">
        <v>1503</v>
      </c>
      <c r="AF752" s="1144" t="s">
        <v>65</v>
      </c>
      <c r="AG752" s="1146">
        <v>2026</v>
      </c>
      <c r="AH752" s="1147">
        <v>4000</v>
      </c>
      <c r="AI752" s="1093"/>
      <c r="AJ752" s="232"/>
      <c r="AK752" s="1140" t="s">
        <v>1483</v>
      </c>
      <c r="AL752" s="1140" t="s">
        <v>41</v>
      </c>
      <c r="AM752" s="1150">
        <v>1</v>
      </c>
      <c r="AN752" s="1149" t="s">
        <v>1481</v>
      </c>
    </row>
    <row r="753" spans="1:40" s="1121" customFormat="1" ht="14.4" x14ac:dyDescent="0.3">
      <c r="A753" s="1138" t="s">
        <v>264</v>
      </c>
      <c r="B753" s="1112" t="s">
        <v>223</v>
      </c>
      <c r="C753" s="1139" t="s">
        <v>1504</v>
      </c>
      <c r="D753" s="1123" t="s">
        <v>34</v>
      </c>
      <c r="E753" s="1140">
        <v>41</v>
      </c>
      <c r="F753" s="1140"/>
      <c r="G753" s="1141"/>
      <c r="H753" s="1142">
        <v>0</v>
      </c>
      <c r="I753" s="1115" t="s">
        <v>36</v>
      </c>
      <c r="J753" s="1142">
        <f>4000/4.98</f>
        <v>803.21285140562247</v>
      </c>
      <c r="K753" s="1637">
        <v>0</v>
      </c>
      <c r="L753" s="1637">
        <v>803.21</v>
      </c>
      <c r="M753" s="1143" t="s">
        <v>183</v>
      </c>
      <c r="N753" s="1143"/>
      <c r="O753" s="1143"/>
      <c r="P753" s="1130"/>
      <c r="Q753" s="1132"/>
      <c r="R753" s="1130"/>
      <c r="S753" s="1132"/>
      <c r="T753" s="1130"/>
      <c r="U753" s="1132"/>
      <c r="V753" s="1130"/>
      <c r="W753" s="1132"/>
      <c r="X753" s="1130"/>
      <c r="Y753" s="1132"/>
      <c r="Z753" s="1130"/>
      <c r="AA753" s="1132"/>
      <c r="AB753" s="1130"/>
      <c r="AC753" s="1132"/>
      <c r="AD753" s="1132"/>
      <c r="AE753" s="1549"/>
      <c r="AF753" s="1144"/>
      <c r="AG753" s="1146"/>
      <c r="AH753" s="1147">
        <v>4000</v>
      </c>
      <c r="AI753" s="1093"/>
      <c r="AJ753" s="232"/>
      <c r="AK753" s="1140"/>
      <c r="AL753" s="1140"/>
      <c r="AM753" s="1150"/>
      <c r="AN753" s="1149"/>
    </row>
    <row r="754" spans="1:40" s="1121" customFormat="1" ht="28.8" x14ac:dyDescent="0.3">
      <c r="A754" s="1138" t="s">
        <v>264</v>
      </c>
      <c r="B754" s="1112" t="s">
        <v>223</v>
      </c>
      <c r="C754" s="1139" t="s">
        <v>1505</v>
      </c>
      <c r="D754" s="1112" t="s">
        <v>34</v>
      </c>
      <c r="E754" s="1140">
        <v>41</v>
      </c>
      <c r="F754" s="1140" t="s">
        <v>1481</v>
      </c>
      <c r="G754" s="1141" t="s">
        <v>1481</v>
      </c>
      <c r="H754" s="1142">
        <v>16477.377510040158</v>
      </c>
      <c r="I754" s="1115" t="s">
        <v>36</v>
      </c>
      <c r="J754" s="1142">
        <v>16477.377510040158</v>
      </c>
      <c r="K754" s="1637">
        <v>9993.6299999999992</v>
      </c>
      <c r="L754" s="1637">
        <f>K754</f>
        <v>9993.6299999999992</v>
      </c>
      <c r="M754" s="1143" t="s">
        <v>183</v>
      </c>
      <c r="N754" s="1143" t="s">
        <v>1487</v>
      </c>
      <c r="O754" s="1143" t="s">
        <v>1480</v>
      </c>
      <c r="P754" s="1144" t="s">
        <v>64</v>
      </c>
      <c r="Q754" s="1145" t="s">
        <v>1481</v>
      </c>
      <c r="R754" s="1144" t="s">
        <v>64</v>
      </c>
      <c r="S754" s="1145" t="s">
        <v>1481</v>
      </c>
      <c r="T754" s="1144" t="s">
        <v>40</v>
      </c>
      <c r="U754" s="1145" t="s">
        <v>40</v>
      </c>
      <c r="V754" s="1144" t="s">
        <v>40</v>
      </c>
      <c r="W754" s="1145" t="s">
        <v>1481</v>
      </c>
      <c r="X754" s="1144" t="s">
        <v>64</v>
      </c>
      <c r="Y754" s="1145" t="s">
        <v>1481</v>
      </c>
      <c r="Z754" s="1144" t="s">
        <v>40</v>
      </c>
      <c r="AA754" s="1145" t="s">
        <v>40</v>
      </c>
      <c r="AB754" s="1144" t="s">
        <v>1481</v>
      </c>
      <c r="AC754" s="1145" t="s">
        <v>1481</v>
      </c>
      <c r="AD754" s="1145"/>
      <c r="AE754" s="1548" t="s">
        <v>1482</v>
      </c>
      <c r="AF754" s="1144" t="s">
        <v>1470</v>
      </c>
      <c r="AG754" s="1146" t="s">
        <v>1471</v>
      </c>
      <c r="AH754" s="1147">
        <v>82057.34</v>
      </c>
      <c r="AI754" s="1093"/>
      <c r="AJ754" s="232"/>
      <c r="AK754" s="1140" t="s">
        <v>1483</v>
      </c>
      <c r="AL754" s="1140" t="s">
        <v>64</v>
      </c>
      <c r="AM754" s="1140" t="s">
        <v>1506</v>
      </c>
      <c r="AN754" s="1149" t="s">
        <v>1481</v>
      </c>
    </row>
    <row r="755" spans="1:40" s="1121" customFormat="1" ht="28.8" x14ac:dyDescent="0.3">
      <c r="A755" s="1138" t="s">
        <v>264</v>
      </c>
      <c r="B755" s="1112" t="s">
        <v>223</v>
      </c>
      <c r="C755" s="1139" t="s">
        <v>1507</v>
      </c>
      <c r="D755" s="1112" t="s">
        <v>34</v>
      </c>
      <c r="E755" s="1140">
        <v>41</v>
      </c>
      <c r="F755" s="1140" t="s">
        <v>1481</v>
      </c>
      <c r="G755" s="1141" t="s">
        <v>1481</v>
      </c>
      <c r="H755" s="1142">
        <v>803.21285140562247</v>
      </c>
      <c r="I755" s="1115" t="s">
        <v>36</v>
      </c>
      <c r="J755" s="1142">
        <v>803.21285140562247</v>
      </c>
      <c r="K755" s="1636">
        <v>803.21</v>
      </c>
      <c r="L755" s="1636">
        <v>803.21</v>
      </c>
      <c r="M755" s="1143" t="s">
        <v>183</v>
      </c>
      <c r="N755" s="1143" t="s">
        <v>1487</v>
      </c>
      <c r="O755" s="1143" t="s">
        <v>1480</v>
      </c>
      <c r="P755" s="1144" t="s">
        <v>40</v>
      </c>
      <c r="Q755" s="1145" t="s">
        <v>40</v>
      </c>
      <c r="R755" s="1144" t="s">
        <v>64</v>
      </c>
      <c r="S755" s="1145" t="s">
        <v>1481</v>
      </c>
      <c r="T755" s="1144" t="s">
        <v>40</v>
      </c>
      <c r="U755" s="1145" t="s">
        <v>40</v>
      </c>
      <c r="V755" s="1144" t="s">
        <v>40</v>
      </c>
      <c r="W755" s="1145" t="s">
        <v>1481</v>
      </c>
      <c r="X755" s="1144" t="s">
        <v>64</v>
      </c>
      <c r="Y755" s="1145" t="s">
        <v>1481</v>
      </c>
      <c r="Z755" s="1144" t="s">
        <v>40</v>
      </c>
      <c r="AA755" s="1145" t="s">
        <v>40</v>
      </c>
      <c r="AB755" s="1144" t="s">
        <v>1481</v>
      </c>
      <c r="AC755" s="1145" t="s">
        <v>1481</v>
      </c>
      <c r="AD755" s="1145"/>
      <c r="AE755" s="1548" t="s">
        <v>1503</v>
      </c>
      <c r="AF755" s="1144" t="s">
        <v>65</v>
      </c>
      <c r="AG755" s="1146">
        <v>2026</v>
      </c>
      <c r="AH755" s="1147">
        <v>4000</v>
      </c>
      <c r="AI755" s="1093"/>
      <c r="AJ755" s="232"/>
      <c r="AK755" s="1140" t="s">
        <v>1483</v>
      </c>
      <c r="AL755" s="1140" t="s">
        <v>41</v>
      </c>
      <c r="AM755" s="1150">
        <v>0</v>
      </c>
      <c r="AN755" s="1149" t="s">
        <v>1481</v>
      </c>
    </row>
    <row r="756" spans="1:40" s="1418" customFormat="1" ht="28.8" x14ac:dyDescent="0.3">
      <c r="A756" s="1438" t="s">
        <v>264</v>
      </c>
      <c r="B756" s="1405" t="s">
        <v>223</v>
      </c>
      <c r="C756" s="1439" t="s">
        <v>3841</v>
      </c>
      <c r="D756" s="1405" t="s">
        <v>34</v>
      </c>
      <c r="E756" s="1440">
        <v>42</v>
      </c>
      <c r="F756" s="1440"/>
      <c r="G756" s="1441"/>
      <c r="H756" s="1442">
        <v>1127578.3032128513</v>
      </c>
      <c r="I756" s="1417" t="s">
        <v>36</v>
      </c>
      <c r="J756" s="1442">
        <v>1127578.3032128513</v>
      </c>
      <c r="K756" s="1637"/>
      <c r="L756" s="1637"/>
      <c r="M756" s="1443" t="s">
        <v>183</v>
      </c>
      <c r="N756" s="1443" t="s">
        <v>1487</v>
      </c>
      <c r="O756" s="1443" t="s">
        <v>1480</v>
      </c>
      <c r="P756" s="1444"/>
      <c r="Q756" s="1445"/>
      <c r="R756" s="1444"/>
      <c r="S756" s="1445"/>
      <c r="T756" s="1444"/>
      <c r="U756" s="1445"/>
      <c r="V756" s="1444"/>
      <c r="W756" s="1445"/>
      <c r="X756" s="1444"/>
      <c r="Y756" s="1445"/>
      <c r="Z756" s="1444"/>
      <c r="AA756" s="1445"/>
      <c r="AB756" s="1444"/>
      <c r="AC756" s="1445"/>
      <c r="AD756" s="1445"/>
      <c r="AE756" s="1550"/>
      <c r="AF756" s="1444"/>
      <c r="AG756" s="1446"/>
      <c r="AH756" s="1447">
        <v>5615339.9500000002</v>
      </c>
      <c r="AI756" s="1410" t="s">
        <v>3842</v>
      </c>
      <c r="AJ756" s="1411"/>
      <c r="AK756" s="1440"/>
      <c r="AL756" s="1440"/>
      <c r="AM756" s="1448"/>
      <c r="AN756" s="1449"/>
    </row>
    <row r="757" spans="1:40" s="1418" customFormat="1" ht="28.8" x14ac:dyDescent="0.3">
      <c r="A757" s="1438" t="s">
        <v>264</v>
      </c>
      <c r="B757" s="1405" t="s">
        <v>223</v>
      </c>
      <c r="C757" s="1439" t="s">
        <v>3843</v>
      </c>
      <c r="D757" s="1405" t="s">
        <v>34</v>
      </c>
      <c r="E757" s="1440">
        <v>42</v>
      </c>
      <c r="F757" s="1440"/>
      <c r="G757" s="1441"/>
      <c r="H757" s="1442">
        <f>12000/4.98</f>
        <v>2409.6385542168673</v>
      </c>
      <c r="I757" s="1417" t="s">
        <v>36</v>
      </c>
      <c r="J757" s="1442">
        <v>2409.64</v>
      </c>
      <c r="K757" s="1637"/>
      <c r="L757" s="1637"/>
      <c r="M757" s="1443" t="s">
        <v>183</v>
      </c>
      <c r="N757" s="1443" t="s">
        <v>1487</v>
      </c>
      <c r="O757" s="1443" t="s">
        <v>1480</v>
      </c>
      <c r="P757" s="1444"/>
      <c r="Q757" s="1445"/>
      <c r="R757" s="1444"/>
      <c r="S757" s="1445"/>
      <c r="T757" s="1444"/>
      <c r="U757" s="1445"/>
      <c r="V757" s="1444"/>
      <c r="W757" s="1445"/>
      <c r="X757" s="1444"/>
      <c r="Y757" s="1445"/>
      <c r="Z757" s="1444"/>
      <c r="AA757" s="1445"/>
      <c r="AB757" s="1444"/>
      <c r="AC757" s="1445"/>
      <c r="AD757" s="1445"/>
      <c r="AE757" s="1550" t="s">
        <v>3844</v>
      </c>
      <c r="AF757" s="1444"/>
      <c r="AG757" s="1446"/>
      <c r="AH757" s="1447">
        <v>12000</v>
      </c>
      <c r="AI757" s="1410">
        <v>22097304</v>
      </c>
      <c r="AJ757" s="1411"/>
      <c r="AK757" s="1440"/>
      <c r="AL757" s="1440"/>
      <c r="AM757" s="1448"/>
      <c r="AN757" s="1449"/>
    </row>
    <row r="758" spans="1:40" s="1418" customFormat="1" ht="14.4" x14ac:dyDescent="0.3">
      <c r="A758" s="1438" t="s">
        <v>264</v>
      </c>
      <c r="B758" s="1405" t="s">
        <v>223</v>
      </c>
      <c r="C758" s="1439" t="s">
        <v>3845</v>
      </c>
      <c r="D758" s="1405" t="s">
        <v>34</v>
      </c>
      <c r="E758" s="1440">
        <v>42</v>
      </c>
      <c r="F758" s="1440"/>
      <c r="G758" s="1441"/>
      <c r="H758" s="1442">
        <v>13654.618473895582</v>
      </c>
      <c r="I758" s="1417" t="s">
        <v>36</v>
      </c>
      <c r="J758" s="1442">
        <v>13654.618473895582</v>
      </c>
      <c r="K758" s="1637"/>
      <c r="L758" s="1637"/>
      <c r="M758" s="1443" t="s">
        <v>183</v>
      </c>
      <c r="N758" s="1443" t="s">
        <v>1487</v>
      </c>
      <c r="O758" s="1443"/>
      <c r="P758" s="1444"/>
      <c r="Q758" s="1445"/>
      <c r="R758" s="1444"/>
      <c r="S758" s="1445"/>
      <c r="T758" s="1444"/>
      <c r="U758" s="1445"/>
      <c r="V758" s="1444"/>
      <c r="W758" s="1445"/>
      <c r="X758" s="1444"/>
      <c r="Y758" s="1445"/>
      <c r="Z758" s="1444"/>
      <c r="AA758" s="1445"/>
      <c r="AB758" s="1444"/>
      <c r="AC758" s="1445"/>
      <c r="AD758" s="1445"/>
      <c r="AE758" s="1550"/>
      <c r="AF758" s="1444"/>
      <c r="AG758" s="1446"/>
      <c r="AH758" s="1447">
        <v>68000</v>
      </c>
      <c r="AI758" s="1410">
        <v>15884134</v>
      </c>
      <c r="AJ758" s="1411"/>
      <c r="AK758" s="1440"/>
      <c r="AL758" s="1440"/>
      <c r="AM758" s="1448"/>
      <c r="AN758" s="1449"/>
    </row>
    <row r="759" spans="1:40" s="1121" customFormat="1" ht="28.8" x14ac:dyDescent="0.3">
      <c r="A759" s="1138" t="s">
        <v>264</v>
      </c>
      <c r="B759" s="1112" t="s">
        <v>223</v>
      </c>
      <c r="C759" s="1139" t="s">
        <v>1508</v>
      </c>
      <c r="D759" s="1112" t="s">
        <v>34</v>
      </c>
      <c r="E759" s="1140">
        <v>41</v>
      </c>
      <c r="F759" s="1140" t="s">
        <v>1481</v>
      </c>
      <c r="G759" s="1141" t="s">
        <v>1481</v>
      </c>
      <c r="H759" s="1142">
        <v>10020.080321285141</v>
      </c>
      <c r="I759" s="1115" t="s">
        <v>36</v>
      </c>
      <c r="J759" s="1142">
        <v>10020.080321285141</v>
      </c>
      <c r="K759" s="1637">
        <v>7329.32</v>
      </c>
      <c r="L759" s="1637">
        <f>K759</f>
        <v>7329.32</v>
      </c>
      <c r="M759" s="1143" t="s">
        <v>183</v>
      </c>
      <c r="N759" s="1143" t="s">
        <v>1493</v>
      </c>
      <c r="O759" s="1143" t="s">
        <v>1480</v>
      </c>
      <c r="P759" s="1144" t="s">
        <v>64</v>
      </c>
      <c r="Q759" s="1145" t="s">
        <v>1481</v>
      </c>
      <c r="R759" s="1144" t="s">
        <v>64</v>
      </c>
      <c r="S759" s="1145" t="s">
        <v>1481</v>
      </c>
      <c r="T759" s="1144" t="s">
        <v>40</v>
      </c>
      <c r="U759" s="1145" t="s">
        <v>40</v>
      </c>
      <c r="V759" s="1144" t="s">
        <v>40</v>
      </c>
      <c r="W759" s="1145" t="s">
        <v>1481</v>
      </c>
      <c r="X759" s="1144" t="s">
        <v>64</v>
      </c>
      <c r="Y759" s="1145" t="s">
        <v>1481</v>
      </c>
      <c r="Z759" s="1144" t="s">
        <v>40</v>
      </c>
      <c r="AA759" s="1145" t="s">
        <v>40</v>
      </c>
      <c r="AB759" s="1144" t="s">
        <v>1481</v>
      </c>
      <c r="AC759" s="1145" t="s">
        <v>1481</v>
      </c>
      <c r="AD759" s="1145"/>
      <c r="AE759" s="1548" t="s">
        <v>1482</v>
      </c>
      <c r="AF759" s="1144" t="s">
        <v>1470</v>
      </c>
      <c r="AG759" s="1146">
        <v>0.99851924975320827</v>
      </c>
      <c r="AH759" s="1147">
        <v>49900</v>
      </c>
      <c r="AI759" s="1093"/>
      <c r="AJ759" s="232"/>
      <c r="AK759" s="1140" t="s">
        <v>1483</v>
      </c>
      <c r="AL759" s="1140" t="s">
        <v>64</v>
      </c>
      <c r="AM759" s="1148">
        <v>0.73150000000000004</v>
      </c>
      <c r="AN759" s="1149" t="s">
        <v>1481</v>
      </c>
    </row>
    <row r="760" spans="1:40" s="1418" customFormat="1" ht="14.4" x14ac:dyDescent="0.3">
      <c r="A760" s="1438" t="s">
        <v>264</v>
      </c>
      <c r="B760" s="1405" t="s">
        <v>223</v>
      </c>
      <c r="C760" s="1439" t="s">
        <v>3848</v>
      </c>
      <c r="D760" s="1405" t="s">
        <v>34</v>
      </c>
      <c r="E760" s="1440">
        <v>42</v>
      </c>
      <c r="F760" s="1440"/>
      <c r="G760" s="1441"/>
      <c r="H760" s="1442">
        <v>1807.2289156626505</v>
      </c>
      <c r="I760" s="1417" t="s">
        <v>36</v>
      </c>
      <c r="J760" s="1442">
        <v>1807.2289156626505</v>
      </c>
      <c r="K760" s="1637"/>
      <c r="L760" s="1637"/>
      <c r="M760" s="1443" t="s">
        <v>183</v>
      </c>
      <c r="N760" s="1443" t="s">
        <v>1493</v>
      </c>
      <c r="O760" s="1443"/>
      <c r="P760" s="1444"/>
      <c r="Q760" s="1445"/>
      <c r="R760" s="1444"/>
      <c r="S760" s="1445"/>
      <c r="T760" s="1444"/>
      <c r="U760" s="1445"/>
      <c r="V760" s="1444"/>
      <c r="W760" s="1445"/>
      <c r="X760" s="1444"/>
      <c r="Y760" s="1445"/>
      <c r="Z760" s="1444"/>
      <c r="AA760" s="1445"/>
      <c r="AB760" s="1444"/>
      <c r="AC760" s="1445"/>
      <c r="AD760" s="1445"/>
      <c r="AE760" s="1550"/>
      <c r="AF760" s="1444"/>
      <c r="AG760" s="1446"/>
      <c r="AH760" s="1447">
        <v>9000</v>
      </c>
      <c r="AI760" s="1410">
        <v>15884134</v>
      </c>
      <c r="AJ760" s="1411"/>
      <c r="AK760" s="1440"/>
      <c r="AL760" s="1440"/>
      <c r="AM760" s="1450"/>
      <c r="AN760" s="1449"/>
    </row>
    <row r="761" spans="1:40" s="1418" customFormat="1" ht="14.4" x14ac:dyDescent="0.3">
      <c r="A761" s="1438" t="s">
        <v>264</v>
      </c>
      <c r="B761" s="1405" t="s">
        <v>223</v>
      </c>
      <c r="C761" s="1439" t="s">
        <v>3850</v>
      </c>
      <c r="D761" s="1405" t="s">
        <v>34</v>
      </c>
      <c r="E761" s="1440">
        <v>42</v>
      </c>
      <c r="F761" s="1440"/>
      <c r="G761" s="1441"/>
      <c r="H761" s="1442">
        <v>602.40963855421683</v>
      </c>
      <c r="I761" s="1417" t="s">
        <v>36</v>
      </c>
      <c r="J761" s="1442">
        <v>602.40963855421683</v>
      </c>
      <c r="K761" s="1637"/>
      <c r="L761" s="1637"/>
      <c r="M761" s="1443" t="s">
        <v>183</v>
      </c>
      <c r="N761" s="1443" t="s">
        <v>1493</v>
      </c>
      <c r="O761" s="1443"/>
      <c r="P761" s="1444"/>
      <c r="Q761" s="1445"/>
      <c r="R761" s="1444"/>
      <c r="S761" s="1445"/>
      <c r="T761" s="1444"/>
      <c r="U761" s="1445"/>
      <c r="V761" s="1444"/>
      <c r="W761" s="1445"/>
      <c r="X761" s="1444"/>
      <c r="Y761" s="1445"/>
      <c r="Z761" s="1444"/>
      <c r="AA761" s="1445"/>
      <c r="AB761" s="1444"/>
      <c r="AC761" s="1445"/>
      <c r="AD761" s="1445"/>
      <c r="AE761" s="1550"/>
      <c r="AF761" s="1444"/>
      <c r="AG761" s="1446"/>
      <c r="AH761" s="1447">
        <v>3000</v>
      </c>
      <c r="AI761" s="1415">
        <v>22097304</v>
      </c>
      <c r="AJ761" s="1411"/>
      <c r="AK761" s="1440"/>
      <c r="AL761" s="1440"/>
      <c r="AM761" s="1450"/>
      <c r="AN761" s="1449"/>
    </row>
    <row r="762" spans="1:40" s="1121" customFormat="1" ht="43.2" x14ac:dyDescent="0.3">
      <c r="A762" s="1138" t="s">
        <v>264</v>
      </c>
      <c r="B762" s="1112" t="s">
        <v>223</v>
      </c>
      <c r="C762" s="1139" t="s">
        <v>1509</v>
      </c>
      <c r="D762" s="1112" t="s">
        <v>34</v>
      </c>
      <c r="E762" s="1140">
        <v>42</v>
      </c>
      <c r="F762" s="1140" t="s">
        <v>1481</v>
      </c>
      <c r="G762" s="1141" t="s">
        <v>1481</v>
      </c>
      <c r="H762" s="1142">
        <v>361.4457831325301</v>
      </c>
      <c r="I762" s="1115" t="s">
        <v>36</v>
      </c>
      <c r="J762" s="1142">
        <v>361.4457831325301</v>
      </c>
      <c r="K762" s="1636">
        <v>361.45</v>
      </c>
      <c r="L762" s="1636">
        <v>361.45</v>
      </c>
      <c r="M762" s="1143" t="s">
        <v>183</v>
      </c>
      <c r="N762" s="1143" t="s">
        <v>1493</v>
      </c>
      <c r="O762" s="1143" t="s">
        <v>1480</v>
      </c>
      <c r="P762" s="1144" t="s">
        <v>40</v>
      </c>
      <c r="Q762" s="1145" t="s">
        <v>40</v>
      </c>
      <c r="R762" s="1144" t="s">
        <v>64</v>
      </c>
      <c r="S762" s="1145" t="s">
        <v>1481</v>
      </c>
      <c r="T762" s="1144" t="s">
        <v>40</v>
      </c>
      <c r="U762" s="1145" t="s">
        <v>40</v>
      </c>
      <c r="V762" s="1144" t="s">
        <v>40</v>
      </c>
      <c r="W762" s="1145" t="s">
        <v>1481</v>
      </c>
      <c r="X762" s="1144" t="s">
        <v>64</v>
      </c>
      <c r="Y762" s="1145" t="s">
        <v>1481</v>
      </c>
      <c r="Z762" s="1144" t="s">
        <v>40</v>
      </c>
      <c r="AA762" s="1145" t="s">
        <v>40</v>
      </c>
      <c r="AB762" s="1144" t="s">
        <v>1481</v>
      </c>
      <c r="AC762" s="1145" t="s">
        <v>1481</v>
      </c>
      <c r="AD762" s="1145"/>
      <c r="AE762" s="1548" t="s">
        <v>1510</v>
      </c>
      <c r="AF762" s="1144" t="s">
        <v>65</v>
      </c>
      <c r="AG762" s="1146">
        <v>2026</v>
      </c>
      <c r="AH762" s="1147">
        <v>1800</v>
      </c>
      <c r="AI762" s="1093"/>
      <c r="AJ762" s="232"/>
      <c r="AK762" s="1140" t="s">
        <v>1483</v>
      </c>
      <c r="AL762" s="1140" t="s">
        <v>64</v>
      </c>
      <c r="AM762" s="1150">
        <v>1</v>
      </c>
      <c r="AN762" s="1149" t="s">
        <v>1481</v>
      </c>
    </row>
    <row r="763" spans="1:40" s="1418" customFormat="1" ht="14.4" x14ac:dyDescent="0.3">
      <c r="A763" s="1438" t="s">
        <v>264</v>
      </c>
      <c r="B763" s="1405" t="s">
        <v>223</v>
      </c>
      <c r="C763" s="1439" t="s">
        <v>3849</v>
      </c>
      <c r="D763" s="1405" t="s">
        <v>34</v>
      </c>
      <c r="E763" s="1440">
        <v>42</v>
      </c>
      <c r="F763" s="1440"/>
      <c r="G763" s="1441"/>
      <c r="H763" s="1442">
        <v>11244.979919678713</v>
      </c>
      <c r="I763" s="1417"/>
      <c r="J763" s="1442">
        <v>11244.979919678713</v>
      </c>
      <c r="K763" s="1636"/>
      <c r="L763" s="1636"/>
      <c r="M763" s="1443" t="s">
        <v>183</v>
      </c>
      <c r="N763" s="1443"/>
      <c r="O763" s="1443"/>
      <c r="P763" s="1444"/>
      <c r="Q763" s="1445"/>
      <c r="R763" s="1444"/>
      <c r="S763" s="1445"/>
      <c r="T763" s="1444"/>
      <c r="U763" s="1445"/>
      <c r="V763" s="1444"/>
      <c r="W763" s="1445"/>
      <c r="X763" s="1444"/>
      <c r="Y763" s="1445"/>
      <c r="Z763" s="1444"/>
      <c r="AA763" s="1445"/>
      <c r="AB763" s="1444"/>
      <c r="AC763" s="1445"/>
      <c r="AD763" s="1445"/>
      <c r="AE763" s="1550"/>
      <c r="AF763" s="1444"/>
      <c r="AG763" s="1446"/>
      <c r="AH763" s="1447">
        <v>56000</v>
      </c>
      <c r="AI763" s="1410">
        <v>1590120</v>
      </c>
      <c r="AJ763" s="1411"/>
      <c r="AK763" s="1440"/>
      <c r="AL763" s="1440"/>
      <c r="AM763" s="1448"/>
      <c r="AN763" s="1449"/>
    </row>
    <row r="764" spans="1:40" s="1418" customFormat="1" ht="14.4" x14ac:dyDescent="0.3">
      <c r="A764" s="1438" t="s">
        <v>264</v>
      </c>
      <c r="B764" s="1405" t="s">
        <v>223</v>
      </c>
      <c r="C764" s="1439" t="s">
        <v>3847</v>
      </c>
      <c r="D764" s="1405" t="s">
        <v>34</v>
      </c>
      <c r="E764" s="1440"/>
      <c r="F764" s="1440"/>
      <c r="G764" s="1441"/>
      <c r="H764" s="1442">
        <v>2409.6385542168673</v>
      </c>
      <c r="I764" s="1417"/>
      <c r="J764" s="1442">
        <v>2409.6385542168673</v>
      </c>
      <c r="K764" s="1636"/>
      <c r="L764" s="1636"/>
      <c r="M764" s="1443" t="s">
        <v>183</v>
      </c>
      <c r="N764" s="1443"/>
      <c r="O764" s="1443"/>
      <c r="P764" s="1444"/>
      <c r="Q764" s="1445"/>
      <c r="R764" s="1444"/>
      <c r="S764" s="1445"/>
      <c r="T764" s="1444"/>
      <c r="U764" s="1445"/>
      <c r="V764" s="1444"/>
      <c r="W764" s="1445"/>
      <c r="X764" s="1444"/>
      <c r="Y764" s="1445"/>
      <c r="Z764" s="1444"/>
      <c r="AA764" s="1445"/>
      <c r="AB764" s="1444"/>
      <c r="AC764" s="1445"/>
      <c r="AD764" s="1445"/>
      <c r="AE764" s="1550"/>
      <c r="AF764" s="1444"/>
      <c r="AG764" s="1446"/>
      <c r="AH764" s="1447">
        <v>12000</v>
      </c>
      <c r="AI764" s="1410">
        <v>22097304</v>
      </c>
      <c r="AJ764" s="1411"/>
      <c r="AK764" s="1440"/>
      <c r="AL764" s="1440"/>
      <c r="AM764" s="1448"/>
      <c r="AN764" s="1449"/>
    </row>
    <row r="765" spans="1:40" s="1121" customFormat="1" ht="14.4" x14ac:dyDescent="0.3">
      <c r="A765" s="1138" t="s">
        <v>264</v>
      </c>
      <c r="B765" s="1112" t="s">
        <v>223</v>
      </c>
      <c r="C765" s="1139" t="s">
        <v>3846</v>
      </c>
      <c r="D765" s="1112" t="s">
        <v>34</v>
      </c>
      <c r="E765" s="1140">
        <v>42</v>
      </c>
      <c r="F765" s="1140"/>
      <c r="G765" s="1141"/>
      <c r="H765" s="1142">
        <v>993975.9</v>
      </c>
      <c r="I765" s="1115" t="s">
        <v>36</v>
      </c>
      <c r="J765" s="1142">
        <v>993975.9</v>
      </c>
      <c r="K765" s="1636">
        <v>0</v>
      </c>
      <c r="L765" s="1636">
        <v>0</v>
      </c>
      <c r="M765" s="1143" t="s">
        <v>183</v>
      </c>
      <c r="N765" s="1143"/>
      <c r="O765" s="1143"/>
      <c r="P765" s="1144"/>
      <c r="Q765" s="1145"/>
      <c r="R765" s="1144"/>
      <c r="S765" s="1145"/>
      <c r="T765" s="1144"/>
      <c r="U765" s="1145"/>
      <c r="V765" s="1144"/>
      <c r="W765" s="1145"/>
      <c r="X765" s="1144"/>
      <c r="Y765" s="1145"/>
      <c r="Z765" s="1144"/>
      <c r="AA765" s="1145"/>
      <c r="AB765" s="1144"/>
      <c r="AC765" s="1145"/>
      <c r="AD765" s="1145"/>
      <c r="AE765" s="1548"/>
      <c r="AF765" s="1144"/>
      <c r="AG765" s="1146"/>
      <c r="AH765" s="1147">
        <v>4950000</v>
      </c>
      <c r="AI765" s="1093"/>
      <c r="AJ765" s="232"/>
      <c r="AK765" s="1140"/>
      <c r="AL765" s="1140"/>
      <c r="AM765" s="1150">
        <v>0</v>
      </c>
      <c r="AN765" s="1149"/>
    </row>
    <row r="766" spans="1:40" s="1121" customFormat="1" ht="28.2" customHeight="1" x14ac:dyDescent="0.3">
      <c r="A766" s="1138" t="s">
        <v>264</v>
      </c>
      <c r="B766" s="1112" t="s">
        <v>223</v>
      </c>
      <c r="C766" s="1139" t="s">
        <v>1511</v>
      </c>
      <c r="D766" s="1112" t="s">
        <v>34</v>
      </c>
      <c r="E766" s="1140">
        <v>42</v>
      </c>
      <c r="F766" s="1140"/>
      <c r="G766" s="1141"/>
      <c r="H766" s="1142">
        <v>194450.6</v>
      </c>
      <c r="I766" s="1115" t="s">
        <v>36</v>
      </c>
      <c r="J766" s="1142">
        <v>194450.6</v>
      </c>
      <c r="K766" s="1636">
        <v>0</v>
      </c>
      <c r="L766" s="1636">
        <v>0</v>
      </c>
      <c r="M766" s="1143" t="s">
        <v>183</v>
      </c>
      <c r="N766" s="1143"/>
      <c r="O766" s="1143"/>
      <c r="P766" s="1144"/>
      <c r="Q766" s="1145"/>
      <c r="R766" s="1144"/>
      <c r="S766" s="1145"/>
      <c r="T766" s="1144"/>
      <c r="U766" s="1145"/>
      <c r="V766" s="1144"/>
      <c r="W766" s="1145"/>
      <c r="X766" s="1144"/>
      <c r="Y766" s="1145"/>
      <c r="Z766" s="1144"/>
      <c r="AA766" s="1145"/>
      <c r="AB766" s="1144"/>
      <c r="AC766" s="1145"/>
      <c r="AD766" s="1145"/>
      <c r="AE766" s="1548"/>
      <c r="AF766" s="1144"/>
      <c r="AG766" s="1146"/>
      <c r="AH766" s="1147">
        <v>968364</v>
      </c>
      <c r="AI766" s="1093"/>
      <c r="AJ766" s="232"/>
      <c r="AK766" s="1140"/>
      <c r="AL766" s="1140"/>
      <c r="AM766" s="1150">
        <v>0</v>
      </c>
      <c r="AN766" s="1149"/>
    </row>
    <row r="767" spans="1:40" s="1121" customFormat="1" ht="28.8" x14ac:dyDescent="0.3">
      <c r="A767" s="1138" t="s">
        <v>264</v>
      </c>
      <c r="B767" s="1112" t="s">
        <v>223</v>
      </c>
      <c r="C767" s="1139" t="s">
        <v>1512</v>
      </c>
      <c r="D767" s="1112" t="s">
        <v>34</v>
      </c>
      <c r="E767" s="1140">
        <v>42</v>
      </c>
      <c r="F767" s="1140" t="s">
        <v>1481</v>
      </c>
      <c r="G767" s="1141" t="s">
        <v>1481</v>
      </c>
      <c r="H767" s="1142">
        <v>803.21285140562247</v>
      </c>
      <c r="I767" s="1115" t="s">
        <v>36</v>
      </c>
      <c r="J767" s="1142">
        <v>803.21285140562247</v>
      </c>
      <c r="K767" s="1636">
        <v>803.21</v>
      </c>
      <c r="L767" s="1636">
        <v>803.21</v>
      </c>
      <c r="M767" s="1143" t="s">
        <v>183</v>
      </c>
      <c r="N767" s="1143" t="s">
        <v>1493</v>
      </c>
      <c r="O767" s="1143" t="s">
        <v>1480</v>
      </c>
      <c r="P767" s="1144" t="s">
        <v>40</v>
      </c>
      <c r="Q767" s="1145" t="s">
        <v>40</v>
      </c>
      <c r="R767" s="1144" t="s">
        <v>64</v>
      </c>
      <c r="S767" s="1145" t="s">
        <v>1481</v>
      </c>
      <c r="T767" s="1144" t="s">
        <v>40</v>
      </c>
      <c r="U767" s="1145" t="s">
        <v>40</v>
      </c>
      <c r="V767" s="1144" t="s">
        <v>40</v>
      </c>
      <c r="W767" s="1145" t="s">
        <v>1481</v>
      </c>
      <c r="X767" s="1144" t="s">
        <v>64</v>
      </c>
      <c r="Y767" s="1145" t="s">
        <v>1481</v>
      </c>
      <c r="Z767" s="1144" t="s">
        <v>40</v>
      </c>
      <c r="AA767" s="1145" t="s">
        <v>40</v>
      </c>
      <c r="AB767" s="1144" t="s">
        <v>1481</v>
      </c>
      <c r="AC767" s="1145" t="s">
        <v>1481</v>
      </c>
      <c r="AD767" s="1145"/>
      <c r="AE767" s="1548" t="s">
        <v>1510</v>
      </c>
      <c r="AF767" s="1144" t="s">
        <v>65</v>
      </c>
      <c r="AG767" s="1146">
        <v>2026</v>
      </c>
      <c r="AH767" s="1147">
        <v>4000</v>
      </c>
      <c r="AI767" s="1093"/>
      <c r="AJ767" s="232"/>
      <c r="AK767" s="1140" t="s">
        <v>1483</v>
      </c>
      <c r="AL767" s="1140" t="s">
        <v>64</v>
      </c>
      <c r="AM767" s="1150">
        <v>1</v>
      </c>
      <c r="AN767" s="1149" t="s">
        <v>1481</v>
      </c>
    </row>
    <row r="768" spans="1:40" s="1121" customFormat="1" ht="28.8" x14ac:dyDescent="0.3">
      <c r="A768" s="1138" t="s">
        <v>264</v>
      </c>
      <c r="B768" s="1112" t="s">
        <v>223</v>
      </c>
      <c r="C768" s="1139" t="s">
        <v>1513</v>
      </c>
      <c r="D768" s="1112" t="s">
        <v>34</v>
      </c>
      <c r="E768" s="1140">
        <v>41</v>
      </c>
      <c r="F768" s="1140" t="s">
        <v>1481</v>
      </c>
      <c r="G768" s="1141" t="s">
        <v>1481</v>
      </c>
      <c r="H768" s="1142">
        <v>803.21285140562247</v>
      </c>
      <c r="I768" s="1115" t="s">
        <v>36</v>
      </c>
      <c r="J768" s="1142">
        <v>803.21285140562247</v>
      </c>
      <c r="K768" s="1636">
        <v>803.21</v>
      </c>
      <c r="L768" s="1636">
        <v>803.21</v>
      </c>
      <c r="M768" s="1143" t="s">
        <v>183</v>
      </c>
      <c r="N768" s="1143" t="s">
        <v>1493</v>
      </c>
      <c r="O768" s="1143" t="s">
        <v>1480</v>
      </c>
      <c r="P768" s="1144" t="s">
        <v>40</v>
      </c>
      <c r="Q768" s="1145" t="s">
        <v>40</v>
      </c>
      <c r="R768" s="1144" t="s">
        <v>64</v>
      </c>
      <c r="S768" s="1145" t="s">
        <v>1481</v>
      </c>
      <c r="T768" s="1144" t="s">
        <v>40</v>
      </c>
      <c r="U768" s="1145" t="s">
        <v>40</v>
      </c>
      <c r="V768" s="1144" t="s">
        <v>40</v>
      </c>
      <c r="W768" s="1145" t="s">
        <v>1481</v>
      </c>
      <c r="X768" s="1144" t="s">
        <v>64</v>
      </c>
      <c r="Y768" s="1145" t="s">
        <v>1481</v>
      </c>
      <c r="Z768" s="1144" t="s">
        <v>40</v>
      </c>
      <c r="AA768" s="1145" t="s">
        <v>40</v>
      </c>
      <c r="AB768" s="1144" t="s">
        <v>1481</v>
      </c>
      <c r="AC768" s="1145" t="s">
        <v>1481</v>
      </c>
      <c r="AD768" s="1145"/>
      <c r="AE768" s="1548" t="s">
        <v>1503</v>
      </c>
      <c r="AF768" s="1144" t="s">
        <v>65</v>
      </c>
      <c r="AG768" s="1146">
        <v>2026</v>
      </c>
      <c r="AH768" s="1147">
        <v>4000</v>
      </c>
      <c r="AI768" s="1093"/>
      <c r="AJ768" s="232"/>
      <c r="AK768" s="1140" t="s">
        <v>1483</v>
      </c>
      <c r="AL768" s="1140" t="s">
        <v>41</v>
      </c>
      <c r="AM768" s="1150">
        <v>1</v>
      </c>
      <c r="AN768" s="1149" t="s">
        <v>1481</v>
      </c>
    </row>
    <row r="769" spans="1:40" s="1121" customFormat="1" ht="28.8" x14ac:dyDescent="0.3">
      <c r="A769" s="111" t="s">
        <v>264</v>
      </c>
      <c r="B769" s="1112" t="s">
        <v>223</v>
      </c>
      <c r="C769" s="1152" t="s">
        <v>1514</v>
      </c>
      <c r="D769" s="1112" t="s">
        <v>34</v>
      </c>
      <c r="E769" s="111">
        <v>41</v>
      </c>
      <c r="F769" s="111"/>
      <c r="G769" s="1153"/>
      <c r="H769" s="323">
        <v>42971.887550200801</v>
      </c>
      <c r="I769" s="1115" t="s">
        <v>36</v>
      </c>
      <c r="J769" s="323">
        <v>42971.887550200801</v>
      </c>
      <c r="K769" s="1636">
        <v>36746.99</v>
      </c>
      <c r="L769" s="1636">
        <v>36746.99</v>
      </c>
      <c r="M769" s="115" t="s">
        <v>69</v>
      </c>
      <c r="N769" s="115" t="s">
        <v>1515</v>
      </c>
      <c r="O769" s="115" t="s">
        <v>1516</v>
      </c>
      <c r="P769" s="230" t="s">
        <v>64</v>
      </c>
      <c r="Q769" s="1154" t="str">
        <f t="shared" ref="Q769:Q782" si="8">IF(P769="NA","NA","")</f>
        <v/>
      </c>
      <c r="R769" s="230" t="s">
        <v>64</v>
      </c>
      <c r="S769" s="1154" t="str">
        <f t="shared" ref="S769:S782" si="9">IF(R769="NA","NA","")</f>
        <v/>
      </c>
      <c r="T769" s="230" t="s">
        <v>40</v>
      </c>
      <c r="U769" s="1154" t="str">
        <f t="shared" ref="U769:U779" si="10">IF(T769="NA","NA","")</f>
        <v>NA</v>
      </c>
      <c r="V769" s="230" t="s">
        <v>64</v>
      </c>
      <c r="W769" s="1154" t="str">
        <f t="shared" ref="W769:W779" si="11">IF(V769="NA","NA","")</f>
        <v/>
      </c>
      <c r="X769" s="230" t="s">
        <v>64</v>
      </c>
      <c r="Y769" s="1154" t="str">
        <f t="shared" ref="Y769:Y782" si="12">IF(X769="NA","NA","")</f>
        <v/>
      </c>
      <c r="Z769" s="230" t="s">
        <v>40</v>
      </c>
      <c r="AA769" s="1154" t="str">
        <f t="shared" ref="AA769:AA779" si="13">IF(Z769="NA","NA","")</f>
        <v>NA</v>
      </c>
      <c r="AB769" s="230" t="s">
        <v>1517</v>
      </c>
      <c r="AC769" s="1154" t="str">
        <f t="shared" ref="AC769:AC779" si="14">IF(AB769="NA","NA","")</f>
        <v/>
      </c>
      <c r="AD769" s="1154"/>
      <c r="AE769" s="1551">
        <v>46203</v>
      </c>
      <c r="AF769" s="230" t="s">
        <v>1470</v>
      </c>
      <c r="AG769" s="1155" t="s">
        <v>1471</v>
      </c>
      <c r="AH769" s="1156">
        <v>214000</v>
      </c>
      <c r="AI769" s="1093"/>
      <c r="AJ769" s="232"/>
      <c r="AK769" s="1114" t="s">
        <v>43</v>
      </c>
      <c r="AL769" s="111" t="s">
        <v>70</v>
      </c>
      <c r="AM769" s="1157" t="s">
        <v>1518</v>
      </c>
      <c r="AN769" s="287"/>
    </row>
    <row r="770" spans="1:40" s="1121" customFormat="1" ht="43.95" customHeight="1" x14ac:dyDescent="0.3">
      <c r="A770" s="111" t="s">
        <v>264</v>
      </c>
      <c r="B770" s="1112" t="s">
        <v>223</v>
      </c>
      <c r="C770" s="1152" t="s">
        <v>1519</v>
      </c>
      <c r="D770" s="1112" t="s">
        <v>34</v>
      </c>
      <c r="E770" s="111">
        <v>42</v>
      </c>
      <c r="F770" s="111"/>
      <c r="G770" s="1153"/>
      <c r="H770" s="323">
        <v>481170.02</v>
      </c>
      <c r="I770" s="1115" t="s">
        <v>36</v>
      </c>
      <c r="J770" s="323">
        <v>481170.02</v>
      </c>
      <c r="K770" s="1636">
        <v>0</v>
      </c>
      <c r="L770" s="1636">
        <v>0</v>
      </c>
      <c r="M770" s="115" t="s">
        <v>69</v>
      </c>
      <c r="N770" s="115"/>
      <c r="O770" s="115"/>
      <c r="P770" s="230"/>
      <c r="Q770" s="1154"/>
      <c r="R770" s="230"/>
      <c r="S770" s="1154"/>
      <c r="T770" s="230"/>
      <c r="U770" s="1154"/>
      <c r="V770" s="230"/>
      <c r="W770" s="1154"/>
      <c r="X770" s="230"/>
      <c r="Y770" s="1154"/>
      <c r="Z770" s="230"/>
      <c r="AA770" s="1154"/>
      <c r="AB770" s="230"/>
      <c r="AC770" s="1154"/>
      <c r="AD770" s="1154"/>
      <c r="AE770" s="1551"/>
      <c r="AF770" s="230"/>
      <c r="AG770" s="1155"/>
      <c r="AH770" s="1156">
        <v>2396226.71</v>
      </c>
      <c r="AI770" s="1093"/>
      <c r="AJ770" s="232"/>
      <c r="AK770" s="1114"/>
      <c r="AL770" s="111"/>
      <c r="AM770" s="1157" t="s">
        <v>1520</v>
      </c>
      <c r="AN770" s="287"/>
    </row>
    <row r="771" spans="1:40" s="1121" customFormat="1" ht="43.2" x14ac:dyDescent="0.3">
      <c r="A771" s="111" t="s">
        <v>264</v>
      </c>
      <c r="B771" s="1112" t="s">
        <v>223</v>
      </c>
      <c r="C771" s="1152" t="s">
        <v>1521</v>
      </c>
      <c r="D771" s="1112" t="s">
        <v>34</v>
      </c>
      <c r="E771" s="111">
        <v>41</v>
      </c>
      <c r="F771" s="111"/>
      <c r="G771" s="1153"/>
      <c r="H771" s="323">
        <v>1947.7911646586344</v>
      </c>
      <c r="I771" s="1115" t="s">
        <v>36</v>
      </c>
      <c r="J771" s="323">
        <v>1947.7911646586344</v>
      </c>
      <c r="K771" s="1636">
        <v>1947.79</v>
      </c>
      <c r="L771" s="1636">
        <v>1947.79</v>
      </c>
      <c r="M771" s="115" t="s">
        <v>69</v>
      </c>
      <c r="N771" s="115" t="s">
        <v>1515</v>
      </c>
      <c r="O771" s="115" t="s">
        <v>1516</v>
      </c>
      <c r="P771" s="230" t="s">
        <v>40</v>
      </c>
      <c r="Q771" s="1154" t="str">
        <f t="shared" si="8"/>
        <v>NA</v>
      </c>
      <c r="R771" s="230" t="s">
        <v>64</v>
      </c>
      <c r="S771" s="1154" t="str">
        <f t="shared" si="9"/>
        <v/>
      </c>
      <c r="T771" s="230" t="s">
        <v>40</v>
      </c>
      <c r="U771" s="1154" t="str">
        <f t="shared" si="10"/>
        <v>NA</v>
      </c>
      <c r="V771" s="230" t="s">
        <v>64</v>
      </c>
      <c r="W771" s="1154" t="str">
        <f t="shared" si="11"/>
        <v/>
      </c>
      <c r="X771" s="230" t="s">
        <v>64</v>
      </c>
      <c r="Y771" s="1154" t="str">
        <f t="shared" si="12"/>
        <v/>
      </c>
      <c r="Z771" s="230" t="s">
        <v>40</v>
      </c>
      <c r="AA771" s="1154" t="str">
        <f t="shared" si="13"/>
        <v>NA</v>
      </c>
      <c r="AB771" s="230" t="s">
        <v>1517</v>
      </c>
      <c r="AC771" s="1154" t="str">
        <f t="shared" si="14"/>
        <v/>
      </c>
      <c r="AD771" s="1154"/>
      <c r="AE771" s="1551"/>
      <c r="AF771" s="230" t="s">
        <v>65</v>
      </c>
      <c r="AG771" s="1155">
        <v>2023</v>
      </c>
      <c r="AH771" s="1156">
        <v>9700</v>
      </c>
      <c r="AI771" s="1093"/>
      <c r="AJ771" s="232"/>
      <c r="AK771" s="1114" t="s">
        <v>1522</v>
      </c>
      <c r="AL771" s="111" t="s">
        <v>70</v>
      </c>
      <c r="AM771" s="1157" t="s">
        <v>1523</v>
      </c>
      <c r="AN771" s="287" t="s">
        <v>1524</v>
      </c>
    </row>
    <row r="772" spans="1:40" s="1121" customFormat="1" ht="28.8" x14ac:dyDescent="0.3">
      <c r="A772" s="111" t="s">
        <v>264</v>
      </c>
      <c r="B772" s="1112" t="s">
        <v>223</v>
      </c>
      <c r="C772" s="1152" t="s">
        <v>1525</v>
      </c>
      <c r="D772" s="1112" t="s">
        <v>34</v>
      </c>
      <c r="E772" s="111">
        <v>41</v>
      </c>
      <c r="F772" s="111"/>
      <c r="G772" s="1153"/>
      <c r="H772" s="323">
        <v>47188.755020080316</v>
      </c>
      <c r="I772" s="1115" t="s">
        <v>36</v>
      </c>
      <c r="J772" s="323">
        <v>47188.755020080316</v>
      </c>
      <c r="K772" s="1636">
        <v>40562.25</v>
      </c>
      <c r="L772" s="1636">
        <v>40562.25</v>
      </c>
      <c r="M772" s="115" t="s">
        <v>69</v>
      </c>
      <c r="N772" s="115" t="s">
        <v>1526</v>
      </c>
      <c r="O772" s="115" t="s">
        <v>1516</v>
      </c>
      <c r="P772" s="230" t="s">
        <v>64</v>
      </c>
      <c r="Q772" s="1154" t="str">
        <f t="shared" si="8"/>
        <v/>
      </c>
      <c r="R772" s="230" t="s">
        <v>64</v>
      </c>
      <c r="S772" s="1154" t="str">
        <f t="shared" si="9"/>
        <v/>
      </c>
      <c r="T772" s="230" t="s">
        <v>40</v>
      </c>
      <c r="U772" s="1154" t="str">
        <f t="shared" si="10"/>
        <v>NA</v>
      </c>
      <c r="V772" s="230" t="s">
        <v>64</v>
      </c>
      <c r="W772" s="1154" t="str">
        <f t="shared" si="11"/>
        <v/>
      </c>
      <c r="X772" s="230" t="s">
        <v>64</v>
      </c>
      <c r="Y772" s="1154" t="str">
        <f t="shared" si="12"/>
        <v/>
      </c>
      <c r="Z772" s="230" t="s">
        <v>40</v>
      </c>
      <c r="AA772" s="1154" t="str">
        <f t="shared" si="13"/>
        <v>NA</v>
      </c>
      <c r="AB772" s="230" t="s">
        <v>1517</v>
      </c>
      <c r="AC772" s="1154" t="str">
        <f t="shared" si="14"/>
        <v/>
      </c>
      <c r="AD772" s="1154"/>
      <c r="AE772" s="1551">
        <v>46203</v>
      </c>
      <c r="AF772" s="230" t="s">
        <v>1470</v>
      </c>
      <c r="AG772" s="1155" t="s">
        <v>1471</v>
      </c>
      <c r="AH772" s="1156">
        <v>235000</v>
      </c>
      <c r="AI772" s="1093"/>
      <c r="AJ772" s="232"/>
      <c r="AK772" s="1114" t="s">
        <v>43</v>
      </c>
      <c r="AL772" s="111" t="s">
        <v>70</v>
      </c>
      <c r="AM772" s="1157" t="s">
        <v>1527</v>
      </c>
      <c r="AN772" s="287"/>
    </row>
    <row r="773" spans="1:40" s="1121" customFormat="1" ht="43.2" x14ac:dyDescent="0.3">
      <c r="A773" s="111" t="s">
        <v>264</v>
      </c>
      <c r="B773" s="1112" t="s">
        <v>223</v>
      </c>
      <c r="C773" s="1152" t="s">
        <v>1528</v>
      </c>
      <c r="D773" s="1112" t="s">
        <v>34</v>
      </c>
      <c r="E773" s="111">
        <v>41</v>
      </c>
      <c r="F773" s="111"/>
      <c r="G773" s="1153"/>
      <c r="H773" s="323">
        <v>1947.7911646586344</v>
      </c>
      <c r="I773" s="1115" t="s">
        <v>36</v>
      </c>
      <c r="J773" s="323">
        <v>1947.7911646586344</v>
      </c>
      <c r="K773" s="1636">
        <v>1947.79</v>
      </c>
      <c r="L773" s="1636">
        <v>1947.79</v>
      </c>
      <c r="M773" s="115" t="s">
        <v>69</v>
      </c>
      <c r="N773" s="115" t="s">
        <v>1526</v>
      </c>
      <c r="O773" s="115" t="s">
        <v>1516</v>
      </c>
      <c r="P773" s="230" t="s">
        <v>40</v>
      </c>
      <c r="Q773" s="1154" t="str">
        <f t="shared" si="8"/>
        <v>NA</v>
      </c>
      <c r="R773" s="230" t="s">
        <v>64</v>
      </c>
      <c r="S773" s="1154" t="str">
        <f t="shared" si="9"/>
        <v/>
      </c>
      <c r="T773" s="230" t="s">
        <v>40</v>
      </c>
      <c r="U773" s="1154" t="str">
        <f t="shared" si="10"/>
        <v>NA</v>
      </c>
      <c r="V773" s="230" t="s">
        <v>64</v>
      </c>
      <c r="W773" s="1154" t="str">
        <f t="shared" si="11"/>
        <v/>
      </c>
      <c r="X773" s="230" t="s">
        <v>64</v>
      </c>
      <c r="Y773" s="1154" t="str">
        <f t="shared" si="12"/>
        <v/>
      </c>
      <c r="Z773" s="230" t="s">
        <v>40</v>
      </c>
      <c r="AA773" s="1154" t="str">
        <f t="shared" si="13"/>
        <v>NA</v>
      </c>
      <c r="AB773" s="230" t="s">
        <v>1517</v>
      </c>
      <c r="AC773" s="1154" t="str">
        <f t="shared" si="14"/>
        <v/>
      </c>
      <c r="AD773" s="1154"/>
      <c r="AE773" s="1551"/>
      <c r="AF773" s="230" t="s">
        <v>65</v>
      </c>
      <c r="AG773" s="1155">
        <v>2023</v>
      </c>
      <c r="AH773" s="1156">
        <v>9700</v>
      </c>
      <c r="AI773" s="1093"/>
      <c r="AJ773" s="232"/>
      <c r="AK773" s="1114" t="s">
        <v>1522</v>
      </c>
      <c r="AL773" s="111" t="s">
        <v>70</v>
      </c>
      <c r="AM773" s="1157" t="s">
        <v>1523</v>
      </c>
      <c r="AN773" s="287" t="s">
        <v>1524</v>
      </c>
    </row>
    <row r="774" spans="1:40" s="1121" customFormat="1" ht="34.200000000000003" customHeight="1" x14ac:dyDescent="0.3">
      <c r="A774" s="111" t="s">
        <v>264</v>
      </c>
      <c r="B774" s="1112" t="s">
        <v>223</v>
      </c>
      <c r="C774" s="1152" t="s">
        <v>1529</v>
      </c>
      <c r="D774" s="1112" t="s">
        <v>34</v>
      </c>
      <c r="E774" s="111">
        <v>42</v>
      </c>
      <c r="F774" s="111"/>
      <c r="G774" s="1153"/>
      <c r="H774" s="323">
        <v>1079473.93</v>
      </c>
      <c r="I774" s="1115" t="s">
        <v>36</v>
      </c>
      <c r="J774" s="323">
        <v>1079473.93</v>
      </c>
      <c r="K774" s="1636">
        <v>0</v>
      </c>
      <c r="L774" s="1636">
        <v>0</v>
      </c>
      <c r="M774" s="115" t="s">
        <v>69</v>
      </c>
      <c r="N774" s="115"/>
      <c r="O774" s="115"/>
      <c r="P774" s="230"/>
      <c r="Q774" s="1154"/>
      <c r="R774" s="230"/>
      <c r="S774" s="1154"/>
      <c r="T774" s="230"/>
      <c r="U774" s="1154"/>
      <c r="V774" s="230"/>
      <c r="W774" s="1154"/>
      <c r="X774" s="230"/>
      <c r="Y774" s="1154"/>
      <c r="Z774" s="230"/>
      <c r="AA774" s="1154"/>
      <c r="AB774" s="230"/>
      <c r="AC774" s="1154"/>
      <c r="AD774" s="1154"/>
      <c r="AE774" s="1551"/>
      <c r="AF774" s="230"/>
      <c r="AG774" s="1155"/>
      <c r="AH774" s="1156">
        <v>5375780.1699999999</v>
      </c>
      <c r="AI774" s="1093"/>
      <c r="AJ774" s="232"/>
      <c r="AK774" s="1114"/>
      <c r="AL774" s="111"/>
      <c r="AM774" s="1157" t="s">
        <v>1520</v>
      </c>
      <c r="AN774" s="287"/>
    </row>
    <row r="775" spans="1:40" s="1121" customFormat="1" ht="57.6" x14ac:dyDescent="0.3">
      <c r="A775" s="111" t="s">
        <v>264</v>
      </c>
      <c r="B775" s="1112" t="s">
        <v>223</v>
      </c>
      <c r="C775" s="1152" t="s">
        <v>1530</v>
      </c>
      <c r="D775" s="1112" t="s">
        <v>34</v>
      </c>
      <c r="E775" s="111">
        <v>42</v>
      </c>
      <c r="F775" s="116"/>
      <c r="G775" s="287" t="s">
        <v>1531</v>
      </c>
      <c r="H775" s="323">
        <v>737797.00401606422</v>
      </c>
      <c r="I775" s="1115" t="s">
        <v>36</v>
      </c>
      <c r="J775" s="323">
        <v>737797.00401606422</v>
      </c>
      <c r="K775" s="1636">
        <f>376862.12+6959.02+34.8</f>
        <v>383855.94</v>
      </c>
      <c r="L775" s="1636">
        <f>K775</f>
        <v>383855.94</v>
      </c>
      <c r="M775" s="115" t="s">
        <v>69</v>
      </c>
      <c r="N775" s="115" t="s">
        <v>1526</v>
      </c>
      <c r="O775" s="115" t="s">
        <v>1516</v>
      </c>
      <c r="P775" s="230" t="s">
        <v>64</v>
      </c>
      <c r="Q775" s="1154" t="str">
        <f t="shared" si="8"/>
        <v/>
      </c>
      <c r="R775" s="230" t="s">
        <v>64</v>
      </c>
      <c r="S775" s="1154" t="str">
        <f t="shared" si="9"/>
        <v/>
      </c>
      <c r="T775" s="230" t="s">
        <v>40</v>
      </c>
      <c r="U775" s="1154" t="str">
        <f t="shared" si="10"/>
        <v>NA</v>
      </c>
      <c r="V775" s="230" t="s">
        <v>64</v>
      </c>
      <c r="W775" s="1154" t="str">
        <f t="shared" si="11"/>
        <v/>
      </c>
      <c r="X775" s="230" t="s">
        <v>64</v>
      </c>
      <c r="Y775" s="1154" t="str">
        <f t="shared" si="12"/>
        <v/>
      </c>
      <c r="Z775" s="230" t="s">
        <v>40</v>
      </c>
      <c r="AA775" s="1154" t="str">
        <f t="shared" si="13"/>
        <v>NA</v>
      </c>
      <c r="AB775" s="230" t="s">
        <v>1517</v>
      </c>
      <c r="AC775" s="1154" t="str">
        <f t="shared" si="14"/>
        <v/>
      </c>
      <c r="AD775" s="1154"/>
      <c r="AE775" s="1551">
        <v>46132</v>
      </c>
      <c r="AF775" s="230" t="s">
        <v>1470</v>
      </c>
      <c r="AG775" s="1155" t="s">
        <v>1471</v>
      </c>
      <c r="AH775" s="1156">
        <v>3674229.08</v>
      </c>
      <c r="AI775" s="1093"/>
      <c r="AJ775" s="232"/>
      <c r="AK775" s="1114" t="s">
        <v>43</v>
      </c>
      <c r="AL775" s="111" t="s">
        <v>1517</v>
      </c>
      <c r="AM775" s="1157" t="s">
        <v>1532</v>
      </c>
      <c r="AN775" s="287"/>
    </row>
    <row r="776" spans="1:40" s="1121" customFormat="1" ht="28.8" x14ac:dyDescent="0.3">
      <c r="A776" s="111" t="s">
        <v>264</v>
      </c>
      <c r="B776" s="1112" t="s">
        <v>223</v>
      </c>
      <c r="C776" s="1152" t="s">
        <v>1533</v>
      </c>
      <c r="D776" s="1112" t="s">
        <v>34</v>
      </c>
      <c r="E776" s="111">
        <v>41</v>
      </c>
      <c r="F776" s="111"/>
      <c r="G776" s="1153"/>
      <c r="H776" s="323">
        <f>9000/4.98</f>
        <v>1807.2289156626505</v>
      </c>
      <c r="I776" s="1115" t="s">
        <v>36</v>
      </c>
      <c r="J776" s="323">
        <f>AH776/4.98</f>
        <v>40481.927710843367</v>
      </c>
      <c r="K776" s="1638">
        <v>1807.22</v>
      </c>
      <c r="L776" s="1638">
        <f>K776+37570.28</f>
        <v>39377.5</v>
      </c>
      <c r="M776" s="115" t="s">
        <v>69</v>
      </c>
      <c r="N776" s="115" t="s">
        <v>1526</v>
      </c>
      <c r="O776" s="115" t="s">
        <v>1516</v>
      </c>
      <c r="P776" s="230" t="s">
        <v>64</v>
      </c>
      <c r="Q776" s="1154" t="str">
        <f t="shared" si="8"/>
        <v/>
      </c>
      <c r="R776" s="230" t="s">
        <v>64</v>
      </c>
      <c r="S776" s="1154" t="str">
        <f t="shared" si="9"/>
        <v/>
      </c>
      <c r="T776" s="230" t="s">
        <v>40</v>
      </c>
      <c r="U776" s="1154" t="str">
        <f t="shared" si="10"/>
        <v>NA</v>
      </c>
      <c r="V776" s="230" t="s">
        <v>64</v>
      </c>
      <c r="W776" s="1154" t="str">
        <f t="shared" si="11"/>
        <v/>
      </c>
      <c r="X776" s="230" t="s">
        <v>64</v>
      </c>
      <c r="Y776" s="1154" t="str">
        <f t="shared" si="12"/>
        <v/>
      </c>
      <c r="Z776" s="230" t="s">
        <v>40</v>
      </c>
      <c r="AA776" s="1154" t="str">
        <f t="shared" si="13"/>
        <v>NA</v>
      </c>
      <c r="AB776" s="230" t="s">
        <v>1517</v>
      </c>
      <c r="AC776" s="1154" t="str">
        <f t="shared" si="14"/>
        <v/>
      </c>
      <c r="AD776" s="1154"/>
      <c r="AE776" s="1551">
        <v>46203</v>
      </c>
      <c r="AF776" s="230" t="s">
        <v>1470</v>
      </c>
      <c r="AG776" s="1155" t="s">
        <v>1471</v>
      </c>
      <c r="AH776" s="1156">
        <v>201600</v>
      </c>
      <c r="AI776" s="1093"/>
      <c r="AJ776" s="232"/>
      <c r="AK776" s="1114" t="s">
        <v>43</v>
      </c>
      <c r="AL776" s="111" t="s">
        <v>70</v>
      </c>
      <c r="AM776" s="1157" t="s">
        <v>1534</v>
      </c>
      <c r="AN776" s="287"/>
    </row>
    <row r="777" spans="1:40" s="1121" customFormat="1" ht="43.2" x14ac:dyDescent="0.3">
      <c r="A777" s="111" t="s">
        <v>264</v>
      </c>
      <c r="B777" s="1112" t="s">
        <v>223</v>
      </c>
      <c r="C777" s="1152" t="s">
        <v>1535</v>
      </c>
      <c r="D777" s="1123" t="s">
        <v>34</v>
      </c>
      <c r="E777" s="111">
        <v>41</v>
      </c>
      <c r="F777" s="111"/>
      <c r="G777" s="1153"/>
      <c r="H777" s="323">
        <v>0</v>
      </c>
      <c r="I777" s="1115" t="s">
        <v>36</v>
      </c>
      <c r="J777" s="323">
        <v>1706.8273092369477</v>
      </c>
      <c r="K777" s="1638">
        <v>0</v>
      </c>
      <c r="L777" s="1638">
        <v>1706.83</v>
      </c>
      <c r="M777" s="115" t="s">
        <v>69</v>
      </c>
      <c r="N777" s="115" t="s">
        <v>1526</v>
      </c>
      <c r="O777" s="115" t="s">
        <v>1516</v>
      </c>
      <c r="P777" s="1158" t="s">
        <v>40</v>
      </c>
      <c r="Q777" s="1159" t="str">
        <f t="shared" si="8"/>
        <v>NA</v>
      </c>
      <c r="R777" s="1158" t="s">
        <v>64</v>
      </c>
      <c r="S777" s="1159" t="str">
        <f t="shared" si="9"/>
        <v/>
      </c>
      <c r="T777" s="1158" t="s">
        <v>40</v>
      </c>
      <c r="U777" s="1159" t="str">
        <f t="shared" si="10"/>
        <v>NA</v>
      </c>
      <c r="V777" s="1158" t="s">
        <v>64</v>
      </c>
      <c r="W777" s="1159" t="str">
        <f t="shared" si="11"/>
        <v/>
      </c>
      <c r="X777" s="1158" t="s">
        <v>64</v>
      </c>
      <c r="Y777" s="1159" t="str">
        <f t="shared" si="12"/>
        <v/>
      </c>
      <c r="Z777" s="1158" t="s">
        <v>40</v>
      </c>
      <c r="AA777" s="1159" t="str">
        <f t="shared" si="13"/>
        <v>NA</v>
      </c>
      <c r="AB777" s="1158" t="s">
        <v>1517</v>
      </c>
      <c r="AC777" s="1159" t="str">
        <f t="shared" si="14"/>
        <v/>
      </c>
      <c r="AD777" s="1159"/>
      <c r="AE777" s="1552">
        <v>44701</v>
      </c>
      <c r="AF777" s="230" t="s">
        <v>88</v>
      </c>
      <c r="AG777" s="1155">
        <v>2023</v>
      </c>
      <c r="AH777" s="1156">
        <v>8500</v>
      </c>
      <c r="AI777" s="1093"/>
      <c r="AJ777" s="232"/>
      <c r="AK777" s="1114" t="s">
        <v>43</v>
      </c>
      <c r="AL777" s="111" t="s">
        <v>70</v>
      </c>
      <c r="AM777" s="1157" t="s">
        <v>1523</v>
      </c>
      <c r="AN777" s="287"/>
    </row>
    <row r="778" spans="1:40" s="1121" customFormat="1" ht="43.2" x14ac:dyDescent="0.3">
      <c r="A778" s="111" t="s">
        <v>264</v>
      </c>
      <c r="B778" s="1112" t="s">
        <v>223</v>
      </c>
      <c r="C778" s="1152" t="s">
        <v>1536</v>
      </c>
      <c r="D778" s="1112" t="s">
        <v>34</v>
      </c>
      <c r="E778" s="111">
        <v>42</v>
      </c>
      <c r="F778" s="111"/>
      <c r="G778" s="1153"/>
      <c r="H778" s="323">
        <v>8734.9397590361441</v>
      </c>
      <c r="I778" s="1115" t="s">
        <v>36</v>
      </c>
      <c r="J778" s="323">
        <v>8734.9397590361441</v>
      </c>
      <c r="K778" s="1638">
        <v>0</v>
      </c>
      <c r="L778" s="1638">
        <v>0</v>
      </c>
      <c r="M778" s="115" t="s">
        <v>69</v>
      </c>
      <c r="N778" s="115" t="s">
        <v>1526</v>
      </c>
      <c r="O778" s="115" t="s">
        <v>1516</v>
      </c>
      <c r="P778" s="230" t="s">
        <v>40</v>
      </c>
      <c r="Q778" s="1154" t="str">
        <f t="shared" si="8"/>
        <v>NA</v>
      </c>
      <c r="R778" s="230" t="s">
        <v>64</v>
      </c>
      <c r="S778" s="1154" t="str">
        <f t="shared" si="9"/>
        <v/>
      </c>
      <c r="T778" s="230" t="s">
        <v>40</v>
      </c>
      <c r="U778" s="1154" t="str">
        <f t="shared" si="10"/>
        <v>NA</v>
      </c>
      <c r="V778" s="230" t="s">
        <v>64</v>
      </c>
      <c r="W778" s="1154" t="str">
        <f t="shared" si="11"/>
        <v/>
      </c>
      <c r="X778" s="230" t="s">
        <v>64</v>
      </c>
      <c r="Y778" s="1154" t="str">
        <f t="shared" si="12"/>
        <v/>
      </c>
      <c r="Z778" s="230" t="s">
        <v>40</v>
      </c>
      <c r="AA778" s="1154" t="str">
        <f t="shared" si="13"/>
        <v>NA</v>
      </c>
      <c r="AB778" s="230" t="s">
        <v>1517</v>
      </c>
      <c r="AC778" s="1154" t="str">
        <f t="shared" si="14"/>
        <v/>
      </c>
      <c r="AD778" s="1154"/>
      <c r="AE778" s="1551">
        <v>46132</v>
      </c>
      <c r="AF778" s="230" t="s">
        <v>1470</v>
      </c>
      <c r="AG778" s="1155" t="s">
        <v>1471</v>
      </c>
      <c r="AH778" s="1156">
        <v>43500</v>
      </c>
      <c r="AI778" s="1093"/>
      <c r="AJ778" s="232"/>
      <c r="AK778" s="1114" t="s">
        <v>1522</v>
      </c>
      <c r="AL778" s="111" t="s">
        <v>70</v>
      </c>
      <c r="AM778" s="1157" t="s">
        <v>1520</v>
      </c>
      <c r="AN778" s="287" t="s">
        <v>1537</v>
      </c>
    </row>
    <row r="779" spans="1:40" s="1121" customFormat="1" ht="43.2" x14ac:dyDescent="0.3">
      <c r="A779" s="111" t="s">
        <v>264</v>
      </c>
      <c r="B779" s="1112" t="s">
        <v>223</v>
      </c>
      <c r="C779" s="1152" t="s">
        <v>1538</v>
      </c>
      <c r="D779" s="1160" t="s">
        <v>34</v>
      </c>
      <c r="E779" s="111">
        <v>42</v>
      </c>
      <c r="F779" s="111"/>
      <c r="G779" s="1153"/>
      <c r="H779" s="323">
        <f>4800/4.98</f>
        <v>963.85542168674692</v>
      </c>
      <c r="I779" s="1115" t="s">
        <v>36</v>
      </c>
      <c r="J779" s="323">
        <v>1004.016064257028</v>
      </c>
      <c r="K779" s="1638">
        <v>0</v>
      </c>
      <c r="L779" s="1638">
        <v>0</v>
      </c>
      <c r="M779" s="115" t="s">
        <v>69</v>
      </c>
      <c r="N779" s="115" t="s">
        <v>1526</v>
      </c>
      <c r="O779" s="115" t="s">
        <v>1516</v>
      </c>
      <c r="P779" s="616" t="s">
        <v>40</v>
      </c>
      <c r="Q779" s="325" t="str">
        <f t="shared" si="8"/>
        <v>NA</v>
      </c>
      <c r="R779" s="616" t="s">
        <v>64</v>
      </c>
      <c r="S779" s="325" t="str">
        <f t="shared" si="9"/>
        <v/>
      </c>
      <c r="T779" s="616" t="s">
        <v>40</v>
      </c>
      <c r="U779" s="325" t="str">
        <f t="shared" si="10"/>
        <v>NA</v>
      </c>
      <c r="V779" s="616" t="s">
        <v>64</v>
      </c>
      <c r="W779" s="325" t="str">
        <f t="shared" si="11"/>
        <v/>
      </c>
      <c r="X779" s="616" t="s">
        <v>64</v>
      </c>
      <c r="Y779" s="325" t="str">
        <f t="shared" si="12"/>
        <v/>
      </c>
      <c r="Z779" s="616" t="s">
        <v>40</v>
      </c>
      <c r="AA779" s="325" t="str">
        <f t="shared" si="13"/>
        <v>NA</v>
      </c>
      <c r="AB779" s="616" t="s">
        <v>1517</v>
      </c>
      <c r="AC779" s="325" t="str">
        <f t="shared" si="14"/>
        <v/>
      </c>
      <c r="AD779" s="325"/>
      <c r="AE779" s="1553"/>
      <c r="AF779" s="230" t="s">
        <v>65</v>
      </c>
      <c r="AG779" s="1155">
        <v>2026</v>
      </c>
      <c r="AH779" s="1156">
        <v>4800</v>
      </c>
      <c r="AI779" s="1093"/>
      <c r="AJ779" s="232"/>
      <c r="AK779" s="1114" t="s">
        <v>1522</v>
      </c>
      <c r="AL779" s="111" t="s">
        <v>70</v>
      </c>
      <c r="AM779" s="1157" t="s">
        <v>1520</v>
      </c>
      <c r="AN779" s="287" t="s">
        <v>1537</v>
      </c>
    </row>
    <row r="780" spans="1:40" s="1121" customFormat="1" ht="28.8" x14ac:dyDescent="0.3">
      <c r="A780" s="111" t="s">
        <v>264</v>
      </c>
      <c r="B780" s="1112" t="s">
        <v>223</v>
      </c>
      <c r="C780" s="1152" t="s">
        <v>1539</v>
      </c>
      <c r="D780" s="1112" t="s">
        <v>34</v>
      </c>
      <c r="E780" s="111">
        <v>41</v>
      </c>
      <c r="F780" s="111"/>
      <c r="G780" s="1153"/>
      <c r="H780" s="323">
        <v>23493.975903614457</v>
      </c>
      <c r="I780" s="1115" t="s">
        <v>36</v>
      </c>
      <c r="J780" s="323">
        <v>23493.975903614457</v>
      </c>
      <c r="K780" s="1638">
        <v>21084.34</v>
      </c>
      <c r="L780" s="1638">
        <v>21084.34</v>
      </c>
      <c r="M780" s="115" t="s">
        <v>1208</v>
      </c>
      <c r="N780" s="115" t="s">
        <v>1540</v>
      </c>
      <c r="O780" s="115" t="s">
        <v>1541</v>
      </c>
      <c r="P780" s="230" t="s">
        <v>64</v>
      </c>
      <c r="Q780" s="1154" t="str">
        <f t="shared" si="8"/>
        <v/>
      </c>
      <c r="R780" s="230" t="s">
        <v>64</v>
      </c>
      <c r="S780" s="1154" t="str">
        <f t="shared" si="9"/>
        <v/>
      </c>
      <c r="T780" s="230" t="s">
        <v>70</v>
      </c>
      <c r="U780" s="1154" t="s">
        <v>70</v>
      </c>
      <c r="V780" s="230" t="s">
        <v>70</v>
      </c>
      <c r="W780" s="1154" t="s">
        <v>70</v>
      </c>
      <c r="X780" s="230" t="s">
        <v>64</v>
      </c>
      <c r="Y780" s="1154" t="str">
        <f t="shared" si="12"/>
        <v/>
      </c>
      <c r="Z780" s="230" t="s">
        <v>70</v>
      </c>
      <c r="AA780" s="1154" t="s">
        <v>70</v>
      </c>
      <c r="AB780" s="230"/>
      <c r="AC780" s="1154" t="s">
        <v>70</v>
      </c>
      <c r="AD780" s="1154"/>
      <c r="AE780" s="1551">
        <v>46203</v>
      </c>
      <c r="AF780" s="230" t="s">
        <v>65</v>
      </c>
      <c r="AG780" s="1155">
        <v>2026</v>
      </c>
      <c r="AH780" s="1156">
        <v>117000</v>
      </c>
      <c r="AI780" s="1093"/>
      <c r="AJ780" s="232"/>
      <c r="AK780" s="1114" t="s">
        <v>43</v>
      </c>
      <c r="AL780" s="111" t="s">
        <v>64</v>
      </c>
      <c r="AM780" s="1157" t="s">
        <v>1542</v>
      </c>
      <c r="AN780" s="287"/>
    </row>
    <row r="781" spans="1:40" s="1121" customFormat="1" ht="28.8" x14ac:dyDescent="0.3">
      <c r="A781" s="111" t="s">
        <v>264</v>
      </c>
      <c r="B781" s="1112" t="s">
        <v>223</v>
      </c>
      <c r="C781" s="1152" t="s">
        <v>1543</v>
      </c>
      <c r="D781" s="1112" t="s">
        <v>34</v>
      </c>
      <c r="E781" s="111">
        <v>41</v>
      </c>
      <c r="F781" s="111"/>
      <c r="G781" s="1153"/>
      <c r="H781" s="323">
        <v>1004.016064257028</v>
      </c>
      <c r="I781" s="1115" t="s">
        <v>36</v>
      </c>
      <c r="J781" s="323">
        <v>1004.016064257028</v>
      </c>
      <c r="K781" s="1638">
        <v>1004.02</v>
      </c>
      <c r="L781" s="1638">
        <v>1004.02</v>
      </c>
      <c r="M781" s="115" t="s">
        <v>1208</v>
      </c>
      <c r="N781" s="115" t="s">
        <v>1540</v>
      </c>
      <c r="O781" s="115" t="s">
        <v>1541</v>
      </c>
      <c r="P781" s="230" t="s">
        <v>70</v>
      </c>
      <c r="Q781" s="1154" t="str">
        <f t="shared" si="8"/>
        <v/>
      </c>
      <c r="R781" s="230" t="s">
        <v>64</v>
      </c>
      <c r="S781" s="1154" t="str">
        <f t="shared" si="9"/>
        <v/>
      </c>
      <c r="T781" s="230" t="s">
        <v>70</v>
      </c>
      <c r="U781" s="1154" t="s">
        <v>70</v>
      </c>
      <c r="V781" s="230" t="s">
        <v>70</v>
      </c>
      <c r="W781" s="1154" t="s">
        <v>70</v>
      </c>
      <c r="X781" s="230" t="s">
        <v>64</v>
      </c>
      <c r="Y781" s="1154" t="str">
        <f t="shared" si="12"/>
        <v/>
      </c>
      <c r="Z781" s="230" t="s">
        <v>70</v>
      </c>
      <c r="AA781" s="1154" t="s">
        <v>70</v>
      </c>
      <c r="AB781" s="230"/>
      <c r="AC781" s="1154" t="s">
        <v>70</v>
      </c>
      <c r="AD781" s="1154"/>
      <c r="AE781" s="1551">
        <v>44907</v>
      </c>
      <c r="AF781" s="230" t="s">
        <v>88</v>
      </c>
      <c r="AG781" s="1155">
        <v>2023</v>
      </c>
      <c r="AH781" s="1156">
        <v>5000</v>
      </c>
      <c r="AI781" s="1093"/>
      <c r="AJ781" s="232"/>
      <c r="AK781" s="1114" t="s">
        <v>43</v>
      </c>
      <c r="AL781" s="111" t="s">
        <v>70</v>
      </c>
      <c r="AM781" s="1157" t="s">
        <v>1523</v>
      </c>
      <c r="AN781" s="287"/>
    </row>
    <row r="782" spans="1:40" s="1121" customFormat="1" ht="28.8" x14ac:dyDescent="0.3">
      <c r="A782" s="111" t="s">
        <v>264</v>
      </c>
      <c r="B782" s="1112" t="s">
        <v>223</v>
      </c>
      <c r="C782" s="1152" t="s">
        <v>1544</v>
      </c>
      <c r="D782" s="1112" t="s">
        <v>34</v>
      </c>
      <c r="E782" s="111">
        <v>42</v>
      </c>
      <c r="F782" s="111"/>
      <c r="G782" s="1153"/>
      <c r="H782" s="323">
        <v>1405.6224899598392</v>
      </c>
      <c r="I782" s="1115" t="s">
        <v>36</v>
      </c>
      <c r="J782" s="323">
        <v>1405.6224899598392</v>
      </c>
      <c r="K782" s="1638">
        <v>1385.54</v>
      </c>
      <c r="L782" s="1638">
        <v>1385.54</v>
      </c>
      <c r="M782" s="115" t="s">
        <v>1208</v>
      </c>
      <c r="N782" s="115" t="s">
        <v>1540</v>
      </c>
      <c r="O782" s="115" t="s">
        <v>1545</v>
      </c>
      <c r="P782" s="230" t="s">
        <v>70</v>
      </c>
      <c r="Q782" s="1154" t="str">
        <f t="shared" si="8"/>
        <v/>
      </c>
      <c r="R782" s="230" t="s">
        <v>64</v>
      </c>
      <c r="S782" s="1154" t="str">
        <f t="shared" si="9"/>
        <v/>
      </c>
      <c r="T782" s="230" t="s">
        <v>70</v>
      </c>
      <c r="U782" s="1154" t="s">
        <v>70</v>
      </c>
      <c r="V782" s="230" t="s">
        <v>70</v>
      </c>
      <c r="W782" s="1154" t="s">
        <v>70</v>
      </c>
      <c r="X782" s="230" t="s">
        <v>64</v>
      </c>
      <c r="Y782" s="1154" t="str">
        <f t="shared" si="12"/>
        <v/>
      </c>
      <c r="Z782" s="230" t="s">
        <v>70</v>
      </c>
      <c r="AA782" s="1154" t="s">
        <v>70</v>
      </c>
      <c r="AB782" s="230"/>
      <c r="AC782" s="1154" t="s">
        <v>70</v>
      </c>
      <c r="AD782" s="1154"/>
      <c r="AE782" s="1551" t="s">
        <v>1546</v>
      </c>
      <c r="AF782" s="230" t="s">
        <v>88</v>
      </c>
      <c r="AG782" s="1155">
        <v>2023</v>
      </c>
      <c r="AH782" s="1156">
        <v>7000</v>
      </c>
      <c r="AI782" s="1093"/>
      <c r="AJ782" s="232"/>
      <c r="AK782" s="1114" t="s">
        <v>43</v>
      </c>
      <c r="AL782" s="111" t="s">
        <v>64</v>
      </c>
      <c r="AM782" s="1157" t="s">
        <v>1547</v>
      </c>
      <c r="AN782" s="287"/>
    </row>
    <row r="783" spans="1:40" s="1121" customFormat="1" ht="28.8" x14ac:dyDescent="0.3">
      <c r="A783" s="111" t="s">
        <v>264</v>
      </c>
      <c r="B783" s="1112" t="s">
        <v>223</v>
      </c>
      <c r="C783" s="1152" t="s">
        <v>1548</v>
      </c>
      <c r="D783" s="1112" t="s">
        <v>34</v>
      </c>
      <c r="E783" s="111">
        <v>42</v>
      </c>
      <c r="F783" s="111" t="s">
        <v>1475</v>
      </c>
      <c r="G783" s="1153" t="s">
        <v>1549</v>
      </c>
      <c r="H783" s="323">
        <v>885496.718875502</v>
      </c>
      <c r="I783" s="1115" t="s">
        <v>36</v>
      </c>
      <c r="J783" s="323">
        <v>885496.718875502</v>
      </c>
      <c r="K783" s="1638">
        <f>117762.5</f>
        <v>117762.5</v>
      </c>
      <c r="L783" s="1638">
        <f>117762.5</f>
        <v>117762.5</v>
      </c>
      <c r="M783" s="115" t="s">
        <v>1208</v>
      </c>
      <c r="N783" s="115" t="s">
        <v>1540</v>
      </c>
      <c r="O783" s="115" t="s">
        <v>1545</v>
      </c>
      <c r="P783" s="230" t="s">
        <v>40</v>
      </c>
      <c r="Q783" s="1154" t="s">
        <v>40</v>
      </c>
      <c r="R783" s="230" t="s">
        <v>40</v>
      </c>
      <c r="S783" s="1154" t="s">
        <v>40</v>
      </c>
      <c r="T783" s="230" t="s">
        <v>40</v>
      </c>
      <c r="U783" s="1154" t="s">
        <v>40</v>
      </c>
      <c r="V783" s="230" t="s">
        <v>64</v>
      </c>
      <c r="W783" s="1154" t="s">
        <v>40</v>
      </c>
      <c r="X783" s="230" t="s">
        <v>64</v>
      </c>
      <c r="Y783" s="1154" t="s">
        <v>40</v>
      </c>
      <c r="Z783" s="230" t="s">
        <v>40</v>
      </c>
      <c r="AA783" s="1154" t="s">
        <v>40</v>
      </c>
      <c r="AB783" s="230" t="s">
        <v>40</v>
      </c>
      <c r="AC783" s="1154" t="s">
        <v>40</v>
      </c>
      <c r="AD783" s="1154">
        <v>45175</v>
      </c>
      <c r="AE783" s="1551">
        <v>45083</v>
      </c>
      <c r="AF783" s="230" t="s">
        <v>65</v>
      </c>
      <c r="AG783" s="1155" t="s">
        <v>1471</v>
      </c>
      <c r="AH783" s="1156">
        <v>4409773.66</v>
      </c>
      <c r="AI783" s="1093" t="s">
        <v>1550</v>
      </c>
      <c r="AJ783" s="232" t="s">
        <v>1551</v>
      </c>
      <c r="AK783" s="1114" t="s">
        <v>43</v>
      </c>
      <c r="AL783" s="111" t="s">
        <v>64</v>
      </c>
      <c r="AM783" s="1157" t="s">
        <v>1552</v>
      </c>
      <c r="AN783" s="287" t="s">
        <v>40</v>
      </c>
    </row>
    <row r="784" spans="1:40" s="1121" customFormat="1" ht="28.8" x14ac:dyDescent="0.3">
      <c r="A784" s="111" t="s">
        <v>264</v>
      </c>
      <c r="B784" s="1112" t="s">
        <v>223</v>
      </c>
      <c r="C784" s="1152" t="s">
        <v>1553</v>
      </c>
      <c r="D784" s="1112" t="s">
        <v>34</v>
      </c>
      <c r="E784" s="111">
        <v>42</v>
      </c>
      <c r="F784" s="111"/>
      <c r="G784" s="1153"/>
      <c r="H784" s="323">
        <v>8854.9658634538155</v>
      </c>
      <c r="I784" s="1115" t="s">
        <v>36</v>
      </c>
      <c r="J784" s="323">
        <v>8854.9658634538155</v>
      </c>
      <c r="K784" s="1638">
        <f>1177.63</f>
        <v>1177.6300000000001</v>
      </c>
      <c r="L784" s="1638">
        <f>1177.63</f>
        <v>1177.6300000000001</v>
      </c>
      <c r="M784" s="115" t="s">
        <v>1208</v>
      </c>
      <c r="N784" s="115" t="s">
        <v>1540</v>
      </c>
      <c r="O784" s="115" t="s">
        <v>1545</v>
      </c>
      <c r="P784" s="230" t="s">
        <v>40</v>
      </c>
      <c r="Q784" s="1154" t="s">
        <v>40</v>
      </c>
      <c r="R784" s="230" t="s">
        <v>40</v>
      </c>
      <c r="S784" s="1154" t="s">
        <v>40</v>
      </c>
      <c r="T784" s="230" t="s">
        <v>40</v>
      </c>
      <c r="U784" s="1154" t="s">
        <v>40</v>
      </c>
      <c r="V784" s="230" t="s">
        <v>40</v>
      </c>
      <c r="W784" s="1154" t="s">
        <v>40</v>
      </c>
      <c r="X784" s="230" t="s">
        <v>64</v>
      </c>
      <c r="Y784" s="1154" t="s">
        <v>40</v>
      </c>
      <c r="Z784" s="230" t="s">
        <v>40</v>
      </c>
      <c r="AA784" s="1154" t="s">
        <v>40</v>
      </c>
      <c r="AB784" s="230" t="s">
        <v>40</v>
      </c>
      <c r="AC784" s="1154" t="s">
        <v>40</v>
      </c>
      <c r="AD784" s="1154">
        <v>45191</v>
      </c>
      <c r="AE784" s="1551">
        <v>46179</v>
      </c>
      <c r="AF784" s="230" t="s">
        <v>65</v>
      </c>
      <c r="AG784" s="1155" t="s">
        <v>1471</v>
      </c>
      <c r="AH784" s="1156">
        <v>44097.73</v>
      </c>
      <c r="AI784" s="1093" t="s">
        <v>1554</v>
      </c>
      <c r="AJ784" s="232" t="s">
        <v>40</v>
      </c>
      <c r="AK784" s="1114" t="s">
        <v>43</v>
      </c>
      <c r="AL784" s="111" t="s">
        <v>64</v>
      </c>
      <c r="AM784" s="1157" t="s">
        <v>1552</v>
      </c>
      <c r="AN784" s="287" t="s">
        <v>40</v>
      </c>
    </row>
    <row r="785" spans="1:40" s="1121" customFormat="1" ht="55.95" customHeight="1" x14ac:dyDescent="0.3">
      <c r="A785" s="111" t="s">
        <v>264</v>
      </c>
      <c r="B785" s="1112" t="s">
        <v>223</v>
      </c>
      <c r="C785" s="1152" t="s">
        <v>1555</v>
      </c>
      <c r="D785" s="1112" t="s">
        <v>34</v>
      </c>
      <c r="E785" s="111">
        <v>41</v>
      </c>
      <c r="F785" s="111"/>
      <c r="G785" s="1153"/>
      <c r="H785" s="323">
        <f>75400/4.98</f>
        <v>15140.562248995982</v>
      </c>
      <c r="I785" s="1115" t="s">
        <v>36</v>
      </c>
      <c r="J785" s="323">
        <v>16445.783132530119</v>
      </c>
      <c r="K785" s="1638">
        <v>13092.37</v>
      </c>
      <c r="L785" s="1638">
        <f>13092.37+1305.22</f>
        <v>14397.59</v>
      </c>
      <c r="M785" s="115" t="s">
        <v>59</v>
      </c>
      <c r="N785" s="115" t="s">
        <v>1556</v>
      </c>
      <c r="O785" s="115" t="s">
        <v>1557</v>
      </c>
      <c r="P785" s="230" t="s">
        <v>64</v>
      </c>
      <c r="Q785" s="1154" t="str">
        <f>IF(P785="NA","NA","")</f>
        <v/>
      </c>
      <c r="R785" s="230" t="s">
        <v>64</v>
      </c>
      <c r="S785" s="1154" t="str">
        <f>IF(R785="NA","NA","")</f>
        <v/>
      </c>
      <c r="T785" s="230" t="s">
        <v>40</v>
      </c>
      <c r="U785" s="1154" t="str">
        <f>IF(T785="NA","NA","")</f>
        <v>NA</v>
      </c>
      <c r="V785" s="230" t="s">
        <v>40</v>
      </c>
      <c r="W785" s="1154" t="str">
        <f>IF(V785="NA","NA","")</f>
        <v>NA</v>
      </c>
      <c r="X785" s="230" t="s">
        <v>64</v>
      </c>
      <c r="Y785" s="1154" t="str">
        <f>IF(X785="NA","NA","")</f>
        <v/>
      </c>
      <c r="Z785" s="230" t="s">
        <v>40</v>
      </c>
      <c r="AA785" s="1154" t="str">
        <f>IF(Z785="NA","NA","")</f>
        <v>NA</v>
      </c>
      <c r="AB785" s="230"/>
      <c r="AC785" s="1154" t="str">
        <f>IF(AB785="NA","NA","")</f>
        <v/>
      </c>
      <c r="AD785" s="1154"/>
      <c r="AE785" s="1551">
        <v>46203</v>
      </c>
      <c r="AF785" s="230" t="s">
        <v>1470</v>
      </c>
      <c r="AG785" s="1155" t="s">
        <v>1471</v>
      </c>
      <c r="AH785" s="1156">
        <v>81900</v>
      </c>
      <c r="AI785" s="1093"/>
      <c r="AJ785" s="232"/>
      <c r="AK785" s="1114" t="s">
        <v>43</v>
      </c>
      <c r="AL785" s="111" t="s">
        <v>70</v>
      </c>
      <c r="AM785" s="1157" t="s">
        <v>1558</v>
      </c>
      <c r="AN785" s="287"/>
    </row>
    <row r="786" spans="1:40" s="1121" customFormat="1" ht="46.2" customHeight="1" x14ac:dyDescent="0.3">
      <c r="A786" s="111" t="s">
        <v>264</v>
      </c>
      <c r="B786" s="1112" t="s">
        <v>223</v>
      </c>
      <c r="C786" s="1152" t="s">
        <v>1559</v>
      </c>
      <c r="D786" s="1112" t="s">
        <v>34</v>
      </c>
      <c r="E786" s="111">
        <v>41</v>
      </c>
      <c r="F786" s="111"/>
      <c r="G786" s="1153"/>
      <c r="H786" s="323">
        <v>1004.016064257028</v>
      </c>
      <c r="I786" s="1115" t="s">
        <v>36</v>
      </c>
      <c r="J786" s="323">
        <v>1004.016064257028</v>
      </c>
      <c r="K786" s="1638">
        <v>1004.02</v>
      </c>
      <c r="L786" s="1638">
        <v>1004.02</v>
      </c>
      <c r="M786" s="115" t="s">
        <v>59</v>
      </c>
      <c r="N786" s="115" t="s">
        <v>1556</v>
      </c>
      <c r="O786" s="115" t="s">
        <v>1557</v>
      </c>
      <c r="P786" s="230" t="s">
        <v>40</v>
      </c>
      <c r="Q786" s="1154" t="str">
        <f>IF(P786="NA","NA","")</f>
        <v>NA</v>
      </c>
      <c r="R786" s="230" t="s">
        <v>40</v>
      </c>
      <c r="S786" s="1154" t="str">
        <f>IF(R786="NA","NA","")</f>
        <v>NA</v>
      </c>
      <c r="T786" s="230" t="s">
        <v>40</v>
      </c>
      <c r="U786" s="1154" t="str">
        <f>IF(T786="NA","NA","")</f>
        <v>NA</v>
      </c>
      <c r="V786" s="230" t="s">
        <v>40</v>
      </c>
      <c r="W786" s="1154" t="str">
        <f>IF(V786="NA","NA","")</f>
        <v>NA</v>
      </c>
      <c r="X786" s="230" t="s">
        <v>64</v>
      </c>
      <c r="Y786" s="1154" t="str">
        <f>IF(X786="NA","NA","")</f>
        <v/>
      </c>
      <c r="Z786" s="230" t="s">
        <v>40</v>
      </c>
      <c r="AA786" s="1154" t="str">
        <f>IF(Z786="NA","NA","")</f>
        <v>NA</v>
      </c>
      <c r="AB786" s="230"/>
      <c r="AC786" s="1154" t="str">
        <f>IF(AB786="NA","NA","")</f>
        <v/>
      </c>
      <c r="AD786" s="1154"/>
      <c r="AE786" s="1551">
        <v>45427</v>
      </c>
      <c r="AF786" s="230" t="s">
        <v>88</v>
      </c>
      <c r="AG786" s="1155">
        <v>2023</v>
      </c>
      <c r="AH786" s="1156">
        <v>5000</v>
      </c>
      <c r="AI786" s="1093"/>
      <c r="AJ786" s="232"/>
      <c r="AK786" s="1114" t="s">
        <v>43</v>
      </c>
      <c r="AL786" s="111" t="s">
        <v>70</v>
      </c>
      <c r="AM786" s="1157" t="s">
        <v>1523</v>
      </c>
      <c r="AN786" s="287"/>
    </row>
    <row r="787" spans="1:40" s="1121" customFormat="1" ht="28.8" x14ac:dyDescent="0.3">
      <c r="A787" s="111" t="s">
        <v>264</v>
      </c>
      <c r="B787" s="1112" t="s">
        <v>223</v>
      </c>
      <c r="C787" s="1152" t="s">
        <v>1560</v>
      </c>
      <c r="D787" s="1112" t="s">
        <v>34</v>
      </c>
      <c r="E787" s="111">
        <v>42</v>
      </c>
      <c r="F787" s="111" t="s">
        <v>1475</v>
      </c>
      <c r="G787" s="1153" t="s">
        <v>1561</v>
      </c>
      <c r="H787" s="323">
        <v>359152.74297188752</v>
      </c>
      <c r="I787" s="1115" t="s">
        <v>36</v>
      </c>
      <c r="J787" s="323">
        <v>359152.74297188752</v>
      </c>
      <c r="K787" s="1638">
        <f>76977.42</f>
        <v>76977.42</v>
      </c>
      <c r="L787" s="1638">
        <f>76977.42</f>
        <v>76977.42</v>
      </c>
      <c r="M787" s="115" t="s">
        <v>59</v>
      </c>
      <c r="N787" s="115" t="s">
        <v>1556</v>
      </c>
      <c r="O787" s="115" t="s">
        <v>1557</v>
      </c>
      <c r="P787" s="230" t="s">
        <v>40</v>
      </c>
      <c r="Q787" s="1154" t="s">
        <v>40</v>
      </c>
      <c r="R787" s="230" t="s">
        <v>40</v>
      </c>
      <c r="S787" s="1154" t="s">
        <v>40</v>
      </c>
      <c r="T787" s="230" t="s">
        <v>40</v>
      </c>
      <c r="U787" s="1154" t="s">
        <v>40</v>
      </c>
      <c r="V787" s="230" t="s">
        <v>64</v>
      </c>
      <c r="W787" s="1154" t="s">
        <v>40</v>
      </c>
      <c r="X787" s="230" t="s">
        <v>64</v>
      </c>
      <c r="Y787" s="1154" t="s">
        <v>40</v>
      </c>
      <c r="Z787" s="230" t="s">
        <v>40</v>
      </c>
      <c r="AA787" s="1154" t="s">
        <v>40</v>
      </c>
      <c r="AB787" s="230" t="s">
        <v>40</v>
      </c>
      <c r="AC787" s="1154" t="s">
        <v>40</v>
      </c>
      <c r="AD787" s="1154">
        <v>45184</v>
      </c>
      <c r="AE787" s="1551">
        <v>46203</v>
      </c>
      <c r="AF787" s="230" t="s">
        <v>1470</v>
      </c>
      <c r="AG787" s="1155" t="s">
        <v>1471</v>
      </c>
      <c r="AH787" s="1156">
        <v>1788580.66</v>
      </c>
      <c r="AI787" s="1093" t="s">
        <v>1562</v>
      </c>
      <c r="AJ787" s="232" t="s">
        <v>1563</v>
      </c>
      <c r="AK787" s="1114" t="s">
        <v>43</v>
      </c>
      <c r="AL787" s="111" t="s">
        <v>70</v>
      </c>
      <c r="AM787" s="1157" t="s">
        <v>1564</v>
      </c>
      <c r="AN787" s="287" t="s">
        <v>40</v>
      </c>
    </row>
    <row r="788" spans="1:40" s="1121" customFormat="1" ht="28.8" x14ac:dyDescent="0.3">
      <c r="A788" s="111" t="s">
        <v>264</v>
      </c>
      <c r="B788" s="1112" t="s">
        <v>223</v>
      </c>
      <c r="C788" s="1152" t="s">
        <v>1565</v>
      </c>
      <c r="D788" s="1112" t="s">
        <v>34</v>
      </c>
      <c r="E788" s="111">
        <v>42</v>
      </c>
      <c r="F788" s="111"/>
      <c r="G788" s="1153"/>
      <c r="H788" s="323">
        <v>4238.1526104417671</v>
      </c>
      <c r="I788" s="1115" t="s">
        <v>36</v>
      </c>
      <c r="J788" s="323">
        <v>4238.1526104417671</v>
      </c>
      <c r="K788" s="1638">
        <f>908.33</f>
        <v>908.33</v>
      </c>
      <c r="L788" s="1638">
        <f>908.33</f>
        <v>908.33</v>
      </c>
      <c r="M788" s="115" t="s">
        <v>59</v>
      </c>
      <c r="N788" s="115" t="s">
        <v>1556</v>
      </c>
      <c r="O788" s="115" t="s">
        <v>1557</v>
      </c>
      <c r="P788" s="230" t="s">
        <v>40</v>
      </c>
      <c r="Q788" s="1154" t="s">
        <v>40</v>
      </c>
      <c r="R788" s="230" t="s">
        <v>40</v>
      </c>
      <c r="S788" s="1154" t="s">
        <v>40</v>
      </c>
      <c r="T788" s="230" t="s">
        <v>40</v>
      </c>
      <c r="U788" s="1154" t="s">
        <v>40</v>
      </c>
      <c r="V788" s="230" t="s">
        <v>40</v>
      </c>
      <c r="W788" s="1154" t="s">
        <v>40</v>
      </c>
      <c r="X788" s="230" t="s">
        <v>64</v>
      </c>
      <c r="Y788" s="1154" t="s">
        <v>40</v>
      </c>
      <c r="Z788" s="230" t="s">
        <v>40</v>
      </c>
      <c r="AA788" s="1154" t="s">
        <v>40</v>
      </c>
      <c r="AB788" s="230" t="s">
        <v>40</v>
      </c>
      <c r="AC788" s="1154" t="s">
        <v>40</v>
      </c>
      <c r="AD788" s="1154">
        <v>45190</v>
      </c>
      <c r="AE788" s="1551">
        <v>46203</v>
      </c>
      <c r="AF788" s="230" t="s">
        <v>1470</v>
      </c>
      <c r="AG788" s="1155" t="s">
        <v>1471</v>
      </c>
      <c r="AH788" s="1156">
        <v>21106</v>
      </c>
      <c r="AI788" s="1093" t="s">
        <v>1566</v>
      </c>
      <c r="AJ788" s="232" t="s">
        <v>40</v>
      </c>
      <c r="AK788" s="1114" t="s">
        <v>43</v>
      </c>
      <c r="AL788" s="111" t="s">
        <v>70</v>
      </c>
      <c r="AM788" s="1157" t="s">
        <v>1564</v>
      </c>
      <c r="AN788" s="287" t="s">
        <v>40</v>
      </c>
    </row>
    <row r="789" spans="1:40" s="1121" customFormat="1" ht="70.2" customHeight="1" x14ac:dyDescent="0.3">
      <c r="A789" s="111" t="s">
        <v>264</v>
      </c>
      <c r="B789" s="1112" t="s">
        <v>223</v>
      </c>
      <c r="C789" s="1152" t="s">
        <v>1567</v>
      </c>
      <c r="D789" s="1112" t="s">
        <v>34</v>
      </c>
      <c r="E789" s="111">
        <v>41</v>
      </c>
      <c r="F789" s="116"/>
      <c r="G789" s="287"/>
      <c r="H789" s="323">
        <v>48694.779116465863</v>
      </c>
      <c r="I789" s="1115" t="s">
        <v>36</v>
      </c>
      <c r="J789" s="323">
        <v>48694.779116465863</v>
      </c>
      <c r="K789" s="1638">
        <v>33734.949999999997</v>
      </c>
      <c r="L789" s="1638">
        <v>33734.949999999997</v>
      </c>
      <c r="M789" s="115" t="s">
        <v>62</v>
      </c>
      <c r="N789" s="115" t="s">
        <v>1568</v>
      </c>
      <c r="O789" s="115" t="s">
        <v>1569</v>
      </c>
      <c r="P789" s="230" t="s">
        <v>64</v>
      </c>
      <c r="Q789" s="1154" t="str">
        <f>IF(P789="NA","NA","")</f>
        <v/>
      </c>
      <c r="R789" s="230" t="s">
        <v>64</v>
      </c>
      <c r="S789" s="1154" t="str">
        <f>IF(R789="NA","NA","")</f>
        <v/>
      </c>
      <c r="T789" s="230" t="s">
        <v>40</v>
      </c>
      <c r="U789" s="1154" t="str">
        <f>IF(T789="NA","NA","")</f>
        <v>NA</v>
      </c>
      <c r="V789" s="230" t="s">
        <v>64</v>
      </c>
      <c r="W789" s="1154" t="str">
        <f>IF(V789="NA","NA","")</f>
        <v/>
      </c>
      <c r="X789" s="230" t="s">
        <v>64</v>
      </c>
      <c r="Y789" s="1154" t="str">
        <f>IF(X789="NA","NA","")</f>
        <v/>
      </c>
      <c r="Z789" s="230" t="s">
        <v>40</v>
      </c>
      <c r="AA789" s="1154" t="str">
        <f>IF(Z789="NA","NA","")</f>
        <v>NA</v>
      </c>
      <c r="AB789" s="230"/>
      <c r="AC789" s="1154" t="str">
        <f>IF(AB789="NA","NA","")</f>
        <v/>
      </c>
      <c r="AD789" s="1154"/>
      <c r="AE789" s="1551">
        <v>46203</v>
      </c>
      <c r="AF789" s="230" t="s">
        <v>65</v>
      </c>
      <c r="AG789" s="1155">
        <v>2026</v>
      </c>
      <c r="AH789" s="1156">
        <v>242500</v>
      </c>
      <c r="AI789" s="1093"/>
      <c r="AJ789" s="232"/>
      <c r="AK789" s="1114" t="s">
        <v>1522</v>
      </c>
      <c r="AL789" s="111" t="s">
        <v>40</v>
      </c>
      <c r="AM789" s="1157" t="s">
        <v>1570</v>
      </c>
      <c r="AN789" s="287" t="s">
        <v>1571</v>
      </c>
    </row>
    <row r="790" spans="1:40" s="1121" customFormat="1" ht="44.4" customHeight="1" x14ac:dyDescent="0.3">
      <c r="A790" s="111" t="s">
        <v>264</v>
      </c>
      <c r="B790" s="1112" t="s">
        <v>223</v>
      </c>
      <c r="C790" s="1152" t="s">
        <v>1572</v>
      </c>
      <c r="D790" s="1112" t="s">
        <v>34</v>
      </c>
      <c r="E790" s="111">
        <v>41</v>
      </c>
      <c r="F790" s="116"/>
      <c r="G790" s="287"/>
      <c r="H790" s="323">
        <v>1807.2289156626505</v>
      </c>
      <c r="I790" s="1115" t="s">
        <v>36</v>
      </c>
      <c r="J790" s="323">
        <v>1807.2289156626505</v>
      </c>
      <c r="K790" s="1638">
        <v>1807.23</v>
      </c>
      <c r="L790" s="1638">
        <v>1807.23</v>
      </c>
      <c r="M790" s="115" t="s">
        <v>62</v>
      </c>
      <c r="N790" s="115" t="s">
        <v>1568</v>
      </c>
      <c r="O790" s="115" t="s">
        <v>1569</v>
      </c>
      <c r="P790" s="230" t="s">
        <v>40</v>
      </c>
      <c r="Q790" s="1154" t="str">
        <f>IF(P790="NA","NA","")</f>
        <v>NA</v>
      </c>
      <c r="R790" s="230" t="s">
        <v>40</v>
      </c>
      <c r="S790" s="1154" t="str">
        <f>IF(R790="NA","NA","")</f>
        <v>NA</v>
      </c>
      <c r="T790" s="230" t="s">
        <v>40</v>
      </c>
      <c r="U790" s="1154" t="str">
        <f>IF(T790="NA","NA","")</f>
        <v>NA</v>
      </c>
      <c r="V790" s="230" t="s">
        <v>64</v>
      </c>
      <c r="W790" s="1154" t="str">
        <f>IF(V790="NA","NA","")</f>
        <v/>
      </c>
      <c r="X790" s="230" t="s">
        <v>64</v>
      </c>
      <c r="Y790" s="1154" t="str">
        <f>IF(X790="NA","NA","")</f>
        <v/>
      </c>
      <c r="Z790" s="230" t="s">
        <v>40</v>
      </c>
      <c r="AA790" s="1154" t="str">
        <f>IF(Z790="NA","NA","")</f>
        <v>NA</v>
      </c>
      <c r="AB790" s="230"/>
      <c r="AC790" s="1154" t="str">
        <f>IF(AB790="NA","NA","")</f>
        <v/>
      </c>
      <c r="AD790" s="1154"/>
      <c r="AE790" s="1551">
        <v>45244</v>
      </c>
      <c r="AF790" s="230" t="s">
        <v>88</v>
      </c>
      <c r="AG790" s="1155">
        <v>2023</v>
      </c>
      <c r="AH790" s="1156">
        <v>9000</v>
      </c>
      <c r="AI790" s="1093"/>
      <c r="AJ790" s="232"/>
      <c r="AK790" s="1114" t="s">
        <v>1522</v>
      </c>
      <c r="AL790" s="111" t="s">
        <v>40</v>
      </c>
      <c r="AM790" s="1157" t="s">
        <v>1523</v>
      </c>
      <c r="AN790" s="287" t="s">
        <v>1573</v>
      </c>
    </row>
    <row r="791" spans="1:40" s="1121" customFormat="1" ht="74.400000000000006" customHeight="1" x14ac:dyDescent="0.3">
      <c r="A791" s="111" t="s">
        <v>264</v>
      </c>
      <c r="B791" s="1112" t="s">
        <v>223</v>
      </c>
      <c r="C791" s="1152" t="s">
        <v>1574</v>
      </c>
      <c r="D791" s="1112" t="s">
        <v>34</v>
      </c>
      <c r="E791" s="111">
        <v>41</v>
      </c>
      <c r="F791" s="111"/>
      <c r="G791" s="1153"/>
      <c r="H791" s="323">
        <v>763.05220883534128</v>
      </c>
      <c r="I791" s="1115" t="s">
        <v>36</v>
      </c>
      <c r="J791" s="323">
        <v>763.05220883534128</v>
      </c>
      <c r="K791" s="1638">
        <v>742.97</v>
      </c>
      <c r="L791" s="1638">
        <v>742.97</v>
      </c>
      <c r="M791" s="115" t="s">
        <v>62</v>
      </c>
      <c r="N791" s="115" t="s">
        <v>1568</v>
      </c>
      <c r="O791" s="115" t="s">
        <v>1569</v>
      </c>
      <c r="P791" s="230" t="s">
        <v>40</v>
      </c>
      <c r="Q791" s="1154" t="s">
        <v>40</v>
      </c>
      <c r="R791" s="230" t="s">
        <v>40</v>
      </c>
      <c r="S791" s="1154" t="s">
        <v>40</v>
      </c>
      <c r="T791" s="230" t="s">
        <v>40</v>
      </c>
      <c r="U791" s="1154" t="s">
        <v>40</v>
      </c>
      <c r="V791" s="230" t="s">
        <v>64</v>
      </c>
      <c r="W791" s="1154" t="s">
        <v>40</v>
      </c>
      <c r="X791" s="230" t="s">
        <v>64</v>
      </c>
      <c r="Y791" s="1154" t="s">
        <v>40</v>
      </c>
      <c r="Z791" s="230" t="s">
        <v>40</v>
      </c>
      <c r="AA791" s="1154" t="s">
        <v>40</v>
      </c>
      <c r="AB791" s="230" t="s">
        <v>40</v>
      </c>
      <c r="AC791" s="1154" t="s">
        <v>40</v>
      </c>
      <c r="AD791" s="1154">
        <v>45229</v>
      </c>
      <c r="AE791" s="1551">
        <v>45107</v>
      </c>
      <c r="AF791" s="230" t="s">
        <v>88</v>
      </c>
      <c r="AG791" s="1155">
        <v>2023</v>
      </c>
      <c r="AH791" s="1156">
        <v>3800</v>
      </c>
      <c r="AI791" s="1093" t="s">
        <v>1575</v>
      </c>
      <c r="AJ791" s="232" t="s">
        <v>40</v>
      </c>
      <c r="AK791" s="1114" t="s">
        <v>1483</v>
      </c>
      <c r="AL791" s="111" t="s">
        <v>40</v>
      </c>
      <c r="AM791" s="1157" t="s">
        <v>1576</v>
      </c>
      <c r="AN791" s="287" t="s">
        <v>1577</v>
      </c>
    </row>
    <row r="792" spans="1:40" s="1121" customFormat="1" ht="43.2" customHeight="1" x14ac:dyDescent="0.3">
      <c r="A792" s="111" t="s">
        <v>264</v>
      </c>
      <c r="B792" s="1112" t="s">
        <v>223</v>
      </c>
      <c r="C792" s="1152" t="s">
        <v>1578</v>
      </c>
      <c r="D792" s="1112" t="s">
        <v>34</v>
      </c>
      <c r="E792" s="111">
        <v>41</v>
      </c>
      <c r="F792" s="111"/>
      <c r="G792" s="1153"/>
      <c r="H792" s="323">
        <v>36767.068273092365</v>
      </c>
      <c r="I792" s="1115" t="s">
        <v>36</v>
      </c>
      <c r="J792" s="323">
        <v>36767.068273092365</v>
      </c>
      <c r="K792" s="1638">
        <v>24879.52</v>
      </c>
      <c r="L792" s="1638">
        <v>24879.52</v>
      </c>
      <c r="M792" s="115" t="s">
        <v>303</v>
      </c>
      <c r="N792" s="115" t="s">
        <v>1579</v>
      </c>
      <c r="O792" s="115" t="s">
        <v>1580</v>
      </c>
      <c r="P792" s="230" t="s">
        <v>64</v>
      </c>
      <c r="Q792" s="1154" t="str">
        <f t="shared" ref="Q792:Q815" si="15">IF(P792="NA","NA","")</f>
        <v/>
      </c>
      <c r="R792" s="230" t="s">
        <v>64</v>
      </c>
      <c r="S792" s="1154" t="str">
        <f t="shared" ref="S792:S815" si="16">IF(R792="NA","NA","")</f>
        <v/>
      </c>
      <c r="T792" s="230" t="s">
        <v>40</v>
      </c>
      <c r="U792" s="1154" t="str">
        <f t="shared" ref="U792:U821" si="17">IF(T792="NA","NA","")</f>
        <v>NA</v>
      </c>
      <c r="V792" s="230" t="s">
        <v>64</v>
      </c>
      <c r="W792" s="1154" t="str">
        <f t="shared" ref="W792:W809" si="18">IF(V792="NA","NA","")</f>
        <v/>
      </c>
      <c r="X792" s="230"/>
      <c r="Y792" s="1154" t="str">
        <f t="shared" ref="Y792:Y809" si="19">IF(X792="NA","NA","")</f>
        <v/>
      </c>
      <c r="Z792" s="230" t="s">
        <v>40</v>
      </c>
      <c r="AA792" s="1154" t="str">
        <f t="shared" ref="AA792:AA821" si="20">IF(Z792="NA","NA","")</f>
        <v>NA</v>
      </c>
      <c r="AB792" s="230"/>
      <c r="AC792" s="1154" t="str">
        <f t="shared" ref="AC792:AC809" si="21">IF(AB792="NA","NA","")</f>
        <v/>
      </c>
      <c r="AD792" s="1154"/>
      <c r="AE792" s="1551" t="s">
        <v>1482</v>
      </c>
      <c r="AF792" s="230" t="s">
        <v>65</v>
      </c>
      <c r="AG792" s="1155">
        <v>2026</v>
      </c>
      <c r="AH792" s="1156">
        <v>183100</v>
      </c>
      <c r="AI792" s="1093"/>
      <c r="AJ792" s="232"/>
      <c r="AK792" s="1114" t="s">
        <v>43</v>
      </c>
      <c r="AL792" s="111" t="s">
        <v>40</v>
      </c>
      <c r="AM792" s="1157" t="s">
        <v>1581</v>
      </c>
      <c r="AN792" s="287"/>
    </row>
    <row r="793" spans="1:40" s="1121" customFormat="1" ht="23.4" customHeight="1" x14ac:dyDescent="0.3">
      <c r="A793" s="111" t="s">
        <v>264</v>
      </c>
      <c r="B793" s="1112" t="s">
        <v>223</v>
      </c>
      <c r="C793" s="287" t="s">
        <v>1582</v>
      </c>
      <c r="D793" s="1112" t="s">
        <v>34</v>
      </c>
      <c r="E793" s="111">
        <v>42</v>
      </c>
      <c r="F793" s="111"/>
      <c r="G793" s="1153"/>
      <c r="H793" s="323">
        <v>1706.8273092369477</v>
      </c>
      <c r="I793" s="1115" t="s">
        <v>36</v>
      </c>
      <c r="J793" s="323">
        <v>1706.8273092369477</v>
      </c>
      <c r="K793" s="1638">
        <v>1706.83</v>
      </c>
      <c r="L793" s="1638">
        <v>1706.83</v>
      </c>
      <c r="M793" s="115" t="s">
        <v>303</v>
      </c>
      <c r="N793" s="115" t="s">
        <v>1583</v>
      </c>
      <c r="O793" s="115" t="s">
        <v>1580</v>
      </c>
      <c r="P793" s="230" t="s">
        <v>40</v>
      </c>
      <c r="Q793" s="1154" t="str">
        <f t="shared" si="15"/>
        <v>NA</v>
      </c>
      <c r="R793" s="230" t="s">
        <v>40</v>
      </c>
      <c r="S793" s="1154" t="str">
        <f t="shared" si="16"/>
        <v>NA</v>
      </c>
      <c r="T793" s="230" t="s">
        <v>40</v>
      </c>
      <c r="U793" s="1154" t="str">
        <f t="shared" si="17"/>
        <v>NA</v>
      </c>
      <c r="V793" s="230" t="s">
        <v>64</v>
      </c>
      <c r="W793" s="1154" t="str">
        <f t="shared" si="18"/>
        <v/>
      </c>
      <c r="X793" s="230" t="s">
        <v>64</v>
      </c>
      <c r="Y793" s="1154" t="str">
        <f t="shared" si="19"/>
        <v/>
      </c>
      <c r="Z793" s="230" t="s">
        <v>40</v>
      </c>
      <c r="AA793" s="1154" t="str">
        <f t="shared" si="20"/>
        <v>NA</v>
      </c>
      <c r="AB793" s="230"/>
      <c r="AC793" s="1154" t="str">
        <f t="shared" si="21"/>
        <v/>
      </c>
      <c r="AD793" s="1154"/>
      <c r="AE793" s="1551">
        <v>45169</v>
      </c>
      <c r="AF793" s="230" t="s">
        <v>65</v>
      </c>
      <c r="AG793" s="1155">
        <v>2023</v>
      </c>
      <c r="AH793" s="1156">
        <v>8500</v>
      </c>
      <c r="AI793" s="1093"/>
      <c r="AJ793" s="232"/>
      <c r="AK793" s="1114" t="s">
        <v>43</v>
      </c>
      <c r="AL793" s="111" t="s">
        <v>40</v>
      </c>
      <c r="AM793" s="1157" t="s">
        <v>1523</v>
      </c>
      <c r="AN793" s="287"/>
    </row>
    <row r="794" spans="1:40" s="1121" customFormat="1" ht="38.4" customHeight="1" x14ac:dyDescent="0.3">
      <c r="A794" s="111" t="s">
        <v>264</v>
      </c>
      <c r="B794" s="1112" t="s">
        <v>223</v>
      </c>
      <c r="C794" s="287" t="s">
        <v>1584</v>
      </c>
      <c r="D794" s="1112" t="s">
        <v>34</v>
      </c>
      <c r="E794" s="111">
        <v>41</v>
      </c>
      <c r="F794" s="111"/>
      <c r="G794" s="1153"/>
      <c r="H794" s="323">
        <f>187300/4.98</f>
        <v>37610.441767068267</v>
      </c>
      <c r="I794" s="1115" t="s">
        <v>36</v>
      </c>
      <c r="J794" s="323">
        <v>37610.441767068267</v>
      </c>
      <c r="K794" s="1638">
        <f>128100/4.98</f>
        <v>25722.891566265058</v>
      </c>
      <c r="L794" s="1638">
        <f>K794</f>
        <v>25722.891566265058</v>
      </c>
      <c r="M794" s="115" t="s">
        <v>303</v>
      </c>
      <c r="N794" s="115" t="s">
        <v>1585</v>
      </c>
      <c r="O794" s="115" t="s">
        <v>1580</v>
      </c>
      <c r="P794" s="230" t="s">
        <v>64</v>
      </c>
      <c r="Q794" s="1154" t="str">
        <f t="shared" si="15"/>
        <v/>
      </c>
      <c r="R794" s="230" t="s">
        <v>64</v>
      </c>
      <c r="S794" s="1154" t="str">
        <f t="shared" si="16"/>
        <v/>
      </c>
      <c r="T794" s="230" t="s">
        <v>40</v>
      </c>
      <c r="U794" s="1154" t="str">
        <f t="shared" si="17"/>
        <v>NA</v>
      </c>
      <c r="V794" s="230" t="s">
        <v>64</v>
      </c>
      <c r="W794" s="1154" t="str">
        <f t="shared" si="18"/>
        <v/>
      </c>
      <c r="X794" s="230"/>
      <c r="Y794" s="1154" t="str">
        <f t="shared" si="19"/>
        <v/>
      </c>
      <c r="Z794" s="230" t="s">
        <v>40</v>
      </c>
      <c r="AA794" s="1154" t="str">
        <f t="shared" si="20"/>
        <v>NA</v>
      </c>
      <c r="AB794" s="230"/>
      <c r="AC794" s="1154" t="str">
        <f t="shared" si="21"/>
        <v/>
      </c>
      <c r="AD794" s="1154"/>
      <c r="AE794" s="1551" t="s">
        <v>1482</v>
      </c>
      <c r="AF794" s="230" t="s">
        <v>65</v>
      </c>
      <c r="AG794" s="1155">
        <v>2026</v>
      </c>
      <c r="AH794" s="1156">
        <v>187300</v>
      </c>
      <c r="AI794" s="1093"/>
      <c r="AJ794" s="232"/>
      <c r="AK794" s="1114" t="s">
        <v>43</v>
      </c>
      <c r="AL794" s="111" t="s">
        <v>40</v>
      </c>
      <c r="AM794" s="1157" t="s">
        <v>1586</v>
      </c>
      <c r="AN794" s="287"/>
    </row>
    <row r="795" spans="1:40" s="1121" customFormat="1" ht="33.6" customHeight="1" x14ac:dyDescent="0.3">
      <c r="A795" s="111" t="s">
        <v>264</v>
      </c>
      <c r="B795" s="1112" t="s">
        <v>223</v>
      </c>
      <c r="C795" s="287" t="s">
        <v>1587</v>
      </c>
      <c r="D795" s="1112" t="s">
        <v>34</v>
      </c>
      <c r="E795" s="111">
        <v>42</v>
      </c>
      <c r="F795" s="111"/>
      <c r="G795" s="1153"/>
      <c r="H795" s="323">
        <f>AH795/4.98</f>
        <v>1706.8273092369477</v>
      </c>
      <c r="I795" s="1115" t="s">
        <v>36</v>
      </c>
      <c r="J795" s="323">
        <v>1706.8273092369477</v>
      </c>
      <c r="K795" s="1638">
        <f>8500/4.98</f>
        <v>1706.8273092369477</v>
      </c>
      <c r="L795" s="1638">
        <f>K795</f>
        <v>1706.8273092369477</v>
      </c>
      <c r="M795" s="115" t="s">
        <v>303</v>
      </c>
      <c r="N795" s="115" t="s">
        <v>1588</v>
      </c>
      <c r="O795" s="115" t="s">
        <v>1580</v>
      </c>
      <c r="P795" s="230" t="s">
        <v>40</v>
      </c>
      <c r="Q795" s="1154" t="str">
        <f t="shared" si="15"/>
        <v>NA</v>
      </c>
      <c r="R795" s="230" t="s">
        <v>40</v>
      </c>
      <c r="S795" s="1154" t="str">
        <f t="shared" si="16"/>
        <v>NA</v>
      </c>
      <c r="T795" s="230" t="s">
        <v>40</v>
      </c>
      <c r="U795" s="1154" t="str">
        <f t="shared" si="17"/>
        <v>NA</v>
      </c>
      <c r="V795" s="230" t="s">
        <v>64</v>
      </c>
      <c r="W795" s="1154" t="str">
        <f t="shared" si="18"/>
        <v/>
      </c>
      <c r="X795" s="230" t="s">
        <v>64</v>
      </c>
      <c r="Y795" s="1154" t="str">
        <f t="shared" si="19"/>
        <v/>
      </c>
      <c r="Z795" s="230" t="s">
        <v>40</v>
      </c>
      <c r="AA795" s="1154" t="str">
        <f t="shared" si="20"/>
        <v>NA</v>
      </c>
      <c r="AB795" s="230"/>
      <c r="AC795" s="1154" t="str">
        <f t="shared" si="21"/>
        <v/>
      </c>
      <c r="AD795" s="1154"/>
      <c r="AE795" s="1551">
        <v>45169</v>
      </c>
      <c r="AF795" s="230" t="s">
        <v>65</v>
      </c>
      <c r="AG795" s="1155">
        <v>2023</v>
      </c>
      <c r="AH795" s="1156">
        <v>8500</v>
      </c>
      <c r="AI795" s="1093"/>
      <c r="AJ795" s="232"/>
      <c r="AK795" s="1114" t="s">
        <v>1483</v>
      </c>
      <c r="AL795" s="111" t="s">
        <v>40</v>
      </c>
      <c r="AM795" s="1157" t="s">
        <v>1520</v>
      </c>
      <c r="AN795" s="287"/>
    </row>
    <row r="796" spans="1:40" s="1121" customFormat="1" ht="32.4" customHeight="1" x14ac:dyDescent="0.3">
      <c r="A796" s="111" t="s">
        <v>264</v>
      </c>
      <c r="B796" s="1112" t="s">
        <v>223</v>
      </c>
      <c r="C796" s="287" t="s">
        <v>1589</v>
      </c>
      <c r="D796" s="1112" t="s">
        <v>34</v>
      </c>
      <c r="E796" s="111">
        <v>41</v>
      </c>
      <c r="F796" s="111"/>
      <c r="G796" s="1153"/>
      <c r="H796" s="323">
        <v>33514.056224899592</v>
      </c>
      <c r="I796" s="1115" t="s">
        <v>36</v>
      </c>
      <c r="J796" s="323">
        <v>33514.056224899592</v>
      </c>
      <c r="K796" s="1638">
        <v>25903.61</v>
      </c>
      <c r="L796" s="1638">
        <v>25903.61</v>
      </c>
      <c r="M796" s="115" t="s">
        <v>303</v>
      </c>
      <c r="N796" s="115" t="s">
        <v>1590</v>
      </c>
      <c r="O796" s="115" t="s">
        <v>1580</v>
      </c>
      <c r="P796" s="230" t="s">
        <v>64</v>
      </c>
      <c r="Q796" s="1154" t="str">
        <f t="shared" si="15"/>
        <v/>
      </c>
      <c r="R796" s="230" t="s">
        <v>64</v>
      </c>
      <c r="S796" s="1154" t="str">
        <f t="shared" si="16"/>
        <v/>
      </c>
      <c r="T796" s="230" t="s">
        <v>40</v>
      </c>
      <c r="U796" s="1154" t="str">
        <f t="shared" si="17"/>
        <v>NA</v>
      </c>
      <c r="V796" s="230" t="s">
        <v>64</v>
      </c>
      <c r="W796" s="1154" t="str">
        <f t="shared" si="18"/>
        <v/>
      </c>
      <c r="X796" s="230" t="s">
        <v>64</v>
      </c>
      <c r="Y796" s="1154" t="str">
        <f t="shared" si="19"/>
        <v/>
      </c>
      <c r="Z796" s="230" t="s">
        <v>40</v>
      </c>
      <c r="AA796" s="1154" t="str">
        <f t="shared" si="20"/>
        <v>NA</v>
      </c>
      <c r="AB796" s="230"/>
      <c r="AC796" s="1154" t="str">
        <f t="shared" si="21"/>
        <v/>
      </c>
      <c r="AD796" s="1154"/>
      <c r="AE796" s="1551" t="s">
        <v>1591</v>
      </c>
      <c r="AF796" s="230" t="s">
        <v>1470</v>
      </c>
      <c r="AG796" s="1155" t="s">
        <v>1471</v>
      </c>
      <c r="AH796" s="1156">
        <v>166900</v>
      </c>
      <c r="AI796" s="1093"/>
      <c r="AJ796" s="232"/>
      <c r="AK796" s="1114" t="s">
        <v>43</v>
      </c>
      <c r="AL796" s="111" t="s">
        <v>40</v>
      </c>
      <c r="AM796" s="1157" t="s">
        <v>1592</v>
      </c>
      <c r="AN796" s="287"/>
    </row>
    <row r="797" spans="1:40" s="1121" customFormat="1" ht="32.4" customHeight="1" x14ac:dyDescent="0.3">
      <c r="A797" s="111" t="s">
        <v>264</v>
      </c>
      <c r="B797" s="1112" t="s">
        <v>223</v>
      </c>
      <c r="C797" s="287" t="s">
        <v>1593</v>
      </c>
      <c r="D797" s="1112" t="s">
        <v>34</v>
      </c>
      <c r="E797" s="111">
        <v>42</v>
      </c>
      <c r="F797" s="111"/>
      <c r="G797" s="1153"/>
      <c r="H797" s="323">
        <v>872640.08</v>
      </c>
      <c r="I797" s="1115" t="s">
        <v>36</v>
      </c>
      <c r="J797" s="323">
        <v>872640.08</v>
      </c>
      <c r="K797" s="1638">
        <v>0</v>
      </c>
      <c r="L797" s="1638">
        <v>0</v>
      </c>
      <c r="M797" s="115" t="s">
        <v>303</v>
      </c>
      <c r="N797" s="115"/>
      <c r="O797" s="115"/>
      <c r="P797" s="230"/>
      <c r="Q797" s="1154"/>
      <c r="R797" s="230"/>
      <c r="S797" s="1154"/>
      <c r="T797" s="230"/>
      <c r="U797" s="1154"/>
      <c r="V797" s="230"/>
      <c r="W797" s="1154"/>
      <c r="X797" s="230"/>
      <c r="Y797" s="1154"/>
      <c r="Z797" s="230"/>
      <c r="AA797" s="1154"/>
      <c r="AB797" s="230"/>
      <c r="AC797" s="1154"/>
      <c r="AD797" s="1154"/>
      <c r="AE797" s="1551"/>
      <c r="AF797" s="230"/>
      <c r="AG797" s="1155"/>
      <c r="AH797" s="1156">
        <v>4345747.6100000003</v>
      </c>
      <c r="AI797" s="1093"/>
      <c r="AJ797" s="232"/>
      <c r="AK797" s="1114"/>
      <c r="AL797" s="111"/>
      <c r="AM797" s="1157" t="s">
        <v>1520</v>
      </c>
      <c r="AN797" s="287"/>
    </row>
    <row r="798" spans="1:40" s="1418" customFormat="1" ht="32.4" customHeight="1" x14ac:dyDescent="0.3">
      <c r="A798" s="1404" t="s">
        <v>264</v>
      </c>
      <c r="B798" s="1405" t="s">
        <v>223</v>
      </c>
      <c r="C798" s="1406" t="s">
        <v>3829</v>
      </c>
      <c r="D798" s="1112" t="s">
        <v>34</v>
      </c>
      <c r="E798" s="111">
        <v>42</v>
      </c>
      <c r="F798" s="111"/>
      <c r="G798" s="1153"/>
      <c r="H798" s="323">
        <v>9036.14</v>
      </c>
      <c r="I798" s="1115" t="s">
        <v>36</v>
      </c>
      <c r="J798" s="1397">
        <v>9036.14</v>
      </c>
      <c r="K798" s="1638">
        <v>0</v>
      </c>
      <c r="L798" s="1638">
        <v>0</v>
      </c>
      <c r="M798" s="1398" t="s">
        <v>303</v>
      </c>
      <c r="N798" s="1398"/>
      <c r="O798" s="1398"/>
      <c r="P798" s="1399"/>
      <c r="Q798" s="1407"/>
      <c r="R798" s="1399"/>
      <c r="S798" s="1407"/>
      <c r="T798" s="1399"/>
      <c r="U798" s="1407"/>
      <c r="V798" s="1399"/>
      <c r="W798" s="1407"/>
      <c r="X798" s="1399"/>
      <c r="Y798" s="1407"/>
      <c r="Z798" s="1399"/>
      <c r="AA798" s="1407"/>
      <c r="AB798" s="1399"/>
      <c r="AC798" s="1407"/>
      <c r="AD798" s="1407"/>
      <c r="AE798" s="1554"/>
      <c r="AF798" s="1399"/>
      <c r="AG798" s="1408"/>
      <c r="AH798" s="1409"/>
      <c r="AI798" s="1410"/>
      <c r="AJ798" s="1411"/>
      <c r="AK798" s="1412"/>
      <c r="AL798" s="1404"/>
      <c r="AM798" s="1413"/>
      <c r="AN798" s="1406"/>
    </row>
    <row r="799" spans="1:40" s="1121" customFormat="1" ht="36" customHeight="1" x14ac:dyDescent="0.3">
      <c r="A799" s="111" t="s">
        <v>264</v>
      </c>
      <c r="B799" s="1112" t="s">
        <v>223</v>
      </c>
      <c r="C799" s="287" t="s">
        <v>1594</v>
      </c>
      <c r="D799" s="1112" t="s">
        <v>34</v>
      </c>
      <c r="E799" s="111">
        <v>42</v>
      </c>
      <c r="F799" s="111"/>
      <c r="G799" s="1153"/>
      <c r="H799" s="323">
        <v>1706.8273092369477</v>
      </c>
      <c r="I799" s="1115" t="s">
        <v>36</v>
      </c>
      <c r="J799" s="323">
        <v>1706.8273092369477</v>
      </c>
      <c r="K799" s="1638">
        <v>1706.83</v>
      </c>
      <c r="L799" s="1638">
        <v>1706.83</v>
      </c>
      <c r="M799" s="115" t="s">
        <v>303</v>
      </c>
      <c r="N799" s="115" t="s">
        <v>1590</v>
      </c>
      <c r="O799" s="115" t="s">
        <v>1580</v>
      </c>
      <c r="P799" s="230" t="s">
        <v>40</v>
      </c>
      <c r="Q799" s="1154" t="str">
        <f t="shared" si="15"/>
        <v>NA</v>
      </c>
      <c r="R799" s="230" t="s">
        <v>40</v>
      </c>
      <c r="S799" s="1154" t="str">
        <f t="shared" si="16"/>
        <v>NA</v>
      </c>
      <c r="T799" s="230" t="s">
        <v>40</v>
      </c>
      <c r="U799" s="1154" t="str">
        <f t="shared" si="17"/>
        <v>NA</v>
      </c>
      <c r="V799" s="230" t="s">
        <v>64</v>
      </c>
      <c r="W799" s="1154" t="str">
        <f t="shared" si="18"/>
        <v/>
      </c>
      <c r="X799" s="230" t="s">
        <v>64</v>
      </c>
      <c r="Y799" s="1154" t="str">
        <f t="shared" si="19"/>
        <v/>
      </c>
      <c r="Z799" s="230" t="s">
        <v>40</v>
      </c>
      <c r="AA799" s="1154" t="str">
        <f t="shared" si="20"/>
        <v>NA</v>
      </c>
      <c r="AB799" s="230"/>
      <c r="AC799" s="1154" t="str">
        <f t="shared" si="21"/>
        <v/>
      </c>
      <c r="AD799" s="1154"/>
      <c r="AE799" s="1551">
        <v>45142</v>
      </c>
      <c r="AF799" s="230" t="s">
        <v>65</v>
      </c>
      <c r="AG799" s="1155">
        <v>2023</v>
      </c>
      <c r="AH799" s="1156">
        <v>8500</v>
      </c>
      <c r="AI799" s="1093"/>
      <c r="AJ799" s="232"/>
      <c r="AK799" s="1114" t="s">
        <v>1483</v>
      </c>
      <c r="AL799" s="111" t="s">
        <v>40</v>
      </c>
      <c r="AM799" s="1157" t="s">
        <v>1523</v>
      </c>
      <c r="AN799" s="287"/>
    </row>
    <row r="800" spans="1:40" s="1121" customFormat="1" ht="23.4" customHeight="1" x14ac:dyDescent="0.3">
      <c r="A800" s="111" t="s">
        <v>264</v>
      </c>
      <c r="B800" s="1112" t="s">
        <v>223</v>
      </c>
      <c r="C800" s="287" t="s">
        <v>1595</v>
      </c>
      <c r="D800" s="1112" t="s">
        <v>34</v>
      </c>
      <c r="E800" s="111">
        <v>42</v>
      </c>
      <c r="F800" s="116"/>
      <c r="G800" s="287" t="s">
        <v>1596</v>
      </c>
      <c r="H800" s="323">
        <v>604469.04417670669</v>
      </c>
      <c r="I800" s="1115" t="s">
        <v>36</v>
      </c>
      <c r="J800" s="323">
        <v>604469.04417670669</v>
      </c>
      <c r="K800" s="1636">
        <v>344030.83</v>
      </c>
      <c r="L800" s="1636">
        <v>344030.83</v>
      </c>
      <c r="M800" s="115" t="s">
        <v>76</v>
      </c>
      <c r="N800" s="115" t="s">
        <v>1597</v>
      </c>
      <c r="O800" s="115" t="s">
        <v>1598</v>
      </c>
      <c r="P800" s="230" t="s">
        <v>40</v>
      </c>
      <c r="Q800" s="1154" t="str">
        <f t="shared" si="15"/>
        <v>NA</v>
      </c>
      <c r="R800" s="230" t="s">
        <v>40</v>
      </c>
      <c r="S800" s="1154" t="str">
        <f t="shared" si="16"/>
        <v>NA</v>
      </c>
      <c r="T800" s="230" t="s">
        <v>40</v>
      </c>
      <c r="U800" s="1154" t="str">
        <f t="shared" si="17"/>
        <v>NA</v>
      </c>
      <c r="V800" s="230" t="s">
        <v>64</v>
      </c>
      <c r="W800" s="1154" t="str">
        <f t="shared" si="18"/>
        <v/>
      </c>
      <c r="X800" s="230" t="s">
        <v>64</v>
      </c>
      <c r="Y800" s="1154" t="str">
        <f t="shared" si="19"/>
        <v/>
      </c>
      <c r="Z800" s="230" t="s">
        <v>40</v>
      </c>
      <c r="AA800" s="1154" t="str">
        <f t="shared" si="20"/>
        <v>NA</v>
      </c>
      <c r="AB800" s="230"/>
      <c r="AC800" s="1154" t="str">
        <f t="shared" si="21"/>
        <v/>
      </c>
      <c r="AD800" s="1154"/>
      <c r="AE800" s="1551" t="s">
        <v>1591</v>
      </c>
      <c r="AF800" s="230" t="s">
        <v>1470</v>
      </c>
      <c r="AG800" s="1155" t="s">
        <v>1471</v>
      </c>
      <c r="AH800" s="1156">
        <v>3010255.84</v>
      </c>
      <c r="AI800" s="1093"/>
      <c r="AJ800" s="232"/>
      <c r="AK800" s="1114" t="s">
        <v>43</v>
      </c>
      <c r="AL800" s="111" t="s">
        <v>64</v>
      </c>
      <c r="AM800" s="1157" t="s">
        <v>1599</v>
      </c>
      <c r="AN800" s="287"/>
    </row>
    <row r="801" spans="1:40" s="1121" customFormat="1" ht="23.4" customHeight="1" x14ac:dyDescent="0.3">
      <c r="A801" s="111" t="s">
        <v>264</v>
      </c>
      <c r="B801" s="1112" t="s">
        <v>223</v>
      </c>
      <c r="C801" s="287" t="s">
        <v>1600</v>
      </c>
      <c r="D801" s="1112" t="s">
        <v>34</v>
      </c>
      <c r="E801" s="111">
        <v>41</v>
      </c>
      <c r="F801" s="137"/>
      <c r="G801" s="1153"/>
      <c r="H801" s="323">
        <v>0</v>
      </c>
      <c r="I801" s="1115" t="s">
        <v>36</v>
      </c>
      <c r="J801" s="323">
        <v>8995.9839357429719</v>
      </c>
      <c r="K801" s="1638">
        <v>0</v>
      </c>
      <c r="L801" s="1638">
        <v>8995.98</v>
      </c>
      <c r="M801" s="115" t="s">
        <v>76</v>
      </c>
      <c r="N801" s="115" t="s">
        <v>1597</v>
      </c>
      <c r="O801" s="115" t="s">
        <v>1598</v>
      </c>
      <c r="P801" s="1158" t="s">
        <v>64</v>
      </c>
      <c r="Q801" s="1159" t="str">
        <f t="shared" si="15"/>
        <v/>
      </c>
      <c r="R801" s="1158" t="s">
        <v>64</v>
      </c>
      <c r="S801" s="1159" t="str">
        <f t="shared" si="16"/>
        <v/>
      </c>
      <c r="T801" s="1158" t="s">
        <v>40</v>
      </c>
      <c r="U801" s="1159" t="str">
        <f t="shared" si="17"/>
        <v>NA</v>
      </c>
      <c r="V801" s="1158" t="s">
        <v>64</v>
      </c>
      <c r="W801" s="1159" t="str">
        <f t="shared" si="18"/>
        <v/>
      </c>
      <c r="X801" s="1158" t="s">
        <v>64</v>
      </c>
      <c r="Y801" s="1159" t="str">
        <f t="shared" si="19"/>
        <v/>
      </c>
      <c r="Z801" s="1158" t="s">
        <v>40</v>
      </c>
      <c r="AA801" s="1159" t="str">
        <f t="shared" si="20"/>
        <v>NA</v>
      </c>
      <c r="AB801" s="1158"/>
      <c r="AC801" s="1159" t="str">
        <f t="shared" si="21"/>
        <v/>
      </c>
      <c r="AD801" s="1159"/>
      <c r="AE801" s="1552" t="s">
        <v>1591</v>
      </c>
      <c r="AF801" s="230" t="s">
        <v>1470</v>
      </c>
      <c r="AG801" s="1155" t="s">
        <v>1471</v>
      </c>
      <c r="AH801" s="1156">
        <v>44800</v>
      </c>
      <c r="AI801" s="1093"/>
      <c r="AJ801" s="232"/>
      <c r="AK801" s="1114" t="s">
        <v>43</v>
      </c>
      <c r="AL801" s="111" t="s">
        <v>40</v>
      </c>
      <c r="AM801" s="1157" t="s">
        <v>1601</v>
      </c>
      <c r="AN801" s="287"/>
    </row>
    <row r="802" spans="1:40" s="1121" customFormat="1" ht="23.4" customHeight="1" x14ac:dyDescent="0.3">
      <c r="A802" s="111" t="s">
        <v>264</v>
      </c>
      <c r="B802" s="1112" t="s">
        <v>223</v>
      </c>
      <c r="C802" s="287" t="s">
        <v>1602</v>
      </c>
      <c r="D802" s="1112" t="s">
        <v>34</v>
      </c>
      <c r="E802" s="111">
        <v>41</v>
      </c>
      <c r="F802" s="111"/>
      <c r="G802" s="1153"/>
      <c r="H802" s="323">
        <v>0</v>
      </c>
      <c r="I802" s="1115" t="s">
        <v>36</v>
      </c>
      <c r="J802" s="323">
        <v>803.21285140562247</v>
      </c>
      <c r="K802" s="1636">
        <v>0</v>
      </c>
      <c r="L802" s="1636">
        <v>803.21</v>
      </c>
      <c r="M802" s="115" t="s">
        <v>76</v>
      </c>
      <c r="N802" s="115" t="s">
        <v>1597</v>
      </c>
      <c r="O802" s="115" t="s">
        <v>1598</v>
      </c>
      <c r="P802" s="1158" t="s">
        <v>40</v>
      </c>
      <c r="Q802" s="1159" t="str">
        <f t="shared" si="15"/>
        <v>NA</v>
      </c>
      <c r="R802" s="1158" t="s">
        <v>40</v>
      </c>
      <c r="S802" s="1159" t="str">
        <f t="shared" si="16"/>
        <v>NA</v>
      </c>
      <c r="T802" s="1158" t="s">
        <v>40</v>
      </c>
      <c r="U802" s="1159" t="str">
        <f t="shared" si="17"/>
        <v>NA</v>
      </c>
      <c r="V802" s="1158" t="s">
        <v>40</v>
      </c>
      <c r="W802" s="1159" t="str">
        <f t="shared" si="18"/>
        <v>NA</v>
      </c>
      <c r="X802" s="1158" t="s">
        <v>64</v>
      </c>
      <c r="Y802" s="1159" t="str">
        <f t="shared" si="19"/>
        <v/>
      </c>
      <c r="Z802" s="1158" t="s">
        <v>40</v>
      </c>
      <c r="AA802" s="1159" t="str">
        <f t="shared" si="20"/>
        <v>NA</v>
      </c>
      <c r="AB802" s="1158"/>
      <c r="AC802" s="1159" t="str">
        <f t="shared" si="21"/>
        <v/>
      </c>
      <c r="AD802" s="1159"/>
      <c r="AE802" s="1552">
        <v>45084</v>
      </c>
      <c r="AF802" s="230" t="s">
        <v>88</v>
      </c>
      <c r="AG802" s="1155">
        <v>2023</v>
      </c>
      <c r="AH802" s="1156">
        <v>4000</v>
      </c>
      <c r="AI802" s="1093"/>
      <c r="AJ802" s="232"/>
      <c r="AK802" s="1114" t="s">
        <v>43</v>
      </c>
      <c r="AL802" s="111" t="s">
        <v>40</v>
      </c>
      <c r="AM802" s="1157" t="s">
        <v>1523</v>
      </c>
      <c r="AN802" s="287"/>
    </row>
    <row r="803" spans="1:40" s="1121" customFormat="1" ht="23.4" customHeight="1" x14ac:dyDescent="0.3">
      <c r="A803" s="111" t="s">
        <v>264</v>
      </c>
      <c r="B803" s="1112" t="s">
        <v>223</v>
      </c>
      <c r="C803" s="287" t="s">
        <v>1603</v>
      </c>
      <c r="D803" s="1112" t="s">
        <v>34</v>
      </c>
      <c r="E803" s="111">
        <v>41</v>
      </c>
      <c r="F803" s="111"/>
      <c r="G803" s="1153"/>
      <c r="H803" s="323">
        <v>1004.016064257028</v>
      </c>
      <c r="I803" s="1115" t="s">
        <v>36</v>
      </c>
      <c r="J803" s="323">
        <v>1004.016064257028</v>
      </c>
      <c r="K803" s="1636">
        <v>1004.02</v>
      </c>
      <c r="L803" s="1636">
        <v>1004.02</v>
      </c>
      <c r="M803" s="115" t="s">
        <v>76</v>
      </c>
      <c r="N803" s="115" t="s">
        <v>1597</v>
      </c>
      <c r="O803" s="115" t="s">
        <v>1598</v>
      </c>
      <c r="P803" s="230" t="s">
        <v>40</v>
      </c>
      <c r="Q803" s="1154" t="str">
        <f t="shared" si="15"/>
        <v>NA</v>
      </c>
      <c r="R803" s="230" t="s">
        <v>40</v>
      </c>
      <c r="S803" s="1154" t="str">
        <f t="shared" si="16"/>
        <v>NA</v>
      </c>
      <c r="T803" s="230" t="s">
        <v>40</v>
      </c>
      <c r="U803" s="1154" t="str">
        <f t="shared" si="17"/>
        <v>NA</v>
      </c>
      <c r="V803" s="230" t="s">
        <v>40</v>
      </c>
      <c r="W803" s="1154" t="str">
        <f t="shared" si="18"/>
        <v>NA</v>
      </c>
      <c r="X803" s="230" t="s">
        <v>64</v>
      </c>
      <c r="Y803" s="1154" t="str">
        <f t="shared" si="19"/>
        <v/>
      </c>
      <c r="Z803" s="230" t="s">
        <v>40</v>
      </c>
      <c r="AA803" s="1154" t="str">
        <f t="shared" si="20"/>
        <v>NA</v>
      </c>
      <c r="AB803" s="230"/>
      <c r="AC803" s="1154" t="str">
        <f t="shared" si="21"/>
        <v/>
      </c>
      <c r="AD803" s="1154"/>
      <c r="AE803" s="1551" t="s">
        <v>1604</v>
      </c>
      <c r="AF803" s="230" t="s">
        <v>88</v>
      </c>
      <c r="AG803" s="1155">
        <v>2023</v>
      </c>
      <c r="AH803" s="1156">
        <v>5000</v>
      </c>
      <c r="AI803" s="1093"/>
      <c r="AJ803" s="232"/>
      <c r="AK803" s="1114" t="s">
        <v>43</v>
      </c>
      <c r="AL803" s="111" t="s">
        <v>40</v>
      </c>
      <c r="AM803" s="1157" t="s">
        <v>1523</v>
      </c>
      <c r="AN803" s="287"/>
    </row>
    <row r="804" spans="1:40" s="1121" customFormat="1" ht="23.4" customHeight="1" x14ac:dyDescent="0.3">
      <c r="A804" s="111" t="s">
        <v>264</v>
      </c>
      <c r="B804" s="1112" t="s">
        <v>223</v>
      </c>
      <c r="C804" s="287" t="s">
        <v>1605</v>
      </c>
      <c r="D804" s="1112" t="s">
        <v>34</v>
      </c>
      <c r="E804" s="111">
        <v>42</v>
      </c>
      <c r="F804" s="111"/>
      <c r="G804" s="1153"/>
      <c r="H804" s="323">
        <v>2208.8353413654618</v>
      </c>
      <c r="I804" s="1115" t="s">
        <v>36</v>
      </c>
      <c r="J804" s="323">
        <v>2208.8353413654618</v>
      </c>
      <c r="K804" s="1636">
        <v>1248.8</v>
      </c>
      <c r="L804" s="1636">
        <v>1248.8</v>
      </c>
      <c r="M804" s="115" t="s">
        <v>76</v>
      </c>
      <c r="N804" s="115" t="s">
        <v>1597</v>
      </c>
      <c r="O804" s="115" t="s">
        <v>1598</v>
      </c>
      <c r="P804" s="230" t="s">
        <v>40</v>
      </c>
      <c r="Q804" s="1154" t="str">
        <f t="shared" si="15"/>
        <v>NA</v>
      </c>
      <c r="R804" s="230" t="s">
        <v>40</v>
      </c>
      <c r="S804" s="1154" t="str">
        <f t="shared" si="16"/>
        <v>NA</v>
      </c>
      <c r="T804" s="230" t="s">
        <v>40</v>
      </c>
      <c r="U804" s="1154" t="str">
        <f t="shared" si="17"/>
        <v>NA</v>
      </c>
      <c r="V804" s="230" t="s">
        <v>40</v>
      </c>
      <c r="W804" s="1154" t="str">
        <f t="shared" si="18"/>
        <v>NA</v>
      </c>
      <c r="X804" s="230" t="s">
        <v>64</v>
      </c>
      <c r="Y804" s="1154" t="str">
        <f t="shared" si="19"/>
        <v/>
      </c>
      <c r="Z804" s="230" t="s">
        <v>40</v>
      </c>
      <c r="AA804" s="1154" t="str">
        <f t="shared" si="20"/>
        <v>NA</v>
      </c>
      <c r="AB804" s="230"/>
      <c r="AC804" s="1154" t="str">
        <f t="shared" si="21"/>
        <v/>
      </c>
      <c r="AD804" s="1154"/>
      <c r="AE804" s="1551" t="s">
        <v>1591</v>
      </c>
      <c r="AF804" s="230" t="s">
        <v>65</v>
      </c>
      <c r="AG804" s="1155">
        <v>2026</v>
      </c>
      <c r="AH804" s="1156">
        <v>11000</v>
      </c>
      <c r="AI804" s="1093"/>
      <c r="AJ804" s="232"/>
      <c r="AK804" s="1114" t="s">
        <v>43</v>
      </c>
      <c r="AL804" s="111" t="s">
        <v>40</v>
      </c>
      <c r="AM804" s="1157" t="s">
        <v>1606</v>
      </c>
      <c r="AN804" s="287"/>
    </row>
    <row r="805" spans="1:40" s="1121" customFormat="1" ht="23.4" customHeight="1" x14ac:dyDescent="0.3">
      <c r="A805" s="111" t="s">
        <v>264</v>
      </c>
      <c r="B805" s="1112" t="s">
        <v>223</v>
      </c>
      <c r="C805" s="287" t="s">
        <v>1607</v>
      </c>
      <c r="D805" s="1112" t="s">
        <v>34</v>
      </c>
      <c r="E805" s="111">
        <v>42</v>
      </c>
      <c r="F805" s="116"/>
      <c r="G805" s="287" t="s">
        <v>1608</v>
      </c>
      <c r="H805" s="323">
        <v>488707.17871485942</v>
      </c>
      <c r="I805" s="1115" t="s">
        <v>36</v>
      </c>
      <c r="J805" s="323">
        <v>488707.17871485942</v>
      </c>
      <c r="K805" s="1636">
        <v>301969.32</v>
      </c>
      <c r="L805" s="1636">
        <v>301969.32</v>
      </c>
      <c r="M805" s="115" t="s">
        <v>76</v>
      </c>
      <c r="N805" s="115" t="s">
        <v>1609</v>
      </c>
      <c r="O805" s="115" t="s">
        <v>1598</v>
      </c>
      <c r="P805" s="230" t="s">
        <v>40</v>
      </c>
      <c r="Q805" s="1154" t="str">
        <f t="shared" si="15"/>
        <v>NA</v>
      </c>
      <c r="R805" s="230" t="s">
        <v>40</v>
      </c>
      <c r="S805" s="1154" t="str">
        <f t="shared" si="16"/>
        <v>NA</v>
      </c>
      <c r="T805" s="230" t="s">
        <v>40</v>
      </c>
      <c r="U805" s="1154" t="str">
        <f t="shared" si="17"/>
        <v>NA</v>
      </c>
      <c r="V805" s="230" t="s">
        <v>64</v>
      </c>
      <c r="W805" s="1154" t="str">
        <f t="shared" si="18"/>
        <v/>
      </c>
      <c r="X805" s="230" t="s">
        <v>64</v>
      </c>
      <c r="Y805" s="1154" t="str">
        <f t="shared" si="19"/>
        <v/>
      </c>
      <c r="Z805" s="230" t="s">
        <v>40</v>
      </c>
      <c r="AA805" s="1154" t="str">
        <f t="shared" si="20"/>
        <v>NA</v>
      </c>
      <c r="AB805" s="230"/>
      <c r="AC805" s="1154" t="str">
        <f t="shared" si="21"/>
        <v/>
      </c>
      <c r="AD805" s="1154"/>
      <c r="AE805" s="1551" t="s">
        <v>1591</v>
      </c>
      <c r="AF805" s="230" t="s">
        <v>65</v>
      </c>
      <c r="AG805" s="1155">
        <v>2026</v>
      </c>
      <c r="AH805" s="1156">
        <v>2433761.75</v>
      </c>
      <c r="AI805" s="1093"/>
      <c r="AJ805" s="232"/>
      <c r="AK805" s="1114" t="s">
        <v>43</v>
      </c>
      <c r="AL805" s="111" t="s">
        <v>64</v>
      </c>
      <c r="AM805" s="1157" t="s">
        <v>1610</v>
      </c>
      <c r="AN805" s="287"/>
    </row>
    <row r="806" spans="1:40" s="1121" customFormat="1" ht="34.950000000000003" customHeight="1" x14ac:dyDescent="0.3">
      <c r="A806" s="111" t="s">
        <v>264</v>
      </c>
      <c r="B806" s="1112" t="s">
        <v>223</v>
      </c>
      <c r="C806" s="287" t="s">
        <v>1611</v>
      </c>
      <c r="D806" s="1112" t="s">
        <v>34</v>
      </c>
      <c r="E806" s="111">
        <v>41</v>
      </c>
      <c r="F806" s="111"/>
      <c r="G806" s="1153"/>
      <c r="H806" s="323">
        <v>0</v>
      </c>
      <c r="I806" s="1115" t="s">
        <v>36</v>
      </c>
      <c r="J806" s="323">
        <v>2218.8755020080321</v>
      </c>
      <c r="K806" s="1638">
        <v>0</v>
      </c>
      <c r="L806" s="1638">
        <v>2218.88</v>
      </c>
      <c r="M806" s="115" t="s">
        <v>76</v>
      </c>
      <c r="N806" s="115" t="s">
        <v>1609</v>
      </c>
      <c r="O806" s="115" t="s">
        <v>1598</v>
      </c>
      <c r="P806" s="1158" t="s">
        <v>64</v>
      </c>
      <c r="Q806" s="1159" t="str">
        <f t="shared" si="15"/>
        <v/>
      </c>
      <c r="R806" s="1158" t="s">
        <v>64</v>
      </c>
      <c r="S806" s="1159" t="str">
        <f t="shared" si="16"/>
        <v/>
      </c>
      <c r="T806" s="1158" t="s">
        <v>40</v>
      </c>
      <c r="U806" s="1159" t="str">
        <f t="shared" si="17"/>
        <v>NA</v>
      </c>
      <c r="V806" s="1158" t="s">
        <v>64</v>
      </c>
      <c r="W806" s="1159" t="str">
        <f t="shared" si="18"/>
        <v/>
      </c>
      <c r="X806" s="1158" t="s">
        <v>64</v>
      </c>
      <c r="Y806" s="1159" t="str">
        <f t="shared" si="19"/>
        <v/>
      </c>
      <c r="Z806" s="1158" t="s">
        <v>40</v>
      </c>
      <c r="AA806" s="1159" t="str">
        <f t="shared" si="20"/>
        <v>NA</v>
      </c>
      <c r="AB806" s="1158"/>
      <c r="AC806" s="1159" t="str">
        <f t="shared" si="21"/>
        <v/>
      </c>
      <c r="AD806" s="1159"/>
      <c r="AE806" s="1552" t="s">
        <v>1591</v>
      </c>
      <c r="AF806" s="230" t="s">
        <v>1470</v>
      </c>
      <c r="AG806" s="1155" t="s">
        <v>1471</v>
      </c>
      <c r="AH806" s="1156">
        <v>11050</v>
      </c>
      <c r="AI806" s="1093"/>
      <c r="AJ806" s="232"/>
      <c r="AK806" s="1114" t="s">
        <v>43</v>
      </c>
      <c r="AL806" s="111" t="s">
        <v>40</v>
      </c>
      <c r="AM806" s="1157" t="s">
        <v>1612</v>
      </c>
      <c r="AN806" s="287"/>
    </row>
    <row r="807" spans="1:40" s="1121" customFormat="1" ht="30" customHeight="1" x14ac:dyDescent="0.3">
      <c r="A807" s="111" t="s">
        <v>264</v>
      </c>
      <c r="B807" s="1112" t="s">
        <v>223</v>
      </c>
      <c r="C807" s="287" t="s">
        <v>1613</v>
      </c>
      <c r="D807" s="1112" t="s">
        <v>34</v>
      </c>
      <c r="E807" s="111">
        <v>41</v>
      </c>
      <c r="F807" s="111"/>
      <c r="G807" s="1153"/>
      <c r="H807" s="323">
        <v>0</v>
      </c>
      <c r="I807" s="1115" t="s">
        <v>36</v>
      </c>
      <c r="J807" s="323">
        <v>401.60642570281124</v>
      </c>
      <c r="K807" s="1636">
        <v>0</v>
      </c>
      <c r="L807" s="1636">
        <v>401.61</v>
      </c>
      <c r="M807" s="115" t="s">
        <v>76</v>
      </c>
      <c r="N807" s="115" t="s">
        <v>1609</v>
      </c>
      <c r="O807" s="115" t="s">
        <v>1598</v>
      </c>
      <c r="P807" s="1158" t="s">
        <v>40</v>
      </c>
      <c r="Q807" s="1159" t="str">
        <f t="shared" si="15"/>
        <v>NA</v>
      </c>
      <c r="R807" s="1158" t="s">
        <v>40</v>
      </c>
      <c r="S807" s="1159" t="str">
        <f t="shared" si="16"/>
        <v>NA</v>
      </c>
      <c r="T807" s="1158" t="s">
        <v>40</v>
      </c>
      <c r="U807" s="1159" t="str">
        <f t="shared" si="17"/>
        <v>NA</v>
      </c>
      <c r="V807" s="1158" t="s">
        <v>40</v>
      </c>
      <c r="W807" s="1159" t="str">
        <f t="shared" si="18"/>
        <v>NA</v>
      </c>
      <c r="X807" s="1158" t="s">
        <v>64</v>
      </c>
      <c r="Y807" s="1159" t="str">
        <f t="shared" si="19"/>
        <v/>
      </c>
      <c r="Z807" s="1158" t="s">
        <v>40</v>
      </c>
      <c r="AA807" s="1159" t="str">
        <f t="shared" si="20"/>
        <v>NA</v>
      </c>
      <c r="AB807" s="1158"/>
      <c r="AC807" s="1159" t="str">
        <f t="shared" si="21"/>
        <v/>
      </c>
      <c r="AD807" s="1159"/>
      <c r="AE807" s="1552" t="s">
        <v>1614</v>
      </c>
      <c r="AF807" s="230" t="s">
        <v>88</v>
      </c>
      <c r="AG807" s="1155">
        <v>2023</v>
      </c>
      <c r="AH807" s="1156">
        <v>2000</v>
      </c>
      <c r="AI807" s="1093"/>
      <c r="AJ807" s="232"/>
      <c r="AK807" s="1114" t="s">
        <v>43</v>
      </c>
      <c r="AL807" s="111" t="s">
        <v>40</v>
      </c>
      <c r="AM807" s="1157" t="s">
        <v>1523</v>
      </c>
      <c r="AN807" s="287"/>
    </row>
    <row r="808" spans="1:40" s="1161" customFormat="1" ht="35.4" customHeight="1" x14ac:dyDescent="0.3">
      <c r="A808" s="111" t="s">
        <v>264</v>
      </c>
      <c r="B808" s="1112" t="s">
        <v>223</v>
      </c>
      <c r="C808" s="287" t="s">
        <v>1615</v>
      </c>
      <c r="D808" s="1112" t="s">
        <v>34</v>
      </c>
      <c r="E808" s="111">
        <v>41</v>
      </c>
      <c r="F808" s="111"/>
      <c r="G808" s="1153"/>
      <c r="H808" s="323">
        <v>1004.016064257028</v>
      </c>
      <c r="I808" s="1115" t="s">
        <v>36</v>
      </c>
      <c r="J808" s="323">
        <v>1004.016064257028</v>
      </c>
      <c r="K808" s="1636">
        <v>1004.02</v>
      </c>
      <c r="L808" s="1636">
        <v>1004.02</v>
      </c>
      <c r="M808" s="115" t="s">
        <v>76</v>
      </c>
      <c r="N808" s="115" t="s">
        <v>1609</v>
      </c>
      <c r="O808" s="115" t="s">
        <v>1598</v>
      </c>
      <c r="P808" s="230" t="s">
        <v>40</v>
      </c>
      <c r="Q808" s="1154" t="str">
        <f t="shared" si="15"/>
        <v>NA</v>
      </c>
      <c r="R808" s="230" t="s">
        <v>40</v>
      </c>
      <c r="S808" s="1154" t="str">
        <f t="shared" si="16"/>
        <v>NA</v>
      </c>
      <c r="T808" s="230" t="s">
        <v>40</v>
      </c>
      <c r="U808" s="1154" t="str">
        <f t="shared" si="17"/>
        <v>NA</v>
      </c>
      <c r="V808" s="230" t="s">
        <v>40</v>
      </c>
      <c r="W808" s="1154" t="str">
        <f t="shared" si="18"/>
        <v>NA</v>
      </c>
      <c r="X808" s="230" t="s">
        <v>64</v>
      </c>
      <c r="Y808" s="1154" t="str">
        <f t="shared" si="19"/>
        <v/>
      </c>
      <c r="Z808" s="230" t="s">
        <v>40</v>
      </c>
      <c r="AA808" s="1154" t="str">
        <f t="shared" si="20"/>
        <v>NA</v>
      </c>
      <c r="AB808" s="230"/>
      <c r="AC808" s="1154" t="str">
        <f t="shared" si="21"/>
        <v/>
      </c>
      <c r="AD808" s="1154"/>
      <c r="AE808" s="1551" t="s">
        <v>1604</v>
      </c>
      <c r="AF808" s="230" t="s">
        <v>88</v>
      </c>
      <c r="AG808" s="1155">
        <v>2023</v>
      </c>
      <c r="AH808" s="1156">
        <v>5000</v>
      </c>
      <c r="AI808" s="1093"/>
      <c r="AJ808" s="232"/>
      <c r="AK808" s="1114" t="s">
        <v>43</v>
      </c>
      <c r="AL808" s="111" t="s">
        <v>40</v>
      </c>
      <c r="AM808" s="1157" t="s">
        <v>1523</v>
      </c>
      <c r="AN808" s="287"/>
    </row>
    <row r="809" spans="1:40" s="1121" customFormat="1" ht="39.6" customHeight="1" x14ac:dyDescent="0.3">
      <c r="A809" s="111" t="s">
        <v>264</v>
      </c>
      <c r="B809" s="1112" t="s">
        <v>223</v>
      </c>
      <c r="C809" s="287" t="s">
        <v>1616</v>
      </c>
      <c r="D809" s="1112" t="s">
        <v>34</v>
      </c>
      <c r="E809" s="111">
        <v>42</v>
      </c>
      <c r="F809" s="111"/>
      <c r="G809" s="1153"/>
      <c r="H809" s="323">
        <v>3915.6626506024095</v>
      </c>
      <c r="I809" s="1115" t="s">
        <v>36</v>
      </c>
      <c r="J809" s="323">
        <v>3915.6626506024095</v>
      </c>
      <c r="K809" s="1636">
        <v>2411.65</v>
      </c>
      <c r="L809" s="1636">
        <v>2411.65</v>
      </c>
      <c r="M809" s="115" t="s">
        <v>76</v>
      </c>
      <c r="N809" s="115" t="s">
        <v>1609</v>
      </c>
      <c r="O809" s="115" t="s">
        <v>1598</v>
      </c>
      <c r="P809" s="230" t="s">
        <v>40</v>
      </c>
      <c r="Q809" s="1154" t="str">
        <f t="shared" si="15"/>
        <v>NA</v>
      </c>
      <c r="R809" s="230" t="s">
        <v>40</v>
      </c>
      <c r="S809" s="1154" t="str">
        <f t="shared" si="16"/>
        <v>NA</v>
      </c>
      <c r="T809" s="230" t="s">
        <v>40</v>
      </c>
      <c r="U809" s="1154" t="str">
        <f t="shared" si="17"/>
        <v>NA</v>
      </c>
      <c r="V809" s="230" t="s">
        <v>40</v>
      </c>
      <c r="W809" s="1154" t="str">
        <f t="shared" si="18"/>
        <v>NA</v>
      </c>
      <c r="X809" s="230" t="s">
        <v>64</v>
      </c>
      <c r="Y809" s="1154" t="str">
        <f t="shared" si="19"/>
        <v/>
      </c>
      <c r="Z809" s="230" t="s">
        <v>40</v>
      </c>
      <c r="AA809" s="1154" t="str">
        <f t="shared" si="20"/>
        <v>NA</v>
      </c>
      <c r="AB809" s="230"/>
      <c r="AC809" s="1154" t="str">
        <f t="shared" si="21"/>
        <v/>
      </c>
      <c r="AD809" s="1154"/>
      <c r="AE809" s="1551" t="s">
        <v>1591</v>
      </c>
      <c r="AF809" s="230" t="s">
        <v>65</v>
      </c>
      <c r="AG809" s="1155">
        <v>2026</v>
      </c>
      <c r="AH809" s="1156">
        <v>19500</v>
      </c>
      <c r="AI809" s="1093"/>
      <c r="AJ809" s="232"/>
      <c r="AK809" s="1114" t="s">
        <v>43</v>
      </c>
      <c r="AL809" s="111" t="s">
        <v>40</v>
      </c>
      <c r="AM809" s="1157" t="s">
        <v>1617</v>
      </c>
      <c r="AN809" s="287"/>
    </row>
    <row r="810" spans="1:40" s="1121" customFormat="1" ht="54.6" customHeight="1" x14ac:dyDescent="0.3">
      <c r="A810" s="1162" t="s">
        <v>264</v>
      </c>
      <c r="B810" s="1112" t="s">
        <v>223</v>
      </c>
      <c r="C810" s="287" t="s">
        <v>1618</v>
      </c>
      <c r="D810" s="116" t="s">
        <v>34</v>
      </c>
      <c r="E810" s="111">
        <v>42</v>
      </c>
      <c r="F810" s="116"/>
      <c r="G810" s="116" t="s">
        <v>1619</v>
      </c>
      <c r="H810" s="323">
        <v>250695.66265060237</v>
      </c>
      <c r="I810" s="1163" t="s">
        <v>36</v>
      </c>
      <c r="J810" s="323">
        <v>250695.66265060237</v>
      </c>
      <c r="K810" s="1639">
        <v>71436.56</v>
      </c>
      <c r="L810" s="1639">
        <v>71436.56</v>
      </c>
      <c r="M810" s="1164" t="s">
        <v>76</v>
      </c>
      <c r="N810" s="1164" t="s">
        <v>1597</v>
      </c>
      <c r="O810" s="1164" t="s">
        <v>1598</v>
      </c>
      <c r="P810" s="1162" t="s">
        <v>40</v>
      </c>
      <c r="Q810" s="1162" t="str">
        <f t="shared" si="15"/>
        <v>NA</v>
      </c>
      <c r="R810" s="1162" t="s">
        <v>40</v>
      </c>
      <c r="S810" s="1162" t="str">
        <f t="shared" si="16"/>
        <v>NA</v>
      </c>
      <c r="T810" s="1162" t="s">
        <v>40</v>
      </c>
      <c r="U810" s="1162" t="str">
        <f t="shared" si="17"/>
        <v>NA</v>
      </c>
      <c r="V810" s="1162" t="s">
        <v>64</v>
      </c>
      <c r="W810" s="1165" t="s">
        <v>40</v>
      </c>
      <c r="X810" s="1162" t="s">
        <v>64</v>
      </c>
      <c r="Y810" s="1162" t="s">
        <v>40</v>
      </c>
      <c r="Z810" s="1162" t="s">
        <v>40</v>
      </c>
      <c r="AA810" s="1162" t="str">
        <f t="shared" si="20"/>
        <v>NA</v>
      </c>
      <c r="AB810" s="1162" t="s">
        <v>40</v>
      </c>
      <c r="AC810" s="1162" t="s">
        <v>40</v>
      </c>
      <c r="AD810" s="1166"/>
      <c r="AE810" s="1555" t="s">
        <v>40</v>
      </c>
      <c r="AF810" s="1162" t="s">
        <v>65</v>
      </c>
      <c r="AG810" s="1162">
        <v>2026</v>
      </c>
      <c r="AH810" s="1167">
        <v>1248464.3999999999</v>
      </c>
      <c r="AI810" s="1168"/>
      <c r="AJ810" s="1169"/>
      <c r="AK810" s="1170" t="s">
        <v>43</v>
      </c>
      <c r="AL810" s="1162" t="s">
        <v>41</v>
      </c>
      <c r="AM810" s="1171" t="s">
        <v>1620</v>
      </c>
      <c r="AN810" s="402" t="s">
        <v>40</v>
      </c>
    </row>
    <row r="811" spans="1:40" s="1121" customFormat="1" ht="23.4" customHeight="1" x14ac:dyDescent="0.3">
      <c r="A811" s="111" t="s">
        <v>264</v>
      </c>
      <c r="B811" s="1112" t="s">
        <v>223</v>
      </c>
      <c r="C811" s="287" t="s">
        <v>1621</v>
      </c>
      <c r="D811" s="1112" t="s">
        <v>34</v>
      </c>
      <c r="E811" s="111">
        <v>41</v>
      </c>
      <c r="F811" s="111"/>
      <c r="G811" s="1153"/>
      <c r="H811" s="323">
        <v>26104.417670682727</v>
      </c>
      <c r="I811" s="1115" t="s">
        <v>36</v>
      </c>
      <c r="J811" s="323">
        <v>26104.417670682727</v>
      </c>
      <c r="K811" s="1638">
        <f>82000/4.98</f>
        <v>16465.863453815258</v>
      </c>
      <c r="L811" s="1638">
        <f>K811</f>
        <v>16465.863453815258</v>
      </c>
      <c r="M811" s="115" t="s">
        <v>76</v>
      </c>
      <c r="N811" s="115" t="s">
        <v>1597</v>
      </c>
      <c r="O811" s="115" t="s">
        <v>1598</v>
      </c>
      <c r="P811" s="230" t="s">
        <v>64</v>
      </c>
      <c r="Q811" s="1154" t="str">
        <f t="shared" si="15"/>
        <v/>
      </c>
      <c r="R811" s="230" t="s">
        <v>64</v>
      </c>
      <c r="S811" s="1154" t="str">
        <f t="shared" si="16"/>
        <v/>
      </c>
      <c r="T811" s="230" t="s">
        <v>40</v>
      </c>
      <c r="U811" s="1154" t="str">
        <f t="shared" si="17"/>
        <v>NA</v>
      </c>
      <c r="V811" s="230" t="s">
        <v>64</v>
      </c>
      <c r="W811" s="1154" t="str">
        <f>IF(V811="NA","NA","")</f>
        <v/>
      </c>
      <c r="X811" s="230" t="s">
        <v>64</v>
      </c>
      <c r="Y811" s="1154" t="str">
        <f>IF(X811="NA","NA","")</f>
        <v/>
      </c>
      <c r="Z811" s="230" t="s">
        <v>40</v>
      </c>
      <c r="AA811" s="1154" t="str">
        <f t="shared" si="20"/>
        <v>NA</v>
      </c>
      <c r="AB811" s="230"/>
      <c r="AC811" s="1154" t="str">
        <f>IF(AB811="NA","NA","")</f>
        <v/>
      </c>
      <c r="AD811" s="1154"/>
      <c r="AE811" s="1551" t="s">
        <v>1591</v>
      </c>
      <c r="AF811" s="230" t="s">
        <v>1470</v>
      </c>
      <c r="AG811" s="1155" t="s">
        <v>1471</v>
      </c>
      <c r="AH811" s="1156">
        <v>130000</v>
      </c>
      <c r="AI811" s="1093"/>
      <c r="AJ811" s="232"/>
      <c r="AK811" s="1114" t="s">
        <v>43</v>
      </c>
      <c r="AL811" s="111" t="s">
        <v>40</v>
      </c>
      <c r="AM811" s="1157" t="s">
        <v>1622</v>
      </c>
      <c r="AN811" s="287"/>
    </row>
    <row r="812" spans="1:40" s="1161" customFormat="1" ht="27" customHeight="1" x14ac:dyDescent="0.3">
      <c r="A812" s="111" t="s">
        <v>264</v>
      </c>
      <c r="B812" s="1112" t="s">
        <v>223</v>
      </c>
      <c r="C812" s="287" t="s">
        <v>1623</v>
      </c>
      <c r="D812" s="1112" t="s">
        <v>34</v>
      </c>
      <c r="E812" s="111">
        <v>41</v>
      </c>
      <c r="F812" s="111"/>
      <c r="G812" s="1153"/>
      <c r="H812" s="323">
        <v>1004.016064257028</v>
      </c>
      <c r="I812" s="1115" t="s">
        <v>36</v>
      </c>
      <c r="J812" s="323">
        <v>1004.016064257028</v>
      </c>
      <c r="K812" s="1636">
        <v>1004.02</v>
      </c>
      <c r="L812" s="1636">
        <v>1004.02</v>
      </c>
      <c r="M812" s="115" t="s">
        <v>76</v>
      </c>
      <c r="N812" s="115" t="s">
        <v>1597</v>
      </c>
      <c r="O812" s="115" t="s">
        <v>1598</v>
      </c>
      <c r="P812" s="230" t="s">
        <v>40</v>
      </c>
      <c r="Q812" s="1154" t="str">
        <f t="shared" si="15"/>
        <v>NA</v>
      </c>
      <c r="R812" s="230" t="s">
        <v>40</v>
      </c>
      <c r="S812" s="1154" t="str">
        <f t="shared" si="16"/>
        <v>NA</v>
      </c>
      <c r="T812" s="230" t="s">
        <v>40</v>
      </c>
      <c r="U812" s="1154" t="str">
        <f t="shared" si="17"/>
        <v>NA</v>
      </c>
      <c r="V812" s="230" t="s">
        <v>40</v>
      </c>
      <c r="W812" s="1154" t="str">
        <f>IF(V812="NA","NA","")</f>
        <v>NA</v>
      </c>
      <c r="X812" s="230" t="s">
        <v>64</v>
      </c>
      <c r="Y812" s="1154" t="str">
        <f>IF(X812="NA","NA","")</f>
        <v/>
      </c>
      <c r="Z812" s="230" t="s">
        <v>40</v>
      </c>
      <c r="AA812" s="1154" t="str">
        <f t="shared" si="20"/>
        <v>NA</v>
      </c>
      <c r="AB812" s="230"/>
      <c r="AC812" s="1154" t="str">
        <f>IF(AB812="NA","NA","")</f>
        <v/>
      </c>
      <c r="AD812" s="1154"/>
      <c r="AE812" s="1551" t="s">
        <v>1624</v>
      </c>
      <c r="AF812" s="230" t="s">
        <v>88</v>
      </c>
      <c r="AG812" s="1155">
        <v>2023</v>
      </c>
      <c r="AH812" s="1156">
        <v>5000</v>
      </c>
      <c r="AI812" s="1093"/>
      <c r="AJ812" s="232"/>
      <c r="AK812" s="1114" t="s">
        <v>43</v>
      </c>
      <c r="AL812" s="111" t="s">
        <v>40</v>
      </c>
      <c r="AM812" s="1157" t="s">
        <v>1523</v>
      </c>
      <c r="AN812" s="287"/>
    </row>
    <row r="813" spans="1:40" s="1121" customFormat="1" ht="41.4" customHeight="1" x14ac:dyDescent="0.3">
      <c r="A813" s="111" t="s">
        <v>264</v>
      </c>
      <c r="B813" s="1112" t="s">
        <v>223</v>
      </c>
      <c r="C813" s="287" t="s">
        <v>1625</v>
      </c>
      <c r="D813" s="1112" t="s">
        <v>34</v>
      </c>
      <c r="E813" s="111">
        <v>41</v>
      </c>
      <c r="F813" s="111"/>
      <c r="G813" s="1153"/>
      <c r="H813" s="323">
        <v>1204.82</v>
      </c>
      <c r="I813" s="1115" t="s">
        <v>36</v>
      </c>
      <c r="J813" s="323">
        <v>1204.82</v>
      </c>
      <c r="K813" s="1636">
        <v>1204.82</v>
      </c>
      <c r="L813" s="1636">
        <v>1204.82</v>
      </c>
      <c r="M813" s="115" t="s">
        <v>76</v>
      </c>
      <c r="N813" s="115"/>
      <c r="O813" s="115"/>
      <c r="P813" s="230"/>
      <c r="Q813" s="1154"/>
      <c r="R813" s="230"/>
      <c r="S813" s="1154"/>
      <c r="T813" s="230"/>
      <c r="U813" s="1154"/>
      <c r="V813" s="230"/>
      <c r="W813" s="1154"/>
      <c r="X813" s="230"/>
      <c r="Y813" s="1154"/>
      <c r="Z813" s="230"/>
      <c r="AA813" s="1154"/>
      <c r="AB813" s="230"/>
      <c r="AC813" s="1154"/>
      <c r="AD813" s="1154"/>
      <c r="AE813" s="1547"/>
      <c r="AF813" s="230"/>
      <c r="AG813" s="1155"/>
      <c r="AH813" s="1156">
        <v>6000</v>
      </c>
      <c r="AI813" s="1093"/>
      <c r="AJ813" s="232"/>
      <c r="AK813" s="1114"/>
      <c r="AL813" s="111"/>
      <c r="AM813" s="1157" t="s">
        <v>1523</v>
      </c>
      <c r="AN813" s="1172"/>
    </row>
    <row r="814" spans="1:40" s="1121" customFormat="1" ht="23.4" customHeight="1" x14ac:dyDescent="0.3">
      <c r="A814" s="1162" t="s">
        <v>264</v>
      </c>
      <c r="B814" s="1112" t="s">
        <v>223</v>
      </c>
      <c r="C814" s="287" t="s">
        <v>3840</v>
      </c>
      <c r="D814" s="116" t="s">
        <v>34</v>
      </c>
      <c r="E814" s="111">
        <v>42</v>
      </c>
      <c r="F814" s="111"/>
      <c r="G814" s="111"/>
      <c r="H814" s="323">
        <v>4016.064257028112</v>
      </c>
      <c r="I814" s="1163" t="s">
        <v>36</v>
      </c>
      <c r="J814" s="323">
        <v>4016.064257028112</v>
      </c>
      <c r="K814" s="1639">
        <f>1144.41</f>
        <v>1144.4100000000001</v>
      </c>
      <c r="L814" s="1639">
        <f>1144.41</f>
        <v>1144.4100000000001</v>
      </c>
      <c r="M814" s="1164" t="s">
        <v>76</v>
      </c>
      <c r="N814" s="1164" t="s">
        <v>1597</v>
      </c>
      <c r="O814" s="1164" t="s">
        <v>1598</v>
      </c>
      <c r="P814" s="1162" t="s">
        <v>40</v>
      </c>
      <c r="Q814" s="1162" t="str">
        <f t="shared" si="15"/>
        <v>NA</v>
      </c>
      <c r="R814" s="1162" t="s">
        <v>40</v>
      </c>
      <c r="S814" s="1162" t="str">
        <f t="shared" si="16"/>
        <v>NA</v>
      </c>
      <c r="T814" s="1162" t="s">
        <v>40</v>
      </c>
      <c r="U814" s="1162" t="str">
        <f t="shared" si="17"/>
        <v>NA</v>
      </c>
      <c r="V814" s="1162" t="s">
        <v>40</v>
      </c>
      <c r="W814" s="1162" t="str">
        <f>IF(V814="NA","NA","")</f>
        <v>NA</v>
      </c>
      <c r="X814" s="1162" t="s">
        <v>64</v>
      </c>
      <c r="Y814" s="1162" t="s">
        <v>40</v>
      </c>
      <c r="Z814" s="1162" t="s">
        <v>40</v>
      </c>
      <c r="AA814" s="1162" t="str">
        <f t="shared" si="20"/>
        <v>NA</v>
      </c>
      <c r="AB814" s="1162" t="s">
        <v>40</v>
      </c>
      <c r="AC814" s="1162" t="s">
        <v>40</v>
      </c>
      <c r="AD814" s="1166"/>
      <c r="AE814" s="1555" t="s">
        <v>40</v>
      </c>
      <c r="AF814" s="1162" t="s">
        <v>65</v>
      </c>
      <c r="AG814" s="1162">
        <v>2026</v>
      </c>
      <c r="AH814" s="1167">
        <v>20000</v>
      </c>
      <c r="AI814" s="1168"/>
      <c r="AJ814" s="1169"/>
      <c r="AK814" s="1170" t="s">
        <v>43</v>
      </c>
      <c r="AL814" s="1162" t="s">
        <v>40</v>
      </c>
      <c r="AM814" s="1171" t="s">
        <v>1626</v>
      </c>
      <c r="AN814" s="402" t="s">
        <v>40</v>
      </c>
    </row>
    <row r="815" spans="1:40" s="1121" customFormat="1" ht="47.4" customHeight="1" x14ac:dyDescent="0.3">
      <c r="A815" s="111" t="s">
        <v>264</v>
      </c>
      <c r="B815" s="1112" t="s">
        <v>223</v>
      </c>
      <c r="C815" s="287" t="s">
        <v>1627</v>
      </c>
      <c r="D815" s="1112" t="s">
        <v>34</v>
      </c>
      <c r="E815" s="111">
        <v>41</v>
      </c>
      <c r="F815" s="111"/>
      <c r="G815" s="1153"/>
      <c r="H815" s="323">
        <v>36746.987951807227</v>
      </c>
      <c r="I815" s="1115" t="s">
        <v>36</v>
      </c>
      <c r="J815" s="323">
        <v>36746.987951807227</v>
      </c>
      <c r="K815" s="1636">
        <v>34538.15</v>
      </c>
      <c r="L815" s="1636">
        <v>34538.15</v>
      </c>
      <c r="M815" s="115" t="s">
        <v>76</v>
      </c>
      <c r="N815" s="115" t="s">
        <v>1628</v>
      </c>
      <c r="O815" s="115" t="s">
        <v>1598</v>
      </c>
      <c r="P815" s="230" t="s">
        <v>64</v>
      </c>
      <c r="Q815" s="1154" t="str">
        <f t="shared" si="15"/>
        <v/>
      </c>
      <c r="R815" s="230" t="s">
        <v>64</v>
      </c>
      <c r="S815" s="1154" t="str">
        <f t="shared" si="16"/>
        <v/>
      </c>
      <c r="T815" s="230" t="s">
        <v>40</v>
      </c>
      <c r="U815" s="1154" t="str">
        <f t="shared" si="17"/>
        <v>NA</v>
      </c>
      <c r="V815" s="230" t="s">
        <v>64</v>
      </c>
      <c r="W815" s="1154" t="str">
        <f>IF(V815="NA","NA","")</f>
        <v/>
      </c>
      <c r="X815" s="230" t="s">
        <v>64</v>
      </c>
      <c r="Y815" s="1154" t="str">
        <f>IF(X815="NA","NA","")</f>
        <v/>
      </c>
      <c r="Z815" s="230" t="s">
        <v>40</v>
      </c>
      <c r="AA815" s="1154" t="str">
        <f t="shared" si="20"/>
        <v>NA</v>
      </c>
      <c r="AB815" s="230"/>
      <c r="AC815" s="1154" t="str">
        <f>IF(AB815="NA","NA","")</f>
        <v/>
      </c>
      <c r="AD815" s="1154"/>
      <c r="AE815" s="1551" t="s">
        <v>1591</v>
      </c>
      <c r="AF815" s="230" t="s">
        <v>1470</v>
      </c>
      <c r="AG815" s="1155" t="s">
        <v>1471</v>
      </c>
      <c r="AH815" s="1156">
        <v>183000</v>
      </c>
      <c r="AI815" s="1093"/>
      <c r="AJ815" s="232"/>
      <c r="AK815" s="1114" t="s">
        <v>43</v>
      </c>
      <c r="AL815" s="111" t="s">
        <v>40</v>
      </c>
      <c r="AM815" s="1157" t="s">
        <v>1629</v>
      </c>
      <c r="AN815" s="287"/>
    </row>
    <row r="816" spans="1:40" s="1121" customFormat="1" ht="46.95" customHeight="1" x14ac:dyDescent="0.3">
      <c r="A816" s="111" t="s">
        <v>264</v>
      </c>
      <c r="B816" s="1112" t="s">
        <v>223</v>
      </c>
      <c r="C816" s="287" t="s">
        <v>1630</v>
      </c>
      <c r="D816" s="1112" t="s">
        <v>34</v>
      </c>
      <c r="E816" s="111">
        <v>41</v>
      </c>
      <c r="F816" s="111"/>
      <c r="G816" s="1153"/>
      <c r="H816" s="323">
        <v>44277.108433734938</v>
      </c>
      <c r="I816" s="1115" t="s">
        <v>36</v>
      </c>
      <c r="J816" s="323">
        <v>44277.108433734938</v>
      </c>
      <c r="K816" s="1638">
        <v>30823.29</v>
      </c>
      <c r="L816" s="1638">
        <v>30823.29</v>
      </c>
      <c r="M816" s="115" t="s">
        <v>80</v>
      </c>
      <c r="N816" s="115" t="s">
        <v>1631</v>
      </c>
      <c r="O816" s="115" t="s">
        <v>1632</v>
      </c>
      <c r="P816" s="230" t="s">
        <v>64</v>
      </c>
      <c r="Q816" s="1154" t="s">
        <v>40</v>
      </c>
      <c r="R816" s="230" t="s">
        <v>64</v>
      </c>
      <c r="S816" s="1154" t="s">
        <v>40</v>
      </c>
      <c r="T816" s="230" t="s">
        <v>40</v>
      </c>
      <c r="U816" s="1154" t="str">
        <f t="shared" si="17"/>
        <v>NA</v>
      </c>
      <c r="V816" s="230" t="s">
        <v>64</v>
      </c>
      <c r="W816" s="1154" t="s">
        <v>40</v>
      </c>
      <c r="X816" s="230" t="s">
        <v>64</v>
      </c>
      <c r="Y816" s="1154"/>
      <c r="Z816" s="230" t="s">
        <v>40</v>
      </c>
      <c r="AA816" s="1154" t="str">
        <f t="shared" si="20"/>
        <v>NA</v>
      </c>
      <c r="AB816" s="230"/>
      <c r="AC816" s="1154"/>
      <c r="AD816" s="1154"/>
      <c r="AE816" s="1551">
        <v>46203</v>
      </c>
      <c r="AF816" s="230" t="s">
        <v>1470</v>
      </c>
      <c r="AG816" s="1155" t="s">
        <v>1471</v>
      </c>
      <c r="AH816" s="1156">
        <v>220500</v>
      </c>
      <c r="AI816" s="1093"/>
      <c r="AJ816" s="232"/>
      <c r="AK816" s="1114" t="s">
        <v>43</v>
      </c>
      <c r="AL816" s="111" t="s">
        <v>41</v>
      </c>
      <c r="AM816" s="1157" t="s">
        <v>1633</v>
      </c>
      <c r="AN816" s="287"/>
    </row>
    <row r="817" spans="1:79" s="1121" customFormat="1" ht="55.95" customHeight="1" x14ac:dyDescent="0.3">
      <c r="A817" s="111" t="s">
        <v>264</v>
      </c>
      <c r="B817" s="1112" t="s">
        <v>223</v>
      </c>
      <c r="C817" s="287" t="s">
        <v>1634</v>
      </c>
      <c r="D817" s="1112" t="s">
        <v>34</v>
      </c>
      <c r="E817" s="111">
        <v>41</v>
      </c>
      <c r="F817" s="111"/>
      <c r="G817" s="1153"/>
      <c r="H817" s="323">
        <v>3012.0481927710839</v>
      </c>
      <c r="I817" s="1115" t="s">
        <v>36</v>
      </c>
      <c r="J817" s="323">
        <v>3012.0481927710839</v>
      </c>
      <c r="K817" s="1638">
        <v>3012.05</v>
      </c>
      <c r="L817" s="1638">
        <v>3012.05</v>
      </c>
      <c r="M817" s="115" t="s">
        <v>80</v>
      </c>
      <c r="N817" s="115" t="s">
        <v>1631</v>
      </c>
      <c r="O817" s="115" t="s">
        <v>1632</v>
      </c>
      <c r="P817" s="230" t="s">
        <v>64</v>
      </c>
      <c r="Q817" s="1154" t="s">
        <v>40</v>
      </c>
      <c r="R817" s="230" t="s">
        <v>40</v>
      </c>
      <c r="S817" s="1154" t="str">
        <f>IF(R817="NA","NA","")</f>
        <v>NA</v>
      </c>
      <c r="T817" s="230" t="s">
        <v>40</v>
      </c>
      <c r="U817" s="1154" t="str">
        <f t="shared" si="17"/>
        <v>NA</v>
      </c>
      <c r="V817" s="230" t="s">
        <v>40</v>
      </c>
      <c r="W817" s="1154" t="str">
        <f>IF(V817="NA","NA","")</f>
        <v>NA</v>
      </c>
      <c r="X817" s="230" t="s">
        <v>64</v>
      </c>
      <c r="Y817" s="1154"/>
      <c r="Z817" s="230" t="s">
        <v>40</v>
      </c>
      <c r="AA817" s="1154" t="str">
        <f t="shared" si="20"/>
        <v>NA</v>
      </c>
      <c r="AB817" s="230"/>
      <c r="AC817" s="1154"/>
      <c r="AD817" s="1154"/>
      <c r="AE817" s="1551" t="s">
        <v>1635</v>
      </c>
      <c r="AF817" s="230" t="s">
        <v>88</v>
      </c>
      <c r="AG817" s="1155">
        <v>2023</v>
      </c>
      <c r="AH817" s="1156">
        <v>15000</v>
      </c>
      <c r="AI817" s="1093"/>
      <c r="AJ817" s="232"/>
      <c r="AK817" s="1114" t="s">
        <v>43</v>
      </c>
      <c r="AL817" s="111" t="s">
        <v>40</v>
      </c>
      <c r="AM817" s="1157" t="s">
        <v>1523</v>
      </c>
      <c r="AN817" s="287"/>
    </row>
    <row r="818" spans="1:79" s="1121" customFormat="1" ht="43.95" customHeight="1" x14ac:dyDescent="0.3">
      <c r="A818" s="111" t="s">
        <v>264</v>
      </c>
      <c r="B818" s="1112" t="s">
        <v>223</v>
      </c>
      <c r="C818" s="287" t="s">
        <v>1636</v>
      </c>
      <c r="D818" s="1112" t="s">
        <v>34</v>
      </c>
      <c r="E818" s="111">
        <v>42</v>
      </c>
      <c r="F818" s="111"/>
      <c r="G818" s="1153"/>
      <c r="H818" s="323">
        <v>1706.8273092369477</v>
      </c>
      <c r="I818" s="1115" t="s">
        <v>36</v>
      </c>
      <c r="J818" s="323">
        <v>1706.8273092369477</v>
      </c>
      <c r="K818" s="1638">
        <v>1706.83</v>
      </c>
      <c r="L818" s="1638">
        <v>1706.83</v>
      </c>
      <c r="M818" s="115" t="s">
        <v>80</v>
      </c>
      <c r="N818" s="115" t="s">
        <v>1631</v>
      </c>
      <c r="O818" s="115" t="s">
        <v>1632</v>
      </c>
      <c r="P818" s="230" t="s">
        <v>40</v>
      </c>
      <c r="Q818" s="1154" t="s">
        <v>40</v>
      </c>
      <c r="R818" s="230" t="s">
        <v>40</v>
      </c>
      <c r="S818" s="1154" t="str">
        <f>IF(R818="NA","NA","")</f>
        <v>NA</v>
      </c>
      <c r="T818" s="230" t="s">
        <v>40</v>
      </c>
      <c r="U818" s="1154" t="str">
        <f t="shared" si="17"/>
        <v>NA</v>
      </c>
      <c r="V818" s="230" t="s">
        <v>40</v>
      </c>
      <c r="W818" s="1154" t="str">
        <f>IF(V818="NA","NA","")</f>
        <v>NA</v>
      </c>
      <c r="X818" s="230" t="s">
        <v>64</v>
      </c>
      <c r="Y818" s="1154" t="str">
        <f>IF(X818="NA","NA","")</f>
        <v/>
      </c>
      <c r="Z818" s="230" t="s">
        <v>40</v>
      </c>
      <c r="AA818" s="1154" t="str">
        <f t="shared" si="20"/>
        <v>NA</v>
      </c>
      <c r="AB818" s="230"/>
      <c r="AC818" s="1154"/>
      <c r="AD818" s="1154"/>
      <c r="AE818" s="1551">
        <v>45148</v>
      </c>
      <c r="AF818" s="230" t="s">
        <v>65</v>
      </c>
      <c r="AG818" s="1155">
        <v>2023</v>
      </c>
      <c r="AH818" s="1156">
        <v>8500</v>
      </c>
      <c r="AI818" s="1093"/>
      <c r="AJ818" s="232"/>
      <c r="AK818" s="1114" t="s">
        <v>1483</v>
      </c>
      <c r="AL818" s="111" t="s">
        <v>40</v>
      </c>
      <c r="AM818" s="1157" t="s">
        <v>1637</v>
      </c>
      <c r="AN818" s="287"/>
    </row>
    <row r="819" spans="1:79" s="1418" customFormat="1" ht="43.95" customHeight="1" x14ac:dyDescent="0.3">
      <c r="A819" s="1404" t="s">
        <v>264</v>
      </c>
      <c r="B819" s="1405" t="s">
        <v>223</v>
      </c>
      <c r="C819" s="1406" t="s">
        <v>3830</v>
      </c>
      <c r="D819" s="1405" t="s">
        <v>34</v>
      </c>
      <c r="E819" s="1404">
        <v>42</v>
      </c>
      <c r="F819" s="1404"/>
      <c r="G819" s="1419"/>
      <c r="H819" s="1397">
        <v>1748995.98</v>
      </c>
      <c r="I819" s="1417" t="s">
        <v>36</v>
      </c>
      <c r="J819" s="1397">
        <v>1748995.98</v>
      </c>
      <c r="K819" s="1638"/>
      <c r="L819" s="1638"/>
      <c r="M819" s="1398" t="s">
        <v>80</v>
      </c>
      <c r="N819" s="1398" t="s">
        <v>1631</v>
      </c>
      <c r="O819" s="1398" t="s">
        <v>1632</v>
      </c>
      <c r="P819" s="1399"/>
      <c r="Q819" s="1407"/>
      <c r="R819" s="1399"/>
      <c r="S819" s="1407"/>
      <c r="T819" s="1399"/>
      <c r="U819" s="1407"/>
      <c r="V819" s="1399"/>
      <c r="W819" s="1407"/>
      <c r="X819" s="1399"/>
      <c r="Y819" s="1407"/>
      <c r="Z819" s="1399"/>
      <c r="AA819" s="1407"/>
      <c r="AB819" s="1399"/>
      <c r="AC819" s="1407"/>
      <c r="AD819" s="1407"/>
      <c r="AE819" s="1554" t="s">
        <v>3831</v>
      </c>
      <c r="AF819" s="1399" t="s">
        <v>65</v>
      </c>
      <c r="AG819" s="1408">
        <v>2026</v>
      </c>
      <c r="AH819" s="1409">
        <v>8710000</v>
      </c>
      <c r="AI819" s="1410"/>
      <c r="AJ819" s="1420" t="s">
        <v>3832</v>
      </c>
      <c r="AK819" s="1412"/>
      <c r="AL819" s="1404"/>
      <c r="AM819" s="1413"/>
      <c r="AN819" s="1406"/>
    </row>
    <row r="820" spans="1:79" s="102" customFormat="1" ht="51.6" customHeight="1" x14ac:dyDescent="0.3">
      <c r="A820" s="111" t="s">
        <v>264</v>
      </c>
      <c r="B820" s="1112" t="s">
        <v>223</v>
      </c>
      <c r="C820" s="287" t="s">
        <v>1638</v>
      </c>
      <c r="D820" s="1112" t="s">
        <v>34</v>
      </c>
      <c r="E820" s="111">
        <v>41</v>
      </c>
      <c r="F820" s="111"/>
      <c r="G820" s="1153"/>
      <c r="H820" s="323">
        <v>8218.4738955823286</v>
      </c>
      <c r="I820" s="1115" t="s">
        <v>36</v>
      </c>
      <c r="J820" s="323">
        <v>8218.4738955823286</v>
      </c>
      <c r="K820" s="1638">
        <v>6958.62</v>
      </c>
      <c r="L820" s="1638">
        <v>6958.62</v>
      </c>
      <c r="M820" s="115" t="s">
        <v>1468</v>
      </c>
      <c r="N820" s="115" t="s">
        <v>40</v>
      </c>
      <c r="O820" s="115" t="s">
        <v>1469</v>
      </c>
      <c r="P820" s="230" t="s">
        <v>40</v>
      </c>
      <c r="Q820" s="1154" t="str">
        <f>IF(P820="NA","NA","")</f>
        <v>NA</v>
      </c>
      <c r="R820" s="230" t="s">
        <v>40</v>
      </c>
      <c r="S820" s="1154" t="str">
        <f>IF(R820="NA","NA","")</f>
        <v>NA</v>
      </c>
      <c r="T820" s="230" t="s">
        <v>40</v>
      </c>
      <c r="U820" s="1154" t="str">
        <f t="shared" si="17"/>
        <v>NA</v>
      </c>
      <c r="V820" s="230" t="s">
        <v>40</v>
      </c>
      <c r="W820" s="1154" t="str">
        <f>IF(V820="NA","NA","")</f>
        <v>NA</v>
      </c>
      <c r="X820" s="230" t="s">
        <v>64</v>
      </c>
      <c r="Y820" s="1154" t="str">
        <f>IF(X820="NA","NA","")</f>
        <v/>
      </c>
      <c r="Z820" s="230" t="s">
        <v>40</v>
      </c>
      <c r="AA820" s="1154" t="str">
        <f t="shared" si="20"/>
        <v>NA</v>
      </c>
      <c r="AB820" s="230"/>
      <c r="AC820" s="1154" t="str">
        <f>IF(AB820="NA","NA","")</f>
        <v/>
      </c>
      <c r="AD820" s="1154"/>
      <c r="AE820" s="1551" t="s">
        <v>1639</v>
      </c>
      <c r="AF820" s="230" t="s">
        <v>1470</v>
      </c>
      <c r="AG820" s="1155" t="s">
        <v>1471</v>
      </c>
      <c r="AH820" s="1156">
        <v>40928</v>
      </c>
      <c r="AI820" s="1093"/>
      <c r="AJ820" s="232"/>
      <c r="AK820" s="1114" t="s">
        <v>43</v>
      </c>
      <c r="AL820" s="111" t="s">
        <v>40</v>
      </c>
      <c r="AM820" s="1157" t="s">
        <v>1523</v>
      </c>
      <c r="AN820" s="287"/>
      <c r="AO820" s="104"/>
      <c r="AP820" s="104"/>
      <c r="AQ820" s="104"/>
      <c r="AR820" s="104"/>
      <c r="AS820" s="104"/>
      <c r="AT820" s="104"/>
      <c r="AU820" s="104"/>
      <c r="AV820" s="104"/>
      <c r="AW820" s="104"/>
      <c r="AX820" s="104"/>
      <c r="AY820" s="104"/>
      <c r="AZ820" s="104"/>
      <c r="BA820" s="104"/>
      <c r="BB820" s="104"/>
      <c r="BC820" s="104"/>
      <c r="BD820" s="104"/>
      <c r="BE820" s="104"/>
      <c r="BF820" s="104"/>
      <c r="BG820" s="104"/>
      <c r="BH820" s="104"/>
      <c r="BI820" s="104"/>
      <c r="BJ820" s="104"/>
      <c r="BK820" s="104"/>
      <c r="BL820" s="104"/>
      <c r="BM820" s="104"/>
      <c r="BN820" s="104"/>
      <c r="BO820" s="104"/>
      <c r="BP820" s="104"/>
      <c r="BQ820" s="104"/>
      <c r="BR820" s="104"/>
      <c r="BS820" s="104"/>
      <c r="BT820" s="104"/>
      <c r="BU820" s="104"/>
      <c r="BV820" s="104"/>
      <c r="BW820" s="104"/>
      <c r="BX820" s="104"/>
      <c r="BY820" s="104"/>
      <c r="BZ820" s="104"/>
      <c r="CA820" s="358"/>
    </row>
    <row r="821" spans="1:79" s="104" customFormat="1" ht="81" customHeight="1" x14ac:dyDescent="0.3">
      <c r="A821" s="111" t="s">
        <v>264</v>
      </c>
      <c r="B821" s="1112" t="s">
        <v>223</v>
      </c>
      <c r="C821" s="287" t="s">
        <v>1640</v>
      </c>
      <c r="D821" s="1112" t="s">
        <v>34</v>
      </c>
      <c r="E821" s="111">
        <v>42</v>
      </c>
      <c r="F821" s="111"/>
      <c r="G821" s="1153"/>
      <c r="H821" s="323">
        <v>19839.357429718875</v>
      </c>
      <c r="I821" s="1115" t="s">
        <v>36</v>
      </c>
      <c r="J821" s="323">
        <v>19839.357429718875</v>
      </c>
      <c r="K821" s="1638">
        <v>19839.36</v>
      </c>
      <c r="L821" s="1638">
        <v>19839.36</v>
      </c>
      <c r="M821" s="115" t="s">
        <v>1468</v>
      </c>
      <c r="N821" s="115" t="s">
        <v>40</v>
      </c>
      <c r="O821" s="115" t="s">
        <v>1469</v>
      </c>
      <c r="P821" s="230" t="s">
        <v>40</v>
      </c>
      <c r="Q821" s="1154" t="str">
        <f>IF(P821="NA","NA","")</f>
        <v>NA</v>
      </c>
      <c r="R821" s="230" t="s">
        <v>40</v>
      </c>
      <c r="S821" s="1154" t="str">
        <f>IF(R821="NA","NA","")</f>
        <v>NA</v>
      </c>
      <c r="T821" s="230" t="s">
        <v>40</v>
      </c>
      <c r="U821" s="1154" t="str">
        <f t="shared" si="17"/>
        <v>NA</v>
      </c>
      <c r="V821" s="230" t="s">
        <v>40</v>
      </c>
      <c r="W821" s="1154" t="str">
        <f>IF(V821="NA","NA","")</f>
        <v>NA</v>
      </c>
      <c r="X821" s="230" t="s">
        <v>64</v>
      </c>
      <c r="Y821" s="1154" t="str">
        <f>IF(X821="NA","NA","")</f>
        <v/>
      </c>
      <c r="Z821" s="230" t="s">
        <v>40</v>
      </c>
      <c r="AA821" s="1154" t="str">
        <f t="shared" si="20"/>
        <v>NA</v>
      </c>
      <c r="AB821" s="230"/>
      <c r="AC821" s="1154" t="str">
        <f>IF(AB821="NA","NA","")</f>
        <v/>
      </c>
      <c r="AD821" s="1154"/>
      <c r="AE821" s="1551">
        <v>45118</v>
      </c>
      <c r="AF821" s="230" t="s">
        <v>1470</v>
      </c>
      <c r="AG821" s="1155" t="s">
        <v>1471</v>
      </c>
      <c r="AH821" s="1156">
        <v>98800</v>
      </c>
      <c r="AI821" s="1093"/>
      <c r="AJ821" s="232"/>
      <c r="AK821" s="1114" t="s">
        <v>43</v>
      </c>
      <c r="AL821" s="111" t="s">
        <v>40</v>
      </c>
      <c r="AM821" s="1157" t="s">
        <v>1523</v>
      </c>
      <c r="AN821" s="287"/>
    </row>
    <row r="822" spans="1:79" s="1414" customFormat="1" ht="81" customHeight="1" x14ac:dyDescent="0.3">
      <c r="A822" s="1404" t="s">
        <v>264</v>
      </c>
      <c r="B822" s="1405" t="s">
        <v>223</v>
      </c>
      <c r="C822" s="1406" t="s">
        <v>3824</v>
      </c>
      <c r="D822" s="1405" t="s">
        <v>34</v>
      </c>
      <c r="E822" s="1404">
        <v>42</v>
      </c>
      <c r="F822" s="1404"/>
      <c r="G822" s="1419"/>
      <c r="H822" s="1397">
        <v>4966.2700000000004</v>
      </c>
      <c r="I822" s="1417" t="s">
        <v>36</v>
      </c>
      <c r="J822" s="1397">
        <v>4966.2700000000004</v>
      </c>
      <c r="K822" s="1638">
        <v>4966.2700000000004</v>
      </c>
      <c r="L822" s="1638">
        <v>4966.2700000000004</v>
      </c>
      <c r="M822" s="1398" t="s">
        <v>183</v>
      </c>
      <c r="N822" s="1398"/>
      <c r="O822" s="1398" t="s">
        <v>1469</v>
      </c>
      <c r="P822" s="1399"/>
      <c r="Q822" s="1407"/>
      <c r="R822" s="1399"/>
      <c r="S822" s="1407"/>
      <c r="T822" s="1399"/>
      <c r="U822" s="1407"/>
      <c r="V822" s="1399"/>
      <c r="W822" s="1407"/>
      <c r="X822" s="1399"/>
      <c r="Y822" s="1407"/>
      <c r="Z822" s="1399"/>
      <c r="AA822" s="1407"/>
      <c r="AB822" s="1399"/>
      <c r="AC822" s="1407"/>
      <c r="AD822" s="1407"/>
      <c r="AE822" s="1554"/>
      <c r="AF822" s="1399"/>
      <c r="AG822" s="1408"/>
      <c r="AH822" s="1409">
        <v>24732.03</v>
      </c>
      <c r="AI822" s="1415" t="s">
        <v>3833</v>
      </c>
      <c r="AJ822" s="1411"/>
      <c r="AK822" s="1412"/>
      <c r="AL822" s="1404"/>
      <c r="AM822" s="1413"/>
      <c r="AN822" s="1406"/>
    </row>
    <row r="823" spans="1:79" s="1414" customFormat="1" ht="81" customHeight="1" x14ac:dyDescent="0.3">
      <c r="A823" s="1404" t="s">
        <v>264</v>
      </c>
      <c r="B823" s="1405" t="s">
        <v>223</v>
      </c>
      <c r="C823" s="1406" t="s">
        <v>3823</v>
      </c>
      <c r="D823" s="1405" t="s">
        <v>34</v>
      </c>
      <c r="E823" s="1404">
        <v>42</v>
      </c>
      <c r="F823" s="1404"/>
      <c r="G823" s="1419"/>
      <c r="H823" s="1397">
        <v>4058.79</v>
      </c>
      <c r="I823" s="1417" t="s">
        <v>36</v>
      </c>
      <c r="J823" s="1397">
        <v>4058.79</v>
      </c>
      <c r="K823" s="1638">
        <v>4058.73</v>
      </c>
      <c r="L823" s="1638">
        <v>4058.73</v>
      </c>
      <c r="M823" s="1398" t="s">
        <v>183</v>
      </c>
      <c r="N823" s="1398"/>
      <c r="O823" s="1398" t="s">
        <v>1469</v>
      </c>
      <c r="P823" s="1399"/>
      <c r="Q823" s="1407"/>
      <c r="R823" s="1399"/>
      <c r="S823" s="1407"/>
      <c r="T823" s="1399"/>
      <c r="U823" s="1407"/>
      <c r="V823" s="1399"/>
      <c r="W823" s="1407"/>
      <c r="X823" s="1399"/>
      <c r="Y823" s="1407"/>
      <c r="Z823" s="1399"/>
      <c r="AA823" s="1407"/>
      <c r="AB823" s="1399"/>
      <c r="AC823" s="1407"/>
      <c r="AD823" s="1407"/>
      <c r="AE823" s="1554"/>
      <c r="AF823" s="1399"/>
      <c r="AG823" s="1408"/>
      <c r="AH823" s="1409">
        <v>20212.78</v>
      </c>
      <c r="AI823" s="1410" t="s">
        <v>3833</v>
      </c>
      <c r="AJ823" s="1411"/>
      <c r="AK823" s="1412"/>
      <c r="AL823" s="1404"/>
      <c r="AM823" s="1413"/>
      <c r="AN823" s="1406"/>
    </row>
    <row r="824" spans="1:79" s="1414" customFormat="1" ht="81" customHeight="1" x14ac:dyDescent="0.3">
      <c r="A824" s="1404" t="s">
        <v>264</v>
      </c>
      <c r="B824" s="1405" t="s">
        <v>223</v>
      </c>
      <c r="C824" s="1406" t="s">
        <v>3825</v>
      </c>
      <c r="D824" s="1405" t="s">
        <v>34</v>
      </c>
      <c r="E824" s="1404">
        <v>42</v>
      </c>
      <c r="F824" s="1404"/>
      <c r="G824" s="1419"/>
      <c r="H824" s="1397">
        <v>786.93</v>
      </c>
      <c r="I824" s="1417" t="s">
        <v>36</v>
      </c>
      <c r="J824" s="1397">
        <v>786.93</v>
      </c>
      <c r="K824" s="1638">
        <v>786.93</v>
      </c>
      <c r="L824" s="1638">
        <v>786.93</v>
      </c>
      <c r="M824" s="1398" t="s">
        <v>183</v>
      </c>
      <c r="N824" s="1398"/>
      <c r="O824" s="1398" t="s">
        <v>1469</v>
      </c>
      <c r="P824" s="1399"/>
      <c r="Q824" s="1407"/>
      <c r="R824" s="1399"/>
      <c r="S824" s="1407"/>
      <c r="T824" s="1399"/>
      <c r="U824" s="1407"/>
      <c r="V824" s="1399"/>
      <c r="W824" s="1407"/>
      <c r="X824" s="1399"/>
      <c r="Y824" s="1407"/>
      <c r="Z824" s="1399"/>
      <c r="AA824" s="1407"/>
      <c r="AB824" s="1399"/>
      <c r="AC824" s="1407"/>
      <c r="AD824" s="1407"/>
      <c r="AE824" s="1554"/>
      <c r="AF824" s="1399"/>
      <c r="AG824" s="1408"/>
      <c r="AH824" s="1409">
        <v>3918.92</v>
      </c>
      <c r="AI824" s="1410" t="s">
        <v>3833</v>
      </c>
      <c r="AJ824" s="1411"/>
      <c r="AK824" s="1412"/>
      <c r="AL824" s="1404"/>
      <c r="AM824" s="1413"/>
      <c r="AN824" s="1406"/>
    </row>
    <row r="825" spans="1:79" s="1414" customFormat="1" ht="81" customHeight="1" x14ac:dyDescent="0.3">
      <c r="A825" s="1404" t="s">
        <v>264</v>
      </c>
      <c r="B825" s="1405" t="s">
        <v>223</v>
      </c>
      <c r="C825" s="1406" t="s">
        <v>3826</v>
      </c>
      <c r="D825" s="1405" t="s">
        <v>34</v>
      </c>
      <c r="E825" s="1404">
        <v>42</v>
      </c>
      <c r="F825" s="1404"/>
      <c r="G825" s="1419"/>
      <c r="H825" s="1397">
        <v>240.96</v>
      </c>
      <c r="I825" s="1417" t="s">
        <v>36</v>
      </c>
      <c r="J825" s="1397">
        <v>240.96</v>
      </c>
      <c r="K825" s="1638">
        <v>240.96</v>
      </c>
      <c r="L825" s="1638">
        <v>240.96</v>
      </c>
      <c r="M825" s="1398" t="s">
        <v>69</v>
      </c>
      <c r="N825" s="1398"/>
      <c r="O825" s="1416" t="s">
        <v>1469</v>
      </c>
      <c r="P825" s="1399"/>
      <c r="Q825" s="1407"/>
      <c r="R825" s="1399"/>
      <c r="S825" s="1407"/>
      <c r="T825" s="1399"/>
      <c r="U825" s="1407"/>
      <c r="V825" s="1399"/>
      <c r="W825" s="1407"/>
      <c r="X825" s="1399"/>
      <c r="Y825" s="1407"/>
      <c r="Z825" s="1399"/>
      <c r="AA825" s="1407"/>
      <c r="AB825" s="1399"/>
      <c r="AC825" s="1407"/>
      <c r="AD825" s="1407"/>
      <c r="AE825" s="1554"/>
      <c r="AF825" s="1399"/>
      <c r="AG825" s="1408"/>
      <c r="AH825" s="1409">
        <v>1200</v>
      </c>
      <c r="AI825" s="1410" t="s">
        <v>3827</v>
      </c>
      <c r="AJ825" s="1411" t="s">
        <v>3828</v>
      </c>
      <c r="AK825" s="1412"/>
      <c r="AL825" s="1404"/>
      <c r="AM825" s="1413"/>
      <c r="AN825" s="1406"/>
    </row>
    <row r="826" spans="1:79" s="1414" customFormat="1" ht="81" customHeight="1" x14ac:dyDescent="0.3">
      <c r="A826" s="1404" t="s">
        <v>264</v>
      </c>
      <c r="B826" s="1405" t="s">
        <v>223</v>
      </c>
      <c r="C826" s="1406" t="s">
        <v>3835</v>
      </c>
      <c r="D826" s="1405" t="s">
        <v>34</v>
      </c>
      <c r="E826" s="1404">
        <v>42</v>
      </c>
      <c r="F826" s="1404"/>
      <c r="G826" s="1419"/>
      <c r="H826" s="1397">
        <v>34.799999999999997</v>
      </c>
      <c r="I826" s="1417" t="s">
        <v>36</v>
      </c>
      <c r="J826" s="1397">
        <v>34.799999999999997</v>
      </c>
      <c r="K826" s="1638">
        <v>34.799999999999997</v>
      </c>
      <c r="L826" s="1638">
        <v>34.799999999999997</v>
      </c>
      <c r="M826" s="1398" t="s">
        <v>69</v>
      </c>
      <c r="N826" s="1398"/>
      <c r="O826" s="1398"/>
      <c r="P826" s="1399"/>
      <c r="Q826" s="1407"/>
      <c r="R826" s="1399"/>
      <c r="S826" s="1407"/>
      <c r="T826" s="1399"/>
      <c r="U826" s="1407"/>
      <c r="V826" s="1399"/>
      <c r="W826" s="1407"/>
      <c r="X826" s="1399"/>
      <c r="Y826" s="1407"/>
      <c r="Z826" s="1399"/>
      <c r="AA826" s="1407"/>
      <c r="AB826" s="1399"/>
      <c r="AC826" s="1407"/>
      <c r="AD826" s="1407"/>
      <c r="AE826" s="1554"/>
      <c r="AF826" s="1399"/>
      <c r="AG826" s="1408"/>
      <c r="AH826" s="1409">
        <v>173.28</v>
      </c>
      <c r="AI826" s="1415" t="s">
        <v>3834</v>
      </c>
      <c r="AJ826" s="1411"/>
      <c r="AK826" s="1412"/>
      <c r="AL826" s="1404"/>
      <c r="AM826" s="1413"/>
      <c r="AN826" s="1406"/>
    </row>
    <row r="827" spans="1:79" s="1414" customFormat="1" ht="81" customHeight="1" x14ac:dyDescent="0.3">
      <c r="A827" s="1404" t="s">
        <v>264</v>
      </c>
      <c r="B827" s="1405" t="s">
        <v>223</v>
      </c>
      <c r="C827" s="1406" t="s">
        <v>3836</v>
      </c>
      <c r="D827" s="1112" t="s">
        <v>34</v>
      </c>
      <c r="E827" s="111">
        <v>42</v>
      </c>
      <c r="F827" s="111"/>
      <c r="G827" s="1153"/>
      <c r="H827" s="323">
        <v>7.26</v>
      </c>
      <c r="I827" s="1115" t="s">
        <v>36</v>
      </c>
      <c r="J827" s="1397">
        <v>7.26</v>
      </c>
      <c r="K827" s="1638">
        <v>7.26</v>
      </c>
      <c r="L827" s="1638">
        <v>7.26</v>
      </c>
      <c r="M827" s="1398" t="s">
        <v>69</v>
      </c>
      <c r="N827" s="1398"/>
      <c r="O827" s="1398"/>
      <c r="P827" s="1399"/>
      <c r="Q827" s="1407"/>
      <c r="R827" s="1399"/>
      <c r="S827" s="1407"/>
      <c r="T827" s="1399"/>
      <c r="U827" s="1407"/>
      <c r="V827" s="1399"/>
      <c r="W827" s="1407"/>
      <c r="X827" s="1399"/>
      <c r="Y827" s="1407"/>
      <c r="Z827" s="1399"/>
      <c r="AA827" s="1407"/>
      <c r="AB827" s="1399"/>
      <c r="AC827" s="1407"/>
      <c r="AD827" s="1407"/>
      <c r="AE827" s="1554"/>
      <c r="AF827" s="1399"/>
      <c r="AG827" s="1408"/>
      <c r="AH827" s="1409">
        <v>43</v>
      </c>
      <c r="AI827" s="1410" t="s">
        <v>3838</v>
      </c>
      <c r="AJ827" s="1421" t="s">
        <v>3837</v>
      </c>
      <c r="AK827" s="1412"/>
      <c r="AL827" s="1404"/>
      <c r="AM827" s="1413"/>
      <c r="AN827" s="1406"/>
    </row>
    <row r="828" spans="1:79" s="1414" customFormat="1" ht="81" customHeight="1" x14ac:dyDescent="0.3">
      <c r="A828" s="1404" t="s">
        <v>264</v>
      </c>
      <c r="B828" s="1405" t="s">
        <v>223</v>
      </c>
      <c r="C828" s="1406" t="s">
        <v>3839</v>
      </c>
      <c r="D828" s="1405" t="s">
        <v>34</v>
      </c>
      <c r="E828" s="1404">
        <v>42</v>
      </c>
      <c r="F828" s="1404"/>
      <c r="G828" s="1419"/>
      <c r="H828" s="1397">
        <v>7.26</v>
      </c>
      <c r="I828" s="1417" t="s">
        <v>36</v>
      </c>
      <c r="J828" s="1397">
        <v>7.26</v>
      </c>
      <c r="K828" s="1638">
        <v>7.26</v>
      </c>
      <c r="L828" s="1638">
        <v>7.26</v>
      </c>
      <c r="M828" s="1398" t="s">
        <v>69</v>
      </c>
      <c r="N828" s="1398"/>
      <c r="O828" s="1398"/>
      <c r="P828" s="1399"/>
      <c r="Q828" s="1407"/>
      <c r="R828" s="1399"/>
      <c r="S828" s="1407"/>
      <c r="T828" s="1399"/>
      <c r="U828" s="1407"/>
      <c r="V828" s="1399"/>
      <c r="W828" s="1407"/>
      <c r="X828" s="1399"/>
      <c r="Y828" s="1407"/>
      <c r="Z828" s="1399"/>
      <c r="AA828" s="1407"/>
      <c r="AB828" s="1399"/>
      <c r="AC828" s="1407"/>
      <c r="AD828" s="1407"/>
      <c r="AE828" s="1554"/>
      <c r="AF828" s="1399"/>
      <c r="AG828" s="1408"/>
      <c r="AH828" s="1409">
        <v>43</v>
      </c>
      <c r="AI828" s="1410" t="s">
        <v>3838</v>
      </c>
      <c r="AJ828" s="1422" t="s">
        <v>3837</v>
      </c>
      <c r="AK828" s="1412"/>
      <c r="AL828" s="1404"/>
      <c r="AM828" s="1413"/>
      <c r="AN828" s="1406"/>
    </row>
    <row r="829" spans="1:79" s="1414" customFormat="1" ht="81" customHeight="1" x14ac:dyDescent="0.3">
      <c r="A829" s="1404" t="s">
        <v>264</v>
      </c>
      <c r="B829" s="1405" t="s">
        <v>223</v>
      </c>
      <c r="C829" s="1406"/>
      <c r="D829" s="1405"/>
      <c r="E829" s="1404"/>
      <c r="F829" s="1404"/>
      <c r="G829" s="1419"/>
      <c r="H829" s="1397"/>
      <c r="I829" s="1417"/>
      <c r="J829" s="1397"/>
      <c r="K829" s="1638"/>
      <c r="L829" s="1638"/>
      <c r="M829" s="1398"/>
      <c r="N829" s="1398"/>
      <c r="O829" s="1398"/>
      <c r="P829" s="1399"/>
      <c r="Q829" s="1407"/>
      <c r="R829" s="1399"/>
      <c r="S829" s="1407"/>
      <c r="T829" s="1399"/>
      <c r="U829" s="1407"/>
      <c r="V829" s="1399"/>
      <c r="W829" s="1407"/>
      <c r="X829" s="1399"/>
      <c r="Y829" s="1407"/>
      <c r="Z829" s="1399"/>
      <c r="AA829" s="1407"/>
      <c r="AB829" s="1399"/>
      <c r="AC829" s="1407"/>
      <c r="AD829" s="1407"/>
      <c r="AE829" s="1554"/>
      <c r="AF829" s="1399"/>
      <c r="AG829" s="1408"/>
      <c r="AH829" s="1409"/>
      <c r="AI829" s="1410"/>
      <c r="AJ829" s="1422"/>
      <c r="AK829" s="1412"/>
      <c r="AL829" s="1404"/>
      <c r="AM829" s="1413"/>
      <c r="AN829" s="1406"/>
    </row>
    <row r="830" spans="1:79" s="1414" customFormat="1" ht="81" customHeight="1" x14ac:dyDescent="0.3">
      <c r="A830" s="1404" t="s">
        <v>264</v>
      </c>
      <c r="B830" s="1405" t="s">
        <v>223</v>
      </c>
      <c r="C830" s="1406"/>
      <c r="D830" s="1405"/>
      <c r="E830" s="1404"/>
      <c r="F830" s="1404"/>
      <c r="G830" s="1419"/>
      <c r="H830" s="1397"/>
      <c r="I830" s="1417"/>
      <c r="J830" s="1397"/>
      <c r="K830" s="1638"/>
      <c r="L830" s="1638"/>
      <c r="M830" s="1398"/>
      <c r="N830" s="1398"/>
      <c r="O830" s="1398"/>
      <c r="P830" s="1399"/>
      <c r="Q830" s="1407"/>
      <c r="R830" s="1399"/>
      <c r="S830" s="1407"/>
      <c r="T830" s="1399"/>
      <c r="U830" s="1407"/>
      <c r="V830" s="1399"/>
      <c r="W830" s="1407"/>
      <c r="X830" s="1399"/>
      <c r="Y830" s="1407"/>
      <c r="Z830" s="1399"/>
      <c r="AA830" s="1407"/>
      <c r="AB830" s="1399"/>
      <c r="AC830" s="1407"/>
      <c r="AD830" s="1407"/>
      <c r="AE830" s="1554"/>
      <c r="AF830" s="1399"/>
      <c r="AG830" s="1408"/>
      <c r="AH830" s="1409"/>
      <c r="AI830" s="1410"/>
      <c r="AJ830" s="1422"/>
      <c r="AK830" s="1412"/>
      <c r="AL830" s="1404"/>
      <c r="AM830" s="1413"/>
      <c r="AN830" s="1406"/>
    </row>
    <row r="831" spans="1:79" s="104" customFormat="1" ht="81" customHeight="1" x14ac:dyDescent="0.3">
      <c r="A831" s="111"/>
      <c r="B831" s="1112"/>
      <c r="C831" s="287"/>
      <c r="D831" s="1112"/>
      <c r="E831" s="111"/>
      <c r="F831" s="111"/>
      <c r="G831" s="1153"/>
      <c r="H831" s="323"/>
      <c r="I831" s="1115"/>
      <c r="J831" s="323"/>
      <c r="K831" s="323"/>
      <c r="L831" s="323"/>
      <c r="M831" s="115"/>
      <c r="N831" s="115"/>
      <c r="O831" s="115"/>
      <c r="P831" s="230"/>
      <c r="Q831" s="1154"/>
      <c r="R831" s="230"/>
      <c r="S831" s="1154"/>
      <c r="T831" s="230"/>
      <c r="U831" s="1154"/>
      <c r="V831" s="230"/>
      <c r="W831" s="1154"/>
      <c r="X831" s="230"/>
      <c r="Y831" s="1154"/>
      <c r="Z831" s="230"/>
      <c r="AA831" s="1154"/>
      <c r="AB831" s="230"/>
      <c r="AC831" s="1154"/>
      <c r="AD831" s="1154"/>
      <c r="AE831" s="1154"/>
      <c r="AF831" s="230"/>
      <c r="AG831" s="1155"/>
      <c r="AH831" s="1156"/>
      <c r="AI831" s="1093"/>
      <c r="AJ831" s="232"/>
      <c r="AK831" s="1114"/>
      <c r="AL831" s="111"/>
      <c r="AM831" s="1157"/>
      <c r="AN831" s="287"/>
    </row>
    <row r="832" spans="1:79" ht="70.2" customHeight="1" x14ac:dyDescent="0.3">
      <c r="A832" s="360" t="s">
        <v>1641</v>
      </c>
      <c r="B832" s="360" t="s">
        <v>1642</v>
      </c>
      <c r="C832" s="1173" t="s">
        <v>1643</v>
      </c>
      <c r="D832" s="360" t="s">
        <v>34</v>
      </c>
      <c r="E832" s="360" t="s">
        <v>1644</v>
      </c>
      <c r="F832" s="360" t="s">
        <v>35</v>
      </c>
      <c r="G832" s="360" t="s">
        <v>1645</v>
      </c>
      <c r="H832" s="366">
        <v>452200000</v>
      </c>
      <c r="I832" s="360" t="s">
        <v>36</v>
      </c>
      <c r="J832" s="366">
        <v>587860000</v>
      </c>
      <c r="K832" s="1693">
        <f>K833</f>
        <v>18318209.063999984</v>
      </c>
      <c r="L832" s="1693">
        <f>L833</f>
        <v>15982048.677999981</v>
      </c>
      <c r="M832" s="237"/>
      <c r="N832" s="237"/>
      <c r="O832" s="237"/>
      <c r="P832" s="237"/>
      <c r="Q832" s="375"/>
      <c r="R832" s="237"/>
      <c r="S832" s="375"/>
      <c r="T832" s="237" t="s">
        <v>64</v>
      </c>
      <c r="U832" s="375"/>
      <c r="V832" s="237"/>
      <c r="W832" s="375"/>
      <c r="X832" s="237"/>
      <c r="Y832" s="375"/>
      <c r="Z832" s="237" t="s">
        <v>64</v>
      </c>
      <c r="AA832" s="375"/>
      <c r="AB832" s="237" t="s">
        <v>64</v>
      </c>
      <c r="AC832" s="375"/>
      <c r="AD832" s="375"/>
      <c r="AE832" s="375"/>
      <c r="AF832" s="237" t="s">
        <v>46</v>
      </c>
      <c r="AG832" s="238" t="s">
        <v>47</v>
      </c>
      <c r="AH832" s="1174">
        <f>AH833</f>
        <v>90116429.490347877</v>
      </c>
      <c r="AI832" s="1174"/>
      <c r="AJ832" s="1174"/>
      <c r="AK832" s="360" t="s">
        <v>43</v>
      </c>
      <c r="AL832" s="360" t="s">
        <v>41</v>
      </c>
      <c r="AM832" s="1175">
        <v>0</v>
      </c>
      <c r="AN832" s="1176" t="s">
        <v>3738</v>
      </c>
      <c r="AO832" s="239"/>
      <c r="AP832" s="240"/>
    </row>
    <row r="833" spans="1:42" ht="23.4" customHeight="1" x14ac:dyDescent="0.3">
      <c r="A833" s="361" t="s">
        <v>1641</v>
      </c>
      <c r="B833" s="361" t="s">
        <v>1642</v>
      </c>
      <c r="C833" s="1177" t="s">
        <v>1643</v>
      </c>
      <c r="D833" s="361" t="s">
        <v>34</v>
      </c>
      <c r="E833" s="361" t="s">
        <v>1644</v>
      </c>
      <c r="F833" s="361" t="s">
        <v>35</v>
      </c>
      <c r="G833" s="1178">
        <f>SUM(G834:G1379)</f>
        <v>594</v>
      </c>
      <c r="H833" s="362">
        <f>SUM(H834:H1379)</f>
        <v>463977332.50624806</v>
      </c>
      <c r="I833" s="361" t="s">
        <v>36</v>
      </c>
      <c r="J833" s="362">
        <f>SUM(J834:J1379)</f>
        <v>463977332.50624806</v>
      </c>
      <c r="K833" s="1694">
        <f>SUM(K834:K1379)</f>
        <v>18318209.063999984</v>
      </c>
      <c r="L833" s="1694">
        <f>SUM(L834:L1379)</f>
        <v>15982048.677999981</v>
      </c>
      <c r="M833" s="376"/>
      <c r="N833" s="376"/>
      <c r="O833" s="376"/>
      <c r="P833" s="376"/>
      <c r="Q833" s="377"/>
      <c r="R833" s="376"/>
      <c r="S833" s="377"/>
      <c r="T833" s="376" t="s">
        <v>64</v>
      </c>
      <c r="U833" s="377"/>
      <c r="V833" s="376"/>
      <c r="W833" s="377"/>
      <c r="X833" s="376"/>
      <c r="Y833" s="377"/>
      <c r="Z833" s="376" t="s">
        <v>64</v>
      </c>
      <c r="AA833" s="377"/>
      <c r="AB833" s="376" t="s">
        <v>64</v>
      </c>
      <c r="AC833" s="377"/>
      <c r="AD833" s="377"/>
      <c r="AE833" s="377"/>
      <c r="AF833" s="376" t="s">
        <v>65</v>
      </c>
      <c r="AG833" s="1180">
        <v>2026</v>
      </c>
      <c r="AH833" s="1179">
        <f>SUM(AH834:AH1379)</f>
        <v>90116429.490347877</v>
      </c>
      <c r="AI833" s="1179"/>
      <c r="AJ833" s="1179"/>
      <c r="AK833" s="361" t="s">
        <v>43</v>
      </c>
      <c r="AL833" s="361" t="s">
        <v>41</v>
      </c>
      <c r="AM833" s="1181">
        <v>0</v>
      </c>
      <c r="AN833" s="242" t="s">
        <v>1646</v>
      </c>
      <c r="AO833" s="239"/>
      <c r="AP833" s="240"/>
    </row>
    <row r="834" spans="1:42" ht="37.950000000000003" customHeight="1" x14ac:dyDescent="0.3">
      <c r="A834" s="243" t="s">
        <v>1641</v>
      </c>
      <c r="B834" s="243" t="s">
        <v>1642</v>
      </c>
      <c r="C834" s="244" t="s">
        <v>1647</v>
      </c>
      <c r="D834" s="243" t="s">
        <v>34</v>
      </c>
      <c r="E834" s="243" t="s">
        <v>1644</v>
      </c>
      <c r="F834" s="243" t="s">
        <v>35</v>
      </c>
      <c r="G834" s="243">
        <v>1</v>
      </c>
      <c r="H834" s="245">
        <v>778717.96</v>
      </c>
      <c r="I834" s="243" t="s">
        <v>36</v>
      </c>
      <c r="J834" s="245">
        <f>H834</f>
        <v>778717.96</v>
      </c>
      <c r="K834" s="1695">
        <f>4065.45+20327.27</f>
        <v>24392.720000000001</v>
      </c>
      <c r="L834" s="1695">
        <f>K834</f>
        <v>24392.720000000001</v>
      </c>
      <c r="M834" s="246" t="s">
        <v>73</v>
      </c>
      <c r="N834" s="246" t="s">
        <v>1648</v>
      </c>
      <c r="O834" s="246" t="s">
        <v>1649</v>
      </c>
      <c r="P834" s="247" t="s">
        <v>64</v>
      </c>
      <c r="Q834" s="248"/>
      <c r="R834" s="247" t="s">
        <v>64</v>
      </c>
      <c r="S834" s="248"/>
      <c r="T834" s="247"/>
      <c r="U834" s="248"/>
      <c r="V834" s="247" t="s">
        <v>41</v>
      </c>
      <c r="W834" s="248">
        <v>45107</v>
      </c>
      <c r="X834" s="247" t="s">
        <v>41</v>
      </c>
      <c r="Y834" s="248">
        <v>45291</v>
      </c>
      <c r="Z834" s="247" t="s">
        <v>40</v>
      </c>
      <c r="AA834" s="248"/>
      <c r="AB834" s="247" t="s">
        <v>40</v>
      </c>
      <c r="AC834" s="248"/>
      <c r="AD834" s="248"/>
      <c r="AE834" s="248">
        <v>45565</v>
      </c>
      <c r="AF834" s="247" t="s">
        <v>65</v>
      </c>
      <c r="AG834" s="249">
        <v>2026</v>
      </c>
      <c r="AH834" s="246">
        <f>K834*4.9195</f>
        <v>119999.98604000002</v>
      </c>
      <c r="AI834" s="246"/>
      <c r="AJ834" s="246"/>
      <c r="AK834" s="243" t="s">
        <v>43</v>
      </c>
      <c r="AL834" s="243" t="s">
        <v>41</v>
      </c>
      <c r="AM834" s="250">
        <v>0</v>
      </c>
      <c r="AN834" s="251" t="s">
        <v>1650</v>
      </c>
      <c r="AO834" s="239"/>
      <c r="AP834" s="240"/>
    </row>
    <row r="835" spans="1:42" s="258" customFormat="1" ht="37.950000000000003" customHeight="1" x14ac:dyDescent="0.3">
      <c r="A835" s="243" t="s">
        <v>1641</v>
      </c>
      <c r="B835" s="243" t="s">
        <v>1642</v>
      </c>
      <c r="C835" s="244" t="s">
        <v>1651</v>
      </c>
      <c r="D835" s="243" t="s">
        <v>34</v>
      </c>
      <c r="E835" s="243" t="s">
        <v>1644</v>
      </c>
      <c r="F835" s="252" t="s">
        <v>35</v>
      </c>
      <c r="G835" s="252">
        <v>1</v>
      </c>
      <c r="H835" s="245">
        <v>778720.19</v>
      </c>
      <c r="I835" s="243" t="s">
        <v>36</v>
      </c>
      <c r="J835" s="245">
        <f t="shared" ref="J835:J898" si="22">H835</f>
        <v>778720.19</v>
      </c>
      <c r="K835" s="1695">
        <f>15347.09</f>
        <v>15347.09</v>
      </c>
      <c r="L835" s="1695">
        <f>K835</f>
        <v>15347.09</v>
      </c>
      <c r="M835" s="246" t="s">
        <v>71</v>
      </c>
      <c r="N835" s="246" t="s">
        <v>1652</v>
      </c>
      <c r="O835" s="246" t="s">
        <v>1653</v>
      </c>
      <c r="P835" s="253" t="s">
        <v>64</v>
      </c>
      <c r="Q835" s="248"/>
      <c r="R835" s="253" t="s">
        <v>64</v>
      </c>
      <c r="S835" s="248"/>
      <c r="T835" s="247"/>
      <c r="U835" s="248"/>
      <c r="V835" s="247" t="s">
        <v>41</v>
      </c>
      <c r="W835" s="248">
        <v>45107</v>
      </c>
      <c r="X835" s="247" t="s">
        <v>41</v>
      </c>
      <c r="Y835" s="248">
        <v>45291</v>
      </c>
      <c r="Z835" s="247" t="s">
        <v>40</v>
      </c>
      <c r="AA835" s="248"/>
      <c r="AB835" s="247" t="s">
        <v>40</v>
      </c>
      <c r="AC835" s="248"/>
      <c r="AD835" s="248"/>
      <c r="AE835" s="254">
        <v>45565</v>
      </c>
      <c r="AF835" s="253" t="s">
        <v>65</v>
      </c>
      <c r="AG835" s="255">
        <v>2026</v>
      </c>
      <c r="AH835" s="246">
        <f t="shared" ref="AH835:AH898" si="23">K835*4.9195</f>
        <v>75500.009254999997</v>
      </c>
      <c r="AI835" s="246"/>
      <c r="AJ835" s="246"/>
      <c r="AK835" s="252" t="s">
        <v>43</v>
      </c>
      <c r="AL835" s="243" t="s">
        <v>41</v>
      </c>
      <c r="AM835" s="250">
        <v>0</v>
      </c>
      <c r="AN835" s="242" t="s">
        <v>1654</v>
      </c>
      <c r="AO835" s="256"/>
      <c r="AP835" s="257"/>
    </row>
    <row r="836" spans="1:42" s="258" customFormat="1" ht="37.950000000000003" customHeight="1" x14ac:dyDescent="0.3">
      <c r="A836" s="243" t="s">
        <v>1641</v>
      </c>
      <c r="B836" s="243" t="s">
        <v>1642</v>
      </c>
      <c r="C836" s="244" t="s">
        <v>1655</v>
      </c>
      <c r="D836" s="243" t="s">
        <v>34</v>
      </c>
      <c r="E836" s="243" t="s">
        <v>1644</v>
      </c>
      <c r="F836" s="252" t="s">
        <v>35</v>
      </c>
      <c r="G836" s="252">
        <v>1</v>
      </c>
      <c r="H836" s="245">
        <v>778720</v>
      </c>
      <c r="I836" s="243" t="s">
        <v>36</v>
      </c>
      <c r="J836" s="245">
        <f t="shared" si="22"/>
        <v>778720</v>
      </c>
      <c r="K836" s="1695">
        <v>0</v>
      </c>
      <c r="L836" s="1695">
        <v>0</v>
      </c>
      <c r="M836" s="246" t="s">
        <v>50</v>
      </c>
      <c r="N836" s="246" t="s">
        <v>1656</v>
      </c>
      <c r="O836" s="246" t="s">
        <v>1657</v>
      </c>
      <c r="P836" s="253" t="s">
        <v>41</v>
      </c>
      <c r="Q836" s="248">
        <v>45036</v>
      </c>
      <c r="R836" s="253" t="s">
        <v>41</v>
      </c>
      <c r="S836" s="248">
        <v>45036</v>
      </c>
      <c r="T836" s="247"/>
      <c r="U836" s="248"/>
      <c r="V836" s="247" t="s">
        <v>41</v>
      </c>
      <c r="W836" s="248">
        <v>45255</v>
      </c>
      <c r="X836" s="247" t="s">
        <v>41</v>
      </c>
      <c r="Y836" s="248">
        <v>45291</v>
      </c>
      <c r="Z836" s="247" t="s">
        <v>40</v>
      </c>
      <c r="AA836" s="248"/>
      <c r="AB836" s="247" t="s">
        <v>40</v>
      </c>
      <c r="AC836" s="248"/>
      <c r="AD836" s="248"/>
      <c r="AE836" s="254">
        <v>45565</v>
      </c>
      <c r="AF836" s="253" t="s">
        <v>65</v>
      </c>
      <c r="AG836" s="255">
        <v>2026</v>
      </c>
      <c r="AH836" s="246">
        <f t="shared" si="23"/>
        <v>0</v>
      </c>
      <c r="AI836" s="246"/>
      <c r="AJ836" s="246"/>
      <c r="AK836" s="252" t="s">
        <v>43</v>
      </c>
      <c r="AL836" s="243" t="s">
        <v>41</v>
      </c>
      <c r="AM836" s="250">
        <v>0</v>
      </c>
      <c r="AN836" s="242" t="s">
        <v>1658</v>
      </c>
      <c r="AO836" s="256"/>
      <c r="AP836" s="257"/>
    </row>
    <row r="837" spans="1:42" s="258" customFormat="1" ht="37.950000000000003" customHeight="1" x14ac:dyDescent="0.3">
      <c r="A837" s="259" t="s">
        <v>1641</v>
      </c>
      <c r="B837" s="243" t="s">
        <v>1642</v>
      </c>
      <c r="C837" s="244" t="s">
        <v>1659</v>
      </c>
      <c r="D837" s="243" t="s">
        <v>34</v>
      </c>
      <c r="E837" s="243" t="s">
        <v>1644</v>
      </c>
      <c r="F837" s="260" t="s">
        <v>35</v>
      </c>
      <c r="G837" s="260">
        <v>1</v>
      </c>
      <c r="H837" s="245">
        <v>778720</v>
      </c>
      <c r="I837" s="243" t="s">
        <v>36</v>
      </c>
      <c r="J837" s="245">
        <f t="shared" si="22"/>
        <v>778720</v>
      </c>
      <c r="K837" s="1695">
        <f>15042.179</f>
        <v>15042.179</v>
      </c>
      <c r="L837" s="1695">
        <f>15042.179</f>
        <v>15042.179</v>
      </c>
      <c r="M837" s="246" t="s">
        <v>76</v>
      </c>
      <c r="N837" s="261" t="s">
        <v>1660</v>
      </c>
      <c r="O837" s="261" t="s">
        <v>1661</v>
      </c>
      <c r="P837" s="71" t="s">
        <v>64</v>
      </c>
      <c r="Q837" s="262"/>
      <c r="R837" s="71" t="s">
        <v>64</v>
      </c>
      <c r="S837" s="262"/>
      <c r="T837" s="263"/>
      <c r="U837" s="262"/>
      <c r="V837" s="263" t="s">
        <v>41</v>
      </c>
      <c r="W837" s="262">
        <v>45107</v>
      </c>
      <c r="X837" s="263" t="s">
        <v>41</v>
      </c>
      <c r="Y837" s="262">
        <v>45291</v>
      </c>
      <c r="Z837" s="263" t="s">
        <v>40</v>
      </c>
      <c r="AA837" s="262"/>
      <c r="AB837" s="263" t="s">
        <v>40</v>
      </c>
      <c r="AC837" s="262"/>
      <c r="AD837" s="262"/>
      <c r="AE837" s="264">
        <v>45565</v>
      </c>
      <c r="AF837" s="71" t="s">
        <v>65</v>
      </c>
      <c r="AG837" s="265">
        <v>2026</v>
      </c>
      <c r="AH837" s="261">
        <f t="shared" si="23"/>
        <v>73999.999590500011</v>
      </c>
      <c r="AI837" s="261"/>
      <c r="AJ837" s="261"/>
      <c r="AK837" s="260" t="s">
        <v>43</v>
      </c>
      <c r="AL837" s="259" t="s">
        <v>41</v>
      </c>
      <c r="AM837" s="266">
        <v>0</v>
      </c>
      <c r="AN837" s="242" t="s">
        <v>1662</v>
      </c>
      <c r="AO837" s="256"/>
      <c r="AP837" s="257"/>
    </row>
    <row r="838" spans="1:42" s="258" customFormat="1" ht="37.950000000000003" customHeight="1" x14ac:dyDescent="0.3">
      <c r="A838" s="259" t="s">
        <v>1641</v>
      </c>
      <c r="B838" s="243" t="s">
        <v>1642</v>
      </c>
      <c r="C838" s="244" t="s">
        <v>1663</v>
      </c>
      <c r="D838" s="243" t="s">
        <v>34</v>
      </c>
      <c r="E838" s="243" t="s">
        <v>1644</v>
      </c>
      <c r="F838" s="260" t="s">
        <v>35</v>
      </c>
      <c r="G838" s="260">
        <v>1</v>
      </c>
      <c r="H838" s="245">
        <v>778720</v>
      </c>
      <c r="I838" s="243" t="s">
        <v>36</v>
      </c>
      <c r="J838" s="245">
        <f t="shared" si="22"/>
        <v>778720</v>
      </c>
      <c r="K838" s="1435">
        <f>7114.54+20327.26</f>
        <v>27441.8</v>
      </c>
      <c r="L838" s="1435">
        <f>7114.54+20327.26</f>
        <v>27441.8</v>
      </c>
      <c r="M838" s="246" t="s">
        <v>73</v>
      </c>
      <c r="N838" s="261" t="s">
        <v>1664</v>
      </c>
      <c r="O838" s="261" t="s">
        <v>1665</v>
      </c>
      <c r="P838" s="71" t="s">
        <v>64</v>
      </c>
      <c r="Q838" s="262"/>
      <c r="R838" s="71" t="s">
        <v>64</v>
      </c>
      <c r="S838" s="262"/>
      <c r="T838" s="263"/>
      <c r="U838" s="262"/>
      <c r="V838" s="263" t="s">
        <v>41</v>
      </c>
      <c r="W838" s="262">
        <v>45107</v>
      </c>
      <c r="X838" s="263" t="s">
        <v>41</v>
      </c>
      <c r="Y838" s="262">
        <v>45291</v>
      </c>
      <c r="Z838" s="263" t="s">
        <v>40</v>
      </c>
      <c r="AA838" s="262"/>
      <c r="AB838" s="263" t="s">
        <v>40</v>
      </c>
      <c r="AC838" s="262"/>
      <c r="AD838" s="262"/>
      <c r="AE838" s="264">
        <v>45565</v>
      </c>
      <c r="AF838" s="71" t="s">
        <v>65</v>
      </c>
      <c r="AG838" s="265">
        <v>2026</v>
      </c>
      <c r="AH838" s="261">
        <f t="shared" si="23"/>
        <v>134999.9351</v>
      </c>
      <c r="AI838" s="261"/>
      <c r="AJ838" s="261"/>
      <c r="AK838" s="260" t="s">
        <v>43</v>
      </c>
      <c r="AL838" s="259" t="s">
        <v>41</v>
      </c>
      <c r="AM838" s="266">
        <v>0</v>
      </c>
      <c r="AN838" s="242" t="s">
        <v>1666</v>
      </c>
      <c r="AO838" s="256"/>
      <c r="AP838" s="257"/>
    </row>
    <row r="839" spans="1:42" s="258" customFormat="1" ht="37.950000000000003" customHeight="1" x14ac:dyDescent="0.3">
      <c r="A839" s="259" t="s">
        <v>1641</v>
      </c>
      <c r="B839" s="243" t="s">
        <v>1642</v>
      </c>
      <c r="C839" s="244" t="s">
        <v>1667</v>
      </c>
      <c r="D839" s="243" t="s">
        <v>34</v>
      </c>
      <c r="E839" s="243" t="s">
        <v>1644</v>
      </c>
      <c r="F839" s="260" t="s">
        <v>35</v>
      </c>
      <c r="G839" s="260">
        <v>1</v>
      </c>
      <c r="H839" s="245">
        <v>726418.73</v>
      </c>
      <c r="I839" s="243" t="s">
        <v>36</v>
      </c>
      <c r="J839" s="245">
        <f t="shared" si="22"/>
        <v>726418.73</v>
      </c>
      <c r="K839" s="1695">
        <f>10590.5+17176.54+16414.269</f>
        <v>44181.309000000001</v>
      </c>
      <c r="L839" s="1695">
        <f>10590.5+17176.54+16414.269</f>
        <v>44181.309000000001</v>
      </c>
      <c r="M839" s="246" t="s">
        <v>303</v>
      </c>
      <c r="N839" s="261" t="s">
        <v>1668</v>
      </c>
      <c r="O839" s="261" t="s">
        <v>1669</v>
      </c>
      <c r="P839" s="71" t="s">
        <v>64</v>
      </c>
      <c r="Q839" s="262"/>
      <c r="R839" s="71" t="s">
        <v>64</v>
      </c>
      <c r="S839" s="262"/>
      <c r="T839" s="263"/>
      <c r="U839" s="262"/>
      <c r="V839" s="263" t="s">
        <v>41</v>
      </c>
      <c r="W839" s="262">
        <v>45107</v>
      </c>
      <c r="X839" s="263" t="s">
        <v>41</v>
      </c>
      <c r="Y839" s="262">
        <v>45291</v>
      </c>
      <c r="Z839" s="263" t="s">
        <v>40</v>
      </c>
      <c r="AA839" s="262"/>
      <c r="AB839" s="263" t="s">
        <v>40</v>
      </c>
      <c r="AC839" s="262"/>
      <c r="AD839" s="262"/>
      <c r="AE839" s="264">
        <v>45565</v>
      </c>
      <c r="AF839" s="71" t="s">
        <v>65</v>
      </c>
      <c r="AG839" s="265">
        <v>2026</v>
      </c>
      <c r="AH839" s="261">
        <f t="shared" si="23"/>
        <v>217349.94962550001</v>
      </c>
      <c r="AI839" s="261"/>
      <c r="AJ839" s="261"/>
      <c r="AK839" s="260" t="s">
        <v>43</v>
      </c>
      <c r="AL839" s="259" t="s">
        <v>41</v>
      </c>
      <c r="AM839" s="266">
        <v>0</v>
      </c>
      <c r="AN839" s="242" t="s">
        <v>1670</v>
      </c>
      <c r="AO839" s="256"/>
      <c r="AP839" s="257"/>
    </row>
    <row r="840" spans="1:42" s="258" customFormat="1" ht="37.950000000000003" customHeight="1" x14ac:dyDescent="0.3">
      <c r="A840" s="259" t="s">
        <v>1641</v>
      </c>
      <c r="B840" s="243" t="s">
        <v>1642</v>
      </c>
      <c r="C840" s="244" t="s">
        <v>1671</v>
      </c>
      <c r="D840" s="243" t="s">
        <v>34</v>
      </c>
      <c r="E840" s="243" t="s">
        <v>1644</v>
      </c>
      <c r="F840" s="260" t="s">
        <v>35</v>
      </c>
      <c r="G840" s="260">
        <v>1</v>
      </c>
      <c r="H840" s="245">
        <v>778717.97</v>
      </c>
      <c r="I840" s="243" t="s">
        <v>36</v>
      </c>
      <c r="J840" s="245">
        <f t="shared" si="22"/>
        <v>778717.97</v>
      </c>
      <c r="K840" s="1435">
        <f>7114.54+1016.36+20327.26</f>
        <v>28458.159999999996</v>
      </c>
      <c r="L840" s="1435">
        <f>7114.54+1016.36+20327.26</f>
        <v>28458.159999999996</v>
      </c>
      <c r="M840" s="246" t="s">
        <v>63</v>
      </c>
      <c r="N840" s="261" t="s">
        <v>1672</v>
      </c>
      <c r="O840" s="261" t="s">
        <v>1673</v>
      </c>
      <c r="P840" s="71" t="s">
        <v>64</v>
      </c>
      <c r="Q840" s="262"/>
      <c r="R840" s="71" t="s">
        <v>64</v>
      </c>
      <c r="S840" s="262"/>
      <c r="T840" s="263"/>
      <c r="U840" s="262"/>
      <c r="V840" s="263" t="s">
        <v>41</v>
      </c>
      <c r="W840" s="262">
        <v>45107</v>
      </c>
      <c r="X840" s="263" t="s">
        <v>41</v>
      </c>
      <c r="Y840" s="262">
        <v>45291</v>
      </c>
      <c r="Z840" s="263" t="s">
        <v>40</v>
      </c>
      <c r="AA840" s="262"/>
      <c r="AB840" s="263" t="s">
        <v>40</v>
      </c>
      <c r="AC840" s="262"/>
      <c r="AD840" s="262"/>
      <c r="AE840" s="264">
        <v>45565</v>
      </c>
      <c r="AF840" s="71" t="s">
        <v>65</v>
      </c>
      <c r="AG840" s="265">
        <v>2026</v>
      </c>
      <c r="AH840" s="261">
        <f t="shared" si="23"/>
        <v>139999.91811999999</v>
      </c>
      <c r="AI840" s="261"/>
      <c r="AJ840" s="261"/>
      <c r="AK840" s="260" t="s">
        <v>43</v>
      </c>
      <c r="AL840" s="259" t="s">
        <v>41</v>
      </c>
      <c r="AM840" s="266">
        <v>0</v>
      </c>
      <c r="AN840" s="242" t="s">
        <v>1674</v>
      </c>
      <c r="AO840" s="256"/>
      <c r="AP840" s="257"/>
    </row>
    <row r="841" spans="1:42" s="258" customFormat="1" ht="37.950000000000003" customHeight="1" x14ac:dyDescent="0.3">
      <c r="A841" s="259" t="s">
        <v>1641</v>
      </c>
      <c r="B841" s="243" t="s">
        <v>1642</v>
      </c>
      <c r="C841" s="244" t="s">
        <v>1675</v>
      </c>
      <c r="D841" s="243" t="s">
        <v>34</v>
      </c>
      <c r="E841" s="243" t="s">
        <v>1644</v>
      </c>
      <c r="F841" s="260" t="s">
        <v>35</v>
      </c>
      <c r="G841" s="260">
        <v>1</v>
      </c>
      <c r="H841" s="245">
        <v>778720</v>
      </c>
      <c r="I841" s="243" t="s">
        <v>36</v>
      </c>
      <c r="J841" s="245">
        <f t="shared" si="22"/>
        <v>778720</v>
      </c>
      <c r="K841" s="1435">
        <f>7114.54+20327.26+14330.72+4065.45+5081.81</f>
        <v>50919.779999999992</v>
      </c>
      <c r="L841" s="1435">
        <f>7114.54+20327.26+14330.72+4065.45+5081.81</f>
        <v>50919.779999999992</v>
      </c>
      <c r="M841" s="246" t="s">
        <v>73</v>
      </c>
      <c r="N841" s="261" t="s">
        <v>1676</v>
      </c>
      <c r="O841" s="261" t="s">
        <v>1677</v>
      </c>
      <c r="P841" s="71" t="s">
        <v>64</v>
      </c>
      <c r="Q841" s="262"/>
      <c r="R841" s="71" t="s">
        <v>64</v>
      </c>
      <c r="S841" s="262"/>
      <c r="T841" s="263"/>
      <c r="U841" s="262"/>
      <c r="V841" s="263" t="s">
        <v>41</v>
      </c>
      <c r="W841" s="262">
        <v>45107</v>
      </c>
      <c r="X841" s="263" t="s">
        <v>41</v>
      </c>
      <c r="Y841" s="262">
        <v>45291</v>
      </c>
      <c r="Z841" s="263" t="s">
        <v>40</v>
      </c>
      <c r="AA841" s="262"/>
      <c r="AB841" s="263" t="s">
        <v>40</v>
      </c>
      <c r="AC841" s="262"/>
      <c r="AD841" s="262"/>
      <c r="AE841" s="264">
        <v>45565</v>
      </c>
      <c r="AF841" s="71" t="s">
        <v>65</v>
      </c>
      <c r="AG841" s="265">
        <v>2026</v>
      </c>
      <c r="AH841" s="261">
        <f t="shared" si="23"/>
        <v>250499.85770999998</v>
      </c>
      <c r="AI841" s="261"/>
      <c r="AJ841" s="261"/>
      <c r="AK841" s="260" t="s">
        <v>43</v>
      </c>
      <c r="AL841" s="259" t="s">
        <v>41</v>
      </c>
      <c r="AM841" s="266">
        <v>0</v>
      </c>
      <c r="AN841" s="242" t="s">
        <v>1678</v>
      </c>
      <c r="AO841" s="256"/>
      <c r="AP841" s="257"/>
    </row>
    <row r="842" spans="1:42" s="269" customFormat="1" ht="37.950000000000003" customHeight="1" x14ac:dyDescent="0.3">
      <c r="A842" s="259" t="s">
        <v>1641</v>
      </c>
      <c r="B842" s="243" t="s">
        <v>1642</v>
      </c>
      <c r="C842" s="244" t="s">
        <v>1679</v>
      </c>
      <c r="D842" s="243" t="s">
        <v>34</v>
      </c>
      <c r="E842" s="243" t="s">
        <v>1644</v>
      </c>
      <c r="F842" s="260" t="s">
        <v>35</v>
      </c>
      <c r="G842" s="260">
        <v>1</v>
      </c>
      <c r="H842" s="245">
        <v>778720</v>
      </c>
      <c r="I842" s="243" t="s">
        <v>36</v>
      </c>
      <c r="J842" s="245">
        <f t="shared" si="22"/>
        <v>778720</v>
      </c>
      <c r="K842" s="1435">
        <f>20461.12+1626.18+1329.11</f>
        <v>23416.41</v>
      </c>
      <c r="L842" s="1435">
        <f>20461.12+1626.18+1329.11</f>
        <v>23416.41</v>
      </c>
      <c r="M842" s="246" t="s">
        <v>60</v>
      </c>
      <c r="N842" s="261" t="s">
        <v>1680</v>
      </c>
      <c r="O842" s="261" t="s">
        <v>1681</v>
      </c>
      <c r="P842" s="71" t="s">
        <v>64</v>
      </c>
      <c r="Q842" s="262"/>
      <c r="R842" s="71" t="s">
        <v>64</v>
      </c>
      <c r="S842" s="262"/>
      <c r="T842" s="263"/>
      <c r="U842" s="262"/>
      <c r="V842" s="263" t="s">
        <v>41</v>
      </c>
      <c r="W842" s="262">
        <v>45107</v>
      </c>
      <c r="X842" s="263" t="s">
        <v>41</v>
      </c>
      <c r="Y842" s="262">
        <v>45291</v>
      </c>
      <c r="Z842" s="263" t="s">
        <v>40</v>
      </c>
      <c r="AA842" s="262"/>
      <c r="AB842" s="263" t="s">
        <v>40</v>
      </c>
      <c r="AC842" s="262"/>
      <c r="AD842" s="262"/>
      <c r="AE842" s="264">
        <v>45565</v>
      </c>
      <c r="AF842" s="71" t="s">
        <v>65</v>
      </c>
      <c r="AG842" s="265">
        <v>2026</v>
      </c>
      <c r="AH842" s="261">
        <f t="shared" si="23"/>
        <v>115197.028995</v>
      </c>
      <c r="AI842" s="261"/>
      <c r="AJ842" s="261"/>
      <c r="AK842" s="260" t="s">
        <v>43</v>
      </c>
      <c r="AL842" s="259" t="s">
        <v>41</v>
      </c>
      <c r="AM842" s="266">
        <v>0</v>
      </c>
      <c r="AN842" s="242" t="s">
        <v>1682</v>
      </c>
      <c r="AO842" s="267"/>
      <c r="AP842" s="268"/>
    </row>
    <row r="843" spans="1:42" s="258" customFormat="1" ht="37.950000000000003" customHeight="1" x14ac:dyDescent="0.3">
      <c r="A843" s="259" t="s">
        <v>1641</v>
      </c>
      <c r="B843" s="243" t="s">
        <v>1642</v>
      </c>
      <c r="C843" s="244" t="s">
        <v>1683</v>
      </c>
      <c r="D843" s="243" t="s">
        <v>34</v>
      </c>
      <c r="E843" s="243" t="s">
        <v>1644</v>
      </c>
      <c r="F843" s="260" t="s">
        <v>35</v>
      </c>
      <c r="G843" s="260">
        <v>1</v>
      </c>
      <c r="H843" s="245">
        <v>778720</v>
      </c>
      <c r="I843" s="243" t="s">
        <v>36</v>
      </c>
      <c r="J843" s="245">
        <f t="shared" si="22"/>
        <v>778720</v>
      </c>
      <c r="K843" s="1695">
        <v>33600.97</v>
      </c>
      <c r="L843" s="1695">
        <v>33600.97</v>
      </c>
      <c r="M843" s="246" t="s">
        <v>1208</v>
      </c>
      <c r="N843" s="261" t="s">
        <v>1540</v>
      </c>
      <c r="O843" s="261" t="s">
        <v>1684</v>
      </c>
      <c r="P843" s="71" t="s">
        <v>64</v>
      </c>
      <c r="Q843" s="262"/>
      <c r="R843" s="71" t="s">
        <v>64</v>
      </c>
      <c r="S843" s="262"/>
      <c r="T843" s="263"/>
      <c r="U843" s="262"/>
      <c r="V843" s="263" t="s">
        <v>41</v>
      </c>
      <c r="W843" s="262">
        <v>45107</v>
      </c>
      <c r="X843" s="263" t="s">
        <v>41</v>
      </c>
      <c r="Y843" s="262">
        <v>45291</v>
      </c>
      <c r="Z843" s="263" t="s">
        <v>40</v>
      </c>
      <c r="AA843" s="262"/>
      <c r="AB843" s="263" t="s">
        <v>40</v>
      </c>
      <c r="AC843" s="262"/>
      <c r="AD843" s="262"/>
      <c r="AE843" s="264">
        <v>45565</v>
      </c>
      <c r="AF843" s="71" t="s">
        <v>65</v>
      </c>
      <c r="AG843" s="265">
        <v>2026</v>
      </c>
      <c r="AH843" s="261">
        <f t="shared" si="23"/>
        <v>165299.971915</v>
      </c>
      <c r="AI843" s="261"/>
      <c r="AJ843" s="261"/>
      <c r="AK843" s="260" t="s">
        <v>43</v>
      </c>
      <c r="AL843" s="259" t="s">
        <v>41</v>
      </c>
      <c r="AM843" s="266">
        <v>0</v>
      </c>
      <c r="AN843" s="259" t="s">
        <v>1685</v>
      </c>
      <c r="AO843" s="256"/>
      <c r="AP843" s="257"/>
    </row>
    <row r="844" spans="1:42" s="258" customFormat="1" ht="37.950000000000003" customHeight="1" x14ac:dyDescent="0.3">
      <c r="A844" s="259" t="s">
        <v>1641</v>
      </c>
      <c r="B844" s="243" t="s">
        <v>1642</v>
      </c>
      <c r="C844" s="244" t="s">
        <v>1686</v>
      </c>
      <c r="D844" s="243" t="s">
        <v>34</v>
      </c>
      <c r="E844" s="243" t="s">
        <v>1644</v>
      </c>
      <c r="F844" s="260" t="s">
        <v>35</v>
      </c>
      <c r="G844" s="260">
        <v>1</v>
      </c>
      <c r="H844" s="245">
        <v>778720</v>
      </c>
      <c r="I844" s="243" t="s">
        <v>36</v>
      </c>
      <c r="J844" s="245">
        <f t="shared" si="22"/>
        <v>778720</v>
      </c>
      <c r="K844" s="1695">
        <f>22156.72+23478+68598.04</f>
        <v>114232.76</v>
      </c>
      <c r="L844" s="1695">
        <f>K844</f>
        <v>114232.76</v>
      </c>
      <c r="M844" s="246" t="s">
        <v>60</v>
      </c>
      <c r="N844" s="261" t="s">
        <v>1687</v>
      </c>
      <c r="O844" s="261" t="s">
        <v>1688</v>
      </c>
      <c r="P844" s="71" t="s">
        <v>64</v>
      </c>
      <c r="Q844" s="262"/>
      <c r="R844" s="71" t="s">
        <v>64</v>
      </c>
      <c r="S844" s="262"/>
      <c r="T844" s="263"/>
      <c r="U844" s="262"/>
      <c r="V844" s="263" t="s">
        <v>41</v>
      </c>
      <c r="W844" s="262">
        <v>45107</v>
      </c>
      <c r="X844" s="263" t="s">
        <v>41</v>
      </c>
      <c r="Y844" s="262">
        <v>45291</v>
      </c>
      <c r="Z844" s="263" t="s">
        <v>40</v>
      </c>
      <c r="AA844" s="262"/>
      <c r="AB844" s="263" t="s">
        <v>40</v>
      </c>
      <c r="AC844" s="262"/>
      <c r="AD844" s="262"/>
      <c r="AE844" s="264">
        <v>45565</v>
      </c>
      <c r="AF844" s="71" t="s">
        <v>65</v>
      </c>
      <c r="AG844" s="265">
        <v>2026</v>
      </c>
      <c r="AH844" s="261">
        <f t="shared" si="23"/>
        <v>561968.06281999999</v>
      </c>
      <c r="AI844" s="261"/>
      <c r="AJ844" s="261"/>
      <c r="AK844" s="260" t="s">
        <v>43</v>
      </c>
      <c r="AL844" s="259" t="s">
        <v>41</v>
      </c>
      <c r="AM844" s="266">
        <v>0</v>
      </c>
      <c r="AN844" s="67" t="s">
        <v>1689</v>
      </c>
      <c r="AO844" s="256"/>
      <c r="AP844" s="257"/>
    </row>
    <row r="845" spans="1:42" s="258" customFormat="1" ht="37.950000000000003" customHeight="1" x14ac:dyDescent="0.3">
      <c r="A845" s="259" t="s">
        <v>1641</v>
      </c>
      <c r="B845" s="243" t="s">
        <v>1642</v>
      </c>
      <c r="C845" s="244" t="s">
        <v>1690</v>
      </c>
      <c r="D845" s="243" t="s">
        <v>34</v>
      </c>
      <c r="E845" s="243" t="s">
        <v>1644</v>
      </c>
      <c r="F845" s="260" t="s">
        <v>35</v>
      </c>
      <c r="G845" s="260">
        <v>1</v>
      </c>
      <c r="H845" s="245">
        <v>778720.07</v>
      </c>
      <c r="I845" s="243" t="s">
        <v>36</v>
      </c>
      <c r="J845" s="245">
        <f t="shared" si="22"/>
        <v>778720.07</v>
      </c>
      <c r="K845" s="1695">
        <v>9757.08</v>
      </c>
      <c r="L845" s="1695">
        <v>9757.08</v>
      </c>
      <c r="M845" s="246" t="s">
        <v>636</v>
      </c>
      <c r="N845" s="261" t="s">
        <v>636</v>
      </c>
      <c r="O845" s="261" t="s">
        <v>1691</v>
      </c>
      <c r="P845" s="71" t="s">
        <v>64</v>
      </c>
      <c r="Q845" s="262"/>
      <c r="R845" s="71" t="s">
        <v>64</v>
      </c>
      <c r="S845" s="262"/>
      <c r="T845" s="263"/>
      <c r="U845" s="262"/>
      <c r="V845" s="263" t="s">
        <v>41</v>
      </c>
      <c r="W845" s="262">
        <v>45107</v>
      </c>
      <c r="X845" s="263" t="s">
        <v>41</v>
      </c>
      <c r="Y845" s="262">
        <v>45291</v>
      </c>
      <c r="Z845" s="263" t="s">
        <v>40</v>
      </c>
      <c r="AA845" s="262"/>
      <c r="AB845" s="263" t="s">
        <v>40</v>
      </c>
      <c r="AC845" s="262"/>
      <c r="AD845" s="262"/>
      <c r="AE845" s="264">
        <v>45565</v>
      </c>
      <c r="AF845" s="71" t="s">
        <v>65</v>
      </c>
      <c r="AG845" s="265">
        <v>2026</v>
      </c>
      <c r="AH845" s="261">
        <f t="shared" si="23"/>
        <v>47999.95506</v>
      </c>
      <c r="AI845" s="261"/>
      <c r="AJ845" s="261"/>
      <c r="AK845" s="260" t="s">
        <v>43</v>
      </c>
      <c r="AL845" s="259" t="s">
        <v>41</v>
      </c>
      <c r="AM845" s="266">
        <v>0</v>
      </c>
      <c r="AN845" s="67"/>
      <c r="AO845" s="256"/>
      <c r="AP845" s="257"/>
    </row>
    <row r="846" spans="1:42" s="269" customFormat="1" ht="37.950000000000003" customHeight="1" x14ac:dyDescent="0.3">
      <c r="A846" s="259" t="s">
        <v>1641</v>
      </c>
      <c r="B846" s="243" t="s">
        <v>1642</v>
      </c>
      <c r="C846" s="244" t="s">
        <v>1692</v>
      </c>
      <c r="D846" s="243" t="s">
        <v>34</v>
      </c>
      <c r="E846" s="243" t="s">
        <v>1644</v>
      </c>
      <c r="F846" s="260" t="s">
        <v>35</v>
      </c>
      <c r="G846" s="260">
        <v>1</v>
      </c>
      <c r="H846" s="245">
        <v>778720</v>
      </c>
      <c r="I846" s="243" t="s">
        <v>36</v>
      </c>
      <c r="J846" s="245">
        <f t="shared" si="22"/>
        <v>778720</v>
      </c>
      <c r="K846" s="1695">
        <f>41264.356</f>
        <v>41264.356</v>
      </c>
      <c r="L846" s="1695">
        <f>41264.356</f>
        <v>41264.356</v>
      </c>
      <c r="M846" s="246" t="s">
        <v>60</v>
      </c>
      <c r="N846" s="261" t="s">
        <v>1693</v>
      </c>
      <c r="O846" s="261" t="s">
        <v>1694</v>
      </c>
      <c r="P846" s="71" t="s">
        <v>64</v>
      </c>
      <c r="Q846" s="262"/>
      <c r="R846" s="71" t="s">
        <v>64</v>
      </c>
      <c r="S846" s="262"/>
      <c r="T846" s="263"/>
      <c r="U846" s="262"/>
      <c r="V846" s="263" t="s">
        <v>41</v>
      </c>
      <c r="W846" s="262">
        <v>45107</v>
      </c>
      <c r="X846" s="263" t="s">
        <v>41</v>
      </c>
      <c r="Y846" s="262">
        <v>45291</v>
      </c>
      <c r="Z846" s="263" t="s">
        <v>40</v>
      </c>
      <c r="AA846" s="262"/>
      <c r="AB846" s="263" t="s">
        <v>40</v>
      </c>
      <c r="AC846" s="262"/>
      <c r="AD846" s="262"/>
      <c r="AE846" s="264">
        <v>45565</v>
      </c>
      <c r="AF846" s="71" t="s">
        <v>65</v>
      </c>
      <c r="AG846" s="265">
        <v>2026</v>
      </c>
      <c r="AH846" s="261">
        <f t="shared" si="23"/>
        <v>202999.999342</v>
      </c>
      <c r="AI846" s="261"/>
      <c r="AJ846" s="261"/>
      <c r="AK846" s="260" t="s">
        <v>43</v>
      </c>
      <c r="AL846" s="259" t="s">
        <v>41</v>
      </c>
      <c r="AM846" s="266">
        <v>0</v>
      </c>
      <c r="AN846" s="67"/>
      <c r="AO846" s="267"/>
      <c r="AP846" s="268"/>
    </row>
    <row r="847" spans="1:42" s="258" customFormat="1" ht="37.950000000000003" customHeight="1" x14ac:dyDescent="0.3">
      <c r="A847" s="259" t="s">
        <v>1641</v>
      </c>
      <c r="B847" s="243" t="s">
        <v>1642</v>
      </c>
      <c r="C847" s="244" t="s">
        <v>1695</v>
      </c>
      <c r="D847" s="243" t="s">
        <v>34</v>
      </c>
      <c r="E847" s="243" t="s">
        <v>1644</v>
      </c>
      <c r="F847" s="259" t="s">
        <v>35</v>
      </c>
      <c r="G847" s="259">
        <v>4</v>
      </c>
      <c r="H847" s="245">
        <v>3025222.53</v>
      </c>
      <c r="I847" s="243" t="s">
        <v>36</v>
      </c>
      <c r="J847" s="245">
        <f t="shared" si="22"/>
        <v>3025222.53</v>
      </c>
      <c r="K847" s="1695">
        <v>33539.99</v>
      </c>
      <c r="L847" s="1695">
        <v>33539.99</v>
      </c>
      <c r="M847" s="246" t="s">
        <v>63</v>
      </c>
      <c r="N847" s="261" t="s">
        <v>63</v>
      </c>
      <c r="O847" s="261" t="s">
        <v>1696</v>
      </c>
      <c r="P847" s="263" t="s">
        <v>64</v>
      </c>
      <c r="Q847" s="262"/>
      <c r="R847" s="263" t="s">
        <v>64</v>
      </c>
      <c r="S847" s="262"/>
      <c r="T847" s="263"/>
      <c r="U847" s="262"/>
      <c r="V847" s="263" t="s">
        <v>41</v>
      </c>
      <c r="W847" s="262">
        <v>45107</v>
      </c>
      <c r="X847" s="263" t="s">
        <v>41</v>
      </c>
      <c r="Y847" s="262">
        <v>45291</v>
      </c>
      <c r="Z847" s="263" t="s">
        <v>40</v>
      </c>
      <c r="AA847" s="262"/>
      <c r="AB847" s="263" t="s">
        <v>40</v>
      </c>
      <c r="AC847" s="262"/>
      <c r="AD847" s="262"/>
      <c r="AE847" s="262">
        <v>45565</v>
      </c>
      <c r="AF847" s="263" t="s">
        <v>65</v>
      </c>
      <c r="AG847" s="270">
        <v>2026</v>
      </c>
      <c r="AH847" s="261">
        <f t="shared" si="23"/>
        <v>164999.980805</v>
      </c>
      <c r="AI847" s="261"/>
      <c r="AJ847" s="261"/>
      <c r="AK847" s="259" t="s">
        <v>43</v>
      </c>
      <c r="AL847" s="259" t="s">
        <v>41</v>
      </c>
      <c r="AM847" s="266">
        <v>0</v>
      </c>
      <c r="AN847" s="67"/>
      <c r="AO847" s="256"/>
      <c r="AP847" s="257"/>
    </row>
    <row r="848" spans="1:42" s="258" customFormat="1" ht="37.950000000000003" customHeight="1" x14ac:dyDescent="0.3">
      <c r="A848" s="259" t="s">
        <v>1641</v>
      </c>
      <c r="B848" s="243" t="s">
        <v>1642</v>
      </c>
      <c r="C848" s="244" t="s">
        <v>1697</v>
      </c>
      <c r="D848" s="243" t="s">
        <v>34</v>
      </c>
      <c r="E848" s="243" t="s">
        <v>1644</v>
      </c>
      <c r="F848" s="259" t="s">
        <v>35</v>
      </c>
      <c r="G848" s="259">
        <v>1</v>
      </c>
      <c r="H848" s="245">
        <v>778720</v>
      </c>
      <c r="I848" s="243" t="s">
        <v>36</v>
      </c>
      <c r="J848" s="245">
        <f t="shared" si="22"/>
        <v>778720</v>
      </c>
      <c r="K848" s="1435">
        <f>14533.99+12693.36+1683.4+648.56+994</f>
        <v>30553.31</v>
      </c>
      <c r="L848" s="1435">
        <f>K848</f>
        <v>30553.31</v>
      </c>
      <c r="M848" s="246" t="s">
        <v>67</v>
      </c>
      <c r="N848" s="261" t="s">
        <v>1698</v>
      </c>
      <c r="O848" s="261" t="s">
        <v>1699</v>
      </c>
      <c r="P848" s="263" t="s">
        <v>64</v>
      </c>
      <c r="Q848" s="262"/>
      <c r="R848" s="263" t="s">
        <v>64</v>
      </c>
      <c r="S848" s="262"/>
      <c r="T848" s="263"/>
      <c r="U848" s="262"/>
      <c r="V848" s="263" t="s">
        <v>41</v>
      </c>
      <c r="W848" s="262">
        <v>45107</v>
      </c>
      <c r="X848" s="263" t="s">
        <v>41</v>
      </c>
      <c r="Y848" s="262">
        <v>45291</v>
      </c>
      <c r="Z848" s="263" t="s">
        <v>40</v>
      </c>
      <c r="AA848" s="262"/>
      <c r="AB848" s="263" t="s">
        <v>40</v>
      </c>
      <c r="AC848" s="262"/>
      <c r="AD848" s="262"/>
      <c r="AE848" s="262">
        <v>45565</v>
      </c>
      <c r="AF848" s="263" t="s">
        <v>65</v>
      </c>
      <c r="AG848" s="270">
        <v>2026</v>
      </c>
      <c r="AH848" s="261">
        <f t="shared" si="23"/>
        <v>150307.00854500002</v>
      </c>
      <c r="AI848" s="261"/>
      <c r="AJ848" s="261"/>
      <c r="AK848" s="259" t="s">
        <v>43</v>
      </c>
      <c r="AL848" s="259" t="s">
        <v>41</v>
      </c>
      <c r="AM848" s="266">
        <v>0</v>
      </c>
      <c r="AN848" s="67"/>
      <c r="AO848" s="256"/>
      <c r="AP848" s="257"/>
    </row>
    <row r="849" spans="1:45" s="258" customFormat="1" ht="37.950000000000003" customHeight="1" x14ac:dyDescent="0.3">
      <c r="A849" s="259" t="s">
        <v>1641</v>
      </c>
      <c r="B849" s="243" t="s">
        <v>1642</v>
      </c>
      <c r="C849" s="244" t="s">
        <v>1700</v>
      </c>
      <c r="D849" s="243" t="s">
        <v>34</v>
      </c>
      <c r="E849" s="243" t="s">
        <v>1644</v>
      </c>
      <c r="F849" s="259" t="s">
        <v>35</v>
      </c>
      <c r="G849" s="259">
        <v>1</v>
      </c>
      <c r="H849" s="245">
        <v>778720</v>
      </c>
      <c r="I849" s="243" t="s">
        <v>36</v>
      </c>
      <c r="J849" s="245">
        <f t="shared" si="22"/>
        <v>778720</v>
      </c>
      <c r="K849" s="1435">
        <f>3096.91+42356.43+1438.98+50665.136+40057.86+102998.21</f>
        <v>240613.52600000001</v>
      </c>
      <c r="L849" s="1435">
        <f>K849</f>
        <v>240613.52600000001</v>
      </c>
      <c r="M849" s="246" t="s">
        <v>1208</v>
      </c>
      <c r="N849" s="261" t="s">
        <v>1701</v>
      </c>
      <c r="O849" s="261" t="s">
        <v>1702</v>
      </c>
      <c r="P849" s="263" t="s">
        <v>64</v>
      </c>
      <c r="Q849" s="262"/>
      <c r="R849" s="263" t="s">
        <v>64</v>
      </c>
      <c r="S849" s="262"/>
      <c r="T849" s="263"/>
      <c r="U849" s="262"/>
      <c r="V849" s="263" t="s">
        <v>41</v>
      </c>
      <c r="W849" s="262">
        <v>45107</v>
      </c>
      <c r="X849" s="263" t="s">
        <v>41</v>
      </c>
      <c r="Y849" s="262">
        <v>45291</v>
      </c>
      <c r="Z849" s="263" t="s">
        <v>40</v>
      </c>
      <c r="AA849" s="262"/>
      <c r="AB849" s="263" t="s">
        <v>40</v>
      </c>
      <c r="AC849" s="262"/>
      <c r="AD849" s="262"/>
      <c r="AE849" s="262">
        <v>45565</v>
      </c>
      <c r="AF849" s="263" t="s">
        <v>65</v>
      </c>
      <c r="AG849" s="270">
        <v>2026</v>
      </c>
      <c r="AH849" s="261">
        <f t="shared" si="23"/>
        <v>1183698.2411570002</v>
      </c>
      <c r="AI849" s="261"/>
      <c r="AJ849" s="261"/>
      <c r="AK849" s="259" t="s">
        <v>43</v>
      </c>
      <c r="AL849" s="259" t="s">
        <v>41</v>
      </c>
      <c r="AM849" s="266">
        <v>0</v>
      </c>
      <c r="AN849" s="67"/>
      <c r="AO849" s="256"/>
      <c r="AP849" s="257"/>
    </row>
    <row r="850" spans="1:45" s="258" customFormat="1" ht="37.950000000000003" customHeight="1" x14ac:dyDescent="0.3">
      <c r="A850" s="259" t="s">
        <v>1641</v>
      </c>
      <c r="B850" s="243" t="s">
        <v>1642</v>
      </c>
      <c r="C850" s="244" t="s">
        <v>1703</v>
      </c>
      <c r="D850" s="243" t="s">
        <v>34</v>
      </c>
      <c r="E850" s="243" t="s">
        <v>1644</v>
      </c>
      <c r="F850" s="259" t="s">
        <v>35</v>
      </c>
      <c r="G850" s="259">
        <v>1</v>
      </c>
      <c r="H850" s="245">
        <v>778720</v>
      </c>
      <c r="I850" s="243" t="s">
        <v>36</v>
      </c>
      <c r="J850" s="245">
        <f t="shared" si="22"/>
        <v>778720</v>
      </c>
      <c r="K850" s="1695">
        <v>0</v>
      </c>
      <c r="L850" s="1695">
        <v>0</v>
      </c>
      <c r="M850" s="246" t="s">
        <v>60</v>
      </c>
      <c r="N850" s="261" t="s">
        <v>1704</v>
      </c>
      <c r="O850" s="261" t="s">
        <v>1705</v>
      </c>
      <c r="P850" s="263" t="s">
        <v>41</v>
      </c>
      <c r="Q850" s="262">
        <v>45036</v>
      </c>
      <c r="R850" s="263" t="s">
        <v>41</v>
      </c>
      <c r="S850" s="262">
        <v>45036</v>
      </c>
      <c r="T850" s="263"/>
      <c r="U850" s="262"/>
      <c r="V850" s="263" t="s">
        <v>41</v>
      </c>
      <c r="W850" s="262">
        <v>45255</v>
      </c>
      <c r="X850" s="263" t="s">
        <v>41</v>
      </c>
      <c r="Y850" s="262">
        <v>45291</v>
      </c>
      <c r="Z850" s="263" t="s">
        <v>40</v>
      </c>
      <c r="AA850" s="262"/>
      <c r="AB850" s="263" t="s">
        <v>40</v>
      </c>
      <c r="AC850" s="262"/>
      <c r="AD850" s="262"/>
      <c r="AE850" s="262">
        <v>45565</v>
      </c>
      <c r="AF850" s="263" t="s">
        <v>65</v>
      </c>
      <c r="AG850" s="270">
        <v>2026</v>
      </c>
      <c r="AH850" s="261">
        <f t="shared" si="23"/>
        <v>0</v>
      </c>
      <c r="AI850" s="261"/>
      <c r="AJ850" s="261"/>
      <c r="AK850" s="259" t="s">
        <v>43</v>
      </c>
      <c r="AL850" s="259" t="s">
        <v>41</v>
      </c>
      <c r="AM850" s="266">
        <v>0</v>
      </c>
      <c r="AN850" s="67"/>
      <c r="AO850" s="256"/>
      <c r="AP850" s="257"/>
    </row>
    <row r="851" spans="1:45" s="258" customFormat="1" ht="37.950000000000003" customHeight="1" x14ac:dyDescent="0.3">
      <c r="A851" s="259" t="s">
        <v>1641</v>
      </c>
      <c r="B851" s="243" t="s">
        <v>1642</v>
      </c>
      <c r="C851" s="244" t="s">
        <v>1706</v>
      </c>
      <c r="D851" s="243" t="s">
        <v>34</v>
      </c>
      <c r="E851" s="243" t="s">
        <v>1644</v>
      </c>
      <c r="F851" s="259" t="s">
        <v>35</v>
      </c>
      <c r="G851" s="259">
        <v>1</v>
      </c>
      <c r="H851" s="245">
        <v>778720</v>
      </c>
      <c r="I851" s="243" t="s">
        <v>36</v>
      </c>
      <c r="J851" s="245">
        <f t="shared" si="22"/>
        <v>778720</v>
      </c>
      <c r="K851" s="1695">
        <f>22156.72+23478</f>
        <v>45634.720000000001</v>
      </c>
      <c r="L851" s="1695">
        <f>K851</f>
        <v>45634.720000000001</v>
      </c>
      <c r="M851" s="246" t="s">
        <v>60</v>
      </c>
      <c r="N851" s="261" t="s">
        <v>1707</v>
      </c>
      <c r="O851" s="261" t="s">
        <v>1708</v>
      </c>
      <c r="P851" s="263" t="s">
        <v>64</v>
      </c>
      <c r="Q851" s="262"/>
      <c r="R851" s="263" t="s">
        <v>64</v>
      </c>
      <c r="S851" s="262"/>
      <c r="T851" s="263"/>
      <c r="U851" s="262"/>
      <c r="V851" s="263" t="s">
        <v>41</v>
      </c>
      <c r="W851" s="262">
        <v>45107</v>
      </c>
      <c r="X851" s="263" t="s">
        <v>41</v>
      </c>
      <c r="Y851" s="262">
        <v>45291</v>
      </c>
      <c r="Z851" s="263" t="s">
        <v>40</v>
      </c>
      <c r="AA851" s="262"/>
      <c r="AB851" s="263" t="s">
        <v>40</v>
      </c>
      <c r="AC851" s="262"/>
      <c r="AD851" s="262"/>
      <c r="AE851" s="262">
        <v>45565</v>
      </c>
      <c r="AF851" s="263" t="s">
        <v>65</v>
      </c>
      <c r="AG851" s="270">
        <v>2026</v>
      </c>
      <c r="AH851" s="261">
        <f t="shared" si="23"/>
        <v>224500.00504000002</v>
      </c>
      <c r="AI851" s="261"/>
      <c r="AJ851" s="261"/>
      <c r="AK851" s="259" t="s">
        <v>43</v>
      </c>
      <c r="AL851" s="259" t="s">
        <v>41</v>
      </c>
      <c r="AM851" s="266">
        <v>0</v>
      </c>
      <c r="AN851" s="67"/>
      <c r="AO851" s="256"/>
      <c r="AP851" s="257"/>
    </row>
    <row r="852" spans="1:45" s="258" customFormat="1" ht="37.950000000000003" customHeight="1" x14ac:dyDescent="0.3">
      <c r="A852" s="259" t="s">
        <v>1641</v>
      </c>
      <c r="B852" s="243" t="s">
        <v>1642</v>
      </c>
      <c r="C852" s="244" t="s">
        <v>1709</v>
      </c>
      <c r="D852" s="243" t="s">
        <v>34</v>
      </c>
      <c r="E852" s="243" t="s">
        <v>1644</v>
      </c>
      <c r="F852" s="259" t="s">
        <v>35</v>
      </c>
      <c r="G852" s="259">
        <v>1</v>
      </c>
      <c r="H852" s="245">
        <v>778720.2</v>
      </c>
      <c r="I852" s="243" t="s">
        <v>36</v>
      </c>
      <c r="J852" s="245">
        <f t="shared" si="22"/>
        <v>778720.2</v>
      </c>
      <c r="K852" s="1695">
        <f>12470.77+19005.99+3628.42+4317.82+3628.417</f>
        <v>43051.417000000001</v>
      </c>
      <c r="L852" s="1695">
        <f>K852</f>
        <v>43051.417000000001</v>
      </c>
      <c r="M852" s="246" t="s">
        <v>50</v>
      </c>
      <c r="N852" s="261" t="s">
        <v>1710</v>
      </c>
      <c r="O852" s="261" t="s">
        <v>1711</v>
      </c>
      <c r="P852" s="263" t="s">
        <v>64</v>
      </c>
      <c r="Q852" s="262"/>
      <c r="R852" s="263" t="s">
        <v>64</v>
      </c>
      <c r="S852" s="262"/>
      <c r="T852" s="263"/>
      <c r="U852" s="262"/>
      <c r="V852" s="263" t="s">
        <v>41</v>
      </c>
      <c r="W852" s="262">
        <v>45107</v>
      </c>
      <c r="X852" s="263" t="s">
        <v>41</v>
      </c>
      <c r="Y852" s="262">
        <v>45291</v>
      </c>
      <c r="Z852" s="263" t="s">
        <v>40</v>
      </c>
      <c r="AA852" s="262"/>
      <c r="AB852" s="263" t="s">
        <v>40</v>
      </c>
      <c r="AC852" s="262"/>
      <c r="AD852" s="262"/>
      <c r="AE852" s="262">
        <v>45565</v>
      </c>
      <c r="AF852" s="263" t="s">
        <v>65</v>
      </c>
      <c r="AG852" s="270">
        <v>2026</v>
      </c>
      <c r="AH852" s="261">
        <f t="shared" si="23"/>
        <v>211791.44593150003</v>
      </c>
      <c r="AI852" s="261"/>
      <c r="AJ852" s="261"/>
      <c r="AK852" s="259" t="s">
        <v>43</v>
      </c>
      <c r="AL852" s="259" t="s">
        <v>41</v>
      </c>
      <c r="AM852" s="266">
        <v>0</v>
      </c>
      <c r="AN852" s="67"/>
      <c r="AO852" s="256"/>
      <c r="AP852" s="257"/>
    </row>
    <row r="853" spans="1:45" s="258" customFormat="1" ht="37.950000000000003" customHeight="1" x14ac:dyDescent="0.3">
      <c r="A853" s="259" t="s">
        <v>1641</v>
      </c>
      <c r="B853" s="243" t="s">
        <v>1642</v>
      </c>
      <c r="C853" s="244" t="s">
        <v>1712</v>
      </c>
      <c r="D853" s="243" t="s">
        <v>34</v>
      </c>
      <c r="E853" s="243" t="s">
        <v>1644</v>
      </c>
      <c r="F853" s="259" t="s">
        <v>35</v>
      </c>
      <c r="G853" s="259">
        <v>1</v>
      </c>
      <c r="H853" s="245">
        <v>778720</v>
      </c>
      <c r="I853" s="243" t="s">
        <v>36</v>
      </c>
      <c r="J853" s="245">
        <f t="shared" si="22"/>
        <v>778720</v>
      </c>
      <c r="K853" s="1695">
        <f>7114.54+30236.81+6047.36</f>
        <v>43398.71</v>
      </c>
      <c r="L853" s="1695">
        <f>7114.54+30236.81+6047.36</f>
        <v>43398.71</v>
      </c>
      <c r="M853" s="246" t="s">
        <v>50</v>
      </c>
      <c r="N853" s="261" t="s">
        <v>1713</v>
      </c>
      <c r="O853" s="261" t="s">
        <v>1714</v>
      </c>
      <c r="P853" s="263" t="s">
        <v>64</v>
      </c>
      <c r="Q853" s="262"/>
      <c r="R853" s="263" t="s">
        <v>64</v>
      </c>
      <c r="S853" s="262"/>
      <c r="T853" s="263"/>
      <c r="U853" s="262"/>
      <c r="V853" s="263" t="s">
        <v>41</v>
      </c>
      <c r="W853" s="262">
        <v>45107</v>
      </c>
      <c r="X853" s="263" t="s">
        <v>41</v>
      </c>
      <c r="Y853" s="262">
        <v>45291</v>
      </c>
      <c r="Z853" s="263" t="s">
        <v>40</v>
      </c>
      <c r="AA853" s="262"/>
      <c r="AB853" s="263" t="s">
        <v>40</v>
      </c>
      <c r="AC853" s="262"/>
      <c r="AD853" s="262"/>
      <c r="AE853" s="262">
        <v>45565</v>
      </c>
      <c r="AF853" s="263" t="s">
        <v>65</v>
      </c>
      <c r="AG853" s="270">
        <v>2026</v>
      </c>
      <c r="AH853" s="261">
        <f t="shared" si="23"/>
        <v>213499.95384500001</v>
      </c>
      <c r="AI853" s="261"/>
      <c r="AJ853" s="261"/>
      <c r="AK853" s="259" t="s">
        <v>43</v>
      </c>
      <c r="AL853" s="259" t="s">
        <v>41</v>
      </c>
      <c r="AM853" s="266">
        <v>0</v>
      </c>
      <c r="AN853" s="67"/>
      <c r="AO853" s="256"/>
      <c r="AP853" s="257"/>
    </row>
    <row r="854" spans="1:45" s="258" customFormat="1" ht="37.950000000000003" customHeight="1" x14ac:dyDescent="0.3">
      <c r="A854" s="259" t="s">
        <v>1641</v>
      </c>
      <c r="B854" s="243" t="s">
        <v>1642</v>
      </c>
      <c r="C854" s="244" t="s">
        <v>1715</v>
      </c>
      <c r="D854" s="243" t="s">
        <v>34</v>
      </c>
      <c r="E854" s="243" t="s">
        <v>1644</v>
      </c>
      <c r="F854" s="259" t="s">
        <v>35</v>
      </c>
      <c r="G854" s="259">
        <v>1</v>
      </c>
      <c r="H854" s="245">
        <v>778720</v>
      </c>
      <c r="I854" s="243" t="s">
        <v>36</v>
      </c>
      <c r="J854" s="245">
        <f t="shared" si="22"/>
        <v>778720</v>
      </c>
      <c r="K854" s="1695">
        <f>22156.72+23478+133146.13</f>
        <v>178780.85</v>
      </c>
      <c r="L854" s="1695">
        <f>K854</f>
        <v>178780.85</v>
      </c>
      <c r="M854" s="246" t="s">
        <v>868</v>
      </c>
      <c r="N854" s="261" t="s">
        <v>1716</v>
      </c>
      <c r="O854" s="261" t="s">
        <v>1717</v>
      </c>
      <c r="P854" s="263" t="s">
        <v>64</v>
      </c>
      <c r="Q854" s="262"/>
      <c r="R854" s="263" t="s">
        <v>64</v>
      </c>
      <c r="S854" s="262"/>
      <c r="T854" s="263"/>
      <c r="U854" s="262"/>
      <c r="V854" s="263" t="s">
        <v>41</v>
      </c>
      <c r="W854" s="262">
        <v>45107</v>
      </c>
      <c r="X854" s="263" t="s">
        <v>41</v>
      </c>
      <c r="Y854" s="262">
        <v>45291</v>
      </c>
      <c r="Z854" s="263" t="s">
        <v>40</v>
      </c>
      <c r="AA854" s="262"/>
      <c r="AB854" s="263" t="s">
        <v>40</v>
      </c>
      <c r="AC854" s="262"/>
      <c r="AD854" s="262"/>
      <c r="AE854" s="262">
        <v>45565</v>
      </c>
      <c r="AF854" s="263" t="s">
        <v>65</v>
      </c>
      <c r="AG854" s="270">
        <v>2026</v>
      </c>
      <c r="AH854" s="261">
        <f t="shared" si="23"/>
        <v>879512.39157500002</v>
      </c>
      <c r="AI854" s="261"/>
      <c r="AJ854" s="261"/>
      <c r="AK854" s="259" t="s">
        <v>43</v>
      </c>
      <c r="AL854" s="259" t="s">
        <v>41</v>
      </c>
      <c r="AM854" s="266">
        <v>0</v>
      </c>
      <c r="AN854" s="67"/>
      <c r="AO854" s="256"/>
      <c r="AP854" s="257"/>
    </row>
    <row r="855" spans="1:45" s="258" customFormat="1" ht="37.950000000000003" customHeight="1" x14ac:dyDescent="0.3">
      <c r="A855" s="259" t="s">
        <v>1641</v>
      </c>
      <c r="B855" s="243" t="s">
        <v>1642</v>
      </c>
      <c r="C855" s="244" t="s">
        <v>1718</v>
      </c>
      <c r="D855" s="243" t="s">
        <v>34</v>
      </c>
      <c r="E855" s="243" t="s">
        <v>1644</v>
      </c>
      <c r="F855" s="259" t="s">
        <v>35</v>
      </c>
      <c r="G855" s="259">
        <v>1</v>
      </c>
      <c r="H855" s="245">
        <v>778720.2</v>
      </c>
      <c r="I855" s="243" t="s">
        <v>36</v>
      </c>
      <c r="J855" s="245">
        <f t="shared" si="22"/>
        <v>778720.2</v>
      </c>
      <c r="K855" s="1695">
        <f>4805.366</f>
        <v>4805.366</v>
      </c>
      <c r="L855" s="1695">
        <f>4805.366</f>
        <v>4805.366</v>
      </c>
      <c r="M855" s="246" t="s">
        <v>183</v>
      </c>
      <c r="N855" s="261" t="s">
        <v>1719</v>
      </c>
      <c r="O855" s="261" t="s">
        <v>1720</v>
      </c>
      <c r="P855" s="263" t="s">
        <v>41</v>
      </c>
      <c r="Q855" s="262">
        <v>45036</v>
      </c>
      <c r="R855" s="263" t="s">
        <v>41</v>
      </c>
      <c r="S855" s="262">
        <v>45036</v>
      </c>
      <c r="T855" s="263"/>
      <c r="U855" s="262"/>
      <c r="V855" s="263" t="s">
        <v>41</v>
      </c>
      <c r="W855" s="262">
        <v>45255</v>
      </c>
      <c r="X855" s="263" t="s">
        <v>41</v>
      </c>
      <c r="Y855" s="262">
        <v>45291</v>
      </c>
      <c r="Z855" s="263" t="s">
        <v>40</v>
      </c>
      <c r="AA855" s="262"/>
      <c r="AB855" s="263" t="s">
        <v>40</v>
      </c>
      <c r="AC855" s="262"/>
      <c r="AD855" s="262"/>
      <c r="AE855" s="262">
        <v>45565</v>
      </c>
      <c r="AF855" s="263" t="s">
        <v>65</v>
      </c>
      <c r="AG855" s="270">
        <v>2026</v>
      </c>
      <c r="AH855" s="261">
        <f t="shared" si="23"/>
        <v>23639.998037000001</v>
      </c>
      <c r="AI855" s="261"/>
      <c r="AJ855" s="261"/>
      <c r="AK855" s="259" t="s">
        <v>43</v>
      </c>
      <c r="AL855" s="259" t="s">
        <v>41</v>
      </c>
      <c r="AM855" s="266">
        <v>0</v>
      </c>
      <c r="AN855" s="67"/>
      <c r="AO855" s="256"/>
      <c r="AP855" s="257"/>
    </row>
    <row r="856" spans="1:45" s="273" customFormat="1" ht="37.950000000000003" customHeight="1" x14ac:dyDescent="0.3">
      <c r="A856" s="259" t="s">
        <v>1641</v>
      </c>
      <c r="B856" s="243" t="s">
        <v>1642</v>
      </c>
      <c r="C856" s="244" t="s">
        <v>1721</v>
      </c>
      <c r="D856" s="243" t="s">
        <v>34</v>
      </c>
      <c r="E856" s="243" t="s">
        <v>1644</v>
      </c>
      <c r="F856" s="259" t="s">
        <v>35</v>
      </c>
      <c r="G856" s="259">
        <v>1</v>
      </c>
      <c r="H856" s="245">
        <v>778720.2</v>
      </c>
      <c r="I856" s="243" t="s">
        <v>36</v>
      </c>
      <c r="J856" s="245">
        <f t="shared" si="22"/>
        <v>778720.2</v>
      </c>
      <c r="K856" s="1435">
        <f>20865.34</f>
        <v>20865.34</v>
      </c>
      <c r="L856" s="1435">
        <f>20865.34</f>
        <v>20865.34</v>
      </c>
      <c r="M856" s="246" t="s">
        <v>82</v>
      </c>
      <c r="N856" s="261" t="s">
        <v>82</v>
      </c>
      <c r="O856" s="261" t="s">
        <v>1722</v>
      </c>
      <c r="P856" s="263" t="s">
        <v>41</v>
      </c>
      <c r="Q856" s="262">
        <v>45066</v>
      </c>
      <c r="R856" s="263" t="s">
        <v>41</v>
      </c>
      <c r="S856" s="262">
        <v>45066</v>
      </c>
      <c r="T856" s="263"/>
      <c r="U856" s="262"/>
      <c r="V856" s="263" t="s">
        <v>41</v>
      </c>
      <c r="W856" s="262">
        <v>45255</v>
      </c>
      <c r="X856" s="263" t="s">
        <v>41</v>
      </c>
      <c r="Y856" s="262">
        <v>45291</v>
      </c>
      <c r="Z856" s="263" t="s">
        <v>40</v>
      </c>
      <c r="AA856" s="262"/>
      <c r="AB856" s="263" t="s">
        <v>40</v>
      </c>
      <c r="AC856" s="262"/>
      <c r="AD856" s="262"/>
      <c r="AE856" s="262">
        <v>45565</v>
      </c>
      <c r="AF856" s="263" t="s">
        <v>65</v>
      </c>
      <c r="AG856" s="270">
        <v>2026</v>
      </c>
      <c r="AH856" s="261">
        <f t="shared" si="23"/>
        <v>102647.04013000001</v>
      </c>
      <c r="AI856" s="261"/>
      <c r="AJ856" s="261"/>
      <c r="AK856" s="259" t="s">
        <v>43</v>
      </c>
      <c r="AL856" s="259" t="s">
        <v>41</v>
      </c>
      <c r="AM856" s="266">
        <v>0</v>
      </c>
      <c r="AN856" s="67"/>
      <c r="AO856" s="271"/>
      <c r="AP856" s="272"/>
    </row>
    <row r="857" spans="1:45" s="258" customFormat="1" ht="37.950000000000003" customHeight="1" x14ac:dyDescent="0.3">
      <c r="A857" s="259" t="s">
        <v>1641</v>
      </c>
      <c r="B857" s="243" t="s">
        <v>1642</v>
      </c>
      <c r="C857" s="244" t="s">
        <v>1723</v>
      </c>
      <c r="D857" s="243" t="s">
        <v>34</v>
      </c>
      <c r="E857" s="243" t="s">
        <v>1644</v>
      </c>
      <c r="F857" s="259" t="s">
        <v>35</v>
      </c>
      <c r="G857" s="259">
        <v>1</v>
      </c>
      <c r="H857" s="245">
        <v>778720</v>
      </c>
      <c r="I857" s="243" t="s">
        <v>36</v>
      </c>
      <c r="J857" s="245">
        <f t="shared" si="22"/>
        <v>778720</v>
      </c>
      <c r="K857" s="1695">
        <f>5265.75+58.08+13212.72+813.09+6301.45</f>
        <v>25651.09</v>
      </c>
      <c r="L857" s="1695">
        <f>5265.75+58.08+13212.72+813.09+6301.45</f>
        <v>25651.09</v>
      </c>
      <c r="M857" s="246" t="s">
        <v>79</v>
      </c>
      <c r="N857" s="261" t="s">
        <v>1724</v>
      </c>
      <c r="O857" s="261" t="s">
        <v>1725</v>
      </c>
      <c r="P857" s="263" t="s">
        <v>64</v>
      </c>
      <c r="Q857" s="262"/>
      <c r="R857" s="263" t="s">
        <v>64</v>
      </c>
      <c r="S857" s="262"/>
      <c r="T857" s="263"/>
      <c r="U857" s="262"/>
      <c r="V857" s="263" t="s">
        <v>41</v>
      </c>
      <c r="W857" s="262">
        <v>45107</v>
      </c>
      <c r="X857" s="263" t="s">
        <v>41</v>
      </c>
      <c r="Y857" s="262">
        <v>45291</v>
      </c>
      <c r="Z857" s="263" t="s">
        <v>40</v>
      </c>
      <c r="AA857" s="262"/>
      <c r="AB857" s="263" t="s">
        <v>40</v>
      </c>
      <c r="AC857" s="262"/>
      <c r="AD857" s="262"/>
      <c r="AE857" s="262">
        <v>45565</v>
      </c>
      <c r="AF857" s="263" t="s">
        <v>65</v>
      </c>
      <c r="AG857" s="270">
        <v>2026</v>
      </c>
      <c r="AH857" s="261">
        <f t="shared" si="23"/>
        <v>126190.537255</v>
      </c>
      <c r="AI857" s="261"/>
      <c r="AJ857" s="261"/>
      <c r="AK857" s="259" t="s">
        <v>43</v>
      </c>
      <c r="AL857" s="259" t="s">
        <v>41</v>
      </c>
      <c r="AM857" s="266">
        <v>0</v>
      </c>
      <c r="AN857" s="67"/>
      <c r="AO857" s="256"/>
      <c r="AP857" s="257"/>
    </row>
    <row r="858" spans="1:45" s="258" customFormat="1" ht="37.950000000000003" customHeight="1" x14ac:dyDescent="0.3">
      <c r="A858" s="259" t="s">
        <v>1641</v>
      </c>
      <c r="B858" s="243" t="s">
        <v>1642</v>
      </c>
      <c r="C858" s="244" t="s">
        <v>1726</v>
      </c>
      <c r="D858" s="243" t="s">
        <v>34</v>
      </c>
      <c r="E858" s="243" t="s">
        <v>1644</v>
      </c>
      <c r="F858" s="259" t="s">
        <v>35</v>
      </c>
      <c r="G858" s="259">
        <v>2</v>
      </c>
      <c r="H858" s="245">
        <v>1557327.5</v>
      </c>
      <c r="I858" s="243" t="s">
        <v>36</v>
      </c>
      <c r="J858" s="245">
        <f t="shared" si="22"/>
        <v>1557327.5</v>
      </c>
      <c r="K858" s="1695">
        <f>27243.62</f>
        <v>27243.62</v>
      </c>
      <c r="L858" s="1695">
        <f>K858</f>
        <v>27243.62</v>
      </c>
      <c r="M858" s="246" t="s">
        <v>290</v>
      </c>
      <c r="N858" s="261" t="s">
        <v>1727</v>
      </c>
      <c r="O858" s="261" t="s">
        <v>1728</v>
      </c>
      <c r="P858" s="263" t="s">
        <v>41</v>
      </c>
      <c r="Q858" s="262">
        <v>45062</v>
      </c>
      <c r="R858" s="263" t="s">
        <v>41</v>
      </c>
      <c r="S858" s="262">
        <v>45062</v>
      </c>
      <c r="T858" s="263"/>
      <c r="U858" s="262"/>
      <c r="V858" s="263" t="s">
        <v>41</v>
      </c>
      <c r="W858" s="262">
        <v>45255</v>
      </c>
      <c r="X858" s="263" t="s">
        <v>41</v>
      </c>
      <c r="Y858" s="262">
        <v>45291</v>
      </c>
      <c r="Z858" s="263" t="s">
        <v>40</v>
      </c>
      <c r="AA858" s="262"/>
      <c r="AB858" s="263" t="s">
        <v>40</v>
      </c>
      <c r="AC858" s="262"/>
      <c r="AD858" s="262"/>
      <c r="AE858" s="262">
        <v>45565</v>
      </c>
      <c r="AF858" s="263" t="s">
        <v>65</v>
      </c>
      <c r="AG858" s="270">
        <v>2026</v>
      </c>
      <c r="AH858" s="261">
        <f t="shared" si="23"/>
        <v>134024.98858999999</v>
      </c>
      <c r="AI858" s="261"/>
      <c r="AJ858" s="261"/>
      <c r="AK858" s="259" t="s">
        <v>43</v>
      </c>
      <c r="AL858" s="259" t="s">
        <v>41</v>
      </c>
      <c r="AM858" s="266">
        <v>0</v>
      </c>
      <c r="AN858" s="67"/>
      <c r="AO858" s="256"/>
      <c r="AP858" s="257"/>
    </row>
    <row r="859" spans="1:45" s="258" customFormat="1" ht="37.950000000000003" customHeight="1" x14ac:dyDescent="0.3">
      <c r="A859" s="259" t="s">
        <v>1641</v>
      </c>
      <c r="B859" s="243" t="s">
        <v>1642</v>
      </c>
      <c r="C859" s="244" t="s">
        <v>1729</v>
      </c>
      <c r="D859" s="243" t="s">
        <v>34</v>
      </c>
      <c r="E859" s="243" t="s">
        <v>1644</v>
      </c>
      <c r="F859" s="259" t="s">
        <v>35</v>
      </c>
      <c r="G859" s="259">
        <v>1</v>
      </c>
      <c r="H859" s="245">
        <v>778720</v>
      </c>
      <c r="I859" s="243" t="s">
        <v>36</v>
      </c>
      <c r="J859" s="245">
        <f t="shared" si="22"/>
        <v>778720</v>
      </c>
      <c r="K859" s="1695">
        <f>22156.72+22665</f>
        <v>44821.72</v>
      </c>
      <c r="L859" s="1695">
        <f>K859</f>
        <v>44821.72</v>
      </c>
      <c r="M859" s="246" t="s">
        <v>868</v>
      </c>
      <c r="N859" s="261" t="s">
        <v>1730</v>
      </c>
      <c r="O859" s="261" t="s">
        <v>1731</v>
      </c>
      <c r="P859" s="263" t="s">
        <v>64</v>
      </c>
      <c r="Q859" s="262"/>
      <c r="R859" s="263" t="s">
        <v>64</v>
      </c>
      <c r="S859" s="262"/>
      <c r="T859" s="263"/>
      <c r="U859" s="262"/>
      <c r="V859" s="263" t="s">
        <v>41</v>
      </c>
      <c r="W859" s="262">
        <v>45107</v>
      </c>
      <c r="X859" s="263" t="s">
        <v>41</v>
      </c>
      <c r="Y859" s="262">
        <v>45291</v>
      </c>
      <c r="Z859" s="263" t="s">
        <v>40</v>
      </c>
      <c r="AA859" s="262"/>
      <c r="AB859" s="263" t="s">
        <v>40</v>
      </c>
      <c r="AC859" s="262"/>
      <c r="AD859" s="262"/>
      <c r="AE859" s="262">
        <v>45565</v>
      </c>
      <c r="AF859" s="263" t="s">
        <v>65</v>
      </c>
      <c r="AG859" s="270">
        <v>2026</v>
      </c>
      <c r="AH859" s="261">
        <f t="shared" si="23"/>
        <v>220500.45154000001</v>
      </c>
      <c r="AI859" s="261"/>
      <c r="AJ859" s="261"/>
      <c r="AK859" s="259" t="s">
        <v>43</v>
      </c>
      <c r="AL859" s="259" t="s">
        <v>41</v>
      </c>
      <c r="AM859" s="266">
        <v>0</v>
      </c>
      <c r="AN859" s="67"/>
      <c r="AO859" s="256"/>
      <c r="AP859" s="257"/>
    </row>
    <row r="860" spans="1:45" s="258" customFormat="1" ht="37.950000000000003" customHeight="1" x14ac:dyDescent="0.3">
      <c r="A860" s="259" t="s">
        <v>1641</v>
      </c>
      <c r="B860" s="243" t="s">
        <v>1642</v>
      </c>
      <c r="C860" s="244" t="s">
        <v>1732</v>
      </c>
      <c r="D860" s="243" t="s">
        <v>34</v>
      </c>
      <c r="E860" s="243" t="s">
        <v>1644</v>
      </c>
      <c r="F860" s="259" t="s">
        <v>35</v>
      </c>
      <c r="G860" s="259">
        <v>1</v>
      </c>
      <c r="H860" s="245">
        <v>778720.2</v>
      </c>
      <c r="I860" s="243" t="s">
        <v>36</v>
      </c>
      <c r="J860" s="245">
        <f t="shared" si="22"/>
        <v>778720.2</v>
      </c>
      <c r="K860" s="1435">
        <f>16959.04+3888.6+17986.07+3888.6+3888.6</f>
        <v>46610.909999999996</v>
      </c>
      <c r="L860" s="1435">
        <f>16959.04+3888.6+17986.07+3888.6+3888.6</f>
        <v>46610.909999999996</v>
      </c>
      <c r="M860" s="246" t="s">
        <v>58</v>
      </c>
      <c r="N860" s="261" t="s">
        <v>1733</v>
      </c>
      <c r="O860" s="261" t="s">
        <v>1734</v>
      </c>
      <c r="P860" s="263" t="s">
        <v>64</v>
      </c>
      <c r="Q860" s="262"/>
      <c r="R860" s="263" t="s">
        <v>64</v>
      </c>
      <c r="S860" s="262"/>
      <c r="T860" s="263"/>
      <c r="U860" s="262"/>
      <c r="V860" s="263" t="s">
        <v>41</v>
      </c>
      <c r="W860" s="262">
        <v>45107</v>
      </c>
      <c r="X860" s="263" t="s">
        <v>41</v>
      </c>
      <c r="Y860" s="262">
        <v>45291</v>
      </c>
      <c r="Z860" s="263" t="s">
        <v>40</v>
      </c>
      <c r="AA860" s="262"/>
      <c r="AB860" s="263" t="s">
        <v>40</v>
      </c>
      <c r="AC860" s="262"/>
      <c r="AD860" s="262"/>
      <c r="AE860" s="262">
        <v>45565</v>
      </c>
      <c r="AF860" s="263" t="s">
        <v>65</v>
      </c>
      <c r="AG860" s="270">
        <v>2026</v>
      </c>
      <c r="AH860" s="261">
        <f t="shared" si="23"/>
        <v>229302.37174499998</v>
      </c>
      <c r="AI860" s="261"/>
      <c r="AJ860" s="261"/>
      <c r="AK860" s="259" t="s">
        <v>43</v>
      </c>
      <c r="AL860" s="259" t="s">
        <v>41</v>
      </c>
      <c r="AM860" s="266">
        <v>0</v>
      </c>
      <c r="AN860" s="67"/>
      <c r="AO860" s="256"/>
      <c r="AP860" s="257"/>
    </row>
    <row r="861" spans="1:45" s="258" customFormat="1" ht="37.950000000000003" customHeight="1" x14ac:dyDescent="0.3">
      <c r="A861" s="259" t="s">
        <v>1641</v>
      </c>
      <c r="B861" s="243" t="s">
        <v>1642</v>
      </c>
      <c r="C861" s="244" t="s">
        <v>1735</v>
      </c>
      <c r="D861" s="243" t="s">
        <v>34</v>
      </c>
      <c r="E861" s="243" t="s">
        <v>1644</v>
      </c>
      <c r="F861" s="259" t="s">
        <v>35</v>
      </c>
      <c r="G861" s="259">
        <v>1</v>
      </c>
      <c r="H861" s="245">
        <v>778720</v>
      </c>
      <c r="I861" s="243" t="s">
        <v>36</v>
      </c>
      <c r="J861" s="245">
        <f t="shared" si="22"/>
        <v>778720</v>
      </c>
      <c r="K861" s="1435">
        <f>10164+14025.81+22359.99+65744.72</f>
        <v>112294.52</v>
      </c>
      <c r="L861" s="1435">
        <f>10164+14025.81+22359.99+65744.72</f>
        <v>112294.52</v>
      </c>
      <c r="M861" s="246" t="s">
        <v>60</v>
      </c>
      <c r="N861" s="261" t="s">
        <v>1352</v>
      </c>
      <c r="O861" s="261" t="s">
        <v>1736</v>
      </c>
      <c r="P861" s="263" t="s">
        <v>64</v>
      </c>
      <c r="Q861" s="262"/>
      <c r="R861" s="263" t="s">
        <v>64</v>
      </c>
      <c r="S861" s="262"/>
      <c r="T861" s="263"/>
      <c r="U861" s="262"/>
      <c r="V861" s="263" t="s">
        <v>41</v>
      </c>
      <c r="W861" s="262">
        <v>45107</v>
      </c>
      <c r="X861" s="263" t="s">
        <v>41</v>
      </c>
      <c r="Y861" s="262">
        <v>45291</v>
      </c>
      <c r="Z861" s="263" t="s">
        <v>40</v>
      </c>
      <c r="AA861" s="262"/>
      <c r="AB861" s="263" t="s">
        <v>40</v>
      </c>
      <c r="AC861" s="262"/>
      <c r="AD861" s="262"/>
      <c r="AE861" s="262">
        <v>45565</v>
      </c>
      <c r="AF861" s="263" t="s">
        <v>65</v>
      </c>
      <c r="AG861" s="270">
        <v>2026</v>
      </c>
      <c r="AH861" s="261">
        <f t="shared" si="23"/>
        <v>552432.89114000008</v>
      </c>
      <c r="AI861" s="261"/>
      <c r="AJ861" s="261"/>
      <c r="AK861" s="259" t="s">
        <v>43</v>
      </c>
      <c r="AL861" s="259" t="s">
        <v>41</v>
      </c>
      <c r="AM861" s="266">
        <v>0</v>
      </c>
      <c r="AN861" s="67"/>
      <c r="AO861" s="256"/>
      <c r="AP861" s="257"/>
    </row>
    <row r="862" spans="1:45" s="258" customFormat="1" ht="37.950000000000003" customHeight="1" x14ac:dyDescent="0.3">
      <c r="A862" s="259" t="s">
        <v>1641</v>
      </c>
      <c r="B862" s="243" t="s">
        <v>1642</v>
      </c>
      <c r="C862" s="244" t="s">
        <v>1737</v>
      </c>
      <c r="D862" s="243" t="s">
        <v>34</v>
      </c>
      <c r="E862" s="243" t="s">
        <v>1644</v>
      </c>
      <c r="F862" s="259" t="s">
        <v>35</v>
      </c>
      <c r="G862" s="259">
        <v>2</v>
      </c>
      <c r="H862" s="245">
        <v>1557440.39</v>
      </c>
      <c r="I862" s="243" t="s">
        <v>36</v>
      </c>
      <c r="J862" s="245">
        <f t="shared" si="22"/>
        <v>1557440.39</v>
      </c>
      <c r="K862" s="1435">
        <f>81.3+1402.99-1178.98+1178.98+16099.19</f>
        <v>17583.48</v>
      </c>
      <c r="L862" s="1435">
        <f>81.3+1402.99-1178.98+1178.98+16099.19</f>
        <v>17583.48</v>
      </c>
      <c r="M862" s="246" t="s">
        <v>322</v>
      </c>
      <c r="N862" s="261" t="s">
        <v>322</v>
      </c>
      <c r="O862" s="261" t="s">
        <v>1738</v>
      </c>
      <c r="P862" s="263" t="s">
        <v>64</v>
      </c>
      <c r="Q862" s="262"/>
      <c r="R862" s="263" t="s">
        <v>64</v>
      </c>
      <c r="S862" s="262"/>
      <c r="T862" s="263"/>
      <c r="U862" s="262"/>
      <c r="V862" s="263" t="s">
        <v>41</v>
      </c>
      <c r="W862" s="262">
        <v>45107</v>
      </c>
      <c r="X862" s="263" t="s">
        <v>41</v>
      </c>
      <c r="Y862" s="262">
        <v>45291</v>
      </c>
      <c r="Z862" s="263" t="s">
        <v>40</v>
      </c>
      <c r="AA862" s="262"/>
      <c r="AB862" s="263" t="s">
        <v>40</v>
      </c>
      <c r="AC862" s="262"/>
      <c r="AD862" s="262"/>
      <c r="AE862" s="262">
        <v>45565</v>
      </c>
      <c r="AF862" s="263" t="s">
        <v>65</v>
      </c>
      <c r="AG862" s="270">
        <v>2026</v>
      </c>
      <c r="AH862" s="261">
        <f t="shared" si="23"/>
        <v>86501.929860000004</v>
      </c>
      <c r="AI862" s="261"/>
      <c r="AJ862" s="261"/>
      <c r="AK862" s="259" t="s">
        <v>43</v>
      </c>
      <c r="AL862" s="259" t="s">
        <v>41</v>
      </c>
      <c r="AM862" s="266">
        <v>0</v>
      </c>
      <c r="AN862" s="67"/>
      <c r="AO862" s="256"/>
      <c r="AP862" s="257"/>
      <c r="AS862" s="274"/>
    </row>
    <row r="863" spans="1:45" s="269" customFormat="1" ht="37.950000000000003" customHeight="1" x14ac:dyDescent="0.3">
      <c r="A863" s="259" t="s">
        <v>1641</v>
      </c>
      <c r="B863" s="243" t="s">
        <v>1642</v>
      </c>
      <c r="C863" s="244" t="s">
        <v>1739</v>
      </c>
      <c r="D863" s="243" t="s">
        <v>34</v>
      </c>
      <c r="E863" s="243" t="s">
        <v>1644</v>
      </c>
      <c r="F863" s="259" t="s">
        <v>35</v>
      </c>
      <c r="G863" s="259">
        <v>1</v>
      </c>
      <c r="H863" s="245">
        <v>778720.2</v>
      </c>
      <c r="I863" s="243" t="s">
        <v>36</v>
      </c>
      <c r="J863" s="245">
        <f t="shared" si="22"/>
        <v>778720.2</v>
      </c>
      <c r="K863" s="1695">
        <v>0</v>
      </c>
      <c r="L863" s="1695">
        <v>0</v>
      </c>
      <c r="M863" s="246" t="s">
        <v>80</v>
      </c>
      <c r="N863" s="261" t="s">
        <v>1740</v>
      </c>
      <c r="O863" s="261" t="s">
        <v>1741</v>
      </c>
      <c r="P863" s="263" t="s">
        <v>41</v>
      </c>
      <c r="Q863" s="262">
        <v>44985</v>
      </c>
      <c r="R863" s="263" t="s">
        <v>41</v>
      </c>
      <c r="S863" s="262">
        <v>44985</v>
      </c>
      <c r="T863" s="263"/>
      <c r="U863" s="262"/>
      <c r="V863" s="263" t="s">
        <v>41</v>
      </c>
      <c r="W863" s="262">
        <v>45255</v>
      </c>
      <c r="X863" s="263" t="s">
        <v>41</v>
      </c>
      <c r="Y863" s="262">
        <v>45291</v>
      </c>
      <c r="Z863" s="263" t="s">
        <v>40</v>
      </c>
      <c r="AA863" s="262"/>
      <c r="AB863" s="263" t="s">
        <v>40</v>
      </c>
      <c r="AC863" s="262"/>
      <c r="AD863" s="262"/>
      <c r="AE863" s="262">
        <v>45565</v>
      </c>
      <c r="AF863" s="263" t="s">
        <v>65</v>
      </c>
      <c r="AG863" s="270">
        <v>2026</v>
      </c>
      <c r="AH863" s="261">
        <f t="shared" si="23"/>
        <v>0</v>
      </c>
      <c r="AI863" s="261"/>
      <c r="AJ863" s="261"/>
      <c r="AK863" s="259" t="s">
        <v>43</v>
      </c>
      <c r="AL863" s="259" t="s">
        <v>41</v>
      </c>
      <c r="AM863" s="266">
        <v>0</v>
      </c>
      <c r="AN863" s="67"/>
      <c r="AO863" s="267"/>
      <c r="AP863" s="268"/>
      <c r="AS863" s="275"/>
    </row>
    <row r="864" spans="1:45" s="258" customFormat="1" ht="37.950000000000003" customHeight="1" x14ac:dyDescent="0.3">
      <c r="A864" s="259" t="s">
        <v>1641</v>
      </c>
      <c r="B864" s="243" t="s">
        <v>1642</v>
      </c>
      <c r="C864" s="244" t="s">
        <v>1742</v>
      </c>
      <c r="D864" s="243" t="s">
        <v>34</v>
      </c>
      <c r="E864" s="243" t="s">
        <v>1644</v>
      </c>
      <c r="F864" s="259" t="s">
        <v>35</v>
      </c>
      <c r="G864" s="259">
        <v>1</v>
      </c>
      <c r="H864" s="245">
        <v>778720.2</v>
      </c>
      <c r="I864" s="243" t="s">
        <v>36</v>
      </c>
      <c r="J864" s="245">
        <f t="shared" si="22"/>
        <v>778720.2</v>
      </c>
      <c r="K864" s="1695">
        <v>0</v>
      </c>
      <c r="L864" s="1695">
        <v>0</v>
      </c>
      <c r="M864" s="246" t="s">
        <v>412</v>
      </c>
      <c r="N864" s="261" t="s">
        <v>1743</v>
      </c>
      <c r="O864" s="261" t="s">
        <v>1744</v>
      </c>
      <c r="P864" s="263" t="s">
        <v>41</v>
      </c>
      <c r="Q864" s="262">
        <v>45074</v>
      </c>
      <c r="R864" s="263" t="s">
        <v>41</v>
      </c>
      <c r="S864" s="262">
        <v>45074</v>
      </c>
      <c r="T864" s="263"/>
      <c r="U864" s="262"/>
      <c r="V864" s="263" t="s">
        <v>41</v>
      </c>
      <c r="W864" s="262">
        <v>45255</v>
      </c>
      <c r="X864" s="263" t="s">
        <v>41</v>
      </c>
      <c r="Y864" s="262">
        <v>45291</v>
      </c>
      <c r="Z864" s="263" t="s">
        <v>40</v>
      </c>
      <c r="AA864" s="262"/>
      <c r="AB864" s="263" t="s">
        <v>40</v>
      </c>
      <c r="AC864" s="262"/>
      <c r="AD864" s="262"/>
      <c r="AE864" s="262">
        <v>45565</v>
      </c>
      <c r="AF864" s="263" t="s">
        <v>65</v>
      </c>
      <c r="AG864" s="270">
        <v>2026</v>
      </c>
      <c r="AH864" s="261">
        <f t="shared" si="23"/>
        <v>0</v>
      </c>
      <c r="AI864" s="261"/>
      <c r="AJ864" s="261"/>
      <c r="AK864" s="259" t="s">
        <v>43</v>
      </c>
      <c r="AL864" s="259" t="s">
        <v>41</v>
      </c>
      <c r="AM864" s="266">
        <v>0</v>
      </c>
      <c r="AN864" s="67"/>
      <c r="AO864" s="256"/>
      <c r="AP864" s="257"/>
    </row>
    <row r="865" spans="1:47" s="258" customFormat="1" ht="37.950000000000003" customHeight="1" x14ac:dyDescent="0.3">
      <c r="A865" s="259" t="s">
        <v>1641</v>
      </c>
      <c r="B865" s="243" t="s">
        <v>1642</v>
      </c>
      <c r="C865" s="244" t="s">
        <v>1745</v>
      </c>
      <c r="D865" s="243" t="s">
        <v>34</v>
      </c>
      <c r="E865" s="243" t="s">
        <v>1644</v>
      </c>
      <c r="F865" s="259" t="s">
        <v>35</v>
      </c>
      <c r="G865" s="259">
        <v>1</v>
      </c>
      <c r="H865" s="245">
        <v>778720</v>
      </c>
      <c r="I865" s="243" t="s">
        <v>36</v>
      </c>
      <c r="J865" s="245">
        <f t="shared" si="22"/>
        <v>778720</v>
      </c>
      <c r="K865" s="1695">
        <f>20530.54+24087.81</f>
        <v>44618.350000000006</v>
      </c>
      <c r="L865" s="1695">
        <f>K865</f>
        <v>44618.350000000006</v>
      </c>
      <c r="M865" s="246" t="s">
        <v>60</v>
      </c>
      <c r="N865" s="261" t="s">
        <v>1746</v>
      </c>
      <c r="O865" s="261" t="s">
        <v>1747</v>
      </c>
      <c r="P865" s="263" t="s">
        <v>64</v>
      </c>
      <c r="Q865" s="262"/>
      <c r="R865" s="263" t="s">
        <v>64</v>
      </c>
      <c r="S865" s="262"/>
      <c r="T865" s="263"/>
      <c r="U865" s="262"/>
      <c r="V865" s="263" t="s">
        <v>41</v>
      </c>
      <c r="W865" s="262">
        <v>45107</v>
      </c>
      <c r="X865" s="263" t="s">
        <v>41</v>
      </c>
      <c r="Y865" s="262">
        <v>45291</v>
      </c>
      <c r="Z865" s="263" t="s">
        <v>40</v>
      </c>
      <c r="AA865" s="262"/>
      <c r="AB865" s="263" t="s">
        <v>40</v>
      </c>
      <c r="AC865" s="262"/>
      <c r="AD865" s="262"/>
      <c r="AE865" s="262">
        <v>45565</v>
      </c>
      <c r="AF865" s="263" t="s">
        <v>65</v>
      </c>
      <c r="AG865" s="270">
        <v>2026</v>
      </c>
      <c r="AH865" s="261">
        <f t="shared" si="23"/>
        <v>219499.97282500003</v>
      </c>
      <c r="AI865" s="261"/>
      <c r="AJ865" s="261"/>
      <c r="AK865" s="259" t="s">
        <v>43</v>
      </c>
      <c r="AL865" s="259" t="s">
        <v>41</v>
      </c>
      <c r="AM865" s="266">
        <v>0</v>
      </c>
      <c r="AN865" s="67"/>
      <c r="AO865" s="256"/>
      <c r="AP865" s="257"/>
      <c r="AU865" s="276"/>
    </row>
    <row r="866" spans="1:47" s="273" customFormat="1" ht="37.950000000000003" customHeight="1" x14ac:dyDescent="0.3">
      <c r="A866" s="259" t="s">
        <v>1641</v>
      </c>
      <c r="B866" s="243" t="s">
        <v>1642</v>
      </c>
      <c r="C866" s="244" t="s">
        <v>1748</v>
      </c>
      <c r="D866" s="243" t="s">
        <v>34</v>
      </c>
      <c r="E866" s="243" t="s">
        <v>1644</v>
      </c>
      <c r="F866" s="259" t="s">
        <v>35</v>
      </c>
      <c r="G866" s="259">
        <v>1</v>
      </c>
      <c r="H866" s="245">
        <v>778720.2</v>
      </c>
      <c r="I866" s="243" t="s">
        <v>36</v>
      </c>
      <c r="J866" s="245">
        <f t="shared" si="22"/>
        <v>778720.2</v>
      </c>
      <c r="K866" s="1435">
        <f>7811.76+15318.62+3888.61+4627.44+15535.11</f>
        <v>47181.54</v>
      </c>
      <c r="L866" s="1435">
        <f>K866</f>
        <v>47181.54</v>
      </c>
      <c r="M866" s="246" t="s">
        <v>50</v>
      </c>
      <c r="N866" s="261" t="s">
        <v>1749</v>
      </c>
      <c r="O866" s="261" t="s">
        <v>1750</v>
      </c>
      <c r="P866" s="263" t="s">
        <v>41</v>
      </c>
      <c r="Q866" s="262">
        <v>45074</v>
      </c>
      <c r="R866" s="263" t="s">
        <v>41</v>
      </c>
      <c r="S866" s="262">
        <v>45074</v>
      </c>
      <c r="T866" s="263"/>
      <c r="U866" s="262"/>
      <c r="V866" s="263" t="s">
        <v>41</v>
      </c>
      <c r="W866" s="262">
        <v>45255</v>
      </c>
      <c r="X866" s="263" t="s">
        <v>41</v>
      </c>
      <c r="Y866" s="262">
        <v>45291</v>
      </c>
      <c r="Z866" s="263" t="s">
        <v>40</v>
      </c>
      <c r="AA866" s="262"/>
      <c r="AB866" s="263" t="s">
        <v>40</v>
      </c>
      <c r="AC866" s="262"/>
      <c r="AD866" s="262"/>
      <c r="AE866" s="262">
        <v>45565</v>
      </c>
      <c r="AF866" s="263" t="s">
        <v>65</v>
      </c>
      <c r="AG866" s="270">
        <v>2026</v>
      </c>
      <c r="AH866" s="261">
        <f t="shared" si="23"/>
        <v>232109.58603000001</v>
      </c>
      <c r="AI866" s="261"/>
      <c r="AJ866" s="261"/>
      <c r="AK866" s="259" t="s">
        <v>43</v>
      </c>
      <c r="AL866" s="259" t="s">
        <v>41</v>
      </c>
      <c r="AM866" s="266">
        <v>0</v>
      </c>
      <c r="AN866" s="67"/>
      <c r="AO866" s="271"/>
      <c r="AP866" s="272"/>
    </row>
    <row r="867" spans="1:47" s="258" customFormat="1" ht="37.950000000000003" customHeight="1" x14ac:dyDescent="0.3">
      <c r="A867" s="259" t="s">
        <v>1641</v>
      </c>
      <c r="B867" s="243" t="s">
        <v>1642</v>
      </c>
      <c r="C867" s="244" t="s">
        <v>1751</v>
      </c>
      <c r="D867" s="243" t="s">
        <v>34</v>
      </c>
      <c r="E867" s="243" t="s">
        <v>1644</v>
      </c>
      <c r="F867" s="259" t="s">
        <v>35</v>
      </c>
      <c r="G867" s="259">
        <v>1</v>
      </c>
      <c r="H867" s="245">
        <v>778720.2</v>
      </c>
      <c r="I867" s="243" t="s">
        <v>36</v>
      </c>
      <c r="J867" s="245">
        <f t="shared" si="22"/>
        <v>778720.2</v>
      </c>
      <c r="K867" s="1435">
        <f>24149.03</f>
        <v>24149.03</v>
      </c>
      <c r="L867" s="1435">
        <f>24149.03</f>
        <v>24149.03</v>
      </c>
      <c r="M867" s="246" t="s">
        <v>71</v>
      </c>
      <c r="N867" s="261" t="s">
        <v>1752</v>
      </c>
      <c r="O867" s="261" t="s">
        <v>1753</v>
      </c>
      <c r="P867" s="263" t="s">
        <v>41</v>
      </c>
      <c r="Q867" s="262">
        <v>44985</v>
      </c>
      <c r="R867" s="263" t="s">
        <v>41</v>
      </c>
      <c r="S867" s="262">
        <v>44985</v>
      </c>
      <c r="T867" s="263"/>
      <c r="U867" s="262"/>
      <c r="V867" s="263" t="s">
        <v>41</v>
      </c>
      <c r="W867" s="262">
        <v>45255</v>
      </c>
      <c r="X867" s="263" t="s">
        <v>41</v>
      </c>
      <c r="Y867" s="262">
        <v>45291</v>
      </c>
      <c r="Z867" s="263" t="s">
        <v>40</v>
      </c>
      <c r="AA867" s="262"/>
      <c r="AB867" s="263" t="s">
        <v>40</v>
      </c>
      <c r="AC867" s="262"/>
      <c r="AD867" s="262"/>
      <c r="AE867" s="262">
        <v>45565</v>
      </c>
      <c r="AF867" s="263" t="s">
        <v>65</v>
      </c>
      <c r="AG867" s="270">
        <v>2026</v>
      </c>
      <c r="AH867" s="261">
        <f t="shared" si="23"/>
        <v>118801.153085</v>
      </c>
      <c r="AI867" s="261"/>
      <c r="AJ867" s="261"/>
      <c r="AK867" s="259" t="s">
        <v>43</v>
      </c>
      <c r="AL867" s="259" t="s">
        <v>41</v>
      </c>
      <c r="AM867" s="266">
        <v>0</v>
      </c>
      <c r="AN867" s="67"/>
      <c r="AO867" s="256"/>
      <c r="AP867" s="257"/>
    </row>
    <row r="868" spans="1:47" s="258" customFormat="1" ht="37.950000000000003" customHeight="1" x14ac:dyDescent="0.3">
      <c r="A868" s="259" t="s">
        <v>1641</v>
      </c>
      <c r="B868" s="243" t="s">
        <v>1642</v>
      </c>
      <c r="C868" s="244" t="s">
        <v>1754</v>
      </c>
      <c r="D868" s="243" t="s">
        <v>34</v>
      </c>
      <c r="E868" s="243" t="s">
        <v>1644</v>
      </c>
      <c r="F868" s="259" t="s">
        <v>35</v>
      </c>
      <c r="G868" s="259">
        <v>1</v>
      </c>
      <c r="H868" s="245">
        <v>778720.2</v>
      </c>
      <c r="I868" s="243" t="s">
        <v>36</v>
      </c>
      <c r="J868" s="245">
        <f t="shared" si="22"/>
        <v>778720.2</v>
      </c>
      <c r="K868" s="1695">
        <f>19258.46+20073.18</f>
        <v>39331.64</v>
      </c>
      <c r="L868" s="1695">
        <f>K868</f>
        <v>39331.64</v>
      </c>
      <c r="M868" s="246" t="s">
        <v>636</v>
      </c>
      <c r="N868" s="261" t="s">
        <v>1755</v>
      </c>
      <c r="O868" s="261" t="s">
        <v>1756</v>
      </c>
      <c r="P868" s="263" t="s">
        <v>41</v>
      </c>
      <c r="Q868" s="262">
        <v>45074</v>
      </c>
      <c r="R868" s="263" t="s">
        <v>41</v>
      </c>
      <c r="S868" s="262">
        <v>45074</v>
      </c>
      <c r="T868" s="263"/>
      <c r="U868" s="262"/>
      <c r="V868" s="263" t="s">
        <v>41</v>
      </c>
      <c r="W868" s="262">
        <v>45255</v>
      </c>
      <c r="X868" s="263" t="s">
        <v>41</v>
      </c>
      <c r="Y868" s="262">
        <v>45291</v>
      </c>
      <c r="Z868" s="263" t="s">
        <v>40</v>
      </c>
      <c r="AA868" s="262"/>
      <c r="AB868" s="263" t="s">
        <v>40</v>
      </c>
      <c r="AC868" s="262"/>
      <c r="AD868" s="262"/>
      <c r="AE868" s="262">
        <v>45565</v>
      </c>
      <c r="AF868" s="263" t="s">
        <v>65</v>
      </c>
      <c r="AG868" s="270">
        <v>2026</v>
      </c>
      <c r="AH868" s="261">
        <f t="shared" si="23"/>
        <v>193492.00298000002</v>
      </c>
      <c r="AI868" s="261"/>
      <c r="AJ868" s="261"/>
      <c r="AK868" s="259" t="s">
        <v>43</v>
      </c>
      <c r="AL868" s="259" t="s">
        <v>41</v>
      </c>
      <c r="AM868" s="266">
        <v>0</v>
      </c>
      <c r="AN868" s="67"/>
      <c r="AO868" s="256"/>
      <c r="AP868" s="257"/>
    </row>
    <row r="869" spans="1:47" s="258" customFormat="1" ht="37.950000000000003" customHeight="1" x14ac:dyDescent="0.3">
      <c r="A869" s="259" t="s">
        <v>1641</v>
      </c>
      <c r="B869" s="243" t="s">
        <v>1642</v>
      </c>
      <c r="C869" s="244" t="s">
        <v>1757</v>
      </c>
      <c r="D869" s="243" t="s">
        <v>34</v>
      </c>
      <c r="E869" s="243" t="s">
        <v>1644</v>
      </c>
      <c r="F869" s="259" t="s">
        <v>35</v>
      </c>
      <c r="G869" s="259">
        <v>1</v>
      </c>
      <c r="H869" s="245">
        <v>778720</v>
      </c>
      <c r="I869" s="243" t="s">
        <v>36</v>
      </c>
      <c r="J869" s="245">
        <f t="shared" si="22"/>
        <v>778720</v>
      </c>
      <c r="K869" s="1695">
        <v>0</v>
      </c>
      <c r="L869" s="1695">
        <v>0</v>
      </c>
      <c r="M869" s="246" t="s">
        <v>133</v>
      </c>
      <c r="N869" s="261" t="s">
        <v>1758</v>
      </c>
      <c r="O869" s="261" t="s">
        <v>1759</v>
      </c>
      <c r="P869" s="263" t="s">
        <v>41</v>
      </c>
      <c r="Q869" s="262">
        <v>44985</v>
      </c>
      <c r="R869" s="263" t="s">
        <v>41</v>
      </c>
      <c r="S869" s="262">
        <v>44985</v>
      </c>
      <c r="T869" s="263"/>
      <c r="U869" s="262"/>
      <c r="V869" s="263" t="s">
        <v>41</v>
      </c>
      <c r="W869" s="262">
        <v>45255</v>
      </c>
      <c r="X869" s="263" t="s">
        <v>41</v>
      </c>
      <c r="Y869" s="262">
        <v>45291</v>
      </c>
      <c r="Z869" s="263" t="s">
        <v>40</v>
      </c>
      <c r="AA869" s="262"/>
      <c r="AB869" s="263" t="s">
        <v>40</v>
      </c>
      <c r="AC869" s="262"/>
      <c r="AD869" s="262"/>
      <c r="AE869" s="262">
        <v>45565</v>
      </c>
      <c r="AF869" s="263" t="s">
        <v>65</v>
      </c>
      <c r="AG869" s="270">
        <v>2026</v>
      </c>
      <c r="AH869" s="261">
        <f t="shared" si="23"/>
        <v>0</v>
      </c>
      <c r="AI869" s="261"/>
      <c r="AJ869" s="261"/>
      <c r="AK869" s="259" t="s">
        <v>43</v>
      </c>
      <c r="AL869" s="259" t="s">
        <v>41</v>
      </c>
      <c r="AM869" s="266">
        <v>0</v>
      </c>
      <c r="AN869" s="67"/>
      <c r="AO869" s="256"/>
      <c r="AP869" s="257"/>
    </row>
    <row r="870" spans="1:47" s="258" customFormat="1" ht="37.950000000000003" customHeight="1" x14ac:dyDescent="0.3">
      <c r="A870" s="259" t="s">
        <v>1641</v>
      </c>
      <c r="B870" s="243" t="s">
        <v>1642</v>
      </c>
      <c r="C870" s="244" t="s">
        <v>1760</v>
      </c>
      <c r="D870" s="243" t="s">
        <v>34</v>
      </c>
      <c r="E870" s="243" t="s">
        <v>1644</v>
      </c>
      <c r="F870" s="259" t="s">
        <v>35</v>
      </c>
      <c r="G870" s="259">
        <v>1</v>
      </c>
      <c r="H870" s="245">
        <v>778700.07</v>
      </c>
      <c r="I870" s="243" t="s">
        <v>36</v>
      </c>
      <c r="J870" s="245">
        <f t="shared" si="22"/>
        <v>778700.07</v>
      </c>
      <c r="K870" s="1695">
        <f>19310.9+18060.78</f>
        <v>37371.68</v>
      </c>
      <c r="L870" s="1695">
        <f>K870</f>
        <v>37371.68</v>
      </c>
      <c r="M870" s="246" t="s">
        <v>63</v>
      </c>
      <c r="N870" s="261" t="s">
        <v>1761</v>
      </c>
      <c r="O870" s="261" t="s">
        <v>1762</v>
      </c>
      <c r="P870" s="263" t="s">
        <v>64</v>
      </c>
      <c r="Q870" s="262"/>
      <c r="R870" s="263" t="s">
        <v>64</v>
      </c>
      <c r="S870" s="262"/>
      <c r="T870" s="263"/>
      <c r="U870" s="262"/>
      <c r="V870" s="263" t="s">
        <v>41</v>
      </c>
      <c r="W870" s="262">
        <v>45107</v>
      </c>
      <c r="X870" s="263" t="s">
        <v>41</v>
      </c>
      <c r="Y870" s="262">
        <v>45291</v>
      </c>
      <c r="Z870" s="263" t="s">
        <v>40</v>
      </c>
      <c r="AA870" s="262"/>
      <c r="AB870" s="263" t="s">
        <v>40</v>
      </c>
      <c r="AC870" s="262"/>
      <c r="AD870" s="262"/>
      <c r="AE870" s="262">
        <v>45565</v>
      </c>
      <c r="AF870" s="263" t="s">
        <v>65</v>
      </c>
      <c r="AG870" s="270">
        <v>2026</v>
      </c>
      <c r="AH870" s="261">
        <f t="shared" si="23"/>
        <v>183849.97976000002</v>
      </c>
      <c r="AI870" s="261"/>
      <c r="AJ870" s="261"/>
      <c r="AK870" s="259" t="s">
        <v>43</v>
      </c>
      <c r="AL870" s="259" t="s">
        <v>41</v>
      </c>
      <c r="AM870" s="266">
        <v>0</v>
      </c>
      <c r="AN870" s="67"/>
      <c r="AO870" s="256"/>
      <c r="AP870" s="257"/>
    </row>
    <row r="871" spans="1:47" s="258" customFormat="1" ht="37.950000000000003" customHeight="1" x14ac:dyDescent="0.3">
      <c r="A871" s="259" t="s">
        <v>1641</v>
      </c>
      <c r="B871" s="243" t="s">
        <v>1642</v>
      </c>
      <c r="C871" s="244" t="s">
        <v>1763</v>
      </c>
      <c r="D871" s="243" t="s">
        <v>34</v>
      </c>
      <c r="E871" s="243" t="s">
        <v>1644</v>
      </c>
      <c r="F871" s="259" t="s">
        <v>35</v>
      </c>
      <c r="G871" s="259">
        <v>1</v>
      </c>
      <c r="H871" s="245">
        <v>778700.07</v>
      </c>
      <c r="I871" s="243" t="s">
        <v>36</v>
      </c>
      <c r="J871" s="245">
        <f t="shared" si="22"/>
        <v>778700.07</v>
      </c>
      <c r="K871" s="1695">
        <f>19310.9+20327.269</f>
        <v>39638.169000000002</v>
      </c>
      <c r="L871" s="1695">
        <f>19310.9+20327.269</f>
        <v>39638.169000000002</v>
      </c>
      <c r="M871" s="246" t="s">
        <v>63</v>
      </c>
      <c r="N871" s="261" t="s">
        <v>1764</v>
      </c>
      <c r="O871" s="261" t="s">
        <v>1765</v>
      </c>
      <c r="P871" s="263" t="s">
        <v>41</v>
      </c>
      <c r="Q871" s="262">
        <v>44985</v>
      </c>
      <c r="R871" s="263" t="s">
        <v>41</v>
      </c>
      <c r="S871" s="262">
        <v>44985</v>
      </c>
      <c r="T871" s="263"/>
      <c r="U871" s="262"/>
      <c r="V871" s="263" t="s">
        <v>41</v>
      </c>
      <c r="W871" s="262">
        <v>45255</v>
      </c>
      <c r="X871" s="263" t="s">
        <v>41</v>
      </c>
      <c r="Y871" s="262">
        <v>45291</v>
      </c>
      <c r="Z871" s="263" t="s">
        <v>40</v>
      </c>
      <c r="AA871" s="262"/>
      <c r="AB871" s="263" t="s">
        <v>40</v>
      </c>
      <c r="AC871" s="262"/>
      <c r="AD871" s="262"/>
      <c r="AE871" s="262">
        <v>45565</v>
      </c>
      <c r="AF871" s="263" t="s">
        <v>65</v>
      </c>
      <c r="AG871" s="270">
        <v>2026</v>
      </c>
      <c r="AH871" s="261">
        <f t="shared" si="23"/>
        <v>194999.97239550002</v>
      </c>
      <c r="AI871" s="261"/>
      <c r="AJ871" s="261"/>
      <c r="AK871" s="259" t="s">
        <v>43</v>
      </c>
      <c r="AL871" s="259" t="s">
        <v>41</v>
      </c>
      <c r="AM871" s="266">
        <v>0</v>
      </c>
      <c r="AN871" s="67"/>
      <c r="AO871" s="256"/>
      <c r="AP871" s="257"/>
    </row>
    <row r="872" spans="1:47" s="258" customFormat="1" ht="37.950000000000003" customHeight="1" x14ac:dyDescent="0.3">
      <c r="A872" s="259" t="s">
        <v>1641</v>
      </c>
      <c r="B872" s="243" t="s">
        <v>1642</v>
      </c>
      <c r="C872" s="244" t="s">
        <v>1766</v>
      </c>
      <c r="D872" s="243" t="s">
        <v>34</v>
      </c>
      <c r="E872" s="243" t="s">
        <v>1644</v>
      </c>
      <c r="F872" s="259" t="s">
        <v>35</v>
      </c>
      <c r="G872" s="259">
        <v>2</v>
      </c>
      <c r="H872" s="245">
        <v>1557440</v>
      </c>
      <c r="I872" s="243" t="s">
        <v>36</v>
      </c>
      <c r="J872" s="245">
        <f t="shared" si="22"/>
        <v>1557440</v>
      </c>
      <c r="K872" s="1695">
        <f>1626.18+50309.99</f>
        <v>51936.17</v>
      </c>
      <c r="L872" s="1695">
        <f>1626.18+50309.99</f>
        <v>51936.17</v>
      </c>
      <c r="M872" s="246" t="s">
        <v>71</v>
      </c>
      <c r="N872" s="261" t="s">
        <v>1767</v>
      </c>
      <c r="O872" s="261" t="s">
        <v>1768</v>
      </c>
      <c r="P872" s="263" t="s">
        <v>64</v>
      </c>
      <c r="Q872" s="262"/>
      <c r="R872" s="263" t="s">
        <v>64</v>
      </c>
      <c r="S872" s="262"/>
      <c r="T872" s="263"/>
      <c r="U872" s="262"/>
      <c r="V872" s="263" t="s">
        <v>41</v>
      </c>
      <c r="W872" s="262">
        <v>45107</v>
      </c>
      <c r="X872" s="263" t="s">
        <v>41</v>
      </c>
      <c r="Y872" s="262">
        <v>45291</v>
      </c>
      <c r="Z872" s="263" t="s">
        <v>40</v>
      </c>
      <c r="AA872" s="262"/>
      <c r="AB872" s="263" t="s">
        <v>40</v>
      </c>
      <c r="AC872" s="262"/>
      <c r="AD872" s="262"/>
      <c r="AE872" s="262">
        <v>45565</v>
      </c>
      <c r="AF872" s="263" t="s">
        <v>65</v>
      </c>
      <c r="AG872" s="270">
        <v>2026</v>
      </c>
      <c r="AH872" s="261">
        <f t="shared" si="23"/>
        <v>255499.988315</v>
      </c>
      <c r="AI872" s="261"/>
      <c r="AJ872" s="261"/>
      <c r="AK872" s="259" t="s">
        <v>43</v>
      </c>
      <c r="AL872" s="259" t="s">
        <v>41</v>
      </c>
      <c r="AM872" s="266">
        <v>0</v>
      </c>
      <c r="AN872" s="67"/>
      <c r="AO872" s="256"/>
      <c r="AP872" s="257"/>
    </row>
    <row r="873" spans="1:47" s="273" customFormat="1" ht="37.950000000000003" customHeight="1" x14ac:dyDescent="0.3">
      <c r="A873" s="259" t="s">
        <v>1641</v>
      </c>
      <c r="B873" s="243" t="s">
        <v>1642</v>
      </c>
      <c r="C873" s="244" t="s">
        <v>1769</v>
      </c>
      <c r="D873" s="243" t="s">
        <v>34</v>
      </c>
      <c r="E873" s="243" t="s">
        <v>1644</v>
      </c>
      <c r="F873" s="259" t="s">
        <v>35</v>
      </c>
      <c r="G873" s="259">
        <v>1</v>
      </c>
      <c r="H873" s="245">
        <v>778700</v>
      </c>
      <c r="I873" s="243" t="s">
        <v>36</v>
      </c>
      <c r="J873" s="245">
        <f t="shared" si="22"/>
        <v>778700</v>
      </c>
      <c r="K873" s="1435">
        <f>8466.31+13212.72</f>
        <v>21679.03</v>
      </c>
      <c r="L873" s="1435">
        <f>8466.31+13212.72</f>
        <v>21679.03</v>
      </c>
      <c r="M873" s="246" t="s">
        <v>63</v>
      </c>
      <c r="N873" s="261" t="s">
        <v>1770</v>
      </c>
      <c r="O873" s="261" t="s">
        <v>1771</v>
      </c>
      <c r="P873" s="263" t="s">
        <v>41</v>
      </c>
      <c r="Q873" s="262">
        <v>44985</v>
      </c>
      <c r="R873" s="263" t="s">
        <v>41</v>
      </c>
      <c r="S873" s="262">
        <v>44985</v>
      </c>
      <c r="T873" s="263"/>
      <c r="U873" s="262"/>
      <c r="V873" s="263" t="s">
        <v>41</v>
      </c>
      <c r="W873" s="262">
        <v>45255</v>
      </c>
      <c r="X873" s="263" t="s">
        <v>41</v>
      </c>
      <c r="Y873" s="262">
        <v>45291</v>
      </c>
      <c r="Z873" s="263" t="s">
        <v>40</v>
      </c>
      <c r="AA873" s="262"/>
      <c r="AB873" s="263" t="s">
        <v>40</v>
      </c>
      <c r="AC873" s="262"/>
      <c r="AD873" s="262"/>
      <c r="AE873" s="262">
        <v>45565</v>
      </c>
      <c r="AF873" s="263" t="s">
        <v>65</v>
      </c>
      <c r="AG873" s="270">
        <v>2026</v>
      </c>
      <c r="AH873" s="261">
        <f t="shared" si="23"/>
        <v>106649.988085</v>
      </c>
      <c r="AI873" s="261"/>
      <c r="AJ873" s="261"/>
      <c r="AK873" s="259" t="s">
        <v>43</v>
      </c>
      <c r="AL873" s="259" t="s">
        <v>41</v>
      </c>
      <c r="AM873" s="266">
        <v>0</v>
      </c>
      <c r="AN873" s="67"/>
      <c r="AO873" s="271"/>
      <c r="AP873" s="272"/>
    </row>
    <row r="874" spans="1:47" s="269" customFormat="1" ht="37.950000000000003" customHeight="1" x14ac:dyDescent="0.3">
      <c r="A874" s="259" t="s">
        <v>1641</v>
      </c>
      <c r="B874" s="243" t="s">
        <v>1642</v>
      </c>
      <c r="C874" s="244" t="s">
        <v>1772</v>
      </c>
      <c r="D874" s="243" t="s">
        <v>34</v>
      </c>
      <c r="E874" s="243" t="s">
        <v>1644</v>
      </c>
      <c r="F874" s="259" t="s">
        <v>35</v>
      </c>
      <c r="G874" s="259">
        <v>1</v>
      </c>
      <c r="H874" s="245">
        <v>778700.07</v>
      </c>
      <c r="I874" s="243" t="s">
        <v>36</v>
      </c>
      <c r="J874" s="245">
        <f t="shared" si="22"/>
        <v>778700.07</v>
      </c>
      <c r="K874" s="1695">
        <f>19310.9+20974.67</f>
        <v>40285.57</v>
      </c>
      <c r="L874" s="1695">
        <f>19310.9+20974.67</f>
        <v>40285.57</v>
      </c>
      <c r="M874" s="246" t="s">
        <v>63</v>
      </c>
      <c r="N874" s="261" t="s">
        <v>1773</v>
      </c>
      <c r="O874" s="261" t="s">
        <v>1774</v>
      </c>
      <c r="P874" s="263" t="s">
        <v>41</v>
      </c>
      <c r="Q874" s="262">
        <v>44985</v>
      </c>
      <c r="R874" s="263" t="s">
        <v>41</v>
      </c>
      <c r="S874" s="262">
        <v>44985</v>
      </c>
      <c r="T874" s="263"/>
      <c r="U874" s="262"/>
      <c r="V874" s="263" t="s">
        <v>41</v>
      </c>
      <c r="W874" s="262">
        <v>45255</v>
      </c>
      <c r="X874" s="263" t="s">
        <v>41</v>
      </c>
      <c r="Y874" s="262">
        <v>45291</v>
      </c>
      <c r="Z874" s="263" t="s">
        <v>40</v>
      </c>
      <c r="AA874" s="262"/>
      <c r="AB874" s="263" t="s">
        <v>40</v>
      </c>
      <c r="AC874" s="262"/>
      <c r="AD874" s="262"/>
      <c r="AE874" s="262">
        <v>45565</v>
      </c>
      <c r="AF874" s="263" t="s">
        <v>65</v>
      </c>
      <c r="AG874" s="270">
        <v>2026</v>
      </c>
      <c r="AH874" s="261">
        <f t="shared" si="23"/>
        <v>198184.861615</v>
      </c>
      <c r="AI874" s="261"/>
      <c r="AJ874" s="261"/>
      <c r="AK874" s="259" t="s">
        <v>43</v>
      </c>
      <c r="AL874" s="259" t="s">
        <v>41</v>
      </c>
      <c r="AM874" s="266">
        <v>0</v>
      </c>
      <c r="AN874" s="67"/>
      <c r="AO874" s="267"/>
      <c r="AP874" s="268"/>
    </row>
    <row r="875" spans="1:47" s="258" customFormat="1" ht="37.950000000000003" customHeight="1" x14ac:dyDescent="0.3">
      <c r="A875" s="259" t="s">
        <v>1641</v>
      </c>
      <c r="B875" s="243" t="s">
        <v>1642</v>
      </c>
      <c r="C875" s="244" t="s">
        <v>1775</v>
      </c>
      <c r="D875" s="243" t="s">
        <v>34</v>
      </c>
      <c r="E875" s="243" t="s">
        <v>1644</v>
      </c>
      <c r="F875" s="259" t="s">
        <v>35</v>
      </c>
      <c r="G875" s="259">
        <v>1</v>
      </c>
      <c r="H875" s="245">
        <v>778720</v>
      </c>
      <c r="I875" s="243" t="s">
        <v>36</v>
      </c>
      <c r="J875" s="245">
        <f t="shared" si="22"/>
        <v>778720</v>
      </c>
      <c r="K875" s="1695">
        <f>15550.36+11484.91+7114.54</f>
        <v>34149.81</v>
      </c>
      <c r="L875" s="1695">
        <f>K875</f>
        <v>34149.81</v>
      </c>
      <c r="M875" s="246" t="s">
        <v>84</v>
      </c>
      <c r="N875" s="261" t="s">
        <v>1776</v>
      </c>
      <c r="O875" s="261" t="s">
        <v>1777</v>
      </c>
      <c r="P875" s="263" t="s">
        <v>64</v>
      </c>
      <c r="Q875" s="262"/>
      <c r="R875" s="263" t="s">
        <v>64</v>
      </c>
      <c r="S875" s="262"/>
      <c r="T875" s="263"/>
      <c r="U875" s="262"/>
      <c r="V875" s="263" t="s">
        <v>41</v>
      </c>
      <c r="W875" s="262">
        <v>45107</v>
      </c>
      <c r="X875" s="263" t="s">
        <v>41</v>
      </c>
      <c r="Y875" s="262">
        <v>45291</v>
      </c>
      <c r="Z875" s="263" t="s">
        <v>40</v>
      </c>
      <c r="AA875" s="262"/>
      <c r="AB875" s="263" t="s">
        <v>40</v>
      </c>
      <c r="AC875" s="262"/>
      <c r="AD875" s="262"/>
      <c r="AE875" s="262">
        <v>45565</v>
      </c>
      <c r="AF875" s="263" t="s">
        <v>65</v>
      </c>
      <c r="AG875" s="270">
        <v>2026</v>
      </c>
      <c r="AH875" s="261">
        <f t="shared" si="23"/>
        <v>167999.990295</v>
      </c>
      <c r="AI875" s="261"/>
      <c r="AJ875" s="261"/>
      <c r="AK875" s="259" t="s">
        <v>43</v>
      </c>
      <c r="AL875" s="259" t="s">
        <v>41</v>
      </c>
      <c r="AM875" s="266">
        <v>0</v>
      </c>
      <c r="AN875" s="67"/>
      <c r="AO875" s="256"/>
      <c r="AP875" s="257"/>
    </row>
    <row r="876" spans="1:47" s="258" customFormat="1" ht="37.950000000000003" customHeight="1" x14ac:dyDescent="0.3">
      <c r="A876" s="259" t="s">
        <v>1641</v>
      </c>
      <c r="B876" s="243" t="s">
        <v>1642</v>
      </c>
      <c r="C876" s="244" t="s">
        <v>1778</v>
      </c>
      <c r="D876" s="243" t="s">
        <v>34</v>
      </c>
      <c r="E876" s="243" t="s">
        <v>1644</v>
      </c>
      <c r="F876" s="259" t="s">
        <v>35</v>
      </c>
      <c r="G876" s="259">
        <v>1</v>
      </c>
      <c r="H876" s="245">
        <v>778720</v>
      </c>
      <c r="I876" s="243" t="s">
        <v>36</v>
      </c>
      <c r="J876" s="245">
        <f t="shared" si="22"/>
        <v>778720</v>
      </c>
      <c r="K876" s="1695">
        <f>15455.83+10574.25+8466.31</f>
        <v>34496.39</v>
      </c>
      <c r="L876" s="1695">
        <f>K876</f>
        <v>34496.39</v>
      </c>
      <c r="M876" s="246" t="s">
        <v>636</v>
      </c>
      <c r="N876" s="261" t="s">
        <v>1779</v>
      </c>
      <c r="O876" s="261" t="s">
        <v>1780</v>
      </c>
      <c r="P876" s="263" t="s">
        <v>64</v>
      </c>
      <c r="Q876" s="262"/>
      <c r="R876" s="263" t="s">
        <v>64</v>
      </c>
      <c r="S876" s="262"/>
      <c r="T876" s="263"/>
      <c r="U876" s="262"/>
      <c r="V876" s="263" t="s">
        <v>41</v>
      </c>
      <c r="W876" s="262">
        <v>45107</v>
      </c>
      <c r="X876" s="263" t="s">
        <v>41</v>
      </c>
      <c r="Y876" s="262">
        <v>45291</v>
      </c>
      <c r="Z876" s="263" t="s">
        <v>40</v>
      </c>
      <c r="AA876" s="262"/>
      <c r="AB876" s="263" t="s">
        <v>40</v>
      </c>
      <c r="AC876" s="262"/>
      <c r="AD876" s="262"/>
      <c r="AE876" s="262">
        <v>45565</v>
      </c>
      <c r="AF876" s="263" t="s">
        <v>65</v>
      </c>
      <c r="AG876" s="270">
        <v>2026</v>
      </c>
      <c r="AH876" s="261">
        <f t="shared" si="23"/>
        <v>169704.990605</v>
      </c>
      <c r="AI876" s="261"/>
      <c r="AJ876" s="261"/>
      <c r="AK876" s="259" t="s">
        <v>43</v>
      </c>
      <c r="AL876" s="259" t="s">
        <v>41</v>
      </c>
      <c r="AM876" s="266">
        <v>0</v>
      </c>
      <c r="AN876" s="67"/>
      <c r="AO876" s="256"/>
      <c r="AP876" s="257"/>
    </row>
    <row r="877" spans="1:47" s="258" customFormat="1" ht="37.950000000000003" customHeight="1" x14ac:dyDescent="0.3">
      <c r="A877" s="259" t="s">
        <v>1641</v>
      </c>
      <c r="B877" s="243" t="s">
        <v>1642</v>
      </c>
      <c r="C877" s="244" t="s">
        <v>1781</v>
      </c>
      <c r="D877" s="243" t="s">
        <v>34</v>
      </c>
      <c r="E877" s="243" t="s">
        <v>1644</v>
      </c>
      <c r="F877" s="259" t="s">
        <v>35</v>
      </c>
      <c r="G877" s="259">
        <v>1</v>
      </c>
      <c r="H877" s="245">
        <v>778720</v>
      </c>
      <c r="I877" s="243" t="s">
        <v>36</v>
      </c>
      <c r="J877" s="245">
        <f t="shared" si="22"/>
        <v>778720</v>
      </c>
      <c r="K877" s="1695">
        <f>10163.63+19674.76</f>
        <v>29838.39</v>
      </c>
      <c r="L877" s="1695">
        <f>K877</f>
        <v>29838.39</v>
      </c>
      <c r="M877" s="246" t="s">
        <v>868</v>
      </c>
      <c r="N877" s="261" t="s">
        <v>1782</v>
      </c>
      <c r="O877" s="261" t="s">
        <v>1783</v>
      </c>
      <c r="P877" s="263" t="s">
        <v>41</v>
      </c>
      <c r="Q877" s="262">
        <v>45074</v>
      </c>
      <c r="R877" s="263" t="s">
        <v>41</v>
      </c>
      <c r="S877" s="262">
        <v>45074</v>
      </c>
      <c r="T877" s="263"/>
      <c r="U877" s="262"/>
      <c r="V877" s="263" t="s">
        <v>41</v>
      </c>
      <c r="W877" s="262">
        <v>45255</v>
      </c>
      <c r="X877" s="263" t="s">
        <v>41</v>
      </c>
      <c r="Y877" s="262">
        <v>45291</v>
      </c>
      <c r="Z877" s="263" t="s">
        <v>40</v>
      </c>
      <c r="AA877" s="262"/>
      <c r="AB877" s="263" t="s">
        <v>40</v>
      </c>
      <c r="AC877" s="262"/>
      <c r="AD877" s="262"/>
      <c r="AE877" s="262">
        <v>45565</v>
      </c>
      <c r="AF877" s="263" t="s">
        <v>65</v>
      </c>
      <c r="AG877" s="270">
        <v>2026</v>
      </c>
      <c r="AH877" s="261">
        <f t="shared" si="23"/>
        <v>146789.95960500001</v>
      </c>
      <c r="AI877" s="261"/>
      <c r="AJ877" s="261"/>
      <c r="AK877" s="259" t="s">
        <v>43</v>
      </c>
      <c r="AL877" s="259" t="s">
        <v>41</v>
      </c>
      <c r="AM877" s="266">
        <v>0</v>
      </c>
      <c r="AN877" s="67"/>
      <c r="AO877" s="256"/>
      <c r="AP877" s="257"/>
    </row>
    <row r="878" spans="1:47" s="258" customFormat="1" ht="37.950000000000003" customHeight="1" x14ac:dyDescent="0.3">
      <c r="A878" s="259" t="s">
        <v>1641</v>
      </c>
      <c r="B878" s="243" t="s">
        <v>1642</v>
      </c>
      <c r="C878" s="244" t="s">
        <v>1784</v>
      </c>
      <c r="D878" s="243" t="s">
        <v>34</v>
      </c>
      <c r="E878" s="243" t="s">
        <v>1644</v>
      </c>
      <c r="F878" s="259" t="s">
        <v>35</v>
      </c>
      <c r="G878" s="259">
        <v>1</v>
      </c>
      <c r="H878" s="245">
        <v>778720</v>
      </c>
      <c r="I878" s="243" t="s">
        <v>36</v>
      </c>
      <c r="J878" s="245">
        <f t="shared" si="22"/>
        <v>778720</v>
      </c>
      <c r="K878" s="1695">
        <f>5081.81+13675.17+13358.62+11921.77+7114.54</f>
        <v>51151.909999999996</v>
      </c>
      <c r="L878" s="1695">
        <f>K878</f>
        <v>51151.909999999996</v>
      </c>
      <c r="M878" s="246" t="s">
        <v>55</v>
      </c>
      <c r="N878" s="261" t="s">
        <v>1785</v>
      </c>
      <c r="O878" s="261" t="s">
        <v>1786</v>
      </c>
      <c r="P878" s="263" t="s">
        <v>41</v>
      </c>
      <c r="Q878" s="262">
        <v>44993</v>
      </c>
      <c r="R878" s="263" t="s">
        <v>41</v>
      </c>
      <c r="S878" s="262">
        <v>44993</v>
      </c>
      <c r="T878" s="263"/>
      <c r="U878" s="262"/>
      <c r="V878" s="263" t="s">
        <v>41</v>
      </c>
      <c r="W878" s="262">
        <v>45255</v>
      </c>
      <c r="X878" s="263" t="s">
        <v>41</v>
      </c>
      <c r="Y878" s="262">
        <v>45291</v>
      </c>
      <c r="Z878" s="263" t="s">
        <v>40</v>
      </c>
      <c r="AA878" s="262"/>
      <c r="AB878" s="263" t="s">
        <v>40</v>
      </c>
      <c r="AC878" s="262"/>
      <c r="AD878" s="262"/>
      <c r="AE878" s="262">
        <v>45565</v>
      </c>
      <c r="AF878" s="263" t="s">
        <v>65</v>
      </c>
      <c r="AG878" s="270">
        <v>2026</v>
      </c>
      <c r="AH878" s="261">
        <f t="shared" si="23"/>
        <v>251641.821245</v>
      </c>
      <c r="AI878" s="261"/>
      <c r="AJ878" s="261"/>
      <c r="AK878" s="259" t="s">
        <v>43</v>
      </c>
      <c r="AL878" s="259" t="s">
        <v>41</v>
      </c>
      <c r="AM878" s="266">
        <v>0</v>
      </c>
      <c r="AN878" s="67"/>
      <c r="AO878" s="256"/>
      <c r="AP878" s="257"/>
    </row>
    <row r="879" spans="1:47" s="258" customFormat="1" ht="37.950000000000003" customHeight="1" x14ac:dyDescent="0.3">
      <c r="A879" s="259" t="s">
        <v>1641</v>
      </c>
      <c r="B879" s="243" t="s">
        <v>1642</v>
      </c>
      <c r="C879" s="244" t="s">
        <v>1787</v>
      </c>
      <c r="D879" s="243" t="s">
        <v>34</v>
      </c>
      <c r="E879" s="243" t="s">
        <v>1644</v>
      </c>
      <c r="F879" s="259" t="s">
        <v>35</v>
      </c>
      <c r="G879" s="259">
        <v>1</v>
      </c>
      <c r="H879" s="245">
        <v>778720.2</v>
      </c>
      <c r="I879" s="243" t="s">
        <v>36</v>
      </c>
      <c r="J879" s="245">
        <f t="shared" si="22"/>
        <v>778720.2</v>
      </c>
      <c r="K879" s="1435">
        <f>24392.72</f>
        <v>24392.720000000001</v>
      </c>
      <c r="L879" s="1435">
        <f>24392.72</f>
        <v>24392.720000000001</v>
      </c>
      <c r="M879" s="246" t="s">
        <v>53</v>
      </c>
      <c r="N879" s="261" t="s">
        <v>1788</v>
      </c>
      <c r="O879" s="261" t="s">
        <v>1789</v>
      </c>
      <c r="P879" s="263" t="s">
        <v>64</v>
      </c>
      <c r="Q879" s="262"/>
      <c r="R879" s="263" t="s">
        <v>64</v>
      </c>
      <c r="S879" s="262"/>
      <c r="T879" s="263"/>
      <c r="U879" s="262"/>
      <c r="V879" s="263" t="s">
        <v>41</v>
      </c>
      <c r="W879" s="262">
        <v>45107</v>
      </c>
      <c r="X879" s="263" t="s">
        <v>41</v>
      </c>
      <c r="Y879" s="262">
        <v>45291</v>
      </c>
      <c r="Z879" s="263" t="s">
        <v>40</v>
      </c>
      <c r="AA879" s="262"/>
      <c r="AB879" s="263" t="s">
        <v>40</v>
      </c>
      <c r="AC879" s="262"/>
      <c r="AD879" s="262"/>
      <c r="AE879" s="262">
        <v>45565</v>
      </c>
      <c r="AF879" s="263" t="s">
        <v>65</v>
      </c>
      <c r="AG879" s="270">
        <v>2026</v>
      </c>
      <c r="AH879" s="261">
        <f t="shared" si="23"/>
        <v>119999.98604000002</v>
      </c>
      <c r="AI879" s="261"/>
      <c r="AJ879" s="261"/>
      <c r="AK879" s="259" t="s">
        <v>43</v>
      </c>
      <c r="AL879" s="259" t="s">
        <v>41</v>
      </c>
      <c r="AM879" s="266">
        <v>0</v>
      </c>
      <c r="AN879" s="67"/>
      <c r="AO879" s="256"/>
      <c r="AP879" s="257"/>
    </row>
    <row r="880" spans="1:47" s="258" customFormat="1" ht="37.950000000000003" customHeight="1" x14ac:dyDescent="0.3">
      <c r="A880" s="259" t="s">
        <v>1641</v>
      </c>
      <c r="B880" s="243" t="s">
        <v>1642</v>
      </c>
      <c r="C880" s="244" t="s">
        <v>1790</v>
      </c>
      <c r="D880" s="243" t="s">
        <v>34</v>
      </c>
      <c r="E880" s="243" t="s">
        <v>1644</v>
      </c>
      <c r="F880" s="259" t="s">
        <v>35</v>
      </c>
      <c r="G880" s="259">
        <v>1</v>
      </c>
      <c r="H880" s="245">
        <v>778720</v>
      </c>
      <c r="I880" s="243" t="s">
        <v>36</v>
      </c>
      <c r="J880" s="245">
        <f t="shared" si="22"/>
        <v>778720</v>
      </c>
      <c r="K880" s="1695">
        <f>6504.72+18497.81</f>
        <v>25002.530000000002</v>
      </c>
      <c r="L880" s="1695">
        <f>K880</f>
        <v>25002.530000000002</v>
      </c>
      <c r="M880" s="246" t="s">
        <v>636</v>
      </c>
      <c r="N880" s="261" t="s">
        <v>1791</v>
      </c>
      <c r="O880" s="261" t="s">
        <v>1792</v>
      </c>
      <c r="P880" s="263" t="s">
        <v>64</v>
      </c>
      <c r="Q880" s="262"/>
      <c r="R880" s="263" t="s">
        <v>64</v>
      </c>
      <c r="S880" s="262"/>
      <c r="T880" s="263"/>
      <c r="U880" s="262"/>
      <c r="V880" s="263" t="s">
        <v>41</v>
      </c>
      <c r="W880" s="262">
        <v>45107</v>
      </c>
      <c r="X880" s="263" t="s">
        <v>41</v>
      </c>
      <c r="Y880" s="262">
        <v>45291</v>
      </c>
      <c r="Z880" s="263" t="s">
        <v>40</v>
      </c>
      <c r="AA880" s="262"/>
      <c r="AB880" s="263" t="s">
        <v>40</v>
      </c>
      <c r="AC880" s="262"/>
      <c r="AD880" s="262"/>
      <c r="AE880" s="262">
        <v>45565</v>
      </c>
      <c r="AF880" s="263" t="s">
        <v>65</v>
      </c>
      <c r="AG880" s="270">
        <v>2026</v>
      </c>
      <c r="AH880" s="261">
        <f t="shared" si="23"/>
        <v>122999.94633500002</v>
      </c>
      <c r="AI880" s="261"/>
      <c r="AJ880" s="261"/>
      <c r="AK880" s="259" t="s">
        <v>43</v>
      </c>
      <c r="AL880" s="259" t="s">
        <v>41</v>
      </c>
      <c r="AM880" s="266">
        <v>0</v>
      </c>
      <c r="AN880" s="67"/>
      <c r="AO880" s="256"/>
      <c r="AP880" s="257"/>
    </row>
    <row r="881" spans="1:42" s="258" customFormat="1" ht="37.950000000000003" customHeight="1" x14ac:dyDescent="0.3">
      <c r="A881" s="259" t="s">
        <v>1641</v>
      </c>
      <c r="B881" s="243" t="s">
        <v>1642</v>
      </c>
      <c r="C881" s="244" t="s">
        <v>1793</v>
      </c>
      <c r="D881" s="243" t="s">
        <v>34</v>
      </c>
      <c r="E881" s="243" t="s">
        <v>1644</v>
      </c>
      <c r="F881" s="259" t="s">
        <v>35</v>
      </c>
      <c r="G881" s="259">
        <v>1</v>
      </c>
      <c r="H881" s="245">
        <v>778720</v>
      </c>
      <c r="I881" s="243" t="s">
        <v>36</v>
      </c>
      <c r="J881" s="245">
        <f t="shared" si="22"/>
        <v>778720</v>
      </c>
      <c r="K881" s="1695">
        <f>3847.66+24189.45</f>
        <v>28037.11</v>
      </c>
      <c r="L881" s="1695">
        <f>3847.66+24189.45</f>
        <v>28037.11</v>
      </c>
      <c r="M881" s="246" t="s">
        <v>80</v>
      </c>
      <c r="N881" s="261" t="s">
        <v>1794</v>
      </c>
      <c r="O881" s="261" t="s">
        <v>1795</v>
      </c>
      <c r="P881" s="263" t="s">
        <v>41</v>
      </c>
      <c r="Q881" s="262">
        <v>45054</v>
      </c>
      <c r="R881" s="263" t="s">
        <v>41</v>
      </c>
      <c r="S881" s="262">
        <v>45054</v>
      </c>
      <c r="T881" s="263"/>
      <c r="U881" s="262"/>
      <c r="V881" s="263" t="s">
        <v>41</v>
      </c>
      <c r="W881" s="262">
        <v>45255</v>
      </c>
      <c r="X881" s="263" t="s">
        <v>41</v>
      </c>
      <c r="Y881" s="262">
        <v>45291</v>
      </c>
      <c r="Z881" s="263" t="s">
        <v>40</v>
      </c>
      <c r="AA881" s="262"/>
      <c r="AB881" s="263" t="s">
        <v>40</v>
      </c>
      <c r="AC881" s="262"/>
      <c r="AD881" s="262"/>
      <c r="AE881" s="262">
        <v>45565</v>
      </c>
      <c r="AF881" s="263" t="s">
        <v>65</v>
      </c>
      <c r="AG881" s="270">
        <v>2026</v>
      </c>
      <c r="AH881" s="261">
        <f t="shared" si="23"/>
        <v>137928.562645</v>
      </c>
      <c r="AI881" s="261"/>
      <c r="AJ881" s="261"/>
      <c r="AK881" s="259" t="s">
        <v>43</v>
      </c>
      <c r="AL881" s="259" t="s">
        <v>41</v>
      </c>
      <c r="AM881" s="266">
        <v>0</v>
      </c>
      <c r="AN881" s="67"/>
      <c r="AO881" s="256"/>
      <c r="AP881" s="257"/>
    </row>
    <row r="882" spans="1:42" s="258" customFormat="1" ht="37.950000000000003" customHeight="1" x14ac:dyDescent="0.3">
      <c r="A882" s="259" t="s">
        <v>1641</v>
      </c>
      <c r="B882" s="243" t="s">
        <v>1642</v>
      </c>
      <c r="C882" s="244" t="s">
        <v>1796</v>
      </c>
      <c r="D882" s="243" t="s">
        <v>34</v>
      </c>
      <c r="E882" s="243" t="s">
        <v>1644</v>
      </c>
      <c r="F882" s="259" t="s">
        <v>35</v>
      </c>
      <c r="G882" s="259">
        <v>1</v>
      </c>
      <c r="H882" s="245">
        <v>778699.87</v>
      </c>
      <c r="I882" s="243" t="s">
        <v>36</v>
      </c>
      <c r="J882" s="245">
        <f t="shared" si="22"/>
        <v>778699.87</v>
      </c>
      <c r="K882" s="1695">
        <f>21811.98+9675.78+14513.67</f>
        <v>46001.43</v>
      </c>
      <c r="L882" s="1695">
        <f>K882</f>
        <v>46001.43</v>
      </c>
      <c r="M882" s="246" t="s">
        <v>63</v>
      </c>
      <c r="N882" s="261" t="s">
        <v>1797</v>
      </c>
      <c r="O882" s="261" t="s">
        <v>1798</v>
      </c>
      <c r="P882" s="263" t="s">
        <v>41</v>
      </c>
      <c r="Q882" s="262">
        <v>45025</v>
      </c>
      <c r="R882" s="263" t="s">
        <v>41</v>
      </c>
      <c r="S882" s="262">
        <v>45025</v>
      </c>
      <c r="T882" s="263"/>
      <c r="U882" s="262"/>
      <c r="V882" s="263" t="s">
        <v>41</v>
      </c>
      <c r="W882" s="262">
        <v>45255</v>
      </c>
      <c r="X882" s="263" t="s">
        <v>41</v>
      </c>
      <c r="Y882" s="262">
        <v>45291</v>
      </c>
      <c r="Z882" s="263" t="s">
        <v>40</v>
      </c>
      <c r="AA882" s="262"/>
      <c r="AB882" s="263" t="s">
        <v>40</v>
      </c>
      <c r="AC882" s="262"/>
      <c r="AD882" s="262"/>
      <c r="AE882" s="262">
        <v>45565</v>
      </c>
      <c r="AF882" s="263" t="s">
        <v>65</v>
      </c>
      <c r="AG882" s="270">
        <v>2026</v>
      </c>
      <c r="AH882" s="261">
        <f t="shared" si="23"/>
        <v>226304.034885</v>
      </c>
      <c r="AI882" s="261"/>
      <c r="AJ882" s="261"/>
      <c r="AK882" s="259" t="s">
        <v>43</v>
      </c>
      <c r="AL882" s="259" t="s">
        <v>41</v>
      </c>
      <c r="AM882" s="266">
        <v>0</v>
      </c>
      <c r="AN882" s="67"/>
      <c r="AO882" s="256"/>
      <c r="AP882" s="257"/>
    </row>
    <row r="883" spans="1:42" s="258" customFormat="1" ht="37.950000000000003" customHeight="1" x14ac:dyDescent="0.3">
      <c r="A883" s="259" t="s">
        <v>1641</v>
      </c>
      <c r="B883" s="243" t="s">
        <v>1642</v>
      </c>
      <c r="C883" s="244" t="s">
        <v>1799</v>
      </c>
      <c r="D883" s="243" t="s">
        <v>34</v>
      </c>
      <c r="E883" s="243" t="s">
        <v>1644</v>
      </c>
      <c r="F883" s="259" t="s">
        <v>35</v>
      </c>
      <c r="G883" s="259">
        <v>1</v>
      </c>
      <c r="H883" s="245">
        <v>778720</v>
      </c>
      <c r="I883" s="243" t="s">
        <v>36</v>
      </c>
      <c r="J883" s="245">
        <f t="shared" si="22"/>
        <v>778720</v>
      </c>
      <c r="K883" s="1695">
        <f>L883</f>
        <v>25409.08</v>
      </c>
      <c r="L883" s="1695">
        <f>5081.81+20327.27</f>
        <v>25409.08</v>
      </c>
      <c r="M883" s="246" t="s">
        <v>73</v>
      </c>
      <c r="N883" s="261" t="s">
        <v>1800</v>
      </c>
      <c r="O883" s="261" t="s">
        <v>1801</v>
      </c>
      <c r="P883" s="263" t="s">
        <v>41</v>
      </c>
      <c r="Q883" s="262">
        <v>45027</v>
      </c>
      <c r="R883" s="263" t="s">
        <v>41</v>
      </c>
      <c r="S883" s="262">
        <v>45027</v>
      </c>
      <c r="T883" s="263"/>
      <c r="U883" s="262"/>
      <c r="V883" s="263" t="s">
        <v>41</v>
      </c>
      <c r="W883" s="262">
        <v>45255</v>
      </c>
      <c r="X883" s="263" t="s">
        <v>41</v>
      </c>
      <c r="Y883" s="262">
        <v>45291</v>
      </c>
      <c r="Z883" s="263" t="s">
        <v>40</v>
      </c>
      <c r="AA883" s="262"/>
      <c r="AB883" s="263" t="s">
        <v>40</v>
      </c>
      <c r="AC883" s="262"/>
      <c r="AD883" s="262"/>
      <c r="AE883" s="262">
        <v>45565</v>
      </c>
      <c r="AF883" s="263" t="s">
        <v>65</v>
      </c>
      <c r="AG883" s="270">
        <v>2026</v>
      </c>
      <c r="AH883" s="261">
        <f t="shared" si="23"/>
        <v>124999.96906000002</v>
      </c>
      <c r="AI883" s="261"/>
      <c r="AJ883" s="261"/>
      <c r="AK883" s="259" t="s">
        <v>43</v>
      </c>
      <c r="AL883" s="259" t="s">
        <v>41</v>
      </c>
      <c r="AM883" s="266">
        <v>0</v>
      </c>
      <c r="AN883" s="67"/>
      <c r="AO883" s="256"/>
      <c r="AP883" s="257"/>
    </row>
    <row r="884" spans="1:42" s="258" customFormat="1" ht="37.950000000000003" customHeight="1" x14ac:dyDescent="0.3">
      <c r="A884" s="259" t="s">
        <v>1641</v>
      </c>
      <c r="B884" s="243" t="s">
        <v>1642</v>
      </c>
      <c r="C884" s="244" t="s">
        <v>1802</v>
      </c>
      <c r="D884" s="243" t="s">
        <v>34</v>
      </c>
      <c r="E884" s="243" t="s">
        <v>1644</v>
      </c>
      <c r="F884" s="259" t="s">
        <v>35</v>
      </c>
      <c r="G884" s="259">
        <v>1</v>
      </c>
      <c r="H884" s="245">
        <v>778700.07</v>
      </c>
      <c r="I884" s="243" t="s">
        <v>36</v>
      </c>
      <c r="J884" s="245">
        <f t="shared" si="22"/>
        <v>778700.07</v>
      </c>
      <c r="K884" s="1695">
        <f>19310.9+7216.18+15723.14</f>
        <v>42250.22</v>
      </c>
      <c r="L884" s="1695">
        <f>K884</f>
        <v>42250.22</v>
      </c>
      <c r="M884" s="246" t="s">
        <v>63</v>
      </c>
      <c r="N884" s="261" t="s">
        <v>1803</v>
      </c>
      <c r="O884" s="261" t="s">
        <v>1804</v>
      </c>
      <c r="P884" s="263" t="s">
        <v>41</v>
      </c>
      <c r="Q884" s="262">
        <v>45027</v>
      </c>
      <c r="R884" s="263" t="s">
        <v>41</v>
      </c>
      <c r="S884" s="262">
        <v>45027</v>
      </c>
      <c r="T884" s="263"/>
      <c r="U884" s="262"/>
      <c r="V884" s="263" t="s">
        <v>41</v>
      </c>
      <c r="W884" s="262">
        <v>45255</v>
      </c>
      <c r="X884" s="263" t="s">
        <v>41</v>
      </c>
      <c r="Y884" s="262">
        <v>45291</v>
      </c>
      <c r="Z884" s="263" t="s">
        <v>40</v>
      </c>
      <c r="AA884" s="262"/>
      <c r="AB884" s="263" t="s">
        <v>40</v>
      </c>
      <c r="AC884" s="262"/>
      <c r="AD884" s="262"/>
      <c r="AE884" s="262">
        <v>45565</v>
      </c>
      <c r="AF884" s="263" t="s">
        <v>65</v>
      </c>
      <c r="AG884" s="270">
        <v>2026</v>
      </c>
      <c r="AH884" s="261">
        <f t="shared" si="23"/>
        <v>207849.95729000002</v>
      </c>
      <c r="AI884" s="261"/>
      <c r="AJ884" s="261"/>
      <c r="AK884" s="259" t="s">
        <v>43</v>
      </c>
      <c r="AL884" s="259" t="s">
        <v>41</v>
      </c>
      <c r="AM884" s="266">
        <v>0</v>
      </c>
      <c r="AN884" s="67"/>
      <c r="AO884" s="256"/>
      <c r="AP884" s="257"/>
    </row>
    <row r="885" spans="1:42" s="258" customFormat="1" ht="37.950000000000003" customHeight="1" x14ac:dyDescent="0.3">
      <c r="A885" s="259" t="s">
        <v>1641</v>
      </c>
      <c r="B885" s="243" t="s">
        <v>1642</v>
      </c>
      <c r="C885" s="244" t="s">
        <v>1805</v>
      </c>
      <c r="D885" s="243" t="s">
        <v>34</v>
      </c>
      <c r="E885" s="243" t="s">
        <v>1644</v>
      </c>
      <c r="F885" s="259" t="s">
        <v>35</v>
      </c>
      <c r="G885" s="259">
        <v>1</v>
      </c>
      <c r="H885" s="245">
        <v>778720</v>
      </c>
      <c r="I885" s="243" t="s">
        <v>36</v>
      </c>
      <c r="J885" s="245">
        <f t="shared" si="22"/>
        <v>778720</v>
      </c>
      <c r="K885" s="1435">
        <f>7114.54+36284.18+10119.17</f>
        <v>53517.89</v>
      </c>
      <c r="L885" s="1435">
        <f>7114.54+36284.18+10119.17</f>
        <v>53517.89</v>
      </c>
      <c r="M885" s="246" t="s">
        <v>1806</v>
      </c>
      <c r="N885" s="261" t="s">
        <v>1807</v>
      </c>
      <c r="O885" s="261" t="s">
        <v>1808</v>
      </c>
      <c r="P885" s="263" t="s">
        <v>41</v>
      </c>
      <c r="Q885" s="262">
        <v>45027</v>
      </c>
      <c r="R885" s="263" t="s">
        <v>41</v>
      </c>
      <c r="S885" s="262">
        <v>45027</v>
      </c>
      <c r="T885" s="263"/>
      <c r="U885" s="262"/>
      <c r="V885" s="263" t="s">
        <v>41</v>
      </c>
      <c r="W885" s="262">
        <v>45255</v>
      </c>
      <c r="X885" s="263" t="s">
        <v>41</v>
      </c>
      <c r="Y885" s="262">
        <v>45291</v>
      </c>
      <c r="Z885" s="263" t="s">
        <v>40</v>
      </c>
      <c r="AA885" s="262"/>
      <c r="AB885" s="263" t="s">
        <v>40</v>
      </c>
      <c r="AC885" s="262"/>
      <c r="AD885" s="262"/>
      <c r="AE885" s="262">
        <v>45565</v>
      </c>
      <c r="AF885" s="263" t="s">
        <v>65</v>
      </c>
      <c r="AG885" s="270">
        <v>2026</v>
      </c>
      <c r="AH885" s="261">
        <f t="shared" si="23"/>
        <v>263281.25985500001</v>
      </c>
      <c r="AI885" s="261"/>
      <c r="AJ885" s="261"/>
      <c r="AK885" s="259" t="s">
        <v>43</v>
      </c>
      <c r="AL885" s="259" t="s">
        <v>41</v>
      </c>
      <c r="AM885" s="266">
        <v>0</v>
      </c>
      <c r="AN885" s="67"/>
      <c r="AO885" s="256"/>
      <c r="AP885" s="257"/>
    </row>
    <row r="886" spans="1:42" s="165" customFormat="1" ht="37.950000000000003" customHeight="1" x14ac:dyDescent="0.3">
      <c r="A886" s="259" t="s">
        <v>1641</v>
      </c>
      <c r="B886" s="243" t="s">
        <v>1642</v>
      </c>
      <c r="C886" s="244" t="s">
        <v>1809</v>
      </c>
      <c r="D886" s="243" t="s">
        <v>34</v>
      </c>
      <c r="E886" s="243" t="s">
        <v>1644</v>
      </c>
      <c r="F886" s="259" t="s">
        <v>35</v>
      </c>
      <c r="G886" s="259">
        <v>1</v>
      </c>
      <c r="H886" s="245">
        <v>778720</v>
      </c>
      <c r="I886" s="243" t="s">
        <v>36</v>
      </c>
      <c r="J886" s="245">
        <f t="shared" si="22"/>
        <v>778720</v>
      </c>
      <c r="K886" s="1695">
        <f>15042.17+1801.62+12596.416+7114.54</f>
        <v>36554.745999999999</v>
      </c>
      <c r="L886" s="1695">
        <f>15042.17+1801.62+12596.416+7114.54</f>
        <v>36554.745999999999</v>
      </c>
      <c r="M886" s="246" t="s">
        <v>57</v>
      </c>
      <c r="N886" s="261" t="s">
        <v>1810</v>
      </c>
      <c r="O886" s="261" t="s">
        <v>1811</v>
      </c>
      <c r="P886" s="263" t="s">
        <v>64</v>
      </c>
      <c r="Q886" s="262"/>
      <c r="R886" s="263" t="s">
        <v>64</v>
      </c>
      <c r="S886" s="262"/>
      <c r="T886" s="263"/>
      <c r="U886" s="262"/>
      <c r="V886" s="263" t="s">
        <v>41</v>
      </c>
      <c r="W886" s="262">
        <v>45107</v>
      </c>
      <c r="X886" s="263" t="s">
        <v>41</v>
      </c>
      <c r="Y886" s="262">
        <v>45291</v>
      </c>
      <c r="Z886" s="263" t="s">
        <v>40</v>
      </c>
      <c r="AA886" s="262"/>
      <c r="AB886" s="263" t="s">
        <v>40</v>
      </c>
      <c r="AC886" s="262"/>
      <c r="AD886" s="262"/>
      <c r="AE886" s="262">
        <v>45565</v>
      </c>
      <c r="AF886" s="263" t="s">
        <v>65</v>
      </c>
      <c r="AG886" s="270">
        <v>2026</v>
      </c>
      <c r="AH886" s="261">
        <f t="shared" si="23"/>
        <v>179831.07294700001</v>
      </c>
      <c r="AI886" s="261"/>
      <c r="AJ886" s="261"/>
      <c r="AK886" s="259" t="s">
        <v>43</v>
      </c>
      <c r="AL886" s="259" t="s">
        <v>41</v>
      </c>
      <c r="AM886" s="266">
        <v>0</v>
      </c>
      <c r="AN886" s="67"/>
      <c r="AO886" s="259"/>
      <c r="AP886" s="277"/>
    </row>
    <row r="887" spans="1:42" s="165" customFormat="1" ht="37.950000000000003" customHeight="1" x14ac:dyDescent="0.3">
      <c r="A887" s="259" t="s">
        <v>1641</v>
      </c>
      <c r="B887" s="243" t="s">
        <v>1642</v>
      </c>
      <c r="C887" s="244" t="s">
        <v>1812</v>
      </c>
      <c r="D887" s="243" t="s">
        <v>34</v>
      </c>
      <c r="E887" s="243" t="s">
        <v>1644</v>
      </c>
      <c r="F887" s="259" t="s">
        <v>35</v>
      </c>
      <c r="G887" s="259">
        <v>1</v>
      </c>
      <c r="H887" s="245">
        <v>778720</v>
      </c>
      <c r="I887" s="243" t="s">
        <v>36</v>
      </c>
      <c r="J887" s="245">
        <f t="shared" si="22"/>
        <v>778720</v>
      </c>
      <c r="K887" s="1435">
        <f>18294.54+6047.36+18294.54</f>
        <v>42636.44</v>
      </c>
      <c r="L887" s="1435">
        <f>18294.54+6047.36+18294.54</f>
        <v>42636.44</v>
      </c>
      <c r="M887" s="246" t="s">
        <v>73</v>
      </c>
      <c r="N887" s="261" t="s">
        <v>1813</v>
      </c>
      <c r="O887" s="261" t="s">
        <v>1814</v>
      </c>
      <c r="P887" s="263" t="s">
        <v>64</v>
      </c>
      <c r="Q887" s="262"/>
      <c r="R887" s="263" t="s">
        <v>64</v>
      </c>
      <c r="S887" s="262"/>
      <c r="T887" s="263"/>
      <c r="U887" s="262"/>
      <c r="V887" s="263" t="s">
        <v>41</v>
      </c>
      <c r="W887" s="262">
        <v>45107</v>
      </c>
      <c r="X887" s="263" t="s">
        <v>41</v>
      </c>
      <c r="Y887" s="262">
        <v>45291</v>
      </c>
      <c r="Z887" s="263" t="s">
        <v>40</v>
      </c>
      <c r="AA887" s="262"/>
      <c r="AB887" s="263" t="s">
        <v>40</v>
      </c>
      <c r="AC887" s="262"/>
      <c r="AD887" s="262"/>
      <c r="AE887" s="262">
        <v>45565</v>
      </c>
      <c r="AF887" s="263" t="s">
        <v>65</v>
      </c>
      <c r="AG887" s="270">
        <v>2026</v>
      </c>
      <c r="AH887" s="261">
        <f t="shared" si="23"/>
        <v>209749.96658000001</v>
      </c>
      <c r="AI887" s="261"/>
      <c r="AJ887" s="261"/>
      <c r="AK887" s="259" t="s">
        <v>43</v>
      </c>
      <c r="AL887" s="259" t="s">
        <v>41</v>
      </c>
      <c r="AM887" s="266">
        <v>0</v>
      </c>
      <c r="AN887" s="67"/>
      <c r="AO887" s="259"/>
      <c r="AP887" s="277"/>
    </row>
    <row r="888" spans="1:42" s="165" customFormat="1" ht="37.950000000000003" customHeight="1" x14ac:dyDescent="0.3">
      <c r="A888" s="259" t="s">
        <v>1641</v>
      </c>
      <c r="B888" s="243" t="s">
        <v>1642</v>
      </c>
      <c r="C888" s="244" t="s">
        <v>1815</v>
      </c>
      <c r="D888" s="243" t="s">
        <v>34</v>
      </c>
      <c r="E888" s="243" t="s">
        <v>1644</v>
      </c>
      <c r="F888" s="259" t="s">
        <v>35</v>
      </c>
      <c r="G888" s="259">
        <v>1</v>
      </c>
      <c r="H888" s="245">
        <v>778720</v>
      </c>
      <c r="I888" s="243" t="s">
        <v>36</v>
      </c>
      <c r="J888" s="245">
        <f t="shared" si="22"/>
        <v>778720</v>
      </c>
      <c r="K888" s="1435">
        <f>7114.54+30490.9+8130.9</f>
        <v>45736.340000000004</v>
      </c>
      <c r="L888" s="1435">
        <f>K888</f>
        <v>45736.340000000004</v>
      </c>
      <c r="M888" s="246" t="s">
        <v>73</v>
      </c>
      <c r="N888" s="261" t="s">
        <v>1816</v>
      </c>
      <c r="O888" s="261" t="s">
        <v>1817</v>
      </c>
      <c r="P888" s="263" t="s">
        <v>41</v>
      </c>
      <c r="Q888" s="262">
        <v>45063</v>
      </c>
      <c r="R888" s="263" t="s">
        <v>41</v>
      </c>
      <c r="S888" s="262">
        <v>45063</v>
      </c>
      <c r="T888" s="263"/>
      <c r="U888" s="262"/>
      <c r="V888" s="263" t="s">
        <v>41</v>
      </c>
      <c r="W888" s="262">
        <v>45255</v>
      </c>
      <c r="X888" s="263" t="s">
        <v>41</v>
      </c>
      <c r="Y888" s="262">
        <v>45291</v>
      </c>
      <c r="Z888" s="263" t="s">
        <v>40</v>
      </c>
      <c r="AA888" s="262"/>
      <c r="AB888" s="263" t="s">
        <v>40</v>
      </c>
      <c r="AC888" s="262"/>
      <c r="AD888" s="262"/>
      <c r="AE888" s="262">
        <v>45565</v>
      </c>
      <c r="AF888" s="263" t="s">
        <v>65</v>
      </c>
      <c r="AG888" s="270">
        <v>2026</v>
      </c>
      <c r="AH888" s="261">
        <f t="shared" si="23"/>
        <v>224999.92463000002</v>
      </c>
      <c r="AI888" s="261"/>
      <c r="AJ888" s="261"/>
      <c r="AK888" s="259" t="s">
        <v>43</v>
      </c>
      <c r="AL888" s="259" t="s">
        <v>41</v>
      </c>
      <c r="AM888" s="266">
        <v>0</v>
      </c>
      <c r="AN888" s="67"/>
      <c r="AO888" s="259"/>
      <c r="AP888" s="277"/>
    </row>
    <row r="889" spans="1:42" s="258" customFormat="1" ht="37.950000000000003" customHeight="1" x14ac:dyDescent="0.3">
      <c r="A889" s="259" t="s">
        <v>1641</v>
      </c>
      <c r="B889" s="243" t="s">
        <v>1642</v>
      </c>
      <c r="C889" s="244" t="s">
        <v>1818</v>
      </c>
      <c r="D889" s="243" t="s">
        <v>34</v>
      </c>
      <c r="E889" s="243" t="s">
        <v>1644</v>
      </c>
      <c r="F889" s="259" t="s">
        <v>35</v>
      </c>
      <c r="G889" s="259">
        <v>1</v>
      </c>
      <c r="H889" s="245">
        <v>778720</v>
      </c>
      <c r="I889" s="243" t="s">
        <v>36</v>
      </c>
      <c r="J889" s="245">
        <f t="shared" si="22"/>
        <v>778720</v>
      </c>
      <c r="K889" s="1435">
        <f>4065.45+32274.24+12365.75</f>
        <v>48705.440000000002</v>
      </c>
      <c r="L889" s="1435">
        <f>4065.45+32274.24+12365.75</f>
        <v>48705.440000000002</v>
      </c>
      <c r="M889" s="246" t="s">
        <v>412</v>
      </c>
      <c r="N889" s="261" t="s">
        <v>1819</v>
      </c>
      <c r="O889" s="261" t="s">
        <v>1820</v>
      </c>
      <c r="P889" s="263" t="s">
        <v>41</v>
      </c>
      <c r="Q889" s="262">
        <v>45049</v>
      </c>
      <c r="R889" s="263" t="s">
        <v>41</v>
      </c>
      <c r="S889" s="262">
        <v>45049</v>
      </c>
      <c r="T889" s="263"/>
      <c r="U889" s="262"/>
      <c r="V889" s="263" t="s">
        <v>41</v>
      </c>
      <c r="W889" s="262">
        <v>45255</v>
      </c>
      <c r="X889" s="263" t="s">
        <v>41</v>
      </c>
      <c r="Y889" s="262">
        <v>45291</v>
      </c>
      <c r="Z889" s="263" t="s">
        <v>40</v>
      </c>
      <c r="AA889" s="262"/>
      <c r="AB889" s="263" t="s">
        <v>40</v>
      </c>
      <c r="AC889" s="262"/>
      <c r="AD889" s="262"/>
      <c r="AE889" s="262">
        <v>45565</v>
      </c>
      <c r="AF889" s="263" t="s">
        <v>65</v>
      </c>
      <c r="AG889" s="270">
        <v>2026</v>
      </c>
      <c r="AH889" s="261">
        <f t="shared" si="23"/>
        <v>239606.41208000001</v>
      </c>
      <c r="AI889" s="261"/>
      <c r="AJ889" s="261"/>
      <c r="AK889" s="259" t="s">
        <v>43</v>
      </c>
      <c r="AL889" s="259" t="s">
        <v>41</v>
      </c>
      <c r="AM889" s="266">
        <v>0</v>
      </c>
      <c r="AN889" s="67"/>
      <c r="AO889" s="256"/>
      <c r="AP889" s="257"/>
    </row>
    <row r="890" spans="1:42" s="258" customFormat="1" ht="37.950000000000003" customHeight="1" x14ac:dyDescent="0.3">
      <c r="A890" s="259" t="s">
        <v>1641</v>
      </c>
      <c r="B890" s="243" t="s">
        <v>1642</v>
      </c>
      <c r="C890" s="244" t="s">
        <v>1821</v>
      </c>
      <c r="D890" s="243" t="s">
        <v>34</v>
      </c>
      <c r="E890" s="243" t="s">
        <v>1644</v>
      </c>
      <c r="F890" s="259" t="s">
        <v>35</v>
      </c>
      <c r="G890" s="259">
        <v>1</v>
      </c>
      <c r="H890" s="245">
        <v>778720</v>
      </c>
      <c r="I890" s="243" t="s">
        <v>36</v>
      </c>
      <c r="J890" s="245">
        <f t="shared" si="22"/>
        <v>778720</v>
      </c>
      <c r="K890" s="1695">
        <f>11047.87+9553.82+284.58</f>
        <v>20886.270000000004</v>
      </c>
      <c r="L890" s="1695">
        <f>K890</f>
        <v>20886.270000000004</v>
      </c>
      <c r="M890" s="246" t="s">
        <v>50</v>
      </c>
      <c r="N890" s="261" t="s">
        <v>1822</v>
      </c>
      <c r="O890" s="261" t="s">
        <v>1823</v>
      </c>
      <c r="P890" s="263" t="s">
        <v>41</v>
      </c>
      <c r="Q890" s="262">
        <v>45056</v>
      </c>
      <c r="R890" s="263" t="s">
        <v>41</v>
      </c>
      <c r="S890" s="262">
        <v>45056</v>
      </c>
      <c r="T890" s="263"/>
      <c r="U890" s="262"/>
      <c r="V890" s="263" t="s">
        <v>41</v>
      </c>
      <c r="W890" s="262">
        <v>45255</v>
      </c>
      <c r="X890" s="263" t="s">
        <v>41</v>
      </c>
      <c r="Y890" s="262">
        <v>45291</v>
      </c>
      <c r="Z890" s="263" t="s">
        <v>40</v>
      </c>
      <c r="AA890" s="262"/>
      <c r="AB890" s="263" t="s">
        <v>40</v>
      </c>
      <c r="AC890" s="262"/>
      <c r="AD890" s="262"/>
      <c r="AE890" s="262">
        <v>45565</v>
      </c>
      <c r="AF890" s="263" t="s">
        <v>65</v>
      </c>
      <c r="AG890" s="270">
        <v>2026</v>
      </c>
      <c r="AH890" s="261">
        <f t="shared" si="23"/>
        <v>102750.00526500003</v>
      </c>
      <c r="AI890" s="261"/>
      <c r="AJ890" s="261"/>
      <c r="AK890" s="259" t="s">
        <v>43</v>
      </c>
      <c r="AL890" s="259" t="s">
        <v>41</v>
      </c>
      <c r="AM890" s="266">
        <v>0</v>
      </c>
      <c r="AN890" s="67"/>
      <c r="AO890" s="256"/>
      <c r="AP890" s="257"/>
    </row>
    <row r="891" spans="1:42" s="258" customFormat="1" ht="37.950000000000003" customHeight="1" x14ac:dyDescent="0.3">
      <c r="A891" s="259" t="s">
        <v>1641</v>
      </c>
      <c r="B891" s="243" t="s">
        <v>1642</v>
      </c>
      <c r="C891" s="278" t="s">
        <v>1824</v>
      </c>
      <c r="D891" s="243" t="s">
        <v>34</v>
      </c>
      <c r="E891" s="243" t="s">
        <v>1644</v>
      </c>
      <c r="F891" s="259" t="s">
        <v>35</v>
      </c>
      <c r="G891" s="259">
        <v>1</v>
      </c>
      <c r="H891" s="245">
        <v>778720</v>
      </c>
      <c r="I891" s="243" t="s">
        <v>36</v>
      </c>
      <c r="J891" s="245">
        <f t="shared" si="22"/>
        <v>778720</v>
      </c>
      <c r="K891" s="1435">
        <f>4065.45+26425.45+3252.36+7317.81+5285.08</f>
        <v>46346.15</v>
      </c>
      <c r="L891" s="1435">
        <f>K891</f>
        <v>46346.15</v>
      </c>
      <c r="M891" s="246" t="s">
        <v>351</v>
      </c>
      <c r="N891" s="261" t="s">
        <v>1825</v>
      </c>
      <c r="O891" s="279" t="s">
        <v>1826</v>
      </c>
      <c r="P891" s="263" t="s">
        <v>41</v>
      </c>
      <c r="Q891" s="262">
        <v>45053</v>
      </c>
      <c r="R891" s="263" t="s">
        <v>41</v>
      </c>
      <c r="S891" s="262">
        <v>45053</v>
      </c>
      <c r="T891" s="263"/>
      <c r="U891" s="262"/>
      <c r="V891" s="263" t="s">
        <v>41</v>
      </c>
      <c r="W891" s="262">
        <v>45255</v>
      </c>
      <c r="X891" s="263" t="s">
        <v>41</v>
      </c>
      <c r="Y891" s="262">
        <v>45291</v>
      </c>
      <c r="Z891" s="263" t="s">
        <v>40</v>
      </c>
      <c r="AA891" s="262"/>
      <c r="AB891" s="263" t="s">
        <v>40</v>
      </c>
      <c r="AC891" s="262"/>
      <c r="AD891" s="262"/>
      <c r="AE891" s="262">
        <v>45565</v>
      </c>
      <c r="AF891" s="263" t="s">
        <v>65</v>
      </c>
      <c r="AG891" s="270">
        <v>2026</v>
      </c>
      <c r="AH891" s="261">
        <f t="shared" si="23"/>
        <v>227999.88492500002</v>
      </c>
      <c r="AI891" s="261"/>
      <c r="AJ891" s="261"/>
      <c r="AK891" s="259" t="s">
        <v>43</v>
      </c>
      <c r="AL891" s="259" t="s">
        <v>41</v>
      </c>
      <c r="AM891" s="266">
        <v>0</v>
      </c>
      <c r="AN891" s="67"/>
      <c r="AO891" s="256"/>
      <c r="AP891" s="257"/>
    </row>
    <row r="892" spans="1:42" s="258" customFormat="1" ht="37.950000000000003" customHeight="1" x14ac:dyDescent="0.3">
      <c r="A892" s="259" t="s">
        <v>1641</v>
      </c>
      <c r="B892" s="243" t="s">
        <v>1642</v>
      </c>
      <c r="C892" s="278" t="s">
        <v>1827</v>
      </c>
      <c r="D892" s="243" t="s">
        <v>34</v>
      </c>
      <c r="E892" s="243" t="s">
        <v>1644</v>
      </c>
      <c r="F892" s="259" t="s">
        <v>35</v>
      </c>
      <c r="G892" s="259">
        <v>1</v>
      </c>
      <c r="H892" s="245">
        <v>778720</v>
      </c>
      <c r="I892" s="243" t="s">
        <v>36</v>
      </c>
      <c r="J892" s="245">
        <f t="shared" si="22"/>
        <v>778720</v>
      </c>
      <c r="K892" s="1435">
        <f>11180+8466.31+216.48</f>
        <v>19862.789999999997</v>
      </c>
      <c r="L892" s="1435">
        <f>K892</f>
        <v>19862.789999999997</v>
      </c>
      <c r="M892" s="246" t="s">
        <v>1208</v>
      </c>
      <c r="N892" s="261" t="s">
        <v>1828</v>
      </c>
      <c r="O892" s="279" t="s">
        <v>1829</v>
      </c>
      <c r="P892" s="263" t="s">
        <v>41</v>
      </c>
      <c r="Q892" s="262">
        <v>45053</v>
      </c>
      <c r="R892" s="263" t="s">
        <v>41</v>
      </c>
      <c r="S892" s="262">
        <v>45053</v>
      </c>
      <c r="T892" s="263"/>
      <c r="U892" s="262"/>
      <c r="V892" s="263" t="s">
        <v>41</v>
      </c>
      <c r="W892" s="262">
        <v>45255</v>
      </c>
      <c r="X892" s="263" t="s">
        <v>41</v>
      </c>
      <c r="Y892" s="262">
        <v>45291</v>
      </c>
      <c r="Z892" s="263" t="s">
        <v>40</v>
      </c>
      <c r="AA892" s="262"/>
      <c r="AB892" s="263" t="s">
        <v>40</v>
      </c>
      <c r="AC892" s="262"/>
      <c r="AD892" s="262"/>
      <c r="AE892" s="262">
        <v>45565</v>
      </c>
      <c r="AF892" s="263" t="s">
        <v>65</v>
      </c>
      <c r="AG892" s="270">
        <v>2026</v>
      </c>
      <c r="AH892" s="261">
        <f t="shared" si="23"/>
        <v>97714.995404999994</v>
      </c>
      <c r="AI892" s="261"/>
      <c r="AJ892" s="261"/>
      <c r="AK892" s="259" t="s">
        <v>43</v>
      </c>
      <c r="AL892" s="259" t="s">
        <v>41</v>
      </c>
      <c r="AM892" s="266">
        <v>0</v>
      </c>
      <c r="AN892" s="67"/>
      <c r="AO892" s="256"/>
      <c r="AP892" s="257"/>
    </row>
    <row r="893" spans="1:42" s="258" customFormat="1" ht="37.950000000000003" customHeight="1" x14ac:dyDescent="0.3">
      <c r="A893" s="259" t="s">
        <v>1641</v>
      </c>
      <c r="B893" s="243" t="s">
        <v>1642</v>
      </c>
      <c r="C893" s="278" t="s">
        <v>1830</v>
      </c>
      <c r="D893" s="243" t="s">
        <v>34</v>
      </c>
      <c r="E893" s="243" t="s">
        <v>1644</v>
      </c>
      <c r="F893" s="259" t="s">
        <v>35</v>
      </c>
      <c r="G893" s="259">
        <v>1</v>
      </c>
      <c r="H893" s="245">
        <v>778720.2</v>
      </c>
      <c r="I893" s="243" t="s">
        <v>36</v>
      </c>
      <c r="J893" s="245">
        <f t="shared" si="22"/>
        <v>778720.2</v>
      </c>
      <c r="K893" s="1695">
        <v>0</v>
      </c>
      <c r="L893" s="1695">
        <v>0</v>
      </c>
      <c r="M893" s="246" t="s">
        <v>53</v>
      </c>
      <c r="N893" s="261" t="s">
        <v>1831</v>
      </c>
      <c r="O893" s="279" t="s">
        <v>1832</v>
      </c>
      <c r="P893" s="263" t="s">
        <v>41</v>
      </c>
      <c r="Q893" s="262">
        <v>45053</v>
      </c>
      <c r="R893" s="263" t="s">
        <v>41</v>
      </c>
      <c r="S893" s="262">
        <v>45053</v>
      </c>
      <c r="T893" s="263"/>
      <c r="U893" s="262"/>
      <c r="V893" s="263" t="s">
        <v>41</v>
      </c>
      <c r="W893" s="262">
        <v>45255</v>
      </c>
      <c r="X893" s="263" t="s">
        <v>41</v>
      </c>
      <c r="Y893" s="262">
        <v>45291</v>
      </c>
      <c r="Z893" s="263" t="s">
        <v>40</v>
      </c>
      <c r="AA893" s="262"/>
      <c r="AB893" s="263" t="s">
        <v>40</v>
      </c>
      <c r="AC893" s="262"/>
      <c r="AD893" s="262"/>
      <c r="AE893" s="262">
        <v>45565</v>
      </c>
      <c r="AF893" s="263" t="s">
        <v>65</v>
      </c>
      <c r="AG893" s="270">
        <v>2026</v>
      </c>
      <c r="AH893" s="261">
        <f t="shared" si="23"/>
        <v>0</v>
      </c>
      <c r="AI893" s="261"/>
      <c r="AJ893" s="261"/>
      <c r="AK893" s="259" t="s">
        <v>43</v>
      </c>
      <c r="AL893" s="259" t="s">
        <v>41</v>
      </c>
      <c r="AM893" s="266">
        <v>0</v>
      </c>
      <c r="AN893" s="67"/>
      <c r="AO893" s="256"/>
      <c r="AP893" s="257"/>
    </row>
    <row r="894" spans="1:42" s="258" customFormat="1" ht="37.950000000000003" customHeight="1" x14ac:dyDescent="0.3">
      <c r="A894" s="259" t="s">
        <v>1641</v>
      </c>
      <c r="B894" s="243" t="s">
        <v>1642</v>
      </c>
      <c r="C894" s="278" t="s">
        <v>1833</v>
      </c>
      <c r="D894" s="243" t="s">
        <v>34</v>
      </c>
      <c r="E894" s="243" t="s">
        <v>1644</v>
      </c>
      <c r="F894" s="259" t="s">
        <v>35</v>
      </c>
      <c r="G894" s="259">
        <v>1</v>
      </c>
      <c r="H894" s="245">
        <v>778720.2</v>
      </c>
      <c r="I894" s="243" t="s">
        <v>36</v>
      </c>
      <c r="J894" s="245">
        <f t="shared" si="22"/>
        <v>778720.2</v>
      </c>
      <c r="K894" s="1695">
        <v>8130.9</v>
      </c>
      <c r="L894" s="1695">
        <v>8130.9</v>
      </c>
      <c r="M894" s="246" t="s">
        <v>80</v>
      </c>
      <c r="N894" s="261" t="s">
        <v>1834</v>
      </c>
      <c r="O894" s="279" t="s">
        <v>1835</v>
      </c>
      <c r="P894" s="263" t="s">
        <v>41</v>
      </c>
      <c r="Q894" s="262">
        <v>45053</v>
      </c>
      <c r="R894" s="263" t="s">
        <v>41</v>
      </c>
      <c r="S894" s="262">
        <v>45053</v>
      </c>
      <c r="T894" s="263"/>
      <c r="U894" s="262"/>
      <c r="V894" s="263" t="s">
        <v>41</v>
      </c>
      <c r="W894" s="262">
        <v>45255</v>
      </c>
      <c r="X894" s="263" t="s">
        <v>41</v>
      </c>
      <c r="Y894" s="262">
        <v>45291</v>
      </c>
      <c r="Z894" s="263" t="s">
        <v>40</v>
      </c>
      <c r="AA894" s="262"/>
      <c r="AB894" s="263" t="s">
        <v>40</v>
      </c>
      <c r="AC894" s="262"/>
      <c r="AD894" s="262"/>
      <c r="AE894" s="262">
        <v>45565</v>
      </c>
      <c r="AF894" s="263" t="s">
        <v>65</v>
      </c>
      <c r="AG894" s="270">
        <v>2026</v>
      </c>
      <c r="AH894" s="261">
        <f t="shared" si="23"/>
        <v>39999.962549999997</v>
      </c>
      <c r="AI894" s="261"/>
      <c r="AJ894" s="261"/>
      <c r="AK894" s="259" t="s">
        <v>43</v>
      </c>
      <c r="AL894" s="259" t="s">
        <v>41</v>
      </c>
      <c r="AM894" s="266">
        <v>0</v>
      </c>
      <c r="AN894" s="67"/>
      <c r="AO894" s="256"/>
      <c r="AP894" s="257"/>
    </row>
    <row r="895" spans="1:42" s="269" customFormat="1" ht="37.950000000000003" customHeight="1" x14ac:dyDescent="0.3">
      <c r="A895" s="259" t="s">
        <v>1641</v>
      </c>
      <c r="B895" s="243" t="s">
        <v>1642</v>
      </c>
      <c r="C895" s="278" t="s">
        <v>1836</v>
      </c>
      <c r="D895" s="243" t="s">
        <v>34</v>
      </c>
      <c r="E895" s="243" t="s">
        <v>1644</v>
      </c>
      <c r="F895" s="259" t="s">
        <v>35</v>
      </c>
      <c r="G895" s="259">
        <v>1</v>
      </c>
      <c r="H895" s="245">
        <v>778720</v>
      </c>
      <c r="I895" s="243" t="s">
        <v>36</v>
      </c>
      <c r="J895" s="245">
        <f t="shared" si="22"/>
        <v>778720</v>
      </c>
      <c r="K895" s="1695">
        <f>4065.45+26425.45+19956.3</f>
        <v>50447.199999999997</v>
      </c>
      <c r="L895" s="1695">
        <f>K895</f>
        <v>50447.199999999997</v>
      </c>
      <c r="M895" s="246" t="s">
        <v>1837</v>
      </c>
      <c r="N895" s="261" t="s">
        <v>1838</v>
      </c>
      <c r="O895" s="279" t="s">
        <v>1839</v>
      </c>
      <c r="P895" s="263" t="s">
        <v>41</v>
      </c>
      <c r="Q895" s="262">
        <v>45053</v>
      </c>
      <c r="R895" s="263" t="s">
        <v>41</v>
      </c>
      <c r="S895" s="262">
        <v>45053</v>
      </c>
      <c r="T895" s="263"/>
      <c r="U895" s="262"/>
      <c r="V895" s="263" t="s">
        <v>41</v>
      </c>
      <c r="W895" s="262">
        <v>45255</v>
      </c>
      <c r="X895" s="263" t="s">
        <v>41</v>
      </c>
      <c r="Y895" s="262">
        <v>45291</v>
      </c>
      <c r="Z895" s="263" t="s">
        <v>40</v>
      </c>
      <c r="AA895" s="262"/>
      <c r="AB895" s="263" t="s">
        <v>40</v>
      </c>
      <c r="AC895" s="262"/>
      <c r="AD895" s="262"/>
      <c r="AE895" s="262">
        <v>45565</v>
      </c>
      <c r="AF895" s="263" t="s">
        <v>65</v>
      </c>
      <c r="AG895" s="270">
        <v>2026</v>
      </c>
      <c r="AH895" s="261">
        <f t="shared" si="23"/>
        <v>248175.00039999999</v>
      </c>
      <c r="AI895" s="261"/>
      <c r="AJ895" s="261"/>
      <c r="AK895" s="259" t="s">
        <v>43</v>
      </c>
      <c r="AL895" s="259" t="s">
        <v>41</v>
      </c>
      <c r="AM895" s="266">
        <v>0</v>
      </c>
      <c r="AN895" s="67"/>
      <c r="AO895" s="267"/>
      <c r="AP895" s="268"/>
    </row>
    <row r="896" spans="1:42" s="258" customFormat="1" ht="37.950000000000003" customHeight="1" x14ac:dyDescent="0.3">
      <c r="A896" s="259" t="s">
        <v>1641</v>
      </c>
      <c r="B896" s="243" t="s">
        <v>1642</v>
      </c>
      <c r="C896" s="278" t="s">
        <v>1840</v>
      </c>
      <c r="D896" s="243" t="s">
        <v>34</v>
      </c>
      <c r="E896" s="243" t="s">
        <v>1644</v>
      </c>
      <c r="F896" s="259" t="s">
        <v>35</v>
      </c>
      <c r="G896" s="259">
        <v>1</v>
      </c>
      <c r="H896" s="245">
        <v>778720</v>
      </c>
      <c r="I896" s="243" t="s">
        <v>36</v>
      </c>
      <c r="J896" s="245">
        <f t="shared" si="22"/>
        <v>778720</v>
      </c>
      <c r="K896" s="1435">
        <f>8087.34+11179.997+7419.45</f>
        <v>26686.787</v>
      </c>
      <c r="L896" s="1435">
        <f>8087.34+11179.997+7419.45</f>
        <v>26686.787</v>
      </c>
      <c r="M896" s="246" t="s">
        <v>57</v>
      </c>
      <c r="N896" s="261" t="s">
        <v>1841</v>
      </c>
      <c r="O896" s="279" t="s">
        <v>1842</v>
      </c>
      <c r="P896" s="263" t="s">
        <v>41</v>
      </c>
      <c r="Q896" s="262">
        <v>45053</v>
      </c>
      <c r="R896" s="263" t="s">
        <v>41</v>
      </c>
      <c r="S896" s="262">
        <v>45053</v>
      </c>
      <c r="T896" s="263"/>
      <c r="U896" s="262"/>
      <c r="V896" s="263" t="s">
        <v>41</v>
      </c>
      <c r="W896" s="262">
        <v>45255</v>
      </c>
      <c r="X896" s="263" t="s">
        <v>41</v>
      </c>
      <c r="Y896" s="262">
        <v>45291</v>
      </c>
      <c r="Z896" s="263" t="s">
        <v>40</v>
      </c>
      <c r="AA896" s="262"/>
      <c r="AB896" s="263" t="s">
        <v>40</v>
      </c>
      <c r="AC896" s="262"/>
      <c r="AD896" s="262"/>
      <c r="AE896" s="262">
        <v>45565</v>
      </c>
      <c r="AF896" s="263" t="s">
        <v>65</v>
      </c>
      <c r="AG896" s="270">
        <v>2026</v>
      </c>
      <c r="AH896" s="261">
        <f t="shared" si="23"/>
        <v>131285.64864650002</v>
      </c>
      <c r="AI896" s="261"/>
      <c r="AJ896" s="261"/>
      <c r="AK896" s="259" t="s">
        <v>43</v>
      </c>
      <c r="AL896" s="259" t="s">
        <v>41</v>
      </c>
      <c r="AM896" s="266">
        <v>0</v>
      </c>
      <c r="AN896" s="67"/>
      <c r="AO896" s="256"/>
      <c r="AP896" s="257"/>
    </row>
    <row r="897" spans="1:42" s="258" customFormat="1" ht="37.950000000000003" customHeight="1" x14ac:dyDescent="0.3">
      <c r="A897" s="259" t="s">
        <v>1641</v>
      </c>
      <c r="B897" s="243" t="s">
        <v>1642</v>
      </c>
      <c r="C897" s="278" t="s">
        <v>1843</v>
      </c>
      <c r="D897" s="243" t="s">
        <v>34</v>
      </c>
      <c r="E897" s="243" t="s">
        <v>1644</v>
      </c>
      <c r="F897" s="259" t="s">
        <v>35</v>
      </c>
      <c r="G897" s="259">
        <v>1</v>
      </c>
      <c r="H897" s="245">
        <v>778720</v>
      </c>
      <c r="I897" s="243" t="s">
        <v>36</v>
      </c>
      <c r="J897" s="245">
        <f t="shared" si="22"/>
        <v>778720</v>
      </c>
      <c r="K897" s="1695">
        <f>38926.72</f>
        <v>38926.720000000001</v>
      </c>
      <c r="L897" s="1695">
        <f>K897</f>
        <v>38926.720000000001</v>
      </c>
      <c r="M897" s="246" t="s">
        <v>1837</v>
      </c>
      <c r="N897" s="261" t="s">
        <v>1844</v>
      </c>
      <c r="O897" s="279" t="s">
        <v>1845</v>
      </c>
      <c r="P897" s="263" t="s">
        <v>41</v>
      </c>
      <c r="Q897" s="262">
        <v>45053</v>
      </c>
      <c r="R897" s="263" t="s">
        <v>41</v>
      </c>
      <c r="S897" s="262">
        <v>45053</v>
      </c>
      <c r="T897" s="263"/>
      <c r="U897" s="262"/>
      <c r="V897" s="263" t="s">
        <v>41</v>
      </c>
      <c r="W897" s="262">
        <v>45255</v>
      </c>
      <c r="X897" s="263" t="s">
        <v>41</v>
      </c>
      <c r="Y897" s="262">
        <v>45291</v>
      </c>
      <c r="Z897" s="263" t="s">
        <v>40</v>
      </c>
      <c r="AA897" s="262"/>
      <c r="AB897" s="263" t="s">
        <v>40</v>
      </c>
      <c r="AC897" s="262"/>
      <c r="AD897" s="262"/>
      <c r="AE897" s="262">
        <v>45565</v>
      </c>
      <c r="AF897" s="263" t="s">
        <v>65</v>
      </c>
      <c r="AG897" s="270">
        <v>2026</v>
      </c>
      <c r="AH897" s="261">
        <f t="shared" si="23"/>
        <v>191499.99904000002</v>
      </c>
      <c r="AI897" s="261"/>
      <c r="AJ897" s="261"/>
      <c r="AK897" s="259" t="s">
        <v>43</v>
      </c>
      <c r="AL897" s="259" t="s">
        <v>41</v>
      </c>
      <c r="AM897" s="266">
        <v>0</v>
      </c>
      <c r="AN897" s="67"/>
      <c r="AO897" s="256"/>
      <c r="AP897" s="257"/>
    </row>
    <row r="898" spans="1:42" s="258" customFormat="1" ht="37.950000000000003" customHeight="1" x14ac:dyDescent="0.3">
      <c r="A898" s="259" t="s">
        <v>1641</v>
      </c>
      <c r="B898" s="243" t="s">
        <v>1642</v>
      </c>
      <c r="C898" s="278" t="s">
        <v>1846</v>
      </c>
      <c r="D898" s="243" t="s">
        <v>34</v>
      </c>
      <c r="E898" s="243" t="s">
        <v>1644</v>
      </c>
      <c r="F898" s="259" t="s">
        <v>35</v>
      </c>
      <c r="G898" s="259">
        <v>1</v>
      </c>
      <c r="H898" s="245">
        <v>778720</v>
      </c>
      <c r="I898" s="243" t="s">
        <v>36</v>
      </c>
      <c r="J898" s="245">
        <f t="shared" si="22"/>
        <v>778720</v>
      </c>
      <c r="K898" s="1695">
        <f>26933.63</f>
        <v>26933.63</v>
      </c>
      <c r="L898" s="1695">
        <f>26933.63</f>
        <v>26933.63</v>
      </c>
      <c r="M898" s="246" t="s">
        <v>82</v>
      </c>
      <c r="N898" s="261" t="s">
        <v>1847</v>
      </c>
      <c r="O898" s="279" t="s">
        <v>1848</v>
      </c>
      <c r="P898" s="263" t="s">
        <v>41</v>
      </c>
      <c r="Q898" s="262">
        <v>45053</v>
      </c>
      <c r="R898" s="263" t="s">
        <v>41</v>
      </c>
      <c r="S898" s="262">
        <v>45053</v>
      </c>
      <c r="T898" s="263"/>
      <c r="U898" s="262"/>
      <c r="V898" s="263" t="s">
        <v>41</v>
      </c>
      <c r="W898" s="262">
        <v>45255</v>
      </c>
      <c r="X898" s="263" t="s">
        <v>41</v>
      </c>
      <c r="Y898" s="262">
        <v>45291</v>
      </c>
      <c r="Z898" s="263" t="s">
        <v>40</v>
      </c>
      <c r="AA898" s="262"/>
      <c r="AB898" s="263" t="s">
        <v>40</v>
      </c>
      <c r="AC898" s="262"/>
      <c r="AD898" s="262"/>
      <c r="AE898" s="262">
        <v>45565</v>
      </c>
      <c r="AF898" s="263" t="s">
        <v>65</v>
      </c>
      <c r="AG898" s="270">
        <v>2026</v>
      </c>
      <c r="AH898" s="261">
        <f t="shared" si="23"/>
        <v>132499.99278500001</v>
      </c>
      <c r="AI898" s="261"/>
      <c r="AJ898" s="261"/>
      <c r="AK898" s="259" t="s">
        <v>43</v>
      </c>
      <c r="AL898" s="259" t="s">
        <v>41</v>
      </c>
      <c r="AM898" s="266">
        <v>0</v>
      </c>
      <c r="AN898" s="67"/>
      <c r="AO898" s="256"/>
      <c r="AP898" s="257"/>
    </row>
    <row r="899" spans="1:42" s="258" customFormat="1" ht="37.950000000000003" customHeight="1" x14ac:dyDescent="0.3">
      <c r="A899" s="259" t="s">
        <v>1641</v>
      </c>
      <c r="B899" s="243" t="s">
        <v>1642</v>
      </c>
      <c r="C899" s="278" t="s">
        <v>1849</v>
      </c>
      <c r="D899" s="243" t="s">
        <v>34</v>
      </c>
      <c r="E899" s="243" t="s">
        <v>1644</v>
      </c>
      <c r="F899" s="259" t="s">
        <v>35</v>
      </c>
      <c r="G899" s="259">
        <v>1</v>
      </c>
      <c r="H899" s="245">
        <v>778720</v>
      </c>
      <c r="I899" s="243" t="s">
        <v>36</v>
      </c>
      <c r="J899" s="245">
        <f t="shared" ref="J899:J962" si="24">H899</f>
        <v>778720</v>
      </c>
      <c r="K899" s="1695">
        <f>5081.81+6707.99+18904.36</f>
        <v>30694.16</v>
      </c>
      <c r="L899" s="1695">
        <f>5081.81+6707.99+18904.36</f>
        <v>30694.16</v>
      </c>
      <c r="M899" s="246" t="s">
        <v>54</v>
      </c>
      <c r="N899" s="261" t="s">
        <v>1850</v>
      </c>
      <c r="O899" s="279" t="s">
        <v>1851</v>
      </c>
      <c r="P899" s="263" t="s">
        <v>41</v>
      </c>
      <c r="Q899" s="262">
        <v>45053</v>
      </c>
      <c r="R899" s="263" t="s">
        <v>41</v>
      </c>
      <c r="S899" s="262">
        <v>45053</v>
      </c>
      <c r="T899" s="263"/>
      <c r="U899" s="262"/>
      <c r="V899" s="263" t="s">
        <v>41</v>
      </c>
      <c r="W899" s="262">
        <v>45255</v>
      </c>
      <c r="X899" s="263" t="s">
        <v>41</v>
      </c>
      <c r="Y899" s="262">
        <v>45291</v>
      </c>
      <c r="Z899" s="263" t="s">
        <v>40</v>
      </c>
      <c r="AA899" s="262"/>
      <c r="AB899" s="263" t="s">
        <v>40</v>
      </c>
      <c r="AC899" s="262"/>
      <c r="AD899" s="262"/>
      <c r="AE899" s="262">
        <v>45565</v>
      </c>
      <c r="AF899" s="263" t="s">
        <v>65</v>
      </c>
      <c r="AG899" s="270">
        <v>2026</v>
      </c>
      <c r="AH899" s="261">
        <f t="shared" ref="AH899:AH962" si="25">K899*4.9195</f>
        <v>150999.92012</v>
      </c>
      <c r="AI899" s="261"/>
      <c r="AJ899" s="261"/>
      <c r="AK899" s="259" t="s">
        <v>43</v>
      </c>
      <c r="AL899" s="259" t="s">
        <v>41</v>
      </c>
      <c r="AM899" s="266">
        <v>0</v>
      </c>
      <c r="AN899" s="67"/>
      <c r="AO899" s="256"/>
      <c r="AP899" s="257"/>
    </row>
    <row r="900" spans="1:42" s="258" customFormat="1" ht="37.950000000000003" customHeight="1" x14ac:dyDescent="0.3">
      <c r="A900" s="259" t="s">
        <v>1641</v>
      </c>
      <c r="B900" s="243" t="s">
        <v>1642</v>
      </c>
      <c r="C900" s="278" t="s">
        <v>1852</v>
      </c>
      <c r="D900" s="243" t="s">
        <v>34</v>
      </c>
      <c r="E900" s="243" t="s">
        <v>1644</v>
      </c>
      <c r="F900" s="259" t="s">
        <v>35</v>
      </c>
      <c r="G900" s="259">
        <v>1</v>
      </c>
      <c r="H900" s="245">
        <v>778720</v>
      </c>
      <c r="I900" s="243" t="s">
        <v>36</v>
      </c>
      <c r="J900" s="245">
        <f t="shared" si="24"/>
        <v>778720</v>
      </c>
      <c r="K900" s="1695">
        <f>2540.9+34919.199</f>
        <v>37460.099000000002</v>
      </c>
      <c r="L900" s="1695">
        <f>2540.9+34919.199</f>
        <v>37460.099000000002</v>
      </c>
      <c r="M900" s="246" t="s">
        <v>303</v>
      </c>
      <c r="N900" s="261" t="s">
        <v>1853</v>
      </c>
      <c r="O900" s="279" t="s">
        <v>1854</v>
      </c>
      <c r="P900" s="263" t="s">
        <v>41</v>
      </c>
      <c r="Q900" s="262">
        <v>45053</v>
      </c>
      <c r="R900" s="263" t="s">
        <v>41</v>
      </c>
      <c r="S900" s="262">
        <v>45053</v>
      </c>
      <c r="T900" s="263"/>
      <c r="U900" s="262"/>
      <c r="V900" s="263" t="s">
        <v>41</v>
      </c>
      <c r="W900" s="262">
        <v>45255</v>
      </c>
      <c r="X900" s="263" t="s">
        <v>41</v>
      </c>
      <c r="Y900" s="262">
        <v>45291</v>
      </c>
      <c r="Z900" s="263" t="s">
        <v>40</v>
      </c>
      <c r="AA900" s="262"/>
      <c r="AB900" s="263" t="s">
        <v>40</v>
      </c>
      <c r="AC900" s="262"/>
      <c r="AD900" s="262"/>
      <c r="AE900" s="262">
        <v>45565</v>
      </c>
      <c r="AF900" s="263" t="s">
        <v>65</v>
      </c>
      <c r="AG900" s="270">
        <v>2026</v>
      </c>
      <c r="AH900" s="261">
        <f t="shared" si="25"/>
        <v>184284.95703050002</v>
      </c>
      <c r="AI900" s="261"/>
      <c r="AJ900" s="261"/>
      <c r="AK900" s="259" t="s">
        <v>43</v>
      </c>
      <c r="AL900" s="259" t="s">
        <v>41</v>
      </c>
      <c r="AM900" s="266">
        <v>0</v>
      </c>
      <c r="AN900" s="67"/>
      <c r="AO900" s="256"/>
      <c r="AP900" s="257"/>
    </row>
    <row r="901" spans="1:42" s="258" customFormat="1" ht="37.950000000000003" customHeight="1" x14ac:dyDescent="0.3">
      <c r="A901" s="259" t="s">
        <v>1641</v>
      </c>
      <c r="B901" s="243" t="s">
        <v>1642</v>
      </c>
      <c r="C901" s="278" t="s">
        <v>1855</v>
      </c>
      <c r="D901" s="243" t="s">
        <v>34</v>
      </c>
      <c r="E901" s="243" t="s">
        <v>1644</v>
      </c>
      <c r="F901" s="259" t="s">
        <v>35</v>
      </c>
      <c r="G901" s="259">
        <v>1</v>
      </c>
      <c r="H901" s="245">
        <v>778720</v>
      </c>
      <c r="I901" s="243" t="s">
        <v>36</v>
      </c>
      <c r="J901" s="245">
        <f t="shared" si="24"/>
        <v>778720</v>
      </c>
      <c r="K901" s="1695">
        <f>8130.9+7826+12501.27</f>
        <v>28458.17</v>
      </c>
      <c r="L901" s="1695">
        <f>K901</f>
        <v>28458.17</v>
      </c>
      <c r="M901" s="246" t="s">
        <v>57</v>
      </c>
      <c r="N901" s="261" t="s">
        <v>1856</v>
      </c>
      <c r="O901" s="279" t="s">
        <v>1857</v>
      </c>
      <c r="P901" s="263" t="s">
        <v>41</v>
      </c>
      <c r="Q901" s="262">
        <v>45053</v>
      </c>
      <c r="R901" s="263" t="s">
        <v>41</v>
      </c>
      <c r="S901" s="262">
        <v>45053</v>
      </c>
      <c r="T901" s="263"/>
      <c r="U901" s="262"/>
      <c r="V901" s="263" t="s">
        <v>41</v>
      </c>
      <c r="W901" s="262">
        <v>45255</v>
      </c>
      <c r="X901" s="263" t="s">
        <v>41</v>
      </c>
      <c r="Y901" s="262">
        <v>45291</v>
      </c>
      <c r="Z901" s="263" t="s">
        <v>40</v>
      </c>
      <c r="AA901" s="262"/>
      <c r="AB901" s="263" t="s">
        <v>40</v>
      </c>
      <c r="AC901" s="262"/>
      <c r="AD901" s="262"/>
      <c r="AE901" s="262">
        <v>45565</v>
      </c>
      <c r="AF901" s="263" t="s">
        <v>65</v>
      </c>
      <c r="AG901" s="270">
        <v>2026</v>
      </c>
      <c r="AH901" s="261">
        <f t="shared" si="25"/>
        <v>139999.96731499999</v>
      </c>
      <c r="AI901" s="261"/>
      <c r="AJ901" s="261"/>
      <c r="AK901" s="259" t="s">
        <v>43</v>
      </c>
      <c r="AL901" s="259" t="s">
        <v>41</v>
      </c>
      <c r="AM901" s="266">
        <v>0</v>
      </c>
      <c r="AN901" s="67"/>
      <c r="AO901" s="256"/>
      <c r="AP901" s="257"/>
    </row>
    <row r="902" spans="1:42" s="258" customFormat="1" ht="37.950000000000003" customHeight="1" x14ac:dyDescent="0.3">
      <c r="A902" s="259" t="s">
        <v>1641</v>
      </c>
      <c r="B902" s="243" t="s">
        <v>1642</v>
      </c>
      <c r="C902" s="278" t="s">
        <v>1858</v>
      </c>
      <c r="D902" s="243" t="s">
        <v>34</v>
      </c>
      <c r="E902" s="243" t="s">
        <v>1644</v>
      </c>
      <c r="F902" s="259" t="s">
        <v>35</v>
      </c>
      <c r="G902" s="259">
        <v>1</v>
      </c>
      <c r="H902" s="245">
        <v>778720.2</v>
      </c>
      <c r="I902" s="243" t="s">
        <v>36</v>
      </c>
      <c r="J902" s="245">
        <f t="shared" si="24"/>
        <v>778720.2</v>
      </c>
      <c r="K902" s="1695">
        <f>3923.16+9986.78+15004.07+4627.44+3888.6</f>
        <v>37430.050000000003</v>
      </c>
      <c r="L902" s="1695">
        <f>3923.16+9986.78+15004.07+4627.44+3888.6</f>
        <v>37430.050000000003</v>
      </c>
      <c r="M902" s="246" t="s">
        <v>54</v>
      </c>
      <c r="N902" s="261" t="s">
        <v>1859</v>
      </c>
      <c r="O902" s="279" t="s">
        <v>1860</v>
      </c>
      <c r="P902" s="263" t="s">
        <v>41</v>
      </c>
      <c r="Q902" s="262">
        <v>45053</v>
      </c>
      <c r="R902" s="263" t="s">
        <v>41</v>
      </c>
      <c r="S902" s="262">
        <v>45053</v>
      </c>
      <c r="T902" s="263"/>
      <c r="U902" s="262"/>
      <c r="V902" s="263" t="s">
        <v>41</v>
      </c>
      <c r="W902" s="262">
        <v>45255</v>
      </c>
      <c r="X902" s="263" t="s">
        <v>41</v>
      </c>
      <c r="Y902" s="262">
        <v>45291</v>
      </c>
      <c r="Z902" s="263" t="s">
        <v>40</v>
      </c>
      <c r="AA902" s="262"/>
      <c r="AB902" s="263" t="s">
        <v>40</v>
      </c>
      <c r="AC902" s="262"/>
      <c r="AD902" s="262"/>
      <c r="AE902" s="262">
        <v>45565</v>
      </c>
      <c r="AF902" s="263" t="s">
        <v>65</v>
      </c>
      <c r="AG902" s="270">
        <v>2026</v>
      </c>
      <c r="AH902" s="261">
        <f t="shared" si="25"/>
        <v>184137.13097500004</v>
      </c>
      <c r="AI902" s="261"/>
      <c r="AJ902" s="261"/>
      <c r="AK902" s="259" t="s">
        <v>43</v>
      </c>
      <c r="AL902" s="259" t="s">
        <v>41</v>
      </c>
      <c r="AM902" s="266">
        <v>0</v>
      </c>
      <c r="AN902" s="67"/>
      <c r="AO902" s="256"/>
      <c r="AP902" s="257"/>
    </row>
    <row r="903" spans="1:42" s="258" customFormat="1" ht="37.950000000000003" customHeight="1" x14ac:dyDescent="0.3">
      <c r="A903" s="259" t="s">
        <v>1641</v>
      </c>
      <c r="B903" s="243" t="s">
        <v>1642</v>
      </c>
      <c r="C903" s="278" t="s">
        <v>1861</v>
      </c>
      <c r="D903" s="243" t="s">
        <v>34</v>
      </c>
      <c r="E903" s="243" t="s">
        <v>1644</v>
      </c>
      <c r="F903" s="259" t="s">
        <v>35</v>
      </c>
      <c r="G903" s="259">
        <v>1</v>
      </c>
      <c r="H903" s="245">
        <v>778720</v>
      </c>
      <c r="I903" s="243" t="s">
        <v>36</v>
      </c>
      <c r="J903" s="245">
        <f t="shared" si="24"/>
        <v>778720</v>
      </c>
      <c r="K903" s="1695">
        <f>13355.02+32808.21</f>
        <v>46163.229999999996</v>
      </c>
      <c r="L903" s="1695">
        <f>13355.02+32808.21</f>
        <v>46163.229999999996</v>
      </c>
      <c r="M903" s="246" t="s">
        <v>84</v>
      </c>
      <c r="N903" s="261" t="s">
        <v>1862</v>
      </c>
      <c r="O903" s="279" t="s">
        <v>1863</v>
      </c>
      <c r="P903" s="263" t="s">
        <v>41</v>
      </c>
      <c r="Q903" s="262">
        <v>45053</v>
      </c>
      <c r="R903" s="263" t="s">
        <v>41</v>
      </c>
      <c r="S903" s="262">
        <v>45053</v>
      </c>
      <c r="T903" s="263"/>
      <c r="U903" s="262"/>
      <c r="V903" s="263" t="s">
        <v>41</v>
      </c>
      <c r="W903" s="262">
        <v>45255</v>
      </c>
      <c r="X903" s="263" t="s">
        <v>41</v>
      </c>
      <c r="Y903" s="262">
        <v>45291</v>
      </c>
      <c r="Z903" s="263" t="s">
        <v>40</v>
      </c>
      <c r="AA903" s="262"/>
      <c r="AB903" s="263" t="s">
        <v>40</v>
      </c>
      <c r="AC903" s="262"/>
      <c r="AD903" s="262"/>
      <c r="AE903" s="262">
        <v>45565</v>
      </c>
      <c r="AF903" s="263" t="s">
        <v>65</v>
      </c>
      <c r="AG903" s="270">
        <v>2026</v>
      </c>
      <c r="AH903" s="261">
        <f t="shared" si="25"/>
        <v>227100.00998499998</v>
      </c>
      <c r="AI903" s="261"/>
      <c r="AJ903" s="261"/>
      <c r="AK903" s="259" t="s">
        <v>43</v>
      </c>
      <c r="AL903" s="259" t="s">
        <v>41</v>
      </c>
      <c r="AM903" s="266">
        <v>0</v>
      </c>
      <c r="AN903" s="67"/>
      <c r="AO903" s="256"/>
      <c r="AP903" s="257"/>
    </row>
    <row r="904" spans="1:42" s="258" customFormat="1" ht="37.950000000000003" customHeight="1" x14ac:dyDescent="0.3">
      <c r="A904" s="259" t="s">
        <v>1641</v>
      </c>
      <c r="B904" s="243" t="s">
        <v>1642</v>
      </c>
      <c r="C904" s="278" t="s">
        <v>1864</v>
      </c>
      <c r="D904" s="243" t="s">
        <v>34</v>
      </c>
      <c r="E904" s="243" t="s">
        <v>1644</v>
      </c>
      <c r="F904" s="259" t="s">
        <v>35</v>
      </c>
      <c r="G904" s="259">
        <v>1</v>
      </c>
      <c r="H904" s="245">
        <v>778720</v>
      </c>
      <c r="I904" s="243" t="s">
        <v>36</v>
      </c>
      <c r="J904" s="245">
        <f t="shared" si="24"/>
        <v>778720</v>
      </c>
      <c r="K904" s="1695">
        <f>8120.74+9980.69</f>
        <v>18101.43</v>
      </c>
      <c r="L904" s="1695">
        <f>K904</f>
        <v>18101.43</v>
      </c>
      <c r="M904" s="246" t="s">
        <v>1208</v>
      </c>
      <c r="N904" s="261" t="s">
        <v>1865</v>
      </c>
      <c r="O904" s="279" t="s">
        <v>1866</v>
      </c>
      <c r="P904" s="263" t="s">
        <v>41</v>
      </c>
      <c r="Q904" s="262">
        <v>45053</v>
      </c>
      <c r="R904" s="263" t="s">
        <v>41</v>
      </c>
      <c r="S904" s="262">
        <v>45053</v>
      </c>
      <c r="T904" s="263"/>
      <c r="U904" s="262"/>
      <c r="V904" s="263" t="s">
        <v>41</v>
      </c>
      <c r="W904" s="262">
        <v>45255</v>
      </c>
      <c r="X904" s="263" t="s">
        <v>41</v>
      </c>
      <c r="Y904" s="262">
        <v>45291</v>
      </c>
      <c r="Z904" s="263" t="s">
        <v>40</v>
      </c>
      <c r="AA904" s="262"/>
      <c r="AB904" s="263" t="s">
        <v>40</v>
      </c>
      <c r="AC904" s="262"/>
      <c r="AD904" s="262"/>
      <c r="AE904" s="262">
        <v>45565</v>
      </c>
      <c r="AF904" s="263" t="s">
        <v>65</v>
      </c>
      <c r="AG904" s="270">
        <v>2026</v>
      </c>
      <c r="AH904" s="261">
        <f t="shared" si="25"/>
        <v>89049.984884999998</v>
      </c>
      <c r="AI904" s="261"/>
      <c r="AJ904" s="261"/>
      <c r="AK904" s="259" t="s">
        <v>43</v>
      </c>
      <c r="AL904" s="259" t="s">
        <v>41</v>
      </c>
      <c r="AM904" s="266">
        <v>0</v>
      </c>
      <c r="AN904" s="67"/>
      <c r="AO904" s="256"/>
      <c r="AP904" s="257"/>
    </row>
    <row r="905" spans="1:42" s="258" customFormat="1" ht="37.950000000000003" customHeight="1" x14ac:dyDescent="0.3">
      <c r="A905" s="259" t="s">
        <v>1641</v>
      </c>
      <c r="B905" s="243" t="s">
        <v>1642</v>
      </c>
      <c r="C905" s="278" t="s">
        <v>1867</v>
      </c>
      <c r="D905" s="243" t="s">
        <v>34</v>
      </c>
      <c r="E905" s="243" t="s">
        <v>1644</v>
      </c>
      <c r="F905" s="259" t="s">
        <v>35</v>
      </c>
      <c r="G905" s="259">
        <v>1</v>
      </c>
      <c r="H905" s="245">
        <v>778720</v>
      </c>
      <c r="I905" s="243" t="s">
        <v>36</v>
      </c>
      <c r="J905" s="245">
        <f t="shared" si="24"/>
        <v>778720</v>
      </c>
      <c r="K905" s="1695">
        <f>3049.09+25308.21+13826.29</f>
        <v>42183.59</v>
      </c>
      <c r="L905" s="1695">
        <f>3049.09+25308.21+13826.69</f>
        <v>42183.99</v>
      </c>
      <c r="M905" s="246" t="s">
        <v>55</v>
      </c>
      <c r="N905" s="261" t="s">
        <v>1868</v>
      </c>
      <c r="O905" s="279" t="s">
        <v>1869</v>
      </c>
      <c r="P905" s="263" t="s">
        <v>41</v>
      </c>
      <c r="Q905" s="262">
        <v>45053</v>
      </c>
      <c r="R905" s="263" t="s">
        <v>41</v>
      </c>
      <c r="S905" s="262">
        <v>45053</v>
      </c>
      <c r="T905" s="263"/>
      <c r="U905" s="262"/>
      <c r="V905" s="263" t="s">
        <v>41</v>
      </c>
      <c r="W905" s="262">
        <v>45255</v>
      </c>
      <c r="X905" s="263" t="s">
        <v>41</v>
      </c>
      <c r="Y905" s="262">
        <v>45291</v>
      </c>
      <c r="Z905" s="263" t="s">
        <v>40</v>
      </c>
      <c r="AA905" s="262"/>
      <c r="AB905" s="263" t="s">
        <v>40</v>
      </c>
      <c r="AC905" s="262"/>
      <c r="AD905" s="262"/>
      <c r="AE905" s="262">
        <v>45565</v>
      </c>
      <c r="AF905" s="263" t="s">
        <v>65</v>
      </c>
      <c r="AG905" s="270">
        <v>2026</v>
      </c>
      <c r="AH905" s="261">
        <f t="shared" si="25"/>
        <v>207522.17100499998</v>
      </c>
      <c r="AI905" s="261"/>
      <c r="AJ905" s="261"/>
      <c r="AK905" s="259" t="s">
        <v>43</v>
      </c>
      <c r="AL905" s="259" t="s">
        <v>41</v>
      </c>
      <c r="AM905" s="266">
        <v>0</v>
      </c>
      <c r="AN905" s="67"/>
      <c r="AO905" s="256"/>
      <c r="AP905" s="257"/>
    </row>
    <row r="906" spans="1:42" ht="37.950000000000003" customHeight="1" x14ac:dyDescent="0.3">
      <c r="A906" s="259" t="s">
        <v>1641</v>
      </c>
      <c r="B906" s="243" t="s">
        <v>1642</v>
      </c>
      <c r="C906" s="278" t="s">
        <v>1870</v>
      </c>
      <c r="D906" s="243" t="s">
        <v>34</v>
      </c>
      <c r="E906" s="243" t="s">
        <v>1644</v>
      </c>
      <c r="F906" s="259" t="s">
        <v>35</v>
      </c>
      <c r="G906" s="259">
        <v>1</v>
      </c>
      <c r="H906" s="245">
        <v>778720.2</v>
      </c>
      <c r="I906" s="243" t="s">
        <v>36</v>
      </c>
      <c r="J906" s="245">
        <f t="shared" si="24"/>
        <v>778720.2</v>
      </c>
      <c r="K906" s="1695">
        <f>10062+9191.99</f>
        <v>19253.989999999998</v>
      </c>
      <c r="L906" s="1695">
        <f>K906</f>
        <v>19253.989999999998</v>
      </c>
      <c r="M906" s="246" t="s">
        <v>50</v>
      </c>
      <c r="N906" s="261" t="s">
        <v>1871</v>
      </c>
      <c r="O906" s="279" t="s">
        <v>1872</v>
      </c>
      <c r="P906" s="263" t="s">
        <v>41</v>
      </c>
      <c r="Q906" s="262">
        <v>45055</v>
      </c>
      <c r="R906" s="263" t="s">
        <v>41</v>
      </c>
      <c r="S906" s="262">
        <v>45055</v>
      </c>
      <c r="T906" s="263"/>
      <c r="U906" s="262"/>
      <c r="V906" s="263" t="s">
        <v>41</v>
      </c>
      <c r="W906" s="262">
        <v>45255</v>
      </c>
      <c r="X906" s="263" t="s">
        <v>41</v>
      </c>
      <c r="Y906" s="262">
        <v>45291</v>
      </c>
      <c r="Z906" s="263" t="s">
        <v>40</v>
      </c>
      <c r="AA906" s="262"/>
      <c r="AB906" s="263" t="s">
        <v>40</v>
      </c>
      <c r="AC906" s="262"/>
      <c r="AD906" s="262"/>
      <c r="AE906" s="262">
        <v>45565</v>
      </c>
      <c r="AF906" s="263" t="s">
        <v>65</v>
      </c>
      <c r="AG906" s="270">
        <v>2026</v>
      </c>
      <c r="AH906" s="261">
        <f t="shared" si="25"/>
        <v>94720.003805</v>
      </c>
      <c r="AI906" s="261"/>
      <c r="AJ906" s="261"/>
      <c r="AK906" s="259" t="s">
        <v>43</v>
      </c>
      <c r="AL906" s="259" t="s">
        <v>41</v>
      </c>
      <c r="AM906" s="266">
        <v>0</v>
      </c>
      <c r="AN906" s="67"/>
      <c r="AO906" s="239"/>
      <c r="AP906" s="240"/>
    </row>
    <row r="907" spans="1:42" s="258" customFormat="1" ht="37.950000000000003" customHeight="1" x14ac:dyDescent="0.3">
      <c r="A907" s="259" t="s">
        <v>1641</v>
      </c>
      <c r="B907" s="243" t="s">
        <v>1642</v>
      </c>
      <c r="C907" s="278" t="s">
        <v>1873</v>
      </c>
      <c r="D907" s="243" t="s">
        <v>34</v>
      </c>
      <c r="E907" s="243" t="s">
        <v>1644</v>
      </c>
      <c r="F907" s="259" t="s">
        <v>35</v>
      </c>
      <c r="G907" s="259">
        <v>1</v>
      </c>
      <c r="H907" s="245">
        <v>778720</v>
      </c>
      <c r="I907" s="243" t="s">
        <v>36</v>
      </c>
      <c r="J907" s="245">
        <f t="shared" si="24"/>
        <v>778720</v>
      </c>
      <c r="K907" s="1435">
        <f>8130.9+6911.27+11180+7419.45+136614.75</f>
        <v>170256.37</v>
      </c>
      <c r="L907" s="1435">
        <f>8130.9+6911.27+11180+7419.45+136614.75</f>
        <v>170256.37</v>
      </c>
      <c r="M907" s="246" t="s">
        <v>57</v>
      </c>
      <c r="N907" s="261" t="s">
        <v>1874</v>
      </c>
      <c r="O907" s="279" t="s">
        <v>1875</v>
      </c>
      <c r="P907" s="263" t="s">
        <v>41</v>
      </c>
      <c r="Q907" s="262">
        <v>45053</v>
      </c>
      <c r="R907" s="263" t="s">
        <v>41</v>
      </c>
      <c r="S907" s="262">
        <v>45053</v>
      </c>
      <c r="T907" s="263"/>
      <c r="U907" s="262"/>
      <c r="V907" s="263" t="s">
        <v>41</v>
      </c>
      <c r="W907" s="262">
        <v>45255</v>
      </c>
      <c r="X907" s="263" t="s">
        <v>41</v>
      </c>
      <c r="Y907" s="262">
        <v>45291</v>
      </c>
      <c r="Z907" s="263" t="s">
        <v>40</v>
      </c>
      <c r="AA907" s="262"/>
      <c r="AB907" s="263" t="s">
        <v>40</v>
      </c>
      <c r="AC907" s="262"/>
      <c r="AD907" s="262"/>
      <c r="AE907" s="262">
        <v>45565</v>
      </c>
      <c r="AF907" s="263" t="s">
        <v>65</v>
      </c>
      <c r="AG907" s="270">
        <v>2026</v>
      </c>
      <c r="AH907" s="261">
        <f t="shared" si="25"/>
        <v>837576.21221500007</v>
      </c>
      <c r="AI907" s="261"/>
      <c r="AJ907" s="261"/>
      <c r="AK907" s="259" t="s">
        <v>43</v>
      </c>
      <c r="AL907" s="259" t="s">
        <v>41</v>
      </c>
      <c r="AM907" s="266">
        <v>0</v>
      </c>
      <c r="AN907" s="67"/>
      <c r="AO907" s="256"/>
      <c r="AP907" s="257"/>
    </row>
    <row r="908" spans="1:42" s="258" customFormat="1" ht="37.950000000000003" customHeight="1" x14ac:dyDescent="0.3">
      <c r="A908" s="243" t="s">
        <v>1641</v>
      </c>
      <c r="B908" s="243" t="s">
        <v>1642</v>
      </c>
      <c r="C908" s="278" t="s">
        <v>1876</v>
      </c>
      <c r="D908" s="243" t="s">
        <v>34</v>
      </c>
      <c r="E908" s="243" t="s">
        <v>1644</v>
      </c>
      <c r="F908" s="243" t="s">
        <v>35</v>
      </c>
      <c r="G908" s="243">
        <v>1</v>
      </c>
      <c r="H908" s="245">
        <v>778720</v>
      </c>
      <c r="I908" s="243" t="s">
        <v>36</v>
      </c>
      <c r="J908" s="245">
        <f t="shared" si="24"/>
        <v>778720</v>
      </c>
      <c r="K908" s="1695">
        <v>0</v>
      </c>
      <c r="L908" s="1695">
        <v>0</v>
      </c>
      <c r="M908" s="246" t="s">
        <v>84</v>
      </c>
      <c r="N908" s="246" t="s">
        <v>1877</v>
      </c>
      <c r="O908" s="280" t="s">
        <v>1878</v>
      </c>
      <c r="P908" s="247" t="s">
        <v>41</v>
      </c>
      <c r="Q908" s="248">
        <v>45053</v>
      </c>
      <c r="R908" s="247" t="s">
        <v>41</v>
      </c>
      <c r="S908" s="248">
        <v>45053</v>
      </c>
      <c r="T908" s="247"/>
      <c r="U908" s="248"/>
      <c r="V908" s="247" t="s">
        <v>41</v>
      </c>
      <c r="W908" s="248">
        <v>45255</v>
      </c>
      <c r="X908" s="247" t="s">
        <v>41</v>
      </c>
      <c r="Y908" s="248">
        <v>45291</v>
      </c>
      <c r="Z908" s="247" t="s">
        <v>40</v>
      </c>
      <c r="AA908" s="248"/>
      <c r="AB908" s="247" t="s">
        <v>40</v>
      </c>
      <c r="AC908" s="248"/>
      <c r="AD908" s="248"/>
      <c r="AE908" s="248">
        <v>45565</v>
      </c>
      <c r="AF908" s="247" t="s">
        <v>65</v>
      </c>
      <c r="AG908" s="249">
        <v>2026</v>
      </c>
      <c r="AH908" s="246">
        <f t="shared" si="25"/>
        <v>0</v>
      </c>
      <c r="AI908" s="246"/>
      <c r="AJ908" s="246"/>
      <c r="AK908" s="243" t="s">
        <v>43</v>
      </c>
      <c r="AL908" s="243" t="s">
        <v>41</v>
      </c>
      <c r="AM908" s="250">
        <v>0</v>
      </c>
      <c r="AN908" s="281"/>
      <c r="AO908" s="256"/>
      <c r="AP908" s="257"/>
    </row>
    <row r="909" spans="1:42" s="258" customFormat="1" ht="37.950000000000003" customHeight="1" x14ac:dyDescent="0.3">
      <c r="A909" s="259" t="s">
        <v>1641</v>
      </c>
      <c r="B909" s="243" t="s">
        <v>1642</v>
      </c>
      <c r="C909" s="278" t="s">
        <v>1879</v>
      </c>
      <c r="D909" s="243" t="s">
        <v>34</v>
      </c>
      <c r="E909" s="243" t="s">
        <v>1644</v>
      </c>
      <c r="F909" s="259" t="s">
        <v>35</v>
      </c>
      <c r="G909" s="259">
        <v>1</v>
      </c>
      <c r="H909" s="245">
        <v>778720</v>
      </c>
      <c r="I909" s="243" t="s">
        <v>36</v>
      </c>
      <c r="J909" s="245">
        <f t="shared" si="24"/>
        <v>778720</v>
      </c>
      <c r="K909" s="1435">
        <f>5081.81+16114.44+11225.73+7114.54</f>
        <v>39536.519999999997</v>
      </c>
      <c r="L909" s="1435">
        <f>5081.81+16114.44+11225.73+7114.54</f>
        <v>39536.519999999997</v>
      </c>
      <c r="M909" s="246" t="s">
        <v>303</v>
      </c>
      <c r="N909" s="261" t="s">
        <v>1880</v>
      </c>
      <c r="O909" s="279" t="s">
        <v>1881</v>
      </c>
      <c r="P909" s="263" t="s">
        <v>41</v>
      </c>
      <c r="Q909" s="262">
        <v>45053</v>
      </c>
      <c r="R909" s="263" t="s">
        <v>41</v>
      </c>
      <c r="S909" s="262">
        <v>45053</v>
      </c>
      <c r="T909" s="263"/>
      <c r="U909" s="262"/>
      <c r="V909" s="263" t="s">
        <v>41</v>
      </c>
      <c r="W909" s="262">
        <v>45255</v>
      </c>
      <c r="X909" s="263" t="s">
        <v>41</v>
      </c>
      <c r="Y909" s="262">
        <v>45291</v>
      </c>
      <c r="Z909" s="263" t="s">
        <v>40</v>
      </c>
      <c r="AA909" s="262"/>
      <c r="AB909" s="263" t="s">
        <v>40</v>
      </c>
      <c r="AC909" s="262"/>
      <c r="AD909" s="262"/>
      <c r="AE909" s="262">
        <v>45565</v>
      </c>
      <c r="AF909" s="263" t="s">
        <v>65</v>
      </c>
      <c r="AG909" s="270">
        <v>2026</v>
      </c>
      <c r="AH909" s="261">
        <f t="shared" si="25"/>
        <v>194499.91013999999</v>
      </c>
      <c r="AI909" s="261"/>
      <c r="AJ909" s="261"/>
      <c r="AK909" s="259" t="s">
        <v>43</v>
      </c>
      <c r="AL909" s="259" t="s">
        <v>41</v>
      </c>
      <c r="AM909" s="266">
        <v>0</v>
      </c>
      <c r="AN909" s="67"/>
      <c r="AO909" s="256"/>
      <c r="AP909" s="257"/>
    </row>
    <row r="910" spans="1:42" s="273" customFormat="1" ht="37.950000000000003" customHeight="1" x14ac:dyDescent="0.3">
      <c r="A910" s="259" t="s">
        <v>1641</v>
      </c>
      <c r="B910" s="243" t="s">
        <v>1642</v>
      </c>
      <c r="C910" s="278" t="s">
        <v>1882</v>
      </c>
      <c r="D910" s="243" t="s">
        <v>34</v>
      </c>
      <c r="E910" s="243" t="s">
        <v>1644</v>
      </c>
      <c r="F910" s="259" t="s">
        <v>35</v>
      </c>
      <c r="G910" s="259">
        <v>1</v>
      </c>
      <c r="H910" s="245">
        <v>778720.2</v>
      </c>
      <c r="I910" s="243" t="s">
        <v>36</v>
      </c>
      <c r="J910" s="245">
        <f t="shared" si="24"/>
        <v>778720.2</v>
      </c>
      <c r="K910" s="1695">
        <v>24092.69</v>
      </c>
      <c r="L910" s="1695">
        <v>24092.69</v>
      </c>
      <c r="M910" s="246" t="s">
        <v>53</v>
      </c>
      <c r="N910" s="261" t="s">
        <v>1883</v>
      </c>
      <c r="O910" s="279" t="s">
        <v>1884</v>
      </c>
      <c r="P910" s="263" t="s">
        <v>41</v>
      </c>
      <c r="Q910" s="262">
        <v>45053</v>
      </c>
      <c r="R910" s="263" t="s">
        <v>41</v>
      </c>
      <c r="S910" s="262">
        <v>45053</v>
      </c>
      <c r="T910" s="263"/>
      <c r="U910" s="262"/>
      <c r="V910" s="263" t="s">
        <v>41</v>
      </c>
      <c r="W910" s="262">
        <v>45255</v>
      </c>
      <c r="X910" s="263" t="s">
        <v>41</v>
      </c>
      <c r="Y910" s="262">
        <v>45291</v>
      </c>
      <c r="Z910" s="263" t="s">
        <v>40</v>
      </c>
      <c r="AA910" s="262"/>
      <c r="AB910" s="263" t="s">
        <v>40</v>
      </c>
      <c r="AC910" s="262"/>
      <c r="AD910" s="262"/>
      <c r="AE910" s="262">
        <v>45565</v>
      </c>
      <c r="AF910" s="263" t="s">
        <v>65</v>
      </c>
      <c r="AG910" s="270">
        <v>2026</v>
      </c>
      <c r="AH910" s="261">
        <f t="shared" si="25"/>
        <v>118523.988455</v>
      </c>
      <c r="AI910" s="261"/>
      <c r="AJ910" s="261"/>
      <c r="AK910" s="259" t="s">
        <v>43</v>
      </c>
      <c r="AL910" s="259" t="s">
        <v>41</v>
      </c>
      <c r="AM910" s="266">
        <v>0</v>
      </c>
      <c r="AN910" s="67"/>
      <c r="AO910" s="271"/>
      <c r="AP910" s="272"/>
    </row>
    <row r="911" spans="1:42" s="258" customFormat="1" ht="37.950000000000003" customHeight="1" x14ac:dyDescent="0.3">
      <c r="A911" s="259" t="s">
        <v>1641</v>
      </c>
      <c r="B911" s="243" t="s">
        <v>1642</v>
      </c>
      <c r="C911" s="278" t="s">
        <v>1885</v>
      </c>
      <c r="D911" s="243" t="s">
        <v>34</v>
      </c>
      <c r="E911" s="243" t="s">
        <v>1644</v>
      </c>
      <c r="F911" s="259" t="s">
        <v>35</v>
      </c>
      <c r="G911" s="259">
        <v>1</v>
      </c>
      <c r="H911" s="245">
        <v>778720.2</v>
      </c>
      <c r="I911" s="243" t="s">
        <v>36</v>
      </c>
      <c r="J911" s="245">
        <f t="shared" si="24"/>
        <v>778720.2</v>
      </c>
      <c r="K911" s="1435">
        <f>13558.28</f>
        <v>13558.28</v>
      </c>
      <c r="L911" s="1435">
        <f>13558.28</f>
        <v>13558.28</v>
      </c>
      <c r="M911" s="246" t="s">
        <v>55</v>
      </c>
      <c r="N911" s="261" t="s">
        <v>1886</v>
      </c>
      <c r="O911" s="279" t="s">
        <v>1887</v>
      </c>
      <c r="P911" s="263" t="s">
        <v>41</v>
      </c>
      <c r="Q911" s="262">
        <v>45053</v>
      </c>
      <c r="R911" s="263" t="s">
        <v>41</v>
      </c>
      <c r="S911" s="262">
        <v>45053</v>
      </c>
      <c r="T911" s="263"/>
      <c r="U911" s="262"/>
      <c r="V911" s="263" t="s">
        <v>41</v>
      </c>
      <c r="W911" s="262">
        <v>45255</v>
      </c>
      <c r="X911" s="263" t="s">
        <v>41</v>
      </c>
      <c r="Y911" s="262">
        <v>45291</v>
      </c>
      <c r="Z911" s="263" t="s">
        <v>40</v>
      </c>
      <c r="AA911" s="262"/>
      <c r="AB911" s="263" t="s">
        <v>40</v>
      </c>
      <c r="AC911" s="262"/>
      <c r="AD911" s="262"/>
      <c r="AE911" s="262">
        <v>45565</v>
      </c>
      <c r="AF911" s="263" t="s">
        <v>65</v>
      </c>
      <c r="AG911" s="270">
        <v>2026</v>
      </c>
      <c r="AH911" s="261">
        <f t="shared" si="25"/>
        <v>66699.958460000009</v>
      </c>
      <c r="AI911" s="261"/>
      <c r="AJ911" s="261"/>
      <c r="AK911" s="259" t="s">
        <v>43</v>
      </c>
      <c r="AL911" s="259" t="s">
        <v>41</v>
      </c>
      <c r="AM911" s="266">
        <v>0</v>
      </c>
      <c r="AN911" s="67"/>
      <c r="AO911" s="256"/>
      <c r="AP911" s="257"/>
    </row>
    <row r="912" spans="1:42" s="258" customFormat="1" ht="37.950000000000003" customHeight="1" x14ac:dyDescent="0.3">
      <c r="A912" s="259" t="s">
        <v>1641</v>
      </c>
      <c r="B912" s="243" t="s">
        <v>1642</v>
      </c>
      <c r="C912" s="278" t="s">
        <v>1888</v>
      </c>
      <c r="D912" s="243" t="s">
        <v>34</v>
      </c>
      <c r="E912" s="243" t="s">
        <v>1644</v>
      </c>
      <c r="F912" s="259" t="s">
        <v>35</v>
      </c>
      <c r="G912" s="259">
        <v>1</v>
      </c>
      <c r="H912" s="245">
        <v>778720.2</v>
      </c>
      <c r="I912" s="243" t="s">
        <v>36</v>
      </c>
      <c r="J912" s="245">
        <f t="shared" si="24"/>
        <v>778720.2</v>
      </c>
      <c r="K912" s="1695">
        <f>27441.81</f>
        <v>27441.81</v>
      </c>
      <c r="L912" s="1695">
        <f>K912</f>
        <v>27441.81</v>
      </c>
      <c r="M912" s="246" t="s">
        <v>322</v>
      </c>
      <c r="N912" s="261" t="s">
        <v>1200</v>
      </c>
      <c r="O912" s="279" t="s">
        <v>1889</v>
      </c>
      <c r="P912" s="263" t="s">
        <v>41</v>
      </c>
      <c r="Q912" s="262">
        <v>45053</v>
      </c>
      <c r="R912" s="263" t="s">
        <v>41</v>
      </c>
      <c r="S912" s="262">
        <v>45053</v>
      </c>
      <c r="T912" s="263"/>
      <c r="U912" s="262"/>
      <c r="V912" s="263" t="s">
        <v>41</v>
      </c>
      <c r="W912" s="262">
        <v>45255</v>
      </c>
      <c r="X912" s="263" t="s">
        <v>41</v>
      </c>
      <c r="Y912" s="262">
        <v>45291</v>
      </c>
      <c r="Z912" s="263" t="s">
        <v>40</v>
      </c>
      <c r="AA912" s="262"/>
      <c r="AB912" s="263" t="s">
        <v>40</v>
      </c>
      <c r="AC912" s="262"/>
      <c r="AD912" s="262"/>
      <c r="AE912" s="262">
        <v>45565</v>
      </c>
      <c r="AF912" s="263" t="s">
        <v>65</v>
      </c>
      <c r="AG912" s="270">
        <v>2026</v>
      </c>
      <c r="AH912" s="261">
        <f t="shared" si="25"/>
        <v>134999.984295</v>
      </c>
      <c r="AI912" s="261"/>
      <c r="AJ912" s="261"/>
      <c r="AK912" s="259" t="s">
        <v>43</v>
      </c>
      <c r="AL912" s="259" t="s">
        <v>41</v>
      </c>
      <c r="AM912" s="266">
        <v>0</v>
      </c>
      <c r="AN912" s="67"/>
      <c r="AO912" s="256"/>
      <c r="AP912" s="257"/>
    </row>
    <row r="913" spans="1:42" s="258" customFormat="1" ht="37.950000000000003" customHeight="1" x14ac:dyDescent="0.3">
      <c r="A913" s="259" t="s">
        <v>1641</v>
      </c>
      <c r="B913" s="243" t="s">
        <v>1642</v>
      </c>
      <c r="C913" s="278" t="s">
        <v>1890</v>
      </c>
      <c r="D913" s="243" t="s">
        <v>34</v>
      </c>
      <c r="E913" s="243" t="s">
        <v>1644</v>
      </c>
      <c r="F913" s="259" t="s">
        <v>35</v>
      </c>
      <c r="G913" s="259">
        <v>1</v>
      </c>
      <c r="H913" s="245">
        <v>778720.2</v>
      </c>
      <c r="I913" s="243" t="s">
        <v>36</v>
      </c>
      <c r="J913" s="245">
        <f t="shared" si="24"/>
        <v>778720.2</v>
      </c>
      <c r="K913" s="1695">
        <f>15245.45+31347.09+20470.56</f>
        <v>67063.100000000006</v>
      </c>
      <c r="L913" s="1695">
        <f>K913</f>
        <v>67063.100000000006</v>
      </c>
      <c r="M913" s="246" t="s">
        <v>53</v>
      </c>
      <c r="N913" s="261" t="s">
        <v>1891</v>
      </c>
      <c r="O913" s="279" t="s">
        <v>1892</v>
      </c>
      <c r="P913" s="263" t="s">
        <v>41</v>
      </c>
      <c r="Q913" s="262">
        <v>45053</v>
      </c>
      <c r="R913" s="263" t="s">
        <v>41</v>
      </c>
      <c r="S913" s="262">
        <v>45053</v>
      </c>
      <c r="T913" s="263"/>
      <c r="U913" s="262"/>
      <c r="V913" s="263" t="s">
        <v>41</v>
      </c>
      <c r="W913" s="262">
        <v>45255</v>
      </c>
      <c r="X913" s="263" t="s">
        <v>41</v>
      </c>
      <c r="Y913" s="262">
        <v>45291</v>
      </c>
      <c r="Z913" s="263" t="s">
        <v>40</v>
      </c>
      <c r="AA913" s="262"/>
      <c r="AB913" s="263" t="s">
        <v>40</v>
      </c>
      <c r="AC913" s="262"/>
      <c r="AD913" s="262"/>
      <c r="AE913" s="262">
        <v>45565</v>
      </c>
      <c r="AF913" s="263" t="s">
        <v>65</v>
      </c>
      <c r="AG913" s="270">
        <v>2026</v>
      </c>
      <c r="AH913" s="261">
        <f t="shared" si="25"/>
        <v>329916.92045000003</v>
      </c>
      <c r="AI913" s="261"/>
      <c r="AJ913" s="261"/>
      <c r="AK913" s="259" t="s">
        <v>43</v>
      </c>
      <c r="AL913" s="259" t="s">
        <v>41</v>
      </c>
      <c r="AM913" s="266">
        <v>0</v>
      </c>
      <c r="AN913" s="67"/>
      <c r="AO913" s="256"/>
      <c r="AP913" s="257"/>
    </row>
    <row r="914" spans="1:42" s="258" customFormat="1" ht="37.950000000000003" customHeight="1" x14ac:dyDescent="0.3">
      <c r="A914" s="259" t="s">
        <v>1641</v>
      </c>
      <c r="B914" s="243" t="s">
        <v>1642</v>
      </c>
      <c r="C914" s="278" t="s">
        <v>1893</v>
      </c>
      <c r="D914" s="243" t="s">
        <v>34</v>
      </c>
      <c r="E914" s="243" t="s">
        <v>1644</v>
      </c>
      <c r="F914" s="259" t="s">
        <v>35</v>
      </c>
      <c r="G914" s="259">
        <v>1</v>
      </c>
      <c r="H914" s="245">
        <v>778720.2</v>
      </c>
      <c r="I914" s="243" t="s">
        <v>36</v>
      </c>
      <c r="J914" s="245">
        <f t="shared" si="24"/>
        <v>778720.2</v>
      </c>
      <c r="K914" s="1695">
        <v>0</v>
      </c>
      <c r="L914" s="1695">
        <v>0</v>
      </c>
      <c r="M914" s="246" t="s">
        <v>67</v>
      </c>
      <c r="N914" s="261" t="s">
        <v>1894</v>
      </c>
      <c r="O914" s="279" t="s">
        <v>1895</v>
      </c>
      <c r="P914" s="263" t="s">
        <v>41</v>
      </c>
      <c r="Q914" s="262">
        <v>45055</v>
      </c>
      <c r="R914" s="263" t="s">
        <v>41</v>
      </c>
      <c r="S914" s="262">
        <v>45055</v>
      </c>
      <c r="T914" s="263"/>
      <c r="U914" s="262"/>
      <c r="V914" s="263" t="s">
        <v>41</v>
      </c>
      <c r="W914" s="262">
        <v>45255</v>
      </c>
      <c r="X914" s="263" t="s">
        <v>41</v>
      </c>
      <c r="Y914" s="262">
        <v>45291</v>
      </c>
      <c r="Z914" s="263" t="s">
        <v>40</v>
      </c>
      <c r="AA914" s="262"/>
      <c r="AB914" s="263" t="s">
        <v>40</v>
      </c>
      <c r="AC914" s="262"/>
      <c r="AD914" s="262"/>
      <c r="AE914" s="262">
        <v>45565</v>
      </c>
      <c r="AF914" s="263" t="s">
        <v>65</v>
      </c>
      <c r="AG914" s="270">
        <v>2026</v>
      </c>
      <c r="AH914" s="261">
        <f t="shared" si="25"/>
        <v>0</v>
      </c>
      <c r="AI914" s="261"/>
      <c r="AJ914" s="261"/>
      <c r="AK914" s="259" t="s">
        <v>43</v>
      </c>
      <c r="AL914" s="259" t="s">
        <v>41</v>
      </c>
      <c r="AM914" s="266">
        <v>0</v>
      </c>
      <c r="AN914" s="67"/>
      <c r="AO914" s="256"/>
      <c r="AP914" s="257"/>
    </row>
    <row r="915" spans="1:42" s="258" customFormat="1" ht="37.950000000000003" customHeight="1" x14ac:dyDescent="0.3">
      <c r="A915" s="259" t="s">
        <v>1641</v>
      </c>
      <c r="B915" s="243" t="s">
        <v>1642</v>
      </c>
      <c r="C915" s="278" t="s">
        <v>1896</v>
      </c>
      <c r="D915" s="243" t="s">
        <v>34</v>
      </c>
      <c r="E915" s="243" t="s">
        <v>1644</v>
      </c>
      <c r="F915" s="259" t="s">
        <v>35</v>
      </c>
      <c r="G915" s="259">
        <v>1</v>
      </c>
      <c r="H915" s="245">
        <v>778720.2</v>
      </c>
      <c r="I915" s="243" t="s">
        <v>36</v>
      </c>
      <c r="J915" s="245">
        <f t="shared" si="24"/>
        <v>778720.2</v>
      </c>
      <c r="K915" s="1695">
        <v>0</v>
      </c>
      <c r="L915" s="1695">
        <v>0</v>
      </c>
      <c r="M915" s="246" t="s">
        <v>55</v>
      </c>
      <c r="N915" s="261" t="s">
        <v>1897</v>
      </c>
      <c r="O915" s="279" t="s">
        <v>1898</v>
      </c>
      <c r="P915" s="263" t="s">
        <v>41</v>
      </c>
      <c r="Q915" s="262">
        <v>45053</v>
      </c>
      <c r="R915" s="263" t="s">
        <v>41</v>
      </c>
      <c r="S915" s="262">
        <v>45053</v>
      </c>
      <c r="T915" s="263"/>
      <c r="U915" s="262"/>
      <c r="V915" s="263" t="s">
        <v>41</v>
      </c>
      <c r="W915" s="262">
        <v>45255</v>
      </c>
      <c r="X915" s="263" t="s">
        <v>41</v>
      </c>
      <c r="Y915" s="262">
        <v>45291</v>
      </c>
      <c r="Z915" s="263" t="s">
        <v>40</v>
      </c>
      <c r="AA915" s="262"/>
      <c r="AB915" s="263" t="s">
        <v>40</v>
      </c>
      <c r="AC915" s="262"/>
      <c r="AD915" s="262"/>
      <c r="AE915" s="262">
        <v>45565</v>
      </c>
      <c r="AF915" s="263" t="s">
        <v>65</v>
      </c>
      <c r="AG915" s="270">
        <v>2026</v>
      </c>
      <c r="AH915" s="261">
        <f t="shared" si="25"/>
        <v>0</v>
      </c>
      <c r="AI915" s="261"/>
      <c r="AJ915" s="261"/>
      <c r="AK915" s="259" t="s">
        <v>43</v>
      </c>
      <c r="AL915" s="259" t="s">
        <v>41</v>
      </c>
      <c r="AM915" s="266">
        <v>0</v>
      </c>
      <c r="AN915" s="67"/>
      <c r="AO915" s="256"/>
      <c r="AP915" s="257"/>
    </row>
    <row r="916" spans="1:42" s="258" customFormat="1" ht="37.950000000000003" customHeight="1" x14ac:dyDescent="0.3">
      <c r="A916" s="259" t="s">
        <v>1641</v>
      </c>
      <c r="B916" s="243" t="s">
        <v>1642</v>
      </c>
      <c r="C916" s="278" t="s">
        <v>1899</v>
      </c>
      <c r="D916" s="243" t="s">
        <v>34</v>
      </c>
      <c r="E916" s="243" t="s">
        <v>1644</v>
      </c>
      <c r="F916" s="259" t="s">
        <v>35</v>
      </c>
      <c r="G916" s="259">
        <v>1</v>
      </c>
      <c r="H916" s="245">
        <v>756305.63</v>
      </c>
      <c r="I916" s="243" t="s">
        <v>36</v>
      </c>
      <c r="J916" s="245">
        <f t="shared" si="24"/>
        <v>756305.63</v>
      </c>
      <c r="K916" s="1695">
        <f>7317.82+10209.37</f>
        <v>17527.190000000002</v>
      </c>
      <c r="L916" s="1695">
        <f>K916</f>
        <v>17527.190000000002</v>
      </c>
      <c r="M916" s="246" t="s">
        <v>534</v>
      </c>
      <c r="N916" s="261" t="s">
        <v>1900</v>
      </c>
      <c r="O916" s="279" t="s">
        <v>1901</v>
      </c>
      <c r="P916" s="263" t="s">
        <v>41</v>
      </c>
      <c r="Q916" s="262">
        <v>45053</v>
      </c>
      <c r="R916" s="263" t="s">
        <v>41</v>
      </c>
      <c r="S916" s="262">
        <v>45053</v>
      </c>
      <c r="T916" s="263"/>
      <c r="U916" s="262"/>
      <c r="V916" s="263" t="s">
        <v>41</v>
      </c>
      <c r="W916" s="262">
        <v>45255</v>
      </c>
      <c r="X916" s="263" t="s">
        <v>41</v>
      </c>
      <c r="Y916" s="262">
        <v>45291</v>
      </c>
      <c r="Z916" s="263" t="s">
        <v>40</v>
      </c>
      <c r="AA916" s="262"/>
      <c r="AB916" s="263" t="s">
        <v>40</v>
      </c>
      <c r="AC916" s="262"/>
      <c r="AD916" s="262"/>
      <c r="AE916" s="262">
        <v>45565</v>
      </c>
      <c r="AF916" s="263" t="s">
        <v>65</v>
      </c>
      <c r="AG916" s="270">
        <v>2026</v>
      </c>
      <c r="AH916" s="261">
        <f t="shared" si="25"/>
        <v>86225.011205000017</v>
      </c>
      <c r="AI916" s="261"/>
      <c r="AJ916" s="261"/>
      <c r="AK916" s="259" t="s">
        <v>43</v>
      </c>
      <c r="AL916" s="259" t="s">
        <v>41</v>
      </c>
      <c r="AM916" s="266">
        <v>0</v>
      </c>
      <c r="AN916" s="67"/>
      <c r="AO916" s="256"/>
      <c r="AP916" s="257"/>
    </row>
    <row r="917" spans="1:42" s="258" customFormat="1" ht="37.950000000000003" customHeight="1" x14ac:dyDescent="0.3">
      <c r="A917" s="259" t="s">
        <v>1641</v>
      </c>
      <c r="B917" s="243" t="s">
        <v>1642</v>
      </c>
      <c r="C917" s="278" t="s">
        <v>1902</v>
      </c>
      <c r="D917" s="243" t="s">
        <v>34</v>
      </c>
      <c r="E917" s="243" t="s">
        <v>1644</v>
      </c>
      <c r="F917" s="259" t="s">
        <v>35</v>
      </c>
      <c r="G917" s="259">
        <v>1</v>
      </c>
      <c r="H917" s="245">
        <v>778720</v>
      </c>
      <c r="I917" s="243" t="s">
        <v>36</v>
      </c>
      <c r="J917" s="245">
        <f t="shared" si="24"/>
        <v>778720</v>
      </c>
      <c r="K917" s="1435">
        <f>13665.39+14691.14</f>
        <v>28356.53</v>
      </c>
      <c r="L917" s="1435">
        <f>13665.39+14691.14</f>
        <v>28356.53</v>
      </c>
      <c r="M917" s="246" t="s">
        <v>868</v>
      </c>
      <c r="N917" s="261" t="s">
        <v>1903</v>
      </c>
      <c r="O917" s="279" t="s">
        <v>1904</v>
      </c>
      <c r="P917" s="263" t="s">
        <v>41</v>
      </c>
      <c r="Q917" s="262">
        <v>45053</v>
      </c>
      <c r="R917" s="263" t="s">
        <v>41</v>
      </c>
      <c r="S917" s="262">
        <v>45053</v>
      </c>
      <c r="T917" s="263"/>
      <c r="U917" s="262"/>
      <c r="V917" s="263" t="s">
        <v>41</v>
      </c>
      <c r="W917" s="262">
        <v>45255</v>
      </c>
      <c r="X917" s="263" t="s">
        <v>41</v>
      </c>
      <c r="Y917" s="262">
        <v>45291</v>
      </c>
      <c r="Z917" s="263" t="s">
        <v>40</v>
      </c>
      <c r="AA917" s="262"/>
      <c r="AB917" s="263" t="s">
        <v>40</v>
      </c>
      <c r="AC917" s="262"/>
      <c r="AD917" s="262"/>
      <c r="AE917" s="262">
        <v>45565</v>
      </c>
      <c r="AF917" s="263" t="s">
        <v>65</v>
      </c>
      <c r="AG917" s="270">
        <v>2026</v>
      </c>
      <c r="AH917" s="261">
        <f t="shared" si="25"/>
        <v>139499.94933500001</v>
      </c>
      <c r="AI917" s="261"/>
      <c r="AJ917" s="261"/>
      <c r="AK917" s="259" t="s">
        <v>43</v>
      </c>
      <c r="AL917" s="259" t="s">
        <v>41</v>
      </c>
      <c r="AM917" s="266">
        <v>0</v>
      </c>
      <c r="AN917" s="67"/>
      <c r="AO917" s="256"/>
      <c r="AP917" s="257"/>
    </row>
    <row r="918" spans="1:42" s="258" customFormat="1" ht="37.950000000000003" customHeight="1" x14ac:dyDescent="0.3">
      <c r="A918" s="259" t="s">
        <v>1641</v>
      </c>
      <c r="B918" s="243" t="s">
        <v>1642</v>
      </c>
      <c r="C918" s="278" t="s">
        <v>1905</v>
      </c>
      <c r="D918" s="243" t="s">
        <v>34</v>
      </c>
      <c r="E918" s="243" t="s">
        <v>1644</v>
      </c>
      <c r="F918" s="259" t="s">
        <v>35</v>
      </c>
      <c r="G918" s="259">
        <v>1</v>
      </c>
      <c r="H918" s="245">
        <v>778720</v>
      </c>
      <c r="I918" s="243" t="s">
        <v>36</v>
      </c>
      <c r="J918" s="245">
        <f t="shared" si="24"/>
        <v>778720</v>
      </c>
      <c r="K918" s="1695">
        <f>2178.35+15652+25205.81+3621.54+7256.84</f>
        <v>53914.540000000008</v>
      </c>
      <c r="L918" s="1695">
        <f>K918</f>
        <v>53914.540000000008</v>
      </c>
      <c r="M918" s="246" t="s">
        <v>84</v>
      </c>
      <c r="N918" s="261" t="s">
        <v>1906</v>
      </c>
      <c r="O918" s="279" t="s">
        <v>1907</v>
      </c>
      <c r="P918" s="263" t="s">
        <v>41</v>
      </c>
      <c r="Q918" s="262">
        <v>45053</v>
      </c>
      <c r="R918" s="263" t="s">
        <v>41</v>
      </c>
      <c r="S918" s="262">
        <v>45053</v>
      </c>
      <c r="T918" s="263"/>
      <c r="U918" s="262"/>
      <c r="V918" s="263" t="s">
        <v>41</v>
      </c>
      <c r="W918" s="262">
        <v>45255</v>
      </c>
      <c r="X918" s="263" t="s">
        <v>41</v>
      </c>
      <c r="Y918" s="262">
        <v>45291</v>
      </c>
      <c r="Z918" s="263" t="s">
        <v>40</v>
      </c>
      <c r="AA918" s="262"/>
      <c r="AB918" s="263" t="s">
        <v>40</v>
      </c>
      <c r="AC918" s="262"/>
      <c r="AD918" s="262"/>
      <c r="AE918" s="262">
        <v>45565</v>
      </c>
      <c r="AF918" s="263" t="s">
        <v>65</v>
      </c>
      <c r="AG918" s="270">
        <v>2026</v>
      </c>
      <c r="AH918" s="261">
        <f t="shared" si="25"/>
        <v>265232.57953000005</v>
      </c>
      <c r="AI918" s="261"/>
      <c r="AJ918" s="261"/>
      <c r="AK918" s="259" t="s">
        <v>43</v>
      </c>
      <c r="AL918" s="259" t="s">
        <v>41</v>
      </c>
      <c r="AM918" s="266">
        <v>0</v>
      </c>
      <c r="AN918" s="67"/>
      <c r="AO918" s="256"/>
      <c r="AP918" s="257"/>
    </row>
    <row r="919" spans="1:42" s="258" customFormat="1" ht="37.950000000000003" customHeight="1" x14ac:dyDescent="0.3">
      <c r="A919" s="259" t="s">
        <v>1641</v>
      </c>
      <c r="B919" s="243" t="s">
        <v>1642</v>
      </c>
      <c r="C919" s="278" t="s">
        <v>1908</v>
      </c>
      <c r="D919" s="243" t="s">
        <v>34</v>
      </c>
      <c r="E919" s="243" t="s">
        <v>1644</v>
      </c>
      <c r="F919" s="259" t="s">
        <v>35</v>
      </c>
      <c r="G919" s="259">
        <v>1</v>
      </c>
      <c r="H919" s="245">
        <v>778720</v>
      </c>
      <c r="I919" s="243" t="s">
        <v>36</v>
      </c>
      <c r="J919" s="245">
        <f t="shared" si="24"/>
        <v>778720</v>
      </c>
      <c r="K919" s="1695">
        <v>42331.53</v>
      </c>
      <c r="L919" s="1695">
        <v>42331.53</v>
      </c>
      <c r="M919" s="246" t="s">
        <v>54</v>
      </c>
      <c r="N919" s="261" t="s">
        <v>1909</v>
      </c>
      <c r="O919" s="279" t="s">
        <v>1910</v>
      </c>
      <c r="P919" s="263" t="s">
        <v>41</v>
      </c>
      <c r="Q919" s="262">
        <v>45053</v>
      </c>
      <c r="R919" s="263" t="s">
        <v>41</v>
      </c>
      <c r="S919" s="262">
        <v>45053</v>
      </c>
      <c r="T919" s="263"/>
      <c r="U919" s="262"/>
      <c r="V919" s="263" t="s">
        <v>41</v>
      </c>
      <c r="W919" s="262">
        <v>45255</v>
      </c>
      <c r="X919" s="263" t="s">
        <v>41</v>
      </c>
      <c r="Y919" s="262">
        <v>45291</v>
      </c>
      <c r="Z919" s="263" t="s">
        <v>40</v>
      </c>
      <c r="AA919" s="262"/>
      <c r="AB919" s="263" t="s">
        <v>40</v>
      </c>
      <c r="AC919" s="262"/>
      <c r="AD919" s="262"/>
      <c r="AE919" s="262">
        <v>45565</v>
      </c>
      <c r="AF919" s="263" t="s">
        <v>65</v>
      </c>
      <c r="AG919" s="270">
        <v>2026</v>
      </c>
      <c r="AH919" s="261">
        <f t="shared" si="25"/>
        <v>208249.96183499999</v>
      </c>
      <c r="AI919" s="261"/>
      <c r="AJ919" s="261"/>
      <c r="AK919" s="259" t="s">
        <v>43</v>
      </c>
      <c r="AL919" s="259" t="s">
        <v>41</v>
      </c>
      <c r="AM919" s="266">
        <v>0</v>
      </c>
      <c r="AN919" s="67"/>
      <c r="AO919" s="256"/>
      <c r="AP919" s="257"/>
    </row>
    <row r="920" spans="1:42" s="258" customFormat="1" ht="37.950000000000003" customHeight="1" x14ac:dyDescent="0.3">
      <c r="A920" s="259" t="s">
        <v>1641</v>
      </c>
      <c r="B920" s="243" t="s">
        <v>1642</v>
      </c>
      <c r="C920" s="278" t="s">
        <v>1911</v>
      </c>
      <c r="D920" s="243" t="s">
        <v>34</v>
      </c>
      <c r="E920" s="243" t="s">
        <v>1644</v>
      </c>
      <c r="F920" s="259" t="s">
        <v>35</v>
      </c>
      <c r="G920" s="259">
        <v>1</v>
      </c>
      <c r="H920" s="245">
        <v>776650.21</v>
      </c>
      <c r="I920" s="243" t="s">
        <v>36</v>
      </c>
      <c r="J920" s="245">
        <f t="shared" si="24"/>
        <v>776650.21</v>
      </c>
      <c r="K920" s="1435">
        <f>11993.08+22287.48+3370.19</f>
        <v>37650.75</v>
      </c>
      <c r="L920" s="1435">
        <f>11993.08+22287.48+3370.19</f>
        <v>37650.75</v>
      </c>
      <c r="M920" s="246" t="s">
        <v>62</v>
      </c>
      <c r="N920" s="261" t="s">
        <v>1912</v>
      </c>
      <c r="O920" s="279" t="s">
        <v>1913</v>
      </c>
      <c r="P920" s="263" t="s">
        <v>41</v>
      </c>
      <c r="Q920" s="262">
        <v>45053</v>
      </c>
      <c r="R920" s="263" t="s">
        <v>41</v>
      </c>
      <c r="S920" s="262">
        <v>45053</v>
      </c>
      <c r="T920" s="263"/>
      <c r="U920" s="262"/>
      <c r="V920" s="263" t="s">
        <v>41</v>
      </c>
      <c r="W920" s="262">
        <v>45255</v>
      </c>
      <c r="X920" s="263" t="s">
        <v>41</v>
      </c>
      <c r="Y920" s="262">
        <v>45291</v>
      </c>
      <c r="Z920" s="263" t="s">
        <v>40</v>
      </c>
      <c r="AA920" s="262"/>
      <c r="AB920" s="263" t="s">
        <v>40</v>
      </c>
      <c r="AC920" s="262"/>
      <c r="AD920" s="262"/>
      <c r="AE920" s="262">
        <v>45565</v>
      </c>
      <c r="AF920" s="263" t="s">
        <v>65</v>
      </c>
      <c r="AG920" s="270">
        <v>2026</v>
      </c>
      <c r="AH920" s="261">
        <f t="shared" si="25"/>
        <v>185222.86462500002</v>
      </c>
      <c r="AI920" s="261"/>
      <c r="AJ920" s="261"/>
      <c r="AK920" s="259" t="s">
        <v>43</v>
      </c>
      <c r="AL920" s="259" t="s">
        <v>41</v>
      </c>
      <c r="AM920" s="266">
        <v>0</v>
      </c>
      <c r="AN920" s="67"/>
      <c r="AO920" s="256"/>
      <c r="AP920" s="257"/>
    </row>
    <row r="921" spans="1:42" s="258" customFormat="1" ht="37.950000000000003" customHeight="1" x14ac:dyDescent="0.3">
      <c r="A921" s="259" t="s">
        <v>1641</v>
      </c>
      <c r="B921" s="243" t="s">
        <v>1642</v>
      </c>
      <c r="C921" s="278" t="s">
        <v>1914</v>
      </c>
      <c r="D921" s="243" t="s">
        <v>34</v>
      </c>
      <c r="E921" s="243" t="s">
        <v>1644</v>
      </c>
      <c r="F921" s="259" t="s">
        <v>35</v>
      </c>
      <c r="G921" s="259">
        <v>1</v>
      </c>
      <c r="H921" s="245">
        <v>778720.2</v>
      </c>
      <c r="I921" s="243" t="s">
        <v>36</v>
      </c>
      <c r="J921" s="245">
        <f t="shared" si="24"/>
        <v>778720.2</v>
      </c>
      <c r="K921" s="1695">
        <f>21343.63</f>
        <v>21343.63</v>
      </c>
      <c r="L921" s="1695">
        <f>21343.63</f>
        <v>21343.63</v>
      </c>
      <c r="M921" s="246" t="s">
        <v>55</v>
      </c>
      <c r="N921" s="261" t="s">
        <v>1915</v>
      </c>
      <c r="O921" s="279" t="s">
        <v>1916</v>
      </c>
      <c r="P921" s="263" t="s">
        <v>41</v>
      </c>
      <c r="Q921" s="262">
        <v>45055</v>
      </c>
      <c r="R921" s="263" t="s">
        <v>41</v>
      </c>
      <c r="S921" s="262">
        <v>45055</v>
      </c>
      <c r="T921" s="263"/>
      <c r="U921" s="262"/>
      <c r="V921" s="263" t="s">
        <v>41</v>
      </c>
      <c r="W921" s="262">
        <v>45255</v>
      </c>
      <c r="X921" s="263" t="s">
        <v>41</v>
      </c>
      <c r="Y921" s="262">
        <v>45291</v>
      </c>
      <c r="Z921" s="263" t="s">
        <v>40</v>
      </c>
      <c r="AA921" s="262"/>
      <c r="AB921" s="263" t="s">
        <v>40</v>
      </c>
      <c r="AC921" s="262"/>
      <c r="AD921" s="262"/>
      <c r="AE921" s="262">
        <v>45565</v>
      </c>
      <c r="AF921" s="263" t="s">
        <v>65</v>
      </c>
      <c r="AG921" s="270">
        <v>2026</v>
      </c>
      <c r="AH921" s="261">
        <f t="shared" si="25"/>
        <v>104999.987785</v>
      </c>
      <c r="AI921" s="261"/>
      <c r="AJ921" s="261"/>
      <c r="AK921" s="259" t="s">
        <v>43</v>
      </c>
      <c r="AL921" s="259" t="s">
        <v>41</v>
      </c>
      <c r="AM921" s="266">
        <v>0</v>
      </c>
      <c r="AN921" s="67"/>
      <c r="AO921" s="256"/>
      <c r="AP921" s="257"/>
    </row>
    <row r="922" spans="1:42" s="258" customFormat="1" ht="37.950000000000003" customHeight="1" x14ac:dyDescent="0.3">
      <c r="A922" s="259" t="s">
        <v>1641</v>
      </c>
      <c r="B922" s="243" t="s">
        <v>1642</v>
      </c>
      <c r="C922" s="278" t="s">
        <v>1917</v>
      </c>
      <c r="D922" s="243" t="s">
        <v>34</v>
      </c>
      <c r="E922" s="243" t="s">
        <v>1644</v>
      </c>
      <c r="F922" s="259" t="s">
        <v>35</v>
      </c>
      <c r="G922" s="259">
        <v>1</v>
      </c>
      <c r="H922" s="245">
        <v>778720.2</v>
      </c>
      <c r="I922" s="243" t="s">
        <v>36</v>
      </c>
      <c r="J922" s="245">
        <f t="shared" si="24"/>
        <v>778720.2</v>
      </c>
      <c r="K922" s="1695">
        <f>7927.63+11433.47+6351.66+11177.94+6351.66</f>
        <v>43242.36</v>
      </c>
      <c r="L922" s="1695">
        <f>K922</f>
        <v>43242.36</v>
      </c>
      <c r="M922" s="246" t="s">
        <v>54</v>
      </c>
      <c r="N922" s="261" t="s">
        <v>1918</v>
      </c>
      <c r="O922" s="279" t="s">
        <v>1919</v>
      </c>
      <c r="P922" s="263" t="s">
        <v>41</v>
      </c>
      <c r="Q922" s="262">
        <v>45055</v>
      </c>
      <c r="R922" s="263" t="s">
        <v>41</v>
      </c>
      <c r="S922" s="262">
        <v>45055</v>
      </c>
      <c r="T922" s="263"/>
      <c r="U922" s="262"/>
      <c r="V922" s="263" t="s">
        <v>41</v>
      </c>
      <c r="W922" s="262">
        <v>45255</v>
      </c>
      <c r="X922" s="263" t="s">
        <v>41</v>
      </c>
      <c r="Y922" s="262">
        <v>45291</v>
      </c>
      <c r="Z922" s="263" t="s">
        <v>40</v>
      </c>
      <c r="AA922" s="262"/>
      <c r="AB922" s="263" t="s">
        <v>40</v>
      </c>
      <c r="AC922" s="262"/>
      <c r="AD922" s="262"/>
      <c r="AE922" s="262">
        <v>45565</v>
      </c>
      <c r="AF922" s="263" t="s">
        <v>65</v>
      </c>
      <c r="AG922" s="270">
        <v>2026</v>
      </c>
      <c r="AH922" s="261">
        <f t="shared" si="25"/>
        <v>212730.79002000001</v>
      </c>
      <c r="AI922" s="261"/>
      <c r="AJ922" s="261"/>
      <c r="AK922" s="259" t="s">
        <v>43</v>
      </c>
      <c r="AL922" s="259" t="s">
        <v>41</v>
      </c>
      <c r="AM922" s="266">
        <v>0</v>
      </c>
      <c r="AN922" s="67"/>
      <c r="AO922" s="256"/>
      <c r="AP922" s="257"/>
    </row>
    <row r="923" spans="1:42" s="258" customFormat="1" ht="37.950000000000003" customHeight="1" x14ac:dyDescent="0.3">
      <c r="A923" s="259" t="s">
        <v>1641</v>
      </c>
      <c r="B923" s="243" t="s">
        <v>1642</v>
      </c>
      <c r="C923" s="278" t="s">
        <v>1920</v>
      </c>
      <c r="D923" s="243" t="s">
        <v>34</v>
      </c>
      <c r="E923" s="243" t="s">
        <v>1644</v>
      </c>
      <c r="F923" s="259" t="s">
        <v>35</v>
      </c>
      <c r="G923" s="259">
        <v>1</v>
      </c>
      <c r="H923" s="245">
        <v>778720</v>
      </c>
      <c r="I923" s="243" t="s">
        <v>36</v>
      </c>
      <c r="J923" s="245">
        <f t="shared" si="24"/>
        <v>778720</v>
      </c>
      <c r="K923" s="1435">
        <f>5081.81+13675.17+10018.19+11225.73+7114.54</f>
        <v>47115.439999999995</v>
      </c>
      <c r="L923" s="1435">
        <f>K923</f>
        <v>47115.439999999995</v>
      </c>
      <c r="M923" s="246" t="s">
        <v>200</v>
      </c>
      <c r="N923" s="261" t="s">
        <v>1921</v>
      </c>
      <c r="O923" s="279" t="s">
        <v>1922</v>
      </c>
      <c r="P923" s="263" t="s">
        <v>41</v>
      </c>
      <c r="Q923" s="262">
        <v>45055</v>
      </c>
      <c r="R923" s="263" t="s">
        <v>41</v>
      </c>
      <c r="S923" s="262">
        <v>45055</v>
      </c>
      <c r="T923" s="263"/>
      <c r="U923" s="262"/>
      <c r="V923" s="263" t="s">
        <v>41</v>
      </c>
      <c r="W923" s="262">
        <v>45255</v>
      </c>
      <c r="X923" s="263" t="s">
        <v>41</v>
      </c>
      <c r="Y923" s="262">
        <v>45291</v>
      </c>
      <c r="Z923" s="263" t="s">
        <v>40</v>
      </c>
      <c r="AA923" s="262"/>
      <c r="AB923" s="263" t="s">
        <v>40</v>
      </c>
      <c r="AC923" s="262"/>
      <c r="AD923" s="262"/>
      <c r="AE923" s="262">
        <v>45565</v>
      </c>
      <c r="AF923" s="263" t="s">
        <v>65</v>
      </c>
      <c r="AG923" s="270">
        <v>2026</v>
      </c>
      <c r="AH923" s="261">
        <f t="shared" si="25"/>
        <v>231784.40707999998</v>
      </c>
      <c r="AI923" s="261"/>
      <c r="AJ923" s="261"/>
      <c r="AK923" s="259" t="s">
        <v>43</v>
      </c>
      <c r="AL923" s="259" t="s">
        <v>41</v>
      </c>
      <c r="AM923" s="266">
        <v>0</v>
      </c>
      <c r="AN923" s="67"/>
      <c r="AO923" s="256"/>
      <c r="AP923" s="257"/>
    </row>
    <row r="924" spans="1:42" s="258" customFormat="1" ht="37.950000000000003" customHeight="1" x14ac:dyDescent="0.3">
      <c r="A924" s="259" t="s">
        <v>1641</v>
      </c>
      <c r="B924" s="243" t="s">
        <v>1642</v>
      </c>
      <c r="C924" s="278" t="s">
        <v>1923</v>
      </c>
      <c r="D924" s="243" t="s">
        <v>34</v>
      </c>
      <c r="E924" s="243" t="s">
        <v>1644</v>
      </c>
      <c r="F924" s="259" t="s">
        <v>35</v>
      </c>
      <c r="G924" s="259">
        <v>1</v>
      </c>
      <c r="H924" s="245">
        <v>778720</v>
      </c>
      <c r="I924" s="243" t="s">
        <v>36</v>
      </c>
      <c r="J924" s="245">
        <f t="shared" si="24"/>
        <v>778720</v>
      </c>
      <c r="K924" s="1435">
        <f>16261.81+7114.54+12480.94+444682.04+37200.54</f>
        <v>517739.86999999994</v>
      </c>
      <c r="L924" s="1435">
        <f>K924</f>
        <v>517739.86999999994</v>
      </c>
      <c r="M924" s="246" t="s">
        <v>57</v>
      </c>
      <c r="N924" s="261" t="s">
        <v>1924</v>
      </c>
      <c r="O924" s="279" t="s">
        <v>1925</v>
      </c>
      <c r="P924" s="263" t="s">
        <v>41</v>
      </c>
      <c r="Q924" s="262">
        <v>45055</v>
      </c>
      <c r="R924" s="263" t="s">
        <v>41</v>
      </c>
      <c r="S924" s="262">
        <v>45055</v>
      </c>
      <c r="T924" s="263"/>
      <c r="U924" s="262"/>
      <c r="V924" s="263" t="s">
        <v>41</v>
      </c>
      <c r="W924" s="262">
        <v>45255</v>
      </c>
      <c r="X924" s="263" t="s">
        <v>41</v>
      </c>
      <c r="Y924" s="262">
        <v>45291</v>
      </c>
      <c r="Z924" s="263" t="s">
        <v>40</v>
      </c>
      <c r="AA924" s="262"/>
      <c r="AB924" s="263" t="s">
        <v>40</v>
      </c>
      <c r="AC924" s="262"/>
      <c r="AD924" s="262"/>
      <c r="AE924" s="262">
        <v>45565</v>
      </c>
      <c r="AF924" s="263" t="s">
        <v>65</v>
      </c>
      <c r="AG924" s="270">
        <v>2026</v>
      </c>
      <c r="AH924" s="261">
        <f t="shared" si="25"/>
        <v>2547021.2904649996</v>
      </c>
      <c r="AI924" s="261"/>
      <c r="AJ924" s="261"/>
      <c r="AK924" s="259" t="s">
        <v>43</v>
      </c>
      <c r="AL924" s="259" t="s">
        <v>41</v>
      </c>
      <c r="AM924" s="266">
        <v>0</v>
      </c>
      <c r="AN924" s="67"/>
      <c r="AO924" s="256"/>
      <c r="AP924" s="257"/>
    </row>
    <row r="925" spans="1:42" s="258" customFormat="1" ht="37.950000000000003" customHeight="1" x14ac:dyDescent="0.3">
      <c r="A925" s="259" t="s">
        <v>1641</v>
      </c>
      <c r="B925" s="243" t="s">
        <v>1642</v>
      </c>
      <c r="C925" s="278" t="s">
        <v>1926</v>
      </c>
      <c r="D925" s="243" t="s">
        <v>34</v>
      </c>
      <c r="E925" s="243" t="s">
        <v>1644</v>
      </c>
      <c r="F925" s="259" t="s">
        <v>35</v>
      </c>
      <c r="G925" s="259">
        <v>2</v>
      </c>
      <c r="H925" s="245">
        <v>1557440</v>
      </c>
      <c r="I925" s="243" t="s">
        <v>36</v>
      </c>
      <c r="J925" s="245">
        <f t="shared" si="24"/>
        <v>1557440</v>
      </c>
      <c r="K925" s="1695">
        <f>7114.54</f>
        <v>7114.54</v>
      </c>
      <c r="L925" s="1695">
        <f>7114.54</f>
        <v>7114.54</v>
      </c>
      <c r="M925" s="246" t="s">
        <v>140</v>
      </c>
      <c r="N925" s="261" t="s">
        <v>1927</v>
      </c>
      <c r="O925" s="279" t="s">
        <v>1928</v>
      </c>
      <c r="P925" s="263" t="s">
        <v>41</v>
      </c>
      <c r="Q925" s="262">
        <v>45055</v>
      </c>
      <c r="R925" s="263" t="s">
        <v>41</v>
      </c>
      <c r="S925" s="262">
        <v>45055</v>
      </c>
      <c r="T925" s="263"/>
      <c r="U925" s="262"/>
      <c r="V925" s="263" t="s">
        <v>41</v>
      </c>
      <c r="W925" s="262">
        <v>45255</v>
      </c>
      <c r="X925" s="263" t="s">
        <v>41</v>
      </c>
      <c r="Y925" s="262">
        <v>45291</v>
      </c>
      <c r="Z925" s="263" t="s">
        <v>40</v>
      </c>
      <c r="AA925" s="262"/>
      <c r="AB925" s="263" t="s">
        <v>40</v>
      </c>
      <c r="AC925" s="262"/>
      <c r="AD925" s="262"/>
      <c r="AE925" s="262">
        <v>45565</v>
      </c>
      <c r="AF925" s="263" t="s">
        <v>65</v>
      </c>
      <c r="AG925" s="270">
        <v>2026</v>
      </c>
      <c r="AH925" s="261">
        <f t="shared" si="25"/>
        <v>34999.979530000004</v>
      </c>
      <c r="AI925" s="261"/>
      <c r="AJ925" s="261"/>
      <c r="AK925" s="259" t="s">
        <v>43</v>
      </c>
      <c r="AL925" s="259" t="s">
        <v>41</v>
      </c>
      <c r="AM925" s="266">
        <v>0</v>
      </c>
      <c r="AN925" s="67"/>
      <c r="AO925" s="256"/>
      <c r="AP925" s="257"/>
    </row>
    <row r="926" spans="1:42" s="258" customFormat="1" ht="37.950000000000003" customHeight="1" x14ac:dyDescent="0.3">
      <c r="A926" s="259" t="s">
        <v>1641</v>
      </c>
      <c r="B926" s="243" t="s">
        <v>1642</v>
      </c>
      <c r="C926" s="278" t="s">
        <v>1929</v>
      </c>
      <c r="D926" s="243" t="s">
        <v>34</v>
      </c>
      <c r="E926" s="243" t="s">
        <v>1644</v>
      </c>
      <c r="F926" s="259" t="s">
        <v>35</v>
      </c>
      <c r="G926" s="259">
        <v>1</v>
      </c>
      <c r="H926" s="245">
        <v>778720.2</v>
      </c>
      <c r="I926" s="243" t="s">
        <v>36</v>
      </c>
      <c r="J926" s="245">
        <f t="shared" si="24"/>
        <v>778720.2</v>
      </c>
      <c r="K926" s="1695">
        <f>34454.72</f>
        <v>34454.720000000001</v>
      </c>
      <c r="L926" s="1695">
        <f>34454.72</f>
        <v>34454.720000000001</v>
      </c>
      <c r="M926" s="246" t="s">
        <v>868</v>
      </c>
      <c r="N926" s="261" t="s">
        <v>1930</v>
      </c>
      <c r="O926" s="279" t="s">
        <v>1931</v>
      </c>
      <c r="P926" s="263" t="s">
        <v>41</v>
      </c>
      <c r="Q926" s="262">
        <v>45055</v>
      </c>
      <c r="R926" s="263" t="s">
        <v>41</v>
      </c>
      <c r="S926" s="262">
        <v>45055</v>
      </c>
      <c r="T926" s="263"/>
      <c r="U926" s="262"/>
      <c r="V926" s="263" t="s">
        <v>41</v>
      </c>
      <c r="W926" s="262">
        <v>45255</v>
      </c>
      <c r="X926" s="263" t="s">
        <v>41</v>
      </c>
      <c r="Y926" s="262">
        <v>45291</v>
      </c>
      <c r="Z926" s="263" t="s">
        <v>40</v>
      </c>
      <c r="AA926" s="262"/>
      <c r="AB926" s="263" t="s">
        <v>40</v>
      </c>
      <c r="AC926" s="262"/>
      <c r="AD926" s="262"/>
      <c r="AE926" s="262">
        <v>45565</v>
      </c>
      <c r="AF926" s="263" t="s">
        <v>65</v>
      </c>
      <c r="AG926" s="270">
        <v>2026</v>
      </c>
      <c r="AH926" s="261">
        <f t="shared" si="25"/>
        <v>169499.99504000001</v>
      </c>
      <c r="AI926" s="261"/>
      <c r="AJ926" s="261"/>
      <c r="AK926" s="259" t="s">
        <v>43</v>
      </c>
      <c r="AL926" s="259" t="s">
        <v>41</v>
      </c>
      <c r="AM926" s="266">
        <v>0</v>
      </c>
      <c r="AN926" s="67"/>
      <c r="AO926" s="256"/>
      <c r="AP926" s="257"/>
    </row>
    <row r="927" spans="1:42" s="258" customFormat="1" ht="37.950000000000003" customHeight="1" x14ac:dyDescent="0.3">
      <c r="A927" s="259" t="s">
        <v>1641</v>
      </c>
      <c r="B927" s="243" t="s">
        <v>1642</v>
      </c>
      <c r="C927" s="278" t="s">
        <v>1932</v>
      </c>
      <c r="D927" s="243" t="s">
        <v>34</v>
      </c>
      <c r="E927" s="243" t="s">
        <v>1644</v>
      </c>
      <c r="F927" s="259" t="s">
        <v>35</v>
      </c>
      <c r="G927" s="259">
        <v>1</v>
      </c>
      <c r="H927" s="245">
        <v>778720</v>
      </c>
      <c r="I927" s="243" t="s">
        <v>36</v>
      </c>
      <c r="J927" s="245">
        <f t="shared" si="24"/>
        <v>778720</v>
      </c>
      <c r="K927" s="1695">
        <v>16261.81</v>
      </c>
      <c r="L927" s="1695">
        <v>16261.81</v>
      </c>
      <c r="M927" s="246" t="s">
        <v>84</v>
      </c>
      <c r="N927" s="261" t="s">
        <v>1933</v>
      </c>
      <c r="O927" s="279" t="s">
        <v>1934</v>
      </c>
      <c r="P927" s="263" t="s">
        <v>41</v>
      </c>
      <c r="Q927" s="262">
        <v>45055</v>
      </c>
      <c r="R927" s="263" t="s">
        <v>41</v>
      </c>
      <c r="S927" s="262">
        <v>45055</v>
      </c>
      <c r="T927" s="263"/>
      <c r="U927" s="262"/>
      <c r="V927" s="263" t="s">
        <v>41</v>
      </c>
      <c r="W927" s="262">
        <v>45255</v>
      </c>
      <c r="X927" s="263" t="s">
        <v>41</v>
      </c>
      <c r="Y927" s="262">
        <v>45291</v>
      </c>
      <c r="Z927" s="263" t="s">
        <v>40</v>
      </c>
      <c r="AA927" s="262"/>
      <c r="AB927" s="263" t="s">
        <v>40</v>
      </c>
      <c r="AC927" s="262"/>
      <c r="AD927" s="262"/>
      <c r="AE927" s="262">
        <v>45565</v>
      </c>
      <c r="AF927" s="263" t="s">
        <v>65</v>
      </c>
      <c r="AG927" s="270">
        <v>2026</v>
      </c>
      <c r="AH927" s="261">
        <f t="shared" si="25"/>
        <v>79999.974295000007</v>
      </c>
      <c r="AI927" s="261"/>
      <c r="AJ927" s="261"/>
      <c r="AK927" s="259" t="s">
        <v>43</v>
      </c>
      <c r="AL927" s="259" t="s">
        <v>41</v>
      </c>
      <c r="AM927" s="266">
        <v>0</v>
      </c>
      <c r="AN927" s="67"/>
      <c r="AO927" s="256"/>
      <c r="AP927" s="257"/>
    </row>
    <row r="928" spans="1:42" s="258" customFormat="1" ht="37.950000000000003" customHeight="1" x14ac:dyDescent="0.3">
      <c r="A928" s="259" t="s">
        <v>1641</v>
      </c>
      <c r="B928" s="243" t="s">
        <v>1642</v>
      </c>
      <c r="C928" s="278" t="s">
        <v>1935</v>
      </c>
      <c r="D928" s="243" t="s">
        <v>34</v>
      </c>
      <c r="E928" s="243" t="s">
        <v>1644</v>
      </c>
      <c r="F928" s="259" t="s">
        <v>35</v>
      </c>
      <c r="G928" s="259">
        <v>1</v>
      </c>
      <c r="H928" s="245">
        <v>778720.2</v>
      </c>
      <c r="I928" s="243" t="s">
        <v>36</v>
      </c>
      <c r="J928" s="245">
        <f t="shared" si="24"/>
        <v>778720.2</v>
      </c>
      <c r="K928" s="1695">
        <f>9655.45+101.64+14838.906</f>
        <v>24595.995999999999</v>
      </c>
      <c r="L928" s="1695">
        <f>K928</f>
        <v>24595.995999999999</v>
      </c>
      <c r="M928" s="246" t="s">
        <v>303</v>
      </c>
      <c r="N928" s="261" t="s">
        <v>1936</v>
      </c>
      <c r="O928" s="279" t="s">
        <v>1937</v>
      </c>
      <c r="P928" s="263" t="s">
        <v>41</v>
      </c>
      <c r="Q928" s="262">
        <v>45055</v>
      </c>
      <c r="R928" s="263" t="s">
        <v>41</v>
      </c>
      <c r="S928" s="262">
        <v>45055</v>
      </c>
      <c r="T928" s="263"/>
      <c r="U928" s="262"/>
      <c r="V928" s="263" t="s">
        <v>41</v>
      </c>
      <c r="W928" s="262">
        <v>45255</v>
      </c>
      <c r="X928" s="263" t="s">
        <v>41</v>
      </c>
      <c r="Y928" s="262">
        <v>45291</v>
      </c>
      <c r="Z928" s="263" t="s">
        <v>40</v>
      </c>
      <c r="AA928" s="262"/>
      <c r="AB928" s="263" t="s">
        <v>40</v>
      </c>
      <c r="AC928" s="262"/>
      <c r="AD928" s="262"/>
      <c r="AE928" s="262">
        <v>45565</v>
      </c>
      <c r="AF928" s="263" t="s">
        <v>65</v>
      </c>
      <c r="AG928" s="270">
        <v>2026</v>
      </c>
      <c r="AH928" s="261">
        <f t="shared" si="25"/>
        <v>121000.002322</v>
      </c>
      <c r="AI928" s="261"/>
      <c r="AJ928" s="261"/>
      <c r="AK928" s="259" t="s">
        <v>43</v>
      </c>
      <c r="AL928" s="259" t="s">
        <v>41</v>
      </c>
      <c r="AM928" s="266">
        <v>0</v>
      </c>
      <c r="AN928" s="67"/>
      <c r="AO928" s="256"/>
      <c r="AP928" s="257"/>
    </row>
    <row r="929" spans="1:42" s="273" customFormat="1" ht="37.950000000000003" customHeight="1" x14ac:dyDescent="0.3">
      <c r="A929" s="259" t="s">
        <v>1641</v>
      </c>
      <c r="B929" s="243" t="s">
        <v>1642</v>
      </c>
      <c r="C929" s="278" t="s">
        <v>1938</v>
      </c>
      <c r="D929" s="243" t="s">
        <v>34</v>
      </c>
      <c r="E929" s="243" t="s">
        <v>1644</v>
      </c>
      <c r="F929" s="259" t="s">
        <v>35</v>
      </c>
      <c r="G929" s="259">
        <v>1</v>
      </c>
      <c r="H929" s="245">
        <v>778720</v>
      </c>
      <c r="I929" s="243" t="s">
        <v>36</v>
      </c>
      <c r="J929" s="245">
        <f t="shared" si="24"/>
        <v>778720</v>
      </c>
      <c r="K929" s="1695">
        <f>7256.84+1088.53+30490.9</f>
        <v>38836.270000000004</v>
      </c>
      <c r="L929" s="1695">
        <f>7256.84+1088.53+30490.9</f>
        <v>38836.270000000004</v>
      </c>
      <c r="M929" s="246" t="s">
        <v>73</v>
      </c>
      <c r="N929" s="261" t="s">
        <v>1939</v>
      </c>
      <c r="O929" s="279" t="s">
        <v>1940</v>
      </c>
      <c r="P929" s="263" t="s">
        <v>41</v>
      </c>
      <c r="Q929" s="262">
        <v>45055</v>
      </c>
      <c r="R929" s="263" t="s">
        <v>41</v>
      </c>
      <c r="S929" s="262">
        <v>45055</v>
      </c>
      <c r="T929" s="263"/>
      <c r="U929" s="262"/>
      <c r="V929" s="263" t="s">
        <v>41</v>
      </c>
      <c r="W929" s="262">
        <v>45255</v>
      </c>
      <c r="X929" s="263" t="s">
        <v>41</v>
      </c>
      <c r="Y929" s="262">
        <v>45291</v>
      </c>
      <c r="Z929" s="263" t="s">
        <v>40</v>
      </c>
      <c r="AA929" s="262"/>
      <c r="AB929" s="263" t="s">
        <v>40</v>
      </c>
      <c r="AC929" s="262"/>
      <c r="AD929" s="262"/>
      <c r="AE929" s="262">
        <v>45565</v>
      </c>
      <c r="AF929" s="263" t="s">
        <v>65</v>
      </c>
      <c r="AG929" s="270">
        <v>2026</v>
      </c>
      <c r="AH929" s="261">
        <f t="shared" si="25"/>
        <v>191055.03026500004</v>
      </c>
      <c r="AI929" s="261"/>
      <c r="AJ929" s="261"/>
      <c r="AK929" s="259" t="s">
        <v>43</v>
      </c>
      <c r="AL929" s="259" t="s">
        <v>41</v>
      </c>
      <c r="AM929" s="266">
        <v>0</v>
      </c>
      <c r="AN929" s="67"/>
      <c r="AO929" s="271"/>
      <c r="AP929" s="272"/>
    </row>
    <row r="930" spans="1:42" s="258" customFormat="1" ht="37.950000000000003" customHeight="1" x14ac:dyDescent="0.3">
      <c r="A930" s="259" t="s">
        <v>1641</v>
      </c>
      <c r="B930" s="243" t="s">
        <v>1642</v>
      </c>
      <c r="C930" s="278" t="s">
        <v>1941</v>
      </c>
      <c r="D930" s="243" t="s">
        <v>34</v>
      </c>
      <c r="E930" s="243" t="s">
        <v>1644</v>
      </c>
      <c r="F930" s="259" t="s">
        <v>35</v>
      </c>
      <c r="G930" s="259">
        <v>1</v>
      </c>
      <c r="H930" s="245">
        <v>778720.2</v>
      </c>
      <c r="I930" s="243" t="s">
        <v>36</v>
      </c>
      <c r="J930" s="245">
        <f t="shared" si="24"/>
        <v>778720.2</v>
      </c>
      <c r="K930" s="1695">
        <f>14837.89+17779.25+1483.236</f>
        <v>34100.375999999997</v>
      </c>
      <c r="L930" s="1695">
        <f>14837.89+17779.25+1483.236</f>
        <v>34100.375999999997</v>
      </c>
      <c r="M930" s="246" t="s">
        <v>1942</v>
      </c>
      <c r="N930" s="261" t="s">
        <v>1943</v>
      </c>
      <c r="O930" s="279" t="s">
        <v>1944</v>
      </c>
      <c r="P930" s="263" t="s">
        <v>41</v>
      </c>
      <c r="Q930" s="262">
        <v>45055</v>
      </c>
      <c r="R930" s="263" t="s">
        <v>41</v>
      </c>
      <c r="S930" s="262">
        <v>45055</v>
      </c>
      <c r="T930" s="263"/>
      <c r="U930" s="262"/>
      <c r="V930" s="263" t="s">
        <v>41</v>
      </c>
      <c r="W930" s="262">
        <v>45255</v>
      </c>
      <c r="X930" s="263" t="s">
        <v>41</v>
      </c>
      <c r="Y930" s="262">
        <v>45291</v>
      </c>
      <c r="Z930" s="263" t="s">
        <v>40</v>
      </c>
      <c r="AA930" s="262"/>
      <c r="AB930" s="263" t="s">
        <v>40</v>
      </c>
      <c r="AC930" s="262"/>
      <c r="AD930" s="262"/>
      <c r="AE930" s="262">
        <v>45565</v>
      </c>
      <c r="AF930" s="263" t="s">
        <v>65</v>
      </c>
      <c r="AG930" s="270">
        <v>2026</v>
      </c>
      <c r="AH930" s="261">
        <f t="shared" si="25"/>
        <v>167756.79973199998</v>
      </c>
      <c r="AI930" s="261"/>
      <c r="AJ930" s="261"/>
      <c r="AK930" s="259" t="s">
        <v>43</v>
      </c>
      <c r="AL930" s="259" t="s">
        <v>41</v>
      </c>
      <c r="AM930" s="266">
        <v>0</v>
      </c>
      <c r="AN930" s="67"/>
      <c r="AO930" s="256"/>
      <c r="AP930" s="257"/>
    </row>
    <row r="931" spans="1:42" s="258" customFormat="1" ht="37.950000000000003" customHeight="1" x14ac:dyDescent="0.3">
      <c r="A931" s="259" t="s">
        <v>1641</v>
      </c>
      <c r="B931" s="243" t="s">
        <v>1642</v>
      </c>
      <c r="C931" s="278" t="s">
        <v>1945</v>
      </c>
      <c r="D931" s="243" t="s">
        <v>34</v>
      </c>
      <c r="E931" s="243" t="s">
        <v>1644</v>
      </c>
      <c r="F931" s="259" t="s">
        <v>35</v>
      </c>
      <c r="G931" s="259">
        <v>1</v>
      </c>
      <c r="H931" s="245">
        <v>769947.52</v>
      </c>
      <c r="I931" s="243" t="s">
        <v>36</v>
      </c>
      <c r="J931" s="245">
        <f t="shared" si="24"/>
        <v>769947.52</v>
      </c>
      <c r="K931" s="1696">
        <f>1016.36+14744.73+9196.48+66.62+2947.454</f>
        <v>27971.644</v>
      </c>
      <c r="L931" s="1696">
        <f>K931</f>
        <v>27971.644</v>
      </c>
      <c r="M931" s="246" t="s">
        <v>66</v>
      </c>
      <c r="N931" s="261" t="s">
        <v>1946</v>
      </c>
      <c r="O931" s="279" t="s">
        <v>1947</v>
      </c>
      <c r="P931" s="263" t="s">
        <v>41</v>
      </c>
      <c r="Q931" s="262">
        <v>45055</v>
      </c>
      <c r="R931" s="263" t="s">
        <v>41</v>
      </c>
      <c r="S931" s="262">
        <v>45055</v>
      </c>
      <c r="T931" s="263"/>
      <c r="U931" s="262"/>
      <c r="V931" s="263" t="s">
        <v>41</v>
      </c>
      <c r="W931" s="262">
        <v>45255</v>
      </c>
      <c r="X931" s="263" t="s">
        <v>41</v>
      </c>
      <c r="Y931" s="262">
        <v>45291</v>
      </c>
      <c r="Z931" s="263" t="s">
        <v>40</v>
      </c>
      <c r="AA931" s="262"/>
      <c r="AB931" s="263" t="s">
        <v>40</v>
      </c>
      <c r="AC931" s="262"/>
      <c r="AD931" s="262"/>
      <c r="AE931" s="262">
        <v>45565</v>
      </c>
      <c r="AF931" s="263" t="s">
        <v>65</v>
      </c>
      <c r="AG931" s="270">
        <v>2026</v>
      </c>
      <c r="AH931" s="261">
        <f t="shared" si="25"/>
        <v>137606.50265800001</v>
      </c>
      <c r="AI931" s="261"/>
      <c r="AJ931" s="261"/>
      <c r="AK931" s="259" t="s">
        <v>43</v>
      </c>
      <c r="AL931" s="259" t="s">
        <v>41</v>
      </c>
      <c r="AM931" s="266">
        <v>0</v>
      </c>
      <c r="AN931" s="67"/>
      <c r="AO931" s="256"/>
      <c r="AP931" s="257"/>
    </row>
    <row r="932" spans="1:42" s="258" customFormat="1" ht="37.950000000000003" customHeight="1" x14ac:dyDescent="0.3">
      <c r="A932" s="259" t="s">
        <v>1641</v>
      </c>
      <c r="B932" s="243" t="s">
        <v>1642</v>
      </c>
      <c r="C932" s="278" t="s">
        <v>1948</v>
      </c>
      <c r="D932" s="243" t="s">
        <v>34</v>
      </c>
      <c r="E932" s="243" t="s">
        <v>1644</v>
      </c>
      <c r="F932" s="259" t="s">
        <v>35</v>
      </c>
      <c r="G932" s="259">
        <v>1</v>
      </c>
      <c r="H932" s="245">
        <v>778719.79</v>
      </c>
      <c r="I932" s="243" t="s">
        <v>36</v>
      </c>
      <c r="J932" s="245">
        <f t="shared" si="24"/>
        <v>778719.79</v>
      </c>
      <c r="K932" s="1695">
        <f>2032.72+4675.27</f>
        <v>6707.9900000000007</v>
      </c>
      <c r="L932" s="1695">
        <f>2032.72+4675.27</f>
        <v>6707.9900000000007</v>
      </c>
      <c r="M932" s="246" t="s">
        <v>79</v>
      </c>
      <c r="N932" s="261" t="s">
        <v>1949</v>
      </c>
      <c r="O932" s="279" t="s">
        <v>1950</v>
      </c>
      <c r="P932" s="263" t="s">
        <v>41</v>
      </c>
      <c r="Q932" s="262">
        <v>45055</v>
      </c>
      <c r="R932" s="263" t="s">
        <v>41</v>
      </c>
      <c r="S932" s="262">
        <v>45055</v>
      </c>
      <c r="T932" s="263"/>
      <c r="U932" s="262"/>
      <c r="V932" s="263" t="s">
        <v>41</v>
      </c>
      <c r="W932" s="262">
        <v>45255</v>
      </c>
      <c r="X932" s="263" t="s">
        <v>41</v>
      </c>
      <c r="Y932" s="262">
        <v>45291</v>
      </c>
      <c r="Z932" s="263" t="s">
        <v>40</v>
      </c>
      <c r="AA932" s="262"/>
      <c r="AB932" s="263" t="s">
        <v>40</v>
      </c>
      <c r="AC932" s="262"/>
      <c r="AD932" s="262"/>
      <c r="AE932" s="262">
        <v>45565</v>
      </c>
      <c r="AF932" s="263" t="s">
        <v>65</v>
      </c>
      <c r="AG932" s="270">
        <v>2026</v>
      </c>
      <c r="AH932" s="261">
        <f t="shared" si="25"/>
        <v>32999.956805000002</v>
      </c>
      <c r="AI932" s="261"/>
      <c r="AJ932" s="261"/>
      <c r="AK932" s="259" t="s">
        <v>43</v>
      </c>
      <c r="AL932" s="259" t="s">
        <v>41</v>
      </c>
      <c r="AM932" s="266">
        <v>0</v>
      </c>
      <c r="AN932" s="67"/>
      <c r="AO932" s="256"/>
      <c r="AP932" s="257"/>
    </row>
    <row r="933" spans="1:42" s="258" customFormat="1" ht="37.950000000000003" customHeight="1" x14ac:dyDescent="0.3">
      <c r="A933" s="259" t="s">
        <v>1641</v>
      </c>
      <c r="B933" s="243" t="s">
        <v>1642</v>
      </c>
      <c r="C933" s="278" t="s">
        <v>1951</v>
      </c>
      <c r="D933" s="243" t="s">
        <v>34</v>
      </c>
      <c r="E933" s="243" t="s">
        <v>1644</v>
      </c>
      <c r="F933" s="259" t="s">
        <v>35</v>
      </c>
      <c r="G933" s="259">
        <v>1</v>
      </c>
      <c r="H933" s="245">
        <v>778720</v>
      </c>
      <c r="I933" s="243" t="s">
        <v>36</v>
      </c>
      <c r="J933" s="245">
        <f t="shared" si="24"/>
        <v>778720</v>
      </c>
      <c r="K933" s="1695">
        <f>19107.63</f>
        <v>19107.63</v>
      </c>
      <c r="L933" s="1695">
        <f>K933</f>
        <v>19107.63</v>
      </c>
      <c r="M933" s="246" t="s">
        <v>1208</v>
      </c>
      <c r="N933" s="261" t="s">
        <v>1952</v>
      </c>
      <c r="O933" s="279" t="s">
        <v>1953</v>
      </c>
      <c r="P933" s="263" t="s">
        <v>41</v>
      </c>
      <c r="Q933" s="262">
        <v>45055</v>
      </c>
      <c r="R933" s="263" t="s">
        <v>41</v>
      </c>
      <c r="S933" s="262">
        <v>45055</v>
      </c>
      <c r="T933" s="263"/>
      <c r="U933" s="262"/>
      <c r="V933" s="263" t="s">
        <v>41</v>
      </c>
      <c r="W933" s="262">
        <v>45255</v>
      </c>
      <c r="X933" s="263" t="s">
        <v>41</v>
      </c>
      <c r="Y933" s="262">
        <v>45291</v>
      </c>
      <c r="Z933" s="263" t="s">
        <v>40</v>
      </c>
      <c r="AA933" s="262"/>
      <c r="AB933" s="263" t="s">
        <v>40</v>
      </c>
      <c r="AC933" s="262"/>
      <c r="AD933" s="262"/>
      <c r="AE933" s="262">
        <v>45565</v>
      </c>
      <c r="AF933" s="263" t="s">
        <v>65</v>
      </c>
      <c r="AG933" s="270">
        <v>2026</v>
      </c>
      <c r="AH933" s="261">
        <f t="shared" si="25"/>
        <v>93999.985785000012</v>
      </c>
      <c r="AI933" s="261"/>
      <c r="AJ933" s="261"/>
      <c r="AK933" s="259" t="s">
        <v>43</v>
      </c>
      <c r="AL933" s="259" t="s">
        <v>41</v>
      </c>
      <c r="AM933" s="266">
        <v>0</v>
      </c>
      <c r="AN933" s="67"/>
      <c r="AO933" s="256"/>
      <c r="AP933" s="257"/>
    </row>
    <row r="934" spans="1:42" s="258" customFormat="1" ht="37.950000000000003" customHeight="1" x14ac:dyDescent="0.3">
      <c r="A934" s="259" t="s">
        <v>1641</v>
      </c>
      <c r="B934" s="243" t="s">
        <v>1642</v>
      </c>
      <c r="C934" s="278" t="s">
        <v>1954</v>
      </c>
      <c r="D934" s="243" t="s">
        <v>34</v>
      </c>
      <c r="E934" s="243" t="s">
        <v>1644</v>
      </c>
      <c r="F934" s="259" t="s">
        <v>35</v>
      </c>
      <c r="G934" s="259">
        <v>1</v>
      </c>
      <c r="H934" s="245">
        <v>778720</v>
      </c>
      <c r="I934" s="243" t="s">
        <v>36</v>
      </c>
      <c r="J934" s="245">
        <f t="shared" si="24"/>
        <v>778720</v>
      </c>
      <c r="K934" s="1695">
        <f>8466.31+11610.94</f>
        <v>20077.25</v>
      </c>
      <c r="L934" s="1695">
        <f>8466.31+11610.94</f>
        <v>20077.25</v>
      </c>
      <c r="M934" s="246" t="s">
        <v>73</v>
      </c>
      <c r="N934" s="261" t="s">
        <v>497</v>
      </c>
      <c r="O934" s="279" t="s">
        <v>1955</v>
      </c>
      <c r="P934" s="263" t="s">
        <v>41</v>
      </c>
      <c r="Q934" s="262">
        <v>45056</v>
      </c>
      <c r="R934" s="263" t="s">
        <v>41</v>
      </c>
      <c r="S934" s="262">
        <v>45056</v>
      </c>
      <c r="T934" s="263"/>
      <c r="U934" s="262"/>
      <c r="V934" s="263" t="s">
        <v>41</v>
      </c>
      <c r="W934" s="262">
        <v>45255</v>
      </c>
      <c r="X934" s="263" t="s">
        <v>41</v>
      </c>
      <c r="Y934" s="262">
        <v>45291</v>
      </c>
      <c r="Z934" s="263" t="s">
        <v>40</v>
      </c>
      <c r="AA934" s="262"/>
      <c r="AB934" s="263" t="s">
        <v>40</v>
      </c>
      <c r="AC934" s="262"/>
      <c r="AD934" s="262"/>
      <c r="AE934" s="262">
        <v>45565</v>
      </c>
      <c r="AF934" s="263" t="s">
        <v>65</v>
      </c>
      <c r="AG934" s="270">
        <v>2026</v>
      </c>
      <c r="AH934" s="261">
        <f t="shared" si="25"/>
        <v>98770.031375000006</v>
      </c>
      <c r="AI934" s="261"/>
      <c r="AJ934" s="261"/>
      <c r="AK934" s="259" t="s">
        <v>43</v>
      </c>
      <c r="AL934" s="259" t="s">
        <v>41</v>
      </c>
      <c r="AM934" s="266">
        <v>0</v>
      </c>
      <c r="AN934" s="67"/>
      <c r="AO934" s="256"/>
      <c r="AP934" s="257"/>
    </row>
    <row r="935" spans="1:42" s="258" customFormat="1" ht="37.950000000000003" customHeight="1" x14ac:dyDescent="0.3">
      <c r="A935" s="259" t="s">
        <v>1641</v>
      </c>
      <c r="B935" s="243" t="s">
        <v>1642</v>
      </c>
      <c r="C935" s="278" t="s">
        <v>1956</v>
      </c>
      <c r="D935" s="243" t="s">
        <v>34</v>
      </c>
      <c r="E935" s="243" t="s">
        <v>1644</v>
      </c>
      <c r="F935" s="259" t="s">
        <v>35</v>
      </c>
      <c r="G935" s="259">
        <v>1</v>
      </c>
      <c r="H935" s="245">
        <v>769947.52</v>
      </c>
      <c r="I935" s="243" t="s">
        <v>36</v>
      </c>
      <c r="J935" s="245">
        <f t="shared" si="24"/>
        <v>769947.52</v>
      </c>
      <c r="K935" s="1695">
        <f>5124.52+28864.72</f>
        <v>33989.240000000005</v>
      </c>
      <c r="L935" s="1695">
        <f>5124.52+28864.72</f>
        <v>33989.240000000005</v>
      </c>
      <c r="M935" s="246" t="s">
        <v>49</v>
      </c>
      <c r="N935" s="261" t="s">
        <v>1957</v>
      </c>
      <c r="O935" s="279" t="s">
        <v>1958</v>
      </c>
      <c r="P935" s="263" t="s">
        <v>41</v>
      </c>
      <c r="Q935" s="262">
        <v>45056</v>
      </c>
      <c r="R935" s="263" t="s">
        <v>41</v>
      </c>
      <c r="S935" s="262">
        <v>45056</v>
      </c>
      <c r="T935" s="263"/>
      <c r="U935" s="262"/>
      <c r="V935" s="263" t="s">
        <v>41</v>
      </c>
      <c r="W935" s="262">
        <v>45255</v>
      </c>
      <c r="X935" s="263" t="s">
        <v>41</v>
      </c>
      <c r="Y935" s="262">
        <v>45291</v>
      </c>
      <c r="Z935" s="263" t="s">
        <v>40</v>
      </c>
      <c r="AA935" s="262"/>
      <c r="AB935" s="263" t="s">
        <v>40</v>
      </c>
      <c r="AC935" s="262"/>
      <c r="AD935" s="262"/>
      <c r="AE935" s="262">
        <v>45565</v>
      </c>
      <c r="AF935" s="263" t="s">
        <v>65</v>
      </c>
      <c r="AG935" s="270">
        <v>2026</v>
      </c>
      <c r="AH935" s="261">
        <f t="shared" si="25"/>
        <v>167210.06618000002</v>
      </c>
      <c r="AI935" s="261"/>
      <c r="AJ935" s="261"/>
      <c r="AK935" s="259" t="s">
        <v>43</v>
      </c>
      <c r="AL935" s="259" t="s">
        <v>41</v>
      </c>
      <c r="AM935" s="266">
        <v>0</v>
      </c>
      <c r="AN935" s="67"/>
      <c r="AO935" s="256"/>
      <c r="AP935" s="257"/>
    </row>
    <row r="936" spans="1:42" ht="37.950000000000003" customHeight="1" x14ac:dyDescent="0.3">
      <c r="A936" s="259" t="s">
        <v>1641</v>
      </c>
      <c r="B936" s="243" t="s">
        <v>1642</v>
      </c>
      <c r="C936" s="278" t="s">
        <v>1959</v>
      </c>
      <c r="D936" s="243" t="s">
        <v>34</v>
      </c>
      <c r="E936" s="243" t="s">
        <v>1644</v>
      </c>
      <c r="F936" s="259" t="s">
        <v>35</v>
      </c>
      <c r="G936" s="259">
        <v>1</v>
      </c>
      <c r="H936" s="245">
        <v>778720</v>
      </c>
      <c r="I936" s="243" t="s">
        <v>36</v>
      </c>
      <c r="J936" s="245">
        <f t="shared" si="24"/>
        <v>778720</v>
      </c>
      <c r="K936" s="1695">
        <f>20236.16</f>
        <v>20236.16</v>
      </c>
      <c r="L936" s="1695">
        <f>K936</f>
        <v>20236.16</v>
      </c>
      <c r="M936" s="246" t="s">
        <v>868</v>
      </c>
      <c r="N936" s="261" t="s">
        <v>1960</v>
      </c>
      <c r="O936" s="279" t="s">
        <v>1961</v>
      </c>
      <c r="P936" s="263" t="s">
        <v>41</v>
      </c>
      <c r="Q936" s="262">
        <v>45056</v>
      </c>
      <c r="R936" s="263" t="s">
        <v>41</v>
      </c>
      <c r="S936" s="262">
        <v>45056</v>
      </c>
      <c r="T936" s="263"/>
      <c r="U936" s="262"/>
      <c r="V936" s="263" t="s">
        <v>41</v>
      </c>
      <c r="W936" s="262">
        <v>45255</v>
      </c>
      <c r="X936" s="263" t="s">
        <v>41</v>
      </c>
      <c r="Y936" s="262">
        <v>45291</v>
      </c>
      <c r="Z936" s="263" t="s">
        <v>40</v>
      </c>
      <c r="AA936" s="262"/>
      <c r="AB936" s="263" t="s">
        <v>40</v>
      </c>
      <c r="AC936" s="262"/>
      <c r="AD936" s="262"/>
      <c r="AE936" s="262">
        <v>45565</v>
      </c>
      <c r="AF936" s="263" t="s">
        <v>65</v>
      </c>
      <c r="AG936" s="270">
        <v>2026</v>
      </c>
      <c r="AH936" s="261">
        <f t="shared" si="25"/>
        <v>99551.789120000001</v>
      </c>
      <c r="AI936" s="261"/>
      <c r="AJ936" s="261"/>
      <c r="AK936" s="259" t="s">
        <v>43</v>
      </c>
      <c r="AL936" s="259" t="s">
        <v>41</v>
      </c>
      <c r="AM936" s="266">
        <v>0</v>
      </c>
      <c r="AN936" s="67"/>
      <c r="AO936" s="239"/>
      <c r="AP936" s="240"/>
    </row>
    <row r="937" spans="1:42" s="258" customFormat="1" ht="37.950000000000003" customHeight="1" x14ac:dyDescent="0.3">
      <c r="A937" s="259" t="s">
        <v>1641</v>
      </c>
      <c r="B937" s="243" t="s">
        <v>1642</v>
      </c>
      <c r="C937" s="278" t="s">
        <v>1962</v>
      </c>
      <c r="D937" s="243" t="s">
        <v>34</v>
      </c>
      <c r="E937" s="243" t="s">
        <v>1644</v>
      </c>
      <c r="F937" s="259" t="s">
        <v>35</v>
      </c>
      <c r="G937" s="259">
        <v>1</v>
      </c>
      <c r="H937" s="245">
        <v>778720</v>
      </c>
      <c r="I937" s="243" t="s">
        <v>36</v>
      </c>
      <c r="J937" s="245">
        <f t="shared" si="24"/>
        <v>778720</v>
      </c>
      <c r="K937" s="1695">
        <f>24557.39</f>
        <v>24557.39</v>
      </c>
      <c r="L937" s="1695">
        <f>24557.39</f>
        <v>24557.39</v>
      </c>
      <c r="M937" s="246" t="s">
        <v>66</v>
      </c>
      <c r="N937" s="261" t="s">
        <v>1963</v>
      </c>
      <c r="O937" s="279" t="s">
        <v>1964</v>
      </c>
      <c r="P937" s="263" t="s">
        <v>41</v>
      </c>
      <c r="Q937" s="262">
        <v>45055</v>
      </c>
      <c r="R937" s="263" t="s">
        <v>41</v>
      </c>
      <c r="S937" s="262">
        <v>45055</v>
      </c>
      <c r="T937" s="263"/>
      <c r="U937" s="262"/>
      <c r="V937" s="263" t="s">
        <v>41</v>
      </c>
      <c r="W937" s="262">
        <v>45255</v>
      </c>
      <c r="X937" s="263" t="s">
        <v>41</v>
      </c>
      <c r="Y937" s="262">
        <v>45291</v>
      </c>
      <c r="Z937" s="263" t="s">
        <v>40</v>
      </c>
      <c r="AA937" s="262"/>
      <c r="AB937" s="263" t="s">
        <v>40</v>
      </c>
      <c r="AC937" s="262"/>
      <c r="AD937" s="262"/>
      <c r="AE937" s="262">
        <v>45565</v>
      </c>
      <c r="AF937" s="263" t="s">
        <v>65</v>
      </c>
      <c r="AG937" s="270">
        <v>2026</v>
      </c>
      <c r="AH937" s="261">
        <f t="shared" si="25"/>
        <v>120810.080105</v>
      </c>
      <c r="AI937" s="261"/>
      <c r="AJ937" s="261"/>
      <c r="AK937" s="259" t="s">
        <v>43</v>
      </c>
      <c r="AL937" s="259" t="s">
        <v>41</v>
      </c>
      <c r="AM937" s="266">
        <v>0</v>
      </c>
      <c r="AN937" s="67"/>
      <c r="AO937" s="256"/>
      <c r="AP937" s="257"/>
    </row>
    <row r="938" spans="1:42" s="258" customFormat="1" ht="37.950000000000003" customHeight="1" x14ac:dyDescent="0.3">
      <c r="A938" s="243" t="s">
        <v>1641</v>
      </c>
      <c r="B938" s="243" t="s">
        <v>1642</v>
      </c>
      <c r="C938" s="278" t="s">
        <v>1965</v>
      </c>
      <c r="D938" s="243" t="s">
        <v>34</v>
      </c>
      <c r="E938" s="243" t="s">
        <v>1644</v>
      </c>
      <c r="F938" s="243" t="s">
        <v>35</v>
      </c>
      <c r="G938" s="243">
        <v>1</v>
      </c>
      <c r="H938" s="245">
        <v>778720</v>
      </c>
      <c r="I938" s="243" t="s">
        <v>36</v>
      </c>
      <c r="J938" s="245">
        <f t="shared" si="24"/>
        <v>778720</v>
      </c>
      <c r="K938" s="1695">
        <f>24081.03</f>
        <v>24081.03</v>
      </c>
      <c r="L938" s="1695">
        <f>24081.03</f>
        <v>24081.03</v>
      </c>
      <c r="M938" s="246" t="s">
        <v>868</v>
      </c>
      <c r="N938" s="246" t="s">
        <v>1966</v>
      </c>
      <c r="O938" s="280" t="s">
        <v>1967</v>
      </c>
      <c r="P938" s="247" t="s">
        <v>41</v>
      </c>
      <c r="Q938" s="248">
        <v>45055</v>
      </c>
      <c r="R938" s="247" t="s">
        <v>41</v>
      </c>
      <c r="S938" s="248">
        <v>45055</v>
      </c>
      <c r="T938" s="247"/>
      <c r="U938" s="248"/>
      <c r="V938" s="247" t="s">
        <v>41</v>
      </c>
      <c r="W938" s="248">
        <v>45255</v>
      </c>
      <c r="X938" s="247" t="s">
        <v>41</v>
      </c>
      <c r="Y938" s="248">
        <v>45291</v>
      </c>
      <c r="Z938" s="247" t="s">
        <v>40</v>
      </c>
      <c r="AA938" s="248"/>
      <c r="AB938" s="247" t="s">
        <v>40</v>
      </c>
      <c r="AC938" s="248"/>
      <c r="AD938" s="248"/>
      <c r="AE938" s="248">
        <v>45565</v>
      </c>
      <c r="AF938" s="247" t="s">
        <v>65</v>
      </c>
      <c r="AG938" s="249">
        <v>2026</v>
      </c>
      <c r="AH938" s="246">
        <f t="shared" si="25"/>
        <v>118466.627085</v>
      </c>
      <c r="AI938" s="246"/>
      <c r="AJ938" s="246"/>
      <c r="AK938" s="243" t="s">
        <v>43</v>
      </c>
      <c r="AL938" s="243" t="s">
        <v>41</v>
      </c>
      <c r="AM938" s="250">
        <v>0</v>
      </c>
      <c r="AN938" s="281"/>
      <c r="AO938" s="256"/>
      <c r="AP938" s="257"/>
    </row>
    <row r="939" spans="1:42" s="258" customFormat="1" ht="37.950000000000003" customHeight="1" x14ac:dyDescent="0.3">
      <c r="A939" s="259" t="s">
        <v>1641</v>
      </c>
      <c r="B939" s="243" t="s">
        <v>1642</v>
      </c>
      <c r="C939" s="278" t="s">
        <v>1968</v>
      </c>
      <c r="D939" s="243" t="s">
        <v>34</v>
      </c>
      <c r="E939" s="243" t="s">
        <v>1644</v>
      </c>
      <c r="F939" s="259" t="s">
        <v>35</v>
      </c>
      <c r="G939" s="259">
        <v>1</v>
      </c>
      <c r="H939" s="245">
        <v>756305.63</v>
      </c>
      <c r="I939" s="243" t="s">
        <v>36</v>
      </c>
      <c r="J939" s="245">
        <f t="shared" si="24"/>
        <v>756305.63</v>
      </c>
      <c r="K939" s="1435">
        <f>9525.86</f>
        <v>9525.86</v>
      </c>
      <c r="L939" s="1435">
        <f>9525.86</f>
        <v>9525.86</v>
      </c>
      <c r="M939" s="246" t="s">
        <v>534</v>
      </c>
      <c r="N939" s="261" t="s">
        <v>1969</v>
      </c>
      <c r="O939" s="279" t="s">
        <v>1970</v>
      </c>
      <c r="P939" s="263" t="s">
        <v>41</v>
      </c>
      <c r="Q939" s="262">
        <v>45055</v>
      </c>
      <c r="R939" s="263" t="s">
        <v>41</v>
      </c>
      <c r="S939" s="262">
        <v>45055</v>
      </c>
      <c r="T939" s="263"/>
      <c r="U939" s="262"/>
      <c r="V939" s="263" t="s">
        <v>41</v>
      </c>
      <c r="W939" s="262">
        <v>45255</v>
      </c>
      <c r="X939" s="263" t="s">
        <v>41</v>
      </c>
      <c r="Y939" s="262">
        <v>45291</v>
      </c>
      <c r="Z939" s="263" t="s">
        <v>40</v>
      </c>
      <c r="AA939" s="262"/>
      <c r="AB939" s="263" t="s">
        <v>40</v>
      </c>
      <c r="AC939" s="262"/>
      <c r="AD939" s="262"/>
      <c r="AE939" s="262">
        <v>45565</v>
      </c>
      <c r="AF939" s="263" t="s">
        <v>65</v>
      </c>
      <c r="AG939" s="270">
        <v>2026</v>
      </c>
      <c r="AH939" s="261">
        <f t="shared" si="25"/>
        <v>46862.468270000005</v>
      </c>
      <c r="AI939" s="261"/>
      <c r="AJ939" s="261"/>
      <c r="AK939" s="259" t="s">
        <v>43</v>
      </c>
      <c r="AL939" s="259" t="s">
        <v>41</v>
      </c>
      <c r="AM939" s="266">
        <v>0</v>
      </c>
      <c r="AN939" s="67"/>
      <c r="AO939" s="256"/>
      <c r="AP939" s="257"/>
    </row>
    <row r="940" spans="1:42" s="258" customFormat="1" ht="37.950000000000003" customHeight="1" x14ac:dyDescent="0.3">
      <c r="A940" s="259" t="s">
        <v>1641</v>
      </c>
      <c r="B940" s="243" t="s">
        <v>1642</v>
      </c>
      <c r="C940" s="278" t="s">
        <v>1971</v>
      </c>
      <c r="D940" s="243" t="s">
        <v>34</v>
      </c>
      <c r="E940" s="243" t="s">
        <v>1644</v>
      </c>
      <c r="F940" s="259" t="s">
        <v>35</v>
      </c>
      <c r="G940" s="259">
        <v>1</v>
      </c>
      <c r="H940" s="245">
        <v>778720.2</v>
      </c>
      <c r="I940" s="243" t="s">
        <v>36</v>
      </c>
      <c r="J940" s="245">
        <f t="shared" si="24"/>
        <v>778720.2</v>
      </c>
      <c r="K940" s="1695">
        <f>8130.91+10207.66</f>
        <v>18338.57</v>
      </c>
      <c r="L940" s="1695">
        <f>K940</f>
        <v>18338.57</v>
      </c>
      <c r="M940" s="246" t="s">
        <v>79</v>
      </c>
      <c r="N940" s="261" t="s">
        <v>942</v>
      </c>
      <c r="O940" s="279" t="s">
        <v>1972</v>
      </c>
      <c r="P940" s="263" t="s">
        <v>41</v>
      </c>
      <c r="Q940" s="262">
        <v>45056</v>
      </c>
      <c r="R940" s="263" t="s">
        <v>41</v>
      </c>
      <c r="S940" s="262">
        <v>45056</v>
      </c>
      <c r="T940" s="263"/>
      <c r="U940" s="262"/>
      <c r="V940" s="263" t="s">
        <v>41</v>
      </c>
      <c r="W940" s="262">
        <v>45255</v>
      </c>
      <c r="X940" s="263" t="s">
        <v>41</v>
      </c>
      <c r="Y940" s="262">
        <v>45291</v>
      </c>
      <c r="Z940" s="263" t="s">
        <v>40</v>
      </c>
      <c r="AA940" s="262"/>
      <c r="AB940" s="263" t="s">
        <v>40</v>
      </c>
      <c r="AC940" s="262"/>
      <c r="AD940" s="262"/>
      <c r="AE940" s="262">
        <v>45565</v>
      </c>
      <c r="AF940" s="263" t="s">
        <v>65</v>
      </c>
      <c r="AG940" s="270">
        <v>2026</v>
      </c>
      <c r="AH940" s="261">
        <f t="shared" si="25"/>
        <v>90216.595115000004</v>
      </c>
      <c r="AI940" s="261"/>
      <c r="AJ940" s="261"/>
      <c r="AK940" s="259" t="s">
        <v>43</v>
      </c>
      <c r="AL940" s="259" t="s">
        <v>41</v>
      </c>
      <c r="AM940" s="266">
        <v>0</v>
      </c>
      <c r="AN940" s="67"/>
      <c r="AO940" s="256"/>
      <c r="AP940" s="257"/>
    </row>
    <row r="941" spans="1:42" s="269" customFormat="1" ht="37.950000000000003" customHeight="1" x14ac:dyDescent="0.3">
      <c r="A941" s="259" t="s">
        <v>1641</v>
      </c>
      <c r="B941" s="243" t="s">
        <v>1642</v>
      </c>
      <c r="C941" s="278" t="s">
        <v>1973</v>
      </c>
      <c r="D941" s="243" t="s">
        <v>34</v>
      </c>
      <c r="E941" s="243" t="s">
        <v>1644</v>
      </c>
      <c r="F941" s="259" t="s">
        <v>35</v>
      </c>
      <c r="G941" s="259">
        <v>1</v>
      </c>
      <c r="H941" s="245">
        <v>778720.2</v>
      </c>
      <c r="I941" s="243" t="s">
        <v>36</v>
      </c>
      <c r="J941" s="245">
        <f t="shared" si="24"/>
        <v>778720.2</v>
      </c>
      <c r="K941" s="1695">
        <v>26425.439999999999</v>
      </c>
      <c r="L941" s="1695">
        <v>26425.439999999999</v>
      </c>
      <c r="M941" s="246" t="s">
        <v>322</v>
      </c>
      <c r="N941" s="261" t="s">
        <v>1974</v>
      </c>
      <c r="O941" s="279" t="s">
        <v>1975</v>
      </c>
      <c r="P941" s="263" t="s">
        <v>41</v>
      </c>
      <c r="Q941" s="262">
        <v>45055</v>
      </c>
      <c r="R941" s="263" t="s">
        <v>41</v>
      </c>
      <c r="S941" s="262">
        <v>45055</v>
      </c>
      <c r="T941" s="263"/>
      <c r="U941" s="262"/>
      <c r="V941" s="263" t="s">
        <v>41</v>
      </c>
      <c r="W941" s="262">
        <v>45255</v>
      </c>
      <c r="X941" s="263" t="s">
        <v>41</v>
      </c>
      <c r="Y941" s="262">
        <v>45291</v>
      </c>
      <c r="Z941" s="263" t="s">
        <v>40</v>
      </c>
      <c r="AA941" s="262"/>
      <c r="AB941" s="263" t="s">
        <v>40</v>
      </c>
      <c r="AC941" s="262"/>
      <c r="AD941" s="262"/>
      <c r="AE941" s="262">
        <v>45565</v>
      </c>
      <c r="AF941" s="263" t="s">
        <v>65</v>
      </c>
      <c r="AG941" s="270">
        <v>2026</v>
      </c>
      <c r="AH941" s="261">
        <f t="shared" si="25"/>
        <v>129999.95208</v>
      </c>
      <c r="AI941" s="261"/>
      <c r="AJ941" s="261"/>
      <c r="AK941" s="259" t="s">
        <v>43</v>
      </c>
      <c r="AL941" s="259" t="s">
        <v>41</v>
      </c>
      <c r="AM941" s="266">
        <v>0</v>
      </c>
      <c r="AN941" s="67"/>
      <c r="AO941" s="267"/>
      <c r="AP941" s="268"/>
    </row>
    <row r="942" spans="1:42" s="258" customFormat="1" ht="37.950000000000003" customHeight="1" x14ac:dyDescent="0.3">
      <c r="A942" s="259" t="s">
        <v>1641</v>
      </c>
      <c r="B942" s="243" t="s">
        <v>1642</v>
      </c>
      <c r="C942" s="278" t="s">
        <v>1976</v>
      </c>
      <c r="D942" s="243" t="s">
        <v>34</v>
      </c>
      <c r="E942" s="243" t="s">
        <v>1644</v>
      </c>
      <c r="F942" s="259" t="s">
        <v>35</v>
      </c>
      <c r="G942" s="259">
        <v>1</v>
      </c>
      <c r="H942" s="245">
        <v>778720</v>
      </c>
      <c r="I942" s="243" t="s">
        <v>36</v>
      </c>
      <c r="J942" s="245">
        <f t="shared" si="24"/>
        <v>778720</v>
      </c>
      <c r="K942" s="1435">
        <f>13365.18+17522.1</f>
        <v>30887.279999999999</v>
      </c>
      <c r="L942" s="1435">
        <f>K942</f>
        <v>30887.279999999999</v>
      </c>
      <c r="M942" s="246" t="s">
        <v>303</v>
      </c>
      <c r="N942" s="261" t="s">
        <v>1977</v>
      </c>
      <c r="O942" s="279" t="s">
        <v>1978</v>
      </c>
      <c r="P942" s="263" t="s">
        <v>41</v>
      </c>
      <c r="Q942" s="262">
        <v>45055</v>
      </c>
      <c r="R942" s="263" t="s">
        <v>41</v>
      </c>
      <c r="S942" s="262">
        <v>45055</v>
      </c>
      <c r="T942" s="263"/>
      <c r="U942" s="262"/>
      <c r="V942" s="263" t="s">
        <v>41</v>
      </c>
      <c r="W942" s="262">
        <v>45255</v>
      </c>
      <c r="X942" s="263" t="s">
        <v>41</v>
      </c>
      <c r="Y942" s="262">
        <v>45291</v>
      </c>
      <c r="Z942" s="263" t="s">
        <v>40</v>
      </c>
      <c r="AA942" s="262"/>
      <c r="AB942" s="263" t="s">
        <v>40</v>
      </c>
      <c r="AC942" s="262"/>
      <c r="AD942" s="262"/>
      <c r="AE942" s="262">
        <v>45565</v>
      </c>
      <c r="AF942" s="263" t="s">
        <v>65</v>
      </c>
      <c r="AG942" s="270">
        <v>2026</v>
      </c>
      <c r="AH942" s="261">
        <f t="shared" si="25"/>
        <v>151949.97396</v>
      </c>
      <c r="AI942" s="261"/>
      <c r="AJ942" s="261"/>
      <c r="AK942" s="259" t="s">
        <v>43</v>
      </c>
      <c r="AL942" s="259" t="s">
        <v>41</v>
      </c>
      <c r="AM942" s="266">
        <v>0</v>
      </c>
      <c r="AN942" s="67"/>
      <c r="AO942" s="256"/>
      <c r="AP942" s="257"/>
    </row>
    <row r="943" spans="1:42" s="258" customFormat="1" ht="37.950000000000003" customHeight="1" x14ac:dyDescent="0.3">
      <c r="A943" s="259" t="s">
        <v>1641</v>
      </c>
      <c r="B943" s="243" t="s">
        <v>1642</v>
      </c>
      <c r="C943" s="278" t="s">
        <v>1979</v>
      </c>
      <c r="D943" s="243" t="s">
        <v>34</v>
      </c>
      <c r="E943" s="243" t="s">
        <v>1644</v>
      </c>
      <c r="F943" s="259" t="s">
        <v>35</v>
      </c>
      <c r="G943" s="259">
        <v>1</v>
      </c>
      <c r="H943" s="245">
        <v>778720</v>
      </c>
      <c r="I943" s="243" t="s">
        <v>36</v>
      </c>
      <c r="J943" s="245">
        <f t="shared" si="24"/>
        <v>778720</v>
      </c>
      <c r="K943" s="1696">
        <f>2032.72+21343.63+16684.825</f>
        <v>40061.175000000003</v>
      </c>
      <c r="L943" s="1696">
        <f>K943</f>
        <v>40061.175000000003</v>
      </c>
      <c r="M943" s="246" t="s">
        <v>54</v>
      </c>
      <c r="N943" s="261" t="s">
        <v>1980</v>
      </c>
      <c r="O943" s="279" t="s">
        <v>1981</v>
      </c>
      <c r="P943" s="263" t="s">
        <v>41</v>
      </c>
      <c r="Q943" s="262">
        <v>45055</v>
      </c>
      <c r="R943" s="263" t="s">
        <v>41</v>
      </c>
      <c r="S943" s="262">
        <v>45055</v>
      </c>
      <c r="T943" s="263"/>
      <c r="U943" s="262"/>
      <c r="V943" s="263" t="s">
        <v>41</v>
      </c>
      <c r="W943" s="262">
        <v>45255</v>
      </c>
      <c r="X943" s="263" t="s">
        <v>41</v>
      </c>
      <c r="Y943" s="262">
        <v>45291</v>
      </c>
      <c r="Z943" s="263" t="s">
        <v>40</v>
      </c>
      <c r="AA943" s="262"/>
      <c r="AB943" s="263" t="s">
        <v>40</v>
      </c>
      <c r="AC943" s="262"/>
      <c r="AD943" s="262"/>
      <c r="AE943" s="262">
        <v>45565</v>
      </c>
      <c r="AF943" s="263" t="s">
        <v>65</v>
      </c>
      <c r="AG943" s="270">
        <v>2026</v>
      </c>
      <c r="AH943" s="261">
        <f t="shared" si="25"/>
        <v>197080.95041250001</v>
      </c>
      <c r="AI943" s="261"/>
      <c r="AJ943" s="261"/>
      <c r="AK943" s="259" t="s">
        <v>43</v>
      </c>
      <c r="AL943" s="259" t="s">
        <v>41</v>
      </c>
      <c r="AM943" s="266">
        <v>0</v>
      </c>
      <c r="AN943" s="67"/>
      <c r="AO943" s="256"/>
      <c r="AP943" s="257"/>
    </row>
    <row r="944" spans="1:42" s="258" customFormat="1" ht="37.950000000000003" customHeight="1" x14ac:dyDescent="0.3">
      <c r="A944" s="259" t="s">
        <v>1641</v>
      </c>
      <c r="B944" s="243" t="s">
        <v>1642</v>
      </c>
      <c r="C944" s="278" t="s">
        <v>1982</v>
      </c>
      <c r="D944" s="243" t="s">
        <v>34</v>
      </c>
      <c r="E944" s="243" t="s">
        <v>1644</v>
      </c>
      <c r="F944" s="259" t="s">
        <v>35</v>
      </c>
      <c r="G944" s="259">
        <v>1</v>
      </c>
      <c r="H944" s="245">
        <v>778720.2</v>
      </c>
      <c r="I944" s="243" t="s">
        <v>36</v>
      </c>
      <c r="J944" s="245">
        <f t="shared" si="24"/>
        <v>778720.2</v>
      </c>
      <c r="K944" s="1435">
        <f>8277.02+10366.9</f>
        <v>18643.919999999998</v>
      </c>
      <c r="L944" s="1435">
        <f>K944</f>
        <v>18643.919999999998</v>
      </c>
      <c r="M944" s="246" t="s">
        <v>79</v>
      </c>
      <c r="N944" s="261" t="s">
        <v>1983</v>
      </c>
      <c r="O944" s="279" t="s">
        <v>1984</v>
      </c>
      <c r="P944" s="263" t="s">
        <v>41</v>
      </c>
      <c r="Q944" s="262">
        <v>45055</v>
      </c>
      <c r="R944" s="263" t="s">
        <v>41</v>
      </c>
      <c r="S944" s="262">
        <v>45055</v>
      </c>
      <c r="T944" s="263"/>
      <c r="U944" s="262"/>
      <c r="V944" s="263" t="s">
        <v>41</v>
      </c>
      <c r="W944" s="262">
        <v>45255</v>
      </c>
      <c r="X944" s="263" t="s">
        <v>41</v>
      </c>
      <c r="Y944" s="262">
        <v>45291</v>
      </c>
      <c r="Z944" s="263" t="s">
        <v>40</v>
      </c>
      <c r="AA944" s="262"/>
      <c r="AB944" s="263" t="s">
        <v>40</v>
      </c>
      <c r="AC944" s="262"/>
      <c r="AD944" s="262"/>
      <c r="AE944" s="262">
        <v>45565</v>
      </c>
      <c r="AF944" s="263" t="s">
        <v>65</v>
      </c>
      <c r="AG944" s="270">
        <v>2026</v>
      </c>
      <c r="AH944" s="261">
        <f t="shared" si="25"/>
        <v>91718.764439999999</v>
      </c>
      <c r="AI944" s="261"/>
      <c r="AJ944" s="261"/>
      <c r="AK944" s="259" t="s">
        <v>43</v>
      </c>
      <c r="AL944" s="259" t="s">
        <v>41</v>
      </c>
      <c r="AM944" s="266">
        <v>0</v>
      </c>
      <c r="AN944" s="67"/>
      <c r="AO944" s="256"/>
      <c r="AP944" s="257"/>
    </row>
    <row r="945" spans="1:42" s="258" customFormat="1" ht="37.950000000000003" customHeight="1" x14ac:dyDescent="0.3">
      <c r="A945" s="259" t="s">
        <v>1641</v>
      </c>
      <c r="B945" s="243" t="s">
        <v>1642</v>
      </c>
      <c r="C945" s="278" t="s">
        <v>1985</v>
      </c>
      <c r="D945" s="243" t="s">
        <v>34</v>
      </c>
      <c r="E945" s="243" t="s">
        <v>1644</v>
      </c>
      <c r="F945" s="259" t="s">
        <v>35</v>
      </c>
      <c r="G945" s="259">
        <v>1</v>
      </c>
      <c r="H945" s="245">
        <v>778720.2</v>
      </c>
      <c r="I945" s="243" t="s">
        <v>36</v>
      </c>
      <c r="J945" s="245">
        <f t="shared" si="24"/>
        <v>778720.2</v>
      </c>
      <c r="K945" s="1695">
        <v>0</v>
      </c>
      <c r="L945" s="1695">
        <v>0</v>
      </c>
      <c r="M945" s="246" t="s">
        <v>322</v>
      </c>
      <c r="N945" s="261" t="s">
        <v>1986</v>
      </c>
      <c r="O945" s="279" t="s">
        <v>1987</v>
      </c>
      <c r="P945" s="263" t="s">
        <v>41</v>
      </c>
      <c r="Q945" s="262">
        <v>45056</v>
      </c>
      <c r="R945" s="263" t="s">
        <v>41</v>
      </c>
      <c r="S945" s="262">
        <v>45056</v>
      </c>
      <c r="T945" s="263"/>
      <c r="U945" s="262"/>
      <c r="V945" s="263" t="s">
        <v>41</v>
      </c>
      <c r="W945" s="262">
        <v>45255</v>
      </c>
      <c r="X945" s="263" t="s">
        <v>41</v>
      </c>
      <c r="Y945" s="262">
        <v>45291</v>
      </c>
      <c r="Z945" s="263" t="s">
        <v>40</v>
      </c>
      <c r="AA945" s="262"/>
      <c r="AB945" s="263" t="s">
        <v>40</v>
      </c>
      <c r="AC945" s="262"/>
      <c r="AD945" s="262"/>
      <c r="AE945" s="262">
        <v>45565</v>
      </c>
      <c r="AF945" s="263" t="s">
        <v>65</v>
      </c>
      <c r="AG945" s="270">
        <v>2026</v>
      </c>
      <c r="AH945" s="261">
        <f t="shared" si="25"/>
        <v>0</v>
      </c>
      <c r="AI945" s="261"/>
      <c r="AJ945" s="261"/>
      <c r="AK945" s="259" t="s">
        <v>43</v>
      </c>
      <c r="AL945" s="259" t="s">
        <v>41</v>
      </c>
      <c r="AM945" s="266">
        <v>0</v>
      </c>
      <c r="AN945" s="67"/>
      <c r="AO945" s="256"/>
      <c r="AP945" s="257"/>
    </row>
    <row r="946" spans="1:42" s="258" customFormat="1" ht="37.950000000000003" customHeight="1" x14ac:dyDescent="0.3">
      <c r="A946" s="259" t="s">
        <v>1641</v>
      </c>
      <c r="B946" s="243" t="s">
        <v>1642</v>
      </c>
      <c r="C946" s="278" t="s">
        <v>1988</v>
      </c>
      <c r="D946" s="243" t="s">
        <v>34</v>
      </c>
      <c r="E946" s="243" t="s">
        <v>1644</v>
      </c>
      <c r="F946" s="259" t="s">
        <v>35</v>
      </c>
      <c r="G946" s="259">
        <v>1</v>
      </c>
      <c r="H946" s="245">
        <v>769947.52</v>
      </c>
      <c r="I946" s="243" t="s">
        <v>36</v>
      </c>
      <c r="J946" s="245">
        <f t="shared" si="24"/>
        <v>769947.52</v>
      </c>
      <c r="K946" s="1695">
        <f>14988.69+12851.915</f>
        <v>27840.605000000003</v>
      </c>
      <c r="L946" s="1695">
        <f>K946</f>
        <v>27840.605000000003</v>
      </c>
      <c r="M946" s="246" t="s">
        <v>63</v>
      </c>
      <c r="N946" s="261" t="s">
        <v>1989</v>
      </c>
      <c r="O946" s="279" t="s">
        <v>1990</v>
      </c>
      <c r="P946" s="263" t="s">
        <v>41</v>
      </c>
      <c r="Q946" s="262">
        <v>45056</v>
      </c>
      <c r="R946" s="263" t="s">
        <v>41</v>
      </c>
      <c r="S946" s="262">
        <v>45056</v>
      </c>
      <c r="T946" s="263"/>
      <c r="U946" s="262"/>
      <c r="V946" s="263" t="s">
        <v>41</v>
      </c>
      <c r="W946" s="262">
        <v>45255</v>
      </c>
      <c r="X946" s="263" t="s">
        <v>41</v>
      </c>
      <c r="Y946" s="262">
        <v>45291</v>
      </c>
      <c r="Z946" s="263" t="s">
        <v>40</v>
      </c>
      <c r="AA946" s="262"/>
      <c r="AB946" s="263" t="s">
        <v>40</v>
      </c>
      <c r="AC946" s="262"/>
      <c r="AD946" s="262"/>
      <c r="AE946" s="262">
        <v>45565</v>
      </c>
      <c r="AF946" s="263" t="s">
        <v>65</v>
      </c>
      <c r="AG946" s="270">
        <v>2026</v>
      </c>
      <c r="AH946" s="261">
        <f t="shared" si="25"/>
        <v>136961.85629750002</v>
      </c>
      <c r="AI946" s="261"/>
      <c r="AJ946" s="261"/>
      <c r="AK946" s="259" t="s">
        <v>43</v>
      </c>
      <c r="AL946" s="259" t="s">
        <v>41</v>
      </c>
      <c r="AM946" s="266">
        <v>0</v>
      </c>
      <c r="AN946" s="67"/>
      <c r="AO946" s="256"/>
      <c r="AP946" s="257"/>
    </row>
    <row r="947" spans="1:42" s="258" customFormat="1" ht="37.950000000000003" customHeight="1" x14ac:dyDescent="0.3">
      <c r="A947" s="259" t="s">
        <v>1641</v>
      </c>
      <c r="B947" s="243" t="s">
        <v>1642</v>
      </c>
      <c r="C947" s="278" t="s">
        <v>1991</v>
      </c>
      <c r="D947" s="243" t="s">
        <v>34</v>
      </c>
      <c r="E947" s="243" t="s">
        <v>1644</v>
      </c>
      <c r="F947" s="259" t="s">
        <v>35</v>
      </c>
      <c r="G947" s="259">
        <v>1</v>
      </c>
      <c r="H947" s="245">
        <v>778720.2</v>
      </c>
      <c r="I947" s="243" t="s">
        <v>36</v>
      </c>
      <c r="J947" s="245">
        <f t="shared" si="24"/>
        <v>778720.2</v>
      </c>
      <c r="K947" s="1695">
        <f>9655.45+1219.64+14229.09</f>
        <v>25104.18</v>
      </c>
      <c r="L947" s="1695">
        <f>K947</f>
        <v>25104.18</v>
      </c>
      <c r="M947" s="246" t="s">
        <v>1208</v>
      </c>
      <c r="N947" s="261" t="s">
        <v>1992</v>
      </c>
      <c r="O947" s="279" t="s">
        <v>1993</v>
      </c>
      <c r="P947" s="263" t="s">
        <v>41</v>
      </c>
      <c r="Q947" s="262">
        <v>45056</v>
      </c>
      <c r="R947" s="263" t="s">
        <v>41</v>
      </c>
      <c r="S947" s="262">
        <v>45056</v>
      </c>
      <c r="T947" s="263"/>
      <c r="U947" s="262"/>
      <c r="V947" s="263" t="s">
        <v>41</v>
      </c>
      <c r="W947" s="262">
        <v>45255</v>
      </c>
      <c r="X947" s="263" t="s">
        <v>41</v>
      </c>
      <c r="Y947" s="262">
        <v>45291</v>
      </c>
      <c r="Z947" s="263" t="s">
        <v>40</v>
      </c>
      <c r="AA947" s="262"/>
      <c r="AB947" s="263" t="s">
        <v>40</v>
      </c>
      <c r="AC947" s="262"/>
      <c r="AD947" s="262"/>
      <c r="AE947" s="262">
        <v>45565</v>
      </c>
      <c r="AF947" s="263" t="s">
        <v>65</v>
      </c>
      <c r="AG947" s="270">
        <v>2026</v>
      </c>
      <c r="AH947" s="261">
        <f t="shared" si="25"/>
        <v>123500.01351</v>
      </c>
      <c r="AI947" s="261"/>
      <c r="AJ947" s="261"/>
      <c r="AK947" s="259" t="s">
        <v>43</v>
      </c>
      <c r="AL947" s="259" t="s">
        <v>41</v>
      </c>
      <c r="AM947" s="266">
        <v>0</v>
      </c>
      <c r="AN947" s="67"/>
      <c r="AO947" s="256"/>
      <c r="AP947" s="257"/>
    </row>
    <row r="948" spans="1:42" s="258" customFormat="1" ht="37.950000000000003" customHeight="1" x14ac:dyDescent="0.3">
      <c r="A948" s="259" t="s">
        <v>1641</v>
      </c>
      <c r="B948" s="243" t="s">
        <v>1642</v>
      </c>
      <c r="C948" s="278" t="s">
        <v>1994</v>
      </c>
      <c r="D948" s="243" t="s">
        <v>34</v>
      </c>
      <c r="E948" s="243" t="s">
        <v>1644</v>
      </c>
      <c r="F948" s="259" t="s">
        <v>35</v>
      </c>
      <c r="G948" s="259">
        <v>1</v>
      </c>
      <c r="H948" s="245">
        <v>778720</v>
      </c>
      <c r="I948" s="243" t="s">
        <v>36</v>
      </c>
      <c r="J948" s="245">
        <f t="shared" si="24"/>
        <v>778720</v>
      </c>
      <c r="K948" s="1695">
        <f>1161.82+9147.27+1219.63+7195.969</f>
        <v>18724.689000000002</v>
      </c>
      <c r="L948" s="1695">
        <f>1161.82+9147.27+1219.63+7195.969</f>
        <v>18724.689000000002</v>
      </c>
      <c r="M948" s="246" t="s">
        <v>53</v>
      </c>
      <c r="N948" s="261" t="s">
        <v>1995</v>
      </c>
      <c r="O948" s="279" t="s">
        <v>1996</v>
      </c>
      <c r="P948" s="263" t="s">
        <v>41</v>
      </c>
      <c r="Q948" s="262">
        <v>45055</v>
      </c>
      <c r="R948" s="263" t="s">
        <v>41</v>
      </c>
      <c r="S948" s="262">
        <v>45055</v>
      </c>
      <c r="T948" s="263"/>
      <c r="U948" s="262"/>
      <c r="V948" s="263" t="s">
        <v>41</v>
      </c>
      <c r="W948" s="262">
        <v>45255</v>
      </c>
      <c r="X948" s="263" t="s">
        <v>41</v>
      </c>
      <c r="Y948" s="262">
        <v>45291</v>
      </c>
      <c r="Z948" s="263" t="s">
        <v>40</v>
      </c>
      <c r="AA948" s="262"/>
      <c r="AB948" s="263" t="s">
        <v>40</v>
      </c>
      <c r="AC948" s="262"/>
      <c r="AD948" s="262"/>
      <c r="AE948" s="262">
        <v>45565</v>
      </c>
      <c r="AF948" s="263" t="s">
        <v>65</v>
      </c>
      <c r="AG948" s="270">
        <v>2026</v>
      </c>
      <c r="AH948" s="261">
        <f t="shared" si="25"/>
        <v>92116.107535500021</v>
      </c>
      <c r="AI948" s="261"/>
      <c r="AJ948" s="261"/>
      <c r="AK948" s="259" t="s">
        <v>43</v>
      </c>
      <c r="AL948" s="259" t="s">
        <v>41</v>
      </c>
      <c r="AM948" s="266">
        <v>0</v>
      </c>
      <c r="AN948" s="67"/>
      <c r="AO948" s="256"/>
      <c r="AP948" s="257"/>
    </row>
    <row r="949" spans="1:42" s="258" customFormat="1" ht="37.950000000000003" customHeight="1" x14ac:dyDescent="0.3">
      <c r="A949" s="259" t="s">
        <v>1641</v>
      </c>
      <c r="B949" s="243" t="s">
        <v>1642</v>
      </c>
      <c r="C949" s="244" t="s">
        <v>1997</v>
      </c>
      <c r="D949" s="243" t="s">
        <v>34</v>
      </c>
      <c r="E949" s="243" t="s">
        <v>1644</v>
      </c>
      <c r="F949" s="259" t="s">
        <v>35</v>
      </c>
      <c r="G949" s="259">
        <v>1</v>
      </c>
      <c r="H949" s="245">
        <v>777883</v>
      </c>
      <c r="I949" s="243" t="s">
        <v>36</v>
      </c>
      <c r="J949" s="245">
        <f t="shared" si="24"/>
        <v>777883</v>
      </c>
      <c r="K949" s="1695">
        <v>0</v>
      </c>
      <c r="L949" s="1695">
        <v>0</v>
      </c>
      <c r="M949" s="246" t="s">
        <v>50</v>
      </c>
      <c r="N949" s="261" t="s">
        <v>1963</v>
      </c>
      <c r="O949" s="261" t="s">
        <v>1998</v>
      </c>
      <c r="P949" s="263" t="s">
        <v>41</v>
      </c>
      <c r="Q949" s="263"/>
      <c r="R949" s="263" t="s">
        <v>41</v>
      </c>
      <c r="S949" s="263"/>
      <c r="T949" s="263"/>
      <c r="U949" s="263"/>
      <c r="V949" s="263" t="s">
        <v>41</v>
      </c>
      <c r="W949" s="263"/>
      <c r="X949" s="263" t="s">
        <v>41</v>
      </c>
      <c r="Y949" s="263"/>
      <c r="Z949" s="263" t="s">
        <v>40</v>
      </c>
      <c r="AA949" s="263"/>
      <c r="AB949" s="263" t="s">
        <v>40</v>
      </c>
      <c r="AC949" s="263"/>
      <c r="AD949" s="282"/>
      <c r="AE949" s="262">
        <v>45565</v>
      </c>
      <c r="AF949" s="263" t="s">
        <v>65</v>
      </c>
      <c r="AG949" s="270">
        <v>2026</v>
      </c>
      <c r="AH949" s="261">
        <f t="shared" si="25"/>
        <v>0</v>
      </c>
      <c r="AI949" s="259"/>
      <c r="AJ949" s="259"/>
      <c r="AK949" s="259" t="s">
        <v>43</v>
      </c>
      <c r="AL949" s="259" t="s">
        <v>41</v>
      </c>
      <c r="AM949" s="266">
        <v>0</v>
      </c>
      <c r="AN949" s="256"/>
      <c r="AO949" s="256"/>
      <c r="AP949" s="257"/>
    </row>
    <row r="950" spans="1:42" s="258" customFormat="1" ht="37.950000000000003" customHeight="1" x14ac:dyDescent="0.3">
      <c r="A950" s="259" t="s">
        <v>1641</v>
      </c>
      <c r="B950" s="243" t="s">
        <v>1642</v>
      </c>
      <c r="C950" s="278" t="s">
        <v>1999</v>
      </c>
      <c r="D950" s="243" t="s">
        <v>34</v>
      </c>
      <c r="E950" s="243" t="s">
        <v>1644</v>
      </c>
      <c r="F950" s="259" t="s">
        <v>35</v>
      </c>
      <c r="G950" s="259">
        <v>1</v>
      </c>
      <c r="H950" s="245">
        <v>769947.52</v>
      </c>
      <c r="I950" s="243" t="s">
        <v>36</v>
      </c>
      <c r="J950" s="245">
        <f t="shared" si="24"/>
        <v>769947.52</v>
      </c>
      <c r="K950" s="1695">
        <v>6968.18</v>
      </c>
      <c r="L950" s="1695">
        <v>6968.18</v>
      </c>
      <c r="M950" s="246" t="s">
        <v>63</v>
      </c>
      <c r="N950" s="261" t="s">
        <v>2000</v>
      </c>
      <c r="O950" s="279" t="s">
        <v>2001</v>
      </c>
      <c r="P950" s="263" t="s">
        <v>41</v>
      </c>
      <c r="Q950" s="262">
        <v>45056</v>
      </c>
      <c r="R950" s="263" t="s">
        <v>41</v>
      </c>
      <c r="S950" s="262">
        <v>45056</v>
      </c>
      <c r="T950" s="263"/>
      <c r="U950" s="262"/>
      <c r="V950" s="263" t="s">
        <v>41</v>
      </c>
      <c r="W950" s="262">
        <v>45255</v>
      </c>
      <c r="X950" s="263" t="s">
        <v>41</v>
      </c>
      <c r="Y950" s="262">
        <v>45291</v>
      </c>
      <c r="Z950" s="263" t="s">
        <v>40</v>
      </c>
      <c r="AA950" s="262"/>
      <c r="AB950" s="263" t="s">
        <v>40</v>
      </c>
      <c r="AC950" s="262"/>
      <c r="AD950" s="262"/>
      <c r="AE950" s="262">
        <v>45565</v>
      </c>
      <c r="AF950" s="263" t="s">
        <v>65</v>
      </c>
      <c r="AG950" s="270">
        <v>2026</v>
      </c>
      <c r="AH950" s="261">
        <f t="shared" si="25"/>
        <v>34279.961510000001</v>
      </c>
      <c r="AI950" s="261"/>
      <c r="AJ950" s="261"/>
      <c r="AK950" s="259" t="s">
        <v>43</v>
      </c>
      <c r="AL950" s="259" t="s">
        <v>41</v>
      </c>
      <c r="AM950" s="266">
        <v>0</v>
      </c>
      <c r="AN950" s="67"/>
      <c r="AO950" s="256"/>
      <c r="AP950" s="257"/>
    </row>
    <row r="951" spans="1:42" s="258" customFormat="1" ht="37.950000000000003" customHeight="1" x14ac:dyDescent="0.3">
      <c r="A951" s="259" t="s">
        <v>1641</v>
      </c>
      <c r="B951" s="243" t="s">
        <v>1642</v>
      </c>
      <c r="C951" s="244" t="s">
        <v>2002</v>
      </c>
      <c r="D951" s="243" t="s">
        <v>34</v>
      </c>
      <c r="E951" s="243" t="s">
        <v>1644</v>
      </c>
      <c r="F951" s="259" t="s">
        <v>35</v>
      </c>
      <c r="G951" s="259">
        <v>1</v>
      </c>
      <c r="H951" s="245">
        <v>778720</v>
      </c>
      <c r="I951" s="243" t="s">
        <v>36</v>
      </c>
      <c r="J951" s="245">
        <f t="shared" si="24"/>
        <v>778720</v>
      </c>
      <c r="K951" s="1695">
        <f>789.91+25826.35</f>
        <v>26616.26</v>
      </c>
      <c r="L951" s="1695">
        <f>789.91+25826.35</f>
        <v>26616.26</v>
      </c>
      <c r="M951" s="246" t="s">
        <v>58</v>
      </c>
      <c r="N951" s="261" t="s">
        <v>2003</v>
      </c>
      <c r="O951" s="261" t="s">
        <v>2004</v>
      </c>
      <c r="P951" s="263" t="s">
        <v>41</v>
      </c>
      <c r="Q951" s="262">
        <v>45056</v>
      </c>
      <c r="R951" s="263" t="s">
        <v>41</v>
      </c>
      <c r="S951" s="262">
        <v>45056</v>
      </c>
      <c r="T951" s="263"/>
      <c r="U951" s="262"/>
      <c r="V951" s="263" t="s">
        <v>41</v>
      </c>
      <c r="W951" s="262">
        <v>45255</v>
      </c>
      <c r="X951" s="263" t="s">
        <v>41</v>
      </c>
      <c r="Y951" s="262">
        <v>45291</v>
      </c>
      <c r="Z951" s="263" t="s">
        <v>40</v>
      </c>
      <c r="AA951" s="262"/>
      <c r="AB951" s="263" t="s">
        <v>40</v>
      </c>
      <c r="AC951" s="262"/>
      <c r="AD951" s="262"/>
      <c r="AE951" s="262">
        <v>45565</v>
      </c>
      <c r="AF951" s="263" t="s">
        <v>65</v>
      </c>
      <c r="AG951" s="270">
        <v>2026</v>
      </c>
      <c r="AH951" s="261">
        <f t="shared" si="25"/>
        <v>130938.69107</v>
      </c>
      <c r="AI951" s="261"/>
      <c r="AJ951" s="261"/>
      <c r="AK951" s="259" t="s">
        <v>43</v>
      </c>
      <c r="AL951" s="259" t="s">
        <v>41</v>
      </c>
      <c r="AM951" s="266">
        <v>0</v>
      </c>
      <c r="AN951" s="67"/>
      <c r="AO951" s="256"/>
      <c r="AP951" s="257"/>
    </row>
    <row r="952" spans="1:42" s="258" customFormat="1" ht="37.950000000000003" customHeight="1" x14ac:dyDescent="0.3">
      <c r="A952" s="259" t="s">
        <v>1641</v>
      </c>
      <c r="B952" s="243" t="s">
        <v>1642</v>
      </c>
      <c r="C952" s="244" t="s">
        <v>2005</v>
      </c>
      <c r="D952" s="243" t="s">
        <v>34</v>
      </c>
      <c r="E952" s="243" t="s">
        <v>1644</v>
      </c>
      <c r="F952" s="259" t="s">
        <v>35</v>
      </c>
      <c r="G952" s="259">
        <v>1</v>
      </c>
      <c r="H952" s="245">
        <v>778720.2</v>
      </c>
      <c r="I952" s="243" t="s">
        <v>36</v>
      </c>
      <c r="J952" s="245">
        <f t="shared" si="24"/>
        <v>778720.2</v>
      </c>
      <c r="K952" s="1695">
        <f>3923.16+15230.16+5868.84+4931.8</f>
        <v>29953.96</v>
      </c>
      <c r="L952" s="1695">
        <f>3923.16+15230.16+5868.84+4931.8</f>
        <v>29953.96</v>
      </c>
      <c r="M952" s="246" t="s">
        <v>76</v>
      </c>
      <c r="N952" s="261" t="s">
        <v>2006</v>
      </c>
      <c r="O952" s="261" t="s">
        <v>2007</v>
      </c>
      <c r="P952" s="263" t="s">
        <v>41</v>
      </c>
      <c r="Q952" s="262">
        <v>45056</v>
      </c>
      <c r="R952" s="263" t="s">
        <v>41</v>
      </c>
      <c r="S952" s="262">
        <v>45056</v>
      </c>
      <c r="T952" s="263"/>
      <c r="U952" s="262"/>
      <c r="V952" s="263" t="s">
        <v>41</v>
      </c>
      <c r="W952" s="262">
        <v>45255</v>
      </c>
      <c r="X952" s="263" t="s">
        <v>41</v>
      </c>
      <c r="Y952" s="262">
        <v>45291</v>
      </c>
      <c r="Z952" s="263" t="s">
        <v>40</v>
      </c>
      <c r="AA952" s="262"/>
      <c r="AB952" s="263" t="s">
        <v>40</v>
      </c>
      <c r="AC952" s="262"/>
      <c r="AD952" s="262"/>
      <c r="AE952" s="262">
        <v>45565</v>
      </c>
      <c r="AF952" s="263" t="s">
        <v>65</v>
      </c>
      <c r="AG952" s="270">
        <v>2026</v>
      </c>
      <c r="AH952" s="261">
        <f t="shared" si="25"/>
        <v>147358.50622000001</v>
      </c>
      <c r="AI952" s="261"/>
      <c r="AJ952" s="261"/>
      <c r="AK952" s="259" t="s">
        <v>43</v>
      </c>
      <c r="AL952" s="259" t="s">
        <v>41</v>
      </c>
      <c r="AM952" s="266">
        <v>0</v>
      </c>
      <c r="AN952" s="67"/>
      <c r="AO952" s="256"/>
      <c r="AP952" s="257"/>
    </row>
    <row r="953" spans="1:42" s="258" customFormat="1" ht="37.950000000000003" customHeight="1" x14ac:dyDescent="0.3">
      <c r="A953" s="259" t="s">
        <v>1641</v>
      </c>
      <c r="B953" s="243" t="s">
        <v>1642</v>
      </c>
      <c r="C953" s="244" t="s">
        <v>2008</v>
      </c>
      <c r="D953" s="243" t="s">
        <v>34</v>
      </c>
      <c r="E953" s="243" t="s">
        <v>1644</v>
      </c>
      <c r="F953" s="259" t="s">
        <v>35</v>
      </c>
      <c r="G953" s="259">
        <v>1</v>
      </c>
      <c r="H953" s="245">
        <v>778720.2</v>
      </c>
      <c r="I953" s="243" t="s">
        <v>36</v>
      </c>
      <c r="J953" s="245">
        <f t="shared" si="24"/>
        <v>778720.2</v>
      </c>
      <c r="K953" s="1695">
        <f>10163.63</f>
        <v>10163.629999999999</v>
      </c>
      <c r="L953" s="1695">
        <f>K953</f>
        <v>10163.629999999999</v>
      </c>
      <c r="M953" s="246" t="s">
        <v>62</v>
      </c>
      <c r="N953" s="261" t="s">
        <v>2009</v>
      </c>
      <c r="O953" s="261" t="s">
        <v>2010</v>
      </c>
      <c r="P953" s="263" t="s">
        <v>41</v>
      </c>
      <c r="Q953" s="262">
        <v>45056</v>
      </c>
      <c r="R953" s="263" t="s">
        <v>41</v>
      </c>
      <c r="S953" s="262">
        <v>45056</v>
      </c>
      <c r="T953" s="263"/>
      <c r="U953" s="262"/>
      <c r="V953" s="263" t="s">
        <v>41</v>
      </c>
      <c r="W953" s="262">
        <v>45255</v>
      </c>
      <c r="X953" s="263" t="s">
        <v>41</v>
      </c>
      <c r="Y953" s="262">
        <v>45291</v>
      </c>
      <c r="Z953" s="263" t="s">
        <v>40</v>
      </c>
      <c r="AA953" s="262"/>
      <c r="AB953" s="263" t="s">
        <v>40</v>
      </c>
      <c r="AC953" s="262"/>
      <c r="AD953" s="262"/>
      <c r="AE953" s="262">
        <v>45565</v>
      </c>
      <c r="AF953" s="263" t="s">
        <v>65</v>
      </c>
      <c r="AG953" s="270">
        <v>2026</v>
      </c>
      <c r="AH953" s="261">
        <f t="shared" si="25"/>
        <v>49999.977784999995</v>
      </c>
      <c r="AI953" s="261"/>
      <c r="AJ953" s="261"/>
      <c r="AK953" s="259" t="s">
        <v>43</v>
      </c>
      <c r="AL953" s="259" t="s">
        <v>41</v>
      </c>
      <c r="AM953" s="266">
        <v>0</v>
      </c>
      <c r="AN953" s="67"/>
      <c r="AO953" s="256"/>
      <c r="AP953" s="257"/>
    </row>
    <row r="954" spans="1:42" s="269" customFormat="1" ht="37.950000000000003" customHeight="1" x14ac:dyDescent="0.3">
      <c r="A954" s="259" t="s">
        <v>1641</v>
      </c>
      <c r="B954" s="243" t="s">
        <v>1642</v>
      </c>
      <c r="C954" s="244" t="s">
        <v>2011</v>
      </c>
      <c r="D954" s="243" t="s">
        <v>34</v>
      </c>
      <c r="E954" s="243" t="s">
        <v>1644</v>
      </c>
      <c r="F954" s="259" t="s">
        <v>35</v>
      </c>
      <c r="G954" s="259">
        <v>3</v>
      </c>
      <c r="H954" s="245">
        <v>2336160.4300000002</v>
      </c>
      <c r="I954" s="243" t="s">
        <v>36</v>
      </c>
      <c r="J954" s="245">
        <f t="shared" si="24"/>
        <v>2336160.4300000002</v>
      </c>
      <c r="K954" s="1695">
        <f>25307.45+3150.73+32051.02+3730.05</f>
        <v>64239.25</v>
      </c>
      <c r="L954" s="1695">
        <f>K954</f>
        <v>64239.25</v>
      </c>
      <c r="M954" s="246" t="s">
        <v>54</v>
      </c>
      <c r="N954" s="261" t="s">
        <v>2012</v>
      </c>
      <c r="O954" s="261" t="s">
        <v>2013</v>
      </c>
      <c r="P954" s="263" t="s">
        <v>41</v>
      </c>
      <c r="Q954" s="262">
        <v>45056</v>
      </c>
      <c r="R954" s="263" t="s">
        <v>41</v>
      </c>
      <c r="S954" s="262">
        <v>45056</v>
      </c>
      <c r="T954" s="263"/>
      <c r="U954" s="262"/>
      <c r="V954" s="263" t="s">
        <v>41</v>
      </c>
      <c r="W954" s="262">
        <v>45255</v>
      </c>
      <c r="X954" s="263" t="s">
        <v>41</v>
      </c>
      <c r="Y954" s="262">
        <v>45291</v>
      </c>
      <c r="Z954" s="263" t="s">
        <v>40</v>
      </c>
      <c r="AA954" s="262"/>
      <c r="AB954" s="263" t="s">
        <v>40</v>
      </c>
      <c r="AC954" s="262"/>
      <c r="AD954" s="262"/>
      <c r="AE954" s="262">
        <v>45565</v>
      </c>
      <c r="AF954" s="263" t="s">
        <v>65</v>
      </c>
      <c r="AG954" s="270">
        <v>2026</v>
      </c>
      <c r="AH954" s="261">
        <f t="shared" si="25"/>
        <v>316024.99037499999</v>
      </c>
      <c r="AI954" s="261"/>
      <c r="AJ954" s="261"/>
      <c r="AK954" s="259" t="s">
        <v>43</v>
      </c>
      <c r="AL954" s="259" t="s">
        <v>41</v>
      </c>
      <c r="AM954" s="266">
        <v>0</v>
      </c>
      <c r="AN954" s="67"/>
      <c r="AO954" s="267"/>
      <c r="AP954" s="268"/>
    </row>
    <row r="955" spans="1:42" s="258" customFormat="1" ht="37.950000000000003" customHeight="1" x14ac:dyDescent="0.3">
      <c r="A955" s="259" t="s">
        <v>1641</v>
      </c>
      <c r="B955" s="243" t="s">
        <v>1642</v>
      </c>
      <c r="C955" s="244" t="s">
        <v>2014</v>
      </c>
      <c r="D955" s="243" t="s">
        <v>34</v>
      </c>
      <c r="E955" s="243" t="s">
        <v>1644</v>
      </c>
      <c r="F955" s="259" t="s">
        <v>35</v>
      </c>
      <c r="G955" s="259">
        <v>1</v>
      </c>
      <c r="H955" s="245">
        <v>777400.85</v>
      </c>
      <c r="I955" s="243" t="s">
        <v>36</v>
      </c>
      <c r="J955" s="245">
        <f t="shared" si="24"/>
        <v>777400.85</v>
      </c>
      <c r="K955" s="1435">
        <f>30938.1+1496.57</f>
        <v>32434.67</v>
      </c>
      <c r="L955" s="1435">
        <f>K955</f>
        <v>32434.67</v>
      </c>
      <c r="M955" s="246" t="s">
        <v>59</v>
      </c>
      <c r="N955" s="261" t="s">
        <v>2015</v>
      </c>
      <c r="O955" s="261" t="s">
        <v>2016</v>
      </c>
      <c r="P955" s="263" t="s">
        <v>41</v>
      </c>
      <c r="Q955" s="262">
        <v>45056</v>
      </c>
      <c r="R955" s="263" t="s">
        <v>41</v>
      </c>
      <c r="S955" s="262">
        <v>45056</v>
      </c>
      <c r="T955" s="263"/>
      <c r="U955" s="262"/>
      <c r="V955" s="263" t="s">
        <v>41</v>
      </c>
      <c r="W955" s="262">
        <v>45255</v>
      </c>
      <c r="X955" s="263" t="s">
        <v>41</v>
      </c>
      <c r="Y955" s="262">
        <v>45291</v>
      </c>
      <c r="Z955" s="263" t="s">
        <v>40</v>
      </c>
      <c r="AA955" s="262"/>
      <c r="AB955" s="263" t="s">
        <v>40</v>
      </c>
      <c r="AC955" s="262"/>
      <c r="AD955" s="262"/>
      <c r="AE955" s="262">
        <v>45565</v>
      </c>
      <c r="AF955" s="263" t="s">
        <v>65</v>
      </c>
      <c r="AG955" s="270">
        <v>2026</v>
      </c>
      <c r="AH955" s="261">
        <f t="shared" si="25"/>
        <v>159562.359065</v>
      </c>
      <c r="AI955" s="261"/>
      <c r="AJ955" s="261"/>
      <c r="AK955" s="259" t="s">
        <v>43</v>
      </c>
      <c r="AL955" s="259" t="s">
        <v>41</v>
      </c>
      <c r="AM955" s="266">
        <v>0</v>
      </c>
      <c r="AN955" s="67"/>
      <c r="AO955" s="256"/>
      <c r="AP955" s="257"/>
    </row>
    <row r="956" spans="1:42" s="258" customFormat="1" ht="37.950000000000003" customHeight="1" x14ac:dyDescent="0.3">
      <c r="A956" s="259" t="s">
        <v>1641</v>
      </c>
      <c r="B956" s="243" t="s">
        <v>1642</v>
      </c>
      <c r="C956" s="244" t="s">
        <v>2017</v>
      </c>
      <c r="D956" s="243" t="s">
        <v>34</v>
      </c>
      <c r="E956" s="243" t="s">
        <v>1644</v>
      </c>
      <c r="F956" s="259" t="s">
        <v>35</v>
      </c>
      <c r="G956" s="259">
        <v>1</v>
      </c>
      <c r="H956" s="245">
        <v>778720</v>
      </c>
      <c r="I956" s="243" t="s">
        <v>36</v>
      </c>
      <c r="J956" s="245">
        <f t="shared" si="24"/>
        <v>778720</v>
      </c>
      <c r="K956" s="1435">
        <f>2032.72+10163.63+34001.29+8130.9</f>
        <v>54328.54</v>
      </c>
      <c r="L956" s="1435">
        <f>K956</f>
        <v>54328.54</v>
      </c>
      <c r="M956" s="246" t="s">
        <v>54</v>
      </c>
      <c r="N956" s="261" t="s">
        <v>2018</v>
      </c>
      <c r="O956" s="261" t="s">
        <v>2019</v>
      </c>
      <c r="P956" s="263" t="s">
        <v>41</v>
      </c>
      <c r="Q956" s="262">
        <v>45056</v>
      </c>
      <c r="R956" s="263" t="s">
        <v>41</v>
      </c>
      <c r="S956" s="262">
        <v>45056</v>
      </c>
      <c r="T956" s="263"/>
      <c r="U956" s="262"/>
      <c r="V956" s="263" t="s">
        <v>41</v>
      </c>
      <c r="W956" s="262">
        <v>45255</v>
      </c>
      <c r="X956" s="263" t="s">
        <v>41</v>
      </c>
      <c r="Y956" s="262">
        <v>45291</v>
      </c>
      <c r="Z956" s="263" t="s">
        <v>40</v>
      </c>
      <c r="AA956" s="262"/>
      <c r="AB956" s="263" t="s">
        <v>40</v>
      </c>
      <c r="AC956" s="262"/>
      <c r="AD956" s="262"/>
      <c r="AE956" s="262">
        <v>45565</v>
      </c>
      <c r="AF956" s="263" t="s">
        <v>65</v>
      </c>
      <c r="AG956" s="270">
        <v>2026</v>
      </c>
      <c r="AH956" s="261">
        <f t="shared" si="25"/>
        <v>267269.25253</v>
      </c>
      <c r="AI956" s="261"/>
      <c r="AJ956" s="261"/>
      <c r="AK956" s="259" t="s">
        <v>43</v>
      </c>
      <c r="AL956" s="259" t="s">
        <v>41</v>
      </c>
      <c r="AM956" s="266">
        <v>0</v>
      </c>
      <c r="AN956" s="67"/>
      <c r="AO956" s="256"/>
      <c r="AP956" s="257"/>
    </row>
    <row r="957" spans="1:42" s="258" customFormat="1" ht="37.950000000000003" customHeight="1" x14ac:dyDescent="0.3">
      <c r="A957" s="259" t="s">
        <v>1641</v>
      </c>
      <c r="B957" s="243" t="s">
        <v>1642</v>
      </c>
      <c r="C957" s="244" t="s">
        <v>2020</v>
      </c>
      <c r="D957" s="243" t="s">
        <v>34</v>
      </c>
      <c r="E957" s="243" t="s">
        <v>1644</v>
      </c>
      <c r="F957" s="259" t="s">
        <v>35</v>
      </c>
      <c r="G957" s="259">
        <v>1</v>
      </c>
      <c r="H957" s="245">
        <v>778720</v>
      </c>
      <c r="I957" s="243" t="s">
        <v>36</v>
      </c>
      <c r="J957" s="245">
        <f t="shared" si="24"/>
        <v>778720</v>
      </c>
      <c r="K957" s="1697">
        <f>35679.44</f>
        <v>35679.440000000002</v>
      </c>
      <c r="L957" s="1697">
        <f>35679.44</f>
        <v>35679.440000000002</v>
      </c>
      <c r="M957" s="246" t="s">
        <v>60</v>
      </c>
      <c r="N957" s="261" t="s">
        <v>2021</v>
      </c>
      <c r="O957" s="261" t="s">
        <v>2022</v>
      </c>
      <c r="P957" s="263" t="s">
        <v>41</v>
      </c>
      <c r="Q957" s="262">
        <v>45059</v>
      </c>
      <c r="R957" s="263" t="s">
        <v>41</v>
      </c>
      <c r="S957" s="262">
        <v>45059</v>
      </c>
      <c r="T957" s="263"/>
      <c r="U957" s="262"/>
      <c r="V957" s="263" t="s">
        <v>41</v>
      </c>
      <c r="W957" s="262">
        <v>45255</v>
      </c>
      <c r="X957" s="263" t="s">
        <v>41</v>
      </c>
      <c r="Y957" s="262">
        <v>45291</v>
      </c>
      <c r="Z957" s="263" t="s">
        <v>40</v>
      </c>
      <c r="AA957" s="262"/>
      <c r="AB957" s="263" t="s">
        <v>40</v>
      </c>
      <c r="AC957" s="262"/>
      <c r="AD957" s="262"/>
      <c r="AE957" s="262">
        <v>45565</v>
      </c>
      <c r="AF957" s="263" t="s">
        <v>65</v>
      </c>
      <c r="AG957" s="270">
        <v>2026</v>
      </c>
      <c r="AH957" s="261">
        <f t="shared" si="25"/>
        <v>175525.00508000003</v>
      </c>
      <c r="AI957" s="261"/>
      <c r="AJ957" s="261"/>
      <c r="AK957" s="259" t="s">
        <v>43</v>
      </c>
      <c r="AL957" s="259" t="s">
        <v>41</v>
      </c>
      <c r="AM957" s="266">
        <v>0</v>
      </c>
      <c r="AN957" s="67"/>
      <c r="AO957" s="256"/>
      <c r="AP957" s="257"/>
    </row>
    <row r="958" spans="1:42" s="258" customFormat="1" ht="37.950000000000003" customHeight="1" x14ac:dyDescent="0.3">
      <c r="A958" s="259" t="s">
        <v>1641</v>
      </c>
      <c r="B958" s="243" t="s">
        <v>1642</v>
      </c>
      <c r="C958" s="244" t="s">
        <v>2023</v>
      </c>
      <c r="D958" s="243" t="s">
        <v>34</v>
      </c>
      <c r="E958" s="243" t="s">
        <v>1644</v>
      </c>
      <c r="F958" s="259" t="s">
        <v>35</v>
      </c>
      <c r="G958" s="259">
        <v>1</v>
      </c>
      <c r="H958" s="245">
        <v>778720</v>
      </c>
      <c r="I958" s="243" t="s">
        <v>36</v>
      </c>
      <c r="J958" s="245">
        <f t="shared" si="24"/>
        <v>778720</v>
      </c>
      <c r="K958" s="1695">
        <v>0</v>
      </c>
      <c r="L958" s="1695">
        <v>0</v>
      </c>
      <c r="M958" s="246" t="s">
        <v>303</v>
      </c>
      <c r="N958" s="261" t="s">
        <v>2024</v>
      </c>
      <c r="O958" s="261" t="s">
        <v>2025</v>
      </c>
      <c r="P958" s="263" t="s">
        <v>41</v>
      </c>
      <c r="Q958" s="262">
        <v>45056</v>
      </c>
      <c r="R958" s="263" t="s">
        <v>41</v>
      </c>
      <c r="S958" s="262">
        <v>45056</v>
      </c>
      <c r="T958" s="263"/>
      <c r="U958" s="262"/>
      <c r="V958" s="263" t="s">
        <v>41</v>
      </c>
      <c r="W958" s="262">
        <v>45255</v>
      </c>
      <c r="X958" s="263" t="s">
        <v>41</v>
      </c>
      <c r="Y958" s="262">
        <v>45291</v>
      </c>
      <c r="Z958" s="263" t="s">
        <v>40</v>
      </c>
      <c r="AA958" s="262"/>
      <c r="AB958" s="263" t="s">
        <v>40</v>
      </c>
      <c r="AC958" s="262"/>
      <c r="AD958" s="262"/>
      <c r="AE958" s="262">
        <v>45565</v>
      </c>
      <c r="AF958" s="263" t="s">
        <v>65</v>
      </c>
      <c r="AG958" s="270">
        <v>2026</v>
      </c>
      <c r="AH958" s="261">
        <f t="shared" si="25"/>
        <v>0</v>
      </c>
      <c r="AI958" s="261"/>
      <c r="AJ958" s="261"/>
      <c r="AK958" s="259" t="s">
        <v>43</v>
      </c>
      <c r="AL958" s="259" t="s">
        <v>41</v>
      </c>
      <c r="AM958" s="266">
        <v>0</v>
      </c>
      <c r="AN958" s="67"/>
      <c r="AO958" s="256"/>
      <c r="AP958" s="257"/>
    </row>
    <row r="959" spans="1:42" s="258" customFormat="1" ht="37.950000000000003" customHeight="1" x14ac:dyDescent="0.3">
      <c r="A959" s="259" t="s">
        <v>1641</v>
      </c>
      <c r="B959" s="243" t="s">
        <v>1642</v>
      </c>
      <c r="C959" s="244" t="s">
        <v>2026</v>
      </c>
      <c r="D959" s="243" t="s">
        <v>34</v>
      </c>
      <c r="E959" s="243" t="s">
        <v>1644</v>
      </c>
      <c r="F959" s="259" t="s">
        <v>35</v>
      </c>
      <c r="G959" s="259">
        <v>1</v>
      </c>
      <c r="H959" s="245">
        <v>769947.52</v>
      </c>
      <c r="I959" s="243" t="s">
        <v>36</v>
      </c>
      <c r="J959" s="245">
        <f t="shared" si="24"/>
        <v>769947.52</v>
      </c>
      <c r="K959" s="1695">
        <v>21953.45</v>
      </c>
      <c r="L959" s="1695">
        <v>21953.45</v>
      </c>
      <c r="M959" s="246" t="s">
        <v>133</v>
      </c>
      <c r="N959" s="261" t="s">
        <v>2027</v>
      </c>
      <c r="O959" s="261" t="s">
        <v>2028</v>
      </c>
      <c r="P959" s="263" t="s">
        <v>41</v>
      </c>
      <c r="Q959" s="262">
        <v>45056</v>
      </c>
      <c r="R959" s="263" t="s">
        <v>41</v>
      </c>
      <c r="S959" s="262">
        <v>45056</v>
      </c>
      <c r="T959" s="263"/>
      <c r="U959" s="262"/>
      <c r="V959" s="263" t="s">
        <v>41</v>
      </c>
      <c r="W959" s="262">
        <v>45255</v>
      </c>
      <c r="X959" s="263" t="s">
        <v>41</v>
      </c>
      <c r="Y959" s="262">
        <v>45291</v>
      </c>
      <c r="Z959" s="263" t="s">
        <v>40</v>
      </c>
      <c r="AA959" s="262"/>
      <c r="AB959" s="263" t="s">
        <v>40</v>
      </c>
      <c r="AC959" s="262"/>
      <c r="AD959" s="262"/>
      <c r="AE959" s="262">
        <v>45565</v>
      </c>
      <c r="AF959" s="263" t="s">
        <v>65</v>
      </c>
      <c r="AG959" s="270">
        <v>2026</v>
      </c>
      <c r="AH959" s="261">
        <f t="shared" si="25"/>
        <v>107999.997275</v>
      </c>
      <c r="AI959" s="261"/>
      <c r="AJ959" s="261"/>
      <c r="AK959" s="259" t="s">
        <v>43</v>
      </c>
      <c r="AL959" s="259" t="s">
        <v>41</v>
      </c>
      <c r="AM959" s="266">
        <v>0</v>
      </c>
      <c r="AN959" s="67"/>
      <c r="AO959" s="256"/>
      <c r="AP959" s="257"/>
    </row>
    <row r="960" spans="1:42" s="258" customFormat="1" ht="37.950000000000003" customHeight="1" x14ac:dyDescent="0.3">
      <c r="A960" s="259" t="s">
        <v>1641</v>
      </c>
      <c r="B960" s="243" t="s">
        <v>1642</v>
      </c>
      <c r="C960" s="244" t="s">
        <v>2029</v>
      </c>
      <c r="D960" s="243" t="s">
        <v>34</v>
      </c>
      <c r="E960" s="243" t="s">
        <v>1644</v>
      </c>
      <c r="F960" s="259" t="s">
        <v>35</v>
      </c>
      <c r="G960" s="259">
        <v>1</v>
      </c>
      <c r="H960" s="245">
        <v>778720</v>
      </c>
      <c r="I960" s="243" t="s">
        <v>36</v>
      </c>
      <c r="J960" s="245">
        <f t="shared" si="24"/>
        <v>778720</v>
      </c>
      <c r="K960" s="1695">
        <f>10163.63+12297.99+28664.5</f>
        <v>51126.119999999995</v>
      </c>
      <c r="L960" s="1695">
        <f>10163.63+12297.99+28664.5</f>
        <v>51126.119999999995</v>
      </c>
      <c r="M960" s="246" t="s">
        <v>60</v>
      </c>
      <c r="N960" s="261" t="s">
        <v>2030</v>
      </c>
      <c r="O960" s="261" t="s">
        <v>2031</v>
      </c>
      <c r="P960" s="263" t="s">
        <v>41</v>
      </c>
      <c r="Q960" s="262">
        <v>45056</v>
      </c>
      <c r="R960" s="263" t="s">
        <v>41</v>
      </c>
      <c r="S960" s="262">
        <v>45056</v>
      </c>
      <c r="T960" s="263"/>
      <c r="U960" s="262"/>
      <c r="V960" s="263" t="s">
        <v>41</v>
      </c>
      <c r="W960" s="262">
        <v>45255</v>
      </c>
      <c r="X960" s="263" t="s">
        <v>41</v>
      </c>
      <c r="Y960" s="262">
        <v>45291</v>
      </c>
      <c r="Z960" s="263" t="s">
        <v>40</v>
      </c>
      <c r="AA960" s="262"/>
      <c r="AB960" s="263" t="s">
        <v>40</v>
      </c>
      <c r="AC960" s="262"/>
      <c r="AD960" s="262"/>
      <c r="AE960" s="262">
        <v>45565</v>
      </c>
      <c r="AF960" s="263" t="s">
        <v>65</v>
      </c>
      <c r="AG960" s="270">
        <v>2026</v>
      </c>
      <c r="AH960" s="261">
        <f t="shared" si="25"/>
        <v>251514.94733999998</v>
      </c>
      <c r="AI960" s="261"/>
      <c r="AJ960" s="261"/>
      <c r="AK960" s="259" t="s">
        <v>43</v>
      </c>
      <c r="AL960" s="259" t="s">
        <v>41</v>
      </c>
      <c r="AM960" s="266">
        <v>0</v>
      </c>
      <c r="AN960" s="67"/>
      <c r="AO960" s="256"/>
      <c r="AP960" s="257"/>
    </row>
    <row r="961" spans="1:42" s="258" customFormat="1" ht="37.950000000000003" customHeight="1" x14ac:dyDescent="0.3">
      <c r="A961" s="259" t="s">
        <v>1641</v>
      </c>
      <c r="B961" s="243" t="s">
        <v>1642</v>
      </c>
      <c r="C961" s="244" t="s">
        <v>2032</v>
      </c>
      <c r="D961" s="243" t="s">
        <v>34</v>
      </c>
      <c r="E961" s="243" t="s">
        <v>1644</v>
      </c>
      <c r="F961" s="259" t="s">
        <v>35</v>
      </c>
      <c r="G961" s="259">
        <v>1</v>
      </c>
      <c r="H961" s="245">
        <v>778720.2</v>
      </c>
      <c r="I961" s="243" t="s">
        <v>36</v>
      </c>
      <c r="J961" s="245">
        <f t="shared" si="24"/>
        <v>778720.2</v>
      </c>
      <c r="K961" s="1695">
        <v>0</v>
      </c>
      <c r="L961" s="1695">
        <v>0</v>
      </c>
      <c r="M961" s="246" t="s">
        <v>62</v>
      </c>
      <c r="N961" s="261" t="s">
        <v>2033</v>
      </c>
      <c r="O961" s="261" t="s">
        <v>2034</v>
      </c>
      <c r="P961" s="263" t="s">
        <v>41</v>
      </c>
      <c r="Q961" s="262">
        <v>45056</v>
      </c>
      <c r="R961" s="263" t="s">
        <v>41</v>
      </c>
      <c r="S961" s="262">
        <v>45056</v>
      </c>
      <c r="T961" s="263"/>
      <c r="U961" s="262"/>
      <c r="V961" s="263" t="s">
        <v>41</v>
      </c>
      <c r="W961" s="262">
        <f t="shared" ref="W961:W972" si="26">EDATE(Q961,4)</f>
        <v>45179</v>
      </c>
      <c r="X961" s="263" t="s">
        <v>41</v>
      </c>
      <c r="Y961" s="262">
        <v>45291</v>
      </c>
      <c r="Z961" s="263" t="s">
        <v>40</v>
      </c>
      <c r="AA961" s="262"/>
      <c r="AB961" s="263" t="s">
        <v>40</v>
      </c>
      <c r="AC961" s="262"/>
      <c r="AD961" s="262"/>
      <c r="AE961" s="262">
        <v>45565</v>
      </c>
      <c r="AF961" s="263" t="s">
        <v>65</v>
      </c>
      <c r="AG961" s="270">
        <v>2026</v>
      </c>
      <c r="AH961" s="261">
        <f t="shared" si="25"/>
        <v>0</v>
      </c>
      <c r="AI961" s="261"/>
      <c r="AJ961" s="261"/>
      <c r="AK961" s="259" t="s">
        <v>43</v>
      </c>
      <c r="AL961" s="259" t="s">
        <v>41</v>
      </c>
      <c r="AM961" s="266">
        <v>0</v>
      </c>
      <c r="AN961" s="67"/>
      <c r="AO961" s="256"/>
      <c r="AP961" s="257"/>
    </row>
    <row r="962" spans="1:42" s="258" customFormat="1" ht="37.950000000000003" customHeight="1" x14ac:dyDescent="0.3">
      <c r="A962" s="259" t="s">
        <v>1641</v>
      </c>
      <c r="B962" s="243" t="s">
        <v>1642</v>
      </c>
      <c r="C962" s="244" t="s">
        <v>2035</v>
      </c>
      <c r="D962" s="243" t="s">
        <v>34</v>
      </c>
      <c r="E962" s="243" t="s">
        <v>1644</v>
      </c>
      <c r="F962" s="259" t="s">
        <v>35</v>
      </c>
      <c r="G962" s="259">
        <v>1</v>
      </c>
      <c r="H962" s="245">
        <v>778720.2</v>
      </c>
      <c r="I962" s="243" t="s">
        <v>36</v>
      </c>
      <c r="J962" s="245">
        <f t="shared" si="24"/>
        <v>778720.2</v>
      </c>
      <c r="K962" s="1695">
        <f>40735.84+1935.16+7692.25</f>
        <v>50363.25</v>
      </c>
      <c r="L962" s="1695">
        <f>40735.84+1935.16+7692.25</f>
        <v>50363.25</v>
      </c>
      <c r="M962" s="246" t="s">
        <v>322</v>
      </c>
      <c r="N962" s="261" t="s">
        <v>1819</v>
      </c>
      <c r="O962" s="261" t="s">
        <v>2036</v>
      </c>
      <c r="P962" s="263" t="s">
        <v>41</v>
      </c>
      <c r="Q962" s="262">
        <v>45056</v>
      </c>
      <c r="R962" s="263" t="s">
        <v>41</v>
      </c>
      <c r="S962" s="262">
        <v>45056</v>
      </c>
      <c r="T962" s="263"/>
      <c r="U962" s="262"/>
      <c r="V962" s="263" t="s">
        <v>41</v>
      </c>
      <c r="W962" s="262">
        <f t="shared" si="26"/>
        <v>45179</v>
      </c>
      <c r="X962" s="263" t="s">
        <v>41</v>
      </c>
      <c r="Y962" s="262">
        <v>45291</v>
      </c>
      <c r="Z962" s="263" t="s">
        <v>40</v>
      </c>
      <c r="AA962" s="262"/>
      <c r="AB962" s="263" t="s">
        <v>40</v>
      </c>
      <c r="AC962" s="262"/>
      <c r="AD962" s="262"/>
      <c r="AE962" s="262">
        <v>45565</v>
      </c>
      <c r="AF962" s="263" t="s">
        <v>65</v>
      </c>
      <c r="AG962" s="270">
        <v>2026</v>
      </c>
      <c r="AH962" s="261">
        <f t="shared" si="25"/>
        <v>247762.008375</v>
      </c>
      <c r="AI962" s="261"/>
      <c r="AJ962" s="261"/>
      <c r="AK962" s="259" t="s">
        <v>43</v>
      </c>
      <c r="AL962" s="259" t="s">
        <v>41</v>
      </c>
      <c r="AM962" s="266">
        <v>0</v>
      </c>
      <c r="AN962" s="67"/>
      <c r="AO962" s="256"/>
      <c r="AP962" s="257"/>
    </row>
    <row r="963" spans="1:42" s="258" customFormat="1" ht="37.950000000000003" customHeight="1" x14ac:dyDescent="0.3">
      <c r="A963" s="259" t="s">
        <v>1641</v>
      </c>
      <c r="B963" s="243" t="s">
        <v>1642</v>
      </c>
      <c r="C963" s="244" t="s">
        <v>2037</v>
      </c>
      <c r="D963" s="243" t="s">
        <v>34</v>
      </c>
      <c r="E963" s="243" t="s">
        <v>1644</v>
      </c>
      <c r="F963" s="259" t="s">
        <v>35</v>
      </c>
      <c r="G963" s="259">
        <v>1</v>
      </c>
      <c r="H963" s="245">
        <v>778720.2</v>
      </c>
      <c r="I963" s="243" t="s">
        <v>36</v>
      </c>
      <c r="J963" s="245">
        <f t="shared" ref="J963:J1026" si="27">H963</f>
        <v>778720.2</v>
      </c>
      <c r="K963" s="1695">
        <v>2439.27</v>
      </c>
      <c r="L963" s="1695">
        <v>2439.27</v>
      </c>
      <c r="M963" s="246" t="s">
        <v>1208</v>
      </c>
      <c r="N963" s="261" t="s">
        <v>2038</v>
      </c>
      <c r="O963" s="261" t="s">
        <v>2039</v>
      </c>
      <c r="P963" s="263" t="s">
        <v>41</v>
      </c>
      <c r="Q963" s="262">
        <v>45056</v>
      </c>
      <c r="R963" s="263" t="s">
        <v>41</v>
      </c>
      <c r="S963" s="262">
        <v>45056</v>
      </c>
      <c r="T963" s="263"/>
      <c r="U963" s="262"/>
      <c r="V963" s="263" t="s">
        <v>41</v>
      </c>
      <c r="W963" s="262">
        <f t="shared" si="26"/>
        <v>45179</v>
      </c>
      <c r="X963" s="263" t="s">
        <v>41</v>
      </c>
      <c r="Y963" s="262">
        <v>45291</v>
      </c>
      <c r="Z963" s="263" t="s">
        <v>40</v>
      </c>
      <c r="AA963" s="262"/>
      <c r="AB963" s="263" t="s">
        <v>40</v>
      </c>
      <c r="AC963" s="262"/>
      <c r="AD963" s="262"/>
      <c r="AE963" s="262">
        <v>45565</v>
      </c>
      <c r="AF963" s="263" t="s">
        <v>65</v>
      </c>
      <c r="AG963" s="270">
        <v>2026</v>
      </c>
      <c r="AH963" s="261">
        <f t="shared" ref="AH963:AH1026" si="28">K963*4.9195</f>
        <v>11999.988765</v>
      </c>
      <c r="AI963" s="261"/>
      <c r="AJ963" s="261"/>
      <c r="AK963" s="259" t="s">
        <v>43</v>
      </c>
      <c r="AL963" s="259" t="s">
        <v>41</v>
      </c>
      <c r="AM963" s="266">
        <v>0</v>
      </c>
      <c r="AN963" s="67"/>
      <c r="AO963" s="256"/>
      <c r="AP963" s="257"/>
    </row>
    <row r="964" spans="1:42" s="258" customFormat="1" ht="37.950000000000003" customHeight="1" x14ac:dyDescent="0.3">
      <c r="A964" s="259" t="s">
        <v>1641</v>
      </c>
      <c r="B964" s="243" t="s">
        <v>1642</v>
      </c>
      <c r="C964" s="244" t="s">
        <v>2040</v>
      </c>
      <c r="D964" s="243" t="s">
        <v>34</v>
      </c>
      <c r="E964" s="243" t="s">
        <v>1644</v>
      </c>
      <c r="F964" s="259" t="s">
        <v>35</v>
      </c>
      <c r="G964" s="259">
        <v>1</v>
      </c>
      <c r="H964" s="245">
        <v>778720</v>
      </c>
      <c r="I964" s="243" t="s">
        <v>36</v>
      </c>
      <c r="J964" s="245">
        <f t="shared" si="27"/>
        <v>778720</v>
      </c>
      <c r="K964" s="1695">
        <f>20327.27+19714.4</f>
        <v>40041.67</v>
      </c>
      <c r="L964" s="1695">
        <f>K964</f>
        <v>40041.67</v>
      </c>
      <c r="M964" s="246" t="s">
        <v>51</v>
      </c>
      <c r="N964" s="261" t="s">
        <v>2041</v>
      </c>
      <c r="O964" s="261" t="s">
        <v>2042</v>
      </c>
      <c r="P964" s="263" t="s">
        <v>41</v>
      </c>
      <c r="Q964" s="262">
        <v>45059</v>
      </c>
      <c r="R964" s="263" t="s">
        <v>41</v>
      </c>
      <c r="S964" s="262">
        <v>45059</v>
      </c>
      <c r="T964" s="263"/>
      <c r="U964" s="262"/>
      <c r="V964" s="263" t="s">
        <v>41</v>
      </c>
      <c r="W964" s="262">
        <f t="shared" si="26"/>
        <v>45182</v>
      </c>
      <c r="X964" s="263" t="s">
        <v>41</v>
      </c>
      <c r="Y964" s="262">
        <v>45291</v>
      </c>
      <c r="Z964" s="263" t="s">
        <v>40</v>
      </c>
      <c r="AA964" s="262"/>
      <c r="AB964" s="263" t="s">
        <v>40</v>
      </c>
      <c r="AC964" s="262"/>
      <c r="AD964" s="262"/>
      <c r="AE964" s="262">
        <v>45565</v>
      </c>
      <c r="AF964" s="263" t="s">
        <v>65</v>
      </c>
      <c r="AG964" s="270">
        <v>2026</v>
      </c>
      <c r="AH964" s="261">
        <f t="shared" si="28"/>
        <v>196984.99556499999</v>
      </c>
      <c r="AI964" s="261"/>
      <c r="AJ964" s="261"/>
      <c r="AK964" s="259" t="s">
        <v>43</v>
      </c>
      <c r="AL964" s="259" t="s">
        <v>41</v>
      </c>
      <c r="AM964" s="266">
        <v>0</v>
      </c>
      <c r="AN964" s="67"/>
      <c r="AO964" s="256"/>
      <c r="AP964" s="257"/>
    </row>
    <row r="965" spans="1:42" s="258" customFormat="1" ht="37.950000000000003" customHeight="1" x14ac:dyDescent="0.3">
      <c r="A965" s="259" t="s">
        <v>1641</v>
      </c>
      <c r="B965" s="243" t="s">
        <v>1642</v>
      </c>
      <c r="C965" s="244" t="s">
        <v>2043</v>
      </c>
      <c r="D965" s="243" t="s">
        <v>34</v>
      </c>
      <c r="E965" s="243" t="s">
        <v>1644</v>
      </c>
      <c r="F965" s="259" t="s">
        <v>35</v>
      </c>
      <c r="G965" s="259">
        <v>1</v>
      </c>
      <c r="H965" s="245">
        <v>778720</v>
      </c>
      <c r="I965" s="243" t="s">
        <v>36</v>
      </c>
      <c r="J965" s="245">
        <f t="shared" si="27"/>
        <v>778720</v>
      </c>
      <c r="K965" s="1695">
        <f>2032.72+20327.27+19795.71</f>
        <v>42155.7</v>
      </c>
      <c r="L965" s="1695">
        <f>K965</f>
        <v>42155.7</v>
      </c>
      <c r="M965" s="246" t="s">
        <v>200</v>
      </c>
      <c r="N965" s="261" t="s">
        <v>2044</v>
      </c>
      <c r="O965" s="261" t="s">
        <v>2045</v>
      </c>
      <c r="P965" s="263" t="s">
        <v>41</v>
      </c>
      <c r="Q965" s="262">
        <v>45056</v>
      </c>
      <c r="R965" s="263" t="s">
        <v>41</v>
      </c>
      <c r="S965" s="262">
        <v>45056</v>
      </c>
      <c r="T965" s="263"/>
      <c r="U965" s="262"/>
      <c r="V965" s="263" t="s">
        <v>41</v>
      </c>
      <c r="W965" s="262">
        <f t="shared" si="26"/>
        <v>45179</v>
      </c>
      <c r="X965" s="263" t="s">
        <v>41</v>
      </c>
      <c r="Y965" s="262">
        <v>45291</v>
      </c>
      <c r="Z965" s="263" t="s">
        <v>40</v>
      </c>
      <c r="AA965" s="262"/>
      <c r="AB965" s="263" t="s">
        <v>40</v>
      </c>
      <c r="AC965" s="262"/>
      <c r="AD965" s="262"/>
      <c r="AE965" s="262">
        <v>45565</v>
      </c>
      <c r="AF965" s="263" t="s">
        <v>65</v>
      </c>
      <c r="AG965" s="270">
        <v>2026</v>
      </c>
      <c r="AH965" s="261">
        <f t="shared" si="28"/>
        <v>207384.96614999999</v>
      </c>
      <c r="AI965" s="261"/>
      <c r="AJ965" s="261"/>
      <c r="AK965" s="259" t="s">
        <v>43</v>
      </c>
      <c r="AL965" s="259" t="s">
        <v>41</v>
      </c>
      <c r="AM965" s="266">
        <v>0</v>
      </c>
      <c r="AN965" s="67"/>
      <c r="AO965" s="256"/>
      <c r="AP965" s="257"/>
    </row>
    <row r="966" spans="1:42" s="269" customFormat="1" ht="37.950000000000003" customHeight="1" x14ac:dyDescent="0.3">
      <c r="A966" s="259" t="s">
        <v>1641</v>
      </c>
      <c r="B966" s="243" t="s">
        <v>1642</v>
      </c>
      <c r="C966" s="244" t="s">
        <v>2046</v>
      </c>
      <c r="D966" s="243" t="s">
        <v>34</v>
      </c>
      <c r="E966" s="243" t="s">
        <v>1644</v>
      </c>
      <c r="F966" s="259" t="s">
        <v>35</v>
      </c>
      <c r="G966" s="259">
        <v>1</v>
      </c>
      <c r="H966" s="245">
        <v>778720.2</v>
      </c>
      <c r="I966" s="243" t="s">
        <v>36</v>
      </c>
      <c r="J966" s="245">
        <f t="shared" si="27"/>
        <v>778720.2</v>
      </c>
      <c r="K966" s="1695">
        <v>0</v>
      </c>
      <c r="L966" s="1695">
        <v>0</v>
      </c>
      <c r="M966" s="246" t="s">
        <v>79</v>
      </c>
      <c r="N966" s="261" t="s">
        <v>2047</v>
      </c>
      <c r="O966" s="261" t="s">
        <v>2048</v>
      </c>
      <c r="P966" s="263" t="s">
        <v>41</v>
      </c>
      <c r="Q966" s="262">
        <v>45056</v>
      </c>
      <c r="R966" s="263" t="s">
        <v>41</v>
      </c>
      <c r="S966" s="262">
        <v>45056</v>
      </c>
      <c r="T966" s="263"/>
      <c r="U966" s="262"/>
      <c r="V966" s="263" t="s">
        <v>41</v>
      </c>
      <c r="W966" s="262">
        <f t="shared" si="26"/>
        <v>45179</v>
      </c>
      <c r="X966" s="263" t="s">
        <v>41</v>
      </c>
      <c r="Y966" s="262">
        <v>45291</v>
      </c>
      <c r="Z966" s="263" t="s">
        <v>40</v>
      </c>
      <c r="AA966" s="262"/>
      <c r="AB966" s="263" t="s">
        <v>40</v>
      </c>
      <c r="AC966" s="262"/>
      <c r="AD966" s="262"/>
      <c r="AE966" s="262">
        <v>45565</v>
      </c>
      <c r="AF966" s="263" t="s">
        <v>65</v>
      </c>
      <c r="AG966" s="270">
        <v>2026</v>
      </c>
      <c r="AH966" s="261">
        <f t="shared" si="28"/>
        <v>0</v>
      </c>
      <c r="AI966" s="261"/>
      <c r="AJ966" s="261"/>
      <c r="AK966" s="259" t="s">
        <v>43</v>
      </c>
      <c r="AL966" s="259" t="s">
        <v>41</v>
      </c>
      <c r="AM966" s="266">
        <v>0</v>
      </c>
      <c r="AN966" s="67"/>
      <c r="AO966" s="267"/>
      <c r="AP966" s="268"/>
    </row>
    <row r="967" spans="1:42" s="258" customFormat="1" ht="37.950000000000003" customHeight="1" x14ac:dyDescent="0.3">
      <c r="A967" s="259" t="s">
        <v>1641</v>
      </c>
      <c r="B967" s="243" t="s">
        <v>1642</v>
      </c>
      <c r="C967" s="244" t="s">
        <v>2049</v>
      </c>
      <c r="D967" s="243" t="s">
        <v>34</v>
      </c>
      <c r="E967" s="243" t="s">
        <v>1644</v>
      </c>
      <c r="F967" s="259" t="s">
        <v>35</v>
      </c>
      <c r="G967" s="259">
        <v>1</v>
      </c>
      <c r="H967" s="245">
        <v>778717.35</v>
      </c>
      <c r="I967" s="243" t="s">
        <v>36</v>
      </c>
      <c r="J967" s="245">
        <f t="shared" si="27"/>
        <v>778717.35</v>
      </c>
      <c r="K967" s="1695">
        <f>15653.62+17684.72+9176.75</f>
        <v>42515.090000000004</v>
      </c>
      <c r="L967" s="1695">
        <f>K967</f>
        <v>42515.090000000004</v>
      </c>
      <c r="M967" s="246" t="s">
        <v>54</v>
      </c>
      <c r="N967" s="261" t="s">
        <v>2050</v>
      </c>
      <c r="O967" s="261" t="s">
        <v>2051</v>
      </c>
      <c r="P967" s="263" t="s">
        <v>41</v>
      </c>
      <c r="Q967" s="262">
        <v>45056</v>
      </c>
      <c r="R967" s="263" t="s">
        <v>41</v>
      </c>
      <c r="S967" s="262">
        <v>45056</v>
      </c>
      <c r="T967" s="263"/>
      <c r="U967" s="262"/>
      <c r="V967" s="263" t="s">
        <v>41</v>
      </c>
      <c r="W967" s="262">
        <f t="shared" si="26"/>
        <v>45179</v>
      </c>
      <c r="X967" s="263" t="s">
        <v>41</v>
      </c>
      <c r="Y967" s="262">
        <v>45291</v>
      </c>
      <c r="Z967" s="263" t="s">
        <v>40</v>
      </c>
      <c r="AA967" s="262"/>
      <c r="AB967" s="263" t="s">
        <v>40</v>
      </c>
      <c r="AC967" s="262"/>
      <c r="AD967" s="262"/>
      <c r="AE967" s="262">
        <v>45565</v>
      </c>
      <c r="AF967" s="263" t="s">
        <v>65</v>
      </c>
      <c r="AG967" s="270">
        <v>2026</v>
      </c>
      <c r="AH967" s="261">
        <f t="shared" si="28"/>
        <v>209152.98525500004</v>
      </c>
      <c r="AI967" s="261"/>
      <c r="AJ967" s="261"/>
      <c r="AK967" s="259" t="s">
        <v>43</v>
      </c>
      <c r="AL967" s="259" t="s">
        <v>41</v>
      </c>
      <c r="AM967" s="266">
        <v>0</v>
      </c>
      <c r="AN967" s="67"/>
      <c r="AO967" s="256"/>
      <c r="AP967" s="257"/>
    </row>
    <row r="968" spans="1:42" s="258" customFormat="1" ht="37.950000000000003" customHeight="1" x14ac:dyDescent="0.3">
      <c r="A968" s="259" t="s">
        <v>1641</v>
      </c>
      <c r="B968" s="243" t="s">
        <v>1642</v>
      </c>
      <c r="C968" s="244" t="s">
        <v>2052</v>
      </c>
      <c r="D968" s="243" t="s">
        <v>34</v>
      </c>
      <c r="E968" s="243" t="s">
        <v>1644</v>
      </c>
      <c r="F968" s="259" t="s">
        <v>35</v>
      </c>
      <c r="G968" s="259">
        <v>1</v>
      </c>
      <c r="H968" s="245">
        <v>778720</v>
      </c>
      <c r="I968" s="243" t="s">
        <v>36</v>
      </c>
      <c r="J968" s="245">
        <f t="shared" si="27"/>
        <v>778720</v>
      </c>
      <c r="K968" s="1695">
        <f>2032.72+20327.27+17400.14</f>
        <v>39760.130000000005</v>
      </c>
      <c r="L968" s="1695">
        <f>K968</f>
        <v>39760.130000000005</v>
      </c>
      <c r="M968" s="246" t="s">
        <v>200</v>
      </c>
      <c r="N968" s="261" t="s">
        <v>2053</v>
      </c>
      <c r="O968" s="261" t="s">
        <v>2054</v>
      </c>
      <c r="P968" s="263" t="s">
        <v>41</v>
      </c>
      <c r="Q968" s="262">
        <v>45056</v>
      </c>
      <c r="R968" s="263" t="s">
        <v>41</v>
      </c>
      <c r="S968" s="262">
        <v>45056</v>
      </c>
      <c r="T968" s="263"/>
      <c r="U968" s="262"/>
      <c r="V968" s="263" t="s">
        <v>41</v>
      </c>
      <c r="W968" s="262">
        <f t="shared" si="26"/>
        <v>45179</v>
      </c>
      <c r="X968" s="263" t="s">
        <v>41</v>
      </c>
      <c r="Y968" s="262">
        <v>45291</v>
      </c>
      <c r="Z968" s="263" t="s">
        <v>40</v>
      </c>
      <c r="AA968" s="262"/>
      <c r="AB968" s="263" t="s">
        <v>40</v>
      </c>
      <c r="AC968" s="262"/>
      <c r="AD968" s="262"/>
      <c r="AE968" s="262">
        <v>45565</v>
      </c>
      <c r="AF968" s="263" t="s">
        <v>65</v>
      </c>
      <c r="AG968" s="270">
        <v>2026</v>
      </c>
      <c r="AH968" s="261">
        <f t="shared" si="28"/>
        <v>195599.95953500003</v>
      </c>
      <c r="AI968" s="261"/>
      <c r="AJ968" s="261"/>
      <c r="AK968" s="259" t="s">
        <v>43</v>
      </c>
      <c r="AL968" s="259" t="s">
        <v>41</v>
      </c>
      <c r="AM968" s="266">
        <v>0</v>
      </c>
      <c r="AN968" s="67"/>
      <c r="AO968" s="256"/>
      <c r="AP968" s="257"/>
    </row>
    <row r="969" spans="1:42" s="258" customFormat="1" ht="37.950000000000003" customHeight="1" x14ac:dyDescent="0.3">
      <c r="A969" s="259" t="s">
        <v>1641</v>
      </c>
      <c r="B969" s="243" t="s">
        <v>1642</v>
      </c>
      <c r="C969" s="244" t="s">
        <v>2055</v>
      </c>
      <c r="D969" s="243" t="s">
        <v>34</v>
      </c>
      <c r="E969" s="243" t="s">
        <v>1644</v>
      </c>
      <c r="F969" s="259" t="s">
        <v>35</v>
      </c>
      <c r="G969" s="259">
        <v>1</v>
      </c>
      <c r="H969" s="245">
        <v>778720.2</v>
      </c>
      <c r="I969" s="243" t="s">
        <v>36</v>
      </c>
      <c r="J969" s="245">
        <f t="shared" si="27"/>
        <v>778720.2</v>
      </c>
      <c r="K969" s="1435">
        <f>15686.86+9528.4</f>
        <v>25215.260000000002</v>
      </c>
      <c r="L969" s="1435">
        <f>15686.86+9528.4</f>
        <v>25215.260000000002</v>
      </c>
      <c r="M969" s="246" t="s">
        <v>79</v>
      </c>
      <c r="N969" s="261" t="s">
        <v>2056</v>
      </c>
      <c r="O969" s="261" t="s">
        <v>2057</v>
      </c>
      <c r="P969" s="263" t="s">
        <v>41</v>
      </c>
      <c r="Q969" s="262">
        <v>45059</v>
      </c>
      <c r="R969" s="263" t="s">
        <v>41</v>
      </c>
      <c r="S969" s="262">
        <v>45059</v>
      </c>
      <c r="T969" s="263"/>
      <c r="U969" s="262"/>
      <c r="V969" s="263" t="s">
        <v>41</v>
      </c>
      <c r="W969" s="262">
        <f t="shared" si="26"/>
        <v>45182</v>
      </c>
      <c r="X969" s="263" t="s">
        <v>41</v>
      </c>
      <c r="Y969" s="262">
        <v>45291</v>
      </c>
      <c r="Z969" s="263" t="s">
        <v>40</v>
      </c>
      <c r="AA969" s="262"/>
      <c r="AB969" s="263" t="s">
        <v>40</v>
      </c>
      <c r="AC969" s="262"/>
      <c r="AD969" s="262"/>
      <c r="AE969" s="262">
        <v>45565</v>
      </c>
      <c r="AF969" s="263" t="s">
        <v>65</v>
      </c>
      <c r="AG969" s="270">
        <v>2026</v>
      </c>
      <c r="AH969" s="261">
        <f t="shared" si="28"/>
        <v>124046.47157000001</v>
      </c>
      <c r="AI969" s="261"/>
      <c r="AJ969" s="261"/>
      <c r="AK969" s="259" t="s">
        <v>43</v>
      </c>
      <c r="AL969" s="259" t="s">
        <v>41</v>
      </c>
      <c r="AM969" s="266">
        <v>0</v>
      </c>
      <c r="AN969" s="67"/>
      <c r="AO969" s="256"/>
      <c r="AP969" s="257"/>
    </row>
    <row r="970" spans="1:42" s="258" customFormat="1" ht="37.950000000000003" customHeight="1" x14ac:dyDescent="0.3">
      <c r="A970" s="259" t="s">
        <v>1641</v>
      </c>
      <c r="B970" s="243" t="s">
        <v>1642</v>
      </c>
      <c r="C970" s="244" t="s">
        <v>2058</v>
      </c>
      <c r="D970" s="243" t="s">
        <v>34</v>
      </c>
      <c r="E970" s="243" t="s">
        <v>1644</v>
      </c>
      <c r="F970" s="259" t="s">
        <v>35</v>
      </c>
      <c r="G970" s="259">
        <v>1</v>
      </c>
      <c r="H970" s="245">
        <v>772232.95</v>
      </c>
      <c r="I970" s="243" t="s">
        <v>36</v>
      </c>
      <c r="J970" s="245">
        <f t="shared" si="27"/>
        <v>772232.95</v>
      </c>
      <c r="K970" s="1695">
        <f>29271.267</f>
        <v>29271.267</v>
      </c>
      <c r="L970" s="1695">
        <f>29271.267</f>
        <v>29271.267</v>
      </c>
      <c r="M970" s="246" t="s">
        <v>57</v>
      </c>
      <c r="N970" s="261" t="s">
        <v>2059</v>
      </c>
      <c r="O970" s="261" t="s">
        <v>2060</v>
      </c>
      <c r="P970" s="263" t="s">
        <v>41</v>
      </c>
      <c r="Q970" s="262">
        <v>45059</v>
      </c>
      <c r="R970" s="263" t="s">
        <v>41</v>
      </c>
      <c r="S970" s="262">
        <v>45059</v>
      </c>
      <c r="T970" s="263"/>
      <c r="U970" s="262"/>
      <c r="V970" s="263" t="s">
        <v>41</v>
      </c>
      <c r="W970" s="262">
        <f t="shared" si="26"/>
        <v>45182</v>
      </c>
      <c r="X970" s="263" t="s">
        <v>41</v>
      </c>
      <c r="Y970" s="262">
        <v>45291</v>
      </c>
      <c r="Z970" s="263" t="s">
        <v>40</v>
      </c>
      <c r="AA970" s="262"/>
      <c r="AB970" s="263" t="s">
        <v>40</v>
      </c>
      <c r="AC970" s="262"/>
      <c r="AD970" s="262"/>
      <c r="AE970" s="262">
        <v>45565</v>
      </c>
      <c r="AF970" s="263" t="s">
        <v>65</v>
      </c>
      <c r="AG970" s="270">
        <v>2026</v>
      </c>
      <c r="AH970" s="261">
        <f t="shared" si="28"/>
        <v>143999.99800650001</v>
      </c>
      <c r="AI970" s="261"/>
      <c r="AJ970" s="261"/>
      <c r="AK970" s="259" t="s">
        <v>43</v>
      </c>
      <c r="AL970" s="259" t="s">
        <v>41</v>
      </c>
      <c r="AM970" s="266">
        <v>0</v>
      </c>
      <c r="AN970" s="67"/>
      <c r="AO970" s="256"/>
      <c r="AP970" s="257"/>
    </row>
    <row r="971" spans="1:42" s="258" customFormat="1" ht="37.950000000000003" customHeight="1" x14ac:dyDescent="0.3">
      <c r="A971" s="259" t="s">
        <v>1641</v>
      </c>
      <c r="B971" s="243" t="s">
        <v>1642</v>
      </c>
      <c r="C971" s="244" t="s">
        <v>2061</v>
      </c>
      <c r="D971" s="243" t="s">
        <v>34</v>
      </c>
      <c r="E971" s="243" t="s">
        <v>1644</v>
      </c>
      <c r="F971" s="259" t="s">
        <v>35</v>
      </c>
      <c r="G971" s="259">
        <v>1</v>
      </c>
      <c r="H971" s="245">
        <v>778720.2</v>
      </c>
      <c r="I971" s="243" t="s">
        <v>36</v>
      </c>
      <c r="J971" s="245">
        <f t="shared" si="27"/>
        <v>778720.2</v>
      </c>
      <c r="K971" s="1695">
        <v>4878.54</v>
      </c>
      <c r="L971" s="1695">
        <v>4878.54</v>
      </c>
      <c r="M971" s="246" t="s">
        <v>58</v>
      </c>
      <c r="N971" s="261" t="s">
        <v>2062</v>
      </c>
      <c r="O971" s="261" t="s">
        <v>2063</v>
      </c>
      <c r="P971" s="263" t="s">
        <v>41</v>
      </c>
      <c r="Q971" s="262">
        <v>45059</v>
      </c>
      <c r="R971" s="263" t="s">
        <v>41</v>
      </c>
      <c r="S971" s="262">
        <v>45059</v>
      </c>
      <c r="T971" s="263"/>
      <c r="U971" s="262"/>
      <c r="V971" s="263" t="s">
        <v>41</v>
      </c>
      <c r="W971" s="262">
        <f t="shared" si="26"/>
        <v>45182</v>
      </c>
      <c r="X971" s="263" t="s">
        <v>41</v>
      </c>
      <c r="Y971" s="262">
        <v>45291</v>
      </c>
      <c r="Z971" s="263" t="s">
        <v>40</v>
      </c>
      <c r="AA971" s="262"/>
      <c r="AB971" s="263" t="s">
        <v>40</v>
      </c>
      <c r="AC971" s="262"/>
      <c r="AD971" s="262"/>
      <c r="AE971" s="262">
        <v>45565</v>
      </c>
      <c r="AF971" s="263" t="s">
        <v>65</v>
      </c>
      <c r="AG971" s="270">
        <v>2026</v>
      </c>
      <c r="AH971" s="261">
        <f t="shared" si="28"/>
        <v>23999.97753</v>
      </c>
      <c r="AI971" s="261"/>
      <c r="AJ971" s="261"/>
      <c r="AK971" s="259" t="s">
        <v>43</v>
      </c>
      <c r="AL971" s="259" t="s">
        <v>41</v>
      </c>
      <c r="AM971" s="266">
        <v>0</v>
      </c>
      <c r="AN971" s="67"/>
      <c r="AO971" s="256"/>
      <c r="AP971" s="257"/>
    </row>
    <row r="972" spans="1:42" s="258" customFormat="1" ht="37.950000000000003" customHeight="1" x14ac:dyDescent="0.3">
      <c r="A972" s="259" t="s">
        <v>1641</v>
      </c>
      <c r="B972" s="243" t="s">
        <v>1642</v>
      </c>
      <c r="C972" s="244" t="s">
        <v>2064</v>
      </c>
      <c r="D972" s="243" t="s">
        <v>34</v>
      </c>
      <c r="E972" s="243" t="s">
        <v>1644</v>
      </c>
      <c r="F972" s="259" t="s">
        <v>35</v>
      </c>
      <c r="G972" s="259">
        <v>1</v>
      </c>
      <c r="H972" s="245">
        <v>756305.63</v>
      </c>
      <c r="I972" s="243" t="s">
        <v>36</v>
      </c>
      <c r="J972" s="245">
        <f t="shared" si="27"/>
        <v>756305.63</v>
      </c>
      <c r="K972" s="1695">
        <f>25040.15</f>
        <v>25040.15</v>
      </c>
      <c r="L972" s="1695">
        <f>K972</f>
        <v>25040.15</v>
      </c>
      <c r="M972" s="246" t="s">
        <v>53</v>
      </c>
      <c r="N972" s="261" t="s">
        <v>2065</v>
      </c>
      <c r="O972" s="261" t="s">
        <v>2066</v>
      </c>
      <c r="P972" s="263" t="s">
        <v>41</v>
      </c>
      <c r="Q972" s="262">
        <v>45059</v>
      </c>
      <c r="R972" s="263" t="s">
        <v>41</v>
      </c>
      <c r="S972" s="262">
        <v>45059</v>
      </c>
      <c r="T972" s="263"/>
      <c r="U972" s="262"/>
      <c r="V972" s="263" t="s">
        <v>41</v>
      </c>
      <c r="W972" s="262">
        <f t="shared" si="26"/>
        <v>45182</v>
      </c>
      <c r="X972" s="263" t="s">
        <v>41</v>
      </c>
      <c r="Y972" s="262">
        <v>45291</v>
      </c>
      <c r="Z972" s="263" t="s">
        <v>40</v>
      </c>
      <c r="AA972" s="262"/>
      <c r="AB972" s="263" t="s">
        <v>40</v>
      </c>
      <c r="AC972" s="262"/>
      <c r="AD972" s="262"/>
      <c r="AE972" s="262">
        <v>45565</v>
      </c>
      <c r="AF972" s="263" t="s">
        <v>65</v>
      </c>
      <c r="AG972" s="270">
        <v>2026</v>
      </c>
      <c r="AH972" s="261">
        <f t="shared" si="28"/>
        <v>123185.01792500001</v>
      </c>
      <c r="AI972" s="261"/>
      <c r="AJ972" s="261"/>
      <c r="AK972" s="259" t="s">
        <v>43</v>
      </c>
      <c r="AL972" s="259" t="s">
        <v>41</v>
      </c>
      <c r="AM972" s="266">
        <v>0</v>
      </c>
      <c r="AN972" s="67"/>
      <c r="AO972" s="256"/>
      <c r="AP972" s="257"/>
    </row>
    <row r="973" spans="1:42" s="165" customFormat="1" ht="37.950000000000003" customHeight="1" x14ac:dyDescent="0.3">
      <c r="A973" s="259" t="s">
        <v>1641</v>
      </c>
      <c r="B973" s="243" t="s">
        <v>1642</v>
      </c>
      <c r="C973" s="244" t="s">
        <v>2067</v>
      </c>
      <c r="D973" s="243" t="s">
        <v>34</v>
      </c>
      <c r="E973" s="243" t="s">
        <v>1644</v>
      </c>
      <c r="F973" s="259" t="s">
        <v>35</v>
      </c>
      <c r="G973" s="259">
        <v>1</v>
      </c>
      <c r="H973" s="245">
        <v>778720</v>
      </c>
      <c r="I973" s="243" t="s">
        <v>36</v>
      </c>
      <c r="J973" s="245">
        <f t="shared" si="27"/>
        <v>778720</v>
      </c>
      <c r="K973" s="1695">
        <f>19569.26+18294.54</f>
        <v>37863.800000000003</v>
      </c>
      <c r="L973" s="1695">
        <f>19569.26+18294.54</f>
        <v>37863.800000000003</v>
      </c>
      <c r="M973" s="246" t="s">
        <v>1208</v>
      </c>
      <c r="N973" s="261" t="s">
        <v>2068</v>
      </c>
      <c r="O973" s="261" t="s">
        <v>2069</v>
      </c>
      <c r="P973" s="263" t="s">
        <v>41</v>
      </c>
      <c r="Q973" s="263"/>
      <c r="R973" s="263" t="s">
        <v>41</v>
      </c>
      <c r="S973" s="263"/>
      <c r="T973" s="263"/>
      <c r="U973" s="263"/>
      <c r="V973" s="263" t="s">
        <v>41</v>
      </c>
      <c r="W973" s="263"/>
      <c r="X973" s="263" t="s">
        <v>41</v>
      </c>
      <c r="Y973" s="263"/>
      <c r="Z973" s="263" t="s">
        <v>40</v>
      </c>
      <c r="AA973" s="263"/>
      <c r="AB973" s="263" t="s">
        <v>40</v>
      </c>
      <c r="AC973" s="263"/>
      <c r="AD973" s="263"/>
      <c r="AE973" s="262">
        <v>45565</v>
      </c>
      <c r="AF973" s="263" t="s">
        <v>65</v>
      </c>
      <c r="AG973" s="283" t="s">
        <v>2070</v>
      </c>
      <c r="AH973" s="261">
        <f t="shared" si="28"/>
        <v>186270.96410000001</v>
      </c>
      <c r="AI973" s="259"/>
      <c r="AJ973" s="259"/>
      <c r="AK973" s="259" t="s">
        <v>43</v>
      </c>
      <c r="AL973" s="259" t="s">
        <v>41</v>
      </c>
      <c r="AM973" s="266">
        <v>0</v>
      </c>
      <c r="AN973" s="256"/>
      <c r="AO973" s="259"/>
      <c r="AP973" s="277"/>
    </row>
    <row r="974" spans="1:42" s="258" customFormat="1" ht="37.950000000000003" customHeight="1" x14ac:dyDescent="0.3">
      <c r="A974" s="259" t="s">
        <v>1641</v>
      </c>
      <c r="B974" s="243" t="s">
        <v>1642</v>
      </c>
      <c r="C974" s="244" t="s">
        <v>2071</v>
      </c>
      <c r="D974" s="243" t="s">
        <v>34</v>
      </c>
      <c r="E974" s="243" t="s">
        <v>1644</v>
      </c>
      <c r="F974" s="259" t="s">
        <v>35</v>
      </c>
      <c r="G974" s="259">
        <v>1</v>
      </c>
      <c r="H974" s="245">
        <v>778720</v>
      </c>
      <c r="I974" s="243" t="s">
        <v>36</v>
      </c>
      <c r="J974" s="245">
        <f t="shared" si="27"/>
        <v>778720</v>
      </c>
      <c r="K974" s="1435">
        <f>11383.27</f>
        <v>11383.27</v>
      </c>
      <c r="L974" s="1435">
        <f>11383.27</f>
        <v>11383.27</v>
      </c>
      <c r="M974" s="246" t="s">
        <v>73</v>
      </c>
      <c r="N974" s="261" t="s">
        <v>2072</v>
      </c>
      <c r="O974" s="261" t="s">
        <v>2073</v>
      </c>
      <c r="P974" s="263" t="s">
        <v>41</v>
      </c>
      <c r="Q974" s="263"/>
      <c r="R974" s="263" t="s">
        <v>41</v>
      </c>
      <c r="S974" s="263"/>
      <c r="T974" s="263"/>
      <c r="U974" s="263"/>
      <c r="V974" s="263" t="s">
        <v>41</v>
      </c>
      <c r="W974" s="263"/>
      <c r="X974" s="263" t="s">
        <v>41</v>
      </c>
      <c r="Y974" s="263"/>
      <c r="Z974" s="263" t="s">
        <v>40</v>
      </c>
      <c r="AA974" s="263"/>
      <c r="AB974" s="263" t="s">
        <v>40</v>
      </c>
      <c r="AC974" s="263"/>
      <c r="AD974" s="263"/>
      <c r="AE974" s="262">
        <v>45565</v>
      </c>
      <c r="AF974" s="263" t="s">
        <v>65</v>
      </c>
      <c r="AG974" s="283" t="s">
        <v>2070</v>
      </c>
      <c r="AH974" s="261">
        <f t="shared" si="28"/>
        <v>55999.996765000004</v>
      </c>
      <c r="AI974" s="259"/>
      <c r="AJ974" s="259"/>
      <c r="AK974" s="259" t="s">
        <v>43</v>
      </c>
      <c r="AL974" s="259" t="s">
        <v>41</v>
      </c>
      <c r="AM974" s="266">
        <v>0</v>
      </c>
      <c r="AN974" s="256"/>
      <c r="AO974" s="256"/>
      <c r="AP974" s="257"/>
    </row>
    <row r="975" spans="1:42" s="258" customFormat="1" ht="37.950000000000003" customHeight="1" x14ac:dyDescent="0.3">
      <c r="A975" s="259" t="s">
        <v>1641</v>
      </c>
      <c r="B975" s="243" t="s">
        <v>1642</v>
      </c>
      <c r="C975" s="244" t="s">
        <v>2074</v>
      </c>
      <c r="D975" s="243" t="s">
        <v>34</v>
      </c>
      <c r="E975" s="243" t="s">
        <v>1644</v>
      </c>
      <c r="F975" s="259" t="s">
        <v>35</v>
      </c>
      <c r="G975" s="259">
        <v>1</v>
      </c>
      <c r="H975" s="245">
        <v>778720</v>
      </c>
      <c r="I975" s="243" t="s">
        <v>36</v>
      </c>
      <c r="J975" s="245">
        <f t="shared" si="27"/>
        <v>778720</v>
      </c>
      <c r="K975" s="1435">
        <f>9147.27</f>
        <v>9147.27</v>
      </c>
      <c r="L975" s="1435">
        <f>9147.27</f>
        <v>9147.27</v>
      </c>
      <c r="M975" s="246" t="s">
        <v>67</v>
      </c>
      <c r="N975" s="261" t="s">
        <v>2075</v>
      </c>
      <c r="O975" s="261" t="s">
        <v>2076</v>
      </c>
      <c r="P975" s="263" t="s">
        <v>41</v>
      </c>
      <c r="Q975" s="262">
        <v>45054</v>
      </c>
      <c r="R975" s="263" t="s">
        <v>41</v>
      </c>
      <c r="S975" s="262">
        <v>45059</v>
      </c>
      <c r="T975" s="263"/>
      <c r="U975" s="262"/>
      <c r="V975" s="263" t="s">
        <v>41</v>
      </c>
      <c r="W975" s="262">
        <f t="shared" ref="W975:W991" si="29">EDATE(Q975,4)</f>
        <v>45177</v>
      </c>
      <c r="X975" s="263" t="s">
        <v>41</v>
      </c>
      <c r="Y975" s="262">
        <v>45291</v>
      </c>
      <c r="Z975" s="263" t="s">
        <v>40</v>
      </c>
      <c r="AA975" s="262"/>
      <c r="AB975" s="263" t="s">
        <v>40</v>
      </c>
      <c r="AC975" s="262"/>
      <c r="AD975" s="262"/>
      <c r="AE975" s="262">
        <v>45565</v>
      </c>
      <c r="AF975" s="263" t="s">
        <v>65</v>
      </c>
      <c r="AG975" s="270">
        <v>2026</v>
      </c>
      <c r="AH975" s="261">
        <f t="shared" si="28"/>
        <v>44999.994765000003</v>
      </c>
      <c r="AI975" s="261"/>
      <c r="AJ975" s="261"/>
      <c r="AK975" s="259" t="s">
        <v>43</v>
      </c>
      <c r="AL975" s="259" t="s">
        <v>41</v>
      </c>
      <c r="AM975" s="266">
        <v>0</v>
      </c>
      <c r="AN975" s="67"/>
      <c r="AO975" s="256"/>
      <c r="AP975" s="257"/>
    </row>
    <row r="976" spans="1:42" s="258" customFormat="1" ht="37.950000000000003" customHeight="1" x14ac:dyDescent="0.3">
      <c r="A976" s="259" t="s">
        <v>1641</v>
      </c>
      <c r="B976" s="243" t="s">
        <v>1642</v>
      </c>
      <c r="C976" s="244" t="s">
        <v>2077</v>
      </c>
      <c r="D976" s="243" t="s">
        <v>34</v>
      </c>
      <c r="E976" s="243" t="s">
        <v>1644</v>
      </c>
      <c r="F976" s="259" t="s">
        <v>35</v>
      </c>
      <c r="G976" s="259">
        <v>1</v>
      </c>
      <c r="H976" s="245">
        <v>778720.2</v>
      </c>
      <c r="I976" s="243" t="s">
        <v>36</v>
      </c>
      <c r="J976" s="245">
        <f t="shared" si="27"/>
        <v>778720.2</v>
      </c>
      <c r="K976" s="1695">
        <v>0</v>
      </c>
      <c r="L976" s="1695">
        <v>0</v>
      </c>
      <c r="M976" s="246" t="s">
        <v>68</v>
      </c>
      <c r="N976" s="261" t="s">
        <v>2078</v>
      </c>
      <c r="O976" s="261" t="s">
        <v>2079</v>
      </c>
      <c r="P976" s="263" t="s">
        <v>41</v>
      </c>
      <c r="Q976" s="262">
        <v>45060</v>
      </c>
      <c r="R976" s="263" t="s">
        <v>41</v>
      </c>
      <c r="S976" s="262">
        <v>45060</v>
      </c>
      <c r="T976" s="263"/>
      <c r="U976" s="262"/>
      <c r="V976" s="263" t="s">
        <v>41</v>
      </c>
      <c r="W976" s="262">
        <f t="shared" si="29"/>
        <v>45183</v>
      </c>
      <c r="X976" s="263" t="s">
        <v>41</v>
      </c>
      <c r="Y976" s="262">
        <v>45291</v>
      </c>
      <c r="Z976" s="263" t="s">
        <v>40</v>
      </c>
      <c r="AA976" s="262"/>
      <c r="AB976" s="263" t="s">
        <v>40</v>
      </c>
      <c r="AC976" s="262"/>
      <c r="AD976" s="262"/>
      <c r="AE976" s="262">
        <v>45565</v>
      </c>
      <c r="AF976" s="263" t="s">
        <v>65</v>
      </c>
      <c r="AG976" s="270">
        <v>2026</v>
      </c>
      <c r="AH976" s="261">
        <f t="shared" si="28"/>
        <v>0</v>
      </c>
      <c r="AI976" s="261"/>
      <c r="AJ976" s="261"/>
      <c r="AK976" s="259" t="s">
        <v>43</v>
      </c>
      <c r="AL976" s="259" t="s">
        <v>41</v>
      </c>
      <c r="AM976" s="266">
        <v>0</v>
      </c>
      <c r="AN976" s="67"/>
      <c r="AO976" s="256"/>
      <c r="AP976" s="257"/>
    </row>
    <row r="977" spans="1:42" s="258" customFormat="1" ht="37.950000000000003" customHeight="1" x14ac:dyDescent="0.3">
      <c r="A977" s="259" t="s">
        <v>1641</v>
      </c>
      <c r="B977" s="243" t="s">
        <v>1642</v>
      </c>
      <c r="C977" s="244" t="s">
        <v>2080</v>
      </c>
      <c r="D977" s="243" t="s">
        <v>34</v>
      </c>
      <c r="E977" s="243" t="s">
        <v>1644</v>
      </c>
      <c r="F977" s="259" t="s">
        <v>35</v>
      </c>
      <c r="G977" s="259">
        <v>1</v>
      </c>
      <c r="H977" s="245">
        <v>778720</v>
      </c>
      <c r="I977" s="243" t="s">
        <v>36</v>
      </c>
      <c r="J977" s="245">
        <f t="shared" si="27"/>
        <v>778720</v>
      </c>
      <c r="K977" s="1695">
        <f>5081.81+1644.88+29632.08</f>
        <v>36358.770000000004</v>
      </c>
      <c r="L977" s="1695">
        <f>5081.81+1644.88+29632.08</f>
        <v>36358.770000000004</v>
      </c>
      <c r="M977" s="246" t="s">
        <v>55</v>
      </c>
      <c r="N977" s="261" t="s">
        <v>2081</v>
      </c>
      <c r="O977" s="261" t="s">
        <v>2082</v>
      </c>
      <c r="P977" s="263" t="s">
        <v>41</v>
      </c>
      <c r="Q977" s="262">
        <v>45062</v>
      </c>
      <c r="R977" s="263" t="s">
        <v>41</v>
      </c>
      <c r="S977" s="262">
        <v>45062</v>
      </c>
      <c r="T977" s="263"/>
      <c r="U977" s="262"/>
      <c r="V977" s="263" t="s">
        <v>41</v>
      </c>
      <c r="W977" s="262">
        <f t="shared" si="29"/>
        <v>45185</v>
      </c>
      <c r="X977" s="263" t="s">
        <v>41</v>
      </c>
      <c r="Y977" s="262">
        <v>45291</v>
      </c>
      <c r="Z977" s="263" t="s">
        <v>40</v>
      </c>
      <c r="AA977" s="262"/>
      <c r="AB977" s="263" t="s">
        <v>40</v>
      </c>
      <c r="AC977" s="262"/>
      <c r="AD977" s="262"/>
      <c r="AE977" s="262">
        <v>45565</v>
      </c>
      <c r="AF977" s="263" t="s">
        <v>65</v>
      </c>
      <c r="AG977" s="270">
        <v>2026</v>
      </c>
      <c r="AH977" s="261">
        <f t="shared" si="28"/>
        <v>178866.96901500004</v>
      </c>
      <c r="AI977" s="261"/>
      <c r="AJ977" s="261"/>
      <c r="AK977" s="259" t="s">
        <v>43</v>
      </c>
      <c r="AL977" s="259" t="s">
        <v>41</v>
      </c>
      <c r="AM977" s="266">
        <v>0</v>
      </c>
      <c r="AN977" s="67"/>
      <c r="AO977" s="256"/>
      <c r="AP977" s="257"/>
    </row>
    <row r="978" spans="1:42" s="273" customFormat="1" ht="37.950000000000003" customHeight="1" x14ac:dyDescent="0.3">
      <c r="A978" s="259" t="s">
        <v>1641</v>
      </c>
      <c r="B978" s="243" t="s">
        <v>1642</v>
      </c>
      <c r="C978" s="244" t="s">
        <v>2083</v>
      </c>
      <c r="D978" s="243" t="s">
        <v>34</v>
      </c>
      <c r="E978" s="243" t="s">
        <v>1644</v>
      </c>
      <c r="F978" s="259" t="s">
        <v>35</v>
      </c>
      <c r="G978" s="259">
        <v>1</v>
      </c>
      <c r="H978" s="245">
        <v>778720.2</v>
      </c>
      <c r="I978" s="243" t="s">
        <v>36</v>
      </c>
      <c r="J978" s="245">
        <f t="shared" si="27"/>
        <v>778720.2</v>
      </c>
      <c r="K978" s="1695">
        <f>2439.27+18904.36+27203.3</f>
        <v>48546.93</v>
      </c>
      <c r="L978" s="1695">
        <f>2439.27+18904.36+27203.3</f>
        <v>48546.93</v>
      </c>
      <c r="M978" s="246" t="s">
        <v>49</v>
      </c>
      <c r="N978" s="261" t="s">
        <v>2084</v>
      </c>
      <c r="O978" s="261" t="s">
        <v>2085</v>
      </c>
      <c r="P978" s="263" t="s">
        <v>41</v>
      </c>
      <c r="Q978" s="262">
        <v>45059</v>
      </c>
      <c r="R978" s="263" t="s">
        <v>41</v>
      </c>
      <c r="S978" s="262">
        <v>45059</v>
      </c>
      <c r="T978" s="263"/>
      <c r="U978" s="262"/>
      <c r="V978" s="263" t="s">
        <v>41</v>
      </c>
      <c r="W978" s="262">
        <f t="shared" si="29"/>
        <v>45182</v>
      </c>
      <c r="X978" s="263" t="s">
        <v>41</v>
      </c>
      <c r="Y978" s="262">
        <v>45291</v>
      </c>
      <c r="Z978" s="263" t="s">
        <v>40</v>
      </c>
      <c r="AA978" s="262"/>
      <c r="AB978" s="263" t="s">
        <v>40</v>
      </c>
      <c r="AC978" s="262"/>
      <c r="AD978" s="262"/>
      <c r="AE978" s="262">
        <v>45565</v>
      </c>
      <c r="AF978" s="263" t="s">
        <v>65</v>
      </c>
      <c r="AG978" s="270">
        <v>2026</v>
      </c>
      <c r="AH978" s="261">
        <f t="shared" si="28"/>
        <v>238826.62213500001</v>
      </c>
      <c r="AI978" s="261"/>
      <c r="AJ978" s="261"/>
      <c r="AK978" s="259" t="s">
        <v>43</v>
      </c>
      <c r="AL978" s="259" t="s">
        <v>41</v>
      </c>
      <c r="AM978" s="266">
        <v>0</v>
      </c>
      <c r="AN978" s="67"/>
      <c r="AO978" s="271"/>
      <c r="AP978" s="272"/>
    </row>
    <row r="979" spans="1:42" s="258" customFormat="1" ht="37.950000000000003" customHeight="1" x14ac:dyDescent="0.3">
      <c r="A979" s="259" t="s">
        <v>1641</v>
      </c>
      <c r="B979" s="243" t="s">
        <v>1642</v>
      </c>
      <c r="C979" s="244" t="s">
        <v>2086</v>
      </c>
      <c r="D979" s="243" t="s">
        <v>34</v>
      </c>
      <c r="E979" s="243" t="s">
        <v>1644</v>
      </c>
      <c r="F979" s="259" t="s">
        <v>35</v>
      </c>
      <c r="G979" s="259">
        <v>1</v>
      </c>
      <c r="H979" s="245">
        <v>778720</v>
      </c>
      <c r="I979" s="243" t="s">
        <v>36</v>
      </c>
      <c r="J979" s="245">
        <f t="shared" si="27"/>
        <v>778720</v>
      </c>
      <c r="K979" s="1435">
        <f>11484.91+26791.34</f>
        <v>38276.25</v>
      </c>
      <c r="L979" s="1435">
        <f>11484.91+26791.34</f>
        <v>38276.25</v>
      </c>
      <c r="M979" s="246" t="s">
        <v>67</v>
      </c>
      <c r="N979" s="261" t="s">
        <v>2087</v>
      </c>
      <c r="O979" s="261" t="s">
        <v>2088</v>
      </c>
      <c r="P979" s="263" t="s">
        <v>41</v>
      </c>
      <c r="Q979" s="262">
        <v>45059</v>
      </c>
      <c r="R979" s="263" t="s">
        <v>41</v>
      </c>
      <c r="S979" s="262">
        <v>45059</v>
      </c>
      <c r="T979" s="263"/>
      <c r="U979" s="262"/>
      <c r="V979" s="263" t="s">
        <v>41</v>
      </c>
      <c r="W979" s="262">
        <f t="shared" si="29"/>
        <v>45182</v>
      </c>
      <c r="X979" s="263" t="s">
        <v>41</v>
      </c>
      <c r="Y979" s="262">
        <v>45291</v>
      </c>
      <c r="Z979" s="263" t="s">
        <v>40</v>
      </c>
      <c r="AA979" s="262"/>
      <c r="AB979" s="263" t="s">
        <v>40</v>
      </c>
      <c r="AC979" s="262"/>
      <c r="AD979" s="262"/>
      <c r="AE979" s="262">
        <v>45565</v>
      </c>
      <c r="AF979" s="263" t="s">
        <v>65</v>
      </c>
      <c r="AG979" s="270">
        <v>2026</v>
      </c>
      <c r="AH979" s="261">
        <f t="shared" si="28"/>
        <v>188300.011875</v>
      </c>
      <c r="AI979" s="261"/>
      <c r="AJ979" s="261"/>
      <c r="AK979" s="259" t="s">
        <v>43</v>
      </c>
      <c r="AL979" s="259" t="s">
        <v>41</v>
      </c>
      <c r="AM979" s="266">
        <v>0</v>
      </c>
      <c r="AN979" s="67"/>
      <c r="AO979" s="256"/>
      <c r="AP979" s="257"/>
    </row>
    <row r="980" spans="1:42" s="258" customFormat="1" ht="37.950000000000003" customHeight="1" x14ac:dyDescent="0.3">
      <c r="A980" s="259" t="s">
        <v>1641</v>
      </c>
      <c r="B980" s="243" t="s">
        <v>1642</v>
      </c>
      <c r="C980" s="244" t="s">
        <v>2089</v>
      </c>
      <c r="D980" s="243" t="s">
        <v>34</v>
      </c>
      <c r="E980" s="243" t="s">
        <v>1644</v>
      </c>
      <c r="F980" s="259" t="s">
        <v>35</v>
      </c>
      <c r="G980" s="259">
        <v>1</v>
      </c>
      <c r="H980" s="245">
        <v>778720</v>
      </c>
      <c r="I980" s="243" t="s">
        <v>36</v>
      </c>
      <c r="J980" s="245">
        <f t="shared" si="27"/>
        <v>778720</v>
      </c>
      <c r="K980" s="1695">
        <f>3898.97+1097.67</f>
        <v>4996.6399999999994</v>
      </c>
      <c r="L980" s="1695">
        <f>K980</f>
        <v>4996.6399999999994</v>
      </c>
      <c r="M980" s="246" t="s">
        <v>183</v>
      </c>
      <c r="N980" s="261" t="s">
        <v>2090</v>
      </c>
      <c r="O980" s="261" t="s">
        <v>2091</v>
      </c>
      <c r="P980" s="263" t="s">
        <v>41</v>
      </c>
      <c r="Q980" s="262">
        <v>45069</v>
      </c>
      <c r="R980" s="263" t="s">
        <v>41</v>
      </c>
      <c r="S980" s="262">
        <v>45069</v>
      </c>
      <c r="T980" s="263"/>
      <c r="U980" s="262"/>
      <c r="V980" s="263" t="s">
        <v>41</v>
      </c>
      <c r="W980" s="262">
        <f t="shared" si="29"/>
        <v>45192</v>
      </c>
      <c r="X980" s="263" t="s">
        <v>41</v>
      </c>
      <c r="Y980" s="262">
        <v>45291</v>
      </c>
      <c r="Z980" s="263" t="s">
        <v>40</v>
      </c>
      <c r="AA980" s="262"/>
      <c r="AB980" s="263" t="s">
        <v>40</v>
      </c>
      <c r="AC980" s="262"/>
      <c r="AD980" s="262"/>
      <c r="AE980" s="262">
        <v>45565</v>
      </c>
      <c r="AF980" s="263" t="s">
        <v>65</v>
      </c>
      <c r="AG980" s="270">
        <v>2026</v>
      </c>
      <c r="AH980" s="261">
        <f t="shared" si="28"/>
        <v>24580.97048</v>
      </c>
      <c r="AI980" s="261"/>
      <c r="AJ980" s="261"/>
      <c r="AK980" s="259" t="s">
        <v>43</v>
      </c>
      <c r="AL980" s="259" t="s">
        <v>41</v>
      </c>
      <c r="AM980" s="266">
        <v>0</v>
      </c>
      <c r="AN980" s="67"/>
      <c r="AO980" s="256"/>
      <c r="AP980" s="257"/>
    </row>
    <row r="981" spans="1:42" s="258" customFormat="1" ht="37.950000000000003" customHeight="1" x14ac:dyDescent="0.3">
      <c r="A981" s="259" t="s">
        <v>1641</v>
      </c>
      <c r="B981" s="243" t="s">
        <v>1642</v>
      </c>
      <c r="C981" s="244" t="s">
        <v>2092</v>
      </c>
      <c r="D981" s="243" t="s">
        <v>34</v>
      </c>
      <c r="E981" s="243" t="s">
        <v>1644</v>
      </c>
      <c r="F981" s="259" t="s">
        <v>35</v>
      </c>
      <c r="G981" s="259">
        <v>1</v>
      </c>
      <c r="H981" s="245">
        <v>778720</v>
      </c>
      <c r="I981" s="243" t="s">
        <v>36</v>
      </c>
      <c r="J981" s="245">
        <f t="shared" si="27"/>
        <v>778720</v>
      </c>
      <c r="K981" s="1435">
        <f>19310.91+28458.176</f>
        <v>47769.085999999996</v>
      </c>
      <c r="L981" s="1435">
        <f>K981</f>
        <v>47769.085999999996</v>
      </c>
      <c r="M981" s="246" t="s">
        <v>67</v>
      </c>
      <c r="N981" s="261" t="s">
        <v>2093</v>
      </c>
      <c r="O981" s="261" t="s">
        <v>2094</v>
      </c>
      <c r="P981" s="263" t="s">
        <v>41</v>
      </c>
      <c r="Q981" s="262">
        <v>45059</v>
      </c>
      <c r="R981" s="263" t="s">
        <v>41</v>
      </c>
      <c r="S981" s="262">
        <v>45059</v>
      </c>
      <c r="T981" s="263"/>
      <c r="U981" s="262"/>
      <c r="V981" s="263" t="s">
        <v>41</v>
      </c>
      <c r="W981" s="262">
        <f t="shared" si="29"/>
        <v>45182</v>
      </c>
      <c r="X981" s="263" t="s">
        <v>41</v>
      </c>
      <c r="Y981" s="262">
        <v>45291</v>
      </c>
      <c r="Z981" s="263" t="s">
        <v>40</v>
      </c>
      <c r="AA981" s="262"/>
      <c r="AB981" s="263" t="s">
        <v>40</v>
      </c>
      <c r="AC981" s="262"/>
      <c r="AD981" s="262"/>
      <c r="AE981" s="262">
        <v>45565</v>
      </c>
      <c r="AF981" s="263" t="s">
        <v>65</v>
      </c>
      <c r="AG981" s="270">
        <v>2026</v>
      </c>
      <c r="AH981" s="261">
        <f t="shared" si="28"/>
        <v>235000.01857699998</v>
      </c>
      <c r="AI981" s="261"/>
      <c r="AJ981" s="261"/>
      <c r="AK981" s="259" t="s">
        <v>43</v>
      </c>
      <c r="AL981" s="259" t="s">
        <v>41</v>
      </c>
      <c r="AM981" s="266">
        <v>0</v>
      </c>
      <c r="AN981" s="67"/>
      <c r="AO981" s="256"/>
      <c r="AP981" s="257"/>
    </row>
    <row r="982" spans="1:42" s="258" customFormat="1" ht="37.950000000000003" customHeight="1" x14ac:dyDescent="0.3">
      <c r="A982" s="259" t="s">
        <v>1641</v>
      </c>
      <c r="B982" s="243" t="s">
        <v>1642</v>
      </c>
      <c r="C982" s="244" t="s">
        <v>2095</v>
      </c>
      <c r="D982" s="243" t="s">
        <v>34</v>
      </c>
      <c r="E982" s="243" t="s">
        <v>1644</v>
      </c>
      <c r="F982" s="259" t="s">
        <v>35</v>
      </c>
      <c r="G982" s="259">
        <v>1</v>
      </c>
      <c r="H982" s="245">
        <v>778720</v>
      </c>
      <c r="I982" s="243" t="s">
        <v>36</v>
      </c>
      <c r="J982" s="245">
        <f t="shared" si="27"/>
        <v>778720</v>
      </c>
      <c r="K982" s="1695">
        <f>2032.72+20327.27+21224.72</f>
        <v>43584.710000000006</v>
      </c>
      <c r="L982" s="1695">
        <f>K982</f>
        <v>43584.710000000006</v>
      </c>
      <c r="M982" s="246" t="s">
        <v>200</v>
      </c>
      <c r="N982" s="261" t="s">
        <v>2096</v>
      </c>
      <c r="O982" s="261" t="s">
        <v>2097</v>
      </c>
      <c r="P982" s="263" t="s">
        <v>41</v>
      </c>
      <c r="Q982" s="262">
        <v>45060</v>
      </c>
      <c r="R982" s="263" t="s">
        <v>41</v>
      </c>
      <c r="S982" s="262">
        <v>45060</v>
      </c>
      <c r="T982" s="263"/>
      <c r="U982" s="262"/>
      <c r="V982" s="263" t="s">
        <v>41</v>
      </c>
      <c r="W982" s="262">
        <f t="shared" si="29"/>
        <v>45183</v>
      </c>
      <c r="X982" s="263" t="s">
        <v>41</v>
      </c>
      <c r="Y982" s="262">
        <v>45291</v>
      </c>
      <c r="Z982" s="263" t="s">
        <v>40</v>
      </c>
      <c r="AA982" s="262"/>
      <c r="AB982" s="263" t="s">
        <v>40</v>
      </c>
      <c r="AC982" s="262"/>
      <c r="AD982" s="262"/>
      <c r="AE982" s="262">
        <v>45565</v>
      </c>
      <c r="AF982" s="263" t="s">
        <v>65</v>
      </c>
      <c r="AG982" s="270">
        <v>2026</v>
      </c>
      <c r="AH982" s="261">
        <f t="shared" si="28"/>
        <v>214414.98084500004</v>
      </c>
      <c r="AI982" s="261"/>
      <c r="AJ982" s="261"/>
      <c r="AK982" s="259" t="s">
        <v>43</v>
      </c>
      <c r="AL982" s="259" t="s">
        <v>41</v>
      </c>
      <c r="AM982" s="266">
        <v>0</v>
      </c>
      <c r="AN982" s="67"/>
      <c r="AO982" s="256"/>
      <c r="AP982" s="257"/>
    </row>
    <row r="983" spans="1:42" s="258" customFormat="1" ht="37.950000000000003" customHeight="1" x14ac:dyDescent="0.3">
      <c r="A983" s="259" t="s">
        <v>1641</v>
      </c>
      <c r="B983" s="243" t="s">
        <v>1642</v>
      </c>
      <c r="C983" s="244" t="s">
        <v>2098</v>
      </c>
      <c r="D983" s="243" t="s">
        <v>34</v>
      </c>
      <c r="E983" s="243" t="s">
        <v>1644</v>
      </c>
      <c r="F983" s="259" t="s">
        <v>35</v>
      </c>
      <c r="G983" s="259">
        <v>1</v>
      </c>
      <c r="H983" s="245">
        <v>778719.99</v>
      </c>
      <c r="I983" s="243" t="s">
        <v>36</v>
      </c>
      <c r="J983" s="245">
        <f t="shared" si="27"/>
        <v>778719.99</v>
      </c>
      <c r="K983" s="1695">
        <f>26933.63</f>
        <v>26933.63</v>
      </c>
      <c r="L983" s="1695">
        <f>26933.63</f>
        <v>26933.63</v>
      </c>
      <c r="M983" s="246" t="s">
        <v>79</v>
      </c>
      <c r="N983" s="261" t="s">
        <v>2099</v>
      </c>
      <c r="O983" s="261" t="s">
        <v>2100</v>
      </c>
      <c r="P983" s="263" t="s">
        <v>41</v>
      </c>
      <c r="Q983" s="262">
        <v>45061</v>
      </c>
      <c r="R983" s="263" t="s">
        <v>41</v>
      </c>
      <c r="S983" s="262">
        <v>45061</v>
      </c>
      <c r="T983" s="263"/>
      <c r="U983" s="262"/>
      <c r="V983" s="263" t="s">
        <v>41</v>
      </c>
      <c r="W983" s="262">
        <f t="shared" si="29"/>
        <v>45184</v>
      </c>
      <c r="X983" s="263" t="s">
        <v>41</v>
      </c>
      <c r="Y983" s="262">
        <v>45291</v>
      </c>
      <c r="Z983" s="263" t="s">
        <v>40</v>
      </c>
      <c r="AA983" s="262"/>
      <c r="AB983" s="263" t="s">
        <v>40</v>
      </c>
      <c r="AC983" s="262"/>
      <c r="AD983" s="262"/>
      <c r="AE983" s="262">
        <v>45565</v>
      </c>
      <c r="AF983" s="263" t="s">
        <v>65</v>
      </c>
      <c r="AG983" s="270">
        <v>2026</v>
      </c>
      <c r="AH983" s="261">
        <f t="shared" si="28"/>
        <v>132499.99278500001</v>
      </c>
      <c r="AI983" s="261"/>
      <c r="AJ983" s="261"/>
      <c r="AK983" s="259" t="s">
        <v>43</v>
      </c>
      <c r="AL983" s="259" t="s">
        <v>41</v>
      </c>
      <c r="AM983" s="266">
        <v>0</v>
      </c>
      <c r="AN983" s="67"/>
      <c r="AO983" s="256"/>
      <c r="AP983" s="257"/>
    </row>
    <row r="984" spans="1:42" s="273" customFormat="1" ht="37.950000000000003" customHeight="1" x14ac:dyDescent="0.3">
      <c r="A984" s="259" t="s">
        <v>1641</v>
      </c>
      <c r="B984" s="243" t="s">
        <v>1642</v>
      </c>
      <c r="C984" s="244" t="s">
        <v>2101</v>
      </c>
      <c r="D984" s="243" t="s">
        <v>34</v>
      </c>
      <c r="E984" s="243" t="s">
        <v>1644</v>
      </c>
      <c r="F984" s="259" t="s">
        <v>35</v>
      </c>
      <c r="G984" s="259">
        <v>1</v>
      </c>
      <c r="H984" s="245">
        <v>778720</v>
      </c>
      <c r="I984" s="243" t="s">
        <v>36</v>
      </c>
      <c r="J984" s="245">
        <f t="shared" si="27"/>
        <v>778720</v>
      </c>
      <c r="K984" s="1695">
        <f>43178.17-36284.175+36284.175</f>
        <v>43178.17</v>
      </c>
      <c r="L984" s="1695">
        <f>43178.17-36284.175+36284.175</f>
        <v>43178.17</v>
      </c>
      <c r="M984" s="246" t="s">
        <v>67</v>
      </c>
      <c r="N984" s="261" t="s">
        <v>2102</v>
      </c>
      <c r="O984" s="261" t="s">
        <v>2103</v>
      </c>
      <c r="P984" s="263" t="s">
        <v>41</v>
      </c>
      <c r="Q984" s="262">
        <v>45060</v>
      </c>
      <c r="R984" s="263" t="s">
        <v>41</v>
      </c>
      <c r="S984" s="262">
        <v>45060</v>
      </c>
      <c r="T984" s="263"/>
      <c r="U984" s="262"/>
      <c r="V984" s="263" t="s">
        <v>41</v>
      </c>
      <c r="W984" s="262">
        <f t="shared" si="29"/>
        <v>45183</v>
      </c>
      <c r="X984" s="263" t="s">
        <v>41</v>
      </c>
      <c r="Y984" s="262">
        <v>45291</v>
      </c>
      <c r="Z984" s="263" t="s">
        <v>40</v>
      </c>
      <c r="AA984" s="262"/>
      <c r="AB984" s="263" t="s">
        <v>40</v>
      </c>
      <c r="AC984" s="262"/>
      <c r="AD984" s="262"/>
      <c r="AE984" s="262">
        <v>45565</v>
      </c>
      <c r="AF984" s="263" t="s">
        <v>65</v>
      </c>
      <c r="AG984" s="270">
        <v>2026</v>
      </c>
      <c r="AH984" s="261">
        <f t="shared" si="28"/>
        <v>212415.007315</v>
      </c>
      <c r="AI984" s="261"/>
      <c r="AJ984" s="261"/>
      <c r="AK984" s="259" t="s">
        <v>43</v>
      </c>
      <c r="AL984" s="259" t="s">
        <v>41</v>
      </c>
      <c r="AM984" s="266">
        <v>0</v>
      </c>
      <c r="AN984" s="67"/>
      <c r="AO984" s="271"/>
      <c r="AP984" s="272"/>
    </row>
    <row r="985" spans="1:42" s="258" customFormat="1" ht="37.950000000000003" customHeight="1" x14ac:dyDescent="0.3">
      <c r="A985" s="259" t="s">
        <v>1641</v>
      </c>
      <c r="B985" s="243" t="s">
        <v>1642</v>
      </c>
      <c r="C985" s="244" t="s">
        <v>2104</v>
      </c>
      <c r="D985" s="243" t="s">
        <v>34</v>
      </c>
      <c r="E985" s="243" t="s">
        <v>1644</v>
      </c>
      <c r="F985" s="259" t="s">
        <v>35</v>
      </c>
      <c r="G985" s="259">
        <v>1</v>
      </c>
      <c r="H985" s="245">
        <v>778720</v>
      </c>
      <c r="I985" s="243" t="s">
        <v>36</v>
      </c>
      <c r="J985" s="245">
        <f t="shared" si="27"/>
        <v>778720</v>
      </c>
      <c r="K985" s="1695">
        <v>0</v>
      </c>
      <c r="L985" s="1695">
        <v>0</v>
      </c>
      <c r="M985" s="246" t="s">
        <v>133</v>
      </c>
      <c r="N985" s="261" t="s">
        <v>2105</v>
      </c>
      <c r="O985" s="261" t="s">
        <v>2106</v>
      </c>
      <c r="P985" s="263" t="s">
        <v>41</v>
      </c>
      <c r="Q985" s="262">
        <v>45059</v>
      </c>
      <c r="R985" s="263" t="s">
        <v>41</v>
      </c>
      <c r="S985" s="262">
        <v>45059</v>
      </c>
      <c r="T985" s="263"/>
      <c r="U985" s="262"/>
      <c r="V985" s="263" t="s">
        <v>41</v>
      </c>
      <c r="W985" s="262">
        <f t="shared" si="29"/>
        <v>45182</v>
      </c>
      <c r="X985" s="263" t="s">
        <v>41</v>
      </c>
      <c r="Y985" s="262">
        <v>45291</v>
      </c>
      <c r="Z985" s="263" t="s">
        <v>40</v>
      </c>
      <c r="AA985" s="262"/>
      <c r="AB985" s="263" t="s">
        <v>40</v>
      </c>
      <c r="AC985" s="262"/>
      <c r="AD985" s="262"/>
      <c r="AE985" s="262">
        <v>45565</v>
      </c>
      <c r="AF985" s="263" t="s">
        <v>65</v>
      </c>
      <c r="AG985" s="270">
        <v>2026</v>
      </c>
      <c r="AH985" s="261">
        <f t="shared" si="28"/>
        <v>0</v>
      </c>
      <c r="AI985" s="261"/>
      <c r="AJ985" s="261"/>
      <c r="AK985" s="259" t="s">
        <v>43</v>
      </c>
      <c r="AL985" s="259" t="s">
        <v>41</v>
      </c>
      <c r="AM985" s="266">
        <v>0</v>
      </c>
      <c r="AN985" s="67"/>
      <c r="AO985" s="256"/>
      <c r="AP985" s="257"/>
    </row>
    <row r="986" spans="1:42" s="258" customFormat="1" ht="37.950000000000003" customHeight="1" x14ac:dyDescent="0.3">
      <c r="A986" s="259" t="s">
        <v>1641</v>
      </c>
      <c r="B986" s="243" t="s">
        <v>1642</v>
      </c>
      <c r="C986" s="244" t="s">
        <v>2107</v>
      </c>
      <c r="D986" s="243" t="s">
        <v>34</v>
      </c>
      <c r="E986" s="243" t="s">
        <v>1644</v>
      </c>
      <c r="F986" s="259" t="s">
        <v>35</v>
      </c>
      <c r="G986" s="259">
        <v>1</v>
      </c>
      <c r="H986" s="245">
        <v>778720</v>
      </c>
      <c r="I986" s="243" t="s">
        <v>36</v>
      </c>
      <c r="J986" s="245">
        <f t="shared" si="27"/>
        <v>778720</v>
      </c>
      <c r="K986" s="1435">
        <f>10976.72+203.27+11789.82+1016.36+48236.11</f>
        <v>72222.28</v>
      </c>
      <c r="L986" s="1435">
        <f>K986</f>
        <v>72222.28</v>
      </c>
      <c r="M986" s="246" t="s">
        <v>1208</v>
      </c>
      <c r="N986" s="261" t="s">
        <v>2108</v>
      </c>
      <c r="O986" s="261" t="s">
        <v>2109</v>
      </c>
      <c r="P986" s="263" t="s">
        <v>41</v>
      </c>
      <c r="Q986" s="262">
        <v>45059</v>
      </c>
      <c r="R986" s="263" t="s">
        <v>41</v>
      </c>
      <c r="S986" s="262">
        <v>45059</v>
      </c>
      <c r="T986" s="263"/>
      <c r="U986" s="262"/>
      <c r="V986" s="263" t="s">
        <v>41</v>
      </c>
      <c r="W986" s="262">
        <f t="shared" si="29"/>
        <v>45182</v>
      </c>
      <c r="X986" s="263" t="s">
        <v>41</v>
      </c>
      <c r="Y986" s="262">
        <v>45291</v>
      </c>
      <c r="Z986" s="263" t="s">
        <v>40</v>
      </c>
      <c r="AA986" s="262"/>
      <c r="AB986" s="263" t="s">
        <v>40</v>
      </c>
      <c r="AC986" s="262"/>
      <c r="AD986" s="262"/>
      <c r="AE986" s="262">
        <v>45565</v>
      </c>
      <c r="AF986" s="263" t="s">
        <v>65</v>
      </c>
      <c r="AG986" s="270">
        <v>2026</v>
      </c>
      <c r="AH986" s="261">
        <f t="shared" si="28"/>
        <v>355297.50646</v>
      </c>
      <c r="AI986" s="261"/>
      <c r="AJ986" s="261"/>
      <c r="AK986" s="259" t="s">
        <v>43</v>
      </c>
      <c r="AL986" s="259" t="s">
        <v>41</v>
      </c>
      <c r="AM986" s="266">
        <v>0</v>
      </c>
      <c r="AN986" s="67"/>
      <c r="AO986" s="256"/>
      <c r="AP986" s="257"/>
    </row>
    <row r="987" spans="1:42" s="258" customFormat="1" ht="37.950000000000003" customHeight="1" x14ac:dyDescent="0.3">
      <c r="A987" s="259" t="s">
        <v>1641</v>
      </c>
      <c r="B987" s="243" t="s">
        <v>1642</v>
      </c>
      <c r="C987" s="244" t="s">
        <v>2110</v>
      </c>
      <c r="D987" s="243" t="s">
        <v>34</v>
      </c>
      <c r="E987" s="243" t="s">
        <v>2111</v>
      </c>
      <c r="F987" s="259" t="s">
        <v>35</v>
      </c>
      <c r="G987" s="259"/>
      <c r="H987" s="245">
        <v>778720</v>
      </c>
      <c r="I987" s="243" t="s">
        <v>36</v>
      </c>
      <c r="J987" s="245">
        <f t="shared" si="27"/>
        <v>778720</v>
      </c>
      <c r="K987" s="1695">
        <f>10062+19514.178</f>
        <v>29576.178</v>
      </c>
      <c r="L987" s="1695">
        <f>K987</f>
        <v>29576.178</v>
      </c>
      <c r="M987" s="246" t="s">
        <v>303</v>
      </c>
      <c r="N987" s="261" t="s">
        <v>2112</v>
      </c>
      <c r="O987" s="261" t="s">
        <v>2113</v>
      </c>
      <c r="P987" s="263"/>
      <c r="Q987" s="262"/>
      <c r="R987" s="263"/>
      <c r="S987" s="262"/>
      <c r="T987" s="263"/>
      <c r="U987" s="262"/>
      <c r="V987" s="263" t="s">
        <v>41</v>
      </c>
      <c r="W987" s="262">
        <f t="shared" si="29"/>
        <v>121</v>
      </c>
      <c r="X987" s="263" t="s">
        <v>41</v>
      </c>
      <c r="Y987" s="262">
        <v>45291</v>
      </c>
      <c r="Z987" s="263" t="s">
        <v>40</v>
      </c>
      <c r="AA987" s="262"/>
      <c r="AB987" s="263" t="s">
        <v>40</v>
      </c>
      <c r="AC987" s="262"/>
      <c r="AD987" s="262"/>
      <c r="AE987" s="262">
        <v>45565</v>
      </c>
      <c r="AF987" s="263" t="s">
        <v>65</v>
      </c>
      <c r="AG987" s="270">
        <v>2026</v>
      </c>
      <c r="AH987" s="261">
        <f t="shared" si="28"/>
        <v>145500.007671</v>
      </c>
      <c r="AI987" s="261"/>
      <c r="AJ987" s="261"/>
      <c r="AK987" s="259" t="s">
        <v>43</v>
      </c>
      <c r="AL987" s="259" t="s">
        <v>41</v>
      </c>
      <c r="AM987" s="266">
        <v>0</v>
      </c>
      <c r="AN987" s="67"/>
      <c r="AO987" s="256"/>
      <c r="AP987" s="257"/>
    </row>
    <row r="988" spans="1:42" s="258" customFormat="1" ht="37.950000000000003" customHeight="1" x14ac:dyDescent="0.3">
      <c r="A988" s="259" t="s">
        <v>1641</v>
      </c>
      <c r="B988" s="243" t="s">
        <v>1642</v>
      </c>
      <c r="C988" s="244" t="s">
        <v>2114</v>
      </c>
      <c r="D988" s="243" t="s">
        <v>34</v>
      </c>
      <c r="E988" s="243" t="s">
        <v>1644</v>
      </c>
      <c r="F988" s="259" t="s">
        <v>35</v>
      </c>
      <c r="G988" s="259">
        <v>1</v>
      </c>
      <c r="H988" s="245">
        <v>778720.2</v>
      </c>
      <c r="I988" s="243" t="s">
        <v>36</v>
      </c>
      <c r="J988" s="245">
        <f t="shared" si="27"/>
        <v>778720.2</v>
      </c>
      <c r="K988" s="1695">
        <f>28845.92</f>
        <v>28845.919999999998</v>
      </c>
      <c r="L988" s="1695">
        <f>28845.92</f>
        <v>28845.919999999998</v>
      </c>
      <c r="M988" s="246" t="s">
        <v>79</v>
      </c>
      <c r="N988" s="261" t="s">
        <v>2115</v>
      </c>
      <c r="O988" s="261" t="s">
        <v>2116</v>
      </c>
      <c r="P988" s="263" t="s">
        <v>41</v>
      </c>
      <c r="Q988" s="262">
        <v>45062</v>
      </c>
      <c r="R988" s="263" t="s">
        <v>41</v>
      </c>
      <c r="S988" s="262">
        <v>45062</v>
      </c>
      <c r="T988" s="263"/>
      <c r="U988" s="262"/>
      <c r="V988" s="263" t="s">
        <v>41</v>
      </c>
      <c r="W988" s="262">
        <f t="shared" si="29"/>
        <v>45185</v>
      </c>
      <c r="X988" s="263" t="s">
        <v>41</v>
      </c>
      <c r="Y988" s="262">
        <v>45291</v>
      </c>
      <c r="Z988" s="263" t="s">
        <v>40</v>
      </c>
      <c r="AA988" s="262"/>
      <c r="AB988" s="263" t="s">
        <v>40</v>
      </c>
      <c r="AC988" s="262"/>
      <c r="AD988" s="262"/>
      <c r="AE988" s="262">
        <v>45565</v>
      </c>
      <c r="AF988" s="263" t="s">
        <v>65</v>
      </c>
      <c r="AG988" s="270">
        <v>2026</v>
      </c>
      <c r="AH988" s="261">
        <f t="shared" si="28"/>
        <v>141907.50344</v>
      </c>
      <c r="AI988" s="261"/>
      <c r="AJ988" s="261"/>
      <c r="AK988" s="259" t="s">
        <v>43</v>
      </c>
      <c r="AL988" s="259" t="s">
        <v>41</v>
      </c>
      <c r="AM988" s="266">
        <v>0</v>
      </c>
      <c r="AN988" s="67"/>
      <c r="AO988" s="256"/>
      <c r="AP988" s="257"/>
    </row>
    <row r="989" spans="1:42" s="258" customFormat="1" ht="37.950000000000003" customHeight="1" x14ac:dyDescent="0.3">
      <c r="A989" s="259" t="s">
        <v>1641</v>
      </c>
      <c r="B989" s="243" t="s">
        <v>1642</v>
      </c>
      <c r="C989" s="244" t="s">
        <v>2117</v>
      </c>
      <c r="D989" s="243" t="s">
        <v>34</v>
      </c>
      <c r="E989" s="243" t="s">
        <v>1644</v>
      </c>
      <c r="F989" s="259" t="s">
        <v>35</v>
      </c>
      <c r="G989" s="259">
        <v>1</v>
      </c>
      <c r="H989" s="245">
        <v>769947.52</v>
      </c>
      <c r="I989" s="243" t="s">
        <v>36</v>
      </c>
      <c r="J989" s="245">
        <f t="shared" si="27"/>
        <v>769947.52</v>
      </c>
      <c r="K989" s="1695">
        <f>40638.28</f>
        <v>40638.28</v>
      </c>
      <c r="L989" s="1695">
        <f>40638.28</f>
        <v>40638.28</v>
      </c>
      <c r="M989" s="246" t="s">
        <v>63</v>
      </c>
      <c r="N989" s="261" t="s">
        <v>2118</v>
      </c>
      <c r="O989" s="284" t="s">
        <v>2119</v>
      </c>
      <c r="P989" s="263" t="s">
        <v>41</v>
      </c>
      <c r="Q989" s="262">
        <v>45060</v>
      </c>
      <c r="R989" s="263" t="s">
        <v>41</v>
      </c>
      <c r="S989" s="262">
        <v>45060</v>
      </c>
      <c r="T989" s="263"/>
      <c r="U989" s="262"/>
      <c r="V989" s="263" t="s">
        <v>41</v>
      </c>
      <c r="W989" s="262">
        <f t="shared" si="29"/>
        <v>45183</v>
      </c>
      <c r="X989" s="263" t="s">
        <v>41</v>
      </c>
      <c r="Y989" s="262">
        <v>45291</v>
      </c>
      <c r="Z989" s="263" t="s">
        <v>40</v>
      </c>
      <c r="AA989" s="262"/>
      <c r="AB989" s="263" t="s">
        <v>40</v>
      </c>
      <c r="AC989" s="262"/>
      <c r="AD989" s="262"/>
      <c r="AE989" s="262">
        <v>45565</v>
      </c>
      <c r="AF989" s="263" t="s">
        <v>65</v>
      </c>
      <c r="AG989" s="270">
        <v>2026</v>
      </c>
      <c r="AH989" s="261">
        <f t="shared" si="28"/>
        <v>199920.01845999999</v>
      </c>
      <c r="AI989" s="261"/>
      <c r="AJ989" s="261"/>
      <c r="AK989" s="259" t="s">
        <v>43</v>
      </c>
      <c r="AL989" s="259" t="s">
        <v>41</v>
      </c>
      <c r="AM989" s="266">
        <v>0</v>
      </c>
      <c r="AN989" s="67"/>
      <c r="AO989" s="256"/>
      <c r="AP989" s="257"/>
    </row>
    <row r="990" spans="1:42" s="258" customFormat="1" ht="37.950000000000003" customHeight="1" x14ac:dyDescent="0.3">
      <c r="A990" s="259" t="s">
        <v>1641</v>
      </c>
      <c r="B990" s="243" t="s">
        <v>1642</v>
      </c>
      <c r="C990" s="244" t="s">
        <v>2120</v>
      </c>
      <c r="D990" s="243" t="s">
        <v>34</v>
      </c>
      <c r="E990" s="243" t="s">
        <v>1644</v>
      </c>
      <c r="F990" s="259" t="s">
        <v>35</v>
      </c>
      <c r="G990" s="259">
        <v>1</v>
      </c>
      <c r="H990" s="245">
        <v>778720.2</v>
      </c>
      <c r="I990" s="243" t="s">
        <v>36</v>
      </c>
      <c r="J990" s="245">
        <f t="shared" si="27"/>
        <v>778720.2</v>
      </c>
      <c r="K990" s="1695">
        <v>4837.8900000000003</v>
      </c>
      <c r="L990" s="1695">
        <v>4837.8900000000003</v>
      </c>
      <c r="M990" s="246" t="s">
        <v>50</v>
      </c>
      <c r="N990" s="261" t="s">
        <v>2121</v>
      </c>
      <c r="O990" s="261" t="s">
        <v>2122</v>
      </c>
      <c r="P990" s="263" t="s">
        <v>41</v>
      </c>
      <c r="Q990" s="262">
        <v>45060</v>
      </c>
      <c r="R990" s="263" t="s">
        <v>41</v>
      </c>
      <c r="S990" s="262">
        <v>45060</v>
      </c>
      <c r="T990" s="263"/>
      <c r="U990" s="262"/>
      <c r="V990" s="263" t="s">
        <v>41</v>
      </c>
      <c r="W990" s="262">
        <f t="shared" si="29"/>
        <v>45183</v>
      </c>
      <c r="X990" s="263" t="s">
        <v>41</v>
      </c>
      <c r="Y990" s="262">
        <v>45291</v>
      </c>
      <c r="Z990" s="263" t="s">
        <v>40</v>
      </c>
      <c r="AA990" s="262"/>
      <c r="AB990" s="263" t="s">
        <v>40</v>
      </c>
      <c r="AC990" s="262"/>
      <c r="AD990" s="262"/>
      <c r="AE990" s="262">
        <v>45565</v>
      </c>
      <c r="AF990" s="263" t="s">
        <v>65</v>
      </c>
      <c r="AG990" s="270">
        <v>2026</v>
      </c>
      <c r="AH990" s="261">
        <f t="shared" si="28"/>
        <v>23799.999855000002</v>
      </c>
      <c r="AI990" s="261"/>
      <c r="AJ990" s="261"/>
      <c r="AK990" s="259" t="s">
        <v>43</v>
      </c>
      <c r="AL990" s="259" t="s">
        <v>41</v>
      </c>
      <c r="AM990" s="266">
        <v>0</v>
      </c>
      <c r="AN990" s="67"/>
      <c r="AO990" s="256"/>
      <c r="AP990" s="257"/>
    </row>
    <row r="991" spans="1:42" s="258" customFormat="1" ht="37.950000000000003" customHeight="1" x14ac:dyDescent="0.3">
      <c r="A991" s="259" t="s">
        <v>1641</v>
      </c>
      <c r="B991" s="243" t="s">
        <v>1642</v>
      </c>
      <c r="C991" s="244" t="s">
        <v>2123</v>
      </c>
      <c r="D991" s="243" t="s">
        <v>34</v>
      </c>
      <c r="E991" s="243" t="s">
        <v>1644</v>
      </c>
      <c r="F991" s="259" t="s">
        <v>35</v>
      </c>
      <c r="G991" s="259">
        <v>1</v>
      </c>
      <c r="H991" s="245">
        <v>778720</v>
      </c>
      <c r="I991" s="243" t="s">
        <v>36</v>
      </c>
      <c r="J991" s="245">
        <f t="shared" si="27"/>
        <v>778720</v>
      </c>
      <c r="K991" s="1695">
        <f>20276.45+22207.54</f>
        <v>42483.990000000005</v>
      </c>
      <c r="L991" s="1695">
        <f>K991</f>
        <v>42483.990000000005</v>
      </c>
      <c r="M991" s="246" t="s">
        <v>54</v>
      </c>
      <c r="N991" s="261" t="s">
        <v>2124</v>
      </c>
      <c r="O991" s="261" t="s">
        <v>2125</v>
      </c>
      <c r="P991" s="263" t="s">
        <v>41</v>
      </c>
      <c r="Q991" s="262">
        <v>45061</v>
      </c>
      <c r="R991" s="263" t="s">
        <v>41</v>
      </c>
      <c r="S991" s="262">
        <v>45061</v>
      </c>
      <c r="T991" s="263"/>
      <c r="U991" s="262"/>
      <c r="V991" s="263" t="s">
        <v>41</v>
      </c>
      <c r="W991" s="262">
        <f t="shared" si="29"/>
        <v>45184</v>
      </c>
      <c r="X991" s="263" t="s">
        <v>41</v>
      </c>
      <c r="Y991" s="262">
        <v>45291</v>
      </c>
      <c r="Z991" s="263" t="s">
        <v>40</v>
      </c>
      <c r="AA991" s="262"/>
      <c r="AB991" s="263" t="s">
        <v>40</v>
      </c>
      <c r="AC991" s="262"/>
      <c r="AD991" s="262"/>
      <c r="AE991" s="262">
        <v>45565</v>
      </c>
      <c r="AF991" s="263" t="s">
        <v>65</v>
      </c>
      <c r="AG991" s="270">
        <v>2026</v>
      </c>
      <c r="AH991" s="261">
        <f t="shared" si="28"/>
        <v>208999.98880500003</v>
      </c>
      <c r="AI991" s="261"/>
      <c r="AJ991" s="261"/>
      <c r="AK991" s="259" t="s">
        <v>43</v>
      </c>
      <c r="AL991" s="259" t="s">
        <v>41</v>
      </c>
      <c r="AM991" s="266">
        <v>0</v>
      </c>
      <c r="AN991" s="67"/>
      <c r="AO991" s="256"/>
      <c r="AP991" s="257"/>
    </row>
    <row r="992" spans="1:42" s="258" customFormat="1" ht="37.950000000000003" customHeight="1" x14ac:dyDescent="0.3">
      <c r="A992" s="259" t="s">
        <v>1641</v>
      </c>
      <c r="B992" s="243" t="s">
        <v>1642</v>
      </c>
      <c r="C992" s="244" t="s">
        <v>2126</v>
      </c>
      <c r="D992" s="243" t="s">
        <v>34</v>
      </c>
      <c r="E992" s="243" t="s">
        <v>1644</v>
      </c>
      <c r="F992" s="259" t="s">
        <v>35</v>
      </c>
      <c r="G992" s="259">
        <v>1</v>
      </c>
      <c r="H992" s="245">
        <v>756305.63</v>
      </c>
      <c r="I992" s="243" t="s">
        <v>36</v>
      </c>
      <c r="J992" s="245">
        <f t="shared" si="27"/>
        <v>756305.63</v>
      </c>
      <c r="K992" s="1695">
        <f>14127.45+16465.087</f>
        <v>30592.537</v>
      </c>
      <c r="L992" s="1695">
        <f>K992</f>
        <v>30592.537</v>
      </c>
      <c r="M992" s="246" t="s">
        <v>80</v>
      </c>
      <c r="N992" s="261" t="s">
        <v>2127</v>
      </c>
      <c r="O992" s="261" t="s">
        <v>2128</v>
      </c>
      <c r="P992" s="261" t="s">
        <v>41</v>
      </c>
      <c r="Q992" s="261"/>
      <c r="R992" s="261" t="s">
        <v>41</v>
      </c>
      <c r="S992" s="261"/>
      <c r="T992" s="261"/>
      <c r="U992" s="261"/>
      <c r="V992" s="261" t="s">
        <v>41</v>
      </c>
      <c r="W992" s="261"/>
      <c r="X992" s="261" t="s">
        <v>41</v>
      </c>
      <c r="Y992" s="261"/>
      <c r="Z992" s="261" t="s">
        <v>40</v>
      </c>
      <c r="AA992" s="261"/>
      <c r="AB992" s="261" t="s">
        <v>40</v>
      </c>
      <c r="AC992" s="261"/>
      <c r="AD992" s="261"/>
      <c r="AE992" s="285">
        <v>45565</v>
      </c>
      <c r="AF992" s="261" t="s">
        <v>65</v>
      </c>
      <c r="AG992" s="286">
        <v>2026</v>
      </c>
      <c r="AH992" s="261">
        <f t="shared" si="28"/>
        <v>150499.98577150001</v>
      </c>
      <c r="AI992" s="259"/>
      <c r="AJ992" s="259"/>
      <c r="AK992" s="259" t="s">
        <v>43</v>
      </c>
      <c r="AL992" s="259" t="s">
        <v>41</v>
      </c>
      <c r="AM992" s="266">
        <v>0</v>
      </c>
      <c r="AN992" s="256"/>
      <c r="AO992" s="256"/>
      <c r="AP992" s="257"/>
    </row>
    <row r="993" spans="1:42" s="258" customFormat="1" ht="37.950000000000003" customHeight="1" x14ac:dyDescent="0.3">
      <c r="A993" s="259" t="s">
        <v>1641</v>
      </c>
      <c r="B993" s="243" t="s">
        <v>1642</v>
      </c>
      <c r="C993" s="287" t="s">
        <v>2129</v>
      </c>
      <c r="D993" s="243" t="s">
        <v>34</v>
      </c>
      <c r="E993" s="243" t="s">
        <v>1644</v>
      </c>
      <c r="F993" s="259" t="s">
        <v>35</v>
      </c>
      <c r="G993" s="259">
        <v>1</v>
      </c>
      <c r="H993" s="245">
        <v>756305.63</v>
      </c>
      <c r="I993" s="243" t="s">
        <v>36</v>
      </c>
      <c r="J993" s="245">
        <f t="shared" si="27"/>
        <v>756305.63</v>
      </c>
      <c r="K993" s="1695">
        <f>4112.21</f>
        <v>4112.21</v>
      </c>
      <c r="L993" s="1695">
        <f>4112.21</f>
        <v>4112.21</v>
      </c>
      <c r="M993" s="246" t="s">
        <v>534</v>
      </c>
      <c r="N993" s="261" t="s">
        <v>2130</v>
      </c>
      <c r="O993" s="261" t="s">
        <v>2131</v>
      </c>
      <c r="P993" s="261" t="s">
        <v>41</v>
      </c>
      <c r="Q993" s="261"/>
      <c r="R993" s="261" t="s">
        <v>41</v>
      </c>
      <c r="S993" s="261"/>
      <c r="T993" s="261"/>
      <c r="U993" s="261"/>
      <c r="V993" s="261" t="s">
        <v>41</v>
      </c>
      <c r="W993" s="261"/>
      <c r="X993" s="261" t="s">
        <v>41</v>
      </c>
      <c r="Y993" s="261"/>
      <c r="Z993" s="261" t="s">
        <v>40</v>
      </c>
      <c r="AA993" s="261"/>
      <c r="AB993" s="261" t="s">
        <v>40</v>
      </c>
      <c r="AC993" s="261"/>
      <c r="AD993" s="261"/>
      <c r="AE993" s="285">
        <v>45565</v>
      </c>
      <c r="AF993" s="261" t="s">
        <v>65</v>
      </c>
      <c r="AG993" s="286">
        <v>2026</v>
      </c>
      <c r="AH993" s="261">
        <f t="shared" si="28"/>
        <v>20230.017094999999</v>
      </c>
      <c r="AI993" s="259"/>
      <c r="AJ993" s="259"/>
      <c r="AK993" s="259" t="s">
        <v>43</v>
      </c>
      <c r="AL993" s="259" t="s">
        <v>41</v>
      </c>
      <c r="AM993" s="266">
        <v>0</v>
      </c>
      <c r="AN993" s="256"/>
      <c r="AO993" s="256"/>
      <c r="AP993" s="257"/>
    </row>
    <row r="994" spans="1:42" s="290" customFormat="1" ht="37.950000000000003" customHeight="1" x14ac:dyDescent="0.3">
      <c r="A994" s="259" t="s">
        <v>1641</v>
      </c>
      <c r="B994" s="243" t="s">
        <v>1642</v>
      </c>
      <c r="C994" s="244" t="s">
        <v>2132</v>
      </c>
      <c r="D994" s="243" t="s">
        <v>34</v>
      </c>
      <c r="E994" s="243" t="s">
        <v>1644</v>
      </c>
      <c r="F994" s="259" t="s">
        <v>35</v>
      </c>
      <c r="G994" s="259">
        <v>2</v>
      </c>
      <c r="H994" s="245">
        <v>1557440</v>
      </c>
      <c r="I994" s="243" t="s">
        <v>36</v>
      </c>
      <c r="J994" s="245">
        <f t="shared" si="27"/>
        <v>1557440</v>
      </c>
      <c r="K994" s="1695">
        <f>7927.63</f>
        <v>7927.63</v>
      </c>
      <c r="L994" s="1695">
        <f>K994</f>
        <v>7927.63</v>
      </c>
      <c r="M994" s="246" t="s">
        <v>303</v>
      </c>
      <c r="N994" s="261" t="s">
        <v>303</v>
      </c>
      <c r="O994" s="261" t="s">
        <v>2133</v>
      </c>
      <c r="P994" s="261" t="s">
        <v>41</v>
      </c>
      <c r="Q994" s="285">
        <v>45062</v>
      </c>
      <c r="R994" s="261" t="s">
        <v>41</v>
      </c>
      <c r="S994" s="285">
        <v>45062</v>
      </c>
      <c r="T994" s="261"/>
      <c r="U994" s="285"/>
      <c r="V994" s="261" t="s">
        <v>41</v>
      </c>
      <c r="W994" s="285">
        <f>EDATE(Q994,4)</f>
        <v>45185</v>
      </c>
      <c r="X994" s="261" t="s">
        <v>41</v>
      </c>
      <c r="Y994" s="285">
        <v>45291</v>
      </c>
      <c r="Z994" s="261" t="s">
        <v>40</v>
      </c>
      <c r="AA994" s="285"/>
      <c r="AB994" s="261" t="s">
        <v>40</v>
      </c>
      <c r="AC994" s="285"/>
      <c r="AD994" s="285"/>
      <c r="AE994" s="285">
        <v>45565</v>
      </c>
      <c r="AF994" s="261" t="s">
        <v>65</v>
      </c>
      <c r="AG994" s="286">
        <v>2026</v>
      </c>
      <c r="AH994" s="261">
        <f t="shared" si="28"/>
        <v>38999.975785000002</v>
      </c>
      <c r="AI994" s="261"/>
      <c r="AJ994" s="261"/>
      <c r="AK994" s="259" t="s">
        <v>43</v>
      </c>
      <c r="AL994" s="259" t="s">
        <v>41</v>
      </c>
      <c r="AM994" s="266">
        <v>0</v>
      </c>
      <c r="AN994" s="259"/>
      <c r="AO994" s="288"/>
      <c r="AP994" s="289"/>
    </row>
    <row r="995" spans="1:42" s="290" customFormat="1" ht="37.950000000000003" customHeight="1" x14ac:dyDescent="0.3">
      <c r="A995" s="259" t="s">
        <v>1641</v>
      </c>
      <c r="B995" s="243" t="s">
        <v>1642</v>
      </c>
      <c r="C995" s="244" t="s">
        <v>2134</v>
      </c>
      <c r="D995" s="243" t="s">
        <v>34</v>
      </c>
      <c r="E995" s="243" t="s">
        <v>1644</v>
      </c>
      <c r="F995" s="259" t="s">
        <v>35</v>
      </c>
      <c r="G995" s="259">
        <v>1</v>
      </c>
      <c r="H995" s="245">
        <v>778720</v>
      </c>
      <c r="I995" s="243" t="s">
        <v>36</v>
      </c>
      <c r="J995" s="245">
        <f t="shared" si="27"/>
        <v>778720</v>
      </c>
      <c r="K995" s="1435">
        <f>7114.54+157.23+9818.07+9655.45</f>
        <v>26745.29</v>
      </c>
      <c r="L995" s="1435">
        <f>7114.54+157.23+9818.07+9655.45</f>
        <v>26745.29</v>
      </c>
      <c r="M995" s="246" t="s">
        <v>1806</v>
      </c>
      <c r="N995" s="261" t="s">
        <v>2135</v>
      </c>
      <c r="O995" s="261" t="s">
        <v>2136</v>
      </c>
      <c r="P995" s="261" t="s">
        <v>41</v>
      </c>
      <c r="Q995" s="261"/>
      <c r="R995" s="261" t="s">
        <v>41</v>
      </c>
      <c r="S995" s="261"/>
      <c r="T995" s="261"/>
      <c r="U995" s="261"/>
      <c r="V995" s="261" t="s">
        <v>41</v>
      </c>
      <c r="W995" s="261"/>
      <c r="X995" s="261" t="s">
        <v>41</v>
      </c>
      <c r="Y995" s="261"/>
      <c r="Z995" s="261" t="s">
        <v>40</v>
      </c>
      <c r="AA995" s="261"/>
      <c r="AB995" s="261" t="s">
        <v>40</v>
      </c>
      <c r="AC995" s="261"/>
      <c r="AD995" s="261"/>
      <c r="AE995" s="285">
        <v>45565</v>
      </c>
      <c r="AF995" s="261" t="s">
        <v>65</v>
      </c>
      <c r="AG995" s="291">
        <v>2026</v>
      </c>
      <c r="AH995" s="261">
        <f t="shared" si="28"/>
        <v>131573.45415500001</v>
      </c>
      <c r="AI995" s="259"/>
      <c r="AJ995" s="259"/>
      <c r="AK995" s="259" t="s">
        <v>43</v>
      </c>
      <c r="AL995" s="259" t="s">
        <v>41</v>
      </c>
      <c r="AM995" s="266">
        <v>0</v>
      </c>
      <c r="AN995" s="256"/>
      <c r="AO995" s="288"/>
      <c r="AP995" s="289"/>
    </row>
    <row r="996" spans="1:42" s="273" customFormat="1" ht="37.950000000000003" customHeight="1" x14ac:dyDescent="0.3">
      <c r="A996" s="259" t="s">
        <v>1641</v>
      </c>
      <c r="B996" s="243" t="s">
        <v>1642</v>
      </c>
      <c r="C996" s="244" t="s">
        <v>2137</v>
      </c>
      <c r="D996" s="243" t="s">
        <v>34</v>
      </c>
      <c r="E996" s="243" t="s">
        <v>1644</v>
      </c>
      <c r="F996" s="259" t="s">
        <v>35</v>
      </c>
      <c r="G996" s="259">
        <v>1</v>
      </c>
      <c r="H996" s="245">
        <v>778720</v>
      </c>
      <c r="I996" s="243" t="s">
        <v>36</v>
      </c>
      <c r="J996" s="245">
        <f t="shared" si="27"/>
        <v>778720</v>
      </c>
      <c r="K996" s="1695">
        <v>0</v>
      </c>
      <c r="L996" s="1695">
        <v>0</v>
      </c>
      <c r="M996" s="246" t="s">
        <v>82</v>
      </c>
      <c r="N996" s="261" t="s">
        <v>83</v>
      </c>
      <c r="O996" s="261" t="s">
        <v>2138</v>
      </c>
      <c r="P996" s="261" t="s">
        <v>41</v>
      </c>
      <c r="Q996" s="261"/>
      <c r="R996" s="261" t="s">
        <v>41</v>
      </c>
      <c r="S996" s="261"/>
      <c r="T996" s="261"/>
      <c r="U996" s="261"/>
      <c r="V996" s="261" t="s">
        <v>41</v>
      </c>
      <c r="W996" s="261"/>
      <c r="X996" s="261" t="s">
        <v>41</v>
      </c>
      <c r="Y996" s="261"/>
      <c r="Z996" s="261" t="s">
        <v>40</v>
      </c>
      <c r="AA996" s="261"/>
      <c r="AB996" s="261" t="s">
        <v>40</v>
      </c>
      <c r="AC996" s="261"/>
      <c r="AD996" s="261"/>
      <c r="AE996" s="285">
        <v>45565</v>
      </c>
      <c r="AF996" s="261" t="s">
        <v>65</v>
      </c>
      <c r="AG996" s="291">
        <v>2026</v>
      </c>
      <c r="AH996" s="261">
        <f t="shared" si="28"/>
        <v>0</v>
      </c>
      <c r="AI996" s="259"/>
      <c r="AJ996" s="259"/>
      <c r="AK996" s="259" t="s">
        <v>43</v>
      </c>
      <c r="AL996" s="259" t="s">
        <v>41</v>
      </c>
      <c r="AM996" s="266">
        <v>0</v>
      </c>
      <c r="AN996" s="288"/>
      <c r="AO996" s="271"/>
      <c r="AP996" s="272"/>
    </row>
    <row r="997" spans="1:42" s="258" customFormat="1" ht="37.950000000000003" customHeight="1" x14ac:dyDescent="0.3">
      <c r="A997" s="259" t="s">
        <v>1641</v>
      </c>
      <c r="B997" s="243" t="s">
        <v>1642</v>
      </c>
      <c r="C997" s="244" t="s">
        <v>2139</v>
      </c>
      <c r="D997" s="243" t="s">
        <v>34</v>
      </c>
      <c r="E997" s="243" t="s">
        <v>1644</v>
      </c>
      <c r="F997" s="259" t="s">
        <v>35</v>
      </c>
      <c r="G997" s="259">
        <v>1</v>
      </c>
      <c r="H997" s="245">
        <v>778720</v>
      </c>
      <c r="I997" s="243" t="s">
        <v>36</v>
      </c>
      <c r="J997" s="245">
        <f t="shared" si="27"/>
        <v>778720</v>
      </c>
      <c r="K997" s="1695">
        <v>0</v>
      </c>
      <c r="L997" s="1695">
        <v>0</v>
      </c>
      <c r="M997" s="246" t="s">
        <v>59</v>
      </c>
      <c r="N997" s="261" t="s">
        <v>2140</v>
      </c>
      <c r="O997" s="261" t="s">
        <v>2141</v>
      </c>
      <c r="P997" s="261" t="s">
        <v>41</v>
      </c>
      <c r="Q997" s="261"/>
      <c r="R997" s="261" t="s">
        <v>41</v>
      </c>
      <c r="S997" s="261"/>
      <c r="T997" s="261"/>
      <c r="U997" s="261"/>
      <c r="V997" s="261" t="s">
        <v>41</v>
      </c>
      <c r="W997" s="261"/>
      <c r="X997" s="261" t="s">
        <v>41</v>
      </c>
      <c r="Y997" s="261"/>
      <c r="Z997" s="261" t="s">
        <v>40</v>
      </c>
      <c r="AA997" s="261"/>
      <c r="AB997" s="261" t="s">
        <v>40</v>
      </c>
      <c r="AC997" s="261"/>
      <c r="AD997" s="261"/>
      <c r="AE997" s="285">
        <v>45565</v>
      </c>
      <c r="AF997" s="261" t="s">
        <v>65</v>
      </c>
      <c r="AG997" s="286">
        <v>2026</v>
      </c>
      <c r="AH997" s="261">
        <f t="shared" si="28"/>
        <v>0</v>
      </c>
      <c r="AI997" s="259"/>
      <c r="AJ997" s="259"/>
      <c r="AK997" s="259" t="s">
        <v>43</v>
      </c>
      <c r="AL997" s="259" t="s">
        <v>41</v>
      </c>
      <c r="AM997" s="266">
        <v>0</v>
      </c>
      <c r="AN997" s="288"/>
      <c r="AO997" s="256"/>
      <c r="AP997" s="257"/>
    </row>
    <row r="998" spans="1:42" s="258" customFormat="1" ht="37.950000000000003" customHeight="1" x14ac:dyDescent="0.3">
      <c r="A998" s="259" t="s">
        <v>1641</v>
      </c>
      <c r="B998" s="243" t="s">
        <v>1642</v>
      </c>
      <c r="C998" s="244" t="s">
        <v>2142</v>
      </c>
      <c r="D998" s="243" t="s">
        <v>34</v>
      </c>
      <c r="E998" s="243" t="s">
        <v>1644</v>
      </c>
      <c r="F998" s="260" t="s">
        <v>35</v>
      </c>
      <c r="G998" s="260">
        <v>1</v>
      </c>
      <c r="H998" s="245">
        <v>778720.2</v>
      </c>
      <c r="I998" s="243" t="s">
        <v>36</v>
      </c>
      <c r="J998" s="245">
        <f t="shared" si="27"/>
        <v>778720.2</v>
      </c>
      <c r="K998" s="1695">
        <f>4065.45+2292.91+6504.73</f>
        <v>12863.09</v>
      </c>
      <c r="L998" s="1695">
        <f>K998</f>
        <v>12863.09</v>
      </c>
      <c r="M998" s="246" t="s">
        <v>636</v>
      </c>
      <c r="N998" s="261" t="s">
        <v>2143</v>
      </c>
      <c r="O998" s="261" t="s">
        <v>2144</v>
      </c>
      <c r="P998" s="71" t="s">
        <v>41</v>
      </c>
      <c r="Q998" s="262">
        <v>45069</v>
      </c>
      <c r="R998" s="71" t="s">
        <v>41</v>
      </c>
      <c r="S998" s="262">
        <v>45069</v>
      </c>
      <c r="T998" s="263"/>
      <c r="U998" s="262"/>
      <c r="V998" s="263" t="s">
        <v>41</v>
      </c>
      <c r="W998" s="262">
        <f t="shared" ref="W998:W1007" si="30">EDATE(Q998,4)</f>
        <v>45192</v>
      </c>
      <c r="X998" s="263" t="s">
        <v>41</v>
      </c>
      <c r="Y998" s="262">
        <v>45291</v>
      </c>
      <c r="Z998" s="263" t="s">
        <v>40</v>
      </c>
      <c r="AA998" s="262"/>
      <c r="AB998" s="263" t="s">
        <v>40</v>
      </c>
      <c r="AC998" s="262"/>
      <c r="AD998" s="264"/>
      <c r="AE998" s="264">
        <v>45565</v>
      </c>
      <c r="AF998" s="71" t="s">
        <v>65</v>
      </c>
      <c r="AG998" s="265">
        <v>2026</v>
      </c>
      <c r="AH998" s="261">
        <f t="shared" si="28"/>
        <v>63279.971255000004</v>
      </c>
      <c r="AI998" s="261"/>
      <c r="AJ998" s="261"/>
      <c r="AK998" s="260" t="s">
        <v>43</v>
      </c>
      <c r="AL998" s="259" t="s">
        <v>41</v>
      </c>
      <c r="AM998" s="266">
        <v>0</v>
      </c>
      <c r="AN998" s="67"/>
      <c r="AO998" s="256"/>
      <c r="AP998" s="257"/>
    </row>
    <row r="999" spans="1:42" s="258" customFormat="1" ht="37.950000000000003" customHeight="1" x14ac:dyDescent="0.3">
      <c r="A999" s="259" t="s">
        <v>1641</v>
      </c>
      <c r="B999" s="243" t="s">
        <v>1642</v>
      </c>
      <c r="C999" s="244" t="s">
        <v>2145</v>
      </c>
      <c r="D999" s="243" t="s">
        <v>34</v>
      </c>
      <c r="E999" s="243" t="s">
        <v>1644</v>
      </c>
      <c r="F999" s="260" t="s">
        <v>35</v>
      </c>
      <c r="G999" s="260">
        <v>1</v>
      </c>
      <c r="H999" s="245">
        <v>778720.2</v>
      </c>
      <c r="I999" s="243" t="s">
        <v>36</v>
      </c>
      <c r="J999" s="245">
        <f t="shared" si="27"/>
        <v>778720.2</v>
      </c>
      <c r="K999" s="1695">
        <f>26933.63</f>
        <v>26933.63</v>
      </c>
      <c r="L999" s="1695">
        <f>K999</f>
        <v>26933.63</v>
      </c>
      <c r="M999" s="292" t="s">
        <v>79</v>
      </c>
      <c r="N999" s="284" t="s">
        <v>2146</v>
      </c>
      <c r="O999" s="261" t="s">
        <v>2147</v>
      </c>
      <c r="P999" s="71" t="s">
        <v>41</v>
      </c>
      <c r="Q999" s="262">
        <v>45060</v>
      </c>
      <c r="R999" s="71" t="s">
        <v>41</v>
      </c>
      <c r="S999" s="262">
        <v>45060</v>
      </c>
      <c r="T999" s="263"/>
      <c r="U999" s="262"/>
      <c r="V999" s="263" t="s">
        <v>41</v>
      </c>
      <c r="W999" s="262">
        <f t="shared" si="30"/>
        <v>45183</v>
      </c>
      <c r="X999" s="263" t="s">
        <v>41</v>
      </c>
      <c r="Y999" s="262">
        <v>45291</v>
      </c>
      <c r="Z999" s="263" t="s">
        <v>40</v>
      </c>
      <c r="AA999" s="262"/>
      <c r="AB999" s="263" t="s">
        <v>40</v>
      </c>
      <c r="AC999" s="262"/>
      <c r="AD999" s="264"/>
      <c r="AE999" s="264">
        <v>45565</v>
      </c>
      <c r="AF999" s="71" t="s">
        <v>65</v>
      </c>
      <c r="AG999" s="265">
        <v>2026</v>
      </c>
      <c r="AH999" s="261">
        <f t="shared" si="28"/>
        <v>132499.99278500001</v>
      </c>
      <c r="AI999" s="261"/>
      <c r="AJ999" s="261"/>
      <c r="AK999" s="260" t="s">
        <v>43</v>
      </c>
      <c r="AL999" s="259" t="s">
        <v>41</v>
      </c>
      <c r="AM999" s="266">
        <v>0</v>
      </c>
      <c r="AN999" s="67"/>
      <c r="AO999" s="256"/>
      <c r="AP999" s="257"/>
    </row>
    <row r="1000" spans="1:42" s="258" customFormat="1" ht="37.950000000000003" customHeight="1" x14ac:dyDescent="0.3">
      <c r="A1000" s="259" t="s">
        <v>1641</v>
      </c>
      <c r="B1000" s="243" t="s">
        <v>1642</v>
      </c>
      <c r="C1000" s="244" t="s">
        <v>2148</v>
      </c>
      <c r="D1000" s="243" t="s">
        <v>34</v>
      </c>
      <c r="E1000" s="243" t="s">
        <v>1644</v>
      </c>
      <c r="F1000" s="260" t="s">
        <v>35</v>
      </c>
      <c r="G1000" s="260">
        <v>1</v>
      </c>
      <c r="H1000" s="245">
        <v>778720</v>
      </c>
      <c r="I1000" s="243" t="s">
        <v>36</v>
      </c>
      <c r="J1000" s="245">
        <f t="shared" si="27"/>
        <v>778720</v>
      </c>
      <c r="K1000" s="1695">
        <f>30490.9+3252.36+3252.36</f>
        <v>36995.620000000003</v>
      </c>
      <c r="L1000" s="1695">
        <f>K1000</f>
        <v>36995.620000000003</v>
      </c>
      <c r="M1000" s="246" t="s">
        <v>412</v>
      </c>
      <c r="N1000" s="261" t="s">
        <v>2149</v>
      </c>
      <c r="O1000" s="261" t="s">
        <v>2150</v>
      </c>
      <c r="P1000" s="71" t="s">
        <v>41</v>
      </c>
      <c r="Q1000" s="262">
        <v>45061</v>
      </c>
      <c r="R1000" s="71" t="s">
        <v>41</v>
      </c>
      <c r="S1000" s="262">
        <v>45061</v>
      </c>
      <c r="T1000" s="263"/>
      <c r="U1000" s="262"/>
      <c r="V1000" s="263" t="s">
        <v>41</v>
      </c>
      <c r="W1000" s="262">
        <f t="shared" si="30"/>
        <v>45184</v>
      </c>
      <c r="X1000" s="263" t="s">
        <v>41</v>
      </c>
      <c r="Y1000" s="262">
        <v>45291</v>
      </c>
      <c r="Z1000" s="263" t="s">
        <v>40</v>
      </c>
      <c r="AA1000" s="262"/>
      <c r="AB1000" s="263" t="s">
        <v>40</v>
      </c>
      <c r="AC1000" s="262"/>
      <c r="AD1000" s="264"/>
      <c r="AE1000" s="264">
        <v>45565</v>
      </c>
      <c r="AF1000" s="71" t="s">
        <v>65</v>
      </c>
      <c r="AG1000" s="265">
        <v>2026</v>
      </c>
      <c r="AH1000" s="261">
        <f t="shared" si="28"/>
        <v>181999.95259000003</v>
      </c>
      <c r="AI1000" s="261"/>
      <c r="AJ1000" s="261"/>
      <c r="AK1000" s="260" t="s">
        <v>43</v>
      </c>
      <c r="AL1000" s="259" t="s">
        <v>41</v>
      </c>
      <c r="AM1000" s="266">
        <v>0</v>
      </c>
      <c r="AN1000" s="67"/>
      <c r="AO1000" s="256"/>
      <c r="AP1000" s="257"/>
    </row>
    <row r="1001" spans="1:42" s="258" customFormat="1" ht="37.950000000000003" customHeight="1" x14ac:dyDescent="0.3">
      <c r="A1001" s="259" t="s">
        <v>1641</v>
      </c>
      <c r="B1001" s="243" t="s">
        <v>1642</v>
      </c>
      <c r="C1001" s="244" t="s">
        <v>2151</v>
      </c>
      <c r="D1001" s="243" t="s">
        <v>34</v>
      </c>
      <c r="E1001" s="243" t="s">
        <v>1644</v>
      </c>
      <c r="F1001" s="260" t="s">
        <v>35</v>
      </c>
      <c r="G1001" s="260">
        <v>1</v>
      </c>
      <c r="H1001" s="245">
        <v>769947.52</v>
      </c>
      <c r="I1001" s="243" t="s">
        <v>36</v>
      </c>
      <c r="J1001" s="245">
        <f t="shared" si="27"/>
        <v>769947.52</v>
      </c>
      <c r="K1001" s="1695">
        <f>15090.33+10604.419</f>
        <v>25694.749</v>
      </c>
      <c r="L1001" s="1695">
        <f>15090.33+10604.419</f>
        <v>25694.749</v>
      </c>
      <c r="M1001" s="246" t="s">
        <v>316</v>
      </c>
      <c r="N1001" s="261" t="s">
        <v>2152</v>
      </c>
      <c r="O1001" s="261" t="s">
        <v>2153</v>
      </c>
      <c r="P1001" s="71" t="s">
        <v>41</v>
      </c>
      <c r="Q1001" s="262">
        <v>45059</v>
      </c>
      <c r="R1001" s="71" t="s">
        <v>41</v>
      </c>
      <c r="S1001" s="262">
        <v>45059</v>
      </c>
      <c r="T1001" s="263"/>
      <c r="U1001" s="262"/>
      <c r="V1001" s="263" t="s">
        <v>41</v>
      </c>
      <c r="W1001" s="262">
        <f t="shared" si="30"/>
        <v>45182</v>
      </c>
      <c r="X1001" s="263" t="s">
        <v>41</v>
      </c>
      <c r="Y1001" s="262">
        <v>45291</v>
      </c>
      <c r="Z1001" s="263" t="s">
        <v>40</v>
      </c>
      <c r="AA1001" s="262"/>
      <c r="AB1001" s="263" t="s">
        <v>40</v>
      </c>
      <c r="AC1001" s="262"/>
      <c r="AD1001" s="264"/>
      <c r="AE1001" s="264">
        <v>45565</v>
      </c>
      <c r="AF1001" s="71" t="s">
        <v>65</v>
      </c>
      <c r="AG1001" s="265">
        <v>2026</v>
      </c>
      <c r="AH1001" s="261">
        <f t="shared" si="28"/>
        <v>126405.3177055</v>
      </c>
      <c r="AI1001" s="261"/>
      <c r="AJ1001" s="261"/>
      <c r="AK1001" s="260" t="s">
        <v>43</v>
      </c>
      <c r="AL1001" s="259" t="s">
        <v>41</v>
      </c>
      <c r="AM1001" s="266">
        <v>0</v>
      </c>
      <c r="AN1001" s="67"/>
      <c r="AO1001" s="256"/>
      <c r="AP1001" s="257"/>
    </row>
    <row r="1002" spans="1:42" s="258" customFormat="1" ht="37.950000000000003" customHeight="1" x14ac:dyDescent="0.3">
      <c r="A1002" s="259" t="s">
        <v>1641</v>
      </c>
      <c r="B1002" s="243" t="s">
        <v>1642</v>
      </c>
      <c r="C1002" s="244" t="s">
        <v>2154</v>
      </c>
      <c r="D1002" s="243" t="s">
        <v>34</v>
      </c>
      <c r="E1002" s="243" t="s">
        <v>1644</v>
      </c>
      <c r="F1002" s="260" t="s">
        <v>35</v>
      </c>
      <c r="G1002" s="260">
        <v>1</v>
      </c>
      <c r="H1002" s="245">
        <v>778720</v>
      </c>
      <c r="I1002" s="243" t="s">
        <v>36</v>
      </c>
      <c r="J1002" s="245">
        <f t="shared" si="27"/>
        <v>778720</v>
      </c>
      <c r="K1002" s="1435">
        <f>1590.23+30450.24</f>
        <v>32040.47</v>
      </c>
      <c r="L1002" s="1435">
        <f>1590.23+30450.24</f>
        <v>32040.47</v>
      </c>
      <c r="M1002" s="246" t="s">
        <v>183</v>
      </c>
      <c r="N1002" s="261" t="s">
        <v>2155</v>
      </c>
      <c r="O1002" s="261" t="s">
        <v>2156</v>
      </c>
      <c r="P1002" s="71" t="s">
        <v>41</v>
      </c>
      <c r="Q1002" s="262">
        <v>45059</v>
      </c>
      <c r="R1002" s="71" t="s">
        <v>41</v>
      </c>
      <c r="S1002" s="262">
        <v>45059</v>
      </c>
      <c r="T1002" s="263"/>
      <c r="U1002" s="262"/>
      <c r="V1002" s="263" t="s">
        <v>41</v>
      </c>
      <c r="W1002" s="262">
        <f t="shared" si="30"/>
        <v>45182</v>
      </c>
      <c r="X1002" s="263" t="s">
        <v>41</v>
      </c>
      <c r="Y1002" s="262">
        <v>45291</v>
      </c>
      <c r="Z1002" s="263" t="s">
        <v>40</v>
      </c>
      <c r="AA1002" s="262"/>
      <c r="AB1002" s="263" t="s">
        <v>40</v>
      </c>
      <c r="AC1002" s="262"/>
      <c r="AD1002" s="264"/>
      <c r="AE1002" s="264">
        <v>45565</v>
      </c>
      <c r="AF1002" s="71" t="s">
        <v>65</v>
      </c>
      <c r="AG1002" s="265">
        <v>2026</v>
      </c>
      <c r="AH1002" s="261">
        <f t="shared" si="28"/>
        <v>157623.09216500001</v>
      </c>
      <c r="AI1002" s="261"/>
      <c r="AJ1002" s="261"/>
      <c r="AK1002" s="260" t="s">
        <v>43</v>
      </c>
      <c r="AL1002" s="259" t="s">
        <v>41</v>
      </c>
      <c r="AM1002" s="266">
        <v>0</v>
      </c>
      <c r="AN1002" s="67"/>
      <c r="AO1002" s="256"/>
      <c r="AP1002" s="257"/>
    </row>
    <row r="1003" spans="1:42" s="258" customFormat="1" ht="37.950000000000003" customHeight="1" x14ac:dyDescent="0.3">
      <c r="A1003" s="259" t="s">
        <v>1641</v>
      </c>
      <c r="B1003" s="243" t="s">
        <v>1642</v>
      </c>
      <c r="C1003" s="244" t="s">
        <v>2157</v>
      </c>
      <c r="D1003" s="243" t="s">
        <v>34</v>
      </c>
      <c r="E1003" s="243" t="s">
        <v>1644</v>
      </c>
      <c r="F1003" s="260" t="s">
        <v>35</v>
      </c>
      <c r="G1003" s="260">
        <v>1</v>
      </c>
      <c r="H1003" s="245">
        <v>769947.52</v>
      </c>
      <c r="I1003" s="243" t="s">
        <v>36</v>
      </c>
      <c r="J1003" s="245">
        <f t="shared" si="27"/>
        <v>769947.52</v>
      </c>
      <c r="K1003" s="1695">
        <v>6512.85</v>
      </c>
      <c r="L1003" s="1695">
        <v>6512.85</v>
      </c>
      <c r="M1003" s="246" t="s">
        <v>316</v>
      </c>
      <c r="N1003" s="261" t="s">
        <v>2158</v>
      </c>
      <c r="O1003" s="261" t="s">
        <v>2159</v>
      </c>
      <c r="P1003" s="71" t="s">
        <v>41</v>
      </c>
      <c r="Q1003" s="262">
        <v>45074</v>
      </c>
      <c r="R1003" s="71" t="s">
        <v>41</v>
      </c>
      <c r="S1003" s="262">
        <v>45074</v>
      </c>
      <c r="T1003" s="263"/>
      <c r="U1003" s="262"/>
      <c r="V1003" s="263" t="s">
        <v>41</v>
      </c>
      <c r="W1003" s="262">
        <f t="shared" si="30"/>
        <v>45197</v>
      </c>
      <c r="X1003" s="263" t="s">
        <v>41</v>
      </c>
      <c r="Y1003" s="262">
        <v>45291</v>
      </c>
      <c r="Z1003" s="263" t="s">
        <v>40</v>
      </c>
      <c r="AA1003" s="262"/>
      <c r="AB1003" s="263" t="s">
        <v>40</v>
      </c>
      <c r="AC1003" s="262"/>
      <c r="AD1003" s="264"/>
      <c r="AE1003" s="264">
        <v>45565</v>
      </c>
      <c r="AF1003" s="71" t="s">
        <v>65</v>
      </c>
      <c r="AG1003" s="265">
        <v>2026</v>
      </c>
      <c r="AH1003" s="261">
        <f t="shared" si="28"/>
        <v>32039.965575000002</v>
      </c>
      <c r="AI1003" s="261"/>
      <c r="AJ1003" s="261"/>
      <c r="AK1003" s="260" t="s">
        <v>43</v>
      </c>
      <c r="AL1003" s="259" t="s">
        <v>41</v>
      </c>
      <c r="AM1003" s="266">
        <v>0</v>
      </c>
      <c r="AN1003" s="67"/>
      <c r="AO1003" s="256"/>
      <c r="AP1003" s="257"/>
    </row>
    <row r="1004" spans="1:42" s="258" customFormat="1" ht="37.950000000000003" customHeight="1" x14ac:dyDescent="0.3">
      <c r="A1004" s="259" t="s">
        <v>1641</v>
      </c>
      <c r="B1004" s="243" t="s">
        <v>1642</v>
      </c>
      <c r="C1004" s="244" t="s">
        <v>2160</v>
      </c>
      <c r="D1004" s="243" t="s">
        <v>34</v>
      </c>
      <c r="E1004" s="243" t="s">
        <v>1644</v>
      </c>
      <c r="F1004" s="260" t="s">
        <v>35</v>
      </c>
      <c r="G1004" s="260">
        <v>1</v>
      </c>
      <c r="H1004" s="245">
        <v>778720</v>
      </c>
      <c r="I1004" s="243" t="s">
        <v>36</v>
      </c>
      <c r="J1004" s="245">
        <f t="shared" si="27"/>
        <v>778720</v>
      </c>
      <c r="K1004" s="1695">
        <v>0</v>
      </c>
      <c r="L1004" s="1695">
        <v>0</v>
      </c>
      <c r="M1004" s="246" t="s">
        <v>133</v>
      </c>
      <c r="N1004" s="261" t="s">
        <v>2161</v>
      </c>
      <c r="O1004" s="261" t="s">
        <v>2162</v>
      </c>
      <c r="P1004" s="71" t="s">
        <v>41</v>
      </c>
      <c r="Q1004" s="262">
        <v>45061</v>
      </c>
      <c r="R1004" s="71" t="s">
        <v>41</v>
      </c>
      <c r="S1004" s="262">
        <v>45061</v>
      </c>
      <c r="T1004" s="263"/>
      <c r="U1004" s="262"/>
      <c r="V1004" s="263" t="s">
        <v>41</v>
      </c>
      <c r="W1004" s="262">
        <f t="shared" si="30"/>
        <v>45184</v>
      </c>
      <c r="X1004" s="263" t="s">
        <v>41</v>
      </c>
      <c r="Y1004" s="262">
        <v>45291</v>
      </c>
      <c r="Z1004" s="263" t="s">
        <v>40</v>
      </c>
      <c r="AA1004" s="262"/>
      <c r="AB1004" s="263" t="s">
        <v>40</v>
      </c>
      <c r="AC1004" s="262"/>
      <c r="AD1004" s="264"/>
      <c r="AE1004" s="264">
        <v>45565</v>
      </c>
      <c r="AF1004" s="71" t="s">
        <v>65</v>
      </c>
      <c r="AG1004" s="265">
        <v>2026</v>
      </c>
      <c r="AH1004" s="261">
        <f t="shared" si="28"/>
        <v>0</v>
      </c>
      <c r="AI1004" s="261"/>
      <c r="AJ1004" s="261"/>
      <c r="AK1004" s="260" t="s">
        <v>43</v>
      </c>
      <c r="AL1004" s="259" t="s">
        <v>41</v>
      </c>
      <c r="AM1004" s="266">
        <v>0</v>
      </c>
      <c r="AN1004" s="67"/>
      <c r="AO1004" s="256"/>
      <c r="AP1004" s="257"/>
    </row>
    <row r="1005" spans="1:42" s="258" customFormat="1" ht="37.950000000000003" customHeight="1" x14ac:dyDescent="0.3">
      <c r="A1005" s="259" t="s">
        <v>1641</v>
      </c>
      <c r="B1005" s="243" t="s">
        <v>1642</v>
      </c>
      <c r="C1005" s="244" t="s">
        <v>2163</v>
      </c>
      <c r="D1005" s="243" t="s">
        <v>34</v>
      </c>
      <c r="E1005" s="243" t="s">
        <v>1644</v>
      </c>
      <c r="F1005" s="260" t="s">
        <v>35</v>
      </c>
      <c r="G1005" s="260">
        <v>1</v>
      </c>
      <c r="H1005" s="245">
        <v>778720</v>
      </c>
      <c r="I1005" s="243" t="s">
        <v>36</v>
      </c>
      <c r="J1005" s="245">
        <f t="shared" si="27"/>
        <v>778720</v>
      </c>
      <c r="K1005" s="1695">
        <f>13995.32+4065.45</f>
        <v>18060.77</v>
      </c>
      <c r="L1005" s="1695">
        <f>K1005</f>
        <v>18060.77</v>
      </c>
      <c r="M1005" s="246" t="s">
        <v>63</v>
      </c>
      <c r="N1005" s="261" t="s">
        <v>2164</v>
      </c>
      <c r="O1005" s="261" t="s">
        <v>2165</v>
      </c>
      <c r="P1005" s="71" t="s">
        <v>41</v>
      </c>
      <c r="Q1005" s="262">
        <v>45060</v>
      </c>
      <c r="R1005" s="71" t="s">
        <v>41</v>
      </c>
      <c r="S1005" s="262">
        <v>45060</v>
      </c>
      <c r="T1005" s="263"/>
      <c r="U1005" s="262"/>
      <c r="V1005" s="263" t="s">
        <v>41</v>
      </c>
      <c r="W1005" s="262">
        <f t="shared" si="30"/>
        <v>45183</v>
      </c>
      <c r="X1005" s="263" t="s">
        <v>41</v>
      </c>
      <c r="Y1005" s="262">
        <v>45291</v>
      </c>
      <c r="Z1005" s="263" t="s">
        <v>40</v>
      </c>
      <c r="AA1005" s="262"/>
      <c r="AB1005" s="263" t="s">
        <v>40</v>
      </c>
      <c r="AC1005" s="262"/>
      <c r="AD1005" s="264"/>
      <c r="AE1005" s="264">
        <v>45565</v>
      </c>
      <c r="AF1005" s="71" t="s">
        <v>65</v>
      </c>
      <c r="AG1005" s="265">
        <v>2026</v>
      </c>
      <c r="AH1005" s="261">
        <f t="shared" si="28"/>
        <v>88849.958015000011</v>
      </c>
      <c r="AI1005" s="261"/>
      <c r="AJ1005" s="261"/>
      <c r="AK1005" s="260" t="s">
        <v>43</v>
      </c>
      <c r="AL1005" s="259" t="s">
        <v>41</v>
      </c>
      <c r="AM1005" s="266">
        <v>0</v>
      </c>
      <c r="AN1005" s="67"/>
      <c r="AO1005" s="256"/>
      <c r="AP1005" s="257"/>
    </row>
    <row r="1006" spans="1:42" s="258" customFormat="1" ht="37.950000000000003" customHeight="1" x14ac:dyDescent="0.3">
      <c r="A1006" s="259" t="s">
        <v>1641</v>
      </c>
      <c r="B1006" s="243" t="s">
        <v>1642</v>
      </c>
      <c r="C1006" s="244" t="s">
        <v>2166</v>
      </c>
      <c r="D1006" s="243" t="s">
        <v>34</v>
      </c>
      <c r="E1006" s="243" t="s">
        <v>1644</v>
      </c>
      <c r="F1006" s="260" t="s">
        <v>35</v>
      </c>
      <c r="G1006" s="260">
        <v>1</v>
      </c>
      <c r="H1006" s="245">
        <v>778720</v>
      </c>
      <c r="I1006" s="243" t="s">
        <v>36</v>
      </c>
      <c r="J1006" s="245">
        <f t="shared" si="27"/>
        <v>778720</v>
      </c>
      <c r="K1006" s="1695">
        <v>0</v>
      </c>
      <c r="L1006" s="1695">
        <v>0</v>
      </c>
      <c r="M1006" s="246" t="s">
        <v>55</v>
      </c>
      <c r="N1006" s="261" t="s">
        <v>2167</v>
      </c>
      <c r="O1006" s="261" t="s">
        <v>2168</v>
      </c>
      <c r="P1006" s="71" t="s">
        <v>41</v>
      </c>
      <c r="Q1006" s="262">
        <v>45059</v>
      </c>
      <c r="R1006" s="71" t="s">
        <v>41</v>
      </c>
      <c r="S1006" s="262">
        <v>45059</v>
      </c>
      <c r="T1006" s="263"/>
      <c r="U1006" s="262"/>
      <c r="V1006" s="263" t="s">
        <v>41</v>
      </c>
      <c r="W1006" s="262">
        <f t="shared" si="30"/>
        <v>45182</v>
      </c>
      <c r="X1006" s="263" t="s">
        <v>41</v>
      </c>
      <c r="Y1006" s="262">
        <v>45291</v>
      </c>
      <c r="Z1006" s="263" t="s">
        <v>40</v>
      </c>
      <c r="AA1006" s="262"/>
      <c r="AB1006" s="263" t="s">
        <v>40</v>
      </c>
      <c r="AC1006" s="262"/>
      <c r="AD1006" s="264"/>
      <c r="AE1006" s="264">
        <v>45565</v>
      </c>
      <c r="AF1006" s="71" t="s">
        <v>65</v>
      </c>
      <c r="AG1006" s="265">
        <v>2026</v>
      </c>
      <c r="AH1006" s="261">
        <f t="shared" si="28"/>
        <v>0</v>
      </c>
      <c r="AI1006" s="261"/>
      <c r="AJ1006" s="261"/>
      <c r="AK1006" s="260" t="s">
        <v>43</v>
      </c>
      <c r="AL1006" s="259" t="s">
        <v>41</v>
      </c>
      <c r="AM1006" s="266">
        <v>0</v>
      </c>
      <c r="AN1006" s="67"/>
      <c r="AO1006" s="256"/>
      <c r="AP1006" s="257"/>
    </row>
    <row r="1007" spans="1:42" s="258" customFormat="1" ht="37.950000000000003" customHeight="1" x14ac:dyDescent="0.3">
      <c r="A1007" s="259" t="s">
        <v>1641</v>
      </c>
      <c r="B1007" s="243" t="s">
        <v>1642</v>
      </c>
      <c r="C1007" s="244" t="s">
        <v>2169</v>
      </c>
      <c r="D1007" s="243" t="s">
        <v>34</v>
      </c>
      <c r="E1007" s="243" t="s">
        <v>1644</v>
      </c>
      <c r="F1007" s="260" t="s">
        <v>35</v>
      </c>
      <c r="G1007" s="260">
        <v>1</v>
      </c>
      <c r="H1007" s="245">
        <v>778700.07</v>
      </c>
      <c r="I1007" s="243" t="s">
        <v>36</v>
      </c>
      <c r="J1007" s="245">
        <f t="shared" si="27"/>
        <v>778700.07</v>
      </c>
      <c r="K1007" s="1695">
        <v>18650.259999999998</v>
      </c>
      <c r="L1007" s="1695">
        <v>18650.259999999998</v>
      </c>
      <c r="M1007" s="246" t="s">
        <v>63</v>
      </c>
      <c r="N1007" s="261" t="s">
        <v>2170</v>
      </c>
      <c r="O1007" s="261" t="s">
        <v>2171</v>
      </c>
      <c r="P1007" s="71" t="s">
        <v>41</v>
      </c>
      <c r="Q1007" s="262">
        <v>45061</v>
      </c>
      <c r="R1007" s="71" t="s">
        <v>41</v>
      </c>
      <c r="S1007" s="262">
        <v>45061</v>
      </c>
      <c r="T1007" s="263"/>
      <c r="U1007" s="262"/>
      <c r="V1007" s="263" t="s">
        <v>41</v>
      </c>
      <c r="W1007" s="262">
        <f t="shared" si="30"/>
        <v>45184</v>
      </c>
      <c r="X1007" s="263" t="s">
        <v>41</v>
      </c>
      <c r="Y1007" s="262">
        <v>45291</v>
      </c>
      <c r="Z1007" s="263" t="s">
        <v>40</v>
      </c>
      <c r="AA1007" s="262"/>
      <c r="AB1007" s="263" t="s">
        <v>40</v>
      </c>
      <c r="AC1007" s="262"/>
      <c r="AD1007" s="264"/>
      <c r="AE1007" s="264">
        <v>45565</v>
      </c>
      <c r="AF1007" s="71" t="s">
        <v>65</v>
      </c>
      <c r="AG1007" s="265">
        <v>2026</v>
      </c>
      <c r="AH1007" s="261">
        <f t="shared" si="28"/>
        <v>91749.954069999992</v>
      </c>
      <c r="AI1007" s="261"/>
      <c r="AJ1007" s="261"/>
      <c r="AK1007" s="260" t="s">
        <v>43</v>
      </c>
      <c r="AL1007" s="259" t="s">
        <v>41</v>
      </c>
      <c r="AM1007" s="266">
        <v>0</v>
      </c>
      <c r="AN1007" s="67"/>
      <c r="AO1007" s="256"/>
      <c r="AP1007" s="257"/>
    </row>
    <row r="1008" spans="1:42" s="258" customFormat="1" ht="37.950000000000003" customHeight="1" x14ac:dyDescent="0.3">
      <c r="A1008" s="259" t="s">
        <v>1641</v>
      </c>
      <c r="B1008" s="243" t="s">
        <v>1642</v>
      </c>
      <c r="C1008" s="244" t="s">
        <v>2172</v>
      </c>
      <c r="D1008" s="243" t="s">
        <v>34</v>
      </c>
      <c r="E1008" s="243" t="s">
        <v>1644</v>
      </c>
      <c r="F1008" s="259" t="s">
        <v>35</v>
      </c>
      <c r="G1008" s="259">
        <v>1</v>
      </c>
      <c r="H1008" s="245">
        <v>769947</v>
      </c>
      <c r="I1008" s="243" t="s">
        <v>36</v>
      </c>
      <c r="J1008" s="245">
        <f t="shared" si="27"/>
        <v>769947</v>
      </c>
      <c r="K1008" s="1695">
        <v>18443.61</v>
      </c>
      <c r="L1008" s="1695">
        <v>18443.61</v>
      </c>
      <c r="M1008" s="246" t="s">
        <v>316</v>
      </c>
      <c r="N1008" s="261" t="s">
        <v>2173</v>
      </c>
      <c r="O1008" s="261" t="s">
        <v>2174</v>
      </c>
      <c r="P1008" s="263" t="s">
        <v>41</v>
      </c>
      <c r="Q1008" s="263"/>
      <c r="R1008" s="263" t="s">
        <v>41</v>
      </c>
      <c r="S1008" s="263"/>
      <c r="T1008" s="263"/>
      <c r="U1008" s="263"/>
      <c r="V1008" s="263" t="s">
        <v>41</v>
      </c>
      <c r="W1008" s="263"/>
      <c r="X1008" s="263" t="s">
        <v>41</v>
      </c>
      <c r="Y1008" s="263"/>
      <c r="Z1008" s="263" t="s">
        <v>40</v>
      </c>
      <c r="AA1008" s="263"/>
      <c r="AB1008" s="263" t="s">
        <v>40</v>
      </c>
      <c r="AC1008" s="263"/>
      <c r="AD1008" s="263"/>
      <c r="AE1008" s="262">
        <v>45565</v>
      </c>
      <c r="AF1008" s="263" t="s">
        <v>65</v>
      </c>
      <c r="AG1008" s="270">
        <v>2026</v>
      </c>
      <c r="AH1008" s="261">
        <f t="shared" si="28"/>
        <v>90733.339395000003</v>
      </c>
      <c r="AI1008" s="259"/>
      <c r="AJ1008" s="259"/>
      <c r="AK1008" s="259" t="s">
        <v>43</v>
      </c>
      <c r="AL1008" s="259" t="s">
        <v>41</v>
      </c>
      <c r="AM1008" s="266">
        <v>0</v>
      </c>
      <c r="AN1008" s="256"/>
      <c r="AO1008" s="256"/>
      <c r="AP1008" s="257"/>
    </row>
    <row r="1009" spans="1:42" s="258" customFormat="1" ht="37.950000000000003" customHeight="1" x14ac:dyDescent="0.3">
      <c r="A1009" s="259" t="s">
        <v>1641</v>
      </c>
      <c r="B1009" s="243" t="s">
        <v>1642</v>
      </c>
      <c r="C1009" s="244" t="s">
        <v>2175</v>
      </c>
      <c r="D1009" s="243" t="s">
        <v>34</v>
      </c>
      <c r="E1009" s="243" t="s">
        <v>1644</v>
      </c>
      <c r="F1009" s="260" t="s">
        <v>35</v>
      </c>
      <c r="G1009" s="260">
        <v>1</v>
      </c>
      <c r="H1009" s="245">
        <v>778720</v>
      </c>
      <c r="I1009" s="243" t="s">
        <v>36</v>
      </c>
      <c r="J1009" s="245">
        <f t="shared" si="27"/>
        <v>778720</v>
      </c>
      <c r="K1009" s="1435">
        <f>6968.6+21140.35</f>
        <v>28108.949999999997</v>
      </c>
      <c r="L1009" s="1435">
        <f>6968.6+21140.35</f>
        <v>28108.949999999997</v>
      </c>
      <c r="M1009" s="246" t="s">
        <v>183</v>
      </c>
      <c r="N1009" s="261" t="s">
        <v>2176</v>
      </c>
      <c r="O1009" s="261" t="s">
        <v>2177</v>
      </c>
      <c r="P1009" s="71" t="s">
        <v>41</v>
      </c>
      <c r="Q1009" s="262">
        <v>45074</v>
      </c>
      <c r="R1009" s="71" t="s">
        <v>41</v>
      </c>
      <c r="S1009" s="262">
        <v>45074</v>
      </c>
      <c r="T1009" s="263"/>
      <c r="U1009" s="262"/>
      <c r="V1009" s="263" t="s">
        <v>41</v>
      </c>
      <c r="W1009" s="262">
        <f t="shared" ref="W1009:W1038" si="31">EDATE(Q1009,4)</f>
        <v>45197</v>
      </c>
      <c r="X1009" s="263" t="s">
        <v>41</v>
      </c>
      <c r="Y1009" s="262">
        <v>45291</v>
      </c>
      <c r="Z1009" s="263" t="s">
        <v>40</v>
      </c>
      <c r="AA1009" s="262"/>
      <c r="AB1009" s="263" t="s">
        <v>40</v>
      </c>
      <c r="AC1009" s="262"/>
      <c r="AD1009" s="264"/>
      <c r="AE1009" s="264">
        <v>45565</v>
      </c>
      <c r="AF1009" s="71" t="s">
        <v>65</v>
      </c>
      <c r="AG1009" s="265">
        <v>2026</v>
      </c>
      <c r="AH1009" s="261">
        <f t="shared" si="28"/>
        <v>138281.979525</v>
      </c>
      <c r="AI1009" s="261"/>
      <c r="AJ1009" s="261"/>
      <c r="AK1009" s="260" t="s">
        <v>43</v>
      </c>
      <c r="AL1009" s="259" t="s">
        <v>41</v>
      </c>
      <c r="AM1009" s="266">
        <v>0</v>
      </c>
      <c r="AN1009" s="67"/>
      <c r="AO1009" s="256"/>
      <c r="AP1009" s="257"/>
    </row>
    <row r="1010" spans="1:42" s="258" customFormat="1" ht="37.950000000000003" customHeight="1" x14ac:dyDescent="0.3">
      <c r="A1010" s="259" t="s">
        <v>1641</v>
      </c>
      <c r="B1010" s="243" t="s">
        <v>1642</v>
      </c>
      <c r="C1010" s="244" t="s">
        <v>2178</v>
      </c>
      <c r="D1010" s="243" t="s">
        <v>34</v>
      </c>
      <c r="E1010" s="243" t="s">
        <v>1644</v>
      </c>
      <c r="F1010" s="260" t="s">
        <v>35</v>
      </c>
      <c r="G1010" s="260">
        <v>1</v>
      </c>
      <c r="H1010" s="245">
        <v>778720</v>
      </c>
      <c r="I1010" s="243" t="s">
        <v>36</v>
      </c>
      <c r="J1010" s="245">
        <f t="shared" si="27"/>
        <v>778720</v>
      </c>
      <c r="K1010" s="1695">
        <f>4065.45+17101.94</f>
        <v>21167.39</v>
      </c>
      <c r="L1010" s="1695">
        <f>K1010</f>
        <v>21167.39</v>
      </c>
      <c r="M1010" s="246" t="s">
        <v>63</v>
      </c>
      <c r="N1010" s="261" t="s">
        <v>2179</v>
      </c>
      <c r="O1010" s="261" t="s">
        <v>2180</v>
      </c>
      <c r="P1010" s="71" t="s">
        <v>41</v>
      </c>
      <c r="Q1010" s="262">
        <v>45073</v>
      </c>
      <c r="R1010" s="71" t="s">
        <v>41</v>
      </c>
      <c r="S1010" s="262">
        <v>45073</v>
      </c>
      <c r="T1010" s="263"/>
      <c r="U1010" s="262"/>
      <c r="V1010" s="263" t="s">
        <v>41</v>
      </c>
      <c r="W1010" s="262">
        <f t="shared" si="31"/>
        <v>45196</v>
      </c>
      <c r="X1010" s="263" t="s">
        <v>41</v>
      </c>
      <c r="Y1010" s="262">
        <v>45291</v>
      </c>
      <c r="Z1010" s="263" t="s">
        <v>40</v>
      </c>
      <c r="AA1010" s="262"/>
      <c r="AB1010" s="263" t="s">
        <v>40</v>
      </c>
      <c r="AC1010" s="262"/>
      <c r="AD1010" s="264"/>
      <c r="AE1010" s="264">
        <v>45565</v>
      </c>
      <c r="AF1010" s="71" t="s">
        <v>65</v>
      </c>
      <c r="AG1010" s="265">
        <v>2026</v>
      </c>
      <c r="AH1010" s="261">
        <f t="shared" si="28"/>
        <v>104132.975105</v>
      </c>
      <c r="AI1010" s="261"/>
      <c r="AJ1010" s="261"/>
      <c r="AK1010" s="260" t="s">
        <v>43</v>
      </c>
      <c r="AL1010" s="259" t="s">
        <v>41</v>
      </c>
      <c r="AM1010" s="266">
        <v>0</v>
      </c>
      <c r="AN1010" s="67"/>
      <c r="AO1010" s="256"/>
      <c r="AP1010" s="257"/>
    </row>
    <row r="1011" spans="1:42" s="258" customFormat="1" ht="37.950000000000003" customHeight="1" x14ac:dyDescent="0.3">
      <c r="A1011" s="259" t="s">
        <v>1641</v>
      </c>
      <c r="B1011" s="243" t="s">
        <v>1642</v>
      </c>
      <c r="C1011" s="244" t="s">
        <v>2181</v>
      </c>
      <c r="D1011" s="243" t="s">
        <v>34</v>
      </c>
      <c r="E1011" s="243" t="s">
        <v>1644</v>
      </c>
      <c r="F1011" s="260" t="s">
        <v>35</v>
      </c>
      <c r="G1011" s="260">
        <v>1</v>
      </c>
      <c r="H1011" s="245">
        <v>778720</v>
      </c>
      <c r="I1011" s="243" t="s">
        <v>36</v>
      </c>
      <c r="J1011" s="245">
        <f t="shared" si="27"/>
        <v>778720</v>
      </c>
      <c r="K1011" s="1435">
        <f>11789.816+16871.63</f>
        <v>28661.446000000004</v>
      </c>
      <c r="L1011" s="1435">
        <f>11789.816+16871.63</f>
        <v>28661.446000000004</v>
      </c>
      <c r="M1011" s="246" t="s">
        <v>63</v>
      </c>
      <c r="N1011" s="261" t="s">
        <v>2182</v>
      </c>
      <c r="O1011" s="261" t="s">
        <v>2183</v>
      </c>
      <c r="P1011" s="71" t="s">
        <v>41</v>
      </c>
      <c r="Q1011" s="262">
        <v>45073</v>
      </c>
      <c r="R1011" s="71" t="s">
        <v>41</v>
      </c>
      <c r="S1011" s="262">
        <v>45073</v>
      </c>
      <c r="T1011" s="263"/>
      <c r="U1011" s="262"/>
      <c r="V1011" s="263" t="s">
        <v>41</v>
      </c>
      <c r="W1011" s="262">
        <f t="shared" si="31"/>
        <v>45196</v>
      </c>
      <c r="X1011" s="263" t="s">
        <v>41</v>
      </c>
      <c r="Y1011" s="262">
        <v>45291</v>
      </c>
      <c r="Z1011" s="263" t="s">
        <v>40</v>
      </c>
      <c r="AA1011" s="262"/>
      <c r="AB1011" s="263" t="s">
        <v>40</v>
      </c>
      <c r="AC1011" s="262"/>
      <c r="AD1011" s="264"/>
      <c r="AE1011" s="264">
        <v>45565</v>
      </c>
      <c r="AF1011" s="71" t="s">
        <v>65</v>
      </c>
      <c r="AG1011" s="265">
        <v>2026</v>
      </c>
      <c r="AH1011" s="261">
        <f t="shared" si="28"/>
        <v>140999.98359700001</v>
      </c>
      <c r="AI1011" s="261"/>
      <c r="AJ1011" s="261"/>
      <c r="AK1011" s="260" t="s">
        <v>43</v>
      </c>
      <c r="AL1011" s="259" t="s">
        <v>41</v>
      </c>
      <c r="AM1011" s="266">
        <v>0</v>
      </c>
      <c r="AN1011" s="67"/>
      <c r="AO1011" s="256"/>
      <c r="AP1011" s="257"/>
    </row>
    <row r="1012" spans="1:42" s="258" customFormat="1" ht="37.950000000000003" customHeight="1" x14ac:dyDescent="0.3">
      <c r="A1012" s="259" t="s">
        <v>1641</v>
      </c>
      <c r="B1012" s="243" t="s">
        <v>1642</v>
      </c>
      <c r="C1012" s="244" t="s">
        <v>2184</v>
      </c>
      <c r="D1012" s="243" t="s">
        <v>34</v>
      </c>
      <c r="E1012" s="243" t="s">
        <v>1644</v>
      </c>
      <c r="F1012" s="260" t="s">
        <v>35</v>
      </c>
      <c r="G1012" s="260">
        <v>1</v>
      </c>
      <c r="H1012" s="245">
        <v>778720</v>
      </c>
      <c r="I1012" s="243" t="s">
        <v>36</v>
      </c>
      <c r="J1012" s="245">
        <f t="shared" si="27"/>
        <v>778720</v>
      </c>
      <c r="K1012" s="1435">
        <f>4065.45+2710.3+10457.57+23786.29+1472.96</f>
        <v>42492.57</v>
      </c>
      <c r="L1012" s="1435">
        <f>K1012</f>
        <v>42492.57</v>
      </c>
      <c r="M1012" s="246" t="s">
        <v>351</v>
      </c>
      <c r="N1012" s="261" t="s">
        <v>2185</v>
      </c>
      <c r="O1012" s="261" t="s">
        <v>2186</v>
      </c>
      <c r="P1012" s="71" t="s">
        <v>41</v>
      </c>
      <c r="Q1012" s="262">
        <v>45073</v>
      </c>
      <c r="R1012" s="71" t="s">
        <v>41</v>
      </c>
      <c r="S1012" s="262">
        <v>45073</v>
      </c>
      <c r="T1012" s="263"/>
      <c r="U1012" s="262"/>
      <c r="V1012" s="263" t="s">
        <v>41</v>
      </c>
      <c r="W1012" s="262">
        <f t="shared" si="31"/>
        <v>45196</v>
      </c>
      <c r="X1012" s="263" t="s">
        <v>41</v>
      </c>
      <c r="Y1012" s="262">
        <v>45291</v>
      </c>
      <c r="Z1012" s="263" t="s">
        <v>40</v>
      </c>
      <c r="AA1012" s="262"/>
      <c r="AB1012" s="263" t="s">
        <v>40</v>
      </c>
      <c r="AC1012" s="262"/>
      <c r="AD1012" s="264"/>
      <c r="AE1012" s="264">
        <v>45565</v>
      </c>
      <c r="AF1012" s="71" t="s">
        <v>65</v>
      </c>
      <c r="AG1012" s="265">
        <v>2026</v>
      </c>
      <c r="AH1012" s="261">
        <f t="shared" si="28"/>
        <v>209042.19811500001</v>
      </c>
      <c r="AI1012" s="261"/>
      <c r="AJ1012" s="261"/>
      <c r="AK1012" s="260" t="s">
        <v>43</v>
      </c>
      <c r="AL1012" s="259" t="s">
        <v>41</v>
      </c>
      <c r="AM1012" s="266">
        <v>0</v>
      </c>
      <c r="AN1012" s="67"/>
      <c r="AO1012" s="256"/>
      <c r="AP1012" s="257"/>
    </row>
    <row r="1013" spans="1:42" s="258" customFormat="1" ht="37.950000000000003" customHeight="1" x14ac:dyDescent="0.3">
      <c r="A1013" s="259" t="s">
        <v>1641</v>
      </c>
      <c r="B1013" s="243" t="s">
        <v>1642</v>
      </c>
      <c r="C1013" s="244" t="s">
        <v>2187</v>
      </c>
      <c r="D1013" s="243" t="s">
        <v>34</v>
      </c>
      <c r="E1013" s="243" t="s">
        <v>1644</v>
      </c>
      <c r="F1013" s="260" t="s">
        <v>35</v>
      </c>
      <c r="G1013" s="260">
        <v>1</v>
      </c>
      <c r="H1013" s="245">
        <v>778720</v>
      </c>
      <c r="I1013" s="243" t="s">
        <v>36</v>
      </c>
      <c r="J1013" s="245">
        <f t="shared" si="27"/>
        <v>778720</v>
      </c>
      <c r="K1013" s="1695">
        <f>10885.25</f>
        <v>10885.25</v>
      </c>
      <c r="L1013" s="1695">
        <f>10885.25</f>
        <v>10885.25</v>
      </c>
      <c r="M1013" s="246" t="s">
        <v>50</v>
      </c>
      <c r="N1013" s="261" t="s">
        <v>2188</v>
      </c>
      <c r="O1013" s="261" t="s">
        <v>2189</v>
      </c>
      <c r="P1013" s="71" t="s">
        <v>41</v>
      </c>
      <c r="Q1013" s="262">
        <v>45074</v>
      </c>
      <c r="R1013" s="71" t="s">
        <v>41</v>
      </c>
      <c r="S1013" s="262">
        <v>45074</v>
      </c>
      <c r="T1013" s="263"/>
      <c r="U1013" s="262"/>
      <c r="V1013" s="263" t="s">
        <v>41</v>
      </c>
      <c r="W1013" s="262">
        <f t="shared" si="31"/>
        <v>45197</v>
      </c>
      <c r="X1013" s="263" t="s">
        <v>41</v>
      </c>
      <c r="Y1013" s="262">
        <v>45291</v>
      </c>
      <c r="Z1013" s="263" t="s">
        <v>40</v>
      </c>
      <c r="AA1013" s="262"/>
      <c r="AB1013" s="263" t="s">
        <v>40</v>
      </c>
      <c r="AC1013" s="262"/>
      <c r="AD1013" s="264"/>
      <c r="AE1013" s="264">
        <v>45565</v>
      </c>
      <c r="AF1013" s="71" t="s">
        <v>65</v>
      </c>
      <c r="AG1013" s="265">
        <v>2026</v>
      </c>
      <c r="AH1013" s="261">
        <f t="shared" si="28"/>
        <v>53549.987375000004</v>
      </c>
      <c r="AI1013" s="261"/>
      <c r="AJ1013" s="261"/>
      <c r="AK1013" s="260" t="s">
        <v>43</v>
      </c>
      <c r="AL1013" s="259" t="s">
        <v>41</v>
      </c>
      <c r="AM1013" s="266">
        <v>0</v>
      </c>
      <c r="AN1013" s="67"/>
      <c r="AO1013" s="256"/>
      <c r="AP1013" s="257"/>
    </row>
    <row r="1014" spans="1:42" s="258" customFormat="1" ht="37.950000000000003" customHeight="1" x14ac:dyDescent="0.3">
      <c r="A1014" s="259" t="s">
        <v>1641</v>
      </c>
      <c r="B1014" s="243" t="s">
        <v>1642</v>
      </c>
      <c r="C1014" s="244" t="s">
        <v>2190</v>
      </c>
      <c r="D1014" s="243" t="s">
        <v>34</v>
      </c>
      <c r="E1014" s="243" t="s">
        <v>1644</v>
      </c>
      <c r="F1014" s="260" t="s">
        <v>35</v>
      </c>
      <c r="G1014" s="260">
        <v>1</v>
      </c>
      <c r="H1014" s="245">
        <v>778720</v>
      </c>
      <c r="I1014" s="243" t="s">
        <v>36</v>
      </c>
      <c r="J1014" s="245">
        <f t="shared" si="27"/>
        <v>778720</v>
      </c>
      <c r="K1014" s="1695">
        <v>0</v>
      </c>
      <c r="L1014" s="1695">
        <v>0</v>
      </c>
      <c r="M1014" s="246" t="s">
        <v>868</v>
      </c>
      <c r="N1014" s="261" t="s">
        <v>2191</v>
      </c>
      <c r="O1014" s="261" t="s">
        <v>2192</v>
      </c>
      <c r="P1014" s="71" t="s">
        <v>41</v>
      </c>
      <c r="Q1014" s="262">
        <v>45074</v>
      </c>
      <c r="R1014" s="71" t="s">
        <v>41</v>
      </c>
      <c r="S1014" s="262">
        <v>45074</v>
      </c>
      <c r="T1014" s="263"/>
      <c r="U1014" s="262"/>
      <c r="V1014" s="263" t="s">
        <v>41</v>
      </c>
      <c r="W1014" s="262">
        <f t="shared" si="31"/>
        <v>45197</v>
      </c>
      <c r="X1014" s="263" t="s">
        <v>41</v>
      </c>
      <c r="Y1014" s="262">
        <v>45291</v>
      </c>
      <c r="Z1014" s="263" t="s">
        <v>40</v>
      </c>
      <c r="AA1014" s="262"/>
      <c r="AB1014" s="263" t="s">
        <v>40</v>
      </c>
      <c r="AC1014" s="262"/>
      <c r="AD1014" s="264"/>
      <c r="AE1014" s="264">
        <v>45565</v>
      </c>
      <c r="AF1014" s="71" t="s">
        <v>65</v>
      </c>
      <c r="AG1014" s="265">
        <v>2026</v>
      </c>
      <c r="AH1014" s="261">
        <f t="shared" si="28"/>
        <v>0</v>
      </c>
      <c r="AI1014" s="261"/>
      <c r="AJ1014" s="261"/>
      <c r="AK1014" s="260" t="s">
        <v>43</v>
      </c>
      <c r="AL1014" s="259" t="s">
        <v>41</v>
      </c>
      <c r="AM1014" s="266">
        <v>0</v>
      </c>
      <c r="AN1014" s="67"/>
      <c r="AO1014" s="256"/>
      <c r="AP1014" s="257"/>
    </row>
    <row r="1015" spans="1:42" s="258" customFormat="1" ht="37.950000000000003" customHeight="1" x14ac:dyDescent="0.3">
      <c r="A1015" s="259" t="s">
        <v>1641</v>
      </c>
      <c r="B1015" s="243" t="s">
        <v>1642</v>
      </c>
      <c r="C1015" s="244" t="s">
        <v>2193</v>
      </c>
      <c r="D1015" s="243" t="s">
        <v>34</v>
      </c>
      <c r="E1015" s="243" t="s">
        <v>1644</v>
      </c>
      <c r="F1015" s="260" t="s">
        <v>35</v>
      </c>
      <c r="G1015" s="260">
        <v>1</v>
      </c>
      <c r="H1015" s="245">
        <v>776045.77</v>
      </c>
      <c r="I1015" s="243" t="s">
        <v>36</v>
      </c>
      <c r="J1015" s="245">
        <f t="shared" si="27"/>
        <v>776045.77</v>
      </c>
      <c r="K1015" s="1695">
        <v>0</v>
      </c>
      <c r="L1015" s="1695">
        <v>0</v>
      </c>
      <c r="M1015" s="246" t="s">
        <v>868</v>
      </c>
      <c r="N1015" s="261" t="s">
        <v>2194</v>
      </c>
      <c r="O1015" s="261" t="s">
        <v>2195</v>
      </c>
      <c r="P1015" s="71" t="s">
        <v>41</v>
      </c>
      <c r="Q1015" s="262">
        <v>45073</v>
      </c>
      <c r="R1015" s="71" t="s">
        <v>41</v>
      </c>
      <c r="S1015" s="262">
        <v>45073</v>
      </c>
      <c r="T1015" s="263"/>
      <c r="U1015" s="262"/>
      <c r="V1015" s="263" t="s">
        <v>41</v>
      </c>
      <c r="W1015" s="262">
        <f t="shared" si="31"/>
        <v>45196</v>
      </c>
      <c r="X1015" s="263" t="s">
        <v>41</v>
      </c>
      <c r="Y1015" s="262">
        <v>45291</v>
      </c>
      <c r="Z1015" s="263" t="s">
        <v>40</v>
      </c>
      <c r="AA1015" s="262"/>
      <c r="AB1015" s="263" t="s">
        <v>40</v>
      </c>
      <c r="AC1015" s="262"/>
      <c r="AD1015" s="264"/>
      <c r="AE1015" s="264">
        <v>45565</v>
      </c>
      <c r="AF1015" s="71" t="s">
        <v>65</v>
      </c>
      <c r="AG1015" s="265">
        <v>2026</v>
      </c>
      <c r="AH1015" s="261">
        <f t="shared" si="28"/>
        <v>0</v>
      </c>
      <c r="AI1015" s="261"/>
      <c r="AJ1015" s="261"/>
      <c r="AK1015" s="260" t="s">
        <v>43</v>
      </c>
      <c r="AL1015" s="259" t="s">
        <v>41</v>
      </c>
      <c r="AM1015" s="266">
        <v>0</v>
      </c>
      <c r="AN1015" s="67"/>
      <c r="AO1015" s="256"/>
      <c r="AP1015" s="257"/>
    </row>
    <row r="1016" spans="1:42" s="258" customFormat="1" ht="37.950000000000003" customHeight="1" x14ac:dyDescent="0.3">
      <c r="A1016" s="259" t="s">
        <v>1641</v>
      </c>
      <c r="B1016" s="243" t="s">
        <v>1642</v>
      </c>
      <c r="C1016" s="244" t="s">
        <v>2196</v>
      </c>
      <c r="D1016" s="243" t="s">
        <v>34</v>
      </c>
      <c r="E1016" s="243" t="s">
        <v>1644</v>
      </c>
      <c r="F1016" s="260" t="s">
        <v>35</v>
      </c>
      <c r="G1016" s="260">
        <v>1</v>
      </c>
      <c r="H1016" s="245">
        <v>778720</v>
      </c>
      <c r="I1016" s="243" t="s">
        <v>36</v>
      </c>
      <c r="J1016" s="245">
        <f t="shared" si="27"/>
        <v>778720</v>
      </c>
      <c r="K1016" s="1695">
        <v>0</v>
      </c>
      <c r="L1016" s="1695">
        <v>0</v>
      </c>
      <c r="M1016" s="246" t="s">
        <v>1208</v>
      </c>
      <c r="N1016" s="261" t="s">
        <v>2197</v>
      </c>
      <c r="O1016" s="261" t="s">
        <v>2198</v>
      </c>
      <c r="P1016" s="71" t="s">
        <v>41</v>
      </c>
      <c r="Q1016" s="262">
        <v>45073</v>
      </c>
      <c r="R1016" s="71" t="s">
        <v>41</v>
      </c>
      <c r="S1016" s="262">
        <v>45073</v>
      </c>
      <c r="T1016" s="263"/>
      <c r="U1016" s="262"/>
      <c r="V1016" s="263" t="s">
        <v>41</v>
      </c>
      <c r="W1016" s="262">
        <f t="shared" si="31"/>
        <v>45196</v>
      </c>
      <c r="X1016" s="263" t="s">
        <v>41</v>
      </c>
      <c r="Y1016" s="262">
        <v>45291</v>
      </c>
      <c r="Z1016" s="263" t="s">
        <v>40</v>
      </c>
      <c r="AA1016" s="262"/>
      <c r="AB1016" s="263" t="s">
        <v>40</v>
      </c>
      <c r="AC1016" s="262"/>
      <c r="AD1016" s="264"/>
      <c r="AE1016" s="264">
        <v>45565</v>
      </c>
      <c r="AF1016" s="71" t="s">
        <v>65</v>
      </c>
      <c r="AG1016" s="265">
        <v>2026</v>
      </c>
      <c r="AH1016" s="261">
        <f t="shared" si="28"/>
        <v>0</v>
      </c>
      <c r="AI1016" s="261"/>
      <c r="AJ1016" s="261"/>
      <c r="AK1016" s="260" t="s">
        <v>43</v>
      </c>
      <c r="AL1016" s="259" t="s">
        <v>41</v>
      </c>
      <c r="AM1016" s="266">
        <v>0</v>
      </c>
      <c r="AN1016" s="67"/>
      <c r="AO1016" s="256"/>
      <c r="AP1016" s="257"/>
    </row>
    <row r="1017" spans="1:42" s="258" customFormat="1" ht="37.950000000000003" customHeight="1" x14ac:dyDescent="0.3">
      <c r="A1017" s="259" t="s">
        <v>1641</v>
      </c>
      <c r="B1017" s="243" t="s">
        <v>1642</v>
      </c>
      <c r="C1017" s="244" t="s">
        <v>2199</v>
      </c>
      <c r="D1017" s="243" t="s">
        <v>34</v>
      </c>
      <c r="E1017" s="243" t="s">
        <v>1644</v>
      </c>
      <c r="F1017" s="260" t="s">
        <v>35</v>
      </c>
      <c r="G1017" s="260">
        <v>1</v>
      </c>
      <c r="H1017" s="245">
        <v>778720</v>
      </c>
      <c r="I1017" s="243" t="s">
        <v>36</v>
      </c>
      <c r="J1017" s="245">
        <f t="shared" si="27"/>
        <v>778720</v>
      </c>
      <c r="K1017" s="1695">
        <f>37493.65</f>
        <v>37493.65</v>
      </c>
      <c r="L1017" s="1695">
        <f>37493.65</f>
        <v>37493.65</v>
      </c>
      <c r="M1017" s="246" t="s">
        <v>303</v>
      </c>
      <c r="N1017" s="261" t="s">
        <v>2200</v>
      </c>
      <c r="O1017" s="261" t="s">
        <v>2201</v>
      </c>
      <c r="P1017" s="71" t="s">
        <v>41</v>
      </c>
      <c r="Q1017" s="262">
        <v>45074</v>
      </c>
      <c r="R1017" s="71" t="s">
        <v>41</v>
      </c>
      <c r="S1017" s="262">
        <v>45074</v>
      </c>
      <c r="T1017" s="263"/>
      <c r="U1017" s="262"/>
      <c r="V1017" s="263" t="s">
        <v>41</v>
      </c>
      <c r="W1017" s="262">
        <f t="shared" si="31"/>
        <v>45197</v>
      </c>
      <c r="X1017" s="263" t="s">
        <v>41</v>
      </c>
      <c r="Y1017" s="262">
        <v>45291</v>
      </c>
      <c r="Z1017" s="263" t="s">
        <v>40</v>
      </c>
      <c r="AA1017" s="262"/>
      <c r="AB1017" s="263" t="s">
        <v>40</v>
      </c>
      <c r="AC1017" s="262"/>
      <c r="AD1017" s="264"/>
      <c r="AE1017" s="264">
        <v>45565</v>
      </c>
      <c r="AF1017" s="71" t="s">
        <v>65</v>
      </c>
      <c r="AG1017" s="265">
        <v>2026</v>
      </c>
      <c r="AH1017" s="261">
        <f t="shared" si="28"/>
        <v>184450.01117500002</v>
      </c>
      <c r="AI1017" s="261"/>
      <c r="AJ1017" s="261"/>
      <c r="AK1017" s="260" t="s">
        <v>43</v>
      </c>
      <c r="AL1017" s="259" t="s">
        <v>41</v>
      </c>
      <c r="AM1017" s="266">
        <v>0</v>
      </c>
      <c r="AN1017" s="67"/>
      <c r="AO1017" s="256"/>
      <c r="AP1017" s="257"/>
    </row>
    <row r="1018" spans="1:42" s="258" customFormat="1" ht="37.950000000000003" customHeight="1" x14ac:dyDescent="0.3">
      <c r="A1018" s="259" t="s">
        <v>1641</v>
      </c>
      <c r="B1018" s="243" t="s">
        <v>1642</v>
      </c>
      <c r="C1018" s="244" t="s">
        <v>2202</v>
      </c>
      <c r="D1018" s="243" t="s">
        <v>34</v>
      </c>
      <c r="E1018" s="243" t="s">
        <v>1644</v>
      </c>
      <c r="F1018" s="260" t="s">
        <v>35</v>
      </c>
      <c r="G1018" s="260">
        <v>1</v>
      </c>
      <c r="H1018" s="245">
        <v>778720</v>
      </c>
      <c r="I1018" s="243" t="s">
        <v>36</v>
      </c>
      <c r="J1018" s="245">
        <f t="shared" si="27"/>
        <v>778720</v>
      </c>
      <c r="K1018" s="1695">
        <v>0</v>
      </c>
      <c r="L1018" s="1695">
        <v>0</v>
      </c>
      <c r="M1018" s="246" t="s">
        <v>303</v>
      </c>
      <c r="N1018" s="261" t="s">
        <v>2203</v>
      </c>
      <c r="O1018" s="261" t="s">
        <v>2204</v>
      </c>
      <c r="P1018" s="71" t="s">
        <v>41</v>
      </c>
      <c r="Q1018" s="262">
        <v>45073</v>
      </c>
      <c r="R1018" s="71" t="s">
        <v>41</v>
      </c>
      <c r="S1018" s="262">
        <v>45073</v>
      </c>
      <c r="T1018" s="263"/>
      <c r="U1018" s="262"/>
      <c r="V1018" s="263" t="s">
        <v>41</v>
      </c>
      <c r="W1018" s="262">
        <f t="shared" si="31"/>
        <v>45196</v>
      </c>
      <c r="X1018" s="263" t="s">
        <v>41</v>
      </c>
      <c r="Y1018" s="262">
        <v>45291</v>
      </c>
      <c r="Z1018" s="263" t="s">
        <v>40</v>
      </c>
      <c r="AA1018" s="262"/>
      <c r="AB1018" s="263" t="s">
        <v>40</v>
      </c>
      <c r="AC1018" s="262"/>
      <c r="AD1018" s="264"/>
      <c r="AE1018" s="264">
        <v>45565</v>
      </c>
      <c r="AF1018" s="71" t="s">
        <v>65</v>
      </c>
      <c r="AG1018" s="265">
        <v>2026</v>
      </c>
      <c r="AH1018" s="261">
        <f t="shared" si="28"/>
        <v>0</v>
      </c>
      <c r="AI1018" s="261"/>
      <c r="AJ1018" s="261"/>
      <c r="AK1018" s="260" t="s">
        <v>43</v>
      </c>
      <c r="AL1018" s="259" t="s">
        <v>41</v>
      </c>
      <c r="AM1018" s="266">
        <v>0</v>
      </c>
      <c r="AN1018" s="67"/>
      <c r="AO1018" s="256"/>
      <c r="AP1018" s="257"/>
    </row>
    <row r="1019" spans="1:42" s="269" customFormat="1" ht="37.950000000000003" customHeight="1" x14ac:dyDescent="0.3">
      <c r="A1019" s="259" t="s">
        <v>1641</v>
      </c>
      <c r="B1019" s="243" t="s">
        <v>1642</v>
      </c>
      <c r="C1019" s="244" t="s">
        <v>2205</v>
      </c>
      <c r="D1019" s="243" t="s">
        <v>34</v>
      </c>
      <c r="E1019" s="243" t="s">
        <v>1644</v>
      </c>
      <c r="F1019" s="260" t="s">
        <v>35</v>
      </c>
      <c r="G1019" s="260">
        <v>1</v>
      </c>
      <c r="H1019" s="245">
        <v>778720</v>
      </c>
      <c r="I1019" s="243" t="s">
        <v>36</v>
      </c>
      <c r="J1019" s="245">
        <f t="shared" si="27"/>
        <v>778720</v>
      </c>
      <c r="K1019" s="1695">
        <f>20327+23376.36</f>
        <v>43703.360000000001</v>
      </c>
      <c r="L1019" s="1695">
        <f>K1019</f>
        <v>43703.360000000001</v>
      </c>
      <c r="M1019" s="246" t="s">
        <v>67</v>
      </c>
      <c r="N1019" s="261" t="s">
        <v>2206</v>
      </c>
      <c r="O1019" s="261" t="s">
        <v>2207</v>
      </c>
      <c r="P1019" s="71" t="s">
        <v>41</v>
      </c>
      <c r="Q1019" s="262">
        <v>45073</v>
      </c>
      <c r="R1019" s="71" t="s">
        <v>41</v>
      </c>
      <c r="S1019" s="262">
        <v>45073</v>
      </c>
      <c r="T1019" s="263"/>
      <c r="U1019" s="262"/>
      <c r="V1019" s="263" t="s">
        <v>41</v>
      </c>
      <c r="W1019" s="262">
        <f t="shared" si="31"/>
        <v>45196</v>
      </c>
      <c r="X1019" s="263" t="s">
        <v>41</v>
      </c>
      <c r="Y1019" s="262">
        <v>45291</v>
      </c>
      <c r="Z1019" s="263" t="s">
        <v>40</v>
      </c>
      <c r="AA1019" s="262"/>
      <c r="AB1019" s="263" t="s">
        <v>40</v>
      </c>
      <c r="AC1019" s="262"/>
      <c r="AD1019" s="264"/>
      <c r="AE1019" s="264">
        <v>45565</v>
      </c>
      <c r="AF1019" s="71" t="s">
        <v>65</v>
      </c>
      <c r="AG1019" s="265">
        <v>2026</v>
      </c>
      <c r="AH1019" s="261">
        <f t="shared" si="28"/>
        <v>214998.67952000001</v>
      </c>
      <c r="AI1019" s="261"/>
      <c r="AJ1019" s="261"/>
      <c r="AK1019" s="260" t="s">
        <v>43</v>
      </c>
      <c r="AL1019" s="259" t="s">
        <v>41</v>
      </c>
      <c r="AM1019" s="266">
        <v>0</v>
      </c>
      <c r="AN1019" s="67"/>
      <c r="AO1019" s="267"/>
      <c r="AP1019" s="268"/>
    </row>
    <row r="1020" spans="1:42" s="258" customFormat="1" ht="37.950000000000003" customHeight="1" x14ac:dyDescent="0.3">
      <c r="A1020" s="259" t="s">
        <v>1641</v>
      </c>
      <c r="B1020" s="243" t="s">
        <v>1642</v>
      </c>
      <c r="C1020" s="244" t="s">
        <v>2208</v>
      </c>
      <c r="D1020" s="243" t="s">
        <v>34</v>
      </c>
      <c r="E1020" s="243" t="s">
        <v>1644</v>
      </c>
      <c r="F1020" s="260" t="s">
        <v>35</v>
      </c>
      <c r="G1020" s="260">
        <v>1</v>
      </c>
      <c r="H1020" s="245">
        <v>778720.2</v>
      </c>
      <c r="I1020" s="243" t="s">
        <v>36</v>
      </c>
      <c r="J1020" s="245">
        <f t="shared" si="27"/>
        <v>778720.2</v>
      </c>
      <c r="K1020" s="1435">
        <f>1219.64+9366.81+454.31</f>
        <v>11040.759999999998</v>
      </c>
      <c r="L1020" s="1435">
        <f>K1020</f>
        <v>11040.759999999998</v>
      </c>
      <c r="M1020" s="246" t="s">
        <v>55</v>
      </c>
      <c r="N1020" s="261" t="s">
        <v>2209</v>
      </c>
      <c r="O1020" s="261" t="s">
        <v>2210</v>
      </c>
      <c r="P1020" s="71" t="s">
        <v>41</v>
      </c>
      <c r="Q1020" s="262">
        <v>45073</v>
      </c>
      <c r="R1020" s="71" t="s">
        <v>41</v>
      </c>
      <c r="S1020" s="262">
        <v>45073</v>
      </c>
      <c r="T1020" s="263"/>
      <c r="U1020" s="262"/>
      <c r="V1020" s="263" t="s">
        <v>41</v>
      </c>
      <c r="W1020" s="262">
        <f t="shared" si="31"/>
        <v>45196</v>
      </c>
      <c r="X1020" s="263" t="s">
        <v>41</v>
      </c>
      <c r="Y1020" s="262">
        <v>45291</v>
      </c>
      <c r="Z1020" s="263" t="s">
        <v>40</v>
      </c>
      <c r="AA1020" s="262"/>
      <c r="AB1020" s="263" t="s">
        <v>40</v>
      </c>
      <c r="AC1020" s="262"/>
      <c r="AD1020" s="264"/>
      <c r="AE1020" s="264">
        <v>45565</v>
      </c>
      <c r="AF1020" s="71" t="s">
        <v>65</v>
      </c>
      <c r="AG1020" s="265">
        <v>2026</v>
      </c>
      <c r="AH1020" s="261">
        <f t="shared" si="28"/>
        <v>54315.018819999998</v>
      </c>
      <c r="AI1020" s="261"/>
      <c r="AJ1020" s="261"/>
      <c r="AK1020" s="260" t="s">
        <v>43</v>
      </c>
      <c r="AL1020" s="259" t="s">
        <v>41</v>
      </c>
      <c r="AM1020" s="266">
        <v>0</v>
      </c>
      <c r="AN1020" s="67"/>
      <c r="AO1020" s="256"/>
      <c r="AP1020" s="257"/>
    </row>
    <row r="1021" spans="1:42" s="258" customFormat="1" ht="37.950000000000003" customHeight="1" x14ac:dyDescent="0.3">
      <c r="A1021" s="259" t="s">
        <v>1641</v>
      </c>
      <c r="B1021" s="243" t="s">
        <v>1642</v>
      </c>
      <c r="C1021" s="244" t="s">
        <v>2211</v>
      </c>
      <c r="D1021" s="243" t="s">
        <v>34</v>
      </c>
      <c r="E1021" s="243" t="s">
        <v>1644</v>
      </c>
      <c r="F1021" s="260" t="s">
        <v>35</v>
      </c>
      <c r="G1021" s="260">
        <v>1</v>
      </c>
      <c r="H1021" s="245">
        <v>778720.2</v>
      </c>
      <c r="I1021" s="243" t="s">
        <v>36</v>
      </c>
      <c r="J1021" s="245">
        <f t="shared" si="27"/>
        <v>778720.2</v>
      </c>
      <c r="K1021" s="1435">
        <f>7785.34+17887.996+231022.44</f>
        <v>256695.77600000001</v>
      </c>
      <c r="L1021" s="1435">
        <f>K1021</f>
        <v>256695.77600000001</v>
      </c>
      <c r="M1021" s="246" t="s">
        <v>303</v>
      </c>
      <c r="N1021" s="261" t="s">
        <v>1216</v>
      </c>
      <c r="O1021" s="261" t="s">
        <v>2212</v>
      </c>
      <c r="P1021" s="71" t="s">
        <v>41</v>
      </c>
      <c r="Q1021" s="262">
        <v>45073</v>
      </c>
      <c r="R1021" s="71" t="s">
        <v>41</v>
      </c>
      <c r="S1021" s="262">
        <v>45073</v>
      </c>
      <c r="T1021" s="263"/>
      <c r="U1021" s="262"/>
      <c r="V1021" s="263" t="s">
        <v>41</v>
      </c>
      <c r="W1021" s="262">
        <f t="shared" si="31"/>
        <v>45196</v>
      </c>
      <c r="X1021" s="263" t="s">
        <v>41</v>
      </c>
      <c r="Y1021" s="262">
        <v>45291</v>
      </c>
      <c r="Z1021" s="263" t="s">
        <v>40</v>
      </c>
      <c r="AA1021" s="262"/>
      <c r="AB1021" s="263" t="s">
        <v>40</v>
      </c>
      <c r="AC1021" s="262"/>
      <c r="AD1021" s="264"/>
      <c r="AE1021" s="264">
        <v>45565</v>
      </c>
      <c r="AF1021" s="71" t="s">
        <v>65</v>
      </c>
      <c r="AG1021" s="265">
        <v>2026</v>
      </c>
      <c r="AH1021" s="261">
        <f t="shared" si="28"/>
        <v>1262814.8700320001</v>
      </c>
      <c r="AI1021" s="261"/>
      <c r="AJ1021" s="261"/>
      <c r="AK1021" s="260" t="s">
        <v>43</v>
      </c>
      <c r="AL1021" s="259" t="s">
        <v>41</v>
      </c>
      <c r="AM1021" s="266">
        <v>0</v>
      </c>
      <c r="AN1021" s="67"/>
      <c r="AO1021" s="256"/>
      <c r="AP1021" s="257"/>
    </row>
    <row r="1022" spans="1:42" s="258" customFormat="1" ht="37.950000000000003" customHeight="1" x14ac:dyDescent="0.3">
      <c r="A1022" s="259" t="s">
        <v>1641</v>
      </c>
      <c r="B1022" s="243" t="s">
        <v>1642</v>
      </c>
      <c r="C1022" s="244" t="s">
        <v>2213</v>
      </c>
      <c r="D1022" s="243" t="s">
        <v>34</v>
      </c>
      <c r="E1022" s="243" t="s">
        <v>1644</v>
      </c>
      <c r="F1022" s="260" t="s">
        <v>35</v>
      </c>
      <c r="G1022" s="260">
        <v>1</v>
      </c>
      <c r="H1022" s="245">
        <v>778720</v>
      </c>
      <c r="I1022" s="243" t="s">
        <v>36</v>
      </c>
      <c r="J1022" s="245">
        <f t="shared" si="27"/>
        <v>778720</v>
      </c>
      <c r="K1022" s="1695">
        <f>25409.09+15521.489</f>
        <v>40930.578999999998</v>
      </c>
      <c r="L1022" s="1695">
        <f>K1022</f>
        <v>40930.578999999998</v>
      </c>
      <c r="M1022" s="246" t="s">
        <v>66</v>
      </c>
      <c r="N1022" s="261" t="s">
        <v>2214</v>
      </c>
      <c r="O1022" s="261" t="s">
        <v>2215</v>
      </c>
      <c r="P1022" s="71" t="s">
        <v>41</v>
      </c>
      <c r="Q1022" s="262">
        <v>45073</v>
      </c>
      <c r="R1022" s="71" t="s">
        <v>41</v>
      </c>
      <c r="S1022" s="262">
        <v>45073</v>
      </c>
      <c r="T1022" s="263"/>
      <c r="U1022" s="262"/>
      <c r="V1022" s="263" t="s">
        <v>41</v>
      </c>
      <c r="W1022" s="262">
        <f t="shared" si="31"/>
        <v>45196</v>
      </c>
      <c r="X1022" s="263" t="s">
        <v>41</v>
      </c>
      <c r="Y1022" s="262">
        <v>45291</v>
      </c>
      <c r="Z1022" s="263" t="s">
        <v>40</v>
      </c>
      <c r="AA1022" s="262"/>
      <c r="AB1022" s="263" t="s">
        <v>40</v>
      </c>
      <c r="AC1022" s="262"/>
      <c r="AD1022" s="264"/>
      <c r="AE1022" s="264">
        <v>45565</v>
      </c>
      <c r="AF1022" s="71" t="s">
        <v>65</v>
      </c>
      <c r="AG1022" s="265">
        <v>2026</v>
      </c>
      <c r="AH1022" s="261">
        <f t="shared" si="28"/>
        <v>201357.98339050001</v>
      </c>
      <c r="AI1022" s="261"/>
      <c r="AJ1022" s="261"/>
      <c r="AK1022" s="260" t="s">
        <v>43</v>
      </c>
      <c r="AL1022" s="259" t="s">
        <v>41</v>
      </c>
      <c r="AM1022" s="266">
        <v>0</v>
      </c>
      <c r="AN1022" s="67"/>
      <c r="AO1022" s="256"/>
      <c r="AP1022" s="257"/>
    </row>
    <row r="1023" spans="1:42" s="258" customFormat="1" ht="37.950000000000003" customHeight="1" x14ac:dyDescent="0.3">
      <c r="A1023" s="259" t="s">
        <v>1641</v>
      </c>
      <c r="B1023" s="243" t="s">
        <v>1642</v>
      </c>
      <c r="C1023" s="244" t="s">
        <v>2216</v>
      </c>
      <c r="D1023" s="243" t="s">
        <v>34</v>
      </c>
      <c r="E1023" s="243" t="s">
        <v>1644</v>
      </c>
      <c r="F1023" s="260" t="s">
        <v>35</v>
      </c>
      <c r="G1023" s="260">
        <v>1</v>
      </c>
      <c r="H1023" s="245">
        <v>778720</v>
      </c>
      <c r="I1023" s="243" t="s">
        <v>36</v>
      </c>
      <c r="J1023" s="245">
        <f t="shared" si="27"/>
        <v>778720</v>
      </c>
      <c r="K1023" s="1435">
        <f>11383.27</f>
        <v>11383.27</v>
      </c>
      <c r="L1023" s="1435">
        <f>11383.27</f>
        <v>11383.27</v>
      </c>
      <c r="M1023" s="246" t="s">
        <v>73</v>
      </c>
      <c r="N1023" s="261" t="s">
        <v>2217</v>
      </c>
      <c r="O1023" s="261" t="s">
        <v>2218</v>
      </c>
      <c r="P1023" s="71" t="s">
        <v>41</v>
      </c>
      <c r="Q1023" s="262">
        <v>45073</v>
      </c>
      <c r="R1023" s="71" t="s">
        <v>41</v>
      </c>
      <c r="S1023" s="262">
        <v>45073</v>
      </c>
      <c r="T1023" s="263"/>
      <c r="U1023" s="262"/>
      <c r="V1023" s="263" t="s">
        <v>41</v>
      </c>
      <c r="W1023" s="262">
        <f t="shared" si="31"/>
        <v>45196</v>
      </c>
      <c r="X1023" s="263" t="s">
        <v>41</v>
      </c>
      <c r="Y1023" s="262">
        <v>45291</v>
      </c>
      <c r="Z1023" s="263" t="s">
        <v>40</v>
      </c>
      <c r="AA1023" s="262"/>
      <c r="AB1023" s="263" t="s">
        <v>40</v>
      </c>
      <c r="AC1023" s="262"/>
      <c r="AD1023" s="264"/>
      <c r="AE1023" s="264">
        <v>45565</v>
      </c>
      <c r="AF1023" s="71" t="s">
        <v>65</v>
      </c>
      <c r="AG1023" s="265">
        <v>2026</v>
      </c>
      <c r="AH1023" s="261">
        <f t="shared" si="28"/>
        <v>55999.996765000004</v>
      </c>
      <c r="AI1023" s="261"/>
      <c r="AJ1023" s="261"/>
      <c r="AK1023" s="260" t="s">
        <v>43</v>
      </c>
      <c r="AL1023" s="259" t="s">
        <v>41</v>
      </c>
      <c r="AM1023" s="266">
        <v>0</v>
      </c>
      <c r="AN1023" s="67"/>
      <c r="AO1023" s="256"/>
      <c r="AP1023" s="257"/>
    </row>
    <row r="1024" spans="1:42" s="258" customFormat="1" ht="37.950000000000003" customHeight="1" x14ac:dyDescent="0.3">
      <c r="A1024" s="259" t="s">
        <v>1641</v>
      </c>
      <c r="B1024" s="243" t="s">
        <v>1642</v>
      </c>
      <c r="C1024" s="244" t="s">
        <v>2219</v>
      </c>
      <c r="D1024" s="243" t="s">
        <v>34</v>
      </c>
      <c r="E1024" s="243" t="s">
        <v>1644</v>
      </c>
      <c r="F1024" s="260" t="s">
        <v>35</v>
      </c>
      <c r="G1024" s="260">
        <v>1</v>
      </c>
      <c r="H1024" s="245">
        <v>778720</v>
      </c>
      <c r="I1024" s="243" t="s">
        <v>36</v>
      </c>
      <c r="J1024" s="245">
        <f t="shared" si="27"/>
        <v>778720</v>
      </c>
      <c r="K1024" s="1695">
        <v>0</v>
      </c>
      <c r="L1024" s="1695">
        <v>0</v>
      </c>
      <c r="M1024" s="246" t="s">
        <v>303</v>
      </c>
      <c r="N1024" s="261" t="s">
        <v>2220</v>
      </c>
      <c r="O1024" s="261" t="s">
        <v>2221</v>
      </c>
      <c r="P1024" s="71" t="s">
        <v>41</v>
      </c>
      <c r="Q1024" s="262">
        <v>45073</v>
      </c>
      <c r="R1024" s="71" t="s">
        <v>41</v>
      </c>
      <c r="S1024" s="262">
        <v>45073</v>
      </c>
      <c r="T1024" s="263"/>
      <c r="U1024" s="262"/>
      <c r="V1024" s="263" t="s">
        <v>41</v>
      </c>
      <c r="W1024" s="262">
        <f t="shared" si="31"/>
        <v>45196</v>
      </c>
      <c r="X1024" s="263" t="s">
        <v>41</v>
      </c>
      <c r="Y1024" s="262">
        <v>45291</v>
      </c>
      <c r="Z1024" s="263" t="s">
        <v>40</v>
      </c>
      <c r="AA1024" s="262"/>
      <c r="AB1024" s="263" t="s">
        <v>40</v>
      </c>
      <c r="AC1024" s="262"/>
      <c r="AD1024" s="264"/>
      <c r="AE1024" s="264">
        <v>45565</v>
      </c>
      <c r="AF1024" s="71" t="s">
        <v>65</v>
      </c>
      <c r="AG1024" s="265">
        <v>2026</v>
      </c>
      <c r="AH1024" s="261">
        <f t="shared" si="28"/>
        <v>0</v>
      </c>
      <c r="AI1024" s="261"/>
      <c r="AJ1024" s="261"/>
      <c r="AK1024" s="260" t="s">
        <v>43</v>
      </c>
      <c r="AL1024" s="259" t="s">
        <v>41</v>
      </c>
      <c r="AM1024" s="266">
        <v>0</v>
      </c>
      <c r="AN1024" s="67"/>
      <c r="AO1024" s="256"/>
      <c r="AP1024" s="257"/>
    </row>
    <row r="1025" spans="1:42" s="258" customFormat="1" ht="37.950000000000003" customHeight="1" x14ac:dyDescent="0.3">
      <c r="A1025" s="259" t="s">
        <v>1641</v>
      </c>
      <c r="B1025" s="243" t="s">
        <v>1642</v>
      </c>
      <c r="C1025" s="244" t="s">
        <v>2222</v>
      </c>
      <c r="D1025" s="243" t="s">
        <v>34</v>
      </c>
      <c r="E1025" s="243" t="s">
        <v>1644</v>
      </c>
      <c r="F1025" s="260" t="s">
        <v>35</v>
      </c>
      <c r="G1025" s="260">
        <v>1</v>
      </c>
      <c r="H1025" s="245">
        <v>778720</v>
      </c>
      <c r="I1025" s="243" t="s">
        <v>36</v>
      </c>
      <c r="J1025" s="245">
        <f t="shared" si="27"/>
        <v>778720</v>
      </c>
      <c r="K1025" s="1695">
        <f>18091.269+33235.08</f>
        <v>51326.349000000002</v>
      </c>
      <c r="L1025" s="1695">
        <f>18091.269+33235.08</f>
        <v>51326.349000000002</v>
      </c>
      <c r="M1025" s="246" t="s">
        <v>84</v>
      </c>
      <c r="N1025" s="261" t="s">
        <v>2223</v>
      </c>
      <c r="O1025" s="261" t="s">
        <v>2224</v>
      </c>
      <c r="P1025" s="71" t="s">
        <v>41</v>
      </c>
      <c r="Q1025" s="262">
        <v>45073</v>
      </c>
      <c r="R1025" s="71" t="s">
        <v>41</v>
      </c>
      <c r="S1025" s="262">
        <v>45073</v>
      </c>
      <c r="T1025" s="263"/>
      <c r="U1025" s="262"/>
      <c r="V1025" s="263" t="s">
        <v>41</v>
      </c>
      <c r="W1025" s="262">
        <f t="shared" si="31"/>
        <v>45196</v>
      </c>
      <c r="X1025" s="263" t="s">
        <v>41</v>
      </c>
      <c r="Y1025" s="262">
        <v>45291</v>
      </c>
      <c r="Z1025" s="263" t="s">
        <v>40</v>
      </c>
      <c r="AA1025" s="262"/>
      <c r="AB1025" s="263" t="s">
        <v>40</v>
      </c>
      <c r="AC1025" s="262"/>
      <c r="AD1025" s="264"/>
      <c r="AE1025" s="264">
        <v>45565</v>
      </c>
      <c r="AF1025" s="71" t="s">
        <v>65</v>
      </c>
      <c r="AG1025" s="265">
        <v>2026</v>
      </c>
      <c r="AH1025" s="261">
        <f t="shared" si="28"/>
        <v>252499.97390550002</v>
      </c>
      <c r="AI1025" s="261"/>
      <c r="AJ1025" s="261"/>
      <c r="AK1025" s="260" t="s">
        <v>43</v>
      </c>
      <c r="AL1025" s="259" t="s">
        <v>41</v>
      </c>
      <c r="AM1025" s="266">
        <v>0</v>
      </c>
      <c r="AN1025" s="67"/>
      <c r="AO1025" s="256"/>
      <c r="AP1025" s="257"/>
    </row>
    <row r="1026" spans="1:42" s="258" customFormat="1" ht="37.950000000000003" customHeight="1" x14ac:dyDescent="0.3">
      <c r="A1026" s="259" t="s">
        <v>1641</v>
      </c>
      <c r="B1026" s="243" t="s">
        <v>1642</v>
      </c>
      <c r="C1026" s="244" t="s">
        <v>2225</v>
      </c>
      <c r="D1026" s="243" t="s">
        <v>34</v>
      </c>
      <c r="E1026" s="243" t="s">
        <v>1644</v>
      </c>
      <c r="F1026" s="260" t="s">
        <v>35</v>
      </c>
      <c r="G1026" s="260">
        <v>1</v>
      </c>
      <c r="H1026" s="245">
        <v>778720</v>
      </c>
      <c r="I1026" s="243" t="s">
        <v>36</v>
      </c>
      <c r="J1026" s="245">
        <f t="shared" si="27"/>
        <v>778720</v>
      </c>
      <c r="K1026" s="1695">
        <v>0</v>
      </c>
      <c r="L1026" s="1695">
        <v>0</v>
      </c>
      <c r="M1026" s="246" t="s">
        <v>322</v>
      </c>
      <c r="N1026" s="261" t="s">
        <v>472</v>
      </c>
      <c r="O1026" s="261" t="s">
        <v>2226</v>
      </c>
      <c r="P1026" s="71" t="s">
        <v>41</v>
      </c>
      <c r="Q1026" s="262">
        <v>45073</v>
      </c>
      <c r="R1026" s="71" t="s">
        <v>41</v>
      </c>
      <c r="S1026" s="262">
        <v>45073</v>
      </c>
      <c r="T1026" s="263"/>
      <c r="U1026" s="262"/>
      <c r="V1026" s="263" t="s">
        <v>41</v>
      </c>
      <c r="W1026" s="262">
        <f t="shared" si="31"/>
        <v>45196</v>
      </c>
      <c r="X1026" s="263" t="s">
        <v>41</v>
      </c>
      <c r="Y1026" s="262">
        <v>45291</v>
      </c>
      <c r="Z1026" s="263" t="s">
        <v>40</v>
      </c>
      <c r="AA1026" s="262"/>
      <c r="AB1026" s="263" t="s">
        <v>40</v>
      </c>
      <c r="AC1026" s="262"/>
      <c r="AD1026" s="264"/>
      <c r="AE1026" s="264">
        <v>45565</v>
      </c>
      <c r="AF1026" s="71" t="s">
        <v>65</v>
      </c>
      <c r="AG1026" s="265">
        <v>2026</v>
      </c>
      <c r="AH1026" s="261">
        <f t="shared" si="28"/>
        <v>0</v>
      </c>
      <c r="AI1026" s="261"/>
      <c r="AJ1026" s="261"/>
      <c r="AK1026" s="260" t="s">
        <v>43</v>
      </c>
      <c r="AL1026" s="259" t="s">
        <v>41</v>
      </c>
      <c r="AM1026" s="266">
        <v>0</v>
      </c>
      <c r="AN1026" s="67"/>
      <c r="AO1026" s="256"/>
      <c r="AP1026" s="257"/>
    </row>
    <row r="1027" spans="1:42" s="258" customFormat="1" ht="37.950000000000003" customHeight="1" x14ac:dyDescent="0.3">
      <c r="A1027" s="259" t="s">
        <v>1641</v>
      </c>
      <c r="B1027" s="243" t="s">
        <v>1642</v>
      </c>
      <c r="C1027" s="244" t="s">
        <v>2227</v>
      </c>
      <c r="D1027" s="243" t="s">
        <v>34</v>
      </c>
      <c r="E1027" s="243" t="s">
        <v>1644</v>
      </c>
      <c r="F1027" s="260" t="s">
        <v>35</v>
      </c>
      <c r="G1027" s="260">
        <v>1</v>
      </c>
      <c r="H1027" s="245">
        <v>778720</v>
      </c>
      <c r="I1027" s="243" t="s">
        <v>36</v>
      </c>
      <c r="J1027" s="245">
        <f t="shared" ref="J1027:J1090" si="32">H1027</f>
        <v>778720</v>
      </c>
      <c r="K1027" s="1695">
        <v>0</v>
      </c>
      <c r="L1027" s="1695">
        <v>0</v>
      </c>
      <c r="M1027" s="246" t="s">
        <v>1806</v>
      </c>
      <c r="N1027" s="261" t="s">
        <v>2228</v>
      </c>
      <c r="O1027" s="261" t="s">
        <v>2229</v>
      </c>
      <c r="P1027" s="71" t="s">
        <v>41</v>
      </c>
      <c r="Q1027" s="262">
        <v>45073</v>
      </c>
      <c r="R1027" s="71" t="s">
        <v>41</v>
      </c>
      <c r="S1027" s="262">
        <v>45073</v>
      </c>
      <c r="T1027" s="263"/>
      <c r="U1027" s="262"/>
      <c r="V1027" s="263" t="s">
        <v>41</v>
      </c>
      <c r="W1027" s="262">
        <f t="shared" si="31"/>
        <v>45196</v>
      </c>
      <c r="X1027" s="263" t="s">
        <v>41</v>
      </c>
      <c r="Y1027" s="262">
        <v>45291</v>
      </c>
      <c r="Z1027" s="263" t="s">
        <v>40</v>
      </c>
      <c r="AA1027" s="262"/>
      <c r="AB1027" s="263" t="s">
        <v>40</v>
      </c>
      <c r="AC1027" s="262"/>
      <c r="AD1027" s="264"/>
      <c r="AE1027" s="264">
        <v>45565</v>
      </c>
      <c r="AF1027" s="71" t="s">
        <v>65</v>
      </c>
      <c r="AG1027" s="265">
        <v>2026</v>
      </c>
      <c r="AH1027" s="261">
        <f t="shared" ref="AH1027:AH1090" si="33">K1027*4.9195</f>
        <v>0</v>
      </c>
      <c r="AI1027" s="261"/>
      <c r="AJ1027" s="261"/>
      <c r="AK1027" s="260" t="s">
        <v>43</v>
      </c>
      <c r="AL1027" s="259" t="s">
        <v>41</v>
      </c>
      <c r="AM1027" s="266">
        <v>0</v>
      </c>
      <c r="AN1027" s="67"/>
      <c r="AO1027" s="256"/>
      <c r="AP1027" s="257"/>
    </row>
    <row r="1028" spans="1:42" s="258" customFormat="1" ht="37.950000000000003" customHeight="1" x14ac:dyDescent="0.3">
      <c r="A1028" s="259" t="s">
        <v>1641</v>
      </c>
      <c r="B1028" s="243" t="s">
        <v>1642</v>
      </c>
      <c r="C1028" s="244" t="s">
        <v>2230</v>
      </c>
      <c r="D1028" s="243" t="s">
        <v>34</v>
      </c>
      <c r="E1028" s="243" t="s">
        <v>1644</v>
      </c>
      <c r="F1028" s="260" t="s">
        <v>35</v>
      </c>
      <c r="G1028" s="260">
        <v>1</v>
      </c>
      <c r="H1028" s="245">
        <v>778720</v>
      </c>
      <c r="I1028" s="243" t="s">
        <v>36</v>
      </c>
      <c r="J1028" s="245">
        <f t="shared" si="32"/>
        <v>778720</v>
      </c>
      <c r="K1028" s="1695">
        <f>23976.62+2520.58+7724.36</f>
        <v>34221.56</v>
      </c>
      <c r="L1028" s="1695">
        <f>K1028</f>
        <v>34221.56</v>
      </c>
      <c r="M1028" s="246" t="s">
        <v>868</v>
      </c>
      <c r="N1028" s="261" t="s">
        <v>2231</v>
      </c>
      <c r="O1028" s="261" t="s">
        <v>2232</v>
      </c>
      <c r="P1028" s="71" t="s">
        <v>41</v>
      </c>
      <c r="Q1028" s="262">
        <v>45074</v>
      </c>
      <c r="R1028" s="71" t="s">
        <v>41</v>
      </c>
      <c r="S1028" s="262">
        <v>45074</v>
      </c>
      <c r="T1028" s="263"/>
      <c r="U1028" s="262"/>
      <c r="V1028" s="263" t="s">
        <v>41</v>
      </c>
      <c r="W1028" s="262">
        <f t="shared" si="31"/>
        <v>45197</v>
      </c>
      <c r="X1028" s="263" t="s">
        <v>41</v>
      </c>
      <c r="Y1028" s="262">
        <v>45291</v>
      </c>
      <c r="Z1028" s="263" t="s">
        <v>40</v>
      </c>
      <c r="AA1028" s="262"/>
      <c r="AB1028" s="263" t="s">
        <v>40</v>
      </c>
      <c r="AC1028" s="262"/>
      <c r="AD1028" s="264"/>
      <c r="AE1028" s="264">
        <v>45565</v>
      </c>
      <c r="AF1028" s="71" t="s">
        <v>65</v>
      </c>
      <c r="AG1028" s="265">
        <v>2026</v>
      </c>
      <c r="AH1028" s="261">
        <f t="shared" si="33"/>
        <v>168352.96442</v>
      </c>
      <c r="AI1028" s="261"/>
      <c r="AJ1028" s="261"/>
      <c r="AK1028" s="260" t="s">
        <v>43</v>
      </c>
      <c r="AL1028" s="259" t="s">
        <v>41</v>
      </c>
      <c r="AM1028" s="266">
        <v>0</v>
      </c>
      <c r="AN1028" s="67"/>
      <c r="AO1028" s="256"/>
      <c r="AP1028" s="257"/>
    </row>
    <row r="1029" spans="1:42" s="258" customFormat="1" ht="37.950000000000003" customHeight="1" x14ac:dyDescent="0.3">
      <c r="A1029" s="259" t="s">
        <v>1641</v>
      </c>
      <c r="B1029" s="243" t="s">
        <v>1642</v>
      </c>
      <c r="C1029" s="244" t="s">
        <v>2233</v>
      </c>
      <c r="D1029" s="243" t="s">
        <v>34</v>
      </c>
      <c r="E1029" s="243" t="s">
        <v>1644</v>
      </c>
      <c r="F1029" s="260" t="s">
        <v>35</v>
      </c>
      <c r="G1029" s="260">
        <v>1</v>
      </c>
      <c r="H1029" s="245">
        <v>778720</v>
      </c>
      <c r="I1029" s="243" t="s">
        <v>36</v>
      </c>
      <c r="J1029" s="245">
        <f t="shared" si="32"/>
        <v>778720</v>
      </c>
      <c r="K1029" s="1695">
        <f>12237.01+3353.99+13304.2+7114.54</f>
        <v>36009.74</v>
      </c>
      <c r="L1029" s="1695">
        <f>K1029</f>
        <v>36009.74</v>
      </c>
      <c r="M1029" s="246" t="s">
        <v>49</v>
      </c>
      <c r="N1029" s="261" t="s">
        <v>2234</v>
      </c>
      <c r="O1029" s="261" t="s">
        <v>2235</v>
      </c>
      <c r="P1029" s="71" t="s">
        <v>41</v>
      </c>
      <c r="Q1029" s="262">
        <v>45087</v>
      </c>
      <c r="R1029" s="71" t="s">
        <v>41</v>
      </c>
      <c r="S1029" s="262">
        <v>45087</v>
      </c>
      <c r="T1029" s="263"/>
      <c r="U1029" s="262"/>
      <c r="V1029" s="263" t="s">
        <v>41</v>
      </c>
      <c r="W1029" s="262">
        <f t="shared" si="31"/>
        <v>45209</v>
      </c>
      <c r="X1029" s="263" t="s">
        <v>41</v>
      </c>
      <c r="Y1029" s="262">
        <v>45291</v>
      </c>
      <c r="Z1029" s="263" t="s">
        <v>40</v>
      </c>
      <c r="AA1029" s="262"/>
      <c r="AB1029" s="263" t="s">
        <v>40</v>
      </c>
      <c r="AC1029" s="262"/>
      <c r="AD1029" s="264"/>
      <c r="AE1029" s="264">
        <v>45565</v>
      </c>
      <c r="AF1029" s="71" t="s">
        <v>65</v>
      </c>
      <c r="AG1029" s="265">
        <v>2026</v>
      </c>
      <c r="AH1029" s="261">
        <f t="shared" si="33"/>
        <v>177149.91592999999</v>
      </c>
      <c r="AI1029" s="261"/>
      <c r="AJ1029" s="261"/>
      <c r="AK1029" s="260" t="s">
        <v>43</v>
      </c>
      <c r="AL1029" s="259" t="s">
        <v>41</v>
      </c>
      <c r="AM1029" s="266">
        <v>0</v>
      </c>
      <c r="AN1029" s="67"/>
      <c r="AO1029" s="256"/>
      <c r="AP1029" s="257"/>
    </row>
    <row r="1030" spans="1:42" s="258" customFormat="1" ht="37.950000000000003" customHeight="1" x14ac:dyDescent="0.3">
      <c r="A1030" s="259" t="s">
        <v>1641</v>
      </c>
      <c r="B1030" s="243" t="s">
        <v>1642</v>
      </c>
      <c r="C1030" s="244" t="s">
        <v>2236</v>
      </c>
      <c r="D1030" s="243" t="s">
        <v>34</v>
      </c>
      <c r="E1030" s="243" t="s">
        <v>1644</v>
      </c>
      <c r="F1030" s="260" t="s">
        <v>35</v>
      </c>
      <c r="G1030" s="260">
        <v>2</v>
      </c>
      <c r="H1030" s="245">
        <v>1557440</v>
      </c>
      <c r="I1030" s="243" t="s">
        <v>36</v>
      </c>
      <c r="J1030" s="245">
        <f t="shared" si="32"/>
        <v>1557440</v>
      </c>
      <c r="K1030" s="1695">
        <f>26557.58+7256.84+42461.63</f>
        <v>76276.049999999988</v>
      </c>
      <c r="L1030" s="1695">
        <f>K1030</f>
        <v>76276.049999999988</v>
      </c>
      <c r="M1030" s="246" t="s">
        <v>51</v>
      </c>
      <c r="N1030" s="261" t="s">
        <v>51</v>
      </c>
      <c r="O1030" s="261" t="s">
        <v>2237</v>
      </c>
      <c r="P1030" s="71" t="s">
        <v>41</v>
      </c>
      <c r="Q1030" s="262">
        <v>45099</v>
      </c>
      <c r="R1030" s="71" t="s">
        <v>41</v>
      </c>
      <c r="S1030" s="262">
        <v>45099</v>
      </c>
      <c r="T1030" s="263"/>
      <c r="U1030" s="262"/>
      <c r="V1030" s="263" t="s">
        <v>41</v>
      </c>
      <c r="W1030" s="262">
        <f t="shared" si="31"/>
        <v>45221</v>
      </c>
      <c r="X1030" s="263" t="s">
        <v>41</v>
      </c>
      <c r="Y1030" s="262">
        <v>45291</v>
      </c>
      <c r="Z1030" s="263" t="s">
        <v>40</v>
      </c>
      <c r="AA1030" s="262"/>
      <c r="AB1030" s="263" t="s">
        <v>40</v>
      </c>
      <c r="AC1030" s="262"/>
      <c r="AD1030" s="264"/>
      <c r="AE1030" s="264">
        <v>45565</v>
      </c>
      <c r="AF1030" s="71" t="s">
        <v>65</v>
      </c>
      <c r="AG1030" s="265">
        <v>2026</v>
      </c>
      <c r="AH1030" s="261">
        <f t="shared" si="33"/>
        <v>375240.02797499998</v>
      </c>
      <c r="AI1030" s="261"/>
      <c r="AJ1030" s="261"/>
      <c r="AK1030" s="260" t="s">
        <v>43</v>
      </c>
      <c r="AL1030" s="259" t="s">
        <v>41</v>
      </c>
      <c r="AM1030" s="266">
        <v>0</v>
      </c>
      <c r="AN1030" s="67"/>
      <c r="AO1030" s="256"/>
      <c r="AP1030" s="257"/>
    </row>
    <row r="1031" spans="1:42" s="258" customFormat="1" ht="37.950000000000003" customHeight="1" x14ac:dyDescent="0.3">
      <c r="A1031" s="259" t="s">
        <v>1641</v>
      </c>
      <c r="B1031" s="243" t="s">
        <v>1642</v>
      </c>
      <c r="C1031" s="244" t="s">
        <v>2238</v>
      </c>
      <c r="D1031" s="243" t="s">
        <v>34</v>
      </c>
      <c r="E1031" s="243" t="s">
        <v>1644</v>
      </c>
      <c r="F1031" s="260" t="s">
        <v>35</v>
      </c>
      <c r="G1031" s="260">
        <v>1</v>
      </c>
      <c r="H1031" s="245">
        <v>778720</v>
      </c>
      <c r="I1031" s="243" t="s">
        <v>36</v>
      </c>
      <c r="J1031" s="245">
        <f t="shared" si="32"/>
        <v>778720</v>
      </c>
      <c r="K1031" s="1695">
        <f>2540.9+2744.18+30841.55+1644.88</f>
        <v>37771.509999999995</v>
      </c>
      <c r="L1031" s="1695">
        <f>2540.9+2744.18+30841.55+1644.88</f>
        <v>37771.509999999995</v>
      </c>
      <c r="M1031" s="246" t="s">
        <v>55</v>
      </c>
      <c r="N1031" s="261" t="s">
        <v>2239</v>
      </c>
      <c r="O1031" s="261" t="s">
        <v>2240</v>
      </c>
      <c r="P1031" s="71" t="s">
        <v>41</v>
      </c>
      <c r="Q1031" s="262">
        <v>45104</v>
      </c>
      <c r="R1031" s="71" t="s">
        <v>41</v>
      </c>
      <c r="S1031" s="262">
        <v>45104</v>
      </c>
      <c r="T1031" s="263"/>
      <c r="U1031" s="262"/>
      <c r="V1031" s="263" t="s">
        <v>41</v>
      </c>
      <c r="W1031" s="262">
        <f t="shared" si="31"/>
        <v>45226</v>
      </c>
      <c r="X1031" s="263" t="s">
        <v>41</v>
      </c>
      <c r="Y1031" s="262">
        <v>45291</v>
      </c>
      <c r="Z1031" s="263" t="s">
        <v>40</v>
      </c>
      <c r="AA1031" s="262"/>
      <c r="AB1031" s="263" t="s">
        <v>40</v>
      </c>
      <c r="AC1031" s="262"/>
      <c r="AD1031" s="264"/>
      <c r="AE1031" s="264">
        <v>45565</v>
      </c>
      <c r="AF1031" s="71" t="s">
        <v>65</v>
      </c>
      <c r="AG1031" s="265">
        <v>2026</v>
      </c>
      <c r="AH1031" s="261">
        <f t="shared" si="33"/>
        <v>185816.94344499998</v>
      </c>
      <c r="AI1031" s="261"/>
      <c r="AJ1031" s="261"/>
      <c r="AK1031" s="260" t="s">
        <v>43</v>
      </c>
      <c r="AL1031" s="259" t="s">
        <v>41</v>
      </c>
      <c r="AM1031" s="266">
        <v>0</v>
      </c>
      <c r="AN1031" s="67"/>
      <c r="AO1031" s="256"/>
      <c r="AP1031" s="257"/>
    </row>
    <row r="1032" spans="1:42" s="258" customFormat="1" ht="37.950000000000003" customHeight="1" x14ac:dyDescent="0.3">
      <c r="A1032" s="259" t="s">
        <v>1641</v>
      </c>
      <c r="B1032" s="243" t="s">
        <v>1642</v>
      </c>
      <c r="C1032" s="244" t="s">
        <v>2241</v>
      </c>
      <c r="D1032" s="243" t="s">
        <v>34</v>
      </c>
      <c r="E1032" s="243" t="s">
        <v>1644</v>
      </c>
      <c r="F1032" s="260" t="s">
        <v>35</v>
      </c>
      <c r="G1032" s="260">
        <v>1</v>
      </c>
      <c r="H1032" s="245">
        <v>778720</v>
      </c>
      <c r="I1032" s="243" t="s">
        <v>36</v>
      </c>
      <c r="J1032" s="245">
        <f t="shared" si="32"/>
        <v>778720</v>
      </c>
      <c r="K1032" s="1695">
        <f>46752.718</f>
        <v>46752.718000000001</v>
      </c>
      <c r="L1032" s="1695">
        <f>46752.718</f>
        <v>46752.718000000001</v>
      </c>
      <c r="M1032" s="246" t="s">
        <v>67</v>
      </c>
      <c r="N1032" s="261" t="s">
        <v>2242</v>
      </c>
      <c r="O1032" s="261" t="s">
        <v>2243</v>
      </c>
      <c r="P1032" s="71" t="s">
        <v>41</v>
      </c>
      <c r="Q1032" s="262">
        <v>45104</v>
      </c>
      <c r="R1032" s="71" t="s">
        <v>41</v>
      </c>
      <c r="S1032" s="262">
        <v>45104</v>
      </c>
      <c r="T1032" s="263"/>
      <c r="U1032" s="262"/>
      <c r="V1032" s="263" t="s">
        <v>41</v>
      </c>
      <c r="W1032" s="262">
        <f t="shared" si="31"/>
        <v>45226</v>
      </c>
      <c r="X1032" s="263" t="s">
        <v>41</v>
      </c>
      <c r="Y1032" s="262">
        <v>45291</v>
      </c>
      <c r="Z1032" s="263" t="s">
        <v>40</v>
      </c>
      <c r="AA1032" s="262"/>
      <c r="AB1032" s="263" t="s">
        <v>40</v>
      </c>
      <c r="AC1032" s="262"/>
      <c r="AD1032" s="264"/>
      <c r="AE1032" s="264">
        <v>45565</v>
      </c>
      <c r="AF1032" s="71" t="s">
        <v>65</v>
      </c>
      <c r="AG1032" s="265">
        <v>2026</v>
      </c>
      <c r="AH1032" s="261">
        <f t="shared" si="33"/>
        <v>229999.996201</v>
      </c>
      <c r="AI1032" s="261"/>
      <c r="AJ1032" s="261"/>
      <c r="AK1032" s="260" t="s">
        <v>43</v>
      </c>
      <c r="AL1032" s="259" t="s">
        <v>41</v>
      </c>
      <c r="AM1032" s="266">
        <v>0</v>
      </c>
      <c r="AN1032" s="67"/>
      <c r="AO1032" s="256"/>
      <c r="AP1032" s="257"/>
    </row>
    <row r="1033" spans="1:42" s="258" customFormat="1" ht="37.950000000000003" customHeight="1" x14ac:dyDescent="0.3">
      <c r="A1033" s="259" t="s">
        <v>1641</v>
      </c>
      <c r="B1033" s="243" t="s">
        <v>1642</v>
      </c>
      <c r="C1033" s="244" t="s">
        <v>2244</v>
      </c>
      <c r="D1033" s="243" t="s">
        <v>34</v>
      </c>
      <c r="E1033" s="243" t="s">
        <v>1644</v>
      </c>
      <c r="F1033" s="260" t="s">
        <v>35</v>
      </c>
      <c r="G1033" s="260">
        <v>1</v>
      </c>
      <c r="H1033" s="245">
        <v>778720</v>
      </c>
      <c r="I1033" s="243" t="s">
        <v>36</v>
      </c>
      <c r="J1033" s="245">
        <f t="shared" si="32"/>
        <v>778720</v>
      </c>
      <c r="K1033" s="1695">
        <f>32970.83</f>
        <v>32970.83</v>
      </c>
      <c r="L1033" s="1695">
        <f>32970.83</f>
        <v>32970.83</v>
      </c>
      <c r="M1033" s="246" t="s">
        <v>303</v>
      </c>
      <c r="N1033" s="261" t="s">
        <v>2245</v>
      </c>
      <c r="O1033" s="261" t="s">
        <v>2246</v>
      </c>
      <c r="P1033" s="71" t="s">
        <v>41</v>
      </c>
      <c r="Q1033" s="262">
        <v>45090</v>
      </c>
      <c r="R1033" s="71" t="s">
        <v>41</v>
      </c>
      <c r="S1033" s="262">
        <v>45090</v>
      </c>
      <c r="T1033" s="263"/>
      <c r="U1033" s="262"/>
      <c r="V1033" s="263" t="s">
        <v>41</v>
      </c>
      <c r="W1033" s="262">
        <f t="shared" si="31"/>
        <v>45212</v>
      </c>
      <c r="X1033" s="263" t="s">
        <v>41</v>
      </c>
      <c r="Y1033" s="262">
        <v>45291</v>
      </c>
      <c r="Z1033" s="263" t="s">
        <v>40</v>
      </c>
      <c r="AA1033" s="262"/>
      <c r="AB1033" s="263" t="s">
        <v>40</v>
      </c>
      <c r="AC1033" s="262"/>
      <c r="AD1033" s="264"/>
      <c r="AE1033" s="264">
        <v>45565</v>
      </c>
      <c r="AF1033" s="71" t="s">
        <v>65</v>
      </c>
      <c r="AG1033" s="265">
        <v>2026</v>
      </c>
      <c r="AH1033" s="261">
        <f t="shared" si="33"/>
        <v>162199.998185</v>
      </c>
      <c r="AI1033" s="261"/>
      <c r="AJ1033" s="261"/>
      <c r="AK1033" s="260" t="s">
        <v>43</v>
      </c>
      <c r="AL1033" s="259" t="s">
        <v>41</v>
      </c>
      <c r="AM1033" s="266">
        <v>0</v>
      </c>
      <c r="AN1033" s="67"/>
      <c r="AO1033" s="256"/>
      <c r="AP1033" s="257"/>
    </row>
    <row r="1034" spans="1:42" s="258" customFormat="1" ht="37.950000000000003" customHeight="1" x14ac:dyDescent="0.3">
      <c r="A1034" s="259" t="s">
        <v>1641</v>
      </c>
      <c r="B1034" s="243" t="s">
        <v>1642</v>
      </c>
      <c r="C1034" s="244" t="s">
        <v>2247</v>
      </c>
      <c r="D1034" s="243" t="s">
        <v>34</v>
      </c>
      <c r="E1034" s="243" t="s">
        <v>1644</v>
      </c>
      <c r="F1034" s="260" t="s">
        <v>35</v>
      </c>
      <c r="G1034" s="260">
        <v>2</v>
      </c>
      <c r="H1034" s="245">
        <v>1557440.39</v>
      </c>
      <c r="I1034" s="243" t="s">
        <v>36</v>
      </c>
      <c r="J1034" s="245">
        <f t="shared" si="32"/>
        <v>1557440.39</v>
      </c>
      <c r="K1034" s="1695">
        <v>0</v>
      </c>
      <c r="L1034" s="1695">
        <v>0</v>
      </c>
      <c r="M1034" s="246" t="s">
        <v>80</v>
      </c>
      <c r="N1034" s="261" t="s">
        <v>2248</v>
      </c>
      <c r="O1034" s="261" t="s">
        <v>2249</v>
      </c>
      <c r="P1034" s="71" t="s">
        <v>41</v>
      </c>
      <c r="Q1034" s="262">
        <v>45104</v>
      </c>
      <c r="R1034" s="71" t="s">
        <v>41</v>
      </c>
      <c r="S1034" s="262">
        <v>45104</v>
      </c>
      <c r="T1034" s="263"/>
      <c r="U1034" s="262"/>
      <c r="V1034" s="263" t="s">
        <v>41</v>
      </c>
      <c r="W1034" s="262">
        <f t="shared" si="31"/>
        <v>45226</v>
      </c>
      <c r="X1034" s="263" t="s">
        <v>41</v>
      </c>
      <c r="Y1034" s="262">
        <v>45291</v>
      </c>
      <c r="Z1034" s="263" t="s">
        <v>40</v>
      </c>
      <c r="AA1034" s="262"/>
      <c r="AB1034" s="263" t="s">
        <v>40</v>
      </c>
      <c r="AC1034" s="262"/>
      <c r="AD1034" s="264"/>
      <c r="AE1034" s="264">
        <v>45565</v>
      </c>
      <c r="AF1034" s="71" t="s">
        <v>65</v>
      </c>
      <c r="AG1034" s="265">
        <v>2026</v>
      </c>
      <c r="AH1034" s="261">
        <f t="shared" si="33"/>
        <v>0</v>
      </c>
      <c r="AI1034" s="261"/>
      <c r="AJ1034" s="261"/>
      <c r="AK1034" s="260" t="s">
        <v>43</v>
      </c>
      <c r="AL1034" s="259" t="s">
        <v>41</v>
      </c>
      <c r="AM1034" s="266">
        <v>0</v>
      </c>
      <c r="AN1034" s="67"/>
      <c r="AO1034" s="256"/>
      <c r="AP1034" s="257"/>
    </row>
    <row r="1035" spans="1:42" s="258" customFormat="1" ht="37.950000000000003" customHeight="1" x14ac:dyDescent="0.3">
      <c r="A1035" s="259" t="s">
        <v>1641</v>
      </c>
      <c r="B1035" s="243" t="s">
        <v>1642</v>
      </c>
      <c r="C1035" s="244" t="s">
        <v>2250</v>
      </c>
      <c r="D1035" s="243" t="s">
        <v>34</v>
      </c>
      <c r="E1035" s="243" t="s">
        <v>1644</v>
      </c>
      <c r="F1035" s="260" t="s">
        <v>35</v>
      </c>
      <c r="G1035" s="260">
        <v>1</v>
      </c>
      <c r="H1035" s="245">
        <v>778720</v>
      </c>
      <c r="I1035" s="243" t="s">
        <v>36</v>
      </c>
      <c r="J1035" s="245">
        <f t="shared" si="32"/>
        <v>778720</v>
      </c>
      <c r="K1035" s="1695">
        <f>36589.08+1829.45</f>
        <v>38418.53</v>
      </c>
      <c r="L1035" s="1695">
        <f>K1035</f>
        <v>38418.53</v>
      </c>
      <c r="M1035" s="246" t="s">
        <v>322</v>
      </c>
      <c r="N1035" s="261" t="s">
        <v>2251</v>
      </c>
      <c r="O1035" s="261" t="s">
        <v>2252</v>
      </c>
      <c r="P1035" s="71" t="s">
        <v>41</v>
      </c>
      <c r="Q1035" s="262">
        <v>45104</v>
      </c>
      <c r="R1035" s="71" t="s">
        <v>41</v>
      </c>
      <c r="S1035" s="262">
        <v>45104</v>
      </c>
      <c r="T1035" s="263"/>
      <c r="U1035" s="262"/>
      <c r="V1035" s="263" t="s">
        <v>41</v>
      </c>
      <c r="W1035" s="262">
        <f t="shared" si="31"/>
        <v>45226</v>
      </c>
      <c r="X1035" s="263" t="s">
        <v>41</v>
      </c>
      <c r="Y1035" s="262">
        <v>45291</v>
      </c>
      <c r="Z1035" s="263" t="s">
        <v>40</v>
      </c>
      <c r="AA1035" s="262"/>
      <c r="AB1035" s="263" t="s">
        <v>40</v>
      </c>
      <c r="AC1035" s="262"/>
      <c r="AD1035" s="264"/>
      <c r="AE1035" s="264">
        <v>45565</v>
      </c>
      <c r="AF1035" s="71" t="s">
        <v>65</v>
      </c>
      <c r="AG1035" s="265">
        <v>2026</v>
      </c>
      <c r="AH1035" s="261">
        <f t="shared" si="33"/>
        <v>188999.958335</v>
      </c>
      <c r="AI1035" s="261"/>
      <c r="AJ1035" s="261"/>
      <c r="AK1035" s="260" t="s">
        <v>43</v>
      </c>
      <c r="AL1035" s="259" t="s">
        <v>41</v>
      </c>
      <c r="AM1035" s="266">
        <v>0</v>
      </c>
      <c r="AN1035" s="67"/>
      <c r="AO1035" s="256"/>
      <c r="AP1035" s="257"/>
    </row>
    <row r="1036" spans="1:42" s="258" customFormat="1" ht="37.950000000000003" customHeight="1" x14ac:dyDescent="0.3">
      <c r="A1036" s="259" t="s">
        <v>1641</v>
      </c>
      <c r="B1036" s="243" t="s">
        <v>1642</v>
      </c>
      <c r="C1036" s="244" t="s">
        <v>2253</v>
      </c>
      <c r="D1036" s="243" t="s">
        <v>34</v>
      </c>
      <c r="E1036" s="243" t="s">
        <v>1644</v>
      </c>
      <c r="F1036" s="260" t="s">
        <v>35</v>
      </c>
      <c r="G1036" s="260">
        <v>1</v>
      </c>
      <c r="H1036" s="245">
        <v>778720</v>
      </c>
      <c r="I1036" s="243" t="s">
        <v>36</v>
      </c>
      <c r="J1036" s="245">
        <f t="shared" si="32"/>
        <v>778720</v>
      </c>
      <c r="K1036" s="1695">
        <f>48378.9</f>
        <v>48378.9</v>
      </c>
      <c r="L1036" s="1695">
        <f>48378.9</f>
        <v>48378.9</v>
      </c>
      <c r="M1036" s="246" t="s">
        <v>133</v>
      </c>
      <c r="N1036" s="261" t="s">
        <v>2254</v>
      </c>
      <c r="O1036" s="261" t="s">
        <v>2255</v>
      </c>
      <c r="P1036" s="71" t="s">
        <v>41</v>
      </c>
      <c r="Q1036" s="262">
        <v>45091</v>
      </c>
      <c r="R1036" s="71" t="s">
        <v>41</v>
      </c>
      <c r="S1036" s="262">
        <v>45091</v>
      </c>
      <c r="T1036" s="263"/>
      <c r="U1036" s="262"/>
      <c r="V1036" s="263" t="s">
        <v>41</v>
      </c>
      <c r="W1036" s="262">
        <f t="shared" si="31"/>
        <v>45213</v>
      </c>
      <c r="X1036" s="263" t="s">
        <v>41</v>
      </c>
      <c r="Y1036" s="262">
        <v>45291</v>
      </c>
      <c r="Z1036" s="263" t="s">
        <v>40</v>
      </c>
      <c r="AA1036" s="262"/>
      <c r="AB1036" s="263" t="s">
        <v>40</v>
      </c>
      <c r="AC1036" s="262"/>
      <c r="AD1036" s="264"/>
      <c r="AE1036" s="264">
        <v>45565</v>
      </c>
      <c r="AF1036" s="71" t="s">
        <v>65</v>
      </c>
      <c r="AG1036" s="265">
        <v>2026</v>
      </c>
      <c r="AH1036" s="261">
        <f t="shared" si="33"/>
        <v>237999.99855000002</v>
      </c>
      <c r="AI1036" s="261"/>
      <c r="AJ1036" s="261"/>
      <c r="AK1036" s="260" t="s">
        <v>43</v>
      </c>
      <c r="AL1036" s="259" t="s">
        <v>41</v>
      </c>
      <c r="AM1036" s="266">
        <v>0</v>
      </c>
      <c r="AN1036" s="67"/>
      <c r="AO1036" s="256"/>
      <c r="AP1036" s="257"/>
    </row>
    <row r="1037" spans="1:42" s="258" customFormat="1" ht="37.950000000000003" customHeight="1" x14ac:dyDescent="0.3">
      <c r="A1037" s="259" t="s">
        <v>1641</v>
      </c>
      <c r="B1037" s="243" t="s">
        <v>1642</v>
      </c>
      <c r="C1037" s="244" t="s">
        <v>2256</v>
      </c>
      <c r="D1037" s="243" t="s">
        <v>34</v>
      </c>
      <c r="E1037" s="243" t="s">
        <v>1644</v>
      </c>
      <c r="F1037" s="260" t="s">
        <v>35</v>
      </c>
      <c r="G1037" s="260">
        <v>1</v>
      </c>
      <c r="H1037" s="245">
        <v>769947.52</v>
      </c>
      <c r="I1037" s="243" t="s">
        <v>36</v>
      </c>
      <c r="J1037" s="245">
        <f t="shared" si="32"/>
        <v>769947.52</v>
      </c>
      <c r="K1037" s="1695">
        <v>30699.81</v>
      </c>
      <c r="L1037" s="1695">
        <v>30699.81</v>
      </c>
      <c r="M1037" s="246" t="s">
        <v>63</v>
      </c>
      <c r="N1037" s="261" t="s">
        <v>702</v>
      </c>
      <c r="O1037" s="261" t="s">
        <v>2257</v>
      </c>
      <c r="P1037" s="71" t="s">
        <v>41</v>
      </c>
      <c r="Q1037" s="262">
        <v>45104</v>
      </c>
      <c r="R1037" s="71" t="s">
        <v>41</v>
      </c>
      <c r="S1037" s="262">
        <v>45104</v>
      </c>
      <c r="T1037" s="263"/>
      <c r="U1037" s="262"/>
      <c r="V1037" s="263" t="s">
        <v>41</v>
      </c>
      <c r="W1037" s="262">
        <f t="shared" si="31"/>
        <v>45226</v>
      </c>
      <c r="X1037" s="263" t="s">
        <v>41</v>
      </c>
      <c r="Y1037" s="262">
        <v>45291</v>
      </c>
      <c r="Z1037" s="263" t="s">
        <v>40</v>
      </c>
      <c r="AA1037" s="262"/>
      <c r="AB1037" s="263" t="s">
        <v>40</v>
      </c>
      <c r="AC1037" s="262"/>
      <c r="AD1037" s="264"/>
      <c r="AE1037" s="264">
        <v>45565</v>
      </c>
      <c r="AF1037" s="71" t="s">
        <v>65</v>
      </c>
      <c r="AG1037" s="265">
        <v>2026</v>
      </c>
      <c r="AH1037" s="261">
        <f t="shared" si="33"/>
        <v>151027.715295</v>
      </c>
      <c r="AI1037" s="261"/>
      <c r="AJ1037" s="261"/>
      <c r="AK1037" s="260" t="s">
        <v>43</v>
      </c>
      <c r="AL1037" s="259" t="s">
        <v>41</v>
      </c>
      <c r="AM1037" s="266">
        <v>0</v>
      </c>
      <c r="AN1037" s="67"/>
      <c r="AO1037" s="256"/>
      <c r="AP1037" s="257"/>
    </row>
    <row r="1038" spans="1:42" s="258" customFormat="1" ht="37.950000000000003" customHeight="1" x14ac:dyDescent="0.3">
      <c r="A1038" s="259" t="s">
        <v>1641</v>
      </c>
      <c r="B1038" s="243" t="s">
        <v>1642</v>
      </c>
      <c r="C1038" s="244" t="s">
        <v>2258</v>
      </c>
      <c r="D1038" s="243" t="s">
        <v>34</v>
      </c>
      <c r="E1038" s="243" t="s">
        <v>1644</v>
      </c>
      <c r="F1038" s="259" t="s">
        <v>35</v>
      </c>
      <c r="G1038" s="259">
        <v>1</v>
      </c>
      <c r="H1038" s="245">
        <v>778720</v>
      </c>
      <c r="I1038" s="243" t="s">
        <v>36</v>
      </c>
      <c r="J1038" s="245">
        <f t="shared" si="32"/>
        <v>778720</v>
      </c>
      <c r="K1038" s="1695">
        <f>3628.41+13245.248</f>
        <v>16873.657999999999</v>
      </c>
      <c r="L1038" s="1695">
        <f>3628.41+13245.248</f>
        <v>16873.657999999999</v>
      </c>
      <c r="M1038" s="246" t="s">
        <v>49</v>
      </c>
      <c r="N1038" s="261" t="s">
        <v>673</v>
      </c>
      <c r="O1038" s="261" t="s">
        <v>2259</v>
      </c>
      <c r="P1038" s="263" t="s">
        <v>41</v>
      </c>
      <c r="Q1038" s="262">
        <v>45104</v>
      </c>
      <c r="R1038" s="263" t="s">
        <v>41</v>
      </c>
      <c r="S1038" s="262">
        <v>45104</v>
      </c>
      <c r="T1038" s="263"/>
      <c r="U1038" s="262"/>
      <c r="V1038" s="263" t="s">
        <v>41</v>
      </c>
      <c r="W1038" s="262">
        <f t="shared" si="31"/>
        <v>45226</v>
      </c>
      <c r="X1038" s="263" t="s">
        <v>41</v>
      </c>
      <c r="Y1038" s="262">
        <v>45291</v>
      </c>
      <c r="Z1038" s="263" t="s">
        <v>40</v>
      </c>
      <c r="AA1038" s="262"/>
      <c r="AB1038" s="263" t="s">
        <v>40</v>
      </c>
      <c r="AC1038" s="262"/>
      <c r="AD1038" s="262"/>
      <c r="AE1038" s="262">
        <v>45565</v>
      </c>
      <c r="AF1038" s="263" t="s">
        <v>65</v>
      </c>
      <c r="AG1038" s="270">
        <v>2026</v>
      </c>
      <c r="AH1038" s="261">
        <f t="shared" si="33"/>
        <v>83009.960531000004</v>
      </c>
      <c r="AI1038" s="261"/>
      <c r="AJ1038" s="261"/>
      <c r="AK1038" s="259" t="s">
        <v>43</v>
      </c>
      <c r="AL1038" s="259" t="s">
        <v>41</v>
      </c>
      <c r="AM1038" s="266">
        <v>0</v>
      </c>
      <c r="AN1038" s="67"/>
      <c r="AO1038" s="256"/>
      <c r="AP1038" s="257"/>
    </row>
    <row r="1039" spans="1:42" s="258" customFormat="1" ht="37.950000000000003" customHeight="1" x14ac:dyDescent="0.3">
      <c r="A1039" s="259" t="s">
        <v>1641</v>
      </c>
      <c r="B1039" s="243" t="s">
        <v>1642</v>
      </c>
      <c r="C1039" s="392" t="s">
        <v>2260</v>
      </c>
      <c r="D1039" s="243" t="s">
        <v>34</v>
      </c>
      <c r="E1039" s="243" t="s">
        <v>1644</v>
      </c>
      <c r="F1039" s="259" t="s">
        <v>35</v>
      </c>
      <c r="G1039" s="259">
        <v>1</v>
      </c>
      <c r="H1039" s="245">
        <v>778720</v>
      </c>
      <c r="I1039" s="243" t="s">
        <v>36</v>
      </c>
      <c r="J1039" s="245">
        <f t="shared" si="32"/>
        <v>778720</v>
      </c>
      <c r="K1039" s="1435">
        <f>11358.87</f>
        <v>11358.87</v>
      </c>
      <c r="L1039" s="1435">
        <f>11358.87</f>
        <v>11358.87</v>
      </c>
      <c r="M1039" s="246" t="s">
        <v>76</v>
      </c>
      <c r="N1039" s="261" t="s">
        <v>2261</v>
      </c>
      <c r="O1039" s="261" t="s">
        <v>2262</v>
      </c>
      <c r="P1039" s="263" t="s">
        <v>41</v>
      </c>
      <c r="Q1039" s="263"/>
      <c r="R1039" s="263" t="s">
        <v>41</v>
      </c>
      <c r="S1039" s="263"/>
      <c r="T1039" s="263"/>
      <c r="U1039" s="263"/>
      <c r="V1039" s="263" t="s">
        <v>41</v>
      </c>
      <c r="W1039" s="263"/>
      <c r="X1039" s="263" t="s">
        <v>41</v>
      </c>
      <c r="Y1039" s="263"/>
      <c r="Z1039" s="263" t="s">
        <v>40</v>
      </c>
      <c r="AA1039" s="263"/>
      <c r="AB1039" s="263" t="s">
        <v>40</v>
      </c>
      <c r="AC1039" s="263"/>
      <c r="AD1039" s="263"/>
      <c r="AE1039" s="262">
        <v>45565</v>
      </c>
      <c r="AF1039" s="263" t="s">
        <v>65</v>
      </c>
      <c r="AG1039" s="293">
        <v>2026</v>
      </c>
      <c r="AH1039" s="261">
        <f t="shared" si="33"/>
        <v>55879.960965000006</v>
      </c>
      <c r="AI1039" s="259"/>
      <c r="AJ1039" s="259"/>
      <c r="AK1039" s="259" t="s">
        <v>43</v>
      </c>
      <c r="AL1039" s="259" t="s">
        <v>41</v>
      </c>
      <c r="AM1039" s="266">
        <v>0</v>
      </c>
      <c r="AN1039" s="256"/>
      <c r="AO1039" s="256"/>
      <c r="AP1039" s="257"/>
    </row>
    <row r="1040" spans="1:42" s="258" customFormat="1" ht="37.950000000000003" customHeight="1" x14ac:dyDescent="0.3">
      <c r="A1040" s="259" t="s">
        <v>1641</v>
      </c>
      <c r="B1040" s="243" t="s">
        <v>1642</v>
      </c>
      <c r="C1040" s="392" t="s">
        <v>2263</v>
      </c>
      <c r="D1040" s="243" t="s">
        <v>34</v>
      </c>
      <c r="E1040" s="243" t="s">
        <v>1644</v>
      </c>
      <c r="F1040" s="259" t="s">
        <v>35</v>
      </c>
      <c r="G1040" s="259">
        <v>3</v>
      </c>
      <c r="H1040" s="245">
        <v>2336152.0499999998</v>
      </c>
      <c r="I1040" s="243" t="s">
        <v>36</v>
      </c>
      <c r="J1040" s="245">
        <f t="shared" si="32"/>
        <v>2336152.0499999998</v>
      </c>
      <c r="K1040" s="1695">
        <v>0</v>
      </c>
      <c r="L1040" s="1695">
        <v>0</v>
      </c>
      <c r="M1040" s="294" t="s">
        <v>76</v>
      </c>
      <c r="N1040" s="295" t="s">
        <v>2264</v>
      </c>
      <c r="O1040" s="295" t="s">
        <v>2265</v>
      </c>
      <c r="P1040" s="263" t="s">
        <v>41</v>
      </c>
      <c r="Q1040" s="263"/>
      <c r="R1040" s="263" t="s">
        <v>41</v>
      </c>
      <c r="S1040" s="263"/>
      <c r="T1040" s="263"/>
      <c r="U1040" s="263"/>
      <c r="V1040" s="263" t="s">
        <v>41</v>
      </c>
      <c r="W1040" s="263"/>
      <c r="X1040" s="263" t="s">
        <v>41</v>
      </c>
      <c r="Y1040" s="263"/>
      <c r="Z1040" s="263" t="s">
        <v>40</v>
      </c>
      <c r="AA1040" s="263"/>
      <c r="AB1040" s="263" t="s">
        <v>40</v>
      </c>
      <c r="AC1040" s="263"/>
      <c r="AD1040" s="263"/>
      <c r="AE1040" s="262">
        <v>45565</v>
      </c>
      <c r="AF1040" s="263" t="s">
        <v>65</v>
      </c>
      <c r="AG1040" s="293">
        <v>2026</v>
      </c>
      <c r="AH1040" s="261">
        <f t="shared" si="33"/>
        <v>0</v>
      </c>
      <c r="AI1040" s="259"/>
      <c r="AJ1040" s="259"/>
      <c r="AK1040" s="259" t="s">
        <v>43</v>
      </c>
      <c r="AL1040" s="259" t="s">
        <v>41</v>
      </c>
      <c r="AM1040" s="266">
        <v>0</v>
      </c>
      <c r="AN1040" s="256"/>
      <c r="AO1040" s="256"/>
      <c r="AP1040" s="257"/>
    </row>
    <row r="1041" spans="1:42" s="258" customFormat="1" ht="37.950000000000003" customHeight="1" x14ac:dyDescent="0.3">
      <c r="A1041" s="259" t="s">
        <v>1641</v>
      </c>
      <c r="B1041" s="243" t="s">
        <v>1642</v>
      </c>
      <c r="C1041" s="392" t="s">
        <v>2266</v>
      </c>
      <c r="D1041" s="243" t="s">
        <v>34</v>
      </c>
      <c r="E1041" s="243" t="s">
        <v>1644</v>
      </c>
      <c r="F1041" s="259" t="s">
        <v>35</v>
      </c>
      <c r="G1041" s="259">
        <v>5</v>
      </c>
      <c r="H1041" s="245">
        <v>3893586.75</v>
      </c>
      <c r="I1041" s="243" t="s">
        <v>36</v>
      </c>
      <c r="J1041" s="245">
        <f t="shared" si="32"/>
        <v>3893586.75</v>
      </c>
      <c r="K1041" s="1695">
        <v>0</v>
      </c>
      <c r="L1041" s="1695">
        <v>0</v>
      </c>
      <c r="M1041" s="294" t="s">
        <v>76</v>
      </c>
      <c r="N1041" s="295" t="s">
        <v>2267</v>
      </c>
      <c r="O1041" s="295" t="s">
        <v>2265</v>
      </c>
      <c r="P1041" s="263" t="s">
        <v>41</v>
      </c>
      <c r="Q1041" s="263"/>
      <c r="R1041" s="263" t="s">
        <v>41</v>
      </c>
      <c r="S1041" s="263"/>
      <c r="T1041" s="263"/>
      <c r="U1041" s="263"/>
      <c r="V1041" s="263" t="s">
        <v>41</v>
      </c>
      <c r="W1041" s="263"/>
      <c r="X1041" s="263" t="s">
        <v>41</v>
      </c>
      <c r="Y1041" s="263"/>
      <c r="Z1041" s="263" t="s">
        <v>40</v>
      </c>
      <c r="AA1041" s="263"/>
      <c r="AB1041" s="263" t="s">
        <v>40</v>
      </c>
      <c r="AC1041" s="263"/>
      <c r="AD1041" s="263"/>
      <c r="AE1041" s="262">
        <v>45565</v>
      </c>
      <c r="AF1041" s="263" t="s">
        <v>65</v>
      </c>
      <c r="AG1041" s="293">
        <v>2026</v>
      </c>
      <c r="AH1041" s="261">
        <f t="shared" si="33"/>
        <v>0</v>
      </c>
      <c r="AI1041" s="259"/>
      <c r="AJ1041" s="259"/>
      <c r="AK1041" s="259" t="s">
        <v>43</v>
      </c>
      <c r="AL1041" s="259" t="s">
        <v>41</v>
      </c>
      <c r="AM1041" s="266">
        <v>0</v>
      </c>
      <c r="AN1041" s="256"/>
      <c r="AO1041" s="256"/>
      <c r="AP1041" s="257"/>
    </row>
    <row r="1042" spans="1:42" s="258" customFormat="1" ht="37.950000000000003" customHeight="1" x14ac:dyDescent="0.3">
      <c r="A1042" s="259" t="s">
        <v>1641</v>
      </c>
      <c r="B1042" s="243" t="s">
        <v>1642</v>
      </c>
      <c r="C1042" s="392" t="s">
        <v>2268</v>
      </c>
      <c r="D1042" s="243" t="s">
        <v>34</v>
      </c>
      <c r="E1042" s="243" t="s">
        <v>1644</v>
      </c>
      <c r="F1042" s="259" t="s">
        <v>35</v>
      </c>
      <c r="G1042" s="259">
        <v>5</v>
      </c>
      <c r="H1042" s="245">
        <v>3893586.75</v>
      </c>
      <c r="I1042" s="243" t="s">
        <v>36</v>
      </c>
      <c r="J1042" s="245">
        <f t="shared" si="32"/>
        <v>3893586.75</v>
      </c>
      <c r="K1042" s="1695">
        <v>0</v>
      </c>
      <c r="L1042" s="1695">
        <v>0</v>
      </c>
      <c r="M1042" s="294" t="s">
        <v>76</v>
      </c>
      <c r="N1042" s="295" t="s">
        <v>2269</v>
      </c>
      <c r="O1042" s="295" t="s">
        <v>2265</v>
      </c>
      <c r="P1042" s="263" t="s">
        <v>41</v>
      </c>
      <c r="Q1042" s="263"/>
      <c r="R1042" s="263" t="s">
        <v>41</v>
      </c>
      <c r="S1042" s="263"/>
      <c r="T1042" s="263"/>
      <c r="U1042" s="263"/>
      <c r="V1042" s="263" t="s">
        <v>41</v>
      </c>
      <c r="W1042" s="263"/>
      <c r="X1042" s="263" t="s">
        <v>41</v>
      </c>
      <c r="Y1042" s="263"/>
      <c r="Z1042" s="263" t="s">
        <v>40</v>
      </c>
      <c r="AA1042" s="263"/>
      <c r="AB1042" s="263" t="s">
        <v>40</v>
      </c>
      <c r="AC1042" s="263"/>
      <c r="AD1042" s="263"/>
      <c r="AE1042" s="262">
        <v>45565</v>
      </c>
      <c r="AF1042" s="263" t="s">
        <v>65</v>
      </c>
      <c r="AG1042" s="293">
        <v>2026</v>
      </c>
      <c r="AH1042" s="261">
        <f t="shared" si="33"/>
        <v>0</v>
      </c>
      <c r="AI1042" s="259"/>
      <c r="AJ1042" s="259"/>
      <c r="AK1042" s="259" t="s">
        <v>43</v>
      </c>
      <c r="AL1042" s="259" t="s">
        <v>41</v>
      </c>
      <c r="AM1042" s="266">
        <v>0</v>
      </c>
      <c r="AN1042" s="256"/>
      <c r="AO1042" s="256"/>
      <c r="AP1042" s="257"/>
    </row>
    <row r="1043" spans="1:42" s="258" customFormat="1" ht="37.950000000000003" customHeight="1" x14ac:dyDescent="0.3">
      <c r="A1043" s="259" t="s">
        <v>1641</v>
      </c>
      <c r="B1043" s="243" t="s">
        <v>1642</v>
      </c>
      <c r="C1043" s="244" t="s">
        <v>2270</v>
      </c>
      <c r="D1043" s="243" t="s">
        <v>34</v>
      </c>
      <c r="E1043" s="243" t="s">
        <v>1644</v>
      </c>
      <c r="F1043" s="260" t="s">
        <v>35</v>
      </c>
      <c r="G1043" s="260">
        <v>1</v>
      </c>
      <c r="H1043" s="245">
        <v>778720</v>
      </c>
      <c r="I1043" s="243" t="s">
        <v>36</v>
      </c>
      <c r="J1043" s="245">
        <f t="shared" si="32"/>
        <v>778720</v>
      </c>
      <c r="K1043" s="1695">
        <f>7256.84+15245.45+12196.36</f>
        <v>34698.65</v>
      </c>
      <c r="L1043" s="1695">
        <f>7256.84+15245.45+12196.36</f>
        <v>34698.65</v>
      </c>
      <c r="M1043" s="246" t="s">
        <v>73</v>
      </c>
      <c r="N1043" s="261" t="s">
        <v>2271</v>
      </c>
      <c r="O1043" s="261" t="s">
        <v>2272</v>
      </c>
      <c r="P1043" s="71" t="s">
        <v>41</v>
      </c>
      <c r="Q1043" s="262">
        <v>45104</v>
      </c>
      <c r="R1043" s="71" t="s">
        <v>41</v>
      </c>
      <c r="S1043" s="262">
        <v>45104</v>
      </c>
      <c r="T1043" s="263"/>
      <c r="U1043" s="262"/>
      <c r="V1043" s="263" t="s">
        <v>41</v>
      </c>
      <c r="W1043" s="262">
        <f t="shared" ref="W1043:W1106" si="34">EDATE(Q1043,4)</f>
        <v>45226</v>
      </c>
      <c r="X1043" s="263" t="s">
        <v>41</v>
      </c>
      <c r="Y1043" s="262">
        <v>45291</v>
      </c>
      <c r="Z1043" s="263" t="s">
        <v>40</v>
      </c>
      <c r="AA1043" s="262"/>
      <c r="AB1043" s="263" t="s">
        <v>40</v>
      </c>
      <c r="AC1043" s="262"/>
      <c r="AD1043" s="264"/>
      <c r="AE1043" s="264">
        <v>45565</v>
      </c>
      <c r="AF1043" s="71" t="s">
        <v>65</v>
      </c>
      <c r="AG1043" s="265">
        <v>2026</v>
      </c>
      <c r="AH1043" s="261">
        <f t="shared" si="33"/>
        <v>170700.00867500002</v>
      </c>
      <c r="AI1043" s="261"/>
      <c r="AJ1043" s="261"/>
      <c r="AK1043" s="260" t="s">
        <v>43</v>
      </c>
      <c r="AL1043" s="259" t="s">
        <v>41</v>
      </c>
      <c r="AM1043" s="266">
        <v>0</v>
      </c>
      <c r="AN1043" s="67"/>
      <c r="AO1043" s="256"/>
      <c r="AP1043" s="257"/>
    </row>
    <row r="1044" spans="1:42" s="258" customFormat="1" ht="37.950000000000003" customHeight="1" x14ac:dyDescent="0.3">
      <c r="A1044" s="259" t="s">
        <v>1641</v>
      </c>
      <c r="B1044" s="243" t="s">
        <v>1642</v>
      </c>
      <c r="C1044" s="244" t="s">
        <v>2273</v>
      </c>
      <c r="D1044" s="243" t="s">
        <v>34</v>
      </c>
      <c r="E1044" s="243" t="s">
        <v>1644</v>
      </c>
      <c r="F1044" s="260" t="s">
        <v>35</v>
      </c>
      <c r="G1044" s="260">
        <v>1</v>
      </c>
      <c r="H1044" s="245">
        <v>778720</v>
      </c>
      <c r="I1044" s="243" t="s">
        <v>36</v>
      </c>
      <c r="J1044" s="245">
        <f t="shared" si="32"/>
        <v>778720</v>
      </c>
      <c r="K1044" s="1695">
        <v>0</v>
      </c>
      <c r="L1044" s="1695">
        <v>0</v>
      </c>
      <c r="M1044" s="246" t="s">
        <v>60</v>
      </c>
      <c r="N1044" s="261" t="s">
        <v>2274</v>
      </c>
      <c r="O1044" s="261" t="s">
        <v>2275</v>
      </c>
      <c r="P1044" s="71" t="s">
        <v>41</v>
      </c>
      <c r="Q1044" s="262">
        <v>45104</v>
      </c>
      <c r="R1044" s="71" t="s">
        <v>41</v>
      </c>
      <c r="S1044" s="262">
        <v>45104</v>
      </c>
      <c r="T1044" s="263"/>
      <c r="U1044" s="262"/>
      <c r="V1044" s="263" t="s">
        <v>41</v>
      </c>
      <c r="W1044" s="262">
        <f t="shared" si="34"/>
        <v>45226</v>
      </c>
      <c r="X1044" s="263" t="s">
        <v>41</v>
      </c>
      <c r="Y1044" s="262">
        <v>45291</v>
      </c>
      <c r="Z1044" s="263" t="s">
        <v>40</v>
      </c>
      <c r="AA1044" s="262"/>
      <c r="AB1044" s="263" t="s">
        <v>40</v>
      </c>
      <c r="AC1044" s="262"/>
      <c r="AD1044" s="264"/>
      <c r="AE1044" s="264">
        <v>45565</v>
      </c>
      <c r="AF1044" s="71" t="s">
        <v>65</v>
      </c>
      <c r="AG1044" s="265">
        <v>2026</v>
      </c>
      <c r="AH1044" s="261">
        <f t="shared" si="33"/>
        <v>0</v>
      </c>
      <c r="AI1044" s="261"/>
      <c r="AJ1044" s="261"/>
      <c r="AK1044" s="260" t="s">
        <v>43</v>
      </c>
      <c r="AL1044" s="259" t="s">
        <v>41</v>
      </c>
      <c r="AM1044" s="266">
        <v>0</v>
      </c>
      <c r="AN1044" s="67"/>
      <c r="AO1044" s="256"/>
      <c r="AP1044" s="257"/>
    </row>
    <row r="1045" spans="1:42" s="258" customFormat="1" ht="37.950000000000003" customHeight="1" x14ac:dyDescent="0.3">
      <c r="A1045" s="259" t="s">
        <v>1641</v>
      </c>
      <c r="B1045" s="243" t="s">
        <v>1642</v>
      </c>
      <c r="C1045" s="244" t="s">
        <v>2276</v>
      </c>
      <c r="D1045" s="243" t="s">
        <v>34</v>
      </c>
      <c r="E1045" s="243" t="s">
        <v>1644</v>
      </c>
      <c r="F1045" s="260" t="s">
        <v>35</v>
      </c>
      <c r="G1045" s="260">
        <v>1</v>
      </c>
      <c r="H1045" s="245">
        <v>756305.63</v>
      </c>
      <c r="I1045" s="243" t="s">
        <v>36</v>
      </c>
      <c r="J1045" s="245">
        <f t="shared" si="32"/>
        <v>756305.63</v>
      </c>
      <c r="K1045" s="1695">
        <v>0</v>
      </c>
      <c r="L1045" s="1695">
        <v>0</v>
      </c>
      <c r="M1045" s="246" t="s">
        <v>534</v>
      </c>
      <c r="N1045" s="261" t="s">
        <v>2277</v>
      </c>
      <c r="O1045" s="261" t="s">
        <v>2278</v>
      </c>
      <c r="P1045" s="71" t="s">
        <v>41</v>
      </c>
      <c r="Q1045" s="262">
        <v>45104</v>
      </c>
      <c r="R1045" s="71" t="s">
        <v>41</v>
      </c>
      <c r="S1045" s="262">
        <v>45104</v>
      </c>
      <c r="T1045" s="263"/>
      <c r="U1045" s="262"/>
      <c r="V1045" s="263" t="s">
        <v>41</v>
      </c>
      <c r="W1045" s="262">
        <f t="shared" si="34"/>
        <v>45226</v>
      </c>
      <c r="X1045" s="263" t="s">
        <v>41</v>
      </c>
      <c r="Y1045" s="262">
        <v>45291</v>
      </c>
      <c r="Z1045" s="263" t="s">
        <v>40</v>
      </c>
      <c r="AA1045" s="262"/>
      <c r="AB1045" s="263" t="s">
        <v>40</v>
      </c>
      <c r="AC1045" s="262"/>
      <c r="AD1045" s="264"/>
      <c r="AE1045" s="264">
        <v>45565</v>
      </c>
      <c r="AF1045" s="71" t="s">
        <v>65</v>
      </c>
      <c r="AG1045" s="265">
        <v>2026</v>
      </c>
      <c r="AH1045" s="261">
        <f t="shared" si="33"/>
        <v>0</v>
      </c>
      <c r="AI1045" s="261"/>
      <c r="AJ1045" s="261"/>
      <c r="AK1045" s="260" t="s">
        <v>43</v>
      </c>
      <c r="AL1045" s="259" t="s">
        <v>41</v>
      </c>
      <c r="AM1045" s="266">
        <v>0</v>
      </c>
      <c r="AN1045" s="67"/>
      <c r="AO1045" s="256"/>
      <c r="AP1045" s="257"/>
    </row>
    <row r="1046" spans="1:42" s="258" customFormat="1" ht="37.950000000000003" customHeight="1" x14ac:dyDescent="0.3">
      <c r="A1046" s="259" t="s">
        <v>1641</v>
      </c>
      <c r="B1046" s="243" t="s">
        <v>1642</v>
      </c>
      <c r="C1046" s="244" t="s">
        <v>2279</v>
      </c>
      <c r="D1046" s="243" t="s">
        <v>34</v>
      </c>
      <c r="E1046" s="243" t="s">
        <v>1644</v>
      </c>
      <c r="F1046" s="260" t="s">
        <v>35</v>
      </c>
      <c r="G1046" s="260">
        <v>1</v>
      </c>
      <c r="H1046" s="245">
        <v>778720</v>
      </c>
      <c r="I1046" s="243" t="s">
        <v>36</v>
      </c>
      <c r="J1046" s="245">
        <f t="shared" si="32"/>
        <v>778720</v>
      </c>
      <c r="K1046" s="1695">
        <f>1626.18+20327.27+14534</f>
        <v>36487.449999999997</v>
      </c>
      <c r="L1046" s="1695">
        <f>K1046</f>
        <v>36487.449999999997</v>
      </c>
      <c r="M1046" s="246" t="s">
        <v>55</v>
      </c>
      <c r="N1046" s="261" t="s">
        <v>2280</v>
      </c>
      <c r="O1046" s="261" t="s">
        <v>2281</v>
      </c>
      <c r="P1046" s="71" t="s">
        <v>41</v>
      </c>
      <c r="Q1046" s="262">
        <v>45104</v>
      </c>
      <c r="R1046" s="71" t="s">
        <v>41</v>
      </c>
      <c r="S1046" s="262">
        <v>45104</v>
      </c>
      <c r="T1046" s="263"/>
      <c r="U1046" s="262"/>
      <c r="V1046" s="263" t="s">
        <v>41</v>
      </c>
      <c r="W1046" s="262">
        <f t="shared" si="34"/>
        <v>45226</v>
      </c>
      <c r="X1046" s="263" t="s">
        <v>41</v>
      </c>
      <c r="Y1046" s="262">
        <v>45291</v>
      </c>
      <c r="Z1046" s="263" t="s">
        <v>40</v>
      </c>
      <c r="AA1046" s="262"/>
      <c r="AB1046" s="263" t="s">
        <v>40</v>
      </c>
      <c r="AC1046" s="262"/>
      <c r="AD1046" s="264"/>
      <c r="AE1046" s="264">
        <v>45565</v>
      </c>
      <c r="AF1046" s="71" t="s">
        <v>65</v>
      </c>
      <c r="AG1046" s="265">
        <v>2026</v>
      </c>
      <c r="AH1046" s="261">
        <f t="shared" si="33"/>
        <v>179500.01027499998</v>
      </c>
      <c r="AI1046" s="261"/>
      <c r="AJ1046" s="261"/>
      <c r="AK1046" s="260" t="s">
        <v>43</v>
      </c>
      <c r="AL1046" s="259" t="s">
        <v>41</v>
      </c>
      <c r="AM1046" s="266">
        <v>0</v>
      </c>
      <c r="AN1046" s="67"/>
      <c r="AO1046" s="256"/>
      <c r="AP1046" s="257"/>
    </row>
    <row r="1047" spans="1:42" s="258" customFormat="1" ht="37.950000000000003" customHeight="1" x14ac:dyDescent="0.3">
      <c r="A1047" s="259" t="s">
        <v>1641</v>
      </c>
      <c r="B1047" s="243" t="s">
        <v>1642</v>
      </c>
      <c r="C1047" s="244" t="s">
        <v>2282</v>
      </c>
      <c r="D1047" s="243" t="s">
        <v>34</v>
      </c>
      <c r="E1047" s="243" t="s">
        <v>1644</v>
      </c>
      <c r="F1047" s="260" t="s">
        <v>35</v>
      </c>
      <c r="G1047" s="260">
        <v>1</v>
      </c>
      <c r="H1047" s="245">
        <v>778720</v>
      </c>
      <c r="I1047" s="243" t="s">
        <v>36</v>
      </c>
      <c r="J1047" s="245">
        <f t="shared" si="32"/>
        <v>778720</v>
      </c>
      <c r="K1047" s="1695">
        <f>8893.18+24189.45</f>
        <v>33082.630000000005</v>
      </c>
      <c r="L1047" s="1695">
        <f>K1047</f>
        <v>33082.630000000005</v>
      </c>
      <c r="M1047" s="246" t="s">
        <v>303</v>
      </c>
      <c r="N1047" s="261" t="s">
        <v>2283</v>
      </c>
      <c r="O1047" s="261" t="s">
        <v>2284</v>
      </c>
      <c r="P1047" s="71" t="s">
        <v>41</v>
      </c>
      <c r="Q1047" s="262">
        <v>45104</v>
      </c>
      <c r="R1047" s="71" t="s">
        <v>41</v>
      </c>
      <c r="S1047" s="262">
        <v>45104</v>
      </c>
      <c r="T1047" s="263"/>
      <c r="U1047" s="262"/>
      <c r="V1047" s="263" t="s">
        <v>41</v>
      </c>
      <c r="W1047" s="262">
        <f t="shared" si="34"/>
        <v>45226</v>
      </c>
      <c r="X1047" s="263" t="s">
        <v>41</v>
      </c>
      <c r="Y1047" s="262">
        <v>45291</v>
      </c>
      <c r="Z1047" s="263" t="s">
        <v>40</v>
      </c>
      <c r="AA1047" s="262"/>
      <c r="AB1047" s="263" t="s">
        <v>40</v>
      </c>
      <c r="AC1047" s="262"/>
      <c r="AD1047" s="264"/>
      <c r="AE1047" s="264">
        <v>45565</v>
      </c>
      <c r="AF1047" s="71" t="s">
        <v>65</v>
      </c>
      <c r="AG1047" s="265">
        <v>2026</v>
      </c>
      <c r="AH1047" s="261">
        <f t="shared" si="33"/>
        <v>162749.99828500004</v>
      </c>
      <c r="AI1047" s="261"/>
      <c r="AJ1047" s="261"/>
      <c r="AK1047" s="260" t="s">
        <v>43</v>
      </c>
      <c r="AL1047" s="259" t="s">
        <v>41</v>
      </c>
      <c r="AM1047" s="266">
        <v>0</v>
      </c>
      <c r="AN1047" s="67"/>
      <c r="AO1047" s="256"/>
      <c r="AP1047" s="257"/>
    </row>
    <row r="1048" spans="1:42" s="258" customFormat="1" ht="37.950000000000003" customHeight="1" x14ac:dyDescent="0.3">
      <c r="A1048" s="259" t="s">
        <v>1641</v>
      </c>
      <c r="B1048" s="243" t="s">
        <v>1642</v>
      </c>
      <c r="C1048" s="244" t="s">
        <v>2285</v>
      </c>
      <c r="D1048" s="243" t="s">
        <v>34</v>
      </c>
      <c r="E1048" s="243" t="s">
        <v>1644</v>
      </c>
      <c r="F1048" s="260" t="s">
        <v>35</v>
      </c>
      <c r="G1048" s="260">
        <v>1</v>
      </c>
      <c r="H1048" s="245">
        <v>778720</v>
      </c>
      <c r="I1048" s="243" t="s">
        <v>36</v>
      </c>
      <c r="J1048" s="245">
        <f t="shared" si="32"/>
        <v>778720</v>
      </c>
      <c r="K1048" s="1695">
        <f>23614.95</f>
        <v>23614.95</v>
      </c>
      <c r="L1048" s="1695">
        <f>23614.95</f>
        <v>23614.95</v>
      </c>
      <c r="M1048" s="246" t="s">
        <v>200</v>
      </c>
      <c r="N1048" s="261" t="s">
        <v>2286</v>
      </c>
      <c r="O1048" s="261" t="s">
        <v>2287</v>
      </c>
      <c r="P1048" s="71" t="s">
        <v>41</v>
      </c>
      <c r="Q1048" s="262">
        <v>45104</v>
      </c>
      <c r="R1048" s="71" t="s">
        <v>41</v>
      </c>
      <c r="S1048" s="262">
        <v>45104</v>
      </c>
      <c r="T1048" s="263"/>
      <c r="U1048" s="262"/>
      <c r="V1048" s="263" t="s">
        <v>41</v>
      </c>
      <c r="W1048" s="262">
        <f t="shared" si="34"/>
        <v>45226</v>
      </c>
      <c r="X1048" s="263" t="s">
        <v>41</v>
      </c>
      <c r="Y1048" s="262">
        <v>45291</v>
      </c>
      <c r="Z1048" s="263" t="s">
        <v>40</v>
      </c>
      <c r="AA1048" s="262"/>
      <c r="AB1048" s="263" t="s">
        <v>40</v>
      </c>
      <c r="AC1048" s="262"/>
      <c r="AD1048" s="264"/>
      <c r="AE1048" s="264">
        <v>45565</v>
      </c>
      <c r="AF1048" s="71" t="s">
        <v>65</v>
      </c>
      <c r="AG1048" s="265">
        <v>2026</v>
      </c>
      <c r="AH1048" s="261">
        <f t="shared" si="33"/>
        <v>116173.74652500001</v>
      </c>
      <c r="AI1048" s="261"/>
      <c r="AJ1048" s="261"/>
      <c r="AK1048" s="260" t="s">
        <v>43</v>
      </c>
      <c r="AL1048" s="259" t="s">
        <v>41</v>
      </c>
      <c r="AM1048" s="266">
        <v>0</v>
      </c>
      <c r="AN1048" s="67"/>
      <c r="AO1048" s="256"/>
      <c r="AP1048" s="257"/>
    </row>
    <row r="1049" spans="1:42" s="258" customFormat="1" ht="37.950000000000003" customHeight="1" x14ac:dyDescent="0.3">
      <c r="A1049" s="259" t="s">
        <v>1641</v>
      </c>
      <c r="B1049" s="243" t="s">
        <v>1642</v>
      </c>
      <c r="C1049" s="244" t="s">
        <v>2288</v>
      </c>
      <c r="D1049" s="243" t="s">
        <v>34</v>
      </c>
      <c r="E1049" s="243" t="s">
        <v>1644</v>
      </c>
      <c r="F1049" s="260" t="s">
        <v>35</v>
      </c>
      <c r="G1049" s="260">
        <v>1</v>
      </c>
      <c r="H1049" s="245">
        <v>778720</v>
      </c>
      <c r="I1049" s="243" t="s">
        <v>36</v>
      </c>
      <c r="J1049" s="245">
        <f t="shared" si="32"/>
        <v>778720</v>
      </c>
      <c r="K1049" s="1695">
        <v>0</v>
      </c>
      <c r="L1049" s="1695">
        <v>0</v>
      </c>
      <c r="M1049" s="246" t="s">
        <v>868</v>
      </c>
      <c r="N1049" s="261" t="s">
        <v>2289</v>
      </c>
      <c r="O1049" s="261" t="s">
        <v>2290</v>
      </c>
      <c r="P1049" s="71" t="s">
        <v>41</v>
      </c>
      <c r="Q1049" s="262">
        <v>45083</v>
      </c>
      <c r="R1049" s="71" t="s">
        <v>41</v>
      </c>
      <c r="S1049" s="262">
        <v>45083</v>
      </c>
      <c r="T1049" s="263"/>
      <c r="U1049" s="262"/>
      <c r="V1049" s="263" t="s">
        <v>41</v>
      </c>
      <c r="W1049" s="262">
        <f t="shared" si="34"/>
        <v>45205</v>
      </c>
      <c r="X1049" s="263" t="s">
        <v>41</v>
      </c>
      <c r="Y1049" s="262">
        <v>45291</v>
      </c>
      <c r="Z1049" s="263" t="s">
        <v>40</v>
      </c>
      <c r="AA1049" s="262"/>
      <c r="AB1049" s="263" t="s">
        <v>40</v>
      </c>
      <c r="AC1049" s="262"/>
      <c r="AD1049" s="264"/>
      <c r="AE1049" s="264">
        <v>45565</v>
      </c>
      <c r="AF1049" s="71" t="s">
        <v>65</v>
      </c>
      <c r="AG1049" s="265">
        <v>2026</v>
      </c>
      <c r="AH1049" s="261">
        <f t="shared" si="33"/>
        <v>0</v>
      </c>
      <c r="AI1049" s="261"/>
      <c r="AJ1049" s="261"/>
      <c r="AK1049" s="260" t="s">
        <v>43</v>
      </c>
      <c r="AL1049" s="259" t="s">
        <v>41</v>
      </c>
      <c r="AM1049" s="266">
        <v>0</v>
      </c>
      <c r="AN1049" s="67"/>
      <c r="AO1049" s="256"/>
      <c r="AP1049" s="257"/>
    </row>
    <row r="1050" spans="1:42" s="258" customFormat="1" ht="37.950000000000003" customHeight="1" x14ac:dyDescent="0.3">
      <c r="A1050" s="259" t="s">
        <v>1641</v>
      </c>
      <c r="B1050" s="243" t="s">
        <v>1642</v>
      </c>
      <c r="C1050" s="244" t="s">
        <v>2291</v>
      </c>
      <c r="D1050" s="243" t="s">
        <v>34</v>
      </c>
      <c r="E1050" s="243" t="s">
        <v>1644</v>
      </c>
      <c r="F1050" s="260" t="s">
        <v>35</v>
      </c>
      <c r="G1050" s="260">
        <v>1</v>
      </c>
      <c r="H1050" s="245">
        <v>778358.6</v>
      </c>
      <c r="I1050" s="243" t="s">
        <v>36</v>
      </c>
      <c r="J1050" s="245">
        <f t="shared" si="32"/>
        <v>778358.6</v>
      </c>
      <c r="K1050" s="1695">
        <f>1645.29+25695.24+119572.16</f>
        <v>146912.69</v>
      </c>
      <c r="L1050" s="1695">
        <f>1645.29+25695.24+119572.16</f>
        <v>146912.69</v>
      </c>
      <c r="M1050" s="246">
        <f t="shared" ref="M1050:N1050" si="35">1645.29+25695.24</f>
        <v>27340.530000000002</v>
      </c>
      <c r="N1050" s="246">
        <f t="shared" si="35"/>
        <v>27340.530000000002</v>
      </c>
      <c r="O1050" s="261" t="s">
        <v>2292</v>
      </c>
      <c r="P1050" s="71" t="s">
        <v>41</v>
      </c>
      <c r="Q1050" s="262">
        <v>45104</v>
      </c>
      <c r="R1050" s="71" t="s">
        <v>41</v>
      </c>
      <c r="S1050" s="262">
        <v>45104</v>
      </c>
      <c r="T1050" s="263"/>
      <c r="U1050" s="262"/>
      <c r="V1050" s="263" t="s">
        <v>41</v>
      </c>
      <c r="W1050" s="262">
        <f t="shared" si="34"/>
        <v>45226</v>
      </c>
      <c r="X1050" s="263" t="s">
        <v>41</v>
      </c>
      <c r="Y1050" s="262">
        <v>45291</v>
      </c>
      <c r="Z1050" s="263" t="s">
        <v>40</v>
      </c>
      <c r="AA1050" s="262"/>
      <c r="AB1050" s="263" t="s">
        <v>40</v>
      </c>
      <c r="AC1050" s="262"/>
      <c r="AD1050" s="264"/>
      <c r="AE1050" s="264">
        <v>45565</v>
      </c>
      <c r="AF1050" s="71" t="s">
        <v>65</v>
      </c>
      <c r="AG1050" s="265">
        <v>2026</v>
      </c>
      <c r="AH1050" s="261">
        <f t="shared" si="33"/>
        <v>722736.97845500009</v>
      </c>
      <c r="AI1050" s="261"/>
      <c r="AJ1050" s="261"/>
      <c r="AK1050" s="260" t="s">
        <v>43</v>
      </c>
      <c r="AL1050" s="259" t="s">
        <v>41</v>
      </c>
      <c r="AM1050" s="266">
        <v>0</v>
      </c>
      <c r="AN1050" s="67"/>
      <c r="AO1050" s="256"/>
      <c r="AP1050" s="257"/>
    </row>
    <row r="1051" spans="1:42" s="269" customFormat="1" ht="37.950000000000003" customHeight="1" x14ac:dyDescent="0.3">
      <c r="A1051" s="259" t="s">
        <v>1641</v>
      </c>
      <c r="B1051" s="243" t="s">
        <v>1642</v>
      </c>
      <c r="C1051" s="244" t="s">
        <v>2293</v>
      </c>
      <c r="D1051" s="243" t="s">
        <v>34</v>
      </c>
      <c r="E1051" s="243" t="s">
        <v>1644</v>
      </c>
      <c r="F1051" s="260" t="s">
        <v>35</v>
      </c>
      <c r="G1051" s="260">
        <v>1</v>
      </c>
      <c r="H1051" s="245">
        <v>778720</v>
      </c>
      <c r="I1051" s="243" t="s">
        <v>36</v>
      </c>
      <c r="J1051" s="245">
        <f t="shared" si="32"/>
        <v>778720</v>
      </c>
      <c r="K1051" s="1695">
        <f>2032.72+24189.45+16566.72</f>
        <v>42788.89</v>
      </c>
      <c r="L1051" s="1695">
        <f>2032.72+24189.45+16566.72</f>
        <v>42788.89</v>
      </c>
      <c r="M1051" s="246" t="s">
        <v>200</v>
      </c>
      <c r="N1051" s="261" t="s">
        <v>632</v>
      </c>
      <c r="O1051" s="261" t="s">
        <v>2294</v>
      </c>
      <c r="P1051" s="71" t="s">
        <v>41</v>
      </c>
      <c r="Q1051" s="262">
        <v>45090</v>
      </c>
      <c r="R1051" s="71" t="s">
        <v>41</v>
      </c>
      <c r="S1051" s="262">
        <v>45090</v>
      </c>
      <c r="T1051" s="263"/>
      <c r="U1051" s="262"/>
      <c r="V1051" s="263" t="s">
        <v>41</v>
      </c>
      <c r="W1051" s="262">
        <f t="shared" si="34"/>
        <v>45212</v>
      </c>
      <c r="X1051" s="263" t="s">
        <v>41</v>
      </c>
      <c r="Y1051" s="262">
        <v>45291</v>
      </c>
      <c r="Z1051" s="263" t="s">
        <v>40</v>
      </c>
      <c r="AA1051" s="262"/>
      <c r="AB1051" s="263" t="s">
        <v>40</v>
      </c>
      <c r="AC1051" s="262"/>
      <c r="AD1051" s="264"/>
      <c r="AE1051" s="264">
        <v>45565</v>
      </c>
      <c r="AF1051" s="71" t="s">
        <v>65</v>
      </c>
      <c r="AG1051" s="265">
        <v>2026</v>
      </c>
      <c r="AH1051" s="261">
        <f t="shared" si="33"/>
        <v>210499.94435500001</v>
      </c>
      <c r="AI1051" s="261"/>
      <c r="AJ1051" s="261"/>
      <c r="AK1051" s="260" t="s">
        <v>43</v>
      </c>
      <c r="AL1051" s="259" t="s">
        <v>41</v>
      </c>
      <c r="AM1051" s="266">
        <v>0</v>
      </c>
      <c r="AN1051" s="67"/>
      <c r="AO1051" s="267"/>
      <c r="AP1051" s="268"/>
    </row>
    <row r="1052" spans="1:42" s="258" customFormat="1" ht="37.950000000000003" customHeight="1" x14ac:dyDescent="0.3">
      <c r="A1052" s="259" t="s">
        <v>1641</v>
      </c>
      <c r="B1052" s="243" t="s">
        <v>1642</v>
      </c>
      <c r="C1052" s="244" t="s">
        <v>2295</v>
      </c>
      <c r="D1052" s="243" t="s">
        <v>34</v>
      </c>
      <c r="E1052" s="243" t="s">
        <v>1644</v>
      </c>
      <c r="F1052" s="260" t="s">
        <v>35</v>
      </c>
      <c r="G1052" s="260">
        <v>1</v>
      </c>
      <c r="H1052" s="245">
        <v>778720</v>
      </c>
      <c r="I1052" s="243" t="s">
        <v>36</v>
      </c>
      <c r="J1052" s="245">
        <f t="shared" si="32"/>
        <v>778720</v>
      </c>
      <c r="K1052" s="1695">
        <f>33336.72</f>
        <v>33336.720000000001</v>
      </c>
      <c r="L1052" s="1695">
        <f>33336.72</f>
        <v>33336.720000000001</v>
      </c>
      <c r="M1052" s="246" t="s">
        <v>60</v>
      </c>
      <c r="N1052" s="261" t="s">
        <v>2296</v>
      </c>
      <c r="O1052" s="261" t="s">
        <v>2297</v>
      </c>
      <c r="P1052" s="71" t="s">
        <v>41</v>
      </c>
      <c r="Q1052" s="262">
        <v>45104</v>
      </c>
      <c r="R1052" s="71" t="s">
        <v>41</v>
      </c>
      <c r="S1052" s="262">
        <v>45104</v>
      </c>
      <c r="T1052" s="263"/>
      <c r="U1052" s="262"/>
      <c r="V1052" s="263" t="s">
        <v>41</v>
      </c>
      <c r="W1052" s="262">
        <f t="shared" si="34"/>
        <v>45226</v>
      </c>
      <c r="X1052" s="263" t="s">
        <v>41</v>
      </c>
      <c r="Y1052" s="262">
        <v>45291</v>
      </c>
      <c r="Z1052" s="263" t="s">
        <v>40</v>
      </c>
      <c r="AA1052" s="262"/>
      <c r="AB1052" s="263" t="s">
        <v>40</v>
      </c>
      <c r="AC1052" s="262"/>
      <c r="AD1052" s="264"/>
      <c r="AE1052" s="264">
        <v>45565</v>
      </c>
      <c r="AF1052" s="71" t="s">
        <v>65</v>
      </c>
      <c r="AG1052" s="265">
        <v>2026</v>
      </c>
      <c r="AH1052" s="261">
        <f t="shared" si="33"/>
        <v>163999.99404000002</v>
      </c>
      <c r="AI1052" s="261"/>
      <c r="AJ1052" s="261"/>
      <c r="AK1052" s="260" t="s">
        <v>43</v>
      </c>
      <c r="AL1052" s="259" t="s">
        <v>41</v>
      </c>
      <c r="AM1052" s="266">
        <v>0</v>
      </c>
      <c r="AN1052" s="67"/>
      <c r="AO1052" s="256"/>
      <c r="AP1052" s="257"/>
    </row>
    <row r="1053" spans="1:42" s="258" customFormat="1" ht="37.950000000000003" customHeight="1" x14ac:dyDescent="0.3">
      <c r="A1053" s="259" t="s">
        <v>1641</v>
      </c>
      <c r="B1053" s="243" t="s">
        <v>1642</v>
      </c>
      <c r="C1053" s="244" t="s">
        <v>2298</v>
      </c>
      <c r="D1053" s="243" t="s">
        <v>34</v>
      </c>
      <c r="E1053" s="243" t="s">
        <v>1644</v>
      </c>
      <c r="F1053" s="260" t="s">
        <v>35</v>
      </c>
      <c r="G1053" s="260">
        <v>1</v>
      </c>
      <c r="H1053" s="245">
        <v>778720</v>
      </c>
      <c r="I1053" s="243" t="s">
        <v>36</v>
      </c>
      <c r="J1053" s="245">
        <f t="shared" si="32"/>
        <v>778720</v>
      </c>
      <c r="K1053" s="1695">
        <f>9147.27+32655.76+12094.73</f>
        <v>53897.759999999995</v>
      </c>
      <c r="L1053" s="1695">
        <f>K1053</f>
        <v>53897.759999999995</v>
      </c>
      <c r="M1053" s="246" t="s">
        <v>133</v>
      </c>
      <c r="N1053" s="261" t="s">
        <v>2299</v>
      </c>
      <c r="O1053" s="261" t="s">
        <v>2300</v>
      </c>
      <c r="P1053" s="71" t="s">
        <v>41</v>
      </c>
      <c r="Q1053" s="262">
        <v>45094</v>
      </c>
      <c r="R1053" s="71" t="s">
        <v>41</v>
      </c>
      <c r="S1053" s="262">
        <v>45094</v>
      </c>
      <c r="T1053" s="263"/>
      <c r="U1053" s="262"/>
      <c r="V1053" s="263" t="s">
        <v>41</v>
      </c>
      <c r="W1053" s="262">
        <f t="shared" si="34"/>
        <v>45216</v>
      </c>
      <c r="X1053" s="263" t="s">
        <v>41</v>
      </c>
      <c r="Y1053" s="262">
        <v>45291</v>
      </c>
      <c r="Z1053" s="263" t="s">
        <v>40</v>
      </c>
      <c r="AA1053" s="262"/>
      <c r="AB1053" s="263" t="s">
        <v>40</v>
      </c>
      <c r="AC1053" s="262"/>
      <c r="AD1053" s="264"/>
      <c r="AE1053" s="264">
        <v>45565</v>
      </c>
      <c r="AF1053" s="71" t="s">
        <v>65</v>
      </c>
      <c r="AG1053" s="265">
        <v>2026</v>
      </c>
      <c r="AH1053" s="261">
        <f t="shared" si="33"/>
        <v>265150.03031999996</v>
      </c>
      <c r="AI1053" s="261"/>
      <c r="AJ1053" s="261"/>
      <c r="AK1053" s="260" t="s">
        <v>43</v>
      </c>
      <c r="AL1053" s="259" t="s">
        <v>41</v>
      </c>
      <c r="AM1053" s="266">
        <v>0</v>
      </c>
      <c r="AN1053" s="67"/>
      <c r="AO1053" s="256"/>
      <c r="AP1053" s="257"/>
    </row>
    <row r="1054" spans="1:42" s="258" customFormat="1" ht="37.950000000000003" customHeight="1" x14ac:dyDescent="0.3">
      <c r="A1054" s="259" t="s">
        <v>1641</v>
      </c>
      <c r="B1054" s="243" t="s">
        <v>1642</v>
      </c>
      <c r="C1054" s="244" t="s">
        <v>2301</v>
      </c>
      <c r="D1054" s="243" t="s">
        <v>34</v>
      </c>
      <c r="E1054" s="243" t="s">
        <v>1644</v>
      </c>
      <c r="F1054" s="260" t="s">
        <v>35</v>
      </c>
      <c r="G1054" s="260">
        <v>1</v>
      </c>
      <c r="H1054" s="245">
        <v>778720</v>
      </c>
      <c r="I1054" s="243" t="s">
        <v>36</v>
      </c>
      <c r="J1054" s="245">
        <f t="shared" si="32"/>
        <v>778720</v>
      </c>
      <c r="K1054" s="1695">
        <f>15245.45+30191.89</f>
        <v>45437.34</v>
      </c>
      <c r="L1054" s="1695">
        <f>K1054</f>
        <v>45437.34</v>
      </c>
      <c r="M1054" s="246" t="s">
        <v>62</v>
      </c>
      <c r="N1054" s="261" t="s">
        <v>2302</v>
      </c>
      <c r="O1054" s="261" t="s">
        <v>2303</v>
      </c>
      <c r="P1054" s="71" t="s">
        <v>41</v>
      </c>
      <c r="Q1054" s="262">
        <v>45099</v>
      </c>
      <c r="R1054" s="71" t="s">
        <v>41</v>
      </c>
      <c r="S1054" s="262">
        <v>45099</v>
      </c>
      <c r="T1054" s="263"/>
      <c r="U1054" s="262"/>
      <c r="V1054" s="263" t="s">
        <v>41</v>
      </c>
      <c r="W1054" s="262">
        <f t="shared" si="34"/>
        <v>45221</v>
      </c>
      <c r="X1054" s="263" t="s">
        <v>41</v>
      </c>
      <c r="Y1054" s="262">
        <v>45291</v>
      </c>
      <c r="Z1054" s="263" t="s">
        <v>40</v>
      </c>
      <c r="AA1054" s="262"/>
      <c r="AB1054" s="263" t="s">
        <v>40</v>
      </c>
      <c r="AC1054" s="262"/>
      <c r="AD1054" s="264"/>
      <c r="AE1054" s="264">
        <v>45565</v>
      </c>
      <c r="AF1054" s="71" t="s">
        <v>65</v>
      </c>
      <c r="AG1054" s="265">
        <v>2026</v>
      </c>
      <c r="AH1054" s="261">
        <f t="shared" si="33"/>
        <v>223528.99413000001</v>
      </c>
      <c r="AI1054" s="261"/>
      <c r="AJ1054" s="261"/>
      <c r="AK1054" s="260" t="s">
        <v>43</v>
      </c>
      <c r="AL1054" s="259" t="s">
        <v>41</v>
      </c>
      <c r="AM1054" s="266">
        <v>0</v>
      </c>
      <c r="AN1054" s="67"/>
      <c r="AO1054" s="256"/>
      <c r="AP1054" s="257"/>
    </row>
    <row r="1055" spans="1:42" s="258" customFormat="1" ht="37.950000000000003" customHeight="1" x14ac:dyDescent="0.3">
      <c r="A1055" s="259" t="s">
        <v>1641</v>
      </c>
      <c r="B1055" s="243" t="s">
        <v>1642</v>
      </c>
      <c r="C1055" s="244" t="s">
        <v>2304</v>
      </c>
      <c r="D1055" s="243" t="s">
        <v>34</v>
      </c>
      <c r="E1055" s="243" t="s">
        <v>1644</v>
      </c>
      <c r="F1055" s="260" t="s">
        <v>35</v>
      </c>
      <c r="G1055" s="260">
        <v>1</v>
      </c>
      <c r="H1055" s="245">
        <v>769947.52</v>
      </c>
      <c r="I1055" s="243" t="s">
        <v>36</v>
      </c>
      <c r="J1055" s="245">
        <f t="shared" si="32"/>
        <v>769947.52</v>
      </c>
      <c r="K1055" s="1695">
        <f>18904.36+20609.41</f>
        <v>39513.770000000004</v>
      </c>
      <c r="L1055" s="1695">
        <f>18904.36+20609.41</f>
        <v>39513.770000000004</v>
      </c>
      <c r="M1055" s="246" t="s">
        <v>868</v>
      </c>
      <c r="N1055" s="261" t="s">
        <v>2305</v>
      </c>
      <c r="O1055" s="261" t="s">
        <v>2306</v>
      </c>
      <c r="P1055" s="71" t="s">
        <v>41</v>
      </c>
      <c r="Q1055" s="262">
        <v>45090</v>
      </c>
      <c r="R1055" s="71" t="s">
        <v>41</v>
      </c>
      <c r="S1055" s="262">
        <v>45090</v>
      </c>
      <c r="T1055" s="263"/>
      <c r="U1055" s="262"/>
      <c r="V1055" s="263" t="s">
        <v>41</v>
      </c>
      <c r="W1055" s="262">
        <f t="shared" si="34"/>
        <v>45212</v>
      </c>
      <c r="X1055" s="263" t="s">
        <v>41</v>
      </c>
      <c r="Y1055" s="262">
        <v>45291</v>
      </c>
      <c r="Z1055" s="263" t="s">
        <v>40</v>
      </c>
      <c r="AA1055" s="262"/>
      <c r="AB1055" s="263" t="s">
        <v>40</v>
      </c>
      <c r="AC1055" s="262"/>
      <c r="AD1055" s="264"/>
      <c r="AE1055" s="264">
        <v>45565</v>
      </c>
      <c r="AF1055" s="71" t="s">
        <v>65</v>
      </c>
      <c r="AG1055" s="265">
        <v>2026</v>
      </c>
      <c r="AH1055" s="261">
        <f t="shared" si="33"/>
        <v>194387.99151500003</v>
      </c>
      <c r="AI1055" s="261"/>
      <c r="AJ1055" s="261"/>
      <c r="AK1055" s="260" t="s">
        <v>43</v>
      </c>
      <c r="AL1055" s="259" t="s">
        <v>41</v>
      </c>
      <c r="AM1055" s="266">
        <v>0</v>
      </c>
      <c r="AN1055" s="67"/>
      <c r="AO1055" s="256"/>
      <c r="AP1055" s="257"/>
    </row>
    <row r="1056" spans="1:42" s="258" customFormat="1" ht="37.950000000000003" customHeight="1" x14ac:dyDescent="0.3">
      <c r="A1056" s="259" t="s">
        <v>1641</v>
      </c>
      <c r="B1056" s="243" t="s">
        <v>1642</v>
      </c>
      <c r="C1056" s="244" t="s">
        <v>2307</v>
      </c>
      <c r="D1056" s="243" t="s">
        <v>34</v>
      </c>
      <c r="E1056" s="243" t="s">
        <v>1644</v>
      </c>
      <c r="F1056" s="260" t="s">
        <v>35</v>
      </c>
      <c r="G1056" s="260">
        <v>1</v>
      </c>
      <c r="H1056" s="245">
        <v>778720</v>
      </c>
      <c r="I1056" s="243" t="s">
        <v>36</v>
      </c>
      <c r="J1056" s="245">
        <f t="shared" si="32"/>
        <v>778720</v>
      </c>
      <c r="K1056" s="1695">
        <v>12196.36</v>
      </c>
      <c r="L1056" s="1695">
        <v>12196.16</v>
      </c>
      <c r="M1056" s="246" t="s">
        <v>133</v>
      </c>
      <c r="N1056" s="261" t="s">
        <v>2308</v>
      </c>
      <c r="O1056" s="261" t="s">
        <v>2309</v>
      </c>
      <c r="P1056" s="71" t="s">
        <v>41</v>
      </c>
      <c r="Q1056" s="262">
        <v>45104</v>
      </c>
      <c r="R1056" s="71" t="s">
        <v>41</v>
      </c>
      <c r="S1056" s="262">
        <v>45104</v>
      </c>
      <c r="T1056" s="263"/>
      <c r="U1056" s="262"/>
      <c r="V1056" s="263" t="s">
        <v>41</v>
      </c>
      <c r="W1056" s="262">
        <f t="shared" si="34"/>
        <v>45226</v>
      </c>
      <c r="X1056" s="263" t="s">
        <v>41</v>
      </c>
      <c r="Y1056" s="262">
        <v>45291</v>
      </c>
      <c r="Z1056" s="263" t="s">
        <v>40</v>
      </c>
      <c r="AA1056" s="262"/>
      <c r="AB1056" s="263" t="s">
        <v>40</v>
      </c>
      <c r="AC1056" s="262"/>
      <c r="AD1056" s="264"/>
      <c r="AE1056" s="264">
        <v>45565</v>
      </c>
      <c r="AF1056" s="71" t="s">
        <v>65</v>
      </c>
      <c r="AG1056" s="265">
        <v>2026</v>
      </c>
      <c r="AH1056" s="261">
        <f t="shared" si="33"/>
        <v>59999.993020000009</v>
      </c>
      <c r="AI1056" s="261"/>
      <c r="AJ1056" s="261"/>
      <c r="AK1056" s="260" t="s">
        <v>43</v>
      </c>
      <c r="AL1056" s="259" t="s">
        <v>41</v>
      </c>
      <c r="AM1056" s="266">
        <v>0</v>
      </c>
      <c r="AN1056" s="67"/>
      <c r="AO1056" s="256"/>
      <c r="AP1056" s="257"/>
    </row>
    <row r="1057" spans="1:42" s="258" customFormat="1" ht="37.950000000000003" customHeight="1" x14ac:dyDescent="0.3">
      <c r="A1057" s="259" t="s">
        <v>1641</v>
      </c>
      <c r="B1057" s="243" t="s">
        <v>1642</v>
      </c>
      <c r="C1057" s="244" t="s">
        <v>2310</v>
      </c>
      <c r="D1057" s="243" t="s">
        <v>34</v>
      </c>
      <c r="E1057" s="243" t="s">
        <v>1644</v>
      </c>
      <c r="F1057" s="260" t="s">
        <v>35</v>
      </c>
      <c r="G1057" s="260">
        <v>1</v>
      </c>
      <c r="H1057" s="245">
        <v>778720</v>
      </c>
      <c r="I1057" s="243" t="s">
        <v>36</v>
      </c>
      <c r="J1057" s="245">
        <f t="shared" si="32"/>
        <v>778720</v>
      </c>
      <c r="K1057" s="1695">
        <v>6016.87</v>
      </c>
      <c r="L1057" s="1695">
        <v>6016.87</v>
      </c>
      <c r="M1057" s="246" t="s">
        <v>79</v>
      </c>
      <c r="N1057" s="261" t="s">
        <v>2311</v>
      </c>
      <c r="O1057" s="261" t="s">
        <v>2312</v>
      </c>
      <c r="P1057" s="71" t="s">
        <v>41</v>
      </c>
      <c r="Q1057" s="262">
        <v>45104</v>
      </c>
      <c r="R1057" s="71" t="s">
        <v>41</v>
      </c>
      <c r="S1057" s="262">
        <v>45104</v>
      </c>
      <c r="T1057" s="263"/>
      <c r="U1057" s="262"/>
      <c r="V1057" s="263" t="s">
        <v>41</v>
      </c>
      <c r="W1057" s="262">
        <f t="shared" si="34"/>
        <v>45226</v>
      </c>
      <c r="X1057" s="263" t="s">
        <v>41</v>
      </c>
      <c r="Y1057" s="262">
        <v>45291</v>
      </c>
      <c r="Z1057" s="263" t="s">
        <v>40</v>
      </c>
      <c r="AA1057" s="262"/>
      <c r="AB1057" s="263" t="s">
        <v>40</v>
      </c>
      <c r="AC1057" s="262"/>
      <c r="AD1057" s="264"/>
      <c r="AE1057" s="264">
        <v>45565</v>
      </c>
      <c r="AF1057" s="71" t="s">
        <v>65</v>
      </c>
      <c r="AG1057" s="265">
        <v>2026</v>
      </c>
      <c r="AH1057" s="261">
        <f t="shared" si="33"/>
        <v>29599.991965000001</v>
      </c>
      <c r="AI1057" s="261"/>
      <c r="AJ1057" s="261"/>
      <c r="AK1057" s="260" t="s">
        <v>43</v>
      </c>
      <c r="AL1057" s="259" t="s">
        <v>41</v>
      </c>
      <c r="AM1057" s="266">
        <v>0</v>
      </c>
      <c r="AN1057" s="67"/>
      <c r="AO1057" s="256"/>
      <c r="AP1057" s="257"/>
    </row>
    <row r="1058" spans="1:42" s="258" customFormat="1" ht="37.950000000000003" customHeight="1" x14ac:dyDescent="0.3">
      <c r="A1058" s="259" t="s">
        <v>1641</v>
      </c>
      <c r="B1058" s="243" t="s">
        <v>1642</v>
      </c>
      <c r="C1058" s="244" t="s">
        <v>2313</v>
      </c>
      <c r="D1058" s="243" t="s">
        <v>34</v>
      </c>
      <c r="E1058" s="243" t="s">
        <v>1644</v>
      </c>
      <c r="F1058" s="260" t="s">
        <v>35</v>
      </c>
      <c r="G1058" s="260">
        <v>1</v>
      </c>
      <c r="H1058" s="245">
        <v>778720</v>
      </c>
      <c r="I1058" s="243" t="s">
        <v>36</v>
      </c>
      <c r="J1058" s="245">
        <f t="shared" si="32"/>
        <v>778720</v>
      </c>
      <c r="K1058" s="1695">
        <f>24640.715</f>
        <v>24640.715</v>
      </c>
      <c r="L1058" s="1695">
        <f>24640.715</f>
        <v>24640.715</v>
      </c>
      <c r="M1058" s="246" t="s">
        <v>1208</v>
      </c>
      <c r="N1058" s="261" t="s">
        <v>2314</v>
      </c>
      <c r="O1058" s="261" t="s">
        <v>2315</v>
      </c>
      <c r="P1058" s="71" t="s">
        <v>41</v>
      </c>
      <c r="Q1058" s="262">
        <v>45104</v>
      </c>
      <c r="R1058" s="71" t="s">
        <v>41</v>
      </c>
      <c r="S1058" s="262">
        <v>45104</v>
      </c>
      <c r="T1058" s="263"/>
      <c r="U1058" s="262"/>
      <c r="V1058" s="263" t="s">
        <v>41</v>
      </c>
      <c r="W1058" s="262">
        <f t="shared" si="34"/>
        <v>45226</v>
      </c>
      <c r="X1058" s="263" t="s">
        <v>41</v>
      </c>
      <c r="Y1058" s="262">
        <v>45291</v>
      </c>
      <c r="Z1058" s="263" t="s">
        <v>40</v>
      </c>
      <c r="AA1058" s="262"/>
      <c r="AB1058" s="263" t="s">
        <v>40</v>
      </c>
      <c r="AC1058" s="262"/>
      <c r="AD1058" s="264"/>
      <c r="AE1058" s="264">
        <v>45565</v>
      </c>
      <c r="AF1058" s="71" t="s">
        <v>65</v>
      </c>
      <c r="AG1058" s="265">
        <v>2026</v>
      </c>
      <c r="AH1058" s="261">
        <f t="shared" si="33"/>
        <v>121219.99744250001</v>
      </c>
      <c r="AI1058" s="261"/>
      <c r="AJ1058" s="261"/>
      <c r="AK1058" s="260" t="s">
        <v>43</v>
      </c>
      <c r="AL1058" s="259" t="s">
        <v>41</v>
      </c>
      <c r="AM1058" s="266">
        <v>0</v>
      </c>
      <c r="AN1058" s="67"/>
      <c r="AO1058" s="256"/>
      <c r="AP1058" s="257"/>
    </row>
    <row r="1059" spans="1:42" s="258" customFormat="1" ht="37.950000000000003" customHeight="1" x14ac:dyDescent="0.3">
      <c r="A1059" s="259" t="s">
        <v>1641</v>
      </c>
      <c r="B1059" s="243" t="s">
        <v>1642</v>
      </c>
      <c r="C1059" s="244" t="s">
        <v>2316</v>
      </c>
      <c r="D1059" s="243" t="s">
        <v>34</v>
      </c>
      <c r="E1059" s="243" t="s">
        <v>1644</v>
      </c>
      <c r="F1059" s="260" t="s">
        <v>35</v>
      </c>
      <c r="G1059" s="260">
        <v>1</v>
      </c>
      <c r="H1059" s="245">
        <v>778720</v>
      </c>
      <c r="I1059" s="243" t="s">
        <v>36</v>
      </c>
      <c r="J1059" s="245">
        <f t="shared" si="32"/>
        <v>778720</v>
      </c>
      <c r="K1059" s="1695">
        <f>2032.73+20327.27+21746.32</f>
        <v>44106.32</v>
      </c>
      <c r="L1059" s="1695">
        <f>K1059</f>
        <v>44106.32</v>
      </c>
      <c r="M1059" s="294" t="s">
        <v>200</v>
      </c>
      <c r="N1059" s="295" t="s">
        <v>2317</v>
      </c>
      <c r="O1059" s="295" t="s">
        <v>2318</v>
      </c>
      <c r="P1059" s="71" t="s">
        <v>41</v>
      </c>
      <c r="Q1059" s="262">
        <v>45092</v>
      </c>
      <c r="R1059" s="71" t="s">
        <v>41</v>
      </c>
      <c r="S1059" s="262">
        <v>45092</v>
      </c>
      <c r="T1059" s="263"/>
      <c r="U1059" s="262"/>
      <c r="V1059" s="263" t="s">
        <v>41</v>
      </c>
      <c r="W1059" s="262">
        <f t="shared" si="34"/>
        <v>45214</v>
      </c>
      <c r="X1059" s="263" t="s">
        <v>41</v>
      </c>
      <c r="Y1059" s="262">
        <v>45291</v>
      </c>
      <c r="Z1059" s="263" t="s">
        <v>40</v>
      </c>
      <c r="AA1059" s="262"/>
      <c r="AB1059" s="263" t="s">
        <v>40</v>
      </c>
      <c r="AC1059" s="262"/>
      <c r="AD1059" s="264"/>
      <c r="AE1059" s="264">
        <v>45565</v>
      </c>
      <c r="AF1059" s="71" t="s">
        <v>65</v>
      </c>
      <c r="AG1059" s="265">
        <v>2026</v>
      </c>
      <c r="AH1059" s="261">
        <f t="shared" si="33"/>
        <v>216981.04124000002</v>
      </c>
      <c r="AI1059" s="261"/>
      <c r="AJ1059" s="261"/>
      <c r="AK1059" s="260" t="s">
        <v>43</v>
      </c>
      <c r="AL1059" s="259" t="s">
        <v>41</v>
      </c>
      <c r="AM1059" s="266">
        <v>0</v>
      </c>
      <c r="AN1059" s="67"/>
      <c r="AO1059" s="256"/>
      <c r="AP1059" s="257"/>
    </row>
    <row r="1060" spans="1:42" s="258" customFormat="1" ht="37.950000000000003" customHeight="1" x14ac:dyDescent="0.3">
      <c r="A1060" s="259" t="s">
        <v>1641</v>
      </c>
      <c r="B1060" s="243" t="s">
        <v>1642</v>
      </c>
      <c r="C1060" s="244" t="s">
        <v>2319</v>
      </c>
      <c r="D1060" s="243" t="s">
        <v>34</v>
      </c>
      <c r="E1060" s="243" t="s">
        <v>1644</v>
      </c>
      <c r="F1060" s="260" t="s">
        <v>35</v>
      </c>
      <c r="G1060" s="260">
        <v>1</v>
      </c>
      <c r="H1060" s="245">
        <v>778720</v>
      </c>
      <c r="I1060" s="243" t="s">
        <v>36</v>
      </c>
      <c r="J1060" s="245">
        <f t="shared" si="32"/>
        <v>778720</v>
      </c>
      <c r="K1060" s="1695">
        <f>14635.63+34109.16</f>
        <v>48744.79</v>
      </c>
      <c r="L1060" s="1695">
        <f>K1060</f>
        <v>48744.79</v>
      </c>
      <c r="M1060" s="246" t="s">
        <v>183</v>
      </c>
      <c r="N1060" s="261" t="s">
        <v>2320</v>
      </c>
      <c r="O1060" s="261" t="s">
        <v>2321</v>
      </c>
      <c r="P1060" s="71" t="s">
        <v>41</v>
      </c>
      <c r="Q1060" s="262">
        <v>45104</v>
      </c>
      <c r="R1060" s="71" t="s">
        <v>41</v>
      </c>
      <c r="S1060" s="262">
        <v>45104</v>
      </c>
      <c r="T1060" s="263"/>
      <c r="U1060" s="262"/>
      <c r="V1060" s="263" t="s">
        <v>41</v>
      </c>
      <c r="W1060" s="262">
        <f t="shared" si="34"/>
        <v>45226</v>
      </c>
      <c r="X1060" s="263" t="s">
        <v>41</v>
      </c>
      <c r="Y1060" s="262">
        <v>45291</v>
      </c>
      <c r="Z1060" s="263" t="s">
        <v>40</v>
      </c>
      <c r="AA1060" s="262"/>
      <c r="AB1060" s="263" t="s">
        <v>40</v>
      </c>
      <c r="AC1060" s="262"/>
      <c r="AD1060" s="264"/>
      <c r="AE1060" s="264">
        <v>45565</v>
      </c>
      <c r="AF1060" s="71" t="s">
        <v>65</v>
      </c>
      <c r="AG1060" s="265">
        <v>2026</v>
      </c>
      <c r="AH1060" s="261">
        <f t="shared" si="33"/>
        <v>239799.994405</v>
      </c>
      <c r="AI1060" s="261"/>
      <c r="AJ1060" s="261"/>
      <c r="AK1060" s="260" t="s">
        <v>43</v>
      </c>
      <c r="AL1060" s="259" t="s">
        <v>41</v>
      </c>
      <c r="AM1060" s="266">
        <v>0</v>
      </c>
      <c r="AN1060" s="67"/>
      <c r="AO1060" s="256"/>
      <c r="AP1060" s="257"/>
    </row>
    <row r="1061" spans="1:42" s="258" customFormat="1" ht="37.950000000000003" customHeight="1" x14ac:dyDescent="0.3">
      <c r="A1061" s="259" t="s">
        <v>1641</v>
      </c>
      <c r="B1061" s="243" t="s">
        <v>1642</v>
      </c>
      <c r="C1061" s="244" t="s">
        <v>2322</v>
      </c>
      <c r="D1061" s="243" t="s">
        <v>34</v>
      </c>
      <c r="E1061" s="243" t="s">
        <v>1644</v>
      </c>
      <c r="F1061" s="260" t="s">
        <v>35</v>
      </c>
      <c r="G1061" s="260">
        <v>1</v>
      </c>
      <c r="H1061" s="245">
        <v>778720</v>
      </c>
      <c r="I1061" s="243" t="s">
        <v>36</v>
      </c>
      <c r="J1061" s="245">
        <f t="shared" si="32"/>
        <v>778720</v>
      </c>
      <c r="K1061" s="1435">
        <f>2032.72+16363.45+20327.27+10163.63</f>
        <v>48887.07</v>
      </c>
      <c r="L1061" s="1435">
        <f>K1061</f>
        <v>48887.07</v>
      </c>
      <c r="M1061" s="246" t="s">
        <v>200</v>
      </c>
      <c r="N1061" s="261" t="s">
        <v>591</v>
      </c>
      <c r="O1061" s="261" t="s">
        <v>2323</v>
      </c>
      <c r="P1061" s="71" t="s">
        <v>41</v>
      </c>
      <c r="Q1061" s="262">
        <v>45104</v>
      </c>
      <c r="R1061" s="71" t="s">
        <v>41</v>
      </c>
      <c r="S1061" s="262">
        <v>45104</v>
      </c>
      <c r="T1061" s="263"/>
      <c r="U1061" s="262"/>
      <c r="V1061" s="263" t="s">
        <v>41</v>
      </c>
      <c r="W1061" s="262">
        <f t="shared" si="34"/>
        <v>45226</v>
      </c>
      <c r="X1061" s="263" t="s">
        <v>41</v>
      </c>
      <c r="Y1061" s="262">
        <v>45291</v>
      </c>
      <c r="Z1061" s="263" t="s">
        <v>40</v>
      </c>
      <c r="AA1061" s="262"/>
      <c r="AB1061" s="263" t="s">
        <v>40</v>
      </c>
      <c r="AC1061" s="262"/>
      <c r="AD1061" s="264"/>
      <c r="AE1061" s="264">
        <v>45565</v>
      </c>
      <c r="AF1061" s="71" t="s">
        <v>65</v>
      </c>
      <c r="AG1061" s="265">
        <v>2026</v>
      </c>
      <c r="AH1061" s="261">
        <f t="shared" si="33"/>
        <v>240499.94086500001</v>
      </c>
      <c r="AI1061" s="261"/>
      <c r="AJ1061" s="261"/>
      <c r="AK1061" s="260" t="s">
        <v>43</v>
      </c>
      <c r="AL1061" s="259" t="s">
        <v>41</v>
      </c>
      <c r="AM1061" s="266">
        <v>0</v>
      </c>
      <c r="AN1061" s="67"/>
      <c r="AO1061" s="256"/>
      <c r="AP1061" s="257"/>
    </row>
    <row r="1062" spans="1:42" s="269" customFormat="1" ht="37.950000000000003" customHeight="1" x14ac:dyDescent="0.3">
      <c r="A1062" s="259" t="s">
        <v>1641</v>
      </c>
      <c r="B1062" s="243" t="s">
        <v>1642</v>
      </c>
      <c r="C1062" s="244" t="s">
        <v>2324</v>
      </c>
      <c r="D1062" s="243" t="s">
        <v>34</v>
      </c>
      <c r="E1062" s="243" t="s">
        <v>1644</v>
      </c>
      <c r="F1062" s="260" t="s">
        <v>35</v>
      </c>
      <c r="G1062" s="260">
        <v>1</v>
      </c>
      <c r="H1062" s="245">
        <v>778720</v>
      </c>
      <c r="I1062" s="243" t="s">
        <v>36</v>
      </c>
      <c r="J1062" s="245">
        <f t="shared" si="32"/>
        <v>778720</v>
      </c>
      <c r="K1062" s="1695">
        <f>23691.43+29779.45</f>
        <v>53470.880000000005</v>
      </c>
      <c r="L1062" s="1695">
        <f>23691.43+29779.45</f>
        <v>53470.880000000005</v>
      </c>
      <c r="M1062" s="246" t="s">
        <v>69</v>
      </c>
      <c r="N1062" s="261" t="s">
        <v>2325</v>
      </c>
      <c r="O1062" s="261" t="s">
        <v>2326</v>
      </c>
      <c r="P1062" s="71" t="s">
        <v>41</v>
      </c>
      <c r="Q1062" s="262">
        <v>45104</v>
      </c>
      <c r="R1062" s="71" t="s">
        <v>41</v>
      </c>
      <c r="S1062" s="262">
        <v>45104</v>
      </c>
      <c r="T1062" s="263"/>
      <c r="U1062" s="262"/>
      <c r="V1062" s="263" t="s">
        <v>41</v>
      </c>
      <c r="W1062" s="262">
        <f t="shared" si="34"/>
        <v>45226</v>
      </c>
      <c r="X1062" s="263" t="s">
        <v>41</v>
      </c>
      <c r="Y1062" s="262">
        <v>45291</v>
      </c>
      <c r="Z1062" s="263" t="s">
        <v>40</v>
      </c>
      <c r="AA1062" s="262"/>
      <c r="AB1062" s="263" t="s">
        <v>40</v>
      </c>
      <c r="AC1062" s="262"/>
      <c r="AD1062" s="264"/>
      <c r="AE1062" s="264">
        <v>45565</v>
      </c>
      <c r="AF1062" s="71" t="s">
        <v>65</v>
      </c>
      <c r="AG1062" s="265">
        <v>2026</v>
      </c>
      <c r="AH1062" s="261">
        <f t="shared" si="33"/>
        <v>263049.99416000006</v>
      </c>
      <c r="AI1062" s="261"/>
      <c r="AJ1062" s="261"/>
      <c r="AK1062" s="260" t="s">
        <v>43</v>
      </c>
      <c r="AL1062" s="259" t="s">
        <v>41</v>
      </c>
      <c r="AM1062" s="266">
        <v>0</v>
      </c>
      <c r="AN1062" s="67"/>
      <c r="AO1062" s="267"/>
      <c r="AP1062" s="268"/>
    </row>
    <row r="1063" spans="1:42" s="258" customFormat="1" ht="37.950000000000003" customHeight="1" x14ac:dyDescent="0.3">
      <c r="A1063" s="259" t="s">
        <v>1641</v>
      </c>
      <c r="B1063" s="243" t="s">
        <v>1642</v>
      </c>
      <c r="C1063" s="244" t="s">
        <v>2327</v>
      </c>
      <c r="D1063" s="243" t="s">
        <v>34</v>
      </c>
      <c r="E1063" s="243" t="s">
        <v>1644</v>
      </c>
      <c r="F1063" s="260" t="s">
        <v>35</v>
      </c>
      <c r="G1063" s="260">
        <v>1</v>
      </c>
      <c r="H1063" s="245">
        <v>778720</v>
      </c>
      <c r="I1063" s="243" t="s">
        <v>36</v>
      </c>
      <c r="J1063" s="245">
        <f t="shared" si="32"/>
        <v>778720</v>
      </c>
      <c r="K1063" s="1695">
        <f>10109.03+10820.855</f>
        <v>20929.885000000002</v>
      </c>
      <c r="L1063" s="1695">
        <f>K1063</f>
        <v>20929.885000000002</v>
      </c>
      <c r="M1063" s="246" t="s">
        <v>79</v>
      </c>
      <c r="N1063" s="261" t="s">
        <v>2328</v>
      </c>
      <c r="O1063" s="261" t="s">
        <v>2329</v>
      </c>
      <c r="P1063" s="71" t="s">
        <v>41</v>
      </c>
      <c r="Q1063" s="262">
        <v>45104</v>
      </c>
      <c r="R1063" s="71" t="s">
        <v>41</v>
      </c>
      <c r="S1063" s="262">
        <v>45104</v>
      </c>
      <c r="T1063" s="263"/>
      <c r="U1063" s="262"/>
      <c r="V1063" s="263" t="s">
        <v>41</v>
      </c>
      <c r="W1063" s="262">
        <f t="shared" si="34"/>
        <v>45226</v>
      </c>
      <c r="X1063" s="263" t="s">
        <v>41</v>
      </c>
      <c r="Y1063" s="262">
        <v>45291</v>
      </c>
      <c r="Z1063" s="263" t="s">
        <v>40</v>
      </c>
      <c r="AA1063" s="262"/>
      <c r="AB1063" s="263" t="s">
        <v>40</v>
      </c>
      <c r="AC1063" s="262"/>
      <c r="AD1063" s="264"/>
      <c r="AE1063" s="264">
        <v>45565</v>
      </c>
      <c r="AF1063" s="71" t="s">
        <v>65</v>
      </c>
      <c r="AG1063" s="265">
        <v>2026</v>
      </c>
      <c r="AH1063" s="261">
        <f t="shared" si="33"/>
        <v>102964.56925750001</v>
      </c>
      <c r="AI1063" s="261"/>
      <c r="AJ1063" s="261"/>
      <c r="AK1063" s="260" t="s">
        <v>43</v>
      </c>
      <c r="AL1063" s="259" t="s">
        <v>41</v>
      </c>
      <c r="AM1063" s="266">
        <v>0</v>
      </c>
      <c r="AN1063" s="67"/>
      <c r="AO1063" s="256"/>
      <c r="AP1063" s="257"/>
    </row>
    <row r="1064" spans="1:42" s="258" customFormat="1" ht="37.950000000000003" customHeight="1" x14ac:dyDescent="0.3">
      <c r="A1064" s="259" t="s">
        <v>1641</v>
      </c>
      <c r="B1064" s="243" t="s">
        <v>1642</v>
      </c>
      <c r="C1064" s="244" t="s">
        <v>2330</v>
      </c>
      <c r="D1064" s="243" t="s">
        <v>34</v>
      </c>
      <c r="E1064" s="243" t="s">
        <v>1644</v>
      </c>
      <c r="F1064" s="260" t="s">
        <v>35</v>
      </c>
      <c r="G1064" s="260">
        <v>1</v>
      </c>
      <c r="H1064" s="245">
        <v>778720</v>
      </c>
      <c r="I1064" s="243" t="s">
        <v>36</v>
      </c>
      <c r="J1064" s="245">
        <f t="shared" si="32"/>
        <v>778720</v>
      </c>
      <c r="K1064" s="1435">
        <f>2032.73+16160.18+3640.51+19920.72</f>
        <v>41754.14</v>
      </c>
      <c r="L1064" s="1435">
        <f>K1064</f>
        <v>41754.14</v>
      </c>
      <c r="M1064" s="246" t="s">
        <v>54</v>
      </c>
      <c r="N1064" s="261" t="s">
        <v>2331</v>
      </c>
      <c r="O1064" s="296" t="s">
        <v>2332</v>
      </c>
      <c r="P1064" s="71" t="s">
        <v>41</v>
      </c>
      <c r="Q1064" s="262">
        <v>45083</v>
      </c>
      <c r="R1064" s="71" t="s">
        <v>41</v>
      </c>
      <c r="S1064" s="262">
        <v>45083</v>
      </c>
      <c r="T1064" s="263"/>
      <c r="U1064" s="262"/>
      <c r="V1064" s="263" t="s">
        <v>41</v>
      </c>
      <c r="W1064" s="262">
        <f t="shared" si="34"/>
        <v>45205</v>
      </c>
      <c r="X1064" s="263" t="s">
        <v>41</v>
      </c>
      <c r="Y1064" s="262">
        <v>45291</v>
      </c>
      <c r="Z1064" s="263" t="s">
        <v>40</v>
      </c>
      <c r="AA1064" s="262"/>
      <c r="AB1064" s="263" t="s">
        <v>40</v>
      </c>
      <c r="AC1064" s="262"/>
      <c r="AD1064" s="264"/>
      <c r="AE1064" s="264">
        <v>45565</v>
      </c>
      <c r="AF1064" s="71" t="s">
        <v>65</v>
      </c>
      <c r="AG1064" s="265">
        <v>2026</v>
      </c>
      <c r="AH1064" s="261">
        <f t="shared" si="33"/>
        <v>205409.49173000001</v>
      </c>
      <c r="AI1064" s="261"/>
      <c r="AJ1064" s="261"/>
      <c r="AK1064" s="260" t="s">
        <v>43</v>
      </c>
      <c r="AL1064" s="259" t="s">
        <v>41</v>
      </c>
      <c r="AM1064" s="266">
        <v>0</v>
      </c>
      <c r="AN1064" s="67"/>
      <c r="AO1064" s="256"/>
      <c r="AP1064" s="257"/>
    </row>
    <row r="1065" spans="1:42" s="258" customFormat="1" ht="37.950000000000003" customHeight="1" x14ac:dyDescent="0.3">
      <c r="A1065" s="259" t="s">
        <v>1641</v>
      </c>
      <c r="B1065" s="243" t="s">
        <v>1642</v>
      </c>
      <c r="C1065" s="244" t="s">
        <v>2333</v>
      </c>
      <c r="D1065" s="243" t="s">
        <v>34</v>
      </c>
      <c r="E1065" s="243" t="s">
        <v>1644</v>
      </c>
      <c r="F1065" s="260" t="s">
        <v>35</v>
      </c>
      <c r="G1065" s="260">
        <v>1</v>
      </c>
      <c r="H1065" s="245">
        <v>778720</v>
      </c>
      <c r="I1065" s="243" t="s">
        <v>36</v>
      </c>
      <c r="J1065" s="245">
        <f t="shared" si="32"/>
        <v>778720</v>
      </c>
      <c r="K1065" s="1695">
        <v>0</v>
      </c>
      <c r="L1065" s="1695">
        <v>0</v>
      </c>
      <c r="M1065" s="246" t="s">
        <v>73</v>
      </c>
      <c r="N1065" s="261" t="s">
        <v>2334</v>
      </c>
      <c r="O1065" s="296" t="s">
        <v>2335</v>
      </c>
      <c r="P1065" s="71" t="s">
        <v>41</v>
      </c>
      <c r="Q1065" s="262">
        <v>45092</v>
      </c>
      <c r="R1065" s="71" t="s">
        <v>41</v>
      </c>
      <c r="S1065" s="262">
        <v>45092</v>
      </c>
      <c r="T1065" s="263"/>
      <c r="U1065" s="262"/>
      <c r="V1065" s="263" t="s">
        <v>41</v>
      </c>
      <c r="W1065" s="262">
        <f t="shared" si="34"/>
        <v>45214</v>
      </c>
      <c r="X1065" s="263" t="s">
        <v>41</v>
      </c>
      <c r="Y1065" s="262">
        <v>45291</v>
      </c>
      <c r="Z1065" s="263" t="s">
        <v>40</v>
      </c>
      <c r="AA1065" s="262"/>
      <c r="AB1065" s="263" t="s">
        <v>40</v>
      </c>
      <c r="AC1065" s="262"/>
      <c r="AD1065" s="264"/>
      <c r="AE1065" s="264">
        <v>45565</v>
      </c>
      <c r="AF1065" s="71" t="s">
        <v>65</v>
      </c>
      <c r="AG1065" s="265">
        <v>2026</v>
      </c>
      <c r="AH1065" s="261">
        <f t="shared" si="33"/>
        <v>0</v>
      </c>
      <c r="AI1065" s="261"/>
      <c r="AJ1065" s="261"/>
      <c r="AK1065" s="260" t="s">
        <v>43</v>
      </c>
      <c r="AL1065" s="259" t="s">
        <v>41</v>
      </c>
      <c r="AM1065" s="266">
        <v>0</v>
      </c>
      <c r="AN1065" s="67"/>
      <c r="AO1065" s="256"/>
      <c r="AP1065" s="257"/>
    </row>
    <row r="1066" spans="1:42" s="258" customFormat="1" ht="37.950000000000003" customHeight="1" x14ac:dyDescent="0.3">
      <c r="A1066" s="259" t="s">
        <v>1641</v>
      </c>
      <c r="B1066" s="243" t="s">
        <v>1642</v>
      </c>
      <c r="C1066" s="244" t="s">
        <v>2336</v>
      </c>
      <c r="D1066" s="243" t="s">
        <v>34</v>
      </c>
      <c r="E1066" s="243" t="s">
        <v>1644</v>
      </c>
      <c r="F1066" s="260" t="s">
        <v>35</v>
      </c>
      <c r="G1066" s="260">
        <v>1</v>
      </c>
      <c r="H1066" s="245">
        <v>778720</v>
      </c>
      <c r="I1066" s="243" t="s">
        <v>36</v>
      </c>
      <c r="J1066" s="245">
        <f t="shared" si="32"/>
        <v>778720</v>
      </c>
      <c r="K1066" s="1695">
        <v>0</v>
      </c>
      <c r="L1066" s="1695">
        <v>0</v>
      </c>
      <c r="M1066" s="246" t="s">
        <v>303</v>
      </c>
      <c r="N1066" s="261" t="s">
        <v>2337</v>
      </c>
      <c r="O1066" s="296" t="s">
        <v>2338</v>
      </c>
      <c r="P1066" s="71" t="s">
        <v>41</v>
      </c>
      <c r="Q1066" s="262">
        <v>45104</v>
      </c>
      <c r="R1066" s="71" t="s">
        <v>41</v>
      </c>
      <c r="S1066" s="262">
        <v>45104</v>
      </c>
      <c r="T1066" s="263"/>
      <c r="U1066" s="262"/>
      <c r="V1066" s="263" t="s">
        <v>41</v>
      </c>
      <c r="W1066" s="262">
        <f t="shared" si="34"/>
        <v>45226</v>
      </c>
      <c r="X1066" s="263" t="s">
        <v>41</v>
      </c>
      <c r="Y1066" s="262">
        <v>45291</v>
      </c>
      <c r="Z1066" s="263" t="s">
        <v>40</v>
      </c>
      <c r="AA1066" s="262"/>
      <c r="AB1066" s="263" t="s">
        <v>40</v>
      </c>
      <c r="AC1066" s="262"/>
      <c r="AD1066" s="264"/>
      <c r="AE1066" s="264">
        <v>45565</v>
      </c>
      <c r="AF1066" s="71" t="s">
        <v>65</v>
      </c>
      <c r="AG1066" s="265">
        <v>2026</v>
      </c>
      <c r="AH1066" s="261">
        <f t="shared" si="33"/>
        <v>0</v>
      </c>
      <c r="AI1066" s="261"/>
      <c r="AJ1066" s="261"/>
      <c r="AK1066" s="260" t="s">
        <v>43</v>
      </c>
      <c r="AL1066" s="259" t="s">
        <v>41</v>
      </c>
      <c r="AM1066" s="266">
        <v>0</v>
      </c>
      <c r="AN1066" s="67"/>
      <c r="AO1066" s="256"/>
      <c r="AP1066" s="257"/>
    </row>
    <row r="1067" spans="1:42" s="258" customFormat="1" ht="37.950000000000003" customHeight="1" x14ac:dyDescent="0.3">
      <c r="A1067" s="259" t="s">
        <v>1641</v>
      </c>
      <c r="B1067" s="243" t="s">
        <v>1642</v>
      </c>
      <c r="C1067" s="244" t="s">
        <v>2339</v>
      </c>
      <c r="D1067" s="243" t="s">
        <v>34</v>
      </c>
      <c r="E1067" s="243" t="s">
        <v>1644</v>
      </c>
      <c r="F1067" s="260" t="s">
        <v>35</v>
      </c>
      <c r="G1067" s="260">
        <v>1</v>
      </c>
      <c r="H1067" s="245">
        <v>778720</v>
      </c>
      <c r="I1067" s="243" t="s">
        <v>36</v>
      </c>
      <c r="J1067" s="245">
        <f t="shared" si="32"/>
        <v>778720</v>
      </c>
      <c r="K1067" s="1695">
        <f xml:space="preserve"> 7163.65 + 8029.27</f>
        <v>15192.92</v>
      </c>
      <c r="L1067" s="1695">
        <f>K1067</f>
        <v>15192.92</v>
      </c>
      <c r="M1067" s="246" t="s">
        <v>183</v>
      </c>
      <c r="N1067" s="261" t="s">
        <v>2340</v>
      </c>
      <c r="O1067" s="296" t="s">
        <v>2341</v>
      </c>
      <c r="P1067" s="71" t="s">
        <v>41</v>
      </c>
      <c r="Q1067" s="262">
        <v>45090</v>
      </c>
      <c r="R1067" s="71" t="s">
        <v>41</v>
      </c>
      <c r="S1067" s="262">
        <v>45090</v>
      </c>
      <c r="T1067" s="263"/>
      <c r="U1067" s="262"/>
      <c r="V1067" s="263" t="s">
        <v>41</v>
      </c>
      <c r="W1067" s="262">
        <f t="shared" si="34"/>
        <v>45212</v>
      </c>
      <c r="X1067" s="263" t="s">
        <v>41</v>
      </c>
      <c r="Y1067" s="262">
        <v>45291</v>
      </c>
      <c r="Z1067" s="263" t="s">
        <v>40</v>
      </c>
      <c r="AA1067" s="262"/>
      <c r="AB1067" s="263" t="s">
        <v>40</v>
      </c>
      <c r="AC1067" s="262"/>
      <c r="AD1067" s="264"/>
      <c r="AE1067" s="264">
        <v>45565</v>
      </c>
      <c r="AF1067" s="71" t="s">
        <v>65</v>
      </c>
      <c r="AG1067" s="265">
        <v>2026</v>
      </c>
      <c r="AH1067" s="261">
        <f t="shared" si="33"/>
        <v>74741.569940000001</v>
      </c>
      <c r="AI1067" s="261"/>
      <c r="AJ1067" s="261"/>
      <c r="AK1067" s="260" t="s">
        <v>43</v>
      </c>
      <c r="AL1067" s="259" t="s">
        <v>41</v>
      </c>
      <c r="AM1067" s="266">
        <v>0</v>
      </c>
      <c r="AN1067" s="67"/>
      <c r="AO1067" s="256"/>
      <c r="AP1067" s="257"/>
    </row>
    <row r="1068" spans="1:42" s="258" customFormat="1" ht="37.950000000000003" customHeight="1" x14ac:dyDescent="0.3">
      <c r="A1068" s="259" t="s">
        <v>1641</v>
      </c>
      <c r="B1068" s="243" t="s">
        <v>1642</v>
      </c>
      <c r="C1068" s="244" t="s">
        <v>2342</v>
      </c>
      <c r="D1068" s="243" t="s">
        <v>34</v>
      </c>
      <c r="E1068" s="243" t="s">
        <v>1644</v>
      </c>
      <c r="F1068" s="260" t="s">
        <v>35</v>
      </c>
      <c r="G1068" s="260">
        <v>1</v>
      </c>
      <c r="H1068" s="245">
        <v>778720</v>
      </c>
      <c r="I1068" s="243" t="s">
        <v>36</v>
      </c>
      <c r="J1068" s="245">
        <f t="shared" si="32"/>
        <v>778720</v>
      </c>
      <c r="K1068" s="1695">
        <f>43078.42</f>
        <v>43078.42</v>
      </c>
      <c r="L1068" s="1695">
        <f>43078.42</f>
        <v>43078.42</v>
      </c>
      <c r="M1068" s="246" t="s">
        <v>1208</v>
      </c>
      <c r="N1068" s="261" t="s">
        <v>2343</v>
      </c>
      <c r="O1068" s="296" t="s">
        <v>2344</v>
      </c>
      <c r="P1068" s="71" t="s">
        <v>41</v>
      </c>
      <c r="Q1068" s="262">
        <v>45104</v>
      </c>
      <c r="R1068" s="71" t="s">
        <v>41</v>
      </c>
      <c r="S1068" s="262">
        <v>45104</v>
      </c>
      <c r="T1068" s="263"/>
      <c r="U1068" s="262"/>
      <c r="V1068" s="263" t="s">
        <v>41</v>
      </c>
      <c r="W1068" s="262">
        <f t="shared" si="34"/>
        <v>45226</v>
      </c>
      <c r="X1068" s="263" t="s">
        <v>41</v>
      </c>
      <c r="Y1068" s="262">
        <v>45291</v>
      </c>
      <c r="Z1068" s="263" t="s">
        <v>40</v>
      </c>
      <c r="AA1068" s="262"/>
      <c r="AB1068" s="263" t="s">
        <v>40</v>
      </c>
      <c r="AC1068" s="262"/>
      <c r="AD1068" s="264"/>
      <c r="AE1068" s="264">
        <v>45565</v>
      </c>
      <c r="AF1068" s="71" t="s">
        <v>65</v>
      </c>
      <c r="AG1068" s="265">
        <v>2026</v>
      </c>
      <c r="AH1068" s="261">
        <f t="shared" si="33"/>
        <v>211924.28719</v>
      </c>
      <c r="AI1068" s="261"/>
      <c r="AJ1068" s="261"/>
      <c r="AK1068" s="260" t="s">
        <v>43</v>
      </c>
      <c r="AL1068" s="259" t="s">
        <v>41</v>
      </c>
      <c r="AM1068" s="266">
        <v>0</v>
      </c>
      <c r="AN1068" s="67"/>
      <c r="AO1068" s="256"/>
      <c r="AP1068" s="257"/>
    </row>
    <row r="1069" spans="1:42" s="258" customFormat="1" ht="37.950000000000003" customHeight="1" x14ac:dyDescent="0.3">
      <c r="A1069" s="259" t="s">
        <v>1641</v>
      </c>
      <c r="B1069" s="243" t="s">
        <v>1642</v>
      </c>
      <c r="C1069" s="244" t="s">
        <v>2345</v>
      </c>
      <c r="D1069" s="243" t="s">
        <v>34</v>
      </c>
      <c r="E1069" s="243" t="s">
        <v>1644</v>
      </c>
      <c r="F1069" s="260" t="s">
        <v>35</v>
      </c>
      <c r="G1069" s="260">
        <v>1</v>
      </c>
      <c r="H1069" s="245">
        <v>778720</v>
      </c>
      <c r="I1069" s="243" t="s">
        <v>36</v>
      </c>
      <c r="J1069" s="245">
        <f t="shared" si="32"/>
        <v>778720</v>
      </c>
      <c r="K1069" s="1695">
        <f>2032.72+24189.45+19714.4</f>
        <v>45936.570000000007</v>
      </c>
      <c r="L1069" s="1695">
        <f>2032.72+24189.45+19714.4</f>
        <v>45936.570000000007</v>
      </c>
      <c r="M1069" s="246" t="s">
        <v>351</v>
      </c>
      <c r="N1069" s="261" t="s">
        <v>2346</v>
      </c>
      <c r="O1069" s="296" t="s">
        <v>2347</v>
      </c>
      <c r="P1069" s="71" t="s">
        <v>41</v>
      </c>
      <c r="Q1069" s="262">
        <v>45104</v>
      </c>
      <c r="R1069" s="71" t="s">
        <v>41</v>
      </c>
      <c r="S1069" s="262">
        <v>45104</v>
      </c>
      <c r="T1069" s="263"/>
      <c r="U1069" s="262"/>
      <c r="V1069" s="263" t="s">
        <v>41</v>
      </c>
      <c r="W1069" s="262">
        <f t="shared" si="34"/>
        <v>45226</v>
      </c>
      <c r="X1069" s="263" t="s">
        <v>41</v>
      </c>
      <c r="Y1069" s="262">
        <v>45291</v>
      </c>
      <c r="Z1069" s="263" t="s">
        <v>40</v>
      </c>
      <c r="AA1069" s="262"/>
      <c r="AB1069" s="263" t="s">
        <v>40</v>
      </c>
      <c r="AC1069" s="262"/>
      <c r="AD1069" s="264"/>
      <c r="AE1069" s="264">
        <v>45565</v>
      </c>
      <c r="AF1069" s="71" t="s">
        <v>65</v>
      </c>
      <c r="AG1069" s="265">
        <v>2026</v>
      </c>
      <c r="AH1069" s="261">
        <f t="shared" si="33"/>
        <v>225984.95611500004</v>
      </c>
      <c r="AI1069" s="261"/>
      <c r="AJ1069" s="261"/>
      <c r="AK1069" s="260" t="s">
        <v>43</v>
      </c>
      <c r="AL1069" s="259" t="s">
        <v>41</v>
      </c>
      <c r="AM1069" s="266">
        <v>0</v>
      </c>
      <c r="AN1069" s="67"/>
      <c r="AO1069" s="256"/>
      <c r="AP1069" s="257"/>
    </row>
    <row r="1070" spans="1:42" s="258" customFormat="1" ht="37.950000000000003" customHeight="1" x14ac:dyDescent="0.3">
      <c r="A1070" s="259" t="s">
        <v>1641</v>
      </c>
      <c r="B1070" s="243" t="s">
        <v>1642</v>
      </c>
      <c r="C1070" s="244" t="s">
        <v>2348</v>
      </c>
      <c r="D1070" s="243" t="s">
        <v>34</v>
      </c>
      <c r="E1070" s="243" t="s">
        <v>1644</v>
      </c>
      <c r="F1070" s="260" t="s">
        <v>35</v>
      </c>
      <c r="G1070" s="260">
        <v>1</v>
      </c>
      <c r="H1070" s="245">
        <v>778720</v>
      </c>
      <c r="I1070" s="243" t="s">
        <v>36</v>
      </c>
      <c r="J1070" s="245">
        <f t="shared" si="32"/>
        <v>778720</v>
      </c>
      <c r="K1070" s="1695">
        <f>3049.09+12196.36+31337.94</f>
        <v>46583.39</v>
      </c>
      <c r="L1070" s="1695">
        <f>K1070</f>
        <v>46583.39</v>
      </c>
      <c r="M1070" s="246" t="s">
        <v>62</v>
      </c>
      <c r="N1070" s="261" t="s">
        <v>2349</v>
      </c>
      <c r="O1070" s="261" t="s">
        <v>2350</v>
      </c>
      <c r="P1070" s="71" t="s">
        <v>41</v>
      </c>
      <c r="Q1070" s="262">
        <v>45104</v>
      </c>
      <c r="R1070" s="71" t="s">
        <v>41</v>
      </c>
      <c r="S1070" s="262">
        <v>45104</v>
      </c>
      <c r="T1070" s="263"/>
      <c r="U1070" s="262"/>
      <c r="V1070" s="263" t="s">
        <v>41</v>
      </c>
      <c r="W1070" s="262">
        <f t="shared" si="34"/>
        <v>45226</v>
      </c>
      <c r="X1070" s="263" t="s">
        <v>41</v>
      </c>
      <c r="Y1070" s="262">
        <v>45291</v>
      </c>
      <c r="Z1070" s="263" t="s">
        <v>40</v>
      </c>
      <c r="AA1070" s="262"/>
      <c r="AB1070" s="263" t="s">
        <v>40</v>
      </c>
      <c r="AC1070" s="262"/>
      <c r="AD1070" s="264"/>
      <c r="AE1070" s="264">
        <v>45565</v>
      </c>
      <c r="AF1070" s="71" t="s">
        <v>65</v>
      </c>
      <c r="AG1070" s="265">
        <v>2026</v>
      </c>
      <c r="AH1070" s="261">
        <f t="shared" si="33"/>
        <v>229166.98710500001</v>
      </c>
      <c r="AI1070" s="261"/>
      <c r="AJ1070" s="261"/>
      <c r="AK1070" s="260" t="s">
        <v>43</v>
      </c>
      <c r="AL1070" s="259" t="s">
        <v>41</v>
      </c>
      <c r="AM1070" s="266">
        <v>0</v>
      </c>
      <c r="AN1070" s="67"/>
      <c r="AO1070" s="256"/>
      <c r="AP1070" s="257"/>
    </row>
    <row r="1071" spans="1:42" s="258" customFormat="1" ht="37.950000000000003" customHeight="1" x14ac:dyDescent="0.3">
      <c r="A1071" s="259" t="s">
        <v>1641</v>
      </c>
      <c r="B1071" s="243" t="s">
        <v>1642</v>
      </c>
      <c r="C1071" s="244" t="s">
        <v>2351</v>
      </c>
      <c r="D1071" s="243" t="s">
        <v>34</v>
      </c>
      <c r="E1071" s="243" t="s">
        <v>1644</v>
      </c>
      <c r="F1071" s="260" t="s">
        <v>35</v>
      </c>
      <c r="G1071" s="260">
        <v>1</v>
      </c>
      <c r="H1071" s="245">
        <v>778720</v>
      </c>
      <c r="I1071" s="243" t="s">
        <v>36</v>
      </c>
      <c r="J1071" s="245">
        <f t="shared" si="32"/>
        <v>778720</v>
      </c>
      <c r="K1071" s="1695">
        <f>30512.81+4878.54</f>
        <v>35391.35</v>
      </c>
      <c r="L1071" s="1695">
        <f>K1071</f>
        <v>35391.35</v>
      </c>
      <c r="M1071" s="246" t="s">
        <v>322</v>
      </c>
      <c r="N1071" s="261" t="s">
        <v>368</v>
      </c>
      <c r="O1071" s="261" t="s">
        <v>2352</v>
      </c>
      <c r="P1071" s="71" t="s">
        <v>41</v>
      </c>
      <c r="Q1071" s="262">
        <v>45090</v>
      </c>
      <c r="R1071" s="71" t="s">
        <v>41</v>
      </c>
      <c r="S1071" s="262">
        <v>45090</v>
      </c>
      <c r="T1071" s="263"/>
      <c r="U1071" s="262"/>
      <c r="V1071" s="263" t="s">
        <v>41</v>
      </c>
      <c r="W1071" s="262">
        <f t="shared" si="34"/>
        <v>45212</v>
      </c>
      <c r="X1071" s="263" t="s">
        <v>41</v>
      </c>
      <c r="Y1071" s="262">
        <v>45291</v>
      </c>
      <c r="Z1071" s="263" t="s">
        <v>40</v>
      </c>
      <c r="AA1071" s="262"/>
      <c r="AB1071" s="263" t="s">
        <v>40</v>
      </c>
      <c r="AC1071" s="262"/>
      <c r="AD1071" s="264"/>
      <c r="AE1071" s="264">
        <v>45565</v>
      </c>
      <c r="AF1071" s="71" t="s">
        <v>65</v>
      </c>
      <c r="AG1071" s="265">
        <v>2026</v>
      </c>
      <c r="AH1071" s="261">
        <f t="shared" si="33"/>
        <v>174107.74632500001</v>
      </c>
      <c r="AI1071" s="261"/>
      <c r="AJ1071" s="261"/>
      <c r="AK1071" s="260" t="s">
        <v>43</v>
      </c>
      <c r="AL1071" s="259" t="s">
        <v>41</v>
      </c>
      <c r="AM1071" s="266">
        <v>0</v>
      </c>
      <c r="AN1071" s="67"/>
      <c r="AO1071" s="256"/>
      <c r="AP1071" s="257"/>
    </row>
    <row r="1072" spans="1:42" s="258" customFormat="1" ht="37.950000000000003" customHeight="1" x14ac:dyDescent="0.3">
      <c r="A1072" s="259" t="s">
        <v>1641</v>
      </c>
      <c r="B1072" s="243" t="s">
        <v>1642</v>
      </c>
      <c r="C1072" s="244" t="s">
        <v>2353</v>
      </c>
      <c r="D1072" s="243" t="s">
        <v>34</v>
      </c>
      <c r="E1072" s="243" t="s">
        <v>1644</v>
      </c>
      <c r="F1072" s="260" t="s">
        <v>35</v>
      </c>
      <c r="G1072" s="260">
        <v>1</v>
      </c>
      <c r="H1072" s="245">
        <v>778720</v>
      </c>
      <c r="I1072" s="243" t="s">
        <v>36</v>
      </c>
      <c r="J1072" s="245">
        <f t="shared" si="32"/>
        <v>778720</v>
      </c>
      <c r="K1072" s="1695">
        <f>39670.7</f>
        <v>39670.699999999997</v>
      </c>
      <c r="L1072" s="1695">
        <f>39670.7</f>
        <v>39670.699999999997</v>
      </c>
      <c r="M1072" s="246" t="s">
        <v>60</v>
      </c>
      <c r="N1072" s="261" t="s">
        <v>1344</v>
      </c>
      <c r="O1072" s="261" t="s">
        <v>2354</v>
      </c>
      <c r="P1072" s="71" t="s">
        <v>41</v>
      </c>
      <c r="Q1072" s="262">
        <v>45104</v>
      </c>
      <c r="R1072" s="71" t="s">
        <v>41</v>
      </c>
      <c r="S1072" s="262">
        <v>45104</v>
      </c>
      <c r="T1072" s="263"/>
      <c r="U1072" s="262"/>
      <c r="V1072" s="263" t="s">
        <v>41</v>
      </c>
      <c r="W1072" s="262">
        <f t="shared" si="34"/>
        <v>45226</v>
      </c>
      <c r="X1072" s="263" t="s">
        <v>41</v>
      </c>
      <c r="Y1072" s="262">
        <v>45291</v>
      </c>
      <c r="Z1072" s="263" t="s">
        <v>40</v>
      </c>
      <c r="AA1072" s="262"/>
      <c r="AB1072" s="263" t="s">
        <v>40</v>
      </c>
      <c r="AC1072" s="262"/>
      <c r="AD1072" s="264"/>
      <c r="AE1072" s="264">
        <v>45565</v>
      </c>
      <c r="AF1072" s="71" t="s">
        <v>65</v>
      </c>
      <c r="AG1072" s="265">
        <v>2026</v>
      </c>
      <c r="AH1072" s="261">
        <f t="shared" si="33"/>
        <v>195160.00865</v>
      </c>
      <c r="AI1072" s="261"/>
      <c r="AJ1072" s="261"/>
      <c r="AK1072" s="260" t="s">
        <v>43</v>
      </c>
      <c r="AL1072" s="259" t="s">
        <v>41</v>
      </c>
      <c r="AM1072" s="266">
        <v>0</v>
      </c>
      <c r="AN1072" s="67"/>
      <c r="AO1072" s="256"/>
      <c r="AP1072" s="257"/>
    </row>
    <row r="1073" spans="1:42" s="258" customFormat="1" ht="37.950000000000003" customHeight="1" x14ac:dyDescent="0.3">
      <c r="A1073" s="259" t="s">
        <v>1641</v>
      </c>
      <c r="B1073" s="243" t="s">
        <v>1642</v>
      </c>
      <c r="C1073" s="244" t="s">
        <v>2355</v>
      </c>
      <c r="D1073" s="243" t="s">
        <v>34</v>
      </c>
      <c r="E1073" s="243" t="s">
        <v>1644</v>
      </c>
      <c r="F1073" s="260" t="s">
        <v>35</v>
      </c>
      <c r="G1073" s="260">
        <v>1</v>
      </c>
      <c r="H1073" s="245">
        <v>778720</v>
      </c>
      <c r="I1073" s="243" t="s">
        <v>36</v>
      </c>
      <c r="J1073" s="245">
        <f t="shared" si="32"/>
        <v>778720</v>
      </c>
      <c r="K1073" s="1695">
        <v>6098.18</v>
      </c>
      <c r="L1073" s="1695">
        <f>K1073</f>
        <v>6098.18</v>
      </c>
      <c r="M1073" s="246" t="s">
        <v>838</v>
      </c>
      <c r="N1073" s="261" t="s">
        <v>2356</v>
      </c>
      <c r="O1073" s="261" t="s">
        <v>2357</v>
      </c>
      <c r="P1073" s="71" t="s">
        <v>41</v>
      </c>
      <c r="Q1073" s="262">
        <v>45104</v>
      </c>
      <c r="R1073" s="71" t="s">
        <v>41</v>
      </c>
      <c r="S1073" s="262">
        <v>45104</v>
      </c>
      <c r="T1073" s="263"/>
      <c r="U1073" s="262"/>
      <c r="V1073" s="263" t="s">
        <v>41</v>
      </c>
      <c r="W1073" s="262">
        <f t="shared" si="34"/>
        <v>45226</v>
      </c>
      <c r="X1073" s="263" t="s">
        <v>41</v>
      </c>
      <c r="Y1073" s="262">
        <v>45291</v>
      </c>
      <c r="Z1073" s="263" t="s">
        <v>40</v>
      </c>
      <c r="AA1073" s="262"/>
      <c r="AB1073" s="263" t="s">
        <v>40</v>
      </c>
      <c r="AC1073" s="262"/>
      <c r="AD1073" s="264"/>
      <c r="AE1073" s="264">
        <v>45565</v>
      </c>
      <c r="AF1073" s="71" t="s">
        <v>65</v>
      </c>
      <c r="AG1073" s="265">
        <v>2026</v>
      </c>
      <c r="AH1073" s="261">
        <f t="shared" si="33"/>
        <v>29999.996510000004</v>
      </c>
      <c r="AI1073" s="261"/>
      <c r="AJ1073" s="261"/>
      <c r="AK1073" s="260" t="s">
        <v>43</v>
      </c>
      <c r="AL1073" s="259" t="s">
        <v>41</v>
      </c>
      <c r="AM1073" s="266">
        <v>0</v>
      </c>
      <c r="AN1073" s="67"/>
      <c r="AO1073" s="256"/>
      <c r="AP1073" s="257"/>
    </row>
    <row r="1074" spans="1:42" s="258" customFormat="1" ht="37.950000000000003" customHeight="1" x14ac:dyDescent="0.3">
      <c r="A1074" s="259" t="s">
        <v>1641</v>
      </c>
      <c r="B1074" s="243" t="s">
        <v>1642</v>
      </c>
      <c r="C1074" s="244" t="s">
        <v>2358</v>
      </c>
      <c r="D1074" s="243" t="s">
        <v>34</v>
      </c>
      <c r="E1074" s="243" t="s">
        <v>1644</v>
      </c>
      <c r="F1074" s="260" t="s">
        <v>35</v>
      </c>
      <c r="G1074" s="260">
        <v>1</v>
      </c>
      <c r="H1074" s="245">
        <v>778720</v>
      </c>
      <c r="I1074" s="243" t="s">
        <v>36</v>
      </c>
      <c r="J1074" s="245">
        <f t="shared" si="32"/>
        <v>778720</v>
      </c>
      <c r="K1074" s="1695">
        <f>38276.25</f>
        <v>38276.25</v>
      </c>
      <c r="L1074" s="1695">
        <f>K1074</f>
        <v>38276.25</v>
      </c>
      <c r="M1074" s="246" t="s">
        <v>82</v>
      </c>
      <c r="N1074" s="261" t="s">
        <v>2359</v>
      </c>
      <c r="O1074" s="261" t="s">
        <v>2360</v>
      </c>
      <c r="P1074" s="71" t="s">
        <v>41</v>
      </c>
      <c r="Q1074" s="262">
        <v>45104</v>
      </c>
      <c r="R1074" s="71" t="s">
        <v>41</v>
      </c>
      <c r="S1074" s="262">
        <v>45104</v>
      </c>
      <c r="T1074" s="263"/>
      <c r="U1074" s="262"/>
      <c r="V1074" s="263" t="s">
        <v>41</v>
      </c>
      <c r="W1074" s="262">
        <f t="shared" si="34"/>
        <v>45226</v>
      </c>
      <c r="X1074" s="263" t="s">
        <v>41</v>
      </c>
      <c r="Y1074" s="262">
        <v>45291</v>
      </c>
      <c r="Z1074" s="263" t="s">
        <v>40</v>
      </c>
      <c r="AA1074" s="262"/>
      <c r="AB1074" s="263" t="s">
        <v>40</v>
      </c>
      <c r="AC1074" s="262"/>
      <c r="AD1074" s="264"/>
      <c r="AE1074" s="264">
        <v>45565</v>
      </c>
      <c r="AF1074" s="71" t="s">
        <v>65</v>
      </c>
      <c r="AG1074" s="265">
        <v>2026</v>
      </c>
      <c r="AH1074" s="261">
        <f t="shared" si="33"/>
        <v>188300.011875</v>
      </c>
      <c r="AI1074" s="261"/>
      <c r="AJ1074" s="261"/>
      <c r="AK1074" s="260" t="s">
        <v>43</v>
      </c>
      <c r="AL1074" s="259" t="s">
        <v>41</v>
      </c>
      <c r="AM1074" s="266">
        <v>0</v>
      </c>
      <c r="AN1074" s="67"/>
      <c r="AO1074" s="256"/>
      <c r="AP1074" s="257"/>
    </row>
    <row r="1075" spans="1:42" s="258" customFormat="1" ht="37.950000000000003" customHeight="1" x14ac:dyDescent="0.3">
      <c r="A1075" s="259" t="s">
        <v>1641</v>
      </c>
      <c r="B1075" s="243" t="s">
        <v>1642</v>
      </c>
      <c r="C1075" s="244" t="s">
        <v>2361</v>
      </c>
      <c r="D1075" s="243" t="s">
        <v>34</v>
      </c>
      <c r="E1075" s="243" t="s">
        <v>1644</v>
      </c>
      <c r="F1075" s="260" t="s">
        <v>35</v>
      </c>
      <c r="G1075" s="260">
        <v>1</v>
      </c>
      <c r="H1075" s="245">
        <v>778720</v>
      </c>
      <c r="I1075" s="243" t="s">
        <v>36</v>
      </c>
      <c r="J1075" s="245">
        <f t="shared" si="32"/>
        <v>778720</v>
      </c>
      <c r="K1075" s="1695">
        <f>35633.897</f>
        <v>35633.896999999997</v>
      </c>
      <c r="L1075" s="1695">
        <f>35633.897</f>
        <v>35633.896999999997</v>
      </c>
      <c r="M1075" s="246" t="s">
        <v>73</v>
      </c>
      <c r="N1075" s="261" t="s">
        <v>2362</v>
      </c>
      <c r="O1075" s="261" t="s">
        <v>2363</v>
      </c>
      <c r="P1075" s="71" t="s">
        <v>41</v>
      </c>
      <c r="Q1075" s="262">
        <v>45092</v>
      </c>
      <c r="R1075" s="71" t="s">
        <v>41</v>
      </c>
      <c r="S1075" s="262">
        <v>45092</v>
      </c>
      <c r="T1075" s="263"/>
      <c r="U1075" s="262"/>
      <c r="V1075" s="263" t="s">
        <v>41</v>
      </c>
      <c r="W1075" s="262">
        <f t="shared" si="34"/>
        <v>45214</v>
      </c>
      <c r="X1075" s="263" t="s">
        <v>41</v>
      </c>
      <c r="Y1075" s="262">
        <v>45291</v>
      </c>
      <c r="Z1075" s="263" t="s">
        <v>40</v>
      </c>
      <c r="AA1075" s="262"/>
      <c r="AB1075" s="263" t="s">
        <v>40</v>
      </c>
      <c r="AC1075" s="262"/>
      <c r="AD1075" s="264"/>
      <c r="AE1075" s="264">
        <v>45565</v>
      </c>
      <c r="AF1075" s="71" t="s">
        <v>65</v>
      </c>
      <c r="AG1075" s="265">
        <v>2026</v>
      </c>
      <c r="AH1075" s="261">
        <f t="shared" si="33"/>
        <v>175300.95629149998</v>
      </c>
      <c r="AI1075" s="261"/>
      <c r="AJ1075" s="261"/>
      <c r="AK1075" s="260" t="s">
        <v>43</v>
      </c>
      <c r="AL1075" s="259" t="s">
        <v>41</v>
      </c>
      <c r="AM1075" s="266">
        <v>0</v>
      </c>
      <c r="AN1075" s="67"/>
      <c r="AO1075" s="256"/>
      <c r="AP1075" s="257"/>
    </row>
    <row r="1076" spans="1:42" s="258" customFormat="1" ht="37.950000000000003" customHeight="1" x14ac:dyDescent="0.3">
      <c r="A1076" s="259" t="s">
        <v>1641</v>
      </c>
      <c r="B1076" s="243" t="s">
        <v>1642</v>
      </c>
      <c r="C1076" s="244" t="s">
        <v>2364</v>
      </c>
      <c r="D1076" s="243" t="s">
        <v>34</v>
      </c>
      <c r="E1076" s="243" t="s">
        <v>1644</v>
      </c>
      <c r="F1076" s="260" t="s">
        <v>35</v>
      </c>
      <c r="G1076" s="260">
        <v>1</v>
      </c>
      <c r="H1076" s="245">
        <v>778720</v>
      </c>
      <c r="I1076" s="243" t="s">
        <v>36</v>
      </c>
      <c r="J1076" s="245">
        <f t="shared" si="32"/>
        <v>778720</v>
      </c>
      <c r="K1076" s="1695">
        <v>7114.54</v>
      </c>
      <c r="L1076" s="1695">
        <f>K1076</f>
        <v>7114.54</v>
      </c>
      <c r="M1076" s="246" t="s">
        <v>59</v>
      </c>
      <c r="N1076" s="261" t="s">
        <v>2365</v>
      </c>
      <c r="O1076" s="261" t="s">
        <v>2366</v>
      </c>
      <c r="P1076" s="71" t="s">
        <v>41</v>
      </c>
      <c r="Q1076" s="262">
        <v>45090</v>
      </c>
      <c r="R1076" s="71" t="s">
        <v>41</v>
      </c>
      <c r="S1076" s="262">
        <v>45090</v>
      </c>
      <c r="T1076" s="263"/>
      <c r="U1076" s="262"/>
      <c r="V1076" s="263" t="s">
        <v>41</v>
      </c>
      <c r="W1076" s="262">
        <f t="shared" si="34"/>
        <v>45212</v>
      </c>
      <c r="X1076" s="263" t="s">
        <v>41</v>
      </c>
      <c r="Y1076" s="262">
        <v>45291</v>
      </c>
      <c r="Z1076" s="263" t="s">
        <v>40</v>
      </c>
      <c r="AA1076" s="262"/>
      <c r="AB1076" s="263" t="s">
        <v>40</v>
      </c>
      <c r="AC1076" s="262"/>
      <c r="AD1076" s="264"/>
      <c r="AE1076" s="264">
        <v>45565</v>
      </c>
      <c r="AF1076" s="71" t="s">
        <v>65</v>
      </c>
      <c r="AG1076" s="265">
        <v>2026</v>
      </c>
      <c r="AH1076" s="261">
        <f t="shared" si="33"/>
        <v>34999.979530000004</v>
      </c>
      <c r="AI1076" s="261"/>
      <c r="AJ1076" s="261"/>
      <c r="AK1076" s="260" t="s">
        <v>43</v>
      </c>
      <c r="AL1076" s="259" t="s">
        <v>41</v>
      </c>
      <c r="AM1076" s="266">
        <v>0</v>
      </c>
      <c r="AN1076" s="67"/>
      <c r="AO1076" s="256"/>
      <c r="AP1076" s="257"/>
    </row>
    <row r="1077" spans="1:42" s="258" customFormat="1" ht="37.950000000000003" customHeight="1" x14ac:dyDescent="0.3">
      <c r="A1077" s="259" t="s">
        <v>1641</v>
      </c>
      <c r="B1077" s="243" t="s">
        <v>1642</v>
      </c>
      <c r="C1077" s="244" t="s">
        <v>2367</v>
      </c>
      <c r="D1077" s="243" t="s">
        <v>34</v>
      </c>
      <c r="E1077" s="243" t="s">
        <v>1644</v>
      </c>
      <c r="F1077" s="260" t="s">
        <v>35</v>
      </c>
      <c r="G1077" s="260">
        <v>1</v>
      </c>
      <c r="H1077" s="245">
        <v>778717.35</v>
      </c>
      <c r="I1077" s="243" t="s">
        <v>36</v>
      </c>
      <c r="J1077" s="245">
        <f t="shared" si="32"/>
        <v>778717.35</v>
      </c>
      <c r="K1077" s="1695">
        <f>62519.57+10643.36+711.45</f>
        <v>73874.37999999999</v>
      </c>
      <c r="L1077" s="1695">
        <f>62519.57+10643.36+711.45</f>
        <v>73874.37999999999</v>
      </c>
      <c r="M1077" s="246" t="s">
        <v>84</v>
      </c>
      <c r="N1077" s="261" t="s">
        <v>2368</v>
      </c>
      <c r="O1077" s="261" t="s">
        <v>2369</v>
      </c>
      <c r="P1077" s="71" t="s">
        <v>41</v>
      </c>
      <c r="Q1077" s="262">
        <v>45090</v>
      </c>
      <c r="R1077" s="71" t="s">
        <v>41</v>
      </c>
      <c r="S1077" s="262">
        <v>45090</v>
      </c>
      <c r="T1077" s="263"/>
      <c r="U1077" s="262"/>
      <c r="V1077" s="263" t="s">
        <v>41</v>
      </c>
      <c r="W1077" s="262">
        <f t="shared" si="34"/>
        <v>45212</v>
      </c>
      <c r="X1077" s="263" t="s">
        <v>41</v>
      </c>
      <c r="Y1077" s="262">
        <v>45291</v>
      </c>
      <c r="Z1077" s="263" t="s">
        <v>40</v>
      </c>
      <c r="AA1077" s="262"/>
      <c r="AB1077" s="263" t="s">
        <v>40</v>
      </c>
      <c r="AC1077" s="262"/>
      <c r="AD1077" s="264"/>
      <c r="AE1077" s="264">
        <v>45565</v>
      </c>
      <c r="AF1077" s="71" t="s">
        <v>65</v>
      </c>
      <c r="AG1077" s="265">
        <v>2026</v>
      </c>
      <c r="AH1077" s="261">
        <f t="shared" si="33"/>
        <v>363425.01240999997</v>
      </c>
      <c r="AI1077" s="261"/>
      <c r="AJ1077" s="261"/>
      <c r="AK1077" s="260" t="s">
        <v>43</v>
      </c>
      <c r="AL1077" s="259" t="s">
        <v>41</v>
      </c>
      <c r="AM1077" s="266">
        <v>0</v>
      </c>
      <c r="AN1077" s="67"/>
      <c r="AO1077" s="256"/>
      <c r="AP1077" s="257"/>
    </row>
    <row r="1078" spans="1:42" s="258" customFormat="1" ht="37.950000000000003" customHeight="1" x14ac:dyDescent="0.3">
      <c r="A1078" s="259" t="s">
        <v>1641</v>
      </c>
      <c r="B1078" s="243" t="s">
        <v>1642</v>
      </c>
      <c r="C1078" s="244" t="s">
        <v>2370</v>
      </c>
      <c r="D1078" s="243" t="s">
        <v>34</v>
      </c>
      <c r="E1078" s="243" t="s">
        <v>1644</v>
      </c>
      <c r="F1078" s="260" t="s">
        <v>35</v>
      </c>
      <c r="G1078" s="260">
        <v>1</v>
      </c>
      <c r="H1078" s="245">
        <v>756305.63</v>
      </c>
      <c r="I1078" s="243" t="s">
        <v>36</v>
      </c>
      <c r="J1078" s="245">
        <f t="shared" si="32"/>
        <v>756305.63</v>
      </c>
      <c r="K1078" s="1435">
        <f>22359.99</f>
        <v>22359.99</v>
      </c>
      <c r="L1078" s="1435">
        <f>22359.99</f>
        <v>22359.99</v>
      </c>
      <c r="M1078" s="246" t="s">
        <v>63</v>
      </c>
      <c r="N1078" s="261" t="s">
        <v>374</v>
      </c>
      <c r="O1078" s="261" t="s">
        <v>2371</v>
      </c>
      <c r="P1078" s="71" t="s">
        <v>41</v>
      </c>
      <c r="Q1078" s="262">
        <v>45104</v>
      </c>
      <c r="R1078" s="71" t="s">
        <v>41</v>
      </c>
      <c r="S1078" s="262">
        <v>45104</v>
      </c>
      <c r="T1078" s="263"/>
      <c r="U1078" s="262"/>
      <c r="V1078" s="263" t="s">
        <v>41</v>
      </c>
      <c r="W1078" s="262">
        <f t="shared" si="34"/>
        <v>45226</v>
      </c>
      <c r="X1078" s="263" t="s">
        <v>41</v>
      </c>
      <c r="Y1078" s="262">
        <v>45291</v>
      </c>
      <c r="Z1078" s="263" t="s">
        <v>40</v>
      </c>
      <c r="AA1078" s="262"/>
      <c r="AB1078" s="263" t="s">
        <v>40</v>
      </c>
      <c r="AC1078" s="262"/>
      <c r="AD1078" s="264"/>
      <c r="AE1078" s="264">
        <v>45565</v>
      </c>
      <c r="AF1078" s="71" t="s">
        <v>65</v>
      </c>
      <c r="AG1078" s="265">
        <v>2026</v>
      </c>
      <c r="AH1078" s="261">
        <f t="shared" si="33"/>
        <v>109999.97080500002</v>
      </c>
      <c r="AI1078" s="261"/>
      <c r="AJ1078" s="261"/>
      <c r="AK1078" s="260" t="s">
        <v>43</v>
      </c>
      <c r="AL1078" s="259" t="s">
        <v>41</v>
      </c>
      <c r="AM1078" s="266">
        <v>0</v>
      </c>
      <c r="AN1078" s="67"/>
      <c r="AO1078" s="256"/>
      <c r="AP1078" s="257"/>
    </row>
    <row r="1079" spans="1:42" s="258" customFormat="1" ht="37.950000000000003" customHeight="1" x14ac:dyDescent="0.3">
      <c r="A1079" s="259" t="s">
        <v>1641</v>
      </c>
      <c r="B1079" s="243" t="s">
        <v>1642</v>
      </c>
      <c r="C1079" s="244" t="s">
        <v>2372</v>
      </c>
      <c r="D1079" s="243" t="s">
        <v>34</v>
      </c>
      <c r="E1079" s="243" t="s">
        <v>1644</v>
      </c>
      <c r="F1079" s="260" t="s">
        <v>35</v>
      </c>
      <c r="G1079" s="260">
        <v>1</v>
      </c>
      <c r="H1079" s="245">
        <v>778720</v>
      </c>
      <c r="I1079" s="243" t="s">
        <v>36</v>
      </c>
      <c r="J1079" s="245">
        <f t="shared" si="32"/>
        <v>778720</v>
      </c>
      <c r="K1079" s="1695">
        <f>2032.72+266.24+15023.51+36284.18</f>
        <v>53606.65</v>
      </c>
      <c r="L1079" s="1695">
        <f>2032.72+266.24+15023.51+36284.18</f>
        <v>53606.65</v>
      </c>
      <c r="M1079" s="246" t="s">
        <v>200</v>
      </c>
      <c r="N1079" s="261" t="s">
        <v>2373</v>
      </c>
      <c r="O1079" s="261" t="s">
        <v>2374</v>
      </c>
      <c r="P1079" s="71" t="s">
        <v>41</v>
      </c>
      <c r="Q1079" s="262">
        <v>45104</v>
      </c>
      <c r="R1079" s="71" t="s">
        <v>41</v>
      </c>
      <c r="S1079" s="262">
        <v>45104</v>
      </c>
      <c r="T1079" s="263"/>
      <c r="U1079" s="262"/>
      <c r="V1079" s="263" t="s">
        <v>41</v>
      </c>
      <c r="W1079" s="262">
        <f t="shared" si="34"/>
        <v>45226</v>
      </c>
      <c r="X1079" s="263" t="s">
        <v>41</v>
      </c>
      <c r="Y1079" s="262">
        <v>45291</v>
      </c>
      <c r="Z1079" s="263" t="s">
        <v>40</v>
      </c>
      <c r="AA1079" s="262"/>
      <c r="AB1079" s="263" t="s">
        <v>40</v>
      </c>
      <c r="AC1079" s="262"/>
      <c r="AD1079" s="264"/>
      <c r="AE1079" s="264">
        <v>45565</v>
      </c>
      <c r="AF1079" s="71" t="s">
        <v>65</v>
      </c>
      <c r="AG1079" s="265">
        <v>2026</v>
      </c>
      <c r="AH1079" s="261">
        <f t="shared" si="33"/>
        <v>263717.91467500001</v>
      </c>
      <c r="AI1079" s="261"/>
      <c r="AJ1079" s="261"/>
      <c r="AK1079" s="260" t="s">
        <v>43</v>
      </c>
      <c r="AL1079" s="259" t="s">
        <v>41</v>
      </c>
      <c r="AM1079" s="266">
        <v>0</v>
      </c>
      <c r="AN1079" s="67"/>
      <c r="AO1079" s="256"/>
      <c r="AP1079" s="257"/>
    </row>
    <row r="1080" spans="1:42" s="258" customFormat="1" ht="37.950000000000003" customHeight="1" x14ac:dyDescent="0.3">
      <c r="A1080" s="259" t="s">
        <v>1641</v>
      </c>
      <c r="B1080" s="243" t="s">
        <v>1642</v>
      </c>
      <c r="C1080" s="244" t="s">
        <v>2375</v>
      </c>
      <c r="D1080" s="243" t="s">
        <v>34</v>
      </c>
      <c r="E1080" s="243" t="s">
        <v>1644</v>
      </c>
      <c r="F1080" s="260" t="s">
        <v>35</v>
      </c>
      <c r="G1080" s="260">
        <v>1</v>
      </c>
      <c r="H1080" s="245">
        <v>778720</v>
      </c>
      <c r="I1080" s="243" t="s">
        <v>36</v>
      </c>
      <c r="J1080" s="245">
        <f t="shared" si="32"/>
        <v>778720</v>
      </c>
      <c r="K1080" s="1695">
        <f>7114.54+23071.45</f>
        <v>30185.99</v>
      </c>
      <c r="L1080" s="1695">
        <f>7114.54+23071.45</f>
        <v>30185.99</v>
      </c>
      <c r="M1080" s="246" t="s">
        <v>636</v>
      </c>
      <c r="N1080" s="261" t="s">
        <v>2376</v>
      </c>
      <c r="O1080" s="261" t="s">
        <v>2377</v>
      </c>
      <c r="P1080" s="71" t="s">
        <v>41</v>
      </c>
      <c r="Q1080" s="262">
        <v>45099</v>
      </c>
      <c r="R1080" s="71" t="s">
        <v>41</v>
      </c>
      <c r="S1080" s="262">
        <v>45099</v>
      </c>
      <c r="T1080" s="263"/>
      <c r="U1080" s="262"/>
      <c r="V1080" s="263" t="s">
        <v>41</v>
      </c>
      <c r="W1080" s="262">
        <f t="shared" si="34"/>
        <v>45221</v>
      </c>
      <c r="X1080" s="263" t="s">
        <v>41</v>
      </c>
      <c r="Y1080" s="262">
        <v>45291</v>
      </c>
      <c r="Z1080" s="263" t="s">
        <v>40</v>
      </c>
      <c r="AA1080" s="262"/>
      <c r="AB1080" s="263" t="s">
        <v>40</v>
      </c>
      <c r="AC1080" s="262"/>
      <c r="AD1080" s="264"/>
      <c r="AE1080" s="264">
        <v>45565</v>
      </c>
      <c r="AF1080" s="71" t="s">
        <v>65</v>
      </c>
      <c r="AG1080" s="265">
        <v>2026</v>
      </c>
      <c r="AH1080" s="261">
        <f t="shared" si="33"/>
        <v>148499.977805</v>
      </c>
      <c r="AI1080" s="261"/>
      <c r="AJ1080" s="261"/>
      <c r="AK1080" s="260" t="s">
        <v>43</v>
      </c>
      <c r="AL1080" s="259" t="s">
        <v>41</v>
      </c>
      <c r="AM1080" s="266">
        <v>0</v>
      </c>
      <c r="AN1080" s="67"/>
      <c r="AO1080" s="256"/>
      <c r="AP1080" s="257"/>
    </row>
    <row r="1081" spans="1:42" s="258" customFormat="1" ht="37.950000000000003" customHeight="1" x14ac:dyDescent="0.3">
      <c r="A1081" s="259" t="s">
        <v>1641</v>
      </c>
      <c r="B1081" s="243" t="s">
        <v>1642</v>
      </c>
      <c r="C1081" s="244" t="s">
        <v>2378</v>
      </c>
      <c r="D1081" s="243" t="s">
        <v>34</v>
      </c>
      <c r="E1081" s="243" t="s">
        <v>1644</v>
      </c>
      <c r="F1081" s="260" t="s">
        <v>35</v>
      </c>
      <c r="G1081" s="260">
        <v>1</v>
      </c>
      <c r="H1081" s="245">
        <v>778720</v>
      </c>
      <c r="I1081" s="243" t="s">
        <v>36</v>
      </c>
      <c r="J1081" s="245">
        <f t="shared" si="32"/>
        <v>778720</v>
      </c>
      <c r="K1081" s="1695">
        <v>0</v>
      </c>
      <c r="L1081" s="1695">
        <v>0</v>
      </c>
      <c r="M1081" s="246" t="s">
        <v>303</v>
      </c>
      <c r="N1081" s="261" t="s">
        <v>2379</v>
      </c>
      <c r="O1081" s="261" t="s">
        <v>2380</v>
      </c>
      <c r="P1081" s="71" t="s">
        <v>41</v>
      </c>
      <c r="Q1081" s="262">
        <v>45090</v>
      </c>
      <c r="R1081" s="71" t="s">
        <v>41</v>
      </c>
      <c r="S1081" s="262">
        <v>45090</v>
      </c>
      <c r="T1081" s="263"/>
      <c r="U1081" s="262"/>
      <c r="V1081" s="263" t="s">
        <v>41</v>
      </c>
      <c r="W1081" s="262">
        <f t="shared" si="34"/>
        <v>45212</v>
      </c>
      <c r="X1081" s="263" t="s">
        <v>41</v>
      </c>
      <c r="Y1081" s="262">
        <v>45291</v>
      </c>
      <c r="Z1081" s="263" t="s">
        <v>40</v>
      </c>
      <c r="AA1081" s="262"/>
      <c r="AB1081" s="263" t="s">
        <v>40</v>
      </c>
      <c r="AC1081" s="262"/>
      <c r="AD1081" s="264"/>
      <c r="AE1081" s="264">
        <v>45565</v>
      </c>
      <c r="AF1081" s="71" t="s">
        <v>65</v>
      </c>
      <c r="AG1081" s="265">
        <v>2026</v>
      </c>
      <c r="AH1081" s="261">
        <f t="shared" si="33"/>
        <v>0</v>
      </c>
      <c r="AI1081" s="261"/>
      <c r="AJ1081" s="261"/>
      <c r="AK1081" s="260" t="s">
        <v>43</v>
      </c>
      <c r="AL1081" s="259" t="s">
        <v>41</v>
      </c>
      <c r="AM1081" s="266">
        <v>0</v>
      </c>
      <c r="AN1081" s="67"/>
      <c r="AO1081" s="256"/>
      <c r="AP1081" s="257"/>
    </row>
    <row r="1082" spans="1:42" s="269" customFormat="1" ht="37.950000000000003" customHeight="1" x14ac:dyDescent="0.3">
      <c r="A1082" s="259" t="s">
        <v>1641</v>
      </c>
      <c r="B1082" s="243" t="s">
        <v>1642</v>
      </c>
      <c r="C1082" s="244" t="s">
        <v>2381</v>
      </c>
      <c r="D1082" s="243" t="s">
        <v>34</v>
      </c>
      <c r="E1082" s="243" t="s">
        <v>1644</v>
      </c>
      <c r="F1082" s="260" t="s">
        <v>35</v>
      </c>
      <c r="G1082" s="260">
        <v>1</v>
      </c>
      <c r="H1082" s="245">
        <v>778720</v>
      </c>
      <c r="I1082" s="243" t="s">
        <v>36</v>
      </c>
      <c r="J1082" s="245">
        <f t="shared" si="32"/>
        <v>778720</v>
      </c>
      <c r="K1082" s="1695">
        <f>10163.63+31337.94</f>
        <v>41501.57</v>
      </c>
      <c r="L1082" s="1695">
        <f>K1082</f>
        <v>41501.57</v>
      </c>
      <c r="M1082" s="246" t="s">
        <v>62</v>
      </c>
      <c r="N1082" s="261" t="s">
        <v>2382</v>
      </c>
      <c r="O1082" s="261" t="s">
        <v>2383</v>
      </c>
      <c r="P1082" s="71" t="s">
        <v>41</v>
      </c>
      <c r="Q1082" s="262">
        <v>45090</v>
      </c>
      <c r="R1082" s="71" t="s">
        <v>41</v>
      </c>
      <c r="S1082" s="262">
        <v>45090</v>
      </c>
      <c r="T1082" s="263"/>
      <c r="U1082" s="262"/>
      <c r="V1082" s="263" t="s">
        <v>41</v>
      </c>
      <c r="W1082" s="262">
        <f t="shared" si="34"/>
        <v>45212</v>
      </c>
      <c r="X1082" s="263" t="s">
        <v>41</v>
      </c>
      <c r="Y1082" s="262">
        <v>45291</v>
      </c>
      <c r="Z1082" s="263" t="s">
        <v>40</v>
      </c>
      <c r="AA1082" s="262"/>
      <c r="AB1082" s="263" t="s">
        <v>40</v>
      </c>
      <c r="AC1082" s="262"/>
      <c r="AD1082" s="264"/>
      <c r="AE1082" s="264">
        <v>45565</v>
      </c>
      <c r="AF1082" s="71" t="s">
        <v>65</v>
      </c>
      <c r="AG1082" s="265">
        <v>2026</v>
      </c>
      <c r="AH1082" s="261">
        <f t="shared" si="33"/>
        <v>204166.973615</v>
      </c>
      <c r="AI1082" s="261"/>
      <c r="AJ1082" s="261"/>
      <c r="AK1082" s="260" t="s">
        <v>43</v>
      </c>
      <c r="AL1082" s="259" t="s">
        <v>41</v>
      </c>
      <c r="AM1082" s="266">
        <v>0</v>
      </c>
      <c r="AN1082" s="67"/>
      <c r="AO1082" s="267"/>
      <c r="AP1082" s="268"/>
    </row>
    <row r="1083" spans="1:42" s="258" customFormat="1" ht="37.950000000000003" customHeight="1" x14ac:dyDescent="0.3">
      <c r="A1083" s="259" t="s">
        <v>1641</v>
      </c>
      <c r="B1083" s="243" t="s">
        <v>1642</v>
      </c>
      <c r="C1083" s="244" t="s">
        <v>2384</v>
      </c>
      <c r="D1083" s="243" t="s">
        <v>34</v>
      </c>
      <c r="E1083" s="243" t="s">
        <v>1644</v>
      </c>
      <c r="F1083" s="260" t="s">
        <v>35</v>
      </c>
      <c r="G1083" s="260">
        <v>1</v>
      </c>
      <c r="H1083" s="245">
        <v>778720.2</v>
      </c>
      <c r="I1083" s="243" t="s">
        <v>36</v>
      </c>
      <c r="J1083" s="245">
        <f t="shared" si="32"/>
        <v>778720.2</v>
      </c>
      <c r="K1083" s="1435">
        <f>14229.08</f>
        <v>14229.08</v>
      </c>
      <c r="L1083" s="1435">
        <f>14229.08</f>
        <v>14229.08</v>
      </c>
      <c r="M1083" s="246" t="s">
        <v>49</v>
      </c>
      <c r="N1083" s="261" t="s">
        <v>2385</v>
      </c>
      <c r="O1083" s="261" t="s">
        <v>2386</v>
      </c>
      <c r="P1083" s="71" t="s">
        <v>41</v>
      </c>
      <c r="Q1083" s="262">
        <v>45104</v>
      </c>
      <c r="R1083" s="71" t="s">
        <v>41</v>
      </c>
      <c r="S1083" s="262">
        <v>45104</v>
      </c>
      <c r="T1083" s="263"/>
      <c r="U1083" s="262"/>
      <c r="V1083" s="263" t="s">
        <v>41</v>
      </c>
      <c r="W1083" s="262">
        <f t="shared" si="34"/>
        <v>45226</v>
      </c>
      <c r="X1083" s="263" t="s">
        <v>41</v>
      </c>
      <c r="Y1083" s="262">
        <v>45291</v>
      </c>
      <c r="Z1083" s="263" t="s">
        <v>40</v>
      </c>
      <c r="AA1083" s="262"/>
      <c r="AB1083" s="263" t="s">
        <v>40</v>
      </c>
      <c r="AC1083" s="262"/>
      <c r="AD1083" s="264"/>
      <c r="AE1083" s="264">
        <v>45565</v>
      </c>
      <c r="AF1083" s="71" t="s">
        <v>65</v>
      </c>
      <c r="AG1083" s="265">
        <v>2026</v>
      </c>
      <c r="AH1083" s="261">
        <f t="shared" si="33"/>
        <v>69999.959060000008</v>
      </c>
      <c r="AI1083" s="261"/>
      <c r="AJ1083" s="261"/>
      <c r="AK1083" s="260" t="s">
        <v>43</v>
      </c>
      <c r="AL1083" s="259" t="s">
        <v>41</v>
      </c>
      <c r="AM1083" s="266">
        <v>0</v>
      </c>
      <c r="AN1083" s="67"/>
      <c r="AO1083" s="256"/>
      <c r="AP1083" s="257"/>
    </row>
    <row r="1084" spans="1:42" s="258" customFormat="1" ht="37.950000000000003" customHeight="1" x14ac:dyDescent="0.3">
      <c r="A1084" s="259" t="s">
        <v>1641</v>
      </c>
      <c r="B1084" s="243" t="s">
        <v>1642</v>
      </c>
      <c r="C1084" s="244" t="s">
        <v>2387</v>
      </c>
      <c r="D1084" s="243" t="s">
        <v>34</v>
      </c>
      <c r="E1084" s="243" t="s">
        <v>1644</v>
      </c>
      <c r="F1084" s="260" t="s">
        <v>35</v>
      </c>
      <c r="G1084" s="260">
        <v>1</v>
      </c>
      <c r="H1084" s="245">
        <v>778720</v>
      </c>
      <c r="I1084" s="243" t="s">
        <v>36</v>
      </c>
      <c r="J1084" s="245">
        <f t="shared" si="32"/>
        <v>778720</v>
      </c>
      <c r="K1084" s="1695">
        <f>26425.45+4065.45</f>
        <v>30490.9</v>
      </c>
      <c r="L1084" s="1695">
        <f>K1084</f>
        <v>30490.9</v>
      </c>
      <c r="M1084" s="246" t="s">
        <v>412</v>
      </c>
      <c r="N1084" s="261" t="s">
        <v>2388</v>
      </c>
      <c r="O1084" s="261" t="s">
        <v>2389</v>
      </c>
      <c r="P1084" s="71" t="s">
        <v>41</v>
      </c>
      <c r="Q1084" s="262">
        <v>45090</v>
      </c>
      <c r="R1084" s="71">
        <v>45090</v>
      </c>
      <c r="S1084" s="262">
        <v>45104</v>
      </c>
      <c r="T1084" s="263"/>
      <c r="U1084" s="262"/>
      <c r="V1084" s="263" t="s">
        <v>41</v>
      </c>
      <c r="W1084" s="262">
        <f t="shared" si="34"/>
        <v>45212</v>
      </c>
      <c r="X1084" s="263" t="s">
        <v>41</v>
      </c>
      <c r="Y1084" s="262">
        <v>45291</v>
      </c>
      <c r="Z1084" s="263" t="s">
        <v>40</v>
      </c>
      <c r="AA1084" s="262"/>
      <c r="AB1084" s="263" t="s">
        <v>40</v>
      </c>
      <c r="AC1084" s="262"/>
      <c r="AD1084" s="264"/>
      <c r="AE1084" s="264">
        <v>45565</v>
      </c>
      <c r="AF1084" s="71" t="s">
        <v>65</v>
      </c>
      <c r="AG1084" s="265">
        <v>2026</v>
      </c>
      <c r="AH1084" s="261">
        <f t="shared" si="33"/>
        <v>149999.98255000002</v>
      </c>
      <c r="AI1084" s="261"/>
      <c r="AJ1084" s="261"/>
      <c r="AK1084" s="260" t="s">
        <v>43</v>
      </c>
      <c r="AL1084" s="259" t="s">
        <v>41</v>
      </c>
      <c r="AM1084" s="266">
        <v>0</v>
      </c>
      <c r="AN1084" s="67"/>
      <c r="AO1084" s="256"/>
      <c r="AP1084" s="257"/>
    </row>
    <row r="1085" spans="1:42" s="258" customFormat="1" ht="37.950000000000003" customHeight="1" x14ac:dyDescent="0.3">
      <c r="A1085" s="259" t="s">
        <v>1641</v>
      </c>
      <c r="B1085" s="243" t="s">
        <v>1642</v>
      </c>
      <c r="C1085" s="244" t="s">
        <v>2390</v>
      </c>
      <c r="D1085" s="243" t="s">
        <v>34</v>
      </c>
      <c r="E1085" s="243" t="s">
        <v>1644</v>
      </c>
      <c r="F1085" s="260" t="s">
        <v>35</v>
      </c>
      <c r="G1085" s="260">
        <v>1</v>
      </c>
      <c r="H1085" s="245">
        <v>778720</v>
      </c>
      <c r="I1085" s="243" t="s">
        <v>36</v>
      </c>
      <c r="J1085" s="245">
        <f t="shared" si="32"/>
        <v>778720</v>
      </c>
      <c r="K1085" s="1695">
        <f>6098.18+9147.27+13460.38</f>
        <v>28705.83</v>
      </c>
      <c r="L1085" s="1695">
        <f>6098.18+9147.27+13460.38</f>
        <v>28705.83</v>
      </c>
      <c r="M1085" s="246" t="s">
        <v>54</v>
      </c>
      <c r="N1085" s="261" t="s">
        <v>2391</v>
      </c>
      <c r="O1085" s="261" t="s">
        <v>2392</v>
      </c>
      <c r="P1085" s="71" t="s">
        <v>41</v>
      </c>
      <c r="Q1085" s="262">
        <v>45104</v>
      </c>
      <c r="R1085" s="71" t="s">
        <v>41</v>
      </c>
      <c r="S1085" s="262">
        <v>45104</v>
      </c>
      <c r="T1085" s="263"/>
      <c r="U1085" s="262"/>
      <c r="V1085" s="263" t="s">
        <v>41</v>
      </c>
      <c r="W1085" s="262">
        <f t="shared" si="34"/>
        <v>45226</v>
      </c>
      <c r="X1085" s="263" t="s">
        <v>41</v>
      </c>
      <c r="Y1085" s="262">
        <v>45291</v>
      </c>
      <c r="Z1085" s="263" t="s">
        <v>40</v>
      </c>
      <c r="AA1085" s="262"/>
      <c r="AB1085" s="263" t="s">
        <v>40</v>
      </c>
      <c r="AC1085" s="262"/>
      <c r="AD1085" s="264"/>
      <c r="AE1085" s="264">
        <v>45565</v>
      </c>
      <c r="AF1085" s="71" t="s">
        <v>65</v>
      </c>
      <c r="AG1085" s="265">
        <v>2026</v>
      </c>
      <c r="AH1085" s="261">
        <f t="shared" si="33"/>
        <v>141218.33068500002</v>
      </c>
      <c r="AI1085" s="261"/>
      <c r="AJ1085" s="261"/>
      <c r="AK1085" s="260" t="s">
        <v>43</v>
      </c>
      <c r="AL1085" s="259" t="s">
        <v>41</v>
      </c>
      <c r="AM1085" s="266">
        <v>0</v>
      </c>
      <c r="AN1085" s="67"/>
      <c r="AO1085" s="256"/>
      <c r="AP1085" s="257"/>
    </row>
    <row r="1086" spans="1:42" s="258" customFormat="1" ht="37.950000000000003" customHeight="1" x14ac:dyDescent="0.3">
      <c r="A1086" s="259" t="s">
        <v>1641</v>
      </c>
      <c r="B1086" s="243" t="s">
        <v>1642</v>
      </c>
      <c r="C1086" s="244" t="s">
        <v>2393</v>
      </c>
      <c r="D1086" s="243" t="s">
        <v>34</v>
      </c>
      <c r="E1086" s="243" t="s">
        <v>1644</v>
      </c>
      <c r="F1086" s="260" t="s">
        <v>35</v>
      </c>
      <c r="G1086" s="260">
        <v>1</v>
      </c>
      <c r="H1086" s="245">
        <v>778720</v>
      </c>
      <c r="I1086" s="243" t="s">
        <v>36</v>
      </c>
      <c r="J1086" s="245">
        <f t="shared" si="32"/>
        <v>778720</v>
      </c>
      <c r="K1086" s="1435">
        <f>1382.25+18294.54+29677.81</f>
        <v>49354.600000000006</v>
      </c>
      <c r="L1086" s="1435">
        <f>K1086</f>
        <v>49354.600000000006</v>
      </c>
      <c r="M1086" s="246" t="s">
        <v>636</v>
      </c>
      <c r="N1086" s="261" t="s">
        <v>2394</v>
      </c>
      <c r="O1086" s="261" t="s">
        <v>2395</v>
      </c>
      <c r="P1086" s="71" t="s">
        <v>41</v>
      </c>
      <c r="Q1086" s="262">
        <v>45090</v>
      </c>
      <c r="R1086" s="71" t="s">
        <v>41</v>
      </c>
      <c r="S1086" s="262">
        <v>45090</v>
      </c>
      <c r="T1086" s="263"/>
      <c r="U1086" s="262"/>
      <c r="V1086" s="263" t="s">
        <v>41</v>
      </c>
      <c r="W1086" s="262">
        <f t="shared" si="34"/>
        <v>45212</v>
      </c>
      <c r="X1086" s="263" t="s">
        <v>41</v>
      </c>
      <c r="Y1086" s="262">
        <v>45291</v>
      </c>
      <c r="Z1086" s="263" t="s">
        <v>40</v>
      </c>
      <c r="AA1086" s="262"/>
      <c r="AB1086" s="263" t="s">
        <v>40</v>
      </c>
      <c r="AC1086" s="262"/>
      <c r="AD1086" s="264"/>
      <c r="AE1086" s="264">
        <v>45565</v>
      </c>
      <c r="AF1086" s="71" t="s">
        <v>65</v>
      </c>
      <c r="AG1086" s="265">
        <v>2026</v>
      </c>
      <c r="AH1086" s="261">
        <f t="shared" si="33"/>
        <v>242799.95470000003</v>
      </c>
      <c r="AI1086" s="261"/>
      <c r="AJ1086" s="261"/>
      <c r="AK1086" s="260" t="s">
        <v>43</v>
      </c>
      <c r="AL1086" s="259" t="s">
        <v>41</v>
      </c>
      <c r="AM1086" s="266">
        <v>0</v>
      </c>
      <c r="AN1086" s="67"/>
      <c r="AO1086" s="256"/>
      <c r="AP1086" s="257"/>
    </row>
    <row r="1087" spans="1:42" s="258" customFormat="1" ht="37.950000000000003" customHeight="1" x14ac:dyDescent="0.3">
      <c r="A1087" s="259" t="s">
        <v>1641</v>
      </c>
      <c r="B1087" s="243" t="s">
        <v>1642</v>
      </c>
      <c r="C1087" s="244" t="s">
        <v>2396</v>
      </c>
      <c r="D1087" s="243" t="s">
        <v>34</v>
      </c>
      <c r="E1087" s="243" t="s">
        <v>1644</v>
      </c>
      <c r="F1087" s="260" t="s">
        <v>35</v>
      </c>
      <c r="G1087" s="260">
        <v>1</v>
      </c>
      <c r="H1087" s="245">
        <v>778720</v>
      </c>
      <c r="I1087" s="243" t="s">
        <v>36</v>
      </c>
      <c r="J1087" s="245">
        <f t="shared" si="32"/>
        <v>778720</v>
      </c>
      <c r="K1087" s="1695">
        <f>3049.09+17989.63+3049.09+16465.087</f>
        <v>40552.896999999997</v>
      </c>
      <c r="L1087" s="1695">
        <f>K1087</f>
        <v>40552.896999999997</v>
      </c>
      <c r="M1087" s="246" t="s">
        <v>54</v>
      </c>
      <c r="N1087" s="261" t="s">
        <v>2397</v>
      </c>
      <c r="O1087" s="261" t="s">
        <v>2398</v>
      </c>
      <c r="P1087" s="71" t="s">
        <v>41</v>
      </c>
      <c r="Q1087" s="262">
        <v>45104</v>
      </c>
      <c r="R1087" s="71" t="s">
        <v>41</v>
      </c>
      <c r="S1087" s="262">
        <v>45104</v>
      </c>
      <c r="T1087" s="263"/>
      <c r="U1087" s="262"/>
      <c r="V1087" s="263" t="s">
        <v>41</v>
      </c>
      <c r="W1087" s="262">
        <f t="shared" si="34"/>
        <v>45226</v>
      </c>
      <c r="X1087" s="263" t="s">
        <v>41</v>
      </c>
      <c r="Y1087" s="262">
        <v>45291</v>
      </c>
      <c r="Z1087" s="263" t="s">
        <v>40</v>
      </c>
      <c r="AA1087" s="262"/>
      <c r="AB1087" s="263" t="s">
        <v>40</v>
      </c>
      <c r="AC1087" s="262"/>
      <c r="AD1087" s="264"/>
      <c r="AE1087" s="264">
        <v>45565</v>
      </c>
      <c r="AF1087" s="71" t="s">
        <v>65</v>
      </c>
      <c r="AG1087" s="265">
        <v>2026</v>
      </c>
      <c r="AH1087" s="261">
        <f t="shared" si="33"/>
        <v>199499.9767915</v>
      </c>
      <c r="AI1087" s="261"/>
      <c r="AJ1087" s="261"/>
      <c r="AK1087" s="260" t="s">
        <v>43</v>
      </c>
      <c r="AL1087" s="259" t="s">
        <v>41</v>
      </c>
      <c r="AM1087" s="266">
        <v>0</v>
      </c>
      <c r="AN1087" s="67"/>
      <c r="AO1087" s="256"/>
      <c r="AP1087" s="257"/>
    </row>
    <row r="1088" spans="1:42" s="258" customFormat="1" ht="37.950000000000003" customHeight="1" x14ac:dyDescent="0.3">
      <c r="A1088" s="259" t="s">
        <v>1641</v>
      </c>
      <c r="B1088" s="243" t="s">
        <v>1642</v>
      </c>
      <c r="C1088" s="244" t="s">
        <v>2399</v>
      </c>
      <c r="D1088" s="243" t="s">
        <v>34</v>
      </c>
      <c r="E1088" s="243" t="s">
        <v>1644</v>
      </c>
      <c r="F1088" s="260" t="s">
        <v>35</v>
      </c>
      <c r="G1088" s="260">
        <v>1</v>
      </c>
      <c r="H1088" s="245">
        <v>778720</v>
      </c>
      <c r="I1088" s="243" t="s">
        <v>36</v>
      </c>
      <c r="J1088" s="245">
        <f t="shared" si="32"/>
        <v>778720</v>
      </c>
      <c r="K1088" s="1695">
        <f>41508.28</f>
        <v>41508.28</v>
      </c>
      <c r="L1088" s="1695">
        <f>41508.28</f>
        <v>41508.28</v>
      </c>
      <c r="M1088" s="246" t="s">
        <v>151</v>
      </c>
      <c r="N1088" s="261" t="s">
        <v>2400</v>
      </c>
      <c r="O1088" s="261" t="s">
        <v>2401</v>
      </c>
      <c r="P1088" s="71" t="s">
        <v>41</v>
      </c>
      <c r="Q1088" s="262">
        <v>45090</v>
      </c>
      <c r="R1088" s="71" t="s">
        <v>41</v>
      </c>
      <c r="S1088" s="262">
        <v>45090</v>
      </c>
      <c r="T1088" s="263"/>
      <c r="U1088" s="262"/>
      <c r="V1088" s="263" t="s">
        <v>41</v>
      </c>
      <c r="W1088" s="262">
        <f t="shared" si="34"/>
        <v>45212</v>
      </c>
      <c r="X1088" s="263" t="s">
        <v>41</v>
      </c>
      <c r="Y1088" s="262">
        <v>45291</v>
      </c>
      <c r="Z1088" s="263" t="s">
        <v>40</v>
      </c>
      <c r="AA1088" s="262"/>
      <c r="AB1088" s="263" t="s">
        <v>40</v>
      </c>
      <c r="AC1088" s="262"/>
      <c r="AD1088" s="264"/>
      <c r="AE1088" s="264">
        <v>45565</v>
      </c>
      <c r="AF1088" s="71" t="s">
        <v>65</v>
      </c>
      <c r="AG1088" s="265">
        <v>2026</v>
      </c>
      <c r="AH1088" s="261">
        <f t="shared" si="33"/>
        <v>204199.98345999999</v>
      </c>
      <c r="AI1088" s="261"/>
      <c r="AJ1088" s="261"/>
      <c r="AK1088" s="260" t="s">
        <v>43</v>
      </c>
      <c r="AL1088" s="259" t="s">
        <v>41</v>
      </c>
      <c r="AM1088" s="266">
        <v>0</v>
      </c>
      <c r="AN1088" s="67"/>
      <c r="AO1088" s="256"/>
      <c r="AP1088" s="257"/>
    </row>
    <row r="1089" spans="1:42" s="258" customFormat="1" ht="37.950000000000003" customHeight="1" x14ac:dyDescent="0.3">
      <c r="A1089" s="259" t="s">
        <v>1641</v>
      </c>
      <c r="B1089" s="243" t="s">
        <v>1642</v>
      </c>
      <c r="C1089" s="244" t="s">
        <v>2402</v>
      </c>
      <c r="D1089" s="243" t="s">
        <v>34</v>
      </c>
      <c r="E1089" s="243" t="s">
        <v>1644</v>
      </c>
      <c r="F1089" s="260" t="s">
        <v>35</v>
      </c>
      <c r="G1089" s="260">
        <v>1</v>
      </c>
      <c r="H1089" s="245">
        <v>778720</v>
      </c>
      <c r="I1089" s="243" t="s">
        <v>36</v>
      </c>
      <c r="J1089" s="245">
        <f t="shared" si="32"/>
        <v>778720</v>
      </c>
      <c r="K1089" s="1695">
        <v>4573.63</v>
      </c>
      <c r="L1089" s="1695">
        <v>4573.63</v>
      </c>
      <c r="M1089" s="246" t="s">
        <v>54</v>
      </c>
      <c r="N1089" s="261" t="s">
        <v>2403</v>
      </c>
      <c r="O1089" s="261" t="s">
        <v>2404</v>
      </c>
      <c r="P1089" s="71" t="s">
        <v>41</v>
      </c>
      <c r="Q1089" s="262">
        <v>45104</v>
      </c>
      <c r="R1089" s="71" t="s">
        <v>41</v>
      </c>
      <c r="S1089" s="262">
        <v>45104</v>
      </c>
      <c r="T1089" s="263"/>
      <c r="U1089" s="262"/>
      <c r="V1089" s="263" t="s">
        <v>41</v>
      </c>
      <c r="W1089" s="262">
        <f t="shared" si="34"/>
        <v>45226</v>
      </c>
      <c r="X1089" s="263" t="s">
        <v>41</v>
      </c>
      <c r="Y1089" s="262">
        <v>45291</v>
      </c>
      <c r="Z1089" s="263" t="s">
        <v>40</v>
      </c>
      <c r="AA1089" s="262"/>
      <c r="AB1089" s="263" t="s">
        <v>40</v>
      </c>
      <c r="AC1089" s="262"/>
      <c r="AD1089" s="264"/>
      <c r="AE1089" s="264">
        <v>45565</v>
      </c>
      <c r="AF1089" s="71" t="s">
        <v>65</v>
      </c>
      <c r="AG1089" s="265">
        <v>2026</v>
      </c>
      <c r="AH1089" s="261">
        <f t="shared" si="33"/>
        <v>22499.972785000002</v>
      </c>
      <c r="AI1089" s="261"/>
      <c r="AJ1089" s="261"/>
      <c r="AK1089" s="260" t="s">
        <v>43</v>
      </c>
      <c r="AL1089" s="259" t="s">
        <v>41</v>
      </c>
      <c r="AM1089" s="266">
        <v>0</v>
      </c>
      <c r="AN1089" s="67"/>
      <c r="AO1089" s="256"/>
      <c r="AP1089" s="257"/>
    </row>
    <row r="1090" spans="1:42" s="258" customFormat="1" ht="37.950000000000003" customHeight="1" x14ac:dyDescent="0.3">
      <c r="A1090" s="259" t="s">
        <v>1641</v>
      </c>
      <c r="B1090" s="243" t="s">
        <v>1642</v>
      </c>
      <c r="C1090" s="244" t="s">
        <v>2405</v>
      </c>
      <c r="D1090" s="243" t="s">
        <v>34</v>
      </c>
      <c r="E1090" s="243" t="s">
        <v>1644</v>
      </c>
      <c r="F1090" s="260" t="s">
        <v>35</v>
      </c>
      <c r="G1090" s="260">
        <v>1</v>
      </c>
      <c r="H1090" s="245">
        <v>778720</v>
      </c>
      <c r="I1090" s="243" t="s">
        <v>36</v>
      </c>
      <c r="J1090" s="245">
        <f t="shared" si="32"/>
        <v>778720</v>
      </c>
      <c r="K1090" s="1695">
        <f>2032.73+28763.08</f>
        <v>30795.81</v>
      </c>
      <c r="L1090" s="1695">
        <f>K1090</f>
        <v>30795.81</v>
      </c>
      <c r="M1090" s="246" t="s">
        <v>54</v>
      </c>
      <c r="N1090" s="261" t="s">
        <v>2406</v>
      </c>
      <c r="O1090" s="261" t="s">
        <v>2407</v>
      </c>
      <c r="P1090" s="71" t="s">
        <v>41</v>
      </c>
      <c r="Q1090" s="262">
        <v>44998</v>
      </c>
      <c r="R1090" s="71" t="s">
        <v>41</v>
      </c>
      <c r="S1090" s="262">
        <v>44998</v>
      </c>
      <c r="T1090" s="263"/>
      <c r="U1090" s="262"/>
      <c r="V1090" s="263" t="s">
        <v>41</v>
      </c>
      <c r="W1090" s="262">
        <f t="shared" si="34"/>
        <v>45120</v>
      </c>
      <c r="X1090" s="263" t="s">
        <v>41</v>
      </c>
      <c r="Y1090" s="262">
        <v>45291</v>
      </c>
      <c r="Z1090" s="263" t="s">
        <v>40</v>
      </c>
      <c r="AA1090" s="262"/>
      <c r="AB1090" s="263" t="s">
        <v>40</v>
      </c>
      <c r="AC1090" s="262"/>
      <c r="AD1090" s="264"/>
      <c r="AE1090" s="264">
        <v>45565</v>
      </c>
      <c r="AF1090" s="71" t="s">
        <v>65</v>
      </c>
      <c r="AG1090" s="265">
        <v>2026</v>
      </c>
      <c r="AH1090" s="261">
        <f t="shared" si="33"/>
        <v>151499.987295</v>
      </c>
      <c r="AI1090" s="261"/>
      <c r="AJ1090" s="261"/>
      <c r="AK1090" s="260" t="s">
        <v>43</v>
      </c>
      <c r="AL1090" s="259" t="s">
        <v>41</v>
      </c>
      <c r="AM1090" s="266">
        <v>0</v>
      </c>
      <c r="AN1090" s="67"/>
      <c r="AO1090" s="256"/>
      <c r="AP1090" s="257"/>
    </row>
    <row r="1091" spans="1:42" s="258" customFormat="1" ht="37.950000000000003" customHeight="1" x14ac:dyDescent="0.3">
      <c r="A1091" s="259" t="s">
        <v>1641</v>
      </c>
      <c r="B1091" s="243" t="s">
        <v>1642</v>
      </c>
      <c r="C1091" s="244" t="s">
        <v>2408</v>
      </c>
      <c r="D1091" s="243" t="s">
        <v>34</v>
      </c>
      <c r="E1091" s="243" t="s">
        <v>1644</v>
      </c>
      <c r="F1091" s="260" t="s">
        <v>35</v>
      </c>
      <c r="G1091" s="260">
        <v>1</v>
      </c>
      <c r="H1091" s="245">
        <v>778720</v>
      </c>
      <c r="I1091" s="243" t="s">
        <v>36</v>
      </c>
      <c r="J1091" s="245">
        <f t="shared" ref="J1091:J1154" si="36">H1091</f>
        <v>778720</v>
      </c>
      <c r="K1091" s="1695">
        <f>41508.28</f>
        <v>41508.28</v>
      </c>
      <c r="L1091" s="1695">
        <f>41508.28</f>
        <v>41508.28</v>
      </c>
      <c r="M1091" s="246" t="s">
        <v>151</v>
      </c>
      <c r="N1091" s="261" t="s">
        <v>2409</v>
      </c>
      <c r="O1091" s="261" t="s">
        <v>2410</v>
      </c>
      <c r="P1091" s="71" t="s">
        <v>41</v>
      </c>
      <c r="Q1091" s="262">
        <v>44998</v>
      </c>
      <c r="R1091" s="71" t="s">
        <v>41</v>
      </c>
      <c r="S1091" s="262">
        <v>44998</v>
      </c>
      <c r="T1091" s="263"/>
      <c r="U1091" s="262"/>
      <c r="V1091" s="263" t="s">
        <v>41</v>
      </c>
      <c r="W1091" s="262">
        <f t="shared" si="34"/>
        <v>45120</v>
      </c>
      <c r="X1091" s="263" t="s">
        <v>41</v>
      </c>
      <c r="Y1091" s="262">
        <v>45291</v>
      </c>
      <c r="Z1091" s="263" t="s">
        <v>40</v>
      </c>
      <c r="AA1091" s="262"/>
      <c r="AB1091" s="263" t="s">
        <v>40</v>
      </c>
      <c r="AC1091" s="262"/>
      <c r="AD1091" s="264"/>
      <c r="AE1091" s="264">
        <v>45565</v>
      </c>
      <c r="AF1091" s="71" t="s">
        <v>65</v>
      </c>
      <c r="AG1091" s="265">
        <v>2026</v>
      </c>
      <c r="AH1091" s="261">
        <f t="shared" ref="AH1091:AH1154" si="37">K1091*4.9195</f>
        <v>204199.98345999999</v>
      </c>
      <c r="AI1091" s="261"/>
      <c r="AJ1091" s="261"/>
      <c r="AK1091" s="260" t="s">
        <v>43</v>
      </c>
      <c r="AL1091" s="259" t="s">
        <v>41</v>
      </c>
      <c r="AM1091" s="266">
        <v>0</v>
      </c>
      <c r="AN1091" s="67"/>
      <c r="AO1091" s="256"/>
      <c r="AP1091" s="257"/>
    </row>
    <row r="1092" spans="1:42" s="258" customFormat="1" ht="37.950000000000003" customHeight="1" x14ac:dyDescent="0.3">
      <c r="A1092" s="259" t="s">
        <v>1641</v>
      </c>
      <c r="B1092" s="243" t="s">
        <v>1642</v>
      </c>
      <c r="C1092" s="244" t="s">
        <v>2411</v>
      </c>
      <c r="D1092" s="243" t="s">
        <v>34</v>
      </c>
      <c r="E1092" s="243" t="s">
        <v>1644</v>
      </c>
      <c r="F1092" s="260" t="s">
        <v>35</v>
      </c>
      <c r="G1092" s="260">
        <v>1</v>
      </c>
      <c r="H1092" s="245">
        <v>778720</v>
      </c>
      <c r="I1092" s="243" t="s">
        <v>36</v>
      </c>
      <c r="J1092" s="245">
        <f t="shared" si="36"/>
        <v>778720</v>
      </c>
      <c r="K1092" s="1695">
        <f>42687.26</f>
        <v>42687.26</v>
      </c>
      <c r="L1092" s="1695">
        <f>42687.26</f>
        <v>42687.26</v>
      </c>
      <c r="M1092" s="246" t="s">
        <v>51</v>
      </c>
      <c r="N1092" s="261" t="s">
        <v>2412</v>
      </c>
      <c r="O1092" s="261" t="s">
        <v>2413</v>
      </c>
      <c r="P1092" s="71" t="s">
        <v>41</v>
      </c>
      <c r="Q1092" s="262">
        <v>44998</v>
      </c>
      <c r="R1092" s="71" t="s">
        <v>41</v>
      </c>
      <c r="S1092" s="262">
        <v>44998</v>
      </c>
      <c r="T1092" s="263"/>
      <c r="U1092" s="262"/>
      <c r="V1092" s="263" t="s">
        <v>41</v>
      </c>
      <c r="W1092" s="262">
        <f t="shared" si="34"/>
        <v>45120</v>
      </c>
      <c r="X1092" s="263" t="s">
        <v>41</v>
      </c>
      <c r="Y1092" s="262">
        <v>45291</v>
      </c>
      <c r="Z1092" s="263" t="s">
        <v>40</v>
      </c>
      <c r="AA1092" s="262"/>
      <c r="AB1092" s="263" t="s">
        <v>40</v>
      </c>
      <c r="AC1092" s="262"/>
      <c r="AD1092" s="264"/>
      <c r="AE1092" s="264">
        <v>45565</v>
      </c>
      <c r="AF1092" s="71" t="s">
        <v>65</v>
      </c>
      <c r="AG1092" s="265">
        <v>2026</v>
      </c>
      <c r="AH1092" s="261">
        <f t="shared" si="37"/>
        <v>209999.97557000001</v>
      </c>
      <c r="AI1092" s="261"/>
      <c r="AJ1092" s="261"/>
      <c r="AK1092" s="260" t="s">
        <v>43</v>
      </c>
      <c r="AL1092" s="259" t="s">
        <v>41</v>
      </c>
      <c r="AM1092" s="266">
        <v>0</v>
      </c>
      <c r="AN1092" s="67"/>
      <c r="AO1092" s="256"/>
      <c r="AP1092" s="257"/>
    </row>
    <row r="1093" spans="1:42" s="258" customFormat="1" ht="37.950000000000003" customHeight="1" x14ac:dyDescent="0.3">
      <c r="A1093" s="259" t="s">
        <v>1641</v>
      </c>
      <c r="B1093" s="243" t="s">
        <v>1642</v>
      </c>
      <c r="C1093" s="244" t="s">
        <v>2414</v>
      </c>
      <c r="D1093" s="243" t="s">
        <v>34</v>
      </c>
      <c r="E1093" s="243" t="s">
        <v>1644</v>
      </c>
      <c r="F1093" s="260" t="s">
        <v>35</v>
      </c>
      <c r="G1093" s="260">
        <v>1</v>
      </c>
      <c r="H1093" s="245">
        <v>778720</v>
      </c>
      <c r="I1093" s="243" t="s">
        <v>36</v>
      </c>
      <c r="J1093" s="245">
        <f t="shared" si="36"/>
        <v>778720</v>
      </c>
      <c r="K1093" s="1695">
        <v>13720.9</v>
      </c>
      <c r="L1093" s="1695">
        <v>13720.9</v>
      </c>
      <c r="M1093" s="246" t="s">
        <v>53</v>
      </c>
      <c r="N1093" s="261" t="s">
        <v>612</v>
      </c>
      <c r="O1093" s="261" t="s">
        <v>2415</v>
      </c>
      <c r="P1093" s="71" t="s">
        <v>41</v>
      </c>
      <c r="Q1093" s="262">
        <v>44998</v>
      </c>
      <c r="R1093" s="71" t="s">
        <v>41</v>
      </c>
      <c r="S1093" s="262">
        <v>44998</v>
      </c>
      <c r="T1093" s="263"/>
      <c r="U1093" s="262"/>
      <c r="V1093" s="263" t="s">
        <v>41</v>
      </c>
      <c r="W1093" s="262">
        <f t="shared" si="34"/>
        <v>45120</v>
      </c>
      <c r="X1093" s="263" t="s">
        <v>41</v>
      </c>
      <c r="Y1093" s="262">
        <v>45291</v>
      </c>
      <c r="Z1093" s="263" t="s">
        <v>40</v>
      </c>
      <c r="AA1093" s="262"/>
      <c r="AB1093" s="263" t="s">
        <v>40</v>
      </c>
      <c r="AC1093" s="262"/>
      <c r="AD1093" s="264"/>
      <c r="AE1093" s="264">
        <v>45565</v>
      </c>
      <c r="AF1093" s="71" t="s">
        <v>65</v>
      </c>
      <c r="AG1093" s="265">
        <v>2026</v>
      </c>
      <c r="AH1093" s="261">
        <f t="shared" si="37"/>
        <v>67499.967550000001</v>
      </c>
      <c r="AI1093" s="261"/>
      <c r="AJ1093" s="261"/>
      <c r="AK1093" s="260" t="s">
        <v>43</v>
      </c>
      <c r="AL1093" s="259" t="s">
        <v>41</v>
      </c>
      <c r="AM1093" s="266">
        <v>0</v>
      </c>
      <c r="AN1093" s="67"/>
      <c r="AO1093" s="256"/>
      <c r="AP1093" s="257"/>
    </row>
    <row r="1094" spans="1:42" s="273" customFormat="1" ht="37.950000000000003" customHeight="1" x14ac:dyDescent="0.3">
      <c r="A1094" s="259" t="s">
        <v>1641</v>
      </c>
      <c r="B1094" s="243" t="s">
        <v>1642</v>
      </c>
      <c r="C1094" s="244" t="s">
        <v>2416</v>
      </c>
      <c r="D1094" s="243" t="s">
        <v>34</v>
      </c>
      <c r="E1094" s="243" t="s">
        <v>1644</v>
      </c>
      <c r="F1094" s="260" t="s">
        <v>35</v>
      </c>
      <c r="G1094" s="260">
        <v>1</v>
      </c>
      <c r="H1094" s="245">
        <v>778720</v>
      </c>
      <c r="I1094" s="243" t="s">
        <v>36</v>
      </c>
      <c r="J1094" s="245">
        <f t="shared" si="36"/>
        <v>778720</v>
      </c>
      <c r="K1094" s="1435">
        <f>41508.28</f>
        <v>41508.28</v>
      </c>
      <c r="L1094" s="1435">
        <f>41508.28</f>
        <v>41508.28</v>
      </c>
      <c r="M1094" s="246" t="s">
        <v>151</v>
      </c>
      <c r="N1094" s="261" t="s">
        <v>2417</v>
      </c>
      <c r="O1094" s="261" t="s">
        <v>2418</v>
      </c>
      <c r="P1094" s="71" t="s">
        <v>41</v>
      </c>
      <c r="Q1094" s="262">
        <v>45000</v>
      </c>
      <c r="R1094" s="71" t="s">
        <v>41</v>
      </c>
      <c r="S1094" s="262">
        <v>45000</v>
      </c>
      <c r="T1094" s="263"/>
      <c r="U1094" s="262"/>
      <c r="V1094" s="263" t="s">
        <v>41</v>
      </c>
      <c r="W1094" s="262">
        <f t="shared" si="34"/>
        <v>45122</v>
      </c>
      <c r="X1094" s="263" t="s">
        <v>41</v>
      </c>
      <c r="Y1094" s="262">
        <v>45291</v>
      </c>
      <c r="Z1094" s="263" t="s">
        <v>40</v>
      </c>
      <c r="AA1094" s="262"/>
      <c r="AB1094" s="263" t="s">
        <v>40</v>
      </c>
      <c r="AC1094" s="262"/>
      <c r="AD1094" s="264"/>
      <c r="AE1094" s="264">
        <v>45565</v>
      </c>
      <c r="AF1094" s="71" t="s">
        <v>65</v>
      </c>
      <c r="AG1094" s="265">
        <v>2026</v>
      </c>
      <c r="AH1094" s="261">
        <f t="shared" si="37"/>
        <v>204199.98345999999</v>
      </c>
      <c r="AI1094" s="261"/>
      <c r="AJ1094" s="261"/>
      <c r="AK1094" s="260" t="s">
        <v>43</v>
      </c>
      <c r="AL1094" s="259" t="s">
        <v>41</v>
      </c>
      <c r="AM1094" s="266">
        <v>0</v>
      </c>
      <c r="AN1094" s="67"/>
      <c r="AO1094" s="271"/>
      <c r="AP1094" s="272"/>
    </row>
    <row r="1095" spans="1:42" s="258" customFormat="1" ht="37.950000000000003" customHeight="1" x14ac:dyDescent="0.3">
      <c r="A1095" s="259" t="s">
        <v>1641</v>
      </c>
      <c r="B1095" s="243" t="s">
        <v>1642</v>
      </c>
      <c r="C1095" s="244" t="s">
        <v>2419</v>
      </c>
      <c r="D1095" s="243" t="s">
        <v>34</v>
      </c>
      <c r="E1095" s="243" t="s">
        <v>1644</v>
      </c>
      <c r="F1095" s="260" t="s">
        <v>35</v>
      </c>
      <c r="G1095" s="260">
        <v>1</v>
      </c>
      <c r="H1095" s="245">
        <v>778720</v>
      </c>
      <c r="I1095" s="243" t="s">
        <v>36</v>
      </c>
      <c r="J1095" s="245">
        <f t="shared" si="36"/>
        <v>778720</v>
      </c>
      <c r="K1095" s="1695">
        <f>19453.2</f>
        <v>19453.2</v>
      </c>
      <c r="L1095" s="1695">
        <f>K1095</f>
        <v>19453.2</v>
      </c>
      <c r="M1095" s="246" t="s">
        <v>73</v>
      </c>
      <c r="N1095" s="261" t="s">
        <v>2420</v>
      </c>
      <c r="O1095" s="261" t="s">
        <v>2421</v>
      </c>
      <c r="P1095" s="71" t="s">
        <v>41</v>
      </c>
      <c r="Q1095" s="262">
        <v>45090</v>
      </c>
      <c r="R1095" s="71" t="s">
        <v>41</v>
      </c>
      <c r="S1095" s="262">
        <v>45090</v>
      </c>
      <c r="T1095" s="263"/>
      <c r="U1095" s="262"/>
      <c r="V1095" s="263" t="s">
        <v>41</v>
      </c>
      <c r="W1095" s="262">
        <f t="shared" si="34"/>
        <v>45212</v>
      </c>
      <c r="X1095" s="263" t="s">
        <v>41</v>
      </c>
      <c r="Y1095" s="262">
        <v>45291</v>
      </c>
      <c r="Z1095" s="263" t="s">
        <v>40</v>
      </c>
      <c r="AA1095" s="262"/>
      <c r="AB1095" s="263" t="s">
        <v>40</v>
      </c>
      <c r="AC1095" s="262"/>
      <c r="AD1095" s="264"/>
      <c r="AE1095" s="264">
        <v>45565</v>
      </c>
      <c r="AF1095" s="71" t="s">
        <v>65</v>
      </c>
      <c r="AG1095" s="265">
        <v>2026</v>
      </c>
      <c r="AH1095" s="261">
        <f t="shared" si="37"/>
        <v>95700.017400000012</v>
      </c>
      <c r="AI1095" s="261"/>
      <c r="AJ1095" s="261"/>
      <c r="AK1095" s="260" t="s">
        <v>43</v>
      </c>
      <c r="AL1095" s="259" t="s">
        <v>41</v>
      </c>
      <c r="AM1095" s="266">
        <v>0</v>
      </c>
      <c r="AN1095" s="67"/>
      <c r="AO1095" s="256"/>
      <c r="AP1095" s="257"/>
    </row>
    <row r="1096" spans="1:42" s="258" customFormat="1" ht="37.950000000000003" customHeight="1" x14ac:dyDescent="0.3">
      <c r="A1096" s="259" t="s">
        <v>1641</v>
      </c>
      <c r="B1096" s="243" t="s">
        <v>1642</v>
      </c>
      <c r="C1096" s="244" t="s">
        <v>2422</v>
      </c>
      <c r="D1096" s="243" t="s">
        <v>34</v>
      </c>
      <c r="E1096" s="243" t="s">
        <v>1644</v>
      </c>
      <c r="F1096" s="260" t="s">
        <v>35</v>
      </c>
      <c r="G1096" s="260">
        <v>1</v>
      </c>
      <c r="H1096" s="245">
        <v>778720</v>
      </c>
      <c r="I1096" s="243" t="s">
        <v>36</v>
      </c>
      <c r="J1096" s="245">
        <f t="shared" si="36"/>
        <v>778720</v>
      </c>
      <c r="K1096" s="1695">
        <f>28763.09+2032.73</f>
        <v>30795.82</v>
      </c>
      <c r="L1096" s="1695">
        <f>K1096</f>
        <v>30795.82</v>
      </c>
      <c r="M1096" s="246" t="s">
        <v>54</v>
      </c>
      <c r="N1096" s="261" t="s">
        <v>2423</v>
      </c>
      <c r="O1096" s="261" t="s">
        <v>2424</v>
      </c>
      <c r="P1096" s="71" t="s">
        <v>41</v>
      </c>
      <c r="Q1096" s="262">
        <v>45090</v>
      </c>
      <c r="R1096" s="71" t="s">
        <v>41</v>
      </c>
      <c r="S1096" s="262">
        <v>45090</v>
      </c>
      <c r="T1096" s="263"/>
      <c r="U1096" s="262"/>
      <c r="V1096" s="263" t="s">
        <v>41</v>
      </c>
      <c r="W1096" s="262">
        <f t="shared" si="34"/>
        <v>45212</v>
      </c>
      <c r="X1096" s="263" t="s">
        <v>41</v>
      </c>
      <c r="Y1096" s="262">
        <v>45291</v>
      </c>
      <c r="Z1096" s="263" t="s">
        <v>40</v>
      </c>
      <c r="AA1096" s="262"/>
      <c r="AB1096" s="263" t="s">
        <v>40</v>
      </c>
      <c r="AC1096" s="262"/>
      <c r="AD1096" s="264"/>
      <c r="AE1096" s="264">
        <v>45565</v>
      </c>
      <c r="AF1096" s="71" t="s">
        <v>65</v>
      </c>
      <c r="AG1096" s="265">
        <v>2026</v>
      </c>
      <c r="AH1096" s="261">
        <f t="shared" si="37"/>
        <v>151500.03649</v>
      </c>
      <c r="AI1096" s="261"/>
      <c r="AJ1096" s="261"/>
      <c r="AK1096" s="260" t="s">
        <v>43</v>
      </c>
      <c r="AL1096" s="259" t="s">
        <v>41</v>
      </c>
      <c r="AM1096" s="266">
        <v>0</v>
      </c>
      <c r="AN1096" s="67"/>
      <c r="AO1096" s="256"/>
      <c r="AP1096" s="257"/>
    </row>
    <row r="1097" spans="1:42" s="258" customFormat="1" ht="37.950000000000003" customHeight="1" x14ac:dyDescent="0.3">
      <c r="A1097" s="259" t="s">
        <v>1641</v>
      </c>
      <c r="B1097" s="243" t="s">
        <v>1642</v>
      </c>
      <c r="C1097" s="244" t="s">
        <v>2425</v>
      </c>
      <c r="D1097" s="243" t="s">
        <v>34</v>
      </c>
      <c r="E1097" s="243" t="s">
        <v>1644</v>
      </c>
      <c r="F1097" s="260" t="s">
        <v>35</v>
      </c>
      <c r="G1097" s="260">
        <v>1</v>
      </c>
      <c r="H1097" s="245">
        <v>778720</v>
      </c>
      <c r="I1097" s="243" t="s">
        <v>36</v>
      </c>
      <c r="J1097" s="245">
        <f t="shared" si="36"/>
        <v>778720</v>
      </c>
      <c r="K1097" s="1695">
        <f>41061.08</f>
        <v>41061.08</v>
      </c>
      <c r="L1097" s="1695">
        <f>41061.08</f>
        <v>41061.08</v>
      </c>
      <c r="M1097" s="246" t="s">
        <v>53</v>
      </c>
      <c r="N1097" s="261" t="s">
        <v>2426</v>
      </c>
      <c r="O1097" s="261" t="s">
        <v>2427</v>
      </c>
      <c r="P1097" s="71" t="s">
        <v>41</v>
      </c>
      <c r="Q1097" s="262">
        <v>45104</v>
      </c>
      <c r="R1097" s="71" t="s">
        <v>41</v>
      </c>
      <c r="S1097" s="262">
        <v>45104</v>
      </c>
      <c r="T1097" s="263"/>
      <c r="U1097" s="262"/>
      <c r="V1097" s="263" t="s">
        <v>41</v>
      </c>
      <c r="W1097" s="262">
        <f t="shared" si="34"/>
        <v>45226</v>
      </c>
      <c r="X1097" s="263" t="s">
        <v>41</v>
      </c>
      <c r="Y1097" s="262">
        <v>45291</v>
      </c>
      <c r="Z1097" s="263" t="s">
        <v>40</v>
      </c>
      <c r="AA1097" s="262"/>
      <c r="AB1097" s="263" t="s">
        <v>40</v>
      </c>
      <c r="AC1097" s="262"/>
      <c r="AD1097" s="264"/>
      <c r="AE1097" s="264">
        <v>45565</v>
      </c>
      <c r="AF1097" s="71" t="s">
        <v>65</v>
      </c>
      <c r="AG1097" s="265">
        <v>2026</v>
      </c>
      <c r="AH1097" s="261">
        <f t="shared" si="37"/>
        <v>201999.98306000003</v>
      </c>
      <c r="AI1097" s="261"/>
      <c r="AJ1097" s="261"/>
      <c r="AK1097" s="260" t="s">
        <v>43</v>
      </c>
      <c r="AL1097" s="259" t="s">
        <v>41</v>
      </c>
      <c r="AM1097" s="266">
        <v>0</v>
      </c>
      <c r="AN1097" s="67"/>
      <c r="AO1097" s="256"/>
      <c r="AP1097" s="257"/>
    </row>
    <row r="1098" spans="1:42" s="258" customFormat="1" ht="37.950000000000003" customHeight="1" x14ac:dyDescent="0.3">
      <c r="A1098" s="259" t="s">
        <v>1641</v>
      </c>
      <c r="B1098" s="243" t="s">
        <v>1642</v>
      </c>
      <c r="C1098" s="244" t="s">
        <v>2428</v>
      </c>
      <c r="D1098" s="243" t="s">
        <v>34</v>
      </c>
      <c r="E1098" s="243" t="s">
        <v>1644</v>
      </c>
      <c r="F1098" s="260" t="s">
        <v>35</v>
      </c>
      <c r="G1098" s="260">
        <v>1</v>
      </c>
      <c r="H1098" s="245">
        <v>778720</v>
      </c>
      <c r="I1098" s="243" t="s">
        <v>36</v>
      </c>
      <c r="J1098" s="245">
        <f t="shared" si="36"/>
        <v>778720</v>
      </c>
      <c r="K1098" s="1435">
        <f>10773.45+13466.815+5945.72</f>
        <v>30185.985000000001</v>
      </c>
      <c r="L1098" s="1435">
        <f>K1098</f>
        <v>30185.985000000001</v>
      </c>
      <c r="M1098" s="246" t="s">
        <v>53</v>
      </c>
      <c r="N1098" s="261" t="s">
        <v>2429</v>
      </c>
      <c r="O1098" s="261" t="s">
        <v>2430</v>
      </c>
      <c r="P1098" s="71" t="s">
        <v>41</v>
      </c>
      <c r="Q1098" s="262">
        <v>45104</v>
      </c>
      <c r="R1098" s="71" t="s">
        <v>41</v>
      </c>
      <c r="S1098" s="262">
        <v>45104</v>
      </c>
      <c r="T1098" s="263"/>
      <c r="U1098" s="262"/>
      <c r="V1098" s="263" t="s">
        <v>41</v>
      </c>
      <c r="W1098" s="262">
        <f t="shared" si="34"/>
        <v>45226</v>
      </c>
      <c r="X1098" s="263" t="s">
        <v>41</v>
      </c>
      <c r="Y1098" s="262">
        <v>45291</v>
      </c>
      <c r="Z1098" s="263" t="s">
        <v>40</v>
      </c>
      <c r="AA1098" s="262"/>
      <c r="AB1098" s="263" t="s">
        <v>40</v>
      </c>
      <c r="AC1098" s="262"/>
      <c r="AD1098" s="264"/>
      <c r="AE1098" s="264">
        <v>45565</v>
      </c>
      <c r="AF1098" s="71" t="s">
        <v>65</v>
      </c>
      <c r="AG1098" s="265">
        <v>2026</v>
      </c>
      <c r="AH1098" s="261">
        <f t="shared" si="37"/>
        <v>148499.95320750002</v>
      </c>
      <c r="AI1098" s="261"/>
      <c r="AJ1098" s="261"/>
      <c r="AK1098" s="260" t="s">
        <v>43</v>
      </c>
      <c r="AL1098" s="259" t="s">
        <v>41</v>
      </c>
      <c r="AM1098" s="266">
        <v>0</v>
      </c>
      <c r="AN1098" s="67"/>
      <c r="AO1098" s="256"/>
      <c r="AP1098" s="257"/>
    </row>
    <row r="1099" spans="1:42" s="258" customFormat="1" ht="37.950000000000003" customHeight="1" x14ac:dyDescent="0.3">
      <c r="A1099" s="259" t="s">
        <v>1641</v>
      </c>
      <c r="B1099" s="243" t="s">
        <v>1642</v>
      </c>
      <c r="C1099" s="244" t="s">
        <v>2431</v>
      </c>
      <c r="D1099" s="243" t="s">
        <v>34</v>
      </c>
      <c r="E1099" s="243" t="s">
        <v>1644</v>
      </c>
      <c r="F1099" s="260" t="s">
        <v>35</v>
      </c>
      <c r="G1099" s="260">
        <v>1</v>
      </c>
      <c r="H1099" s="245">
        <v>778720</v>
      </c>
      <c r="I1099" s="243" t="s">
        <v>36</v>
      </c>
      <c r="J1099" s="245">
        <f t="shared" si="36"/>
        <v>778720</v>
      </c>
      <c r="K1099" s="1695">
        <f>43154.79</f>
        <v>43154.79</v>
      </c>
      <c r="L1099" s="1695">
        <f>43154.79</f>
        <v>43154.79</v>
      </c>
      <c r="M1099" s="246" t="s">
        <v>49</v>
      </c>
      <c r="N1099" s="261" t="s">
        <v>2432</v>
      </c>
      <c r="O1099" s="261" t="s">
        <v>2433</v>
      </c>
      <c r="P1099" s="71" t="s">
        <v>41</v>
      </c>
      <c r="Q1099" s="262">
        <v>44998</v>
      </c>
      <c r="R1099" s="71" t="s">
        <v>41</v>
      </c>
      <c r="S1099" s="262">
        <v>44998</v>
      </c>
      <c r="T1099" s="263"/>
      <c r="U1099" s="262"/>
      <c r="V1099" s="263" t="s">
        <v>41</v>
      </c>
      <c r="W1099" s="262">
        <f t="shared" si="34"/>
        <v>45120</v>
      </c>
      <c r="X1099" s="263" t="s">
        <v>41</v>
      </c>
      <c r="Y1099" s="262">
        <v>45291</v>
      </c>
      <c r="Z1099" s="263" t="s">
        <v>40</v>
      </c>
      <c r="AA1099" s="262"/>
      <c r="AB1099" s="263" t="s">
        <v>40</v>
      </c>
      <c r="AC1099" s="262"/>
      <c r="AD1099" s="264"/>
      <c r="AE1099" s="264">
        <v>45565</v>
      </c>
      <c r="AF1099" s="71" t="s">
        <v>65</v>
      </c>
      <c r="AG1099" s="265">
        <v>2026</v>
      </c>
      <c r="AH1099" s="261">
        <f t="shared" si="37"/>
        <v>212299.989405</v>
      </c>
      <c r="AI1099" s="261"/>
      <c r="AJ1099" s="261"/>
      <c r="AK1099" s="260" t="s">
        <v>43</v>
      </c>
      <c r="AL1099" s="259" t="s">
        <v>41</v>
      </c>
      <c r="AM1099" s="266">
        <v>0</v>
      </c>
      <c r="AN1099" s="67"/>
      <c r="AO1099" s="256"/>
      <c r="AP1099" s="257"/>
    </row>
    <row r="1100" spans="1:42" s="258" customFormat="1" ht="37.950000000000003" customHeight="1" x14ac:dyDescent="0.3">
      <c r="A1100" s="259" t="s">
        <v>1641</v>
      </c>
      <c r="B1100" s="243" t="s">
        <v>1642</v>
      </c>
      <c r="C1100" s="244" t="s">
        <v>2434</v>
      </c>
      <c r="D1100" s="243" t="s">
        <v>34</v>
      </c>
      <c r="E1100" s="243" t="s">
        <v>1644</v>
      </c>
      <c r="F1100" s="260" t="s">
        <v>35</v>
      </c>
      <c r="G1100" s="260">
        <v>1</v>
      </c>
      <c r="H1100" s="245">
        <v>778720</v>
      </c>
      <c r="I1100" s="243" t="s">
        <v>36</v>
      </c>
      <c r="J1100" s="245">
        <f t="shared" si="36"/>
        <v>778720</v>
      </c>
      <c r="K1100" s="1435">
        <f>6504.72</f>
        <v>6504.72</v>
      </c>
      <c r="L1100" s="1435">
        <f>6504.72</f>
        <v>6504.72</v>
      </c>
      <c r="M1100" s="246" t="s">
        <v>322</v>
      </c>
      <c r="N1100" s="261" t="s">
        <v>2435</v>
      </c>
      <c r="O1100" s="261" t="s">
        <v>2436</v>
      </c>
      <c r="P1100" s="71" t="s">
        <v>41</v>
      </c>
      <c r="Q1100" s="262">
        <v>45104</v>
      </c>
      <c r="R1100" s="71" t="s">
        <v>41</v>
      </c>
      <c r="S1100" s="262">
        <v>45104</v>
      </c>
      <c r="T1100" s="263"/>
      <c r="U1100" s="262"/>
      <c r="V1100" s="263" t="s">
        <v>41</v>
      </c>
      <c r="W1100" s="262">
        <f t="shared" si="34"/>
        <v>45226</v>
      </c>
      <c r="X1100" s="263" t="s">
        <v>41</v>
      </c>
      <c r="Y1100" s="262">
        <v>45291</v>
      </c>
      <c r="Z1100" s="263" t="s">
        <v>40</v>
      </c>
      <c r="AA1100" s="262"/>
      <c r="AB1100" s="263" t="s">
        <v>40</v>
      </c>
      <c r="AC1100" s="262"/>
      <c r="AD1100" s="264"/>
      <c r="AE1100" s="264">
        <v>45565</v>
      </c>
      <c r="AF1100" s="71" t="s">
        <v>65</v>
      </c>
      <c r="AG1100" s="265">
        <v>2026</v>
      </c>
      <c r="AH1100" s="261">
        <f t="shared" si="37"/>
        <v>31999.970040000004</v>
      </c>
      <c r="AI1100" s="261"/>
      <c r="AJ1100" s="261"/>
      <c r="AK1100" s="260" t="s">
        <v>43</v>
      </c>
      <c r="AL1100" s="259" t="s">
        <v>41</v>
      </c>
      <c r="AM1100" s="266">
        <v>0</v>
      </c>
      <c r="AN1100" s="67"/>
      <c r="AO1100" s="256"/>
      <c r="AP1100" s="257"/>
    </row>
    <row r="1101" spans="1:42" s="258" customFormat="1" ht="37.950000000000003" customHeight="1" x14ac:dyDescent="0.3">
      <c r="A1101" s="259" t="s">
        <v>1641</v>
      </c>
      <c r="B1101" s="243" t="s">
        <v>1642</v>
      </c>
      <c r="C1101" s="244" t="s">
        <v>2437</v>
      </c>
      <c r="D1101" s="243" t="s">
        <v>34</v>
      </c>
      <c r="E1101" s="243" t="s">
        <v>1644</v>
      </c>
      <c r="F1101" s="260" t="s">
        <v>35</v>
      </c>
      <c r="G1101" s="260">
        <v>1</v>
      </c>
      <c r="H1101" s="245">
        <v>778720</v>
      </c>
      <c r="I1101" s="243" t="s">
        <v>36</v>
      </c>
      <c r="J1101" s="245">
        <f t="shared" si="36"/>
        <v>778720</v>
      </c>
      <c r="K1101" s="1695">
        <f>15245.45+17480.44</f>
        <v>32725.89</v>
      </c>
      <c r="L1101" s="1695">
        <f>K1101</f>
        <v>32725.89</v>
      </c>
      <c r="M1101" s="246" t="s">
        <v>54</v>
      </c>
      <c r="N1101" s="261" t="s">
        <v>2438</v>
      </c>
      <c r="O1101" s="261" t="s">
        <v>2439</v>
      </c>
      <c r="P1101" s="71" t="s">
        <v>41</v>
      </c>
      <c r="Q1101" s="262">
        <v>45090</v>
      </c>
      <c r="R1101" s="71" t="s">
        <v>41</v>
      </c>
      <c r="S1101" s="262">
        <v>45090</v>
      </c>
      <c r="T1101" s="263"/>
      <c r="U1101" s="262"/>
      <c r="V1101" s="263" t="s">
        <v>41</v>
      </c>
      <c r="W1101" s="262">
        <f t="shared" si="34"/>
        <v>45212</v>
      </c>
      <c r="X1101" s="263" t="s">
        <v>41</v>
      </c>
      <c r="Y1101" s="262">
        <v>45291</v>
      </c>
      <c r="Z1101" s="263" t="s">
        <v>40</v>
      </c>
      <c r="AA1101" s="262"/>
      <c r="AB1101" s="263" t="s">
        <v>40</v>
      </c>
      <c r="AC1101" s="262"/>
      <c r="AD1101" s="264"/>
      <c r="AE1101" s="264">
        <v>45565</v>
      </c>
      <c r="AF1101" s="71" t="s">
        <v>65</v>
      </c>
      <c r="AG1101" s="265">
        <v>2026</v>
      </c>
      <c r="AH1101" s="261">
        <f t="shared" si="37"/>
        <v>160995.01585500001</v>
      </c>
      <c r="AI1101" s="261"/>
      <c r="AJ1101" s="261"/>
      <c r="AK1101" s="260" t="s">
        <v>43</v>
      </c>
      <c r="AL1101" s="259" t="s">
        <v>41</v>
      </c>
      <c r="AM1101" s="266">
        <v>0</v>
      </c>
      <c r="AN1101" s="67"/>
      <c r="AO1101" s="256"/>
      <c r="AP1101" s="257"/>
    </row>
    <row r="1102" spans="1:42" s="258" customFormat="1" ht="37.950000000000003" customHeight="1" x14ac:dyDescent="0.3">
      <c r="A1102" s="259" t="s">
        <v>1641</v>
      </c>
      <c r="B1102" s="243" t="s">
        <v>1642</v>
      </c>
      <c r="C1102" s="244" t="s">
        <v>2440</v>
      </c>
      <c r="D1102" s="243" t="s">
        <v>34</v>
      </c>
      <c r="E1102" s="243" t="s">
        <v>1644</v>
      </c>
      <c r="F1102" s="260" t="s">
        <v>35</v>
      </c>
      <c r="G1102" s="260">
        <v>1</v>
      </c>
      <c r="H1102" s="245">
        <v>778720</v>
      </c>
      <c r="I1102" s="243" t="s">
        <v>36</v>
      </c>
      <c r="J1102" s="245">
        <f t="shared" si="36"/>
        <v>778720</v>
      </c>
      <c r="K1102" s="1695">
        <f>13720.9+28051.63</f>
        <v>41772.53</v>
      </c>
      <c r="L1102" s="1695">
        <f>13720.9+28051.63</f>
        <v>41772.53</v>
      </c>
      <c r="M1102" s="246" t="s">
        <v>49</v>
      </c>
      <c r="N1102" s="261" t="s">
        <v>2441</v>
      </c>
      <c r="O1102" s="261" t="s">
        <v>2442</v>
      </c>
      <c r="P1102" s="71" t="s">
        <v>41</v>
      </c>
      <c r="Q1102" s="262">
        <v>45090</v>
      </c>
      <c r="R1102" s="71" t="s">
        <v>41</v>
      </c>
      <c r="S1102" s="262">
        <v>45090</v>
      </c>
      <c r="T1102" s="263"/>
      <c r="U1102" s="262"/>
      <c r="V1102" s="263" t="s">
        <v>41</v>
      </c>
      <c r="W1102" s="262">
        <f t="shared" si="34"/>
        <v>45212</v>
      </c>
      <c r="X1102" s="263" t="s">
        <v>41</v>
      </c>
      <c r="Y1102" s="262">
        <v>45291</v>
      </c>
      <c r="Z1102" s="263" t="s">
        <v>40</v>
      </c>
      <c r="AA1102" s="262"/>
      <c r="AB1102" s="263" t="s">
        <v>40</v>
      </c>
      <c r="AC1102" s="262"/>
      <c r="AD1102" s="264"/>
      <c r="AE1102" s="264">
        <v>45565</v>
      </c>
      <c r="AF1102" s="71" t="s">
        <v>65</v>
      </c>
      <c r="AG1102" s="265">
        <v>2026</v>
      </c>
      <c r="AH1102" s="261">
        <f t="shared" si="37"/>
        <v>205499.961335</v>
      </c>
      <c r="AI1102" s="261"/>
      <c r="AJ1102" s="261"/>
      <c r="AK1102" s="260" t="s">
        <v>43</v>
      </c>
      <c r="AL1102" s="259" t="s">
        <v>41</v>
      </c>
      <c r="AM1102" s="266">
        <v>0</v>
      </c>
      <c r="AN1102" s="67"/>
      <c r="AO1102" s="256"/>
      <c r="AP1102" s="257"/>
    </row>
    <row r="1103" spans="1:42" s="273" customFormat="1" ht="37.950000000000003" customHeight="1" x14ac:dyDescent="0.3">
      <c r="A1103" s="259" t="s">
        <v>1641</v>
      </c>
      <c r="B1103" s="243" t="s">
        <v>1642</v>
      </c>
      <c r="C1103" s="244" t="s">
        <v>2443</v>
      </c>
      <c r="D1103" s="243" t="s">
        <v>34</v>
      </c>
      <c r="E1103" s="243" t="s">
        <v>1644</v>
      </c>
      <c r="F1103" s="260" t="s">
        <v>35</v>
      </c>
      <c r="G1103" s="260">
        <v>1</v>
      </c>
      <c r="H1103" s="245">
        <v>778720</v>
      </c>
      <c r="I1103" s="243" t="s">
        <v>36</v>
      </c>
      <c r="J1103" s="245">
        <f t="shared" si="36"/>
        <v>778720</v>
      </c>
      <c r="K1103" s="1435">
        <f>24392.72</f>
        <v>24392.720000000001</v>
      </c>
      <c r="L1103" s="1435">
        <f>24392.72</f>
        <v>24392.720000000001</v>
      </c>
      <c r="M1103" s="246" t="s">
        <v>73</v>
      </c>
      <c r="N1103" s="261" t="s">
        <v>2444</v>
      </c>
      <c r="O1103" s="261" t="s">
        <v>2445</v>
      </c>
      <c r="P1103" s="71" t="s">
        <v>41</v>
      </c>
      <c r="Q1103" s="262">
        <v>45092</v>
      </c>
      <c r="R1103" s="71" t="s">
        <v>41</v>
      </c>
      <c r="S1103" s="262">
        <v>45092</v>
      </c>
      <c r="T1103" s="263"/>
      <c r="U1103" s="262"/>
      <c r="V1103" s="263" t="s">
        <v>41</v>
      </c>
      <c r="W1103" s="262">
        <f t="shared" si="34"/>
        <v>45214</v>
      </c>
      <c r="X1103" s="263" t="s">
        <v>41</v>
      </c>
      <c r="Y1103" s="262">
        <v>45291</v>
      </c>
      <c r="Z1103" s="263" t="s">
        <v>40</v>
      </c>
      <c r="AA1103" s="262"/>
      <c r="AB1103" s="263" t="s">
        <v>40</v>
      </c>
      <c r="AC1103" s="262"/>
      <c r="AD1103" s="264"/>
      <c r="AE1103" s="264">
        <v>45565</v>
      </c>
      <c r="AF1103" s="71" t="s">
        <v>65</v>
      </c>
      <c r="AG1103" s="265">
        <v>2026</v>
      </c>
      <c r="AH1103" s="261">
        <f t="shared" si="37"/>
        <v>119999.98604000002</v>
      </c>
      <c r="AI1103" s="261"/>
      <c r="AJ1103" s="261"/>
      <c r="AK1103" s="260" t="s">
        <v>43</v>
      </c>
      <c r="AL1103" s="259" t="s">
        <v>41</v>
      </c>
      <c r="AM1103" s="266">
        <v>0</v>
      </c>
      <c r="AN1103" s="67"/>
      <c r="AO1103" s="271"/>
      <c r="AP1103" s="272"/>
    </row>
    <row r="1104" spans="1:42" s="258" customFormat="1" ht="37.950000000000003" customHeight="1" x14ac:dyDescent="0.3">
      <c r="A1104" s="259" t="s">
        <v>1641</v>
      </c>
      <c r="B1104" s="243" t="s">
        <v>1642</v>
      </c>
      <c r="C1104" s="244" t="s">
        <v>2446</v>
      </c>
      <c r="D1104" s="243" t="s">
        <v>34</v>
      </c>
      <c r="E1104" s="243" t="s">
        <v>1644</v>
      </c>
      <c r="F1104" s="260" t="s">
        <v>35</v>
      </c>
      <c r="G1104" s="260">
        <v>1</v>
      </c>
      <c r="H1104" s="245">
        <v>778720</v>
      </c>
      <c r="I1104" s="243" t="s">
        <v>36</v>
      </c>
      <c r="J1104" s="245">
        <f t="shared" si="36"/>
        <v>778720</v>
      </c>
      <c r="K1104" s="1695">
        <f>41508.28</f>
        <v>41508.28</v>
      </c>
      <c r="L1104" s="1695">
        <f>41508.28</f>
        <v>41508.28</v>
      </c>
      <c r="M1104" s="246" t="s">
        <v>49</v>
      </c>
      <c r="N1104" s="261" t="s">
        <v>2447</v>
      </c>
      <c r="O1104" s="261" t="s">
        <v>2448</v>
      </c>
      <c r="P1104" s="71" t="s">
        <v>41</v>
      </c>
      <c r="Q1104" s="262">
        <v>45090</v>
      </c>
      <c r="R1104" s="71" t="s">
        <v>41</v>
      </c>
      <c r="S1104" s="262">
        <v>45090</v>
      </c>
      <c r="T1104" s="263"/>
      <c r="U1104" s="262"/>
      <c r="V1104" s="263" t="s">
        <v>41</v>
      </c>
      <c r="W1104" s="262">
        <f t="shared" si="34"/>
        <v>45212</v>
      </c>
      <c r="X1104" s="263" t="s">
        <v>41</v>
      </c>
      <c r="Y1104" s="262">
        <v>45291</v>
      </c>
      <c r="Z1104" s="263" t="s">
        <v>40</v>
      </c>
      <c r="AA1104" s="262"/>
      <c r="AB1104" s="263" t="s">
        <v>40</v>
      </c>
      <c r="AC1104" s="262"/>
      <c r="AD1104" s="264"/>
      <c r="AE1104" s="264">
        <v>45565</v>
      </c>
      <c r="AF1104" s="71" t="s">
        <v>65</v>
      </c>
      <c r="AG1104" s="265">
        <v>2026</v>
      </c>
      <c r="AH1104" s="261">
        <f t="shared" si="37"/>
        <v>204199.98345999999</v>
      </c>
      <c r="AI1104" s="261"/>
      <c r="AJ1104" s="261"/>
      <c r="AK1104" s="260" t="s">
        <v>43</v>
      </c>
      <c r="AL1104" s="259" t="s">
        <v>41</v>
      </c>
      <c r="AM1104" s="266">
        <v>0</v>
      </c>
      <c r="AN1104" s="67"/>
      <c r="AO1104" s="256"/>
      <c r="AP1104" s="257"/>
    </row>
    <row r="1105" spans="1:42" s="258" customFormat="1" ht="37.950000000000003" customHeight="1" x14ac:dyDescent="0.3">
      <c r="A1105" s="259" t="s">
        <v>1641</v>
      </c>
      <c r="B1105" s="243" t="s">
        <v>1642</v>
      </c>
      <c r="C1105" s="244" t="s">
        <v>2449</v>
      </c>
      <c r="D1105" s="243" t="s">
        <v>34</v>
      </c>
      <c r="E1105" s="243" t="s">
        <v>1644</v>
      </c>
      <c r="F1105" s="260" t="s">
        <v>35</v>
      </c>
      <c r="G1105" s="260">
        <v>1</v>
      </c>
      <c r="H1105" s="245">
        <v>778720</v>
      </c>
      <c r="I1105" s="243" t="s">
        <v>36</v>
      </c>
      <c r="J1105" s="245">
        <f t="shared" si="36"/>
        <v>778720</v>
      </c>
      <c r="K1105" s="1695">
        <f>28763.09+2032.73</f>
        <v>30795.82</v>
      </c>
      <c r="L1105" s="1695">
        <f>K1105</f>
        <v>30795.82</v>
      </c>
      <c r="M1105" s="246" t="s">
        <v>54</v>
      </c>
      <c r="N1105" s="261" t="s">
        <v>2450</v>
      </c>
      <c r="O1105" s="261" t="s">
        <v>2451</v>
      </c>
      <c r="P1105" s="71" t="s">
        <v>41</v>
      </c>
      <c r="Q1105" s="262">
        <v>45092</v>
      </c>
      <c r="R1105" s="71" t="s">
        <v>41</v>
      </c>
      <c r="S1105" s="262">
        <v>45092</v>
      </c>
      <c r="T1105" s="263"/>
      <c r="U1105" s="262"/>
      <c r="V1105" s="263" t="s">
        <v>41</v>
      </c>
      <c r="W1105" s="262">
        <f t="shared" si="34"/>
        <v>45214</v>
      </c>
      <c r="X1105" s="263" t="s">
        <v>41</v>
      </c>
      <c r="Y1105" s="262">
        <v>45291</v>
      </c>
      <c r="Z1105" s="263" t="s">
        <v>40</v>
      </c>
      <c r="AA1105" s="262"/>
      <c r="AB1105" s="263" t="s">
        <v>40</v>
      </c>
      <c r="AC1105" s="262"/>
      <c r="AD1105" s="264"/>
      <c r="AE1105" s="264">
        <v>45565</v>
      </c>
      <c r="AF1105" s="71" t="s">
        <v>65</v>
      </c>
      <c r="AG1105" s="265">
        <v>2026</v>
      </c>
      <c r="AH1105" s="261">
        <f t="shared" si="37"/>
        <v>151500.03649</v>
      </c>
      <c r="AI1105" s="261"/>
      <c r="AJ1105" s="261"/>
      <c r="AK1105" s="260" t="s">
        <v>43</v>
      </c>
      <c r="AL1105" s="259" t="s">
        <v>41</v>
      </c>
      <c r="AM1105" s="266">
        <v>0</v>
      </c>
      <c r="AN1105" s="67"/>
      <c r="AO1105" s="256"/>
      <c r="AP1105" s="257"/>
    </row>
    <row r="1106" spans="1:42" s="258" customFormat="1" ht="37.950000000000003" customHeight="1" x14ac:dyDescent="0.3">
      <c r="A1106" s="259" t="s">
        <v>1641</v>
      </c>
      <c r="B1106" s="243" t="s">
        <v>1642</v>
      </c>
      <c r="C1106" s="244" t="s">
        <v>2452</v>
      </c>
      <c r="D1106" s="243" t="s">
        <v>34</v>
      </c>
      <c r="E1106" s="243" t="s">
        <v>1644</v>
      </c>
      <c r="F1106" s="260" t="s">
        <v>35</v>
      </c>
      <c r="G1106" s="260">
        <v>1</v>
      </c>
      <c r="H1106" s="245">
        <v>778720</v>
      </c>
      <c r="I1106" s="243" t="s">
        <v>36</v>
      </c>
      <c r="J1106" s="245">
        <f t="shared" si="36"/>
        <v>778720</v>
      </c>
      <c r="K1106" s="1695">
        <f>41508.28</f>
        <v>41508.28</v>
      </c>
      <c r="L1106" s="1695">
        <f>41508.28</f>
        <v>41508.28</v>
      </c>
      <c r="M1106" s="292" t="s">
        <v>49</v>
      </c>
      <c r="N1106" s="284" t="s">
        <v>2453</v>
      </c>
      <c r="O1106" s="261" t="s">
        <v>2454</v>
      </c>
      <c r="P1106" s="71" t="s">
        <v>41</v>
      </c>
      <c r="Q1106" s="262">
        <v>45092</v>
      </c>
      <c r="R1106" s="71" t="s">
        <v>41</v>
      </c>
      <c r="S1106" s="262">
        <v>45092</v>
      </c>
      <c r="T1106" s="263"/>
      <c r="U1106" s="262"/>
      <c r="V1106" s="263" t="s">
        <v>41</v>
      </c>
      <c r="W1106" s="262">
        <f t="shared" si="34"/>
        <v>45214</v>
      </c>
      <c r="X1106" s="263" t="s">
        <v>41</v>
      </c>
      <c r="Y1106" s="262">
        <v>45291</v>
      </c>
      <c r="Z1106" s="263" t="s">
        <v>40</v>
      </c>
      <c r="AA1106" s="262"/>
      <c r="AB1106" s="263" t="s">
        <v>40</v>
      </c>
      <c r="AC1106" s="262"/>
      <c r="AD1106" s="264"/>
      <c r="AE1106" s="264">
        <v>45565</v>
      </c>
      <c r="AF1106" s="71" t="s">
        <v>65</v>
      </c>
      <c r="AG1106" s="265">
        <v>2026</v>
      </c>
      <c r="AH1106" s="261">
        <f t="shared" si="37"/>
        <v>204199.98345999999</v>
      </c>
      <c r="AI1106" s="261"/>
      <c r="AJ1106" s="261"/>
      <c r="AK1106" s="260" t="s">
        <v>43</v>
      </c>
      <c r="AL1106" s="259" t="s">
        <v>41</v>
      </c>
      <c r="AM1106" s="266">
        <v>0</v>
      </c>
      <c r="AN1106" s="67"/>
      <c r="AO1106" s="256"/>
      <c r="AP1106" s="257"/>
    </row>
    <row r="1107" spans="1:42" s="258" customFormat="1" ht="37.950000000000003" customHeight="1" x14ac:dyDescent="0.3">
      <c r="A1107" s="259" t="s">
        <v>1641</v>
      </c>
      <c r="B1107" s="243" t="s">
        <v>1642</v>
      </c>
      <c r="C1107" s="244" t="s">
        <v>2455</v>
      </c>
      <c r="D1107" s="243" t="s">
        <v>34</v>
      </c>
      <c r="E1107" s="243" t="s">
        <v>1644</v>
      </c>
      <c r="F1107" s="260" t="s">
        <v>35</v>
      </c>
      <c r="G1107" s="260">
        <v>1</v>
      </c>
      <c r="H1107" s="245">
        <v>778720</v>
      </c>
      <c r="I1107" s="243" t="s">
        <v>36</v>
      </c>
      <c r="J1107" s="245">
        <f t="shared" si="36"/>
        <v>778720</v>
      </c>
      <c r="K1107" s="1695">
        <f>2032.72+20461.43+18746.82+30897.45</f>
        <v>72138.42</v>
      </c>
      <c r="L1107" s="1695">
        <f>K1107</f>
        <v>72138.42</v>
      </c>
      <c r="M1107" s="246" t="s">
        <v>322</v>
      </c>
      <c r="N1107" s="261" t="s">
        <v>2456</v>
      </c>
      <c r="O1107" s="261" t="s">
        <v>2457</v>
      </c>
      <c r="P1107" s="71" t="s">
        <v>41</v>
      </c>
      <c r="Q1107" s="262">
        <v>45092</v>
      </c>
      <c r="R1107" s="71" t="s">
        <v>41</v>
      </c>
      <c r="S1107" s="262">
        <v>45092</v>
      </c>
      <c r="T1107" s="263"/>
      <c r="U1107" s="262"/>
      <c r="V1107" s="263" t="s">
        <v>41</v>
      </c>
      <c r="W1107" s="262">
        <f t="shared" ref="W1107:W1170" si="38">EDATE(Q1107,4)</f>
        <v>45214</v>
      </c>
      <c r="X1107" s="263" t="s">
        <v>41</v>
      </c>
      <c r="Y1107" s="262">
        <v>45291</v>
      </c>
      <c r="Z1107" s="263" t="s">
        <v>40</v>
      </c>
      <c r="AA1107" s="262"/>
      <c r="AB1107" s="263" t="s">
        <v>40</v>
      </c>
      <c r="AC1107" s="262"/>
      <c r="AD1107" s="264"/>
      <c r="AE1107" s="264">
        <v>45565</v>
      </c>
      <c r="AF1107" s="71" t="s">
        <v>65</v>
      </c>
      <c r="AG1107" s="265">
        <v>2026</v>
      </c>
      <c r="AH1107" s="261">
        <f t="shared" si="37"/>
        <v>354884.95718999999</v>
      </c>
      <c r="AI1107" s="261"/>
      <c r="AJ1107" s="261"/>
      <c r="AK1107" s="260" t="s">
        <v>43</v>
      </c>
      <c r="AL1107" s="259" t="s">
        <v>41</v>
      </c>
      <c r="AM1107" s="266">
        <v>0</v>
      </c>
      <c r="AN1107" s="67"/>
      <c r="AO1107" s="256"/>
      <c r="AP1107" s="257"/>
    </row>
    <row r="1108" spans="1:42" s="258" customFormat="1" ht="37.950000000000003" customHeight="1" x14ac:dyDescent="0.3">
      <c r="A1108" s="259" t="s">
        <v>1641</v>
      </c>
      <c r="B1108" s="243" t="s">
        <v>1642</v>
      </c>
      <c r="C1108" s="244" t="s">
        <v>2458</v>
      </c>
      <c r="D1108" s="243" t="s">
        <v>34</v>
      </c>
      <c r="E1108" s="243" t="s">
        <v>1644</v>
      </c>
      <c r="F1108" s="260" t="s">
        <v>35</v>
      </c>
      <c r="G1108" s="260">
        <v>1</v>
      </c>
      <c r="H1108" s="245">
        <v>778720</v>
      </c>
      <c r="I1108" s="243" t="s">
        <v>36</v>
      </c>
      <c r="J1108" s="245">
        <f t="shared" si="36"/>
        <v>778720</v>
      </c>
      <c r="K1108" s="1695">
        <v>0</v>
      </c>
      <c r="L1108" s="1695">
        <v>0</v>
      </c>
      <c r="M1108" s="246" t="s">
        <v>49</v>
      </c>
      <c r="N1108" s="261" t="s">
        <v>2459</v>
      </c>
      <c r="O1108" s="261" t="s">
        <v>2460</v>
      </c>
      <c r="P1108" s="71" t="s">
        <v>41</v>
      </c>
      <c r="Q1108" s="262">
        <v>45092</v>
      </c>
      <c r="R1108" s="71" t="s">
        <v>41</v>
      </c>
      <c r="S1108" s="262">
        <v>45092</v>
      </c>
      <c r="T1108" s="263"/>
      <c r="U1108" s="262"/>
      <c r="V1108" s="263" t="s">
        <v>41</v>
      </c>
      <c r="W1108" s="262">
        <f t="shared" si="38"/>
        <v>45214</v>
      </c>
      <c r="X1108" s="263" t="s">
        <v>41</v>
      </c>
      <c r="Y1108" s="262">
        <v>45291</v>
      </c>
      <c r="Z1108" s="263" t="s">
        <v>40</v>
      </c>
      <c r="AA1108" s="262"/>
      <c r="AB1108" s="263" t="s">
        <v>40</v>
      </c>
      <c r="AC1108" s="262"/>
      <c r="AD1108" s="264"/>
      <c r="AE1108" s="264">
        <v>45565</v>
      </c>
      <c r="AF1108" s="71" t="s">
        <v>65</v>
      </c>
      <c r="AG1108" s="265">
        <v>2026</v>
      </c>
      <c r="AH1108" s="261">
        <f t="shared" si="37"/>
        <v>0</v>
      </c>
      <c r="AI1108" s="261"/>
      <c r="AJ1108" s="261"/>
      <c r="AK1108" s="260" t="s">
        <v>43</v>
      </c>
      <c r="AL1108" s="259" t="s">
        <v>41</v>
      </c>
      <c r="AM1108" s="266">
        <v>0</v>
      </c>
      <c r="AN1108" s="67"/>
      <c r="AO1108" s="256"/>
      <c r="AP1108" s="257"/>
    </row>
    <row r="1109" spans="1:42" s="258" customFormat="1" ht="37.950000000000003" customHeight="1" x14ac:dyDescent="0.3">
      <c r="A1109" s="259" t="s">
        <v>1641</v>
      </c>
      <c r="B1109" s="243" t="s">
        <v>1642</v>
      </c>
      <c r="C1109" s="244" t="s">
        <v>2461</v>
      </c>
      <c r="D1109" s="243" t="s">
        <v>34</v>
      </c>
      <c r="E1109" s="243" t="s">
        <v>1644</v>
      </c>
      <c r="F1109" s="260" t="s">
        <v>35</v>
      </c>
      <c r="G1109" s="260">
        <v>1</v>
      </c>
      <c r="H1109" s="245">
        <v>778720</v>
      </c>
      <c r="I1109" s="243" t="s">
        <v>36</v>
      </c>
      <c r="J1109" s="245">
        <f t="shared" si="36"/>
        <v>778720</v>
      </c>
      <c r="K1109" s="1695">
        <f>18294.54+34556.357</f>
        <v>52850.897000000004</v>
      </c>
      <c r="L1109" s="1695">
        <f>K1109</f>
        <v>52850.897000000004</v>
      </c>
      <c r="M1109" s="246" t="s">
        <v>69</v>
      </c>
      <c r="N1109" s="261" t="s">
        <v>2462</v>
      </c>
      <c r="O1109" s="261" t="s">
        <v>2463</v>
      </c>
      <c r="P1109" s="71" t="s">
        <v>41</v>
      </c>
      <c r="Q1109" s="262">
        <v>45092</v>
      </c>
      <c r="R1109" s="71" t="s">
        <v>41</v>
      </c>
      <c r="S1109" s="262">
        <v>45092</v>
      </c>
      <c r="T1109" s="263"/>
      <c r="U1109" s="262"/>
      <c r="V1109" s="263" t="s">
        <v>41</v>
      </c>
      <c r="W1109" s="262">
        <f t="shared" si="38"/>
        <v>45214</v>
      </c>
      <c r="X1109" s="263" t="s">
        <v>41</v>
      </c>
      <c r="Y1109" s="262">
        <v>45291</v>
      </c>
      <c r="Z1109" s="263" t="s">
        <v>40</v>
      </c>
      <c r="AA1109" s="262"/>
      <c r="AB1109" s="263" t="s">
        <v>40</v>
      </c>
      <c r="AC1109" s="262"/>
      <c r="AD1109" s="264"/>
      <c r="AE1109" s="264">
        <v>45565</v>
      </c>
      <c r="AF1109" s="71" t="s">
        <v>65</v>
      </c>
      <c r="AG1109" s="265">
        <v>2026</v>
      </c>
      <c r="AH1109" s="261">
        <f t="shared" si="37"/>
        <v>259999.98779150003</v>
      </c>
      <c r="AI1109" s="261"/>
      <c r="AJ1109" s="261"/>
      <c r="AK1109" s="260" t="s">
        <v>43</v>
      </c>
      <c r="AL1109" s="259" t="s">
        <v>41</v>
      </c>
      <c r="AM1109" s="266">
        <v>0</v>
      </c>
      <c r="AN1109" s="67"/>
      <c r="AO1109" s="256"/>
      <c r="AP1109" s="257"/>
    </row>
    <row r="1110" spans="1:42" s="258" customFormat="1" ht="37.950000000000003" customHeight="1" x14ac:dyDescent="0.3">
      <c r="A1110" s="259" t="s">
        <v>1641</v>
      </c>
      <c r="B1110" s="243" t="s">
        <v>1642</v>
      </c>
      <c r="C1110" s="244" t="s">
        <v>2464</v>
      </c>
      <c r="D1110" s="243" t="s">
        <v>34</v>
      </c>
      <c r="E1110" s="243" t="s">
        <v>1644</v>
      </c>
      <c r="F1110" s="260" t="s">
        <v>35</v>
      </c>
      <c r="G1110" s="260">
        <v>1</v>
      </c>
      <c r="H1110" s="245">
        <v>778000</v>
      </c>
      <c r="I1110" s="243" t="s">
        <v>36</v>
      </c>
      <c r="J1110" s="245">
        <f t="shared" si="36"/>
        <v>778000</v>
      </c>
      <c r="K1110" s="1695">
        <v>0</v>
      </c>
      <c r="L1110" s="1695">
        <v>0</v>
      </c>
      <c r="M1110" s="246" t="s">
        <v>68</v>
      </c>
      <c r="N1110" s="261" t="s">
        <v>2465</v>
      </c>
      <c r="O1110" s="261" t="s">
        <v>2466</v>
      </c>
      <c r="P1110" s="71" t="s">
        <v>41</v>
      </c>
      <c r="Q1110" s="262">
        <v>45090</v>
      </c>
      <c r="R1110" s="71" t="s">
        <v>41</v>
      </c>
      <c r="S1110" s="262">
        <v>45090</v>
      </c>
      <c r="T1110" s="263"/>
      <c r="U1110" s="262"/>
      <c r="V1110" s="263" t="s">
        <v>41</v>
      </c>
      <c r="W1110" s="262">
        <f t="shared" si="38"/>
        <v>45212</v>
      </c>
      <c r="X1110" s="263" t="s">
        <v>41</v>
      </c>
      <c r="Y1110" s="262">
        <v>45291</v>
      </c>
      <c r="Z1110" s="263" t="s">
        <v>40</v>
      </c>
      <c r="AA1110" s="262"/>
      <c r="AB1110" s="263" t="s">
        <v>40</v>
      </c>
      <c r="AC1110" s="262"/>
      <c r="AD1110" s="264"/>
      <c r="AE1110" s="264">
        <v>45565</v>
      </c>
      <c r="AF1110" s="71" t="s">
        <v>65</v>
      </c>
      <c r="AG1110" s="265">
        <v>2026</v>
      </c>
      <c r="AH1110" s="261">
        <f t="shared" si="37"/>
        <v>0</v>
      </c>
      <c r="AI1110" s="261"/>
      <c r="AJ1110" s="261"/>
      <c r="AK1110" s="260" t="s">
        <v>43</v>
      </c>
      <c r="AL1110" s="259" t="s">
        <v>41</v>
      </c>
      <c r="AM1110" s="266">
        <v>0</v>
      </c>
      <c r="AN1110" s="67"/>
      <c r="AO1110" s="256"/>
      <c r="AP1110" s="257"/>
    </row>
    <row r="1111" spans="1:42" s="258" customFormat="1" ht="37.950000000000003" customHeight="1" x14ac:dyDescent="0.3">
      <c r="A1111" s="259" t="s">
        <v>1641</v>
      </c>
      <c r="B1111" s="243" t="s">
        <v>1642</v>
      </c>
      <c r="C1111" s="244" t="s">
        <v>2467</v>
      </c>
      <c r="D1111" s="243" t="s">
        <v>34</v>
      </c>
      <c r="E1111" s="243" t="s">
        <v>1644</v>
      </c>
      <c r="F1111" s="260" t="s">
        <v>35</v>
      </c>
      <c r="G1111" s="260">
        <v>1</v>
      </c>
      <c r="H1111" s="245">
        <v>778720</v>
      </c>
      <c r="I1111" s="243" t="s">
        <v>36</v>
      </c>
      <c r="J1111" s="245">
        <f t="shared" si="36"/>
        <v>778720</v>
      </c>
      <c r="K1111" s="1695">
        <v>0</v>
      </c>
      <c r="L1111" s="1695">
        <v>0</v>
      </c>
      <c r="M1111" s="246" t="s">
        <v>69</v>
      </c>
      <c r="N1111" s="261" t="s">
        <v>2468</v>
      </c>
      <c r="O1111" s="261" t="s">
        <v>2469</v>
      </c>
      <c r="P1111" s="71" t="s">
        <v>41</v>
      </c>
      <c r="Q1111" s="262">
        <v>45092</v>
      </c>
      <c r="R1111" s="71" t="s">
        <v>41</v>
      </c>
      <c r="S1111" s="262">
        <v>45092</v>
      </c>
      <c r="T1111" s="263"/>
      <c r="U1111" s="262"/>
      <c r="V1111" s="263" t="s">
        <v>41</v>
      </c>
      <c r="W1111" s="262">
        <f t="shared" si="38"/>
        <v>45214</v>
      </c>
      <c r="X1111" s="263" t="s">
        <v>41</v>
      </c>
      <c r="Y1111" s="262">
        <v>45291</v>
      </c>
      <c r="Z1111" s="263" t="s">
        <v>40</v>
      </c>
      <c r="AA1111" s="262"/>
      <c r="AB1111" s="263" t="s">
        <v>40</v>
      </c>
      <c r="AC1111" s="262"/>
      <c r="AD1111" s="264"/>
      <c r="AE1111" s="264">
        <v>45565</v>
      </c>
      <c r="AF1111" s="71" t="s">
        <v>65</v>
      </c>
      <c r="AG1111" s="265">
        <v>2026</v>
      </c>
      <c r="AH1111" s="261">
        <f t="shared" si="37"/>
        <v>0</v>
      </c>
      <c r="AI1111" s="261"/>
      <c r="AJ1111" s="261"/>
      <c r="AK1111" s="260" t="s">
        <v>43</v>
      </c>
      <c r="AL1111" s="259" t="s">
        <v>41</v>
      </c>
      <c r="AM1111" s="266">
        <v>0</v>
      </c>
      <c r="AN1111" s="67"/>
      <c r="AO1111" s="256"/>
      <c r="AP1111" s="257"/>
    </row>
    <row r="1112" spans="1:42" s="258" customFormat="1" ht="37.950000000000003" customHeight="1" x14ac:dyDescent="0.3">
      <c r="A1112" s="259" t="s">
        <v>1641</v>
      </c>
      <c r="B1112" s="243" t="s">
        <v>1642</v>
      </c>
      <c r="C1112" s="244" t="s">
        <v>2470</v>
      </c>
      <c r="D1112" s="243" t="s">
        <v>34</v>
      </c>
      <c r="E1112" s="243" t="s">
        <v>1644</v>
      </c>
      <c r="F1112" s="260" t="s">
        <v>35</v>
      </c>
      <c r="G1112" s="260">
        <v>1</v>
      </c>
      <c r="H1112" s="245">
        <v>778720</v>
      </c>
      <c r="I1112" s="243" t="s">
        <v>36</v>
      </c>
      <c r="J1112" s="245">
        <f t="shared" si="36"/>
        <v>778720</v>
      </c>
      <c r="K1112" s="1695">
        <f>38926.72</f>
        <v>38926.720000000001</v>
      </c>
      <c r="L1112" s="1695">
        <f>K1112</f>
        <v>38926.720000000001</v>
      </c>
      <c r="M1112" s="246" t="s">
        <v>133</v>
      </c>
      <c r="N1112" s="261" t="s">
        <v>2471</v>
      </c>
      <c r="O1112" s="261" t="s">
        <v>2472</v>
      </c>
      <c r="P1112" s="71" t="s">
        <v>41</v>
      </c>
      <c r="Q1112" s="262">
        <v>45090</v>
      </c>
      <c r="R1112" s="71" t="s">
        <v>41</v>
      </c>
      <c r="S1112" s="262">
        <v>45090</v>
      </c>
      <c r="T1112" s="263"/>
      <c r="U1112" s="262"/>
      <c r="V1112" s="263" t="s">
        <v>41</v>
      </c>
      <c r="W1112" s="262">
        <f t="shared" si="38"/>
        <v>45212</v>
      </c>
      <c r="X1112" s="263" t="s">
        <v>41</v>
      </c>
      <c r="Y1112" s="262">
        <v>45291</v>
      </c>
      <c r="Z1112" s="263" t="s">
        <v>40</v>
      </c>
      <c r="AA1112" s="262"/>
      <c r="AB1112" s="263" t="s">
        <v>40</v>
      </c>
      <c r="AC1112" s="262"/>
      <c r="AD1112" s="264"/>
      <c r="AE1112" s="264">
        <v>45565</v>
      </c>
      <c r="AF1112" s="71" t="s">
        <v>65</v>
      </c>
      <c r="AG1112" s="265">
        <v>2026</v>
      </c>
      <c r="AH1112" s="261">
        <f t="shared" si="37"/>
        <v>191499.99904000002</v>
      </c>
      <c r="AI1112" s="261"/>
      <c r="AJ1112" s="261"/>
      <c r="AK1112" s="260" t="s">
        <v>43</v>
      </c>
      <c r="AL1112" s="259" t="s">
        <v>41</v>
      </c>
      <c r="AM1112" s="266">
        <v>0</v>
      </c>
      <c r="AN1112" s="67"/>
      <c r="AO1112" s="256"/>
      <c r="AP1112" s="257"/>
    </row>
    <row r="1113" spans="1:42" s="258" customFormat="1" ht="37.950000000000003" customHeight="1" x14ac:dyDescent="0.3">
      <c r="A1113" s="259" t="s">
        <v>1641</v>
      </c>
      <c r="B1113" s="243" t="s">
        <v>1642</v>
      </c>
      <c r="C1113" s="244" t="s">
        <v>2473</v>
      </c>
      <c r="D1113" s="243" t="s">
        <v>34</v>
      </c>
      <c r="E1113" s="243" t="s">
        <v>1644</v>
      </c>
      <c r="F1113" s="260" t="s">
        <v>35</v>
      </c>
      <c r="G1113" s="260">
        <v>1</v>
      </c>
      <c r="H1113" s="245">
        <v>778720</v>
      </c>
      <c r="I1113" s="243" t="s">
        <v>36</v>
      </c>
      <c r="J1113" s="245">
        <f t="shared" si="36"/>
        <v>778720</v>
      </c>
      <c r="K1113" s="1695">
        <v>4065.45</v>
      </c>
      <c r="L1113" s="1695">
        <v>4065.45</v>
      </c>
      <c r="M1113" s="246" t="s">
        <v>412</v>
      </c>
      <c r="N1113" s="261" t="s">
        <v>2474</v>
      </c>
      <c r="O1113" s="261" t="s">
        <v>2475</v>
      </c>
      <c r="P1113" s="71" t="s">
        <v>41</v>
      </c>
      <c r="Q1113" s="262">
        <v>45092</v>
      </c>
      <c r="R1113" s="71" t="s">
        <v>41</v>
      </c>
      <c r="S1113" s="262">
        <v>45092</v>
      </c>
      <c r="T1113" s="263"/>
      <c r="U1113" s="262"/>
      <c r="V1113" s="263" t="s">
        <v>41</v>
      </c>
      <c r="W1113" s="262">
        <f t="shared" si="38"/>
        <v>45214</v>
      </c>
      <c r="X1113" s="263" t="s">
        <v>41</v>
      </c>
      <c r="Y1113" s="262">
        <v>45291</v>
      </c>
      <c r="Z1113" s="263" t="s">
        <v>40</v>
      </c>
      <c r="AA1113" s="262"/>
      <c r="AB1113" s="263" t="s">
        <v>40</v>
      </c>
      <c r="AC1113" s="262"/>
      <c r="AD1113" s="264"/>
      <c r="AE1113" s="264">
        <v>45565</v>
      </c>
      <c r="AF1113" s="71" t="s">
        <v>65</v>
      </c>
      <c r="AG1113" s="265">
        <v>2026</v>
      </c>
      <c r="AH1113" s="261">
        <f t="shared" si="37"/>
        <v>19999.981274999998</v>
      </c>
      <c r="AI1113" s="261"/>
      <c r="AJ1113" s="261"/>
      <c r="AK1113" s="260" t="s">
        <v>43</v>
      </c>
      <c r="AL1113" s="259" t="s">
        <v>41</v>
      </c>
      <c r="AM1113" s="266">
        <v>0</v>
      </c>
      <c r="AN1113" s="67"/>
      <c r="AO1113" s="256"/>
      <c r="AP1113" s="257"/>
    </row>
    <row r="1114" spans="1:42" s="258" customFormat="1" ht="37.950000000000003" customHeight="1" x14ac:dyDescent="0.3">
      <c r="A1114" s="259" t="s">
        <v>1641</v>
      </c>
      <c r="B1114" s="243" t="s">
        <v>1642</v>
      </c>
      <c r="C1114" s="244" t="s">
        <v>2476</v>
      </c>
      <c r="D1114" s="243" t="s">
        <v>34</v>
      </c>
      <c r="E1114" s="243" t="s">
        <v>1644</v>
      </c>
      <c r="F1114" s="260" t="s">
        <v>35</v>
      </c>
      <c r="G1114" s="260">
        <v>1</v>
      </c>
      <c r="H1114" s="245">
        <v>778720</v>
      </c>
      <c r="I1114" s="243" t="s">
        <v>36</v>
      </c>
      <c r="J1114" s="245">
        <f t="shared" si="36"/>
        <v>778720</v>
      </c>
      <c r="K1114" s="1695">
        <f>21942.73</f>
        <v>21942.73</v>
      </c>
      <c r="L1114" s="1695">
        <f>21942.73</f>
        <v>21942.73</v>
      </c>
      <c r="M1114" s="246" t="s">
        <v>303</v>
      </c>
      <c r="N1114" s="261" t="s">
        <v>2477</v>
      </c>
      <c r="O1114" s="261" t="s">
        <v>2478</v>
      </c>
      <c r="P1114" s="71" t="s">
        <v>41</v>
      </c>
      <c r="Q1114" s="262">
        <v>45104</v>
      </c>
      <c r="R1114" s="71" t="s">
        <v>41</v>
      </c>
      <c r="S1114" s="262">
        <v>45104</v>
      </c>
      <c r="T1114" s="263"/>
      <c r="U1114" s="262"/>
      <c r="V1114" s="263" t="s">
        <v>41</v>
      </c>
      <c r="W1114" s="262">
        <f t="shared" si="38"/>
        <v>45226</v>
      </c>
      <c r="X1114" s="263" t="s">
        <v>41</v>
      </c>
      <c r="Y1114" s="262">
        <v>45291</v>
      </c>
      <c r="Z1114" s="263" t="s">
        <v>40</v>
      </c>
      <c r="AA1114" s="262"/>
      <c r="AB1114" s="263" t="s">
        <v>40</v>
      </c>
      <c r="AC1114" s="262"/>
      <c r="AD1114" s="264"/>
      <c r="AE1114" s="264">
        <v>45565</v>
      </c>
      <c r="AF1114" s="71" t="s">
        <v>65</v>
      </c>
      <c r="AG1114" s="265">
        <v>2026</v>
      </c>
      <c r="AH1114" s="261">
        <f t="shared" si="37"/>
        <v>107947.26023500001</v>
      </c>
      <c r="AI1114" s="261"/>
      <c r="AJ1114" s="261"/>
      <c r="AK1114" s="260" t="s">
        <v>43</v>
      </c>
      <c r="AL1114" s="259" t="s">
        <v>41</v>
      </c>
      <c r="AM1114" s="266">
        <v>0</v>
      </c>
      <c r="AN1114" s="67"/>
      <c r="AO1114" s="256"/>
      <c r="AP1114" s="257"/>
    </row>
    <row r="1115" spans="1:42" s="258" customFormat="1" ht="37.950000000000003" customHeight="1" x14ac:dyDescent="0.3">
      <c r="A1115" s="259" t="s">
        <v>1641</v>
      </c>
      <c r="B1115" s="243" t="s">
        <v>1642</v>
      </c>
      <c r="C1115" s="244" t="s">
        <v>2479</v>
      </c>
      <c r="D1115" s="243" t="s">
        <v>34</v>
      </c>
      <c r="E1115" s="243" t="s">
        <v>1644</v>
      </c>
      <c r="F1115" s="260" t="s">
        <v>35</v>
      </c>
      <c r="G1115" s="260">
        <v>1</v>
      </c>
      <c r="H1115" s="245">
        <v>778720</v>
      </c>
      <c r="I1115" s="243" t="s">
        <v>36</v>
      </c>
      <c r="J1115" s="245">
        <f t="shared" si="36"/>
        <v>778720</v>
      </c>
      <c r="K1115" s="1695">
        <f>2032.72+18294.54+31809.13</f>
        <v>52136.39</v>
      </c>
      <c r="L1115" s="1695">
        <f>K1115</f>
        <v>52136.39</v>
      </c>
      <c r="M1115" s="246" t="s">
        <v>636</v>
      </c>
      <c r="N1115" s="261" t="s">
        <v>2480</v>
      </c>
      <c r="O1115" s="261" t="s">
        <v>2481</v>
      </c>
      <c r="P1115" s="71" t="s">
        <v>41</v>
      </c>
      <c r="Q1115" s="262">
        <v>45104</v>
      </c>
      <c r="R1115" s="71" t="s">
        <v>41</v>
      </c>
      <c r="S1115" s="262">
        <v>45104</v>
      </c>
      <c r="T1115" s="263"/>
      <c r="U1115" s="262"/>
      <c r="V1115" s="263" t="s">
        <v>41</v>
      </c>
      <c r="W1115" s="262">
        <f t="shared" si="38"/>
        <v>45226</v>
      </c>
      <c r="X1115" s="263" t="s">
        <v>41</v>
      </c>
      <c r="Y1115" s="262">
        <v>45291</v>
      </c>
      <c r="Z1115" s="263" t="s">
        <v>40</v>
      </c>
      <c r="AA1115" s="262"/>
      <c r="AB1115" s="263" t="s">
        <v>40</v>
      </c>
      <c r="AC1115" s="262"/>
      <c r="AD1115" s="264"/>
      <c r="AE1115" s="264">
        <v>45565</v>
      </c>
      <c r="AF1115" s="71" t="s">
        <v>65</v>
      </c>
      <c r="AG1115" s="265">
        <v>2026</v>
      </c>
      <c r="AH1115" s="261">
        <f t="shared" si="37"/>
        <v>256484.97060500001</v>
      </c>
      <c r="AI1115" s="261"/>
      <c r="AJ1115" s="261"/>
      <c r="AK1115" s="260" t="s">
        <v>43</v>
      </c>
      <c r="AL1115" s="259" t="s">
        <v>41</v>
      </c>
      <c r="AM1115" s="266">
        <v>0</v>
      </c>
      <c r="AN1115" s="67"/>
      <c r="AO1115" s="256"/>
      <c r="AP1115" s="257"/>
    </row>
    <row r="1116" spans="1:42" s="258" customFormat="1" ht="37.950000000000003" customHeight="1" x14ac:dyDescent="0.3">
      <c r="A1116" s="259" t="s">
        <v>1641</v>
      </c>
      <c r="B1116" s="243" t="s">
        <v>1642</v>
      </c>
      <c r="C1116" s="244" t="s">
        <v>2482</v>
      </c>
      <c r="D1116" s="243" t="s">
        <v>34</v>
      </c>
      <c r="E1116" s="243" t="s">
        <v>1644</v>
      </c>
      <c r="F1116" s="260" t="s">
        <v>35</v>
      </c>
      <c r="G1116" s="260">
        <v>1</v>
      </c>
      <c r="H1116" s="245">
        <v>778720</v>
      </c>
      <c r="I1116" s="243" t="s">
        <v>36</v>
      </c>
      <c r="J1116" s="245">
        <f t="shared" si="36"/>
        <v>778720</v>
      </c>
      <c r="K1116" s="1695">
        <f>28410.94+3820.71+9204.528</f>
        <v>41436.178</v>
      </c>
      <c r="L1116" s="1695">
        <f>28410.94+3820.71+9204.528</f>
        <v>41436.178</v>
      </c>
      <c r="M1116" s="246" t="s">
        <v>351</v>
      </c>
      <c r="N1116" s="261" t="s">
        <v>2483</v>
      </c>
      <c r="O1116" s="261" t="s">
        <v>2484</v>
      </c>
      <c r="P1116" s="71" t="s">
        <v>41</v>
      </c>
      <c r="Q1116" s="262">
        <v>45104</v>
      </c>
      <c r="R1116" s="71" t="s">
        <v>41</v>
      </c>
      <c r="S1116" s="262">
        <v>45104</v>
      </c>
      <c r="T1116" s="263"/>
      <c r="U1116" s="262"/>
      <c r="V1116" s="263" t="s">
        <v>41</v>
      </c>
      <c r="W1116" s="262">
        <f t="shared" si="38"/>
        <v>45226</v>
      </c>
      <c r="X1116" s="263" t="s">
        <v>41</v>
      </c>
      <c r="Y1116" s="262">
        <v>45291</v>
      </c>
      <c r="Z1116" s="263" t="s">
        <v>40</v>
      </c>
      <c r="AA1116" s="262"/>
      <c r="AB1116" s="263" t="s">
        <v>40</v>
      </c>
      <c r="AC1116" s="262"/>
      <c r="AD1116" s="264"/>
      <c r="AE1116" s="264">
        <v>45565</v>
      </c>
      <c r="AF1116" s="71" t="s">
        <v>65</v>
      </c>
      <c r="AG1116" s="265">
        <v>2026</v>
      </c>
      <c r="AH1116" s="261">
        <f t="shared" si="37"/>
        <v>203845.27767100002</v>
      </c>
      <c r="AI1116" s="261"/>
      <c r="AJ1116" s="261"/>
      <c r="AK1116" s="260" t="s">
        <v>43</v>
      </c>
      <c r="AL1116" s="259" t="s">
        <v>41</v>
      </c>
      <c r="AM1116" s="266">
        <v>0</v>
      </c>
      <c r="AN1116" s="67"/>
      <c r="AO1116" s="256"/>
      <c r="AP1116" s="257"/>
    </row>
    <row r="1117" spans="1:42" s="258" customFormat="1" ht="37.950000000000003" customHeight="1" x14ac:dyDescent="0.3">
      <c r="A1117" s="259" t="s">
        <v>1641</v>
      </c>
      <c r="B1117" s="243" t="s">
        <v>1642</v>
      </c>
      <c r="C1117" s="244" t="s">
        <v>2485</v>
      </c>
      <c r="D1117" s="243" t="s">
        <v>34</v>
      </c>
      <c r="E1117" s="243" t="s">
        <v>1644</v>
      </c>
      <c r="F1117" s="260" t="s">
        <v>35</v>
      </c>
      <c r="G1117" s="260">
        <v>1</v>
      </c>
      <c r="H1117" s="245">
        <v>778720</v>
      </c>
      <c r="I1117" s="243" t="s">
        <v>36</v>
      </c>
      <c r="J1117" s="245">
        <f t="shared" si="36"/>
        <v>778720</v>
      </c>
      <c r="K1117" s="1435">
        <f>17786.36+10885.25</f>
        <v>28671.61</v>
      </c>
      <c r="L1117" s="1435">
        <f>K1117</f>
        <v>28671.61</v>
      </c>
      <c r="M1117" s="246" t="s">
        <v>1208</v>
      </c>
      <c r="N1117" s="261" t="s">
        <v>1208</v>
      </c>
      <c r="O1117" s="261" t="s">
        <v>2486</v>
      </c>
      <c r="P1117" s="71" t="s">
        <v>41</v>
      </c>
      <c r="Q1117" s="262">
        <v>45104</v>
      </c>
      <c r="R1117" s="71" t="s">
        <v>41</v>
      </c>
      <c r="S1117" s="262">
        <v>45104</v>
      </c>
      <c r="T1117" s="263"/>
      <c r="U1117" s="262"/>
      <c r="V1117" s="263" t="s">
        <v>41</v>
      </c>
      <c r="W1117" s="262">
        <f t="shared" si="38"/>
        <v>45226</v>
      </c>
      <c r="X1117" s="263" t="s">
        <v>41</v>
      </c>
      <c r="Y1117" s="262">
        <v>45291</v>
      </c>
      <c r="Z1117" s="263" t="s">
        <v>40</v>
      </c>
      <c r="AA1117" s="262"/>
      <c r="AB1117" s="263" t="s">
        <v>40</v>
      </c>
      <c r="AC1117" s="262"/>
      <c r="AD1117" s="264"/>
      <c r="AE1117" s="264">
        <v>45565</v>
      </c>
      <c r="AF1117" s="71" t="s">
        <v>65</v>
      </c>
      <c r="AG1117" s="265">
        <v>2026</v>
      </c>
      <c r="AH1117" s="261">
        <f t="shared" si="37"/>
        <v>141049.985395</v>
      </c>
      <c r="AI1117" s="261"/>
      <c r="AJ1117" s="261"/>
      <c r="AK1117" s="260" t="s">
        <v>43</v>
      </c>
      <c r="AL1117" s="259" t="s">
        <v>41</v>
      </c>
      <c r="AM1117" s="266">
        <v>0</v>
      </c>
      <c r="AN1117" s="67"/>
      <c r="AO1117" s="256"/>
      <c r="AP1117" s="257"/>
    </row>
    <row r="1118" spans="1:42" s="258" customFormat="1" ht="37.950000000000003" customHeight="1" x14ac:dyDescent="0.3">
      <c r="A1118" s="259" t="s">
        <v>1641</v>
      </c>
      <c r="B1118" s="243" t="s">
        <v>1642</v>
      </c>
      <c r="C1118" s="244" t="s">
        <v>2487</v>
      </c>
      <c r="D1118" s="243" t="s">
        <v>34</v>
      </c>
      <c r="E1118" s="243" t="s">
        <v>1644</v>
      </c>
      <c r="F1118" s="259" t="s">
        <v>35</v>
      </c>
      <c r="G1118" s="259">
        <v>1</v>
      </c>
      <c r="H1118" s="245">
        <v>778720</v>
      </c>
      <c r="I1118" s="243" t="s">
        <v>36</v>
      </c>
      <c r="J1118" s="245">
        <f t="shared" si="36"/>
        <v>778720</v>
      </c>
      <c r="K1118" s="1695">
        <f>33865.23+24382.97</f>
        <v>58248.200000000004</v>
      </c>
      <c r="L1118" s="1695">
        <f>33865.23+24382.97</f>
        <v>58248.200000000004</v>
      </c>
      <c r="M1118" s="246" t="s">
        <v>1208</v>
      </c>
      <c r="N1118" s="261" t="s">
        <v>2488</v>
      </c>
      <c r="O1118" s="261" t="s">
        <v>2489</v>
      </c>
      <c r="P1118" s="263" t="s">
        <v>41</v>
      </c>
      <c r="Q1118" s="262">
        <v>45104</v>
      </c>
      <c r="R1118" s="263" t="s">
        <v>41</v>
      </c>
      <c r="S1118" s="262">
        <v>45104</v>
      </c>
      <c r="T1118" s="263"/>
      <c r="U1118" s="262"/>
      <c r="V1118" s="263" t="s">
        <v>41</v>
      </c>
      <c r="W1118" s="262">
        <f t="shared" si="38"/>
        <v>45226</v>
      </c>
      <c r="X1118" s="263" t="s">
        <v>41</v>
      </c>
      <c r="Y1118" s="262">
        <v>45291</v>
      </c>
      <c r="Z1118" s="263" t="s">
        <v>40</v>
      </c>
      <c r="AA1118" s="262"/>
      <c r="AB1118" s="263" t="s">
        <v>40</v>
      </c>
      <c r="AC1118" s="262"/>
      <c r="AD1118" s="262"/>
      <c r="AE1118" s="262">
        <v>45565</v>
      </c>
      <c r="AF1118" s="263" t="s">
        <v>65</v>
      </c>
      <c r="AG1118" s="270">
        <v>2026</v>
      </c>
      <c r="AH1118" s="261">
        <f t="shared" si="37"/>
        <v>286552.01990000001</v>
      </c>
      <c r="AI1118" s="261"/>
      <c r="AJ1118" s="261"/>
      <c r="AK1118" s="259" t="s">
        <v>43</v>
      </c>
      <c r="AL1118" s="259" t="s">
        <v>41</v>
      </c>
      <c r="AM1118" s="266">
        <v>0</v>
      </c>
      <c r="AN1118" s="67"/>
      <c r="AO1118" s="256"/>
      <c r="AP1118" s="257"/>
    </row>
    <row r="1119" spans="1:42" s="258" customFormat="1" ht="37.950000000000003" customHeight="1" x14ac:dyDescent="0.3">
      <c r="A1119" s="259" t="s">
        <v>1641</v>
      </c>
      <c r="B1119" s="243" t="s">
        <v>1642</v>
      </c>
      <c r="C1119" s="244" t="s">
        <v>2490</v>
      </c>
      <c r="D1119" s="243" t="s">
        <v>34</v>
      </c>
      <c r="E1119" s="243" t="s">
        <v>1644</v>
      </c>
      <c r="F1119" s="259" t="s">
        <v>35</v>
      </c>
      <c r="G1119" s="259">
        <v>1</v>
      </c>
      <c r="H1119" s="245">
        <v>778720</v>
      </c>
      <c r="I1119" s="243" t="s">
        <v>36</v>
      </c>
      <c r="J1119" s="245">
        <f t="shared" si="36"/>
        <v>778720</v>
      </c>
      <c r="K1119" s="1695">
        <f>2032.72+24189.45+25761.76</f>
        <v>51983.93</v>
      </c>
      <c r="L1119" s="1695">
        <f>2032.72+24189.45+25761.76</f>
        <v>51983.93</v>
      </c>
      <c r="M1119" s="246" t="s">
        <v>316</v>
      </c>
      <c r="N1119" s="261" t="s">
        <v>1963</v>
      </c>
      <c r="O1119" s="261" t="s">
        <v>2491</v>
      </c>
      <c r="P1119" s="263" t="s">
        <v>41</v>
      </c>
      <c r="Q1119" s="262">
        <v>45104</v>
      </c>
      <c r="R1119" s="263" t="s">
        <v>41</v>
      </c>
      <c r="S1119" s="262">
        <v>45104</v>
      </c>
      <c r="T1119" s="263"/>
      <c r="U1119" s="262"/>
      <c r="V1119" s="263" t="s">
        <v>41</v>
      </c>
      <c r="W1119" s="262">
        <f t="shared" si="38"/>
        <v>45226</v>
      </c>
      <c r="X1119" s="263" t="s">
        <v>41</v>
      </c>
      <c r="Y1119" s="262">
        <v>45291</v>
      </c>
      <c r="Z1119" s="263" t="s">
        <v>40</v>
      </c>
      <c r="AA1119" s="262"/>
      <c r="AB1119" s="263" t="s">
        <v>40</v>
      </c>
      <c r="AC1119" s="262"/>
      <c r="AD1119" s="262"/>
      <c r="AE1119" s="262">
        <v>45565</v>
      </c>
      <c r="AF1119" s="263" t="s">
        <v>65</v>
      </c>
      <c r="AG1119" s="270">
        <v>2026</v>
      </c>
      <c r="AH1119" s="261">
        <f t="shared" si="37"/>
        <v>255734.943635</v>
      </c>
      <c r="AI1119" s="261"/>
      <c r="AJ1119" s="261"/>
      <c r="AK1119" s="259" t="s">
        <v>43</v>
      </c>
      <c r="AL1119" s="259" t="s">
        <v>41</v>
      </c>
      <c r="AM1119" s="266">
        <v>0</v>
      </c>
      <c r="AN1119" s="67"/>
      <c r="AO1119" s="256"/>
      <c r="AP1119" s="257"/>
    </row>
    <row r="1120" spans="1:42" s="258" customFormat="1" ht="37.950000000000003" customHeight="1" x14ac:dyDescent="0.3">
      <c r="A1120" s="259" t="s">
        <v>1641</v>
      </c>
      <c r="B1120" s="243" t="s">
        <v>1642</v>
      </c>
      <c r="C1120" s="244" t="s">
        <v>2492</v>
      </c>
      <c r="D1120" s="243" t="s">
        <v>34</v>
      </c>
      <c r="E1120" s="243" t="s">
        <v>1644</v>
      </c>
      <c r="F1120" s="259" t="s">
        <v>35</v>
      </c>
      <c r="G1120" s="259">
        <v>1</v>
      </c>
      <c r="H1120" s="245">
        <v>778720</v>
      </c>
      <c r="I1120" s="243" t="s">
        <v>36</v>
      </c>
      <c r="J1120" s="245">
        <f t="shared" si="36"/>
        <v>778720</v>
      </c>
      <c r="K1120" s="1435">
        <f>3049.09+47199.918+3211.7</f>
        <v>53460.707999999999</v>
      </c>
      <c r="L1120" s="1435">
        <f>3049.09+47199.918+3211.7</f>
        <v>53460.707999999999</v>
      </c>
      <c r="M1120" s="246" t="s">
        <v>62</v>
      </c>
      <c r="N1120" s="261" t="s">
        <v>2493</v>
      </c>
      <c r="O1120" s="261" t="s">
        <v>2494</v>
      </c>
      <c r="P1120" s="263" t="s">
        <v>41</v>
      </c>
      <c r="Q1120" s="262">
        <v>45104</v>
      </c>
      <c r="R1120" s="263" t="s">
        <v>41</v>
      </c>
      <c r="S1120" s="262">
        <v>45104</v>
      </c>
      <c r="T1120" s="263"/>
      <c r="U1120" s="262"/>
      <c r="V1120" s="263" t="s">
        <v>41</v>
      </c>
      <c r="W1120" s="262">
        <f t="shared" si="38"/>
        <v>45226</v>
      </c>
      <c r="X1120" s="263" t="s">
        <v>41</v>
      </c>
      <c r="Y1120" s="262">
        <v>45291</v>
      </c>
      <c r="Z1120" s="263" t="s">
        <v>40</v>
      </c>
      <c r="AA1120" s="262"/>
      <c r="AB1120" s="263" t="s">
        <v>40</v>
      </c>
      <c r="AC1120" s="262"/>
      <c r="AD1120" s="262"/>
      <c r="AE1120" s="262">
        <v>45565</v>
      </c>
      <c r="AF1120" s="263" t="s">
        <v>65</v>
      </c>
      <c r="AG1120" s="270">
        <v>2026</v>
      </c>
      <c r="AH1120" s="261">
        <f t="shared" si="37"/>
        <v>262999.95300600003</v>
      </c>
      <c r="AI1120" s="261"/>
      <c r="AJ1120" s="261"/>
      <c r="AK1120" s="259" t="s">
        <v>43</v>
      </c>
      <c r="AL1120" s="259" t="s">
        <v>41</v>
      </c>
      <c r="AM1120" s="266">
        <v>0</v>
      </c>
      <c r="AN1120" s="67"/>
      <c r="AO1120" s="256"/>
      <c r="AP1120" s="257"/>
    </row>
    <row r="1121" spans="1:42" s="258" customFormat="1" ht="37.950000000000003" customHeight="1" x14ac:dyDescent="0.3">
      <c r="A1121" s="259" t="s">
        <v>1641</v>
      </c>
      <c r="B1121" s="243" t="s">
        <v>1642</v>
      </c>
      <c r="C1121" s="244" t="s">
        <v>2495</v>
      </c>
      <c r="D1121" s="243" t="s">
        <v>34</v>
      </c>
      <c r="E1121" s="243" t="s">
        <v>1644</v>
      </c>
      <c r="F1121" s="259" t="s">
        <v>35</v>
      </c>
      <c r="G1121" s="259">
        <v>1</v>
      </c>
      <c r="H1121" s="245">
        <v>778720</v>
      </c>
      <c r="I1121" s="243" t="s">
        <v>36</v>
      </c>
      <c r="J1121" s="245">
        <f t="shared" si="36"/>
        <v>778720</v>
      </c>
      <c r="K1121" s="1695">
        <f>21750.18</f>
        <v>21750.18</v>
      </c>
      <c r="L1121" s="1695">
        <f>K1121</f>
        <v>21750.18</v>
      </c>
      <c r="M1121" s="246" t="s">
        <v>133</v>
      </c>
      <c r="N1121" s="261" t="s">
        <v>1590</v>
      </c>
      <c r="O1121" s="261" t="s">
        <v>2496</v>
      </c>
      <c r="P1121" s="263" t="s">
        <v>41</v>
      </c>
      <c r="Q1121" s="262">
        <v>45104</v>
      </c>
      <c r="R1121" s="263" t="s">
        <v>41</v>
      </c>
      <c r="S1121" s="262">
        <v>45104</v>
      </c>
      <c r="T1121" s="263"/>
      <c r="U1121" s="262"/>
      <c r="V1121" s="263" t="s">
        <v>41</v>
      </c>
      <c r="W1121" s="262">
        <f t="shared" si="38"/>
        <v>45226</v>
      </c>
      <c r="X1121" s="263" t="s">
        <v>41</v>
      </c>
      <c r="Y1121" s="262">
        <v>45291</v>
      </c>
      <c r="Z1121" s="263" t="s">
        <v>40</v>
      </c>
      <c r="AA1121" s="262"/>
      <c r="AB1121" s="263" t="s">
        <v>40</v>
      </c>
      <c r="AC1121" s="262"/>
      <c r="AD1121" s="262"/>
      <c r="AE1121" s="262">
        <v>45565</v>
      </c>
      <c r="AF1121" s="263" t="s">
        <v>65</v>
      </c>
      <c r="AG1121" s="270">
        <v>2026</v>
      </c>
      <c r="AH1121" s="261">
        <f t="shared" si="37"/>
        <v>107000.01051000001</v>
      </c>
      <c r="AI1121" s="261"/>
      <c r="AJ1121" s="261"/>
      <c r="AK1121" s="259" t="s">
        <v>43</v>
      </c>
      <c r="AL1121" s="259" t="s">
        <v>41</v>
      </c>
      <c r="AM1121" s="266">
        <v>0</v>
      </c>
      <c r="AN1121" s="67"/>
      <c r="AO1121" s="256"/>
      <c r="AP1121" s="257"/>
    </row>
    <row r="1122" spans="1:42" s="258" customFormat="1" ht="37.950000000000003" customHeight="1" x14ac:dyDescent="0.3">
      <c r="A1122" s="259" t="s">
        <v>1641</v>
      </c>
      <c r="B1122" s="243" t="s">
        <v>1642</v>
      </c>
      <c r="C1122" s="244" t="s">
        <v>2497</v>
      </c>
      <c r="D1122" s="243" t="s">
        <v>34</v>
      </c>
      <c r="E1122" s="243" t="s">
        <v>1644</v>
      </c>
      <c r="F1122" s="259" t="s">
        <v>35</v>
      </c>
      <c r="G1122" s="259">
        <v>1</v>
      </c>
      <c r="H1122" s="245">
        <v>778720</v>
      </c>
      <c r="I1122" s="243" t="s">
        <v>36</v>
      </c>
      <c r="J1122" s="245">
        <f t="shared" si="36"/>
        <v>778720</v>
      </c>
      <c r="K1122" s="1695">
        <f>17776.2+30188.43</f>
        <v>47964.630000000005</v>
      </c>
      <c r="L1122" s="1695">
        <f>K1122</f>
        <v>47964.630000000005</v>
      </c>
      <c r="M1122" s="246" t="s">
        <v>303</v>
      </c>
      <c r="N1122" s="261" t="s">
        <v>2498</v>
      </c>
      <c r="O1122" s="261" t="s">
        <v>2499</v>
      </c>
      <c r="P1122" s="263" t="s">
        <v>41</v>
      </c>
      <c r="Q1122" s="262">
        <v>45104</v>
      </c>
      <c r="R1122" s="263" t="s">
        <v>41</v>
      </c>
      <c r="S1122" s="262">
        <v>45104</v>
      </c>
      <c r="T1122" s="263"/>
      <c r="U1122" s="262"/>
      <c r="V1122" s="263" t="s">
        <v>41</v>
      </c>
      <c r="W1122" s="262">
        <f t="shared" si="38"/>
        <v>45226</v>
      </c>
      <c r="X1122" s="263" t="s">
        <v>41</v>
      </c>
      <c r="Y1122" s="262">
        <v>45291</v>
      </c>
      <c r="Z1122" s="263" t="s">
        <v>40</v>
      </c>
      <c r="AA1122" s="262"/>
      <c r="AB1122" s="263" t="s">
        <v>40</v>
      </c>
      <c r="AC1122" s="262"/>
      <c r="AD1122" s="262"/>
      <c r="AE1122" s="262">
        <v>45565</v>
      </c>
      <c r="AF1122" s="263" t="s">
        <v>65</v>
      </c>
      <c r="AG1122" s="270">
        <v>2026</v>
      </c>
      <c r="AH1122" s="261">
        <f t="shared" si="37"/>
        <v>235961.99728500002</v>
      </c>
      <c r="AI1122" s="261"/>
      <c r="AJ1122" s="261"/>
      <c r="AK1122" s="259" t="s">
        <v>43</v>
      </c>
      <c r="AL1122" s="259" t="s">
        <v>41</v>
      </c>
      <c r="AM1122" s="266">
        <v>0</v>
      </c>
      <c r="AN1122" s="67"/>
      <c r="AO1122" s="256"/>
      <c r="AP1122" s="257"/>
    </row>
    <row r="1123" spans="1:42" s="258" customFormat="1" ht="37.950000000000003" customHeight="1" x14ac:dyDescent="0.3">
      <c r="A1123" s="259" t="s">
        <v>1641</v>
      </c>
      <c r="B1123" s="243" t="s">
        <v>1642</v>
      </c>
      <c r="C1123" s="244" t="s">
        <v>2500</v>
      </c>
      <c r="D1123" s="243" t="s">
        <v>34</v>
      </c>
      <c r="E1123" s="243" t="s">
        <v>1644</v>
      </c>
      <c r="F1123" s="259" t="s">
        <v>35</v>
      </c>
      <c r="G1123" s="259">
        <v>1</v>
      </c>
      <c r="H1123" s="245">
        <v>778720</v>
      </c>
      <c r="I1123" s="243" t="s">
        <v>36</v>
      </c>
      <c r="J1123" s="245">
        <f t="shared" si="36"/>
        <v>778720</v>
      </c>
      <c r="K1123" s="1695">
        <f>15020.83+9791.64</f>
        <v>24812.47</v>
      </c>
      <c r="L1123" s="1695">
        <f>15020.83+9791.64</f>
        <v>24812.47</v>
      </c>
      <c r="M1123" s="246" t="s">
        <v>63</v>
      </c>
      <c r="N1123" s="261" t="s">
        <v>2501</v>
      </c>
      <c r="O1123" s="261" t="s">
        <v>2502</v>
      </c>
      <c r="P1123" s="263" t="s">
        <v>41</v>
      </c>
      <c r="Q1123" s="262">
        <v>45104</v>
      </c>
      <c r="R1123" s="263" t="s">
        <v>41</v>
      </c>
      <c r="S1123" s="262">
        <v>45104</v>
      </c>
      <c r="T1123" s="263"/>
      <c r="U1123" s="262"/>
      <c r="V1123" s="263" t="s">
        <v>41</v>
      </c>
      <c r="W1123" s="262">
        <f t="shared" si="38"/>
        <v>45226</v>
      </c>
      <c r="X1123" s="263" t="s">
        <v>41</v>
      </c>
      <c r="Y1123" s="262">
        <v>45291</v>
      </c>
      <c r="Z1123" s="263" t="s">
        <v>40</v>
      </c>
      <c r="AA1123" s="262"/>
      <c r="AB1123" s="263" t="s">
        <v>40</v>
      </c>
      <c r="AC1123" s="262"/>
      <c r="AD1123" s="262"/>
      <c r="AE1123" s="262">
        <v>45565</v>
      </c>
      <c r="AF1123" s="263" t="s">
        <v>65</v>
      </c>
      <c r="AG1123" s="270">
        <v>2026</v>
      </c>
      <c r="AH1123" s="261">
        <f t="shared" si="37"/>
        <v>122064.94616500002</v>
      </c>
      <c r="AI1123" s="261"/>
      <c r="AJ1123" s="261"/>
      <c r="AK1123" s="259" t="s">
        <v>43</v>
      </c>
      <c r="AL1123" s="259" t="s">
        <v>41</v>
      </c>
      <c r="AM1123" s="266">
        <v>0</v>
      </c>
      <c r="AN1123" s="67"/>
      <c r="AO1123" s="256"/>
      <c r="AP1123" s="257"/>
    </row>
    <row r="1124" spans="1:42" s="258" customFormat="1" ht="37.950000000000003" customHeight="1" x14ac:dyDescent="0.3">
      <c r="A1124" s="259" t="s">
        <v>1641</v>
      </c>
      <c r="B1124" s="243" t="s">
        <v>1642</v>
      </c>
      <c r="C1124" s="244" t="s">
        <v>2503</v>
      </c>
      <c r="D1124" s="243" t="s">
        <v>34</v>
      </c>
      <c r="E1124" s="243" t="s">
        <v>1644</v>
      </c>
      <c r="F1124" s="259" t="s">
        <v>35</v>
      </c>
      <c r="G1124" s="259">
        <v>1</v>
      </c>
      <c r="H1124" s="245">
        <v>778720</v>
      </c>
      <c r="I1124" s="243" t="s">
        <v>36</v>
      </c>
      <c r="J1124" s="245">
        <f t="shared" si="36"/>
        <v>778720</v>
      </c>
      <c r="K1124" s="1695">
        <f>2540.9+2744.18+14229.09</f>
        <v>19514.169999999998</v>
      </c>
      <c r="L1124" s="1695">
        <f>2540.9+2744.18+14229.09</f>
        <v>19514.169999999998</v>
      </c>
      <c r="M1124" s="246" t="s">
        <v>55</v>
      </c>
      <c r="N1124" s="261" t="s">
        <v>2504</v>
      </c>
      <c r="O1124" s="261" t="s">
        <v>2505</v>
      </c>
      <c r="P1124" s="263" t="s">
        <v>41</v>
      </c>
      <c r="Q1124" s="262">
        <v>45104</v>
      </c>
      <c r="R1124" s="263" t="s">
        <v>41</v>
      </c>
      <c r="S1124" s="262">
        <v>45104</v>
      </c>
      <c r="T1124" s="263"/>
      <c r="U1124" s="262"/>
      <c r="V1124" s="263" t="s">
        <v>41</v>
      </c>
      <c r="W1124" s="262">
        <f t="shared" si="38"/>
        <v>45226</v>
      </c>
      <c r="X1124" s="263" t="s">
        <v>41</v>
      </c>
      <c r="Y1124" s="262">
        <v>45291</v>
      </c>
      <c r="Z1124" s="263" t="s">
        <v>40</v>
      </c>
      <c r="AA1124" s="262"/>
      <c r="AB1124" s="263" t="s">
        <v>40</v>
      </c>
      <c r="AC1124" s="262"/>
      <c r="AD1124" s="262"/>
      <c r="AE1124" s="262">
        <v>45565</v>
      </c>
      <c r="AF1124" s="263" t="s">
        <v>65</v>
      </c>
      <c r="AG1124" s="270">
        <v>2026</v>
      </c>
      <c r="AH1124" s="261">
        <f t="shared" si="37"/>
        <v>95999.959315</v>
      </c>
      <c r="AI1124" s="261"/>
      <c r="AJ1124" s="261"/>
      <c r="AK1124" s="259" t="s">
        <v>43</v>
      </c>
      <c r="AL1124" s="259" t="s">
        <v>41</v>
      </c>
      <c r="AM1124" s="266">
        <v>0</v>
      </c>
      <c r="AN1124" s="67"/>
      <c r="AO1124" s="256"/>
      <c r="AP1124" s="257"/>
    </row>
    <row r="1125" spans="1:42" s="258" customFormat="1" ht="37.950000000000003" customHeight="1" x14ac:dyDescent="0.3">
      <c r="A1125" s="259" t="s">
        <v>1641</v>
      </c>
      <c r="B1125" s="243" t="s">
        <v>1642</v>
      </c>
      <c r="C1125" s="244" t="s">
        <v>2506</v>
      </c>
      <c r="D1125" s="243" t="s">
        <v>34</v>
      </c>
      <c r="E1125" s="243" t="s">
        <v>1644</v>
      </c>
      <c r="F1125" s="259" t="s">
        <v>35</v>
      </c>
      <c r="G1125" s="259">
        <v>1</v>
      </c>
      <c r="H1125" s="245">
        <v>778720</v>
      </c>
      <c r="I1125" s="243" t="s">
        <v>36</v>
      </c>
      <c r="J1125" s="245">
        <f t="shared" si="36"/>
        <v>778720</v>
      </c>
      <c r="K1125" s="1695">
        <f>26425.45</f>
        <v>26425.45</v>
      </c>
      <c r="L1125" s="1695">
        <f>K1125</f>
        <v>26425.45</v>
      </c>
      <c r="M1125" s="246" t="s">
        <v>82</v>
      </c>
      <c r="N1125" s="261" t="s">
        <v>2507</v>
      </c>
      <c r="O1125" s="261" t="s">
        <v>2508</v>
      </c>
      <c r="P1125" s="263" t="s">
        <v>41</v>
      </c>
      <c r="Q1125" s="262">
        <v>45104</v>
      </c>
      <c r="R1125" s="263" t="s">
        <v>41</v>
      </c>
      <c r="S1125" s="262">
        <v>45104</v>
      </c>
      <c r="T1125" s="263"/>
      <c r="U1125" s="262"/>
      <c r="V1125" s="263" t="s">
        <v>41</v>
      </c>
      <c r="W1125" s="262">
        <f t="shared" si="38"/>
        <v>45226</v>
      </c>
      <c r="X1125" s="263" t="s">
        <v>41</v>
      </c>
      <c r="Y1125" s="262">
        <v>45291</v>
      </c>
      <c r="Z1125" s="263" t="s">
        <v>40</v>
      </c>
      <c r="AA1125" s="262"/>
      <c r="AB1125" s="263" t="s">
        <v>40</v>
      </c>
      <c r="AC1125" s="262"/>
      <c r="AD1125" s="262"/>
      <c r="AE1125" s="262">
        <v>45565</v>
      </c>
      <c r="AF1125" s="263" t="s">
        <v>65</v>
      </c>
      <c r="AG1125" s="270">
        <v>2026</v>
      </c>
      <c r="AH1125" s="261">
        <f t="shared" si="37"/>
        <v>130000.001275</v>
      </c>
      <c r="AI1125" s="261"/>
      <c r="AJ1125" s="261"/>
      <c r="AK1125" s="259" t="s">
        <v>43</v>
      </c>
      <c r="AL1125" s="259" t="s">
        <v>41</v>
      </c>
      <c r="AM1125" s="266">
        <v>0</v>
      </c>
      <c r="AN1125" s="67"/>
      <c r="AO1125" s="256"/>
      <c r="AP1125" s="257"/>
    </row>
    <row r="1126" spans="1:42" s="258" customFormat="1" ht="37.950000000000003" customHeight="1" x14ac:dyDescent="0.3">
      <c r="A1126" s="259" t="s">
        <v>1641</v>
      </c>
      <c r="B1126" s="243" t="s">
        <v>1642</v>
      </c>
      <c r="C1126" s="244" t="s">
        <v>2509</v>
      </c>
      <c r="D1126" s="243" t="s">
        <v>34</v>
      </c>
      <c r="E1126" s="243" t="s">
        <v>1644</v>
      </c>
      <c r="F1126" s="259" t="s">
        <v>35</v>
      </c>
      <c r="G1126" s="259">
        <v>1</v>
      </c>
      <c r="H1126" s="245">
        <v>778720</v>
      </c>
      <c r="I1126" s="243" t="s">
        <v>36</v>
      </c>
      <c r="J1126" s="245">
        <f t="shared" si="36"/>
        <v>778720</v>
      </c>
      <c r="K1126" s="1695">
        <f>996.04+12196.36+22359.99</f>
        <v>35552.39</v>
      </c>
      <c r="L1126" s="1695">
        <f>996.04+12196.36+22359.99</f>
        <v>35552.39</v>
      </c>
      <c r="M1126" s="246" t="s">
        <v>2510</v>
      </c>
      <c r="N1126" s="261" t="s">
        <v>2511</v>
      </c>
      <c r="O1126" s="261" t="s">
        <v>2512</v>
      </c>
      <c r="P1126" s="263" t="s">
        <v>41</v>
      </c>
      <c r="Q1126" s="262">
        <v>45104</v>
      </c>
      <c r="R1126" s="263" t="s">
        <v>41</v>
      </c>
      <c r="S1126" s="262">
        <v>45104</v>
      </c>
      <c r="T1126" s="263"/>
      <c r="U1126" s="262"/>
      <c r="V1126" s="263" t="s">
        <v>41</v>
      </c>
      <c r="W1126" s="262">
        <f t="shared" si="38"/>
        <v>45226</v>
      </c>
      <c r="X1126" s="263" t="s">
        <v>41</v>
      </c>
      <c r="Y1126" s="262">
        <v>45291</v>
      </c>
      <c r="Z1126" s="263" t="s">
        <v>40</v>
      </c>
      <c r="AA1126" s="262"/>
      <c r="AB1126" s="263" t="s">
        <v>40</v>
      </c>
      <c r="AC1126" s="262"/>
      <c r="AD1126" s="262"/>
      <c r="AE1126" s="262">
        <v>45565</v>
      </c>
      <c r="AF1126" s="263" t="s">
        <v>65</v>
      </c>
      <c r="AG1126" s="270">
        <v>2026</v>
      </c>
      <c r="AH1126" s="261">
        <f t="shared" si="37"/>
        <v>174899.982605</v>
      </c>
      <c r="AI1126" s="261"/>
      <c r="AJ1126" s="261"/>
      <c r="AK1126" s="259" t="s">
        <v>43</v>
      </c>
      <c r="AL1126" s="259" t="s">
        <v>41</v>
      </c>
      <c r="AM1126" s="266">
        <v>0</v>
      </c>
      <c r="AN1126" s="67"/>
      <c r="AO1126" s="256"/>
      <c r="AP1126" s="257"/>
    </row>
    <row r="1127" spans="1:42" s="258" customFormat="1" ht="37.950000000000003" customHeight="1" x14ac:dyDescent="0.3">
      <c r="A1127" s="259" t="s">
        <v>1641</v>
      </c>
      <c r="B1127" s="243" t="s">
        <v>1642</v>
      </c>
      <c r="C1127" s="244" t="s">
        <v>2513</v>
      </c>
      <c r="D1127" s="243" t="s">
        <v>34</v>
      </c>
      <c r="E1127" s="243" t="s">
        <v>1644</v>
      </c>
      <c r="F1127" s="259" t="s">
        <v>35</v>
      </c>
      <c r="G1127" s="259">
        <v>1</v>
      </c>
      <c r="H1127" s="245">
        <v>778720</v>
      </c>
      <c r="I1127" s="243" t="s">
        <v>36</v>
      </c>
      <c r="J1127" s="245">
        <f t="shared" si="36"/>
        <v>778720</v>
      </c>
      <c r="K1127" s="1695">
        <f>5081.81+11423.925+25261.7</f>
        <v>41767.434999999998</v>
      </c>
      <c r="L1127" s="1695">
        <f>5081.81+11423.925+25261.7</f>
        <v>41767.434999999998</v>
      </c>
      <c r="M1127" s="246" t="s">
        <v>303</v>
      </c>
      <c r="N1127" s="261" t="s">
        <v>2514</v>
      </c>
      <c r="O1127" s="261" t="s">
        <v>2515</v>
      </c>
      <c r="P1127" s="263" t="s">
        <v>41</v>
      </c>
      <c r="Q1127" s="262">
        <v>45104</v>
      </c>
      <c r="R1127" s="263" t="s">
        <v>41</v>
      </c>
      <c r="S1127" s="262">
        <v>45104</v>
      </c>
      <c r="T1127" s="263"/>
      <c r="U1127" s="262"/>
      <c r="V1127" s="263" t="s">
        <v>41</v>
      </c>
      <c r="W1127" s="262">
        <f t="shared" si="38"/>
        <v>45226</v>
      </c>
      <c r="X1127" s="263" t="s">
        <v>41</v>
      </c>
      <c r="Y1127" s="262">
        <v>45291</v>
      </c>
      <c r="Z1127" s="263" t="s">
        <v>40</v>
      </c>
      <c r="AA1127" s="262"/>
      <c r="AB1127" s="263" t="s">
        <v>40</v>
      </c>
      <c r="AC1127" s="262"/>
      <c r="AD1127" s="262"/>
      <c r="AE1127" s="262">
        <v>45565</v>
      </c>
      <c r="AF1127" s="263" t="s">
        <v>65</v>
      </c>
      <c r="AG1127" s="270">
        <v>2026</v>
      </c>
      <c r="AH1127" s="261">
        <f t="shared" si="37"/>
        <v>205474.89648249999</v>
      </c>
      <c r="AI1127" s="261"/>
      <c r="AJ1127" s="261"/>
      <c r="AK1127" s="259" t="s">
        <v>43</v>
      </c>
      <c r="AL1127" s="259" t="s">
        <v>41</v>
      </c>
      <c r="AM1127" s="266">
        <v>0</v>
      </c>
      <c r="AN1127" s="67"/>
      <c r="AO1127" s="256"/>
      <c r="AP1127" s="257"/>
    </row>
    <row r="1128" spans="1:42" s="258" customFormat="1" ht="37.950000000000003" customHeight="1" x14ac:dyDescent="0.3">
      <c r="A1128" s="259" t="s">
        <v>1641</v>
      </c>
      <c r="B1128" s="243" t="s">
        <v>1642</v>
      </c>
      <c r="C1128" s="244" t="s">
        <v>2516</v>
      </c>
      <c r="D1128" s="243" t="s">
        <v>34</v>
      </c>
      <c r="E1128" s="243" t="s">
        <v>1644</v>
      </c>
      <c r="F1128" s="259" t="s">
        <v>35</v>
      </c>
      <c r="G1128" s="259">
        <v>1</v>
      </c>
      <c r="H1128" s="245">
        <v>778720</v>
      </c>
      <c r="I1128" s="243" t="s">
        <v>36</v>
      </c>
      <c r="J1128" s="245">
        <f t="shared" si="36"/>
        <v>778720</v>
      </c>
      <c r="K1128" s="1695">
        <v>0</v>
      </c>
      <c r="L1128" s="1695">
        <v>0</v>
      </c>
      <c r="M1128" s="246" t="s">
        <v>73</v>
      </c>
      <c r="N1128" s="261" t="s">
        <v>2517</v>
      </c>
      <c r="O1128" s="261" t="s">
        <v>2518</v>
      </c>
      <c r="P1128" s="263" t="s">
        <v>41</v>
      </c>
      <c r="Q1128" s="262">
        <v>45104</v>
      </c>
      <c r="R1128" s="263" t="s">
        <v>41</v>
      </c>
      <c r="S1128" s="262">
        <v>45104</v>
      </c>
      <c r="T1128" s="263"/>
      <c r="U1128" s="262"/>
      <c r="V1128" s="263" t="s">
        <v>41</v>
      </c>
      <c r="W1128" s="262">
        <f t="shared" si="38"/>
        <v>45226</v>
      </c>
      <c r="X1128" s="263" t="s">
        <v>41</v>
      </c>
      <c r="Y1128" s="262">
        <v>45291</v>
      </c>
      <c r="Z1128" s="263" t="s">
        <v>40</v>
      </c>
      <c r="AA1128" s="262"/>
      <c r="AB1128" s="263" t="s">
        <v>40</v>
      </c>
      <c r="AC1128" s="262"/>
      <c r="AD1128" s="262"/>
      <c r="AE1128" s="262">
        <v>45565</v>
      </c>
      <c r="AF1128" s="263" t="s">
        <v>65</v>
      </c>
      <c r="AG1128" s="270">
        <v>2026</v>
      </c>
      <c r="AH1128" s="261">
        <f t="shared" si="37"/>
        <v>0</v>
      </c>
      <c r="AI1128" s="261"/>
      <c r="AJ1128" s="261"/>
      <c r="AK1128" s="259" t="s">
        <v>43</v>
      </c>
      <c r="AL1128" s="259" t="s">
        <v>41</v>
      </c>
      <c r="AM1128" s="266">
        <v>0</v>
      </c>
      <c r="AN1128" s="67"/>
      <c r="AO1128" s="256"/>
      <c r="AP1128" s="257"/>
    </row>
    <row r="1129" spans="1:42" s="258" customFormat="1" ht="37.950000000000003" customHeight="1" x14ac:dyDescent="0.3">
      <c r="A1129" s="259" t="s">
        <v>1641</v>
      </c>
      <c r="B1129" s="243" t="s">
        <v>1642</v>
      </c>
      <c r="C1129" s="244" t="s">
        <v>2519</v>
      </c>
      <c r="D1129" s="243" t="s">
        <v>34</v>
      </c>
      <c r="E1129" s="243" t="s">
        <v>1644</v>
      </c>
      <c r="F1129" s="259" t="s">
        <v>35</v>
      </c>
      <c r="G1129" s="259">
        <v>1</v>
      </c>
      <c r="H1129" s="245">
        <v>778720</v>
      </c>
      <c r="I1129" s="243" t="s">
        <v>36</v>
      </c>
      <c r="J1129" s="245">
        <f t="shared" si="36"/>
        <v>778720</v>
      </c>
      <c r="K1129" s="1695">
        <v>0</v>
      </c>
      <c r="L1129" s="1695">
        <v>0</v>
      </c>
      <c r="M1129" s="246" t="s">
        <v>868</v>
      </c>
      <c r="N1129" s="261" t="s">
        <v>1886</v>
      </c>
      <c r="O1129" s="261" t="s">
        <v>2520</v>
      </c>
      <c r="P1129" s="263" t="s">
        <v>41</v>
      </c>
      <c r="Q1129" s="262">
        <v>45104</v>
      </c>
      <c r="R1129" s="263" t="s">
        <v>41</v>
      </c>
      <c r="S1129" s="262">
        <v>45104</v>
      </c>
      <c r="T1129" s="263"/>
      <c r="U1129" s="262"/>
      <c r="V1129" s="263" t="s">
        <v>41</v>
      </c>
      <c r="W1129" s="262">
        <f t="shared" si="38"/>
        <v>45226</v>
      </c>
      <c r="X1129" s="263" t="s">
        <v>41</v>
      </c>
      <c r="Y1129" s="262">
        <v>45291</v>
      </c>
      <c r="Z1129" s="263" t="s">
        <v>40</v>
      </c>
      <c r="AA1129" s="262"/>
      <c r="AB1129" s="263" t="s">
        <v>40</v>
      </c>
      <c r="AC1129" s="262"/>
      <c r="AD1129" s="262"/>
      <c r="AE1129" s="262">
        <v>45565</v>
      </c>
      <c r="AF1129" s="263" t="s">
        <v>65</v>
      </c>
      <c r="AG1129" s="270">
        <v>2026</v>
      </c>
      <c r="AH1129" s="261">
        <f t="shared" si="37"/>
        <v>0</v>
      </c>
      <c r="AI1129" s="261"/>
      <c r="AJ1129" s="261"/>
      <c r="AK1129" s="259" t="s">
        <v>43</v>
      </c>
      <c r="AL1129" s="259" t="s">
        <v>41</v>
      </c>
      <c r="AM1129" s="266">
        <v>0</v>
      </c>
      <c r="AN1129" s="67"/>
      <c r="AO1129" s="256"/>
      <c r="AP1129" s="257"/>
    </row>
    <row r="1130" spans="1:42" s="258" customFormat="1" ht="37.950000000000003" customHeight="1" x14ac:dyDescent="0.3">
      <c r="A1130" s="259" t="s">
        <v>1641</v>
      </c>
      <c r="B1130" s="243" t="s">
        <v>1642</v>
      </c>
      <c r="C1130" s="244" t="s">
        <v>2521</v>
      </c>
      <c r="D1130" s="243" t="s">
        <v>34</v>
      </c>
      <c r="E1130" s="243" t="s">
        <v>1644</v>
      </c>
      <c r="F1130" s="259" t="s">
        <v>35</v>
      </c>
      <c r="G1130" s="259">
        <v>1</v>
      </c>
      <c r="H1130" s="245">
        <v>778720</v>
      </c>
      <c r="I1130" s="243" t="s">
        <v>36</v>
      </c>
      <c r="J1130" s="245">
        <f t="shared" si="36"/>
        <v>778720</v>
      </c>
      <c r="K1130" s="1695">
        <f>24392.72+9147.27</f>
        <v>33539.990000000005</v>
      </c>
      <c r="L1130" s="1695">
        <f>K1130</f>
        <v>33539.990000000005</v>
      </c>
      <c r="M1130" s="246" t="s">
        <v>322</v>
      </c>
      <c r="N1130" s="261" t="s">
        <v>469</v>
      </c>
      <c r="O1130" s="261" t="s">
        <v>2522</v>
      </c>
      <c r="P1130" s="263" t="s">
        <v>41</v>
      </c>
      <c r="Q1130" s="262">
        <v>45104</v>
      </c>
      <c r="R1130" s="263" t="s">
        <v>41</v>
      </c>
      <c r="S1130" s="262">
        <v>45104</v>
      </c>
      <c r="T1130" s="263"/>
      <c r="U1130" s="262"/>
      <c r="V1130" s="263" t="s">
        <v>41</v>
      </c>
      <c r="W1130" s="262">
        <f t="shared" si="38"/>
        <v>45226</v>
      </c>
      <c r="X1130" s="263" t="s">
        <v>41</v>
      </c>
      <c r="Y1130" s="262">
        <v>45291</v>
      </c>
      <c r="Z1130" s="263" t="s">
        <v>40</v>
      </c>
      <c r="AA1130" s="262"/>
      <c r="AB1130" s="263" t="s">
        <v>40</v>
      </c>
      <c r="AC1130" s="262"/>
      <c r="AD1130" s="262"/>
      <c r="AE1130" s="262">
        <v>45565</v>
      </c>
      <c r="AF1130" s="263" t="s">
        <v>65</v>
      </c>
      <c r="AG1130" s="270">
        <v>2026</v>
      </c>
      <c r="AH1130" s="261">
        <f t="shared" si="37"/>
        <v>164999.98080500003</v>
      </c>
      <c r="AI1130" s="261"/>
      <c r="AJ1130" s="261"/>
      <c r="AK1130" s="259" t="s">
        <v>43</v>
      </c>
      <c r="AL1130" s="259" t="s">
        <v>41</v>
      </c>
      <c r="AM1130" s="266">
        <v>0</v>
      </c>
      <c r="AN1130" s="67"/>
      <c r="AO1130" s="256"/>
      <c r="AP1130" s="257"/>
    </row>
    <row r="1131" spans="1:42" s="258" customFormat="1" ht="37.950000000000003" customHeight="1" x14ac:dyDescent="0.3">
      <c r="A1131" s="259" t="s">
        <v>1641</v>
      </c>
      <c r="B1131" s="243" t="s">
        <v>1642</v>
      </c>
      <c r="C1131" s="244" t="s">
        <v>2523</v>
      </c>
      <c r="D1131" s="243" t="s">
        <v>34</v>
      </c>
      <c r="E1131" s="243" t="s">
        <v>1644</v>
      </c>
      <c r="F1131" s="259" t="s">
        <v>35</v>
      </c>
      <c r="G1131" s="259">
        <v>1</v>
      </c>
      <c r="H1131" s="245">
        <v>778720</v>
      </c>
      <c r="I1131" s="243" t="s">
        <v>36</v>
      </c>
      <c r="J1131" s="245">
        <f t="shared" si="36"/>
        <v>778720</v>
      </c>
      <c r="K1131" s="1695">
        <f>18599.45</f>
        <v>18599.45</v>
      </c>
      <c r="L1131" s="1695">
        <f>18599.45</f>
        <v>18599.45</v>
      </c>
      <c r="M1131" s="246" t="s">
        <v>636</v>
      </c>
      <c r="N1131" s="261" t="s">
        <v>2524</v>
      </c>
      <c r="O1131" s="261" t="s">
        <v>2525</v>
      </c>
      <c r="P1131" s="263" t="s">
        <v>41</v>
      </c>
      <c r="Q1131" s="262">
        <v>45104</v>
      </c>
      <c r="R1131" s="263" t="s">
        <v>41</v>
      </c>
      <c r="S1131" s="262">
        <v>45104</v>
      </c>
      <c r="T1131" s="263"/>
      <c r="U1131" s="262"/>
      <c r="V1131" s="263" t="s">
        <v>41</v>
      </c>
      <c r="W1131" s="262">
        <f t="shared" si="38"/>
        <v>45226</v>
      </c>
      <c r="X1131" s="263" t="s">
        <v>41</v>
      </c>
      <c r="Y1131" s="262">
        <v>45291</v>
      </c>
      <c r="Z1131" s="263" t="s">
        <v>40</v>
      </c>
      <c r="AA1131" s="262"/>
      <c r="AB1131" s="263" t="s">
        <v>40</v>
      </c>
      <c r="AC1131" s="262"/>
      <c r="AD1131" s="262"/>
      <c r="AE1131" s="262">
        <v>45565</v>
      </c>
      <c r="AF1131" s="263" t="s">
        <v>65</v>
      </c>
      <c r="AG1131" s="270">
        <v>2026</v>
      </c>
      <c r="AH1131" s="261">
        <f t="shared" si="37"/>
        <v>91499.994275000005</v>
      </c>
      <c r="AI1131" s="261"/>
      <c r="AJ1131" s="261"/>
      <c r="AK1131" s="259" t="s">
        <v>43</v>
      </c>
      <c r="AL1131" s="259" t="s">
        <v>41</v>
      </c>
      <c r="AM1131" s="266">
        <v>0</v>
      </c>
      <c r="AN1131" s="67"/>
      <c r="AO1131" s="256"/>
      <c r="AP1131" s="257"/>
    </row>
    <row r="1132" spans="1:42" s="258" customFormat="1" ht="37.950000000000003" customHeight="1" x14ac:dyDescent="0.3">
      <c r="A1132" s="259" t="s">
        <v>1641</v>
      </c>
      <c r="B1132" s="243" t="s">
        <v>1642</v>
      </c>
      <c r="C1132" s="244" t="s">
        <v>2526</v>
      </c>
      <c r="D1132" s="243" t="s">
        <v>34</v>
      </c>
      <c r="E1132" s="243" t="s">
        <v>1644</v>
      </c>
      <c r="F1132" s="259" t="s">
        <v>35</v>
      </c>
      <c r="G1132" s="259">
        <v>1</v>
      </c>
      <c r="H1132" s="245">
        <v>754440</v>
      </c>
      <c r="I1132" s="243" t="s">
        <v>36</v>
      </c>
      <c r="J1132" s="245">
        <f t="shared" si="36"/>
        <v>754440</v>
      </c>
      <c r="K1132" s="1695">
        <f>21032.726+5869.09</f>
        <v>26901.815999999999</v>
      </c>
      <c r="L1132" s="1695">
        <f>21032.726+5869.09</f>
        <v>26901.815999999999</v>
      </c>
      <c r="M1132" s="246" t="s">
        <v>57</v>
      </c>
      <c r="N1132" s="261" t="s">
        <v>2527</v>
      </c>
      <c r="O1132" s="261" t="s">
        <v>2528</v>
      </c>
      <c r="P1132" s="263" t="s">
        <v>41</v>
      </c>
      <c r="Q1132" s="262">
        <v>45104</v>
      </c>
      <c r="R1132" s="263" t="s">
        <v>41</v>
      </c>
      <c r="S1132" s="262">
        <v>45104</v>
      </c>
      <c r="T1132" s="263"/>
      <c r="U1132" s="262"/>
      <c r="V1132" s="263" t="s">
        <v>41</v>
      </c>
      <c r="W1132" s="262">
        <f t="shared" si="38"/>
        <v>45226</v>
      </c>
      <c r="X1132" s="263" t="s">
        <v>41</v>
      </c>
      <c r="Y1132" s="262">
        <v>45291</v>
      </c>
      <c r="Z1132" s="263" t="s">
        <v>40</v>
      </c>
      <c r="AA1132" s="262"/>
      <c r="AB1132" s="263" t="s">
        <v>40</v>
      </c>
      <c r="AC1132" s="262"/>
      <c r="AD1132" s="262"/>
      <c r="AE1132" s="262">
        <v>45565</v>
      </c>
      <c r="AF1132" s="263" t="s">
        <v>65</v>
      </c>
      <c r="AG1132" s="270">
        <v>2026</v>
      </c>
      <c r="AH1132" s="261">
        <f t="shared" si="37"/>
        <v>132343.48381199999</v>
      </c>
      <c r="AI1132" s="261"/>
      <c r="AJ1132" s="261"/>
      <c r="AK1132" s="259" t="s">
        <v>43</v>
      </c>
      <c r="AL1132" s="259" t="s">
        <v>41</v>
      </c>
      <c r="AM1132" s="266">
        <v>0</v>
      </c>
      <c r="AN1132" s="67"/>
      <c r="AO1132" s="256"/>
      <c r="AP1132" s="257"/>
    </row>
    <row r="1133" spans="1:42" s="258" customFormat="1" ht="37.950000000000003" customHeight="1" x14ac:dyDescent="0.3">
      <c r="A1133" s="259" t="s">
        <v>1641</v>
      </c>
      <c r="B1133" s="243" t="s">
        <v>1642</v>
      </c>
      <c r="C1133" s="244" t="s">
        <v>2529</v>
      </c>
      <c r="D1133" s="243" t="s">
        <v>34</v>
      </c>
      <c r="E1133" s="243" t="s">
        <v>1644</v>
      </c>
      <c r="F1133" s="259" t="s">
        <v>35</v>
      </c>
      <c r="G1133" s="259">
        <v>1</v>
      </c>
      <c r="H1133" s="245">
        <v>778720</v>
      </c>
      <c r="I1133" s="243" t="s">
        <v>36</v>
      </c>
      <c r="J1133" s="245">
        <f t="shared" si="36"/>
        <v>778720</v>
      </c>
      <c r="K1133" s="1695">
        <v>0</v>
      </c>
      <c r="L1133" s="1695">
        <v>0</v>
      </c>
      <c r="M1133" s="246" t="s">
        <v>183</v>
      </c>
      <c r="N1133" s="261" t="s">
        <v>2530</v>
      </c>
      <c r="O1133" s="261" t="s">
        <v>2531</v>
      </c>
      <c r="P1133" s="263" t="s">
        <v>41</v>
      </c>
      <c r="Q1133" s="262">
        <v>45104</v>
      </c>
      <c r="R1133" s="263" t="s">
        <v>41</v>
      </c>
      <c r="S1133" s="262">
        <v>45104</v>
      </c>
      <c r="T1133" s="263"/>
      <c r="U1133" s="262"/>
      <c r="V1133" s="263" t="s">
        <v>41</v>
      </c>
      <c r="W1133" s="262">
        <f t="shared" si="38"/>
        <v>45226</v>
      </c>
      <c r="X1133" s="263" t="s">
        <v>41</v>
      </c>
      <c r="Y1133" s="262">
        <v>45291</v>
      </c>
      <c r="Z1133" s="263" t="s">
        <v>40</v>
      </c>
      <c r="AA1133" s="262"/>
      <c r="AB1133" s="263" t="s">
        <v>40</v>
      </c>
      <c r="AC1133" s="262"/>
      <c r="AD1133" s="262"/>
      <c r="AE1133" s="262">
        <v>45565</v>
      </c>
      <c r="AF1133" s="263" t="s">
        <v>65</v>
      </c>
      <c r="AG1133" s="270">
        <v>2026</v>
      </c>
      <c r="AH1133" s="261">
        <f t="shared" si="37"/>
        <v>0</v>
      </c>
      <c r="AI1133" s="261"/>
      <c r="AJ1133" s="261"/>
      <c r="AK1133" s="259" t="s">
        <v>43</v>
      </c>
      <c r="AL1133" s="259" t="s">
        <v>41</v>
      </c>
      <c r="AM1133" s="266">
        <v>0</v>
      </c>
      <c r="AN1133" s="67"/>
      <c r="AO1133" s="256"/>
      <c r="AP1133" s="257"/>
    </row>
    <row r="1134" spans="1:42" s="258" customFormat="1" ht="37.950000000000003" customHeight="1" x14ac:dyDescent="0.3">
      <c r="A1134" s="259" t="s">
        <v>1641</v>
      </c>
      <c r="B1134" s="243" t="s">
        <v>1642</v>
      </c>
      <c r="C1134" s="244" t="s">
        <v>2532</v>
      </c>
      <c r="D1134" s="243" t="s">
        <v>34</v>
      </c>
      <c r="E1134" s="243" t="s">
        <v>1644</v>
      </c>
      <c r="F1134" s="259" t="s">
        <v>35</v>
      </c>
      <c r="G1134" s="259">
        <v>1</v>
      </c>
      <c r="H1134" s="245">
        <v>778720</v>
      </c>
      <c r="I1134" s="243" t="s">
        <v>36</v>
      </c>
      <c r="J1134" s="245">
        <f t="shared" si="36"/>
        <v>778720</v>
      </c>
      <c r="K1134" s="1695">
        <f>6118.51+20561.03</f>
        <v>26679.54</v>
      </c>
      <c r="L1134" s="1695">
        <f>K1134</f>
        <v>26679.54</v>
      </c>
      <c r="M1134" s="246" t="s">
        <v>58</v>
      </c>
      <c r="N1134" s="261" t="s">
        <v>2533</v>
      </c>
      <c r="O1134" s="261" t="s">
        <v>2534</v>
      </c>
      <c r="P1134" s="263" t="s">
        <v>41</v>
      </c>
      <c r="Q1134" s="262">
        <v>45104</v>
      </c>
      <c r="R1134" s="263" t="s">
        <v>41</v>
      </c>
      <c r="S1134" s="262">
        <v>45104</v>
      </c>
      <c r="T1134" s="263"/>
      <c r="U1134" s="262"/>
      <c r="V1134" s="263" t="s">
        <v>41</v>
      </c>
      <c r="W1134" s="262">
        <f t="shared" si="38"/>
        <v>45226</v>
      </c>
      <c r="X1134" s="263" t="s">
        <v>41</v>
      </c>
      <c r="Y1134" s="262">
        <v>45291</v>
      </c>
      <c r="Z1134" s="263" t="s">
        <v>40</v>
      </c>
      <c r="AA1134" s="262"/>
      <c r="AB1134" s="263" t="s">
        <v>40</v>
      </c>
      <c r="AC1134" s="262"/>
      <c r="AD1134" s="262"/>
      <c r="AE1134" s="262">
        <v>45565</v>
      </c>
      <c r="AF1134" s="263" t="s">
        <v>65</v>
      </c>
      <c r="AG1134" s="270">
        <v>2026</v>
      </c>
      <c r="AH1134" s="261">
        <f t="shared" si="37"/>
        <v>131249.99703</v>
      </c>
      <c r="AI1134" s="261"/>
      <c r="AJ1134" s="261"/>
      <c r="AK1134" s="259" t="s">
        <v>43</v>
      </c>
      <c r="AL1134" s="259" t="s">
        <v>41</v>
      </c>
      <c r="AM1134" s="266">
        <v>0</v>
      </c>
      <c r="AN1134" s="67"/>
      <c r="AO1134" s="256"/>
      <c r="AP1134" s="257"/>
    </row>
    <row r="1135" spans="1:42" s="258" customFormat="1" ht="37.950000000000003" customHeight="1" x14ac:dyDescent="0.3">
      <c r="A1135" s="259" t="s">
        <v>1641</v>
      </c>
      <c r="B1135" s="243" t="s">
        <v>1642</v>
      </c>
      <c r="C1135" s="244" t="s">
        <v>2535</v>
      </c>
      <c r="D1135" s="243" t="s">
        <v>34</v>
      </c>
      <c r="E1135" s="243" t="s">
        <v>1644</v>
      </c>
      <c r="F1135" s="259" t="s">
        <v>35</v>
      </c>
      <c r="G1135" s="259">
        <v>1</v>
      </c>
      <c r="H1135" s="245">
        <v>778720</v>
      </c>
      <c r="I1135" s="243" t="s">
        <v>36</v>
      </c>
      <c r="J1135" s="245">
        <f t="shared" si="36"/>
        <v>778720</v>
      </c>
      <c r="K1135" s="1695">
        <f>26425.28+25713.995</f>
        <v>52139.274999999994</v>
      </c>
      <c r="L1135" s="1695">
        <f>26425.28+25713.995</f>
        <v>52139.274999999994</v>
      </c>
      <c r="M1135" s="246" t="s">
        <v>303</v>
      </c>
      <c r="N1135" s="261" t="s">
        <v>2536</v>
      </c>
      <c r="O1135" s="261" t="s">
        <v>2537</v>
      </c>
      <c r="P1135" s="263" t="s">
        <v>41</v>
      </c>
      <c r="Q1135" s="262">
        <v>45104</v>
      </c>
      <c r="R1135" s="263" t="s">
        <v>41</v>
      </c>
      <c r="S1135" s="262">
        <v>45104</v>
      </c>
      <c r="T1135" s="263"/>
      <c r="U1135" s="262"/>
      <c r="V1135" s="263" t="s">
        <v>41</v>
      </c>
      <c r="W1135" s="262">
        <f t="shared" si="38"/>
        <v>45226</v>
      </c>
      <c r="X1135" s="263" t="s">
        <v>41</v>
      </c>
      <c r="Y1135" s="262">
        <v>45291</v>
      </c>
      <c r="Z1135" s="263" t="s">
        <v>40</v>
      </c>
      <c r="AA1135" s="262"/>
      <c r="AB1135" s="263" t="s">
        <v>40</v>
      </c>
      <c r="AC1135" s="262"/>
      <c r="AD1135" s="262"/>
      <c r="AE1135" s="262">
        <v>45565</v>
      </c>
      <c r="AF1135" s="263" t="s">
        <v>65</v>
      </c>
      <c r="AG1135" s="270">
        <v>2026</v>
      </c>
      <c r="AH1135" s="261">
        <f t="shared" si="37"/>
        <v>256499.1633625</v>
      </c>
      <c r="AI1135" s="261"/>
      <c r="AJ1135" s="261"/>
      <c r="AK1135" s="259" t="s">
        <v>43</v>
      </c>
      <c r="AL1135" s="259" t="s">
        <v>41</v>
      </c>
      <c r="AM1135" s="266">
        <v>0</v>
      </c>
      <c r="AN1135" s="67"/>
      <c r="AO1135" s="256"/>
      <c r="AP1135" s="257"/>
    </row>
    <row r="1136" spans="1:42" s="258" customFormat="1" ht="37.950000000000003" customHeight="1" x14ac:dyDescent="0.3">
      <c r="A1136" s="259" t="s">
        <v>1641</v>
      </c>
      <c r="B1136" s="243" t="s">
        <v>1642</v>
      </c>
      <c r="C1136" s="244" t="s">
        <v>2538</v>
      </c>
      <c r="D1136" s="243" t="s">
        <v>34</v>
      </c>
      <c r="E1136" s="243" t="s">
        <v>1644</v>
      </c>
      <c r="F1136" s="259" t="s">
        <v>35</v>
      </c>
      <c r="G1136" s="259">
        <v>1</v>
      </c>
      <c r="H1136" s="245">
        <v>778720</v>
      </c>
      <c r="I1136" s="243" t="s">
        <v>36</v>
      </c>
      <c r="J1136" s="245">
        <f t="shared" si="36"/>
        <v>778720</v>
      </c>
      <c r="K1136" s="1695">
        <f>26608.4</f>
        <v>26608.400000000001</v>
      </c>
      <c r="L1136" s="1695">
        <f>26608.4</f>
        <v>26608.400000000001</v>
      </c>
      <c r="M1136" s="246" t="s">
        <v>2539</v>
      </c>
      <c r="N1136" s="261" t="s">
        <v>2539</v>
      </c>
      <c r="O1136" s="261" t="s">
        <v>2540</v>
      </c>
      <c r="P1136" s="263" t="s">
        <v>41</v>
      </c>
      <c r="Q1136" s="262">
        <v>45104</v>
      </c>
      <c r="R1136" s="263" t="s">
        <v>41</v>
      </c>
      <c r="S1136" s="262">
        <v>45104</v>
      </c>
      <c r="T1136" s="263"/>
      <c r="U1136" s="262"/>
      <c r="V1136" s="263" t="s">
        <v>41</v>
      </c>
      <c r="W1136" s="262">
        <f t="shared" si="38"/>
        <v>45226</v>
      </c>
      <c r="X1136" s="263" t="s">
        <v>41</v>
      </c>
      <c r="Y1136" s="262">
        <v>45291</v>
      </c>
      <c r="Z1136" s="263" t="s">
        <v>40</v>
      </c>
      <c r="AA1136" s="262"/>
      <c r="AB1136" s="263" t="s">
        <v>40</v>
      </c>
      <c r="AC1136" s="262"/>
      <c r="AD1136" s="262"/>
      <c r="AE1136" s="262">
        <v>45565</v>
      </c>
      <c r="AF1136" s="263" t="s">
        <v>65</v>
      </c>
      <c r="AG1136" s="270">
        <v>2026</v>
      </c>
      <c r="AH1136" s="261">
        <f t="shared" si="37"/>
        <v>130900.02380000001</v>
      </c>
      <c r="AI1136" s="261"/>
      <c r="AJ1136" s="261"/>
      <c r="AK1136" s="259" t="s">
        <v>43</v>
      </c>
      <c r="AL1136" s="259" t="s">
        <v>41</v>
      </c>
      <c r="AM1136" s="266">
        <v>0</v>
      </c>
      <c r="AN1136" s="67"/>
      <c r="AO1136" s="256"/>
      <c r="AP1136" s="257"/>
    </row>
    <row r="1137" spans="1:42" s="258" customFormat="1" ht="37.950000000000003" customHeight="1" x14ac:dyDescent="0.3">
      <c r="A1137" s="259" t="s">
        <v>1641</v>
      </c>
      <c r="B1137" s="243" t="s">
        <v>1642</v>
      </c>
      <c r="C1137" s="244" t="s">
        <v>2541</v>
      </c>
      <c r="D1137" s="243" t="s">
        <v>34</v>
      </c>
      <c r="E1137" s="243" t="s">
        <v>1644</v>
      </c>
      <c r="F1137" s="259" t="s">
        <v>35</v>
      </c>
      <c r="G1137" s="259">
        <v>1</v>
      </c>
      <c r="H1137" s="245">
        <v>778720</v>
      </c>
      <c r="I1137" s="243" t="s">
        <v>36</v>
      </c>
      <c r="J1137" s="245">
        <f t="shared" si="36"/>
        <v>778720</v>
      </c>
      <c r="K1137" s="1695">
        <v>39638.17</v>
      </c>
      <c r="L1137" s="1695">
        <f>39638.17</f>
        <v>39638.17</v>
      </c>
      <c r="M1137" s="246" t="s">
        <v>303</v>
      </c>
      <c r="N1137" s="261" t="s">
        <v>1590</v>
      </c>
      <c r="O1137" s="261" t="s">
        <v>2542</v>
      </c>
      <c r="P1137" s="263" t="s">
        <v>41</v>
      </c>
      <c r="Q1137" s="262">
        <v>45104</v>
      </c>
      <c r="R1137" s="263" t="s">
        <v>41</v>
      </c>
      <c r="S1137" s="262">
        <v>45104</v>
      </c>
      <c r="T1137" s="263"/>
      <c r="U1137" s="262"/>
      <c r="V1137" s="263" t="s">
        <v>41</v>
      </c>
      <c r="W1137" s="262">
        <f t="shared" si="38"/>
        <v>45226</v>
      </c>
      <c r="X1137" s="263" t="s">
        <v>41</v>
      </c>
      <c r="Y1137" s="262">
        <v>45291</v>
      </c>
      <c r="Z1137" s="263" t="s">
        <v>40</v>
      </c>
      <c r="AA1137" s="262"/>
      <c r="AB1137" s="263" t="s">
        <v>40</v>
      </c>
      <c r="AC1137" s="262"/>
      <c r="AD1137" s="262"/>
      <c r="AE1137" s="262">
        <v>45565</v>
      </c>
      <c r="AF1137" s="263" t="s">
        <v>65</v>
      </c>
      <c r="AG1137" s="270">
        <v>2026</v>
      </c>
      <c r="AH1137" s="261">
        <f t="shared" si="37"/>
        <v>194999.977315</v>
      </c>
      <c r="AI1137" s="261"/>
      <c r="AJ1137" s="261"/>
      <c r="AK1137" s="259" t="s">
        <v>43</v>
      </c>
      <c r="AL1137" s="259" t="s">
        <v>41</v>
      </c>
      <c r="AM1137" s="266">
        <v>0</v>
      </c>
      <c r="AN1137" s="67"/>
      <c r="AO1137" s="256"/>
      <c r="AP1137" s="257"/>
    </row>
    <row r="1138" spans="1:42" s="269" customFormat="1" ht="37.950000000000003" customHeight="1" x14ac:dyDescent="0.3">
      <c r="A1138" s="259" t="s">
        <v>1641</v>
      </c>
      <c r="B1138" s="243" t="s">
        <v>1642</v>
      </c>
      <c r="C1138" s="244" t="s">
        <v>2543</v>
      </c>
      <c r="D1138" s="243" t="s">
        <v>34</v>
      </c>
      <c r="E1138" s="243" t="s">
        <v>1644</v>
      </c>
      <c r="F1138" s="259" t="s">
        <v>35</v>
      </c>
      <c r="G1138" s="259">
        <v>1</v>
      </c>
      <c r="H1138" s="245">
        <v>778720</v>
      </c>
      <c r="I1138" s="243" t="s">
        <v>36</v>
      </c>
      <c r="J1138" s="245">
        <f t="shared" si="36"/>
        <v>778720</v>
      </c>
      <c r="K1138" s="1695">
        <f>26425.449</f>
        <v>26425.449000000001</v>
      </c>
      <c r="L1138" s="1695">
        <f>26425.449</f>
        <v>26425.449000000001</v>
      </c>
      <c r="M1138" s="246" t="s">
        <v>2544</v>
      </c>
      <c r="N1138" s="261" t="s">
        <v>2545</v>
      </c>
      <c r="O1138" s="261" t="s">
        <v>2546</v>
      </c>
      <c r="P1138" s="263" t="s">
        <v>41</v>
      </c>
      <c r="Q1138" s="262">
        <v>45104</v>
      </c>
      <c r="R1138" s="263" t="s">
        <v>41</v>
      </c>
      <c r="S1138" s="262">
        <v>45104</v>
      </c>
      <c r="T1138" s="263"/>
      <c r="U1138" s="262"/>
      <c r="V1138" s="263" t="s">
        <v>41</v>
      </c>
      <c r="W1138" s="262">
        <f t="shared" si="38"/>
        <v>45226</v>
      </c>
      <c r="X1138" s="263" t="s">
        <v>41</v>
      </c>
      <c r="Y1138" s="262">
        <v>45291</v>
      </c>
      <c r="Z1138" s="263" t="s">
        <v>40</v>
      </c>
      <c r="AA1138" s="262"/>
      <c r="AB1138" s="263" t="s">
        <v>40</v>
      </c>
      <c r="AC1138" s="262"/>
      <c r="AD1138" s="262"/>
      <c r="AE1138" s="262">
        <v>45565</v>
      </c>
      <c r="AF1138" s="263" t="s">
        <v>65</v>
      </c>
      <c r="AG1138" s="270">
        <v>2026</v>
      </c>
      <c r="AH1138" s="261">
        <f t="shared" si="37"/>
        <v>129999.99635550001</v>
      </c>
      <c r="AI1138" s="261"/>
      <c r="AJ1138" s="261"/>
      <c r="AK1138" s="259" t="s">
        <v>43</v>
      </c>
      <c r="AL1138" s="259" t="s">
        <v>41</v>
      </c>
      <c r="AM1138" s="266">
        <v>0</v>
      </c>
      <c r="AN1138" s="67"/>
      <c r="AO1138" s="267"/>
      <c r="AP1138" s="268"/>
    </row>
    <row r="1139" spans="1:42" s="258" customFormat="1" ht="37.950000000000003" customHeight="1" x14ac:dyDescent="0.3">
      <c r="A1139" s="259" t="s">
        <v>1641</v>
      </c>
      <c r="B1139" s="243" t="s">
        <v>1642</v>
      </c>
      <c r="C1139" s="244" t="s">
        <v>2547</v>
      </c>
      <c r="D1139" s="243" t="s">
        <v>34</v>
      </c>
      <c r="E1139" s="243" t="s">
        <v>1644</v>
      </c>
      <c r="F1139" s="259" t="s">
        <v>35</v>
      </c>
      <c r="G1139" s="259">
        <v>1</v>
      </c>
      <c r="H1139" s="245">
        <v>778720</v>
      </c>
      <c r="I1139" s="243" t="s">
        <v>36</v>
      </c>
      <c r="J1139" s="245">
        <f t="shared" si="36"/>
        <v>778720</v>
      </c>
      <c r="K1139" s="1695">
        <f>20733.81+26506.76</f>
        <v>47240.57</v>
      </c>
      <c r="L1139" s="1695">
        <f>K1139</f>
        <v>47240.57</v>
      </c>
      <c r="M1139" s="246" t="s">
        <v>200</v>
      </c>
      <c r="N1139" s="261" t="s">
        <v>2548</v>
      </c>
      <c r="O1139" s="261" t="s">
        <v>2549</v>
      </c>
      <c r="P1139" s="263" t="s">
        <v>41</v>
      </c>
      <c r="Q1139" s="262">
        <v>45104</v>
      </c>
      <c r="R1139" s="263" t="s">
        <v>41</v>
      </c>
      <c r="S1139" s="262">
        <v>45104</v>
      </c>
      <c r="T1139" s="263"/>
      <c r="U1139" s="262"/>
      <c r="V1139" s="263" t="s">
        <v>41</v>
      </c>
      <c r="W1139" s="262">
        <f t="shared" si="38"/>
        <v>45226</v>
      </c>
      <c r="X1139" s="263" t="s">
        <v>41</v>
      </c>
      <c r="Y1139" s="262">
        <v>45291</v>
      </c>
      <c r="Z1139" s="263" t="s">
        <v>40</v>
      </c>
      <c r="AA1139" s="262"/>
      <c r="AB1139" s="263" t="s">
        <v>40</v>
      </c>
      <c r="AC1139" s="262"/>
      <c r="AD1139" s="262"/>
      <c r="AE1139" s="262">
        <v>45565</v>
      </c>
      <c r="AF1139" s="263" t="s">
        <v>65</v>
      </c>
      <c r="AG1139" s="270">
        <v>2026</v>
      </c>
      <c r="AH1139" s="261">
        <f t="shared" si="37"/>
        <v>232399.984115</v>
      </c>
      <c r="AI1139" s="261"/>
      <c r="AJ1139" s="261"/>
      <c r="AK1139" s="259" t="s">
        <v>43</v>
      </c>
      <c r="AL1139" s="259" t="s">
        <v>41</v>
      </c>
      <c r="AM1139" s="266">
        <v>0</v>
      </c>
      <c r="AN1139" s="67"/>
      <c r="AO1139" s="256"/>
      <c r="AP1139" s="257"/>
    </row>
    <row r="1140" spans="1:42" s="258" customFormat="1" ht="37.950000000000003" customHeight="1" x14ac:dyDescent="0.3">
      <c r="A1140" s="259" t="s">
        <v>1641</v>
      </c>
      <c r="B1140" s="243" t="s">
        <v>1642</v>
      </c>
      <c r="C1140" s="244" t="s">
        <v>2550</v>
      </c>
      <c r="D1140" s="243" t="s">
        <v>34</v>
      </c>
      <c r="E1140" s="243" t="s">
        <v>1644</v>
      </c>
      <c r="F1140" s="259" t="s">
        <v>35</v>
      </c>
      <c r="G1140" s="259">
        <v>1</v>
      </c>
      <c r="H1140" s="245">
        <v>778720</v>
      </c>
      <c r="I1140" s="243" t="s">
        <v>36</v>
      </c>
      <c r="J1140" s="245">
        <f t="shared" si="36"/>
        <v>778720</v>
      </c>
      <c r="K1140" s="1695">
        <f>13009.45</f>
        <v>13009.45</v>
      </c>
      <c r="L1140" s="1695">
        <f>K1140</f>
        <v>13009.45</v>
      </c>
      <c r="M1140" s="246" t="s">
        <v>59</v>
      </c>
      <c r="N1140" s="261" t="s">
        <v>2551</v>
      </c>
      <c r="O1140" s="261" t="s">
        <v>2552</v>
      </c>
      <c r="P1140" s="263" t="s">
        <v>41</v>
      </c>
      <c r="Q1140" s="262">
        <v>45104</v>
      </c>
      <c r="R1140" s="263" t="s">
        <v>41</v>
      </c>
      <c r="S1140" s="262">
        <v>45104</v>
      </c>
      <c r="T1140" s="263"/>
      <c r="U1140" s="262"/>
      <c r="V1140" s="263" t="s">
        <v>41</v>
      </c>
      <c r="W1140" s="262">
        <f t="shared" si="38"/>
        <v>45226</v>
      </c>
      <c r="X1140" s="263" t="s">
        <v>41</v>
      </c>
      <c r="Y1140" s="262">
        <v>45291</v>
      </c>
      <c r="Z1140" s="263" t="s">
        <v>40</v>
      </c>
      <c r="AA1140" s="262"/>
      <c r="AB1140" s="263" t="s">
        <v>40</v>
      </c>
      <c r="AC1140" s="262"/>
      <c r="AD1140" s="262"/>
      <c r="AE1140" s="262">
        <v>45565</v>
      </c>
      <c r="AF1140" s="263" t="s">
        <v>65</v>
      </c>
      <c r="AG1140" s="270">
        <v>2026</v>
      </c>
      <c r="AH1140" s="261">
        <f t="shared" si="37"/>
        <v>63999.989275000007</v>
      </c>
      <c r="AI1140" s="261"/>
      <c r="AJ1140" s="261"/>
      <c r="AK1140" s="259" t="s">
        <v>43</v>
      </c>
      <c r="AL1140" s="259" t="s">
        <v>41</v>
      </c>
      <c r="AM1140" s="266">
        <v>0</v>
      </c>
      <c r="AN1140" s="67"/>
      <c r="AO1140" s="256"/>
      <c r="AP1140" s="257"/>
    </row>
    <row r="1141" spans="1:42" s="258" customFormat="1" ht="37.950000000000003" customHeight="1" x14ac:dyDescent="0.3">
      <c r="A1141" s="259" t="s">
        <v>1641</v>
      </c>
      <c r="B1141" s="243" t="s">
        <v>1642</v>
      </c>
      <c r="C1141" s="244" t="s">
        <v>2553</v>
      </c>
      <c r="D1141" s="243" t="s">
        <v>34</v>
      </c>
      <c r="E1141" s="243" t="s">
        <v>1644</v>
      </c>
      <c r="F1141" s="259" t="s">
        <v>35</v>
      </c>
      <c r="G1141" s="259">
        <v>1</v>
      </c>
      <c r="H1141" s="245">
        <v>778720</v>
      </c>
      <c r="I1141" s="243" t="s">
        <v>36</v>
      </c>
      <c r="J1141" s="245">
        <f t="shared" si="36"/>
        <v>778720</v>
      </c>
      <c r="K1141" s="1435">
        <f>9116.78</f>
        <v>9116.7800000000007</v>
      </c>
      <c r="L1141" s="1435">
        <f>9116.78</f>
        <v>9116.7800000000007</v>
      </c>
      <c r="M1141" s="246" t="s">
        <v>59</v>
      </c>
      <c r="N1141" s="261" t="s">
        <v>2554</v>
      </c>
      <c r="O1141" s="261" t="s">
        <v>2555</v>
      </c>
      <c r="P1141" s="263" t="s">
        <v>41</v>
      </c>
      <c r="Q1141" s="262">
        <v>45104</v>
      </c>
      <c r="R1141" s="263" t="s">
        <v>41</v>
      </c>
      <c r="S1141" s="262">
        <v>45104</v>
      </c>
      <c r="T1141" s="263"/>
      <c r="U1141" s="262"/>
      <c r="V1141" s="263" t="s">
        <v>41</v>
      </c>
      <c r="W1141" s="262">
        <f t="shared" si="38"/>
        <v>45226</v>
      </c>
      <c r="X1141" s="263" t="s">
        <v>41</v>
      </c>
      <c r="Y1141" s="262">
        <v>45291</v>
      </c>
      <c r="Z1141" s="263" t="s">
        <v>40</v>
      </c>
      <c r="AA1141" s="262"/>
      <c r="AB1141" s="263" t="s">
        <v>40</v>
      </c>
      <c r="AC1141" s="262"/>
      <c r="AD1141" s="262"/>
      <c r="AE1141" s="262">
        <v>45565</v>
      </c>
      <c r="AF1141" s="263" t="s">
        <v>65</v>
      </c>
      <c r="AG1141" s="270">
        <v>2026</v>
      </c>
      <c r="AH1141" s="261">
        <f t="shared" si="37"/>
        <v>44849.999210000002</v>
      </c>
      <c r="AI1141" s="261"/>
      <c r="AJ1141" s="261"/>
      <c r="AK1141" s="259" t="s">
        <v>43</v>
      </c>
      <c r="AL1141" s="259" t="s">
        <v>41</v>
      </c>
      <c r="AM1141" s="266">
        <v>0</v>
      </c>
      <c r="AN1141" s="67"/>
      <c r="AO1141" s="256"/>
      <c r="AP1141" s="257"/>
    </row>
    <row r="1142" spans="1:42" s="258" customFormat="1" ht="37.950000000000003" customHeight="1" x14ac:dyDescent="0.3">
      <c r="A1142" s="259" t="s">
        <v>1641</v>
      </c>
      <c r="B1142" s="243" t="s">
        <v>1642</v>
      </c>
      <c r="C1142" s="244" t="s">
        <v>2556</v>
      </c>
      <c r="D1142" s="243" t="s">
        <v>34</v>
      </c>
      <c r="E1142" s="243" t="s">
        <v>1644</v>
      </c>
      <c r="F1142" s="259" t="s">
        <v>35</v>
      </c>
      <c r="G1142" s="259">
        <v>1</v>
      </c>
      <c r="H1142" s="245">
        <v>778720</v>
      </c>
      <c r="I1142" s="243" t="s">
        <v>36</v>
      </c>
      <c r="J1142" s="245">
        <f t="shared" si="36"/>
        <v>778720</v>
      </c>
      <c r="K1142" s="1695">
        <v>0</v>
      </c>
      <c r="L1142" s="1695">
        <v>0</v>
      </c>
      <c r="M1142" s="246" t="s">
        <v>303</v>
      </c>
      <c r="N1142" s="261" t="s">
        <v>2557</v>
      </c>
      <c r="O1142" s="261" t="s">
        <v>2558</v>
      </c>
      <c r="P1142" s="263" t="s">
        <v>41</v>
      </c>
      <c r="Q1142" s="262">
        <v>45104</v>
      </c>
      <c r="R1142" s="263" t="s">
        <v>41</v>
      </c>
      <c r="S1142" s="262">
        <v>45104</v>
      </c>
      <c r="T1142" s="263"/>
      <c r="U1142" s="262"/>
      <c r="V1142" s="263" t="s">
        <v>41</v>
      </c>
      <c r="W1142" s="262">
        <f t="shared" si="38"/>
        <v>45226</v>
      </c>
      <c r="X1142" s="263" t="s">
        <v>41</v>
      </c>
      <c r="Y1142" s="262">
        <v>45291</v>
      </c>
      <c r="Z1142" s="263" t="s">
        <v>40</v>
      </c>
      <c r="AA1142" s="262"/>
      <c r="AB1142" s="263" t="s">
        <v>40</v>
      </c>
      <c r="AC1142" s="262"/>
      <c r="AD1142" s="262"/>
      <c r="AE1142" s="262">
        <v>45565</v>
      </c>
      <c r="AF1142" s="263" t="s">
        <v>65</v>
      </c>
      <c r="AG1142" s="270">
        <v>2026</v>
      </c>
      <c r="AH1142" s="261">
        <f t="shared" si="37"/>
        <v>0</v>
      </c>
      <c r="AI1142" s="261"/>
      <c r="AJ1142" s="261"/>
      <c r="AK1142" s="259" t="s">
        <v>43</v>
      </c>
      <c r="AL1142" s="259" t="s">
        <v>41</v>
      </c>
      <c r="AM1142" s="266">
        <v>0</v>
      </c>
      <c r="AN1142" s="67"/>
      <c r="AO1142" s="256"/>
      <c r="AP1142" s="257"/>
    </row>
    <row r="1143" spans="1:42" s="258" customFormat="1" ht="37.950000000000003" customHeight="1" x14ac:dyDescent="0.3">
      <c r="A1143" s="259" t="s">
        <v>1641</v>
      </c>
      <c r="B1143" s="243" t="s">
        <v>1642</v>
      </c>
      <c r="C1143" s="244" t="s">
        <v>2559</v>
      </c>
      <c r="D1143" s="243" t="s">
        <v>34</v>
      </c>
      <c r="E1143" s="243" t="s">
        <v>1644</v>
      </c>
      <c r="F1143" s="259" t="s">
        <v>35</v>
      </c>
      <c r="G1143" s="259">
        <v>1</v>
      </c>
      <c r="H1143" s="245">
        <v>778720</v>
      </c>
      <c r="I1143" s="243" t="s">
        <v>36</v>
      </c>
      <c r="J1143" s="245">
        <f t="shared" si="36"/>
        <v>778720</v>
      </c>
      <c r="K1143" s="1695">
        <f>27130.91</f>
        <v>27130.91</v>
      </c>
      <c r="L1143" s="1695">
        <f>K1143</f>
        <v>27130.91</v>
      </c>
      <c r="M1143" s="246" t="s">
        <v>57</v>
      </c>
      <c r="N1143" s="261" t="s">
        <v>2560</v>
      </c>
      <c r="O1143" s="261" t="s">
        <v>2561</v>
      </c>
      <c r="P1143" s="263" t="s">
        <v>41</v>
      </c>
      <c r="Q1143" s="262">
        <v>45104</v>
      </c>
      <c r="R1143" s="263" t="s">
        <v>41</v>
      </c>
      <c r="S1143" s="262">
        <v>45104</v>
      </c>
      <c r="T1143" s="263"/>
      <c r="U1143" s="262"/>
      <c r="V1143" s="263" t="s">
        <v>41</v>
      </c>
      <c r="W1143" s="262">
        <f t="shared" si="38"/>
        <v>45226</v>
      </c>
      <c r="X1143" s="263" t="s">
        <v>41</v>
      </c>
      <c r="Y1143" s="262">
        <v>45291</v>
      </c>
      <c r="Z1143" s="263" t="s">
        <v>40</v>
      </c>
      <c r="AA1143" s="262"/>
      <c r="AB1143" s="263" t="s">
        <v>40</v>
      </c>
      <c r="AC1143" s="262"/>
      <c r="AD1143" s="262"/>
      <c r="AE1143" s="262">
        <v>45565</v>
      </c>
      <c r="AF1143" s="263" t="s">
        <v>65</v>
      </c>
      <c r="AG1143" s="270">
        <v>2026</v>
      </c>
      <c r="AH1143" s="261">
        <f t="shared" si="37"/>
        <v>133470.511745</v>
      </c>
      <c r="AI1143" s="261"/>
      <c r="AJ1143" s="261"/>
      <c r="AK1143" s="259" t="s">
        <v>43</v>
      </c>
      <c r="AL1143" s="259" t="s">
        <v>41</v>
      </c>
      <c r="AM1143" s="266">
        <v>0</v>
      </c>
      <c r="AN1143" s="67"/>
      <c r="AO1143" s="256"/>
      <c r="AP1143" s="257"/>
    </row>
    <row r="1144" spans="1:42" s="258" customFormat="1" ht="37.950000000000003" customHeight="1" x14ac:dyDescent="0.3">
      <c r="A1144" s="259" t="s">
        <v>1641</v>
      </c>
      <c r="B1144" s="243" t="s">
        <v>1642</v>
      </c>
      <c r="C1144" s="244" t="s">
        <v>2562</v>
      </c>
      <c r="D1144" s="243" t="s">
        <v>34</v>
      </c>
      <c r="E1144" s="243" t="s">
        <v>1644</v>
      </c>
      <c r="F1144" s="259" t="s">
        <v>35</v>
      </c>
      <c r="G1144" s="259">
        <v>1</v>
      </c>
      <c r="H1144" s="245">
        <v>762573.63</v>
      </c>
      <c r="I1144" s="243" t="s">
        <v>36</v>
      </c>
      <c r="J1144" s="245">
        <f t="shared" si="36"/>
        <v>762573.63</v>
      </c>
      <c r="K1144" s="1695">
        <v>0</v>
      </c>
      <c r="L1144" s="1695">
        <v>0</v>
      </c>
      <c r="M1144" s="246" t="s">
        <v>79</v>
      </c>
      <c r="N1144" s="261" t="s">
        <v>934</v>
      </c>
      <c r="O1144" s="261" t="s">
        <v>2563</v>
      </c>
      <c r="P1144" s="263" t="s">
        <v>41</v>
      </c>
      <c r="Q1144" s="262">
        <v>45104</v>
      </c>
      <c r="R1144" s="263" t="s">
        <v>41</v>
      </c>
      <c r="S1144" s="262">
        <v>45104</v>
      </c>
      <c r="T1144" s="263"/>
      <c r="U1144" s="262"/>
      <c r="V1144" s="263" t="s">
        <v>41</v>
      </c>
      <c r="W1144" s="262">
        <f t="shared" si="38"/>
        <v>45226</v>
      </c>
      <c r="X1144" s="263" t="s">
        <v>41</v>
      </c>
      <c r="Y1144" s="262">
        <v>45291</v>
      </c>
      <c r="Z1144" s="263" t="s">
        <v>40</v>
      </c>
      <c r="AA1144" s="262"/>
      <c r="AB1144" s="263" t="s">
        <v>40</v>
      </c>
      <c r="AC1144" s="262"/>
      <c r="AD1144" s="262"/>
      <c r="AE1144" s="262">
        <v>45565</v>
      </c>
      <c r="AF1144" s="263" t="s">
        <v>65</v>
      </c>
      <c r="AG1144" s="270">
        <v>2026</v>
      </c>
      <c r="AH1144" s="261">
        <f t="shared" si="37"/>
        <v>0</v>
      </c>
      <c r="AI1144" s="261"/>
      <c r="AJ1144" s="261"/>
      <c r="AK1144" s="259" t="s">
        <v>43</v>
      </c>
      <c r="AL1144" s="259" t="s">
        <v>41</v>
      </c>
      <c r="AM1144" s="266">
        <v>0</v>
      </c>
      <c r="AN1144" s="67"/>
      <c r="AO1144" s="256"/>
      <c r="AP1144" s="257"/>
    </row>
    <row r="1145" spans="1:42" s="258" customFormat="1" ht="37.950000000000003" customHeight="1" x14ac:dyDescent="0.3">
      <c r="A1145" s="259" t="s">
        <v>1641</v>
      </c>
      <c r="B1145" s="243" t="s">
        <v>1642</v>
      </c>
      <c r="C1145" s="244" t="s">
        <v>2564</v>
      </c>
      <c r="D1145" s="243" t="s">
        <v>34</v>
      </c>
      <c r="E1145" s="243" t="s">
        <v>1644</v>
      </c>
      <c r="F1145" s="259" t="s">
        <v>35</v>
      </c>
      <c r="G1145" s="259">
        <v>1</v>
      </c>
      <c r="H1145" s="245">
        <v>778720</v>
      </c>
      <c r="I1145" s="243" t="s">
        <v>36</v>
      </c>
      <c r="J1145" s="245">
        <f t="shared" si="36"/>
        <v>778720</v>
      </c>
      <c r="K1145" s="1435">
        <f>20561.03+17755.87+1423.925+490.8</f>
        <v>40231.625</v>
      </c>
      <c r="L1145" s="1435">
        <f>20561.03+17755.87+1423.925+490.8</f>
        <v>40231.625</v>
      </c>
      <c r="M1145" s="246" t="s">
        <v>303</v>
      </c>
      <c r="N1145" s="261" t="s">
        <v>2565</v>
      </c>
      <c r="O1145" s="261" t="s">
        <v>2566</v>
      </c>
      <c r="P1145" s="263" t="s">
        <v>41</v>
      </c>
      <c r="Q1145" s="262">
        <v>45104</v>
      </c>
      <c r="R1145" s="263" t="s">
        <v>41</v>
      </c>
      <c r="S1145" s="262">
        <v>45104</v>
      </c>
      <c r="T1145" s="263"/>
      <c r="U1145" s="262"/>
      <c r="V1145" s="263" t="s">
        <v>41</v>
      </c>
      <c r="W1145" s="262">
        <f t="shared" si="38"/>
        <v>45226</v>
      </c>
      <c r="X1145" s="263" t="s">
        <v>41</v>
      </c>
      <c r="Y1145" s="262">
        <v>45291</v>
      </c>
      <c r="Z1145" s="263" t="s">
        <v>40</v>
      </c>
      <c r="AA1145" s="262"/>
      <c r="AB1145" s="263" t="s">
        <v>40</v>
      </c>
      <c r="AC1145" s="262"/>
      <c r="AD1145" s="262"/>
      <c r="AE1145" s="262">
        <v>45565</v>
      </c>
      <c r="AF1145" s="263" t="s">
        <v>65</v>
      </c>
      <c r="AG1145" s="270">
        <v>2026</v>
      </c>
      <c r="AH1145" s="261">
        <f t="shared" si="37"/>
        <v>197919.47918750002</v>
      </c>
      <c r="AI1145" s="261"/>
      <c r="AJ1145" s="261"/>
      <c r="AK1145" s="259" t="s">
        <v>43</v>
      </c>
      <c r="AL1145" s="259" t="s">
        <v>41</v>
      </c>
      <c r="AM1145" s="266">
        <v>0</v>
      </c>
      <c r="AN1145" s="67"/>
      <c r="AO1145" s="256"/>
      <c r="AP1145" s="257"/>
    </row>
    <row r="1146" spans="1:42" s="258" customFormat="1" ht="37.950000000000003" customHeight="1" x14ac:dyDescent="0.3">
      <c r="A1146" s="259" t="s">
        <v>1641</v>
      </c>
      <c r="B1146" s="243" t="s">
        <v>1642</v>
      </c>
      <c r="C1146" s="244" t="s">
        <v>2567</v>
      </c>
      <c r="D1146" s="243" t="s">
        <v>34</v>
      </c>
      <c r="E1146" s="243" t="s">
        <v>1644</v>
      </c>
      <c r="F1146" s="259" t="s">
        <v>35</v>
      </c>
      <c r="G1146" s="259">
        <v>1</v>
      </c>
      <c r="H1146" s="245">
        <v>778720</v>
      </c>
      <c r="I1146" s="243" t="s">
        <v>36</v>
      </c>
      <c r="J1146" s="245">
        <f t="shared" si="36"/>
        <v>778720</v>
      </c>
      <c r="K1146" s="1695">
        <v>0</v>
      </c>
      <c r="L1146" s="1695">
        <v>0</v>
      </c>
      <c r="M1146" s="246" t="s">
        <v>133</v>
      </c>
      <c r="N1146" s="261" t="s">
        <v>1196</v>
      </c>
      <c r="O1146" s="284" t="s">
        <v>2568</v>
      </c>
      <c r="P1146" s="263" t="s">
        <v>41</v>
      </c>
      <c r="Q1146" s="262">
        <v>45090</v>
      </c>
      <c r="R1146" s="263" t="s">
        <v>41</v>
      </c>
      <c r="S1146" s="262">
        <v>45090</v>
      </c>
      <c r="T1146" s="263"/>
      <c r="U1146" s="262"/>
      <c r="V1146" s="263" t="s">
        <v>41</v>
      </c>
      <c r="W1146" s="262">
        <f t="shared" si="38"/>
        <v>45212</v>
      </c>
      <c r="X1146" s="263" t="s">
        <v>41</v>
      </c>
      <c r="Y1146" s="262">
        <v>45291</v>
      </c>
      <c r="Z1146" s="263" t="s">
        <v>40</v>
      </c>
      <c r="AA1146" s="262"/>
      <c r="AB1146" s="263" t="s">
        <v>40</v>
      </c>
      <c r="AC1146" s="262"/>
      <c r="AD1146" s="262"/>
      <c r="AE1146" s="262">
        <v>45565</v>
      </c>
      <c r="AF1146" s="263" t="s">
        <v>65</v>
      </c>
      <c r="AG1146" s="270">
        <v>2026</v>
      </c>
      <c r="AH1146" s="261">
        <f t="shared" si="37"/>
        <v>0</v>
      </c>
      <c r="AI1146" s="261"/>
      <c r="AJ1146" s="261"/>
      <c r="AK1146" s="259" t="s">
        <v>43</v>
      </c>
      <c r="AL1146" s="259" t="s">
        <v>41</v>
      </c>
      <c r="AM1146" s="266">
        <v>0</v>
      </c>
      <c r="AN1146" s="67"/>
      <c r="AO1146" s="256"/>
      <c r="AP1146" s="257"/>
    </row>
    <row r="1147" spans="1:42" s="258" customFormat="1" ht="37.950000000000003" customHeight="1" x14ac:dyDescent="0.3">
      <c r="A1147" s="259" t="s">
        <v>1641</v>
      </c>
      <c r="B1147" s="243" t="s">
        <v>1642</v>
      </c>
      <c r="C1147" s="244" t="s">
        <v>2569</v>
      </c>
      <c r="D1147" s="243" t="s">
        <v>34</v>
      </c>
      <c r="E1147" s="243" t="s">
        <v>1644</v>
      </c>
      <c r="F1147" s="259" t="s">
        <v>35</v>
      </c>
      <c r="G1147" s="259">
        <v>1</v>
      </c>
      <c r="H1147" s="245">
        <v>772316.08</v>
      </c>
      <c r="I1147" s="243" t="s">
        <v>36</v>
      </c>
      <c r="J1147" s="245">
        <f t="shared" si="36"/>
        <v>772316.08</v>
      </c>
      <c r="K1147" s="1695">
        <v>0</v>
      </c>
      <c r="L1147" s="1695">
        <v>0</v>
      </c>
      <c r="M1147" s="246" t="s">
        <v>322</v>
      </c>
      <c r="N1147" s="261" t="s">
        <v>2570</v>
      </c>
      <c r="O1147" s="284" t="s">
        <v>2571</v>
      </c>
      <c r="P1147" s="263" t="s">
        <v>41</v>
      </c>
      <c r="Q1147" s="262">
        <v>45104</v>
      </c>
      <c r="R1147" s="263" t="s">
        <v>41</v>
      </c>
      <c r="S1147" s="262">
        <v>45104</v>
      </c>
      <c r="T1147" s="263"/>
      <c r="U1147" s="262"/>
      <c r="V1147" s="263" t="s">
        <v>41</v>
      </c>
      <c r="W1147" s="262">
        <f t="shared" si="38"/>
        <v>45226</v>
      </c>
      <c r="X1147" s="263" t="s">
        <v>41</v>
      </c>
      <c r="Y1147" s="262">
        <v>45291</v>
      </c>
      <c r="Z1147" s="263" t="s">
        <v>40</v>
      </c>
      <c r="AA1147" s="262"/>
      <c r="AB1147" s="263" t="s">
        <v>40</v>
      </c>
      <c r="AC1147" s="262"/>
      <c r="AD1147" s="262"/>
      <c r="AE1147" s="262">
        <v>45565</v>
      </c>
      <c r="AF1147" s="263" t="s">
        <v>65</v>
      </c>
      <c r="AG1147" s="270">
        <v>2026</v>
      </c>
      <c r="AH1147" s="261">
        <f t="shared" si="37"/>
        <v>0</v>
      </c>
      <c r="AI1147" s="261"/>
      <c r="AJ1147" s="261"/>
      <c r="AK1147" s="259" t="s">
        <v>43</v>
      </c>
      <c r="AL1147" s="259" t="s">
        <v>41</v>
      </c>
      <c r="AM1147" s="266">
        <v>0</v>
      </c>
      <c r="AN1147" s="67"/>
      <c r="AO1147" s="256"/>
      <c r="AP1147" s="257"/>
    </row>
    <row r="1148" spans="1:42" s="258" customFormat="1" ht="37.950000000000003" customHeight="1" x14ac:dyDescent="0.3">
      <c r="A1148" s="259" t="s">
        <v>1641</v>
      </c>
      <c r="B1148" s="243" t="s">
        <v>1642</v>
      </c>
      <c r="C1148" s="244" t="s">
        <v>2572</v>
      </c>
      <c r="D1148" s="243" t="s">
        <v>34</v>
      </c>
      <c r="E1148" s="243" t="s">
        <v>1644</v>
      </c>
      <c r="F1148" s="259" t="s">
        <v>35</v>
      </c>
      <c r="G1148" s="259">
        <v>1</v>
      </c>
      <c r="H1148" s="245">
        <v>778684.1</v>
      </c>
      <c r="I1148" s="243" t="s">
        <v>36</v>
      </c>
      <c r="J1148" s="245">
        <f t="shared" si="36"/>
        <v>778684.1</v>
      </c>
      <c r="K1148" s="1695">
        <v>0</v>
      </c>
      <c r="L1148" s="1695">
        <v>0</v>
      </c>
      <c r="M1148" s="246" t="s">
        <v>868</v>
      </c>
      <c r="N1148" s="261" t="s">
        <v>2573</v>
      </c>
      <c r="O1148" s="284" t="s">
        <v>2574</v>
      </c>
      <c r="P1148" s="263" t="s">
        <v>41</v>
      </c>
      <c r="Q1148" s="262">
        <v>45104</v>
      </c>
      <c r="R1148" s="263" t="s">
        <v>41</v>
      </c>
      <c r="S1148" s="262">
        <v>45104</v>
      </c>
      <c r="T1148" s="263"/>
      <c r="U1148" s="262"/>
      <c r="V1148" s="263" t="s">
        <v>41</v>
      </c>
      <c r="W1148" s="262">
        <f t="shared" si="38"/>
        <v>45226</v>
      </c>
      <c r="X1148" s="263" t="s">
        <v>41</v>
      </c>
      <c r="Y1148" s="262">
        <v>45291</v>
      </c>
      <c r="Z1148" s="263" t="s">
        <v>40</v>
      </c>
      <c r="AA1148" s="262"/>
      <c r="AB1148" s="263" t="s">
        <v>40</v>
      </c>
      <c r="AC1148" s="262"/>
      <c r="AD1148" s="262"/>
      <c r="AE1148" s="262">
        <v>45565</v>
      </c>
      <c r="AF1148" s="263" t="s">
        <v>65</v>
      </c>
      <c r="AG1148" s="270">
        <v>2026</v>
      </c>
      <c r="AH1148" s="261">
        <f t="shared" si="37"/>
        <v>0</v>
      </c>
      <c r="AI1148" s="261"/>
      <c r="AJ1148" s="261"/>
      <c r="AK1148" s="259" t="s">
        <v>43</v>
      </c>
      <c r="AL1148" s="259" t="s">
        <v>41</v>
      </c>
      <c r="AM1148" s="266">
        <v>0</v>
      </c>
      <c r="AN1148" s="67"/>
      <c r="AO1148" s="256"/>
      <c r="AP1148" s="257"/>
    </row>
    <row r="1149" spans="1:42" s="258" customFormat="1" ht="37.950000000000003" customHeight="1" x14ac:dyDescent="0.3">
      <c r="A1149" s="259" t="s">
        <v>1641</v>
      </c>
      <c r="B1149" s="243" t="s">
        <v>1642</v>
      </c>
      <c r="C1149" s="244" t="s">
        <v>2575</v>
      </c>
      <c r="D1149" s="243" t="s">
        <v>34</v>
      </c>
      <c r="E1149" s="243" t="s">
        <v>1644</v>
      </c>
      <c r="F1149" s="259" t="s">
        <v>35</v>
      </c>
      <c r="G1149" s="259">
        <v>1</v>
      </c>
      <c r="H1149" s="245">
        <v>778720</v>
      </c>
      <c r="I1149" s="243" t="s">
        <v>36</v>
      </c>
      <c r="J1149" s="245">
        <f t="shared" si="36"/>
        <v>778720</v>
      </c>
      <c r="K1149" s="1695">
        <v>0</v>
      </c>
      <c r="L1149" s="1695">
        <v>0</v>
      </c>
      <c r="M1149" s="246" t="s">
        <v>322</v>
      </c>
      <c r="N1149" s="261" t="s">
        <v>2576</v>
      </c>
      <c r="O1149" s="284" t="s">
        <v>2577</v>
      </c>
      <c r="P1149" s="263" t="s">
        <v>41</v>
      </c>
      <c r="Q1149" s="262">
        <v>45104</v>
      </c>
      <c r="R1149" s="263" t="s">
        <v>41</v>
      </c>
      <c r="S1149" s="262">
        <v>45104</v>
      </c>
      <c r="T1149" s="263"/>
      <c r="U1149" s="262"/>
      <c r="V1149" s="263" t="s">
        <v>41</v>
      </c>
      <c r="W1149" s="262">
        <f t="shared" si="38"/>
        <v>45226</v>
      </c>
      <c r="X1149" s="263" t="s">
        <v>41</v>
      </c>
      <c r="Y1149" s="262">
        <v>45291</v>
      </c>
      <c r="Z1149" s="263" t="s">
        <v>40</v>
      </c>
      <c r="AA1149" s="262"/>
      <c r="AB1149" s="263" t="s">
        <v>40</v>
      </c>
      <c r="AC1149" s="262"/>
      <c r="AD1149" s="262"/>
      <c r="AE1149" s="262">
        <v>45565</v>
      </c>
      <c r="AF1149" s="263" t="s">
        <v>65</v>
      </c>
      <c r="AG1149" s="270">
        <v>2026</v>
      </c>
      <c r="AH1149" s="261">
        <f t="shared" si="37"/>
        <v>0</v>
      </c>
      <c r="AI1149" s="261"/>
      <c r="AJ1149" s="261"/>
      <c r="AK1149" s="259" t="s">
        <v>43</v>
      </c>
      <c r="AL1149" s="259" t="s">
        <v>41</v>
      </c>
      <c r="AM1149" s="266">
        <v>0</v>
      </c>
      <c r="AN1149" s="67"/>
      <c r="AO1149" s="256"/>
      <c r="AP1149" s="257"/>
    </row>
    <row r="1150" spans="1:42" s="258" customFormat="1" ht="37.950000000000003" customHeight="1" x14ac:dyDescent="0.3">
      <c r="A1150" s="259" t="s">
        <v>1641</v>
      </c>
      <c r="B1150" s="243" t="s">
        <v>1642</v>
      </c>
      <c r="C1150" s="244" t="s">
        <v>2578</v>
      </c>
      <c r="D1150" s="243" t="s">
        <v>34</v>
      </c>
      <c r="E1150" s="243" t="s">
        <v>1644</v>
      </c>
      <c r="F1150" s="259" t="s">
        <v>35</v>
      </c>
      <c r="G1150" s="259">
        <v>1</v>
      </c>
      <c r="H1150" s="245">
        <v>778720.2</v>
      </c>
      <c r="I1150" s="243" t="s">
        <v>36</v>
      </c>
      <c r="J1150" s="245">
        <f t="shared" si="36"/>
        <v>778720.2</v>
      </c>
      <c r="K1150" s="1695">
        <f>17252.16+1678.99</f>
        <v>18931.150000000001</v>
      </c>
      <c r="L1150" s="1695">
        <f>17252.16+1678.99</f>
        <v>18931.150000000001</v>
      </c>
      <c r="M1150" s="246" t="s">
        <v>59</v>
      </c>
      <c r="N1150" s="261" t="s">
        <v>2579</v>
      </c>
      <c r="O1150" s="261" t="s">
        <v>2580</v>
      </c>
      <c r="P1150" s="263" t="s">
        <v>41</v>
      </c>
      <c r="Q1150" s="262">
        <v>45110</v>
      </c>
      <c r="R1150" s="263" t="s">
        <v>41</v>
      </c>
      <c r="S1150" s="262">
        <v>45110</v>
      </c>
      <c r="T1150" s="263"/>
      <c r="U1150" s="262"/>
      <c r="V1150" s="263" t="s">
        <v>41</v>
      </c>
      <c r="W1150" s="262">
        <f t="shared" si="38"/>
        <v>45233</v>
      </c>
      <c r="X1150" s="263" t="s">
        <v>41</v>
      </c>
      <c r="Y1150" s="262">
        <v>45291</v>
      </c>
      <c r="Z1150" s="263" t="s">
        <v>40</v>
      </c>
      <c r="AA1150" s="262"/>
      <c r="AB1150" s="263" t="s">
        <v>40</v>
      </c>
      <c r="AC1150" s="262"/>
      <c r="AD1150" s="262"/>
      <c r="AE1150" s="262">
        <v>45565</v>
      </c>
      <c r="AF1150" s="263" t="s">
        <v>65</v>
      </c>
      <c r="AG1150" s="270">
        <v>2026</v>
      </c>
      <c r="AH1150" s="261">
        <f t="shared" si="37"/>
        <v>93131.792425000007</v>
      </c>
      <c r="AI1150" s="261"/>
      <c r="AJ1150" s="261"/>
      <c r="AK1150" s="259" t="s">
        <v>43</v>
      </c>
      <c r="AL1150" s="259" t="s">
        <v>41</v>
      </c>
      <c r="AM1150" s="266">
        <v>0</v>
      </c>
      <c r="AN1150" s="67"/>
      <c r="AO1150" s="256"/>
      <c r="AP1150" s="257"/>
    </row>
    <row r="1151" spans="1:42" s="258" customFormat="1" ht="37.950000000000003" customHeight="1" x14ac:dyDescent="0.3">
      <c r="A1151" s="259" t="s">
        <v>1641</v>
      </c>
      <c r="B1151" s="243" t="s">
        <v>1642</v>
      </c>
      <c r="C1151" s="244" t="s">
        <v>2581</v>
      </c>
      <c r="D1151" s="243" t="s">
        <v>34</v>
      </c>
      <c r="E1151" s="243" t="s">
        <v>1644</v>
      </c>
      <c r="F1151" s="259" t="s">
        <v>35</v>
      </c>
      <c r="G1151" s="259">
        <v>1</v>
      </c>
      <c r="H1151" s="245">
        <v>778720</v>
      </c>
      <c r="I1151" s="243" t="s">
        <v>36</v>
      </c>
      <c r="J1151" s="245">
        <f t="shared" si="36"/>
        <v>778720</v>
      </c>
      <c r="K1151" s="1435">
        <f>35979.26</f>
        <v>35979.26</v>
      </c>
      <c r="L1151" s="1435">
        <f>35979.26</f>
        <v>35979.26</v>
      </c>
      <c r="M1151" s="246" t="s">
        <v>838</v>
      </c>
      <c r="N1151" s="261" t="s">
        <v>2582</v>
      </c>
      <c r="O1151" s="261" t="s">
        <v>2583</v>
      </c>
      <c r="P1151" s="263" t="s">
        <v>41</v>
      </c>
      <c r="Q1151" s="262">
        <v>45110</v>
      </c>
      <c r="R1151" s="263" t="s">
        <v>41</v>
      </c>
      <c r="S1151" s="262">
        <v>45110</v>
      </c>
      <c r="T1151" s="263"/>
      <c r="U1151" s="262"/>
      <c r="V1151" s="263" t="s">
        <v>41</v>
      </c>
      <c r="W1151" s="262">
        <f t="shared" si="38"/>
        <v>45233</v>
      </c>
      <c r="X1151" s="263" t="s">
        <v>41</v>
      </c>
      <c r="Y1151" s="262">
        <v>45291</v>
      </c>
      <c r="Z1151" s="263" t="s">
        <v>40</v>
      </c>
      <c r="AA1151" s="262"/>
      <c r="AB1151" s="263" t="s">
        <v>40</v>
      </c>
      <c r="AC1151" s="262"/>
      <c r="AD1151" s="262"/>
      <c r="AE1151" s="262">
        <v>45565</v>
      </c>
      <c r="AF1151" s="263" t="s">
        <v>65</v>
      </c>
      <c r="AG1151" s="270">
        <v>2026</v>
      </c>
      <c r="AH1151" s="261">
        <f t="shared" si="37"/>
        <v>176999.96957000002</v>
      </c>
      <c r="AI1151" s="261"/>
      <c r="AJ1151" s="261"/>
      <c r="AK1151" s="259" t="s">
        <v>43</v>
      </c>
      <c r="AL1151" s="259" t="s">
        <v>41</v>
      </c>
      <c r="AM1151" s="266">
        <v>0</v>
      </c>
      <c r="AN1151" s="67"/>
      <c r="AO1151" s="256"/>
      <c r="AP1151" s="257"/>
    </row>
    <row r="1152" spans="1:42" s="258" customFormat="1" ht="37.950000000000003" customHeight="1" x14ac:dyDescent="0.3">
      <c r="A1152" s="259" t="s">
        <v>1641</v>
      </c>
      <c r="B1152" s="243" t="s">
        <v>1642</v>
      </c>
      <c r="C1152" s="244" t="s">
        <v>2584</v>
      </c>
      <c r="D1152" s="243" t="s">
        <v>34</v>
      </c>
      <c r="E1152" s="243" t="s">
        <v>1644</v>
      </c>
      <c r="F1152" s="259" t="s">
        <v>35</v>
      </c>
      <c r="G1152" s="259">
        <v>1</v>
      </c>
      <c r="H1152" s="245">
        <v>778720.2</v>
      </c>
      <c r="I1152" s="243" t="s">
        <v>36</v>
      </c>
      <c r="J1152" s="245">
        <f t="shared" si="36"/>
        <v>778720.2</v>
      </c>
      <c r="K1152" s="1435">
        <f>17443.24-16099.197+16099.19+8919.6</f>
        <v>26362.832999999999</v>
      </c>
      <c r="L1152" s="1435">
        <f>17443.24-16099.197+16099.19+8919.6</f>
        <v>26362.832999999999</v>
      </c>
      <c r="M1152" s="246" t="s">
        <v>79</v>
      </c>
      <c r="N1152" s="261" t="s">
        <v>2585</v>
      </c>
      <c r="O1152" s="261" t="s">
        <v>2586</v>
      </c>
      <c r="P1152" s="263" t="s">
        <v>41</v>
      </c>
      <c r="Q1152" s="262">
        <v>45110</v>
      </c>
      <c r="R1152" s="263" t="s">
        <v>41</v>
      </c>
      <c r="S1152" s="262">
        <v>45110</v>
      </c>
      <c r="T1152" s="263"/>
      <c r="U1152" s="262"/>
      <c r="V1152" s="263" t="s">
        <v>41</v>
      </c>
      <c r="W1152" s="262">
        <f t="shared" si="38"/>
        <v>45233</v>
      </c>
      <c r="X1152" s="263" t="s">
        <v>41</v>
      </c>
      <c r="Y1152" s="262">
        <v>45291</v>
      </c>
      <c r="Z1152" s="263" t="s">
        <v>40</v>
      </c>
      <c r="AA1152" s="262"/>
      <c r="AB1152" s="263" t="s">
        <v>40</v>
      </c>
      <c r="AC1152" s="262"/>
      <c r="AD1152" s="262"/>
      <c r="AE1152" s="262">
        <v>45565</v>
      </c>
      <c r="AF1152" s="263" t="s">
        <v>65</v>
      </c>
      <c r="AG1152" s="270">
        <v>2026</v>
      </c>
      <c r="AH1152" s="261">
        <f t="shared" si="37"/>
        <v>129691.9569435</v>
      </c>
      <c r="AI1152" s="261"/>
      <c r="AJ1152" s="261"/>
      <c r="AK1152" s="259" t="s">
        <v>43</v>
      </c>
      <c r="AL1152" s="259" t="s">
        <v>41</v>
      </c>
      <c r="AM1152" s="266">
        <v>0</v>
      </c>
      <c r="AN1152" s="67"/>
      <c r="AO1152" s="256"/>
      <c r="AP1152" s="257"/>
    </row>
    <row r="1153" spans="1:42" s="269" customFormat="1" ht="37.950000000000003" customHeight="1" x14ac:dyDescent="0.3">
      <c r="A1153" s="259" t="s">
        <v>1641</v>
      </c>
      <c r="B1153" s="243" t="s">
        <v>1642</v>
      </c>
      <c r="C1153" s="244" t="s">
        <v>2587</v>
      </c>
      <c r="D1153" s="243" t="s">
        <v>34</v>
      </c>
      <c r="E1153" s="243" t="s">
        <v>1644</v>
      </c>
      <c r="F1153" s="259" t="s">
        <v>35</v>
      </c>
      <c r="G1153" s="259">
        <v>1</v>
      </c>
      <c r="H1153" s="245">
        <v>778720.2</v>
      </c>
      <c r="I1153" s="243" t="s">
        <v>36</v>
      </c>
      <c r="J1153" s="245">
        <f t="shared" si="36"/>
        <v>778720.2</v>
      </c>
      <c r="K1153" s="1695">
        <v>0</v>
      </c>
      <c r="L1153" s="1695">
        <v>0</v>
      </c>
      <c r="M1153" s="246" t="s">
        <v>79</v>
      </c>
      <c r="N1153" s="261" t="s">
        <v>2588</v>
      </c>
      <c r="O1153" s="261" t="s">
        <v>2589</v>
      </c>
      <c r="P1153" s="263" t="s">
        <v>41</v>
      </c>
      <c r="Q1153" s="262">
        <v>45110</v>
      </c>
      <c r="R1153" s="263" t="s">
        <v>41</v>
      </c>
      <c r="S1153" s="262">
        <v>45110</v>
      </c>
      <c r="T1153" s="263"/>
      <c r="U1153" s="262"/>
      <c r="V1153" s="263" t="s">
        <v>41</v>
      </c>
      <c r="W1153" s="262">
        <f t="shared" si="38"/>
        <v>45233</v>
      </c>
      <c r="X1153" s="263" t="s">
        <v>41</v>
      </c>
      <c r="Y1153" s="262">
        <v>45291</v>
      </c>
      <c r="Z1153" s="263" t="s">
        <v>40</v>
      </c>
      <c r="AA1153" s="262"/>
      <c r="AB1153" s="263" t="s">
        <v>40</v>
      </c>
      <c r="AC1153" s="262"/>
      <c r="AD1153" s="262"/>
      <c r="AE1153" s="262">
        <v>45565</v>
      </c>
      <c r="AF1153" s="263" t="s">
        <v>65</v>
      </c>
      <c r="AG1153" s="270">
        <v>2026</v>
      </c>
      <c r="AH1153" s="261">
        <f t="shared" si="37"/>
        <v>0</v>
      </c>
      <c r="AI1153" s="261"/>
      <c r="AJ1153" s="261"/>
      <c r="AK1153" s="259" t="s">
        <v>43</v>
      </c>
      <c r="AL1153" s="259" t="s">
        <v>41</v>
      </c>
      <c r="AM1153" s="266">
        <v>0</v>
      </c>
      <c r="AN1153" s="67"/>
      <c r="AO1153" s="267"/>
      <c r="AP1153" s="268"/>
    </row>
    <row r="1154" spans="1:42" s="258" customFormat="1" ht="37.950000000000003" customHeight="1" x14ac:dyDescent="0.3">
      <c r="A1154" s="259" t="s">
        <v>1641</v>
      </c>
      <c r="B1154" s="243" t="s">
        <v>1642</v>
      </c>
      <c r="C1154" s="244" t="s">
        <v>2590</v>
      </c>
      <c r="D1154" s="243" t="s">
        <v>34</v>
      </c>
      <c r="E1154" s="243" t="s">
        <v>1644</v>
      </c>
      <c r="F1154" s="259" t="s">
        <v>35</v>
      </c>
      <c r="G1154" s="259">
        <v>1</v>
      </c>
      <c r="H1154" s="245">
        <v>778720</v>
      </c>
      <c r="I1154" s="243" t="s">
        <v>36</v>
      </c>
      <c r="J1154" s="245">
        <f t="shared" si="36"/>
        <v>778720</v>
      </c>
      <c r="K1154" s="1695">
        <v>0</v>
      </c>
      <c r="L1154" s="1695">
        <v>0</v>
      </c>
      <c r="M1154" s="246" t="s">
        <v>303</v>
      </c>
      <c r="N1154" s="261" t="s">
        <v>2591</v>
      </c>
      <c r="O1154" s="261" t="s">
        <v>2592</v>
      </c>
      <c r="P1154" s="263" t="s">
        <v>41</v>
      </c>
      <c r="Q1154" s="262">
        <v>45110</v>
      </c>
      <c r="R1154" s="263" t="s">
        <v>41</v>
      </c>
      <c r="S1154" s="262">
        <v>45110</v>
      </c>
      <c r="T1154" s="263"/>
      <c r="U1154" s="262"/>
      <c r="V1154" s="263" t="s">
        <v>41</v>
      </c>
      <c r="W1154" s="262">
        <f t="shared" si="38"/>
        <v>45233</v>
      </c>
      <c r="X1154" s="263" t="s">
        <v>41</v>
      </c>
      <c r="Y1154" s="262">
        <v>45291</v>
      </c>
      <c r="Z1154" s="263" t="s">
        <v>40</v>
      </c>
      <c r="AA1154" s="262"/>
      <c r="AB1154" s="263" t="s">
        <v>40</v>
      </c>
      <c r="AC1154" s="262"/>
      <c r="AD1154" s="262"/>
      <c r="AE1154" s="262">
        <v>45565</v>
      </c>
      <c r="AF1154" s="263" t="s">
        <v>65</v>
      </c>
      <c r="AG1154" s="270">
        <v>2026</v>
      </c>
      <c r="AH1154" s="261">
        <f t="shared" si="37"/>
        <v>0</v>
      </c>
      <c r="AI1154" s="261"/>
      <c r="AJ1154" s="261"/>
      <c r="AK1154" s="259" t="s">
        <v>43</v>
      </c>
      <c r="AL1154" s="259" t="s">
        <v>41</v>
      </c>
      <c r="AM1154" s="266">
        <v>0</v>
      </c>
      <c r="AN1154" s="67"/>
      <c r="AO1154" s="256"/>
      <c r="AP1154" s="257"/>
    </row>
    <row r="1155" spans="1:42" s="258" customFormat="1" ht="37.950000000000003" customHeight="1" x14ac:dyDescent="0.3">
      <c r="A1155" s="259" t="s">
        <v>1641</v>
      </c>
      <c r="B1155" s="243" t="s">
        <v>1642</v>
      </c>
      <c r="C1155" s="244" t="s">
        <v>2593</v>
      </c>
      <c r="D1155" s="243" t="s">
        <v>34</v>
      </c>
      <c r="E1155" s="243" t="s">
        <v>1644</v>
      </c>
      <c r="F1155" s="259" t="s">
        <v>35</v>
      </c>
      <c r="G1155" s="259">
        <v>1</v>
      </c>
      <c r="H1155" s="245">
        <v>778720.2</v>
      </c>
      <c r="I1155" s="243" t="s">
        <v>36</v>
      </c>
      <c r="J1155" s="245">
        <f t="shared" ref="J1155:J1218" si="39">H1155</f>
        <v>778720.2</v>
      </c>
      <c r="K1155" s="1695">
        <f>1219.64</f>
        <v>1219.6400000000001</v>
      </c>
      <c r="L1155" s="1695">
        <f>K1155</f>
        <v>1219.6400000000001</v>
      </c>
      <c r="M1155" s="246" t="s">
        <v>636</v>
      </c>
      <c r="N1155" s="261" t="s">
        <v>2594</v>
      </c>
      <c r="O1155" s="261" t="s">
        <v>2595</v>
      </c>
      <c r="P1155" s="263" t="s">
        <v>41</v>
      </c>
      <c r="Q1155" s="262">
        <v>45110</v>
      </c>
      <c r="R1155" s="263" t="s">
        <v>41</v>
      </c>
      <c r="S1155" s="262">
        <v>45110</v>
      </c>
      <c r="T1155" s="263"/>
      <c r="U1155" s="262"/>
      <c r="V1155" s="263" t="s">
        <v>41</v>
      </c>
      <c r="W1155" s="262">
        <f t="shared" si="38"/>
        <v>45233</v>
      </c>
      <c r="X1155" s="263" t="s">
        <v>41</v>
      </c>
      <c r="Y1155" s="262">
        <v>45291</v>
      </c>
      <c r="Z1155" s="263" t="s">
        <v>40</v>
      </c>
      <c r="AA1155" s="262"/>
      <c r="AB1155" s="263" t="s">
        <v>40</v>
      </c>
      <c r="AC1155" s="262"/>
      <c r="AD1155" s="262"/>
      <c r="AE1155" s="262">
        <v>45565</v>
      </c>
      <c r="AF1155" s="263" t="s">
        <v>65</v>
      </c>
      <c r="AG1155" s="270">
        <v>2026</v>
      </c>
      <c r="AH1155" s="261">
        <f t="shared" ref="AH1155:AH1218" si="40">K1155*4.9195</f>
        <v>6000.0189800000007</v>
      </c>
      <c r="AI1155" s="261"/>
      <c r="AJ1155" s="261"/>
      <c r="AK1155" s="259" t="s">
        <v>43</v>
      </c>
      <c r="AL1155" s="259" t="s">
        <v>41</v>
      </c>
      <c r="AM1155" s="266">
        <v>0</v>
      </c>
      <c r="AN1155" s="67"/>
      <c r="AO1155" s="256"/>
      <c r="AP1155" s="257"/>
    </row>
    <row r="1156" spans="1:42" s="258" customFormat="1" ht="37.950000000000003" customHeight="1" x14ac:dyDescent="0.3">
      <c r="A1156" s="259" t="s">
        <v>1641</v>
      </c>
      <c r="B1156" s="243" t="s">
        <v>1642</v>
      </c>
      <c r="C1156" s="244" t="s">
        <v>2596</v>
      </c>
      <c r="D1156" s="243" t="s">
        <v>34</v>
      </c>
      <c r="E1156" s="243" t="s">
        <v>1644</v>
      </c>
      <c r="F1156" s="259" t="s">
        <v>35</v>
      </c>
      <c r="G1156" s="259">
        <v>1</v>
      </c>
      <c r="H1156" s="245">
        <v>778720.2</v>
      </c>
      <c r="I1156" s="243" t="s">
        <v>36</v>
      </c>
      <c r="J1156" s="245">
        <f t="shared" si="39"/>
        <v>778720.2</v>
      </c>
      <c r="K1156" s="1435">
        <f>7173.19+12064.49+1902.89</f>
        <v>21140.57</v>
      </c>
      <c r="L1156" s="1435">
        <f>7173.19+12064.49+1902.89</f>
        <v>21140.57</v>
      </c>
      <c r="M1156" s="246" t="s">
        <v>636</v>
      </c>
      <c r="N1156" s="261" t="s">
        <v>2597</v>
      </c>
      <c r="O1156" s="261" t="s">
        <v>2598</v>
      </c>
      <c r="P1156" s="263" t="s">
        <v>41</v>
      </c>
      <c r="Q1156" s="262">
        <v>45110</v>
      </c>
      <c r="R1156" s="263" t="s">
        <v>41</v>
      </c>
      <c r="S1156" s="262">
        <v>45110</v>
      </c>
      <c r="T1156" s="263"/>
      <c r="U1156" s="262"/>
      <c r="V1156" s="263" t="s">
        <v>41</v>
      </c>
      <c r="W1156" s="262">
        <f t="shared" si="38"/>
        <v>45233</v>
      </c>
      <c r="X1156" s="263" t="s">
        <v>41</v>
      </c>
      <c r="Y1156" s="262">
        <v>45291</v>
      </c>
      <c r="Z1156" s="263" t="s">
        <v>40</v>
      </c>
      <c r="AA1156" s="262"/>
      <c r="AB1156" s="263" t="s">
        <v>40</v>
      </c>
      <c r="AC1156" s="262"/>
      <c r="AD1156" s="262"/>
      <c r="AE1156" s="262">
        <v>45565</v>
      </c>
      <c r="AF1156" s="263" t="s">
        <v>65</v>
      </c>
      <c r="AG1156" s="270">
        <v>2026</v>
      </c>
      <c r="AH1156" s="261">
        <f t="shared" si="40"/>
        <v>104001.034115</v>
      </c>
      <c r="AI1156" s="261"/>
      <c r="AJ1156" s="261"/>
      <c r="AK1156" s="259" t="s">
        <v>43</v>
      </c>
      <c r="AL1156" s="259" t="s">
        <v>41</v>
      </c>
      <c r="AM1156" s="266">
        <v>0</v>
      </c>
      <c r="AN1156" s="67"/>
      <c r="AO1156" s="256"/>
      <c r="AP1156" s="257"/>
    </row>
    <row r="1157" spans="1:42" s="258" customFormat="1" ht="37.950000000000003" customHeight="1" x14ac:dyDescent="0.3">
      <c r="A1157" s="259" t="s">
        <v>1641</v>
      </c>
      <c r="B1157" s="243" t="s">
        <v>1642</v>
      </c>
      <c r="C1157" s="244" t="s">
        <v>2599</v>
      </c>
      <c r="D1157" s="243" t="s">
        <v>34</v>
      </c>
      <c r="E1157" s="243" t="s">
        <v>1644</v>
      </c>
      <c r="F1157" s="259" t="s">
        <v>35</v>
      </c>
      <c r="G1157" s="259">
        <v>3</v>
      </c>
      <c r="H1157" s="245">
        <v>2336160.59</v>
      </c>
      <c r="I1157" s="243" t="s">
        <v>36</v>
      </c>
      <c r="J1157" s="245">
        <f t="shared" si="39"/>
        <v>2336160.59</v>
      </c>
      <c r="K1157" s="1695">
        <f>J1157</f>
        <v>2336160.59</v>
      </c>
      <c r="L1157" s="1695">
        <v>0</v>
      </c>
      <c r="M1157" s="246" t="s">
        <v>82</v>
      </c>
      <c r="N1157" s="261" t="s">
        <v>2600</v>
      </c>
      <c r="O1157" s="261" t="s">
        <v>2601</v>
      </c>
      <c r="P1157" s="263" t="s">
        <v>41</v>
      </c>
      <c r="Q1157" s="262">
        <v>45110</v>
      </c>
      <c r="R1157" s="263" t="s">
        <v>41</v>
      </c>
      <c r="S1157" s="262">
        <v>45110</v>
      </c>
      <c r="T1157" s="263"/>
      <c r="U1157" s="262"/>
      <c r="V1157" s="263" t="s">
        <v>41</v>
      </c>
      <c r="W1157" s="262">
        <f t="shared" si="38"/>
        <v>45233</v>
      </c>
      <c r="X1157" s="263" t="s">
        <v>41</v>
      </c>
      <c r="Y1157" s="262">
        <v>45291</v>
      </c>
      <c r="Z1157" s="263" t="s">
        <v>40</v>
      </c>
      <c r="AA1157" s="262"/>
      <c r="AB1157" s="263" t="s">
        <v>40</v>
      </c>
      <c r="AC1157" s="262"/>
      <c r="AD1157" s="262"/>
      <c r="AE1157" s="262">
        <v>45565</v>
      </c>
      <c r="AF1157" s="263" t="s">
        <v>65</v>
      </c>
      <c r="AG1157" s="270">
        <v>2026</v>
      </c>
      <c r="AH1157" s="261">
        <f t="shared" si="40"/>
        <v>11492742.022505</v>
      </c>
      <c r="AI1157" s="261"/>
      <c r="AJ1157" s="261"/>
      <c r="AK1157" s="259" t="s">
        <v>43</v>
      </c>
      <c r="AL1157" s="259" t="s">
        <v>41</v>
      </c>
      <c r="AM1157" s="266">
        <v>0</v>
      </c>
      <c r="AN1157" s="67"/>
      <c r="AO1157" s="256"/>
      <c r="AP1157" s="257"/>
    </row>
    <row r="1158" spans="1:42" s="258" customFormat="1" ht="37.950000000000003" customHeight="1" x14ac:dyDescent="0.3">
      <c r="A1158" s="259" t="s">
        <v>1641</v>
      </c>
      <c r="B1158" s="243" t="s">
        <v>1642</v>
      </c>
      <c r="C1158" s="244" t="s">
        <v>2602</v>
      </c>
      <c r="D1158" s="243" t="s">
        <v>34</v>
      </c>
      <c r="E1158" s="243" t="s">
        <v>1644</v>
      </c>
      <c r="F1158" s="259" t="s">
        <v>35</v>
      </c>
      <c r="G1158" s="259">
        <v>1</v>
      </c>
      <c r="H1158" s="245">
        <v>778720</v>
      </c>
      <c r="I1158" s="243" t="s">
        <v>36</v>
      </c>
      <c r="J1158" s="245">
        <f t="shared" si="39"/>
        <v>778720</v>
      </c>
      <c r="K1158" s="1695">
        <f>2032.72+12094.73+10163.63+19310.9</f>
        <v>43601.979999999996</v>
      </c>
      <c r="L1158" s="1695">
        <f>2032.72+12094.73+10163.63+19310.9</f>
        <v>43601.979999999996</v>
      </c>
      <c r="M1158" s="246" t="s">
        <v>200</v>
      </c>
      <c r="N1158" s="261" t="s">
        <v>2603</v>
      </c>
      <c r="O1158" s="261" t="s">
        <v>2604</v>
      </c>
      <c r="P1158" s="263" t="s">
        <v>41</v>
      </c>
      <c r="Q1158" s="262">
        <v>45110</v>
      </c>
      <c r="R1158" s="263" t="s">
        <v>41</v>
      </c>
      <c r="S1158" s="262">
        <v>45110</v>
      </c>
      <c r="T1158" s="263"/>
      <c r="U1158" s="262"/>
      <c r="V1158" s="263" t="s">
        <v>41</v>
      </c>
      <c r="W1158" s="262">
        <f t="shared" si="38"/>
        <v>45233</v>
      </c>
      <c r="X1158" s="263" t="s">
        <v>41</v>
      </c>
      <c r="Y1158" s="262">
        <v>45291</v>
      </c>
      <c r="Z1158" s="263" t="s">
        <v>40</v>
      </c>
      <c r="AA1158" s="262"/>
      <c r="AB1158" s="263" t="s">
        <v>40</v>
      </c>
      <c r="AC1158" s="262"/>
      <c r="AD1158" s="262"/>
      <c r="AE1158" s="262">
        <v>45565</v>
      </c>
      <c r="AF1158" s="263" t="s">
        <v>65</v>
      </c>
      <c r="AG1158" s="270">
        <v>2026</v>
      </c>
      <c r="AH1158" s="261">
        <f t="shared" si="40"/>
        <v>214499.94060999999</v>
      </c>
      <c r="AI1158" s="261"/>
      <c r="AJ1158" s="261"/>
      <c r="AK1158" s="259" t="s">
        <v>43</v>
      </c>
      <c r="AL1158" s="259" t="s">
        <v>41</v>
      </c>
      <c r="AM1158" s="266">
        <v>0</v>
      </c>
      <c r="AN1158" s="67"/>
      <c r="AO1158" s="256"/>
      <c r="AP1158" s="257"/>
    </row>
    <row r="1159" spans="1:42" s="258" customFormat="1" ht="37.950000000000003" customHeight="1" x14ac:dyDescent="0.3">
      <c r="A1159" s="259" t="s">
        <v>1641</v>
      </c>
      <c r="B1159" s="243" t="s">
        <v>1642</v>
      </c>
      <c r="C1159" s="244" t="s">
        <v>2605</v>
      </c>
      <c r="D1159" s="243" t="s">
        <v>34</v>
      </c>
      <c r="E1159" s="243" t="s">
        <v>1644</v>
      </c>
      <c r="F1159" s="259" t="s">
        <v>35</v>
      </c>
      <c r="G1159" s="259">
        <v>1</v>
      </c>
      <c r="H1159" s="245">
        <v>2336161</v>
      </c>
      <c r="I1159" s="243" t="s">
        <v>36</v>
      </c>
      <c r="J1159" s="245">
        <f t="shared" si="39"/>
        <v>2336161</v>
      </c>
      <c r="K1159" s="1695">
        <v>0</v>
      </c>
      <c r="L1159" s="1695">
        <v>0</v>
      </c>
      <c r="M1159" s="246" t="s">
        <v>55</v>
      </c>
      <c r="N1159" s="261" t="s">
        <v>55</v>
      </c>
      <c r="O1159" s="261" t="s">
        <v>2606</v>
      </c>
      <c r="P1159" s="263" t="s">
        <v>41</v>
      </c>
      <c r="Q1159" s="262">
        <v>45110</v>
      </c>
      <c r="R1159" s="263" t="s">
        <v>41</v>
      </c>
      <c r="S1159" s="262">
        <v>45110</v>
      </c>
      <c r="T1159" s="263"/>
      <c r="U1159" s="262"/>
      <c r="V1159" s="263" t="s">
        <v>41</v>
      </c>
      <c r="W1159" s="262">
        <f t="shared" si="38"/>
        <v>45233</v>
      </c>
      <c r="X1159" s="263" t="s">
        <v>41</v>
      </c>
      <c r="Y1159" s="262">
        <v>45291</v>
      </c>
      <c r="Z1159" s="263" t="s">
        <v>40</v>
      </c>
      <c r="AA1159" s="262"/>
      <c r="AB1159" s="263" t="s">
        <v>40</v>
      </c>
      <c r="AC1159" s="262"/>
      <c r="AD1159" s="262"/>
      <c r="AE1159" s="262">
        <v>45565</v>
      </c>
      <c r="AF1159" s="263" t="s">
        <v>65</v>
      </c>
      <c r="AG1159" s="270">
        <v>2026</v>
      </c>
      <c r="AH1159" s="261">
        <f t="shared" si="40"/>
        <v>0</v>
      </c>
      <c r="AI1159" s="261"/>
      <c r="AJ1159" s="261"/>
      <c r="AK1159" s="259" t="s">
        <v>43</v>
      </c>
      <c r="AL1159" s="259" t="s">
        <v>41</v>
      </c>
      <c r="AM1159" s="266">
        <v>0</v>
      </c>
      <c r="AN1159" s="67"/>
      <c r="AO1159" s="256"/>
      <c r="AP1159" s="257"/>
    </row>
    <row r="1160" spans="1:42" s="258" customFormat="1" ht="37.950000000000003" customHeight="1" x14ac:dyDescent="0.3">
      <c r="A1160" s="259" t="s">
        <v>1641</v>
      </c>
      <c r="B1160" s="243" t="s">
        <v>1642</v>
      </c>
      <c r="C1160" s="244" t="s">
        <v>2607</v>
      </c>
      <c r="D1160" s="243" t="s">
        <v>34</v>
      </c>
      <c r="E1160" s="243" t="s">
        <v>1644</v>
      </c>
      <c r="F1160" s="259" t="s">
        <v>35</v>
      </c>
      <c r="G1160" s="259">
        <v>1</v>
      </c>
      <c r="H1160" s="245">
        <v>778720</v>
      </c>
      <c r="I1160" s="243" t="s">
        <v>36</v>
      </c>
      <c r="J1160" s="245">
        <f t="shared" si="39"/>
        <v>778720</v>
      </c>
      <c r="K1160" s="1435">
        <f>21343.63+17741.64</f>
        <v>39085.270000000004</v>
      </c>
      <c r="L1160" s="1435">
        <f>K1160</f>
        <v>39085.270000000004</v>
      </c>
      <c r="M1160" s="246" t="s">
        <v>62</v>
      </c>
      <c r="N1160" s="261" t="s">
        <v>2608</v>
      </c>
      <c r="O1160" s="261" t="s">
        <v>2609</v>
      </c>
      <c r="P1160" s="263" t="s">
        <v>41</v>
      </c>
      <c r="Q1160" s="262">
        <v>45110</v>
      </c>
      <c r="R1160" s="263" t="s">
        <v>41</v>
      </c>
      <c r="S1160" s="262">
        <v>45110</v>
      </c>
      <c r="T1160" s="263"/>
      <c r="U1160" s="262"/>
      <c r="V1160" s="263" t="s">
        <v>41</v>
      </c>
      <c r="W1160" s="262">
        <f t="shared" si="38"/>
        <v>45233</v>
      </c>
      <c r="X1160" s="263" t="s">
        <v>41</v>
      </c>
      <c r="Y1160" s="262">
        <v>45291</v>
      </c>
      <c r="Z1160" s="263" t="s">
        <v>40</v>
      </c>
      <c r="AA1160" s="262"/>
      <c r="AB1160" s="263" t="s">
        <v>40</v>
      </c>
      <c r="AC1160" s="262"/>
      <c r="AD1160" s="262"/>
      <c r="AE1160" s="262">
        <v>45565</v>
      </c>
      <c r="AF1160" s="263" t="s">
        <v>65</v>
      </c>
      <c r="AG1160" s="270">
        <v>2026</v>
      </c>
      <c r="AH1160" s="261">
        <f t="shared" si="40"/>
        <v>192279.98576500002</v>
      </c>
      <c r="AI1160" s="261"/>
      <c r="AJ1160" s="261"/>
      <c r="AK1160" s="259" t="s">
        <v>43</v>
      </c>
      <c r="AL1160" s="259" t="s">
        <v>41</v>
      </c>
      <c r="AM1160" s="266">
        <v>0</v>
      </c>
      <c r="AN1160" s="67"/>
      <c r="AO1160" s="256"/>
      <c r="AP1160" s="257"/>
    </row>
    <row r="1161" spans="1:42" s="258" customFormat="1" ht="37.950000000000003" customHeight="1" x14ac:dyDescent="0.3">
      <c r="A1161" s="259" t="s">
        <v>1641</v>
      </c>
      <c r="B1161" s="243" t="s">
        <v>1642</v>
      </c>
      <c r="C1161" s="244" t="s">
        <v>2610</v>
      </c>
      <c r="D1161" s="243" t="s">
        <v>34</v>
      </c>
      <c r="E1161" s="243" t="s">
        <v>1644</v>
      </c>
      <c r="F1161" s="259" t="s">
        <v>35</v>
      </c>
      <c r="G1161" s="259">
        <v>1</v>
      </c>
      <c r="H1161" s="245">
        <v>778720.2</v>
      </c>
      <c r="I1161" s="243" t="s">
        <v>36</v>
      </c>
      <c r="J1161" s="245">
        <f t="shared" si="39"/>
        <v>778720.2</v>
      </c>
      <c r="K1161" s="1695">
        <f>10163.63+17278.178</f>
        <v>27441.807999999997</v>
      </c>
      <c r="L1161" s="1695">
        <f>K1161</f>
        <v>27441.807999999997</v>
      </c>
      <c r="M1161" s="246" t="s">
        <v>73</v>
      </c>
      <c r="N1161" s="261" t="s">
        <v>2611</v>
      </c>
      <c r="O1161" s="261" t="s">
        <v>2612</v>
      </c>
      <c r="P1161" s="263" t="s">
        <v>41</v>
      </c>
      <c r="Q1161" s="262">
        <v>45110</v>
      </c>
      <c r="R1161" s="263" t="s">
        <v>41</v>
      </c>
      <c r="S1161" s="262">
        <v>45110</v>
      </c>
      <c r="T1161" s="263"/>
      <c r="U1161" s="262"/>
      <c r="V1161" s="263" t="s">
        <v>41</v>
      </c>
      <c r="W1161" s="262">
        <f t="shared" si="38"/>
        <v>45233</v>
      </c>
      <c r="X1161" s="263" t="s">
        <v>41</v>
      </c>
      <c r="Y1161" s="262">
        <v>45291</v>
      </c>
      <c r="Z1161" s="263" t="s">
        <v>40</v>
      </c>
      <c r="AA1161" s="262"/>
      <c r="AB1161" s="263" t="s">
        <v>40</v>
      </c>
      <c r="AC1161" s="262"/>
      <c r="AD1161" s="262"/>
      <c r="AE1161" s="262">
        <v>45565</v>
      </c>
      <c r="AF1161" s="263" t="s">
        <v>65</v>
      </c>
      <c r="AG1161" s="270">
        <v>2026</v>
      </c>
      <c r="AH1161" s="261">
        <f t="shared" si="40"/>
        <v>134999.974456</v>
      </c>
      <c r="AI1161" s="261"/>
      <c r="AJ1161" s="261"/>
      <c r="AK1161" s="259" t="s">
        <v>43</v>
      </c>
      <c r="AL1161" s="259" t="s">
        <v>41</v>
      </c>
      <c r="AM1161" s="266">
        <v>0</v>
      </c>
      <c r="AN1161" s="67"/>
      <c r="AO1161" s="256"/>
      <c r="AP1161" s="257"/>
    </row>
    <row r="1162" spans="1:42" s="258" customFormat="1" ht="37.950000000000003" customHeight="1" x14ac:dyDescent="0.3">
      <c r="A1162" s="259" t="s">
        <v>1641</v>
      </c>
      <c r="B1162" s="243" t="s">
        <v>1642</v>
      </c>
      <c r="C1162" s="244" t="s">
        <v>2613</v>
      </c>
      <c r="D1162" s="243" t="s">
        <v>34</v>
      </c>
      <c r="E1162" s="243" t="s">
        <v>1644</v>
      </c>
      <c r="F1162" s="259" t="s">
        <v>35</v>
      </c>
      <c r="G1162" s="259">
        <v>1</v>
      </c>
      <c r="H1162" s="245">
        <v>778720</v>
      </c>
      <c r="I1162" s="243" t="s">
        <v>36</v>
      </c>
      <c r="J1162" s="245">
        <f t="shared" si="39"/>
        <v>778720</v>
      </c>
      <c r="K1162" s="1435">
        <f>7114.54+1290.41+9879.05</f>
        <v>18284</v>
      </c>
      <c r="L1162" s="1435">
        <f>K1162</f>
        <v>18284</v>
      </c>
      <c r="M1162" s="246" t="s">
        <v>63</v>
      </c>
      <c r="N1162" s="261" t="s">
        <v>2614</v>
      </c>
      <c r="O1162" s="261" t="s">
        <v>2615</v>
      </c>
      <c r="P1162" s="263" t="s">
        <v>41</v>
      </c>
      <c r="Q1162" s="262">
        <v>45110</v>
      </c>
      <c r="R1162" s="263" t="s">
        <v>41</v>
      </c>
      <c r="S1162" s="262">
        <v>45110</v>
      </c>
      <c r="T1162" s="263"/>
      <c r="U1162" s="262"/>
      <c r="V1162" s="263" t="s">
        <v>41</v>
      </c>
      <c r="W1162" s="262">
        <f t="shared" si="38"/>
        <v>45233</v>
      </c>
      <c r="X1162" s="263" t="s">
        <v>41</v>
      </c>
      <c r="Y1162" s="262">
        <v>45291</v>
      </c>
      <c r="Z1162" s="263" t="s">
        <v>40</v>
      </c>
      <c r="AA1162" s="262"/>
      <c r="AB1162" s="263" t="s">
        <v>40</v>
      </c>
      <c r="AC1162" s="262"/>
      <c r="AD1162" s="262"/>
      <c r="AE1162" s="262">
        <v>45565</v>
      </c>
      <c r="AF1162" s="263" t="s">
        <v>65</v>
      </c>
      <c r="AG1162" s="270">
        <v>2026</v>
      </c>
      <c r="AH1162" s="261">
        <f t="shared" si="40"/>
        <v>89948.138000000006</v>
      </c>
      <c r="AI1162" s="261"/>
      <c r="AJ1162" s="261"/>
      <c r="AK1162" s="259" t="s">
        <v>43</v>
      </c>
      <c r="AL1162" s="259" t="s">
        <v>41</v>
      </c>
      <c r="AM1162" s="266">
        <v>0</v>
      </c>
      <c r="AN1162" s="67"/>
      <c r="AO1162" s="256"/>
      <c r="AP1162" s="257"/>
    </row>
    <row r="1163" spans="1:42" s="258" customFormat="1" ht="37.950000000000003" customHeight="1" x14ac:dyDescent="0.3">
      <c r="A1163" s="259" t="s">
        <v>1641</v>
      </c>
      <c r="B1163" s="243" t="s">
        <v>1642</v>
      </c>
      <c r="C1163" s="244" t="s">
        <v>2616</v>
      </c>
      <c r="D1163" s="243" t="s">
        <v>34</v>
      </c>
      <c r="E1163" s="243" t="s">
        <v>1644</v>
      </c>
      <c r="F1163" s="259" t="s">
        <v>35</v>
      </c>
      <c r="G1163" s="259">
        <v>1</v>
      </c>
      <c r="H1163" s="245">
        <v>778720.2</v>
      </c>
      <c r="I1163" s="243" t="s">
        <v>36</v>
      </c>
      <c r="J1163" s="245">
        <f t="shared" si="39"/>
        <v>778720.2</v>
      </c>
      <c r="K1163" s="1695">
        <f>5081.81+8130.91</f>
        <v>13212.720000000001</v>
      </c>
      <c r="L1163" s="1695">
        <f>5081.81+8130.91</f>
        <v>13212.720000000001</v>
      </c>
      <c r="M1163" s="246" t="s">
        <v>636</v>
      </c>
      <c r="N1163" s="261" t="s">
        <v>2617</v>
      </c>
      <c r="O1163" s="261" t="s">
        <v>2618</v>
      </c>
      <c r="P1163" s="263" t="s">
        <v>41</v>
      </c>
      <c r="Q1163" s="262">
        <v>45110</v>
      </c>
      <c r="R1163" s="263" t="s">
        <v>41</v>
      </c>
      <c r="S1163" s="262">
        <v>45110</v>
      </c>
      <c r="T1163" s="263"/>
      <c r="U1163" s="262"/>
      <c r="V1163" s="263" t="s">
        <v>41</v>
      </c>
      <c r="W1163" s="262">
        <f t="shared" si="38"/>
        <v>45233</v>
      </c>
      <c r="X1163" s="263" t="s">
        <v>41</v>
      </c>
      <c r="Y1163" s="262">
        <v>45291</v>
      </c>
      <c r="Z1163" s="263" t="s">
        <v>40</v>
      </c>
      <c r="AA1163" s="262"/>
      <c r="AB1163" s="263" t="s">
        <v>40</v>
      </c>
      <c r="AC1163" s="262"/>
      <c r="AD1163" s="262"/>
      <c r="AE1163" s="262">
        <v>45565</v>
      </c>
      <c r="AF1163" s="263" t="s">
        <v>65</v>
      </c>
      <c r="AG1163" s="270">
        <v>2026</v>
      </c>
      <c r="AH1163" s="261">
        <f t="shared" si="40"/>
        <v>64999.976040000009</v>
      </c>
      <c r="AI1163" s="261"/>
      <c r="AJ1163" s="261"/>
      <c r="AK1163" s="259" t="s">
        <v>43</v>
      </c>
      <c r="AL1163" s="259" t="s">
        <v>41</v>
      </c>
      <c r="AM1163" s="266">
        <v>0</v>
      </c>
      <c r="AN1163" s="67"/>
      <c r="AO1163" s="256"/>
      <c r="AP1163" s="257"/>
    </row>
    <row r="1164" spans="1:42" s="258" customFormat="1" ht="37.950000000000003" customHeight="1" x14ac:dyDescent="0.3">
      <c r="A1164" s="259" t="s">
        <v>1641</v>
      </c>
      <c r="B1164" s="243" t="s">
        <v>1642</v>
      </c>
      <c r="C1164" s="244" t="s">
        <v>2619</v>
      </c>
      <c r="D1164" s="243" t="s">
        <v>34</v>
      </c>
      <c r="E1164" s="243" t="s">
        <v>1644</v>
      </c>
      <c r="F1164" s="259" t="s">
        <v>35</v>
      </c>
      <c r="G1164" s="259">
        <v>1</v>
      </c>
      <c r="H1164" s="245">
        <v>778720.2</v>
      </c>
      <c r="I1164" s="243" t="s">
        <v>36</v>
      </c>
      <c r="J1164" s="245">
        <f t="shared" si="39"/>
        <v>778720.2</v>
      </c>
      <c r="K1164" s="1695">
        <f>609.81+3455.64</f>
        <v>4065.45</v>
      </c>
      <c r="L1164" s="1695">
        <f>K1164</f>
        <v>4065.45</v>
      </c>
      <c r="M1164" s="246" t="s">
        <v>59</v>
      </c>
      <c r="N1164" s="261" t="s">
        <v>2620</v>
      </c>
      <c r="O1164" s="261" t="s">
        <v>2621</v>
      </c>
      <c r="P1164" s="263" t="s">
        <v>41</v>
      </c>
      <c r="Q1164" s="262">
        <v>45110</v>
      </c>
      <c r="R1164" s="263" t="s">
        <v>41</v>
      </c>
      <c r="S1164" s="262">
        <v>45110</v>
      </c>
      <c r="T1164" s="263"/>
      <c r="U1164" s="262"/>
      <c r="V1164" s="263" t="s">
        <v>41</v>
      </c>
      <c r="W1164" s="262">
        <f t="shared" si="38"/>
        <v>45233</v>
      </c>
      <c r="X1164" s="263" t="s">
        <v>41</v>
      </c>
      <c r="Y1164" s="262">
        <v>45291</v>
      </c>
      <c r="Z1164" s="263" t="s">
        <v>40</v>
      </c>
      <c r="AA1164" s="262"/>
      <c r="AB1164" s="263" t="s">
        <v>40</v>
      </c>
      <c r="AC1164" s="262"/>
      <c r="AD1164" s="262"/>
      <c r="AE1164" s="262">
        <v>45565</v>
      </c>
      <c r="AF1164" s="263" t="s">
        <v>65</v>
      </c>
      <c r="AG1164" s="270">
        <v>2026</v>
      </c>
      <c r="AH1164" s="261">
        <f t="shared" si="40"/>
        <v>19999.981274999998</v>
      </c>
      <c r="AI1164" s="261"/>
      <c r="AJ1164" s="261"/>
      <c r="AK1164" s="259" t="s">
        <v>43</v>
      </c>
      <c r="AL1164" s="259" t="s">
        <v>41</v>
      </c>
      <c r="AM1164" s="266">
        <v>0</v>
      </c>
      <c r="AN1164" s="67"/>
      <c r="AO1164" s="256"/>
      <c r="AP1164" s="257"/>
    </row>
    <row r="1165" spans="1:42" s="258" customFormat="1" ht="37.950000000000003" customHeight="1" x14ac:dyDescent="0.3">
      <c r="A1165" s="259" t="s">
        <v>1641</v>
      </c>
      <c r="B1165" s="243" t="s">
        <v>1642</v>
      </c>
      <c r="C1165" s="244" t="s">
        <v>2622</v>
      </c>
      <c r="D1165" s="243" t="s">
        <v>34</v>
      </c>
      <c r="E1165" s="243" t="s">
        <v>1644</v>
      </c>
      <c r="F1165" s="259" t="s">
        <v>35</v>
      </c>
      <c r="G1165" s="259">
        <v>1</v>
      </c>
      <c r="H1165" s="245">
        <v>778720.2</v>
      </c>
      <c r="I1165" s="243" t="s">
        <v>36</v>
      </c>
      <c r="J1165" s="245">
        <f t="shared" si="39"/>
        <v>778720.2</v>
      </c>
      <c r="K1165" s="1695">
        <f>15245.45+47482.06</f>
        <v>62727.509999999995</v>
      </c>
      <c r="L1165" s="1695">
        <f>15245.45+47482.06</f>
        <v>62727.509999999995</v>
      </c>
      <c r="M1165" s="246" t="s">
        <v>133</v>
      </c>
      <c r="N1165" s="261" t="s">
        <v>2623</v>
      </c>
      <c r="O1165" s="261" t="s">
        <v>2624</v>
      </c>
      <c r="P1165" s="263" t="s">
        <v>41</v>
      </c>
      <c r="Q1165" s="262">
        <v>45110</v>
      </c>
      <c r="R1165" s="263" t="s">
        <v>41</v>
      </c>
      <c r="S1165" s="262">
        <v>45110</v>
      </c>
      <c r="T1165" s="263"/>
      <c r="U1165" s="262"/>
      <c r="V1165" s="263" t="s">
        <v>41</v>
      </c>
      <c r="W1165" s="262">
        <f t="shared" si="38"/>
        <v>45233</v>
      </c>
      <c r="X1165" s="263" t="s">
        <v>41</v>
      </c>
      <c r="Y1165" s="262">
        <v>45291</v>
      </c>
      <c r="Z1165" s="263" t="s">
        <v>40</v>
      </c>
      <c r="AA1165" s="262"/>
      <c r="AB1165" s="263" t="s">
        <v>40</v>
      </c>
      <c r="AC1165" s="262"/>
      <c r="AD1165" s="262"/>
      <c r="AE1165" s="262">
        <v>45565</v>
      </c>
      <c r="AF1165" s="263" t="s">
        <v>65</v>
      </c>
      <c r="AG1165" s="270">
        <v>2026</v>
      </c>
      <c r="AH1165" s="261">
        <f t="shared" si="40"/>
        <v>308587.985445</v>
      </c>
      <c r="AI1165" s="261"/>
      <c r="AJ1165" s="261"/>
      <c r="AK1165" s="259" t="s">
        <v>43</v>
      </c>
      <c r="AL1165" s="259" t="s">
        <v>41</v>
      </c>
      <c r="AM1165" s="266">
        <v>0</v>
      </c>
      <c r="AN1165" s="67"/>
      <c r="AO1165" s="256"/>
      <c r="AP1165" s="257"/>
    </row>
    <row r="1166" spans="1:42" s="258" customFormat="1" ht="37.950000000000003" customHeight="1" x14ac:dyDescent="0.3">
      <c r="A1166" s="259" t="s">
        <v>1641</v>
      </c>
      <c r="B1166" s="243" t="s">
        <v>1642</v>
      </c>
      <c r="C1166" s="244" t="s">
        <v>2625</v>
      </c>
      <c r="D1166" s="243" t="s">
        <v>34</v>
      </c>
      <c r="E1166" s="243" t="s">
        <v>1644</v>
      </c>
      <c r="F1166" s="259" t="s">
        <v>35</v>
      </c>
      <c r="G1166" s="259">
        <v>1</v>
      </c>
      <c r="H1166" s="245">
        <v>778000</v>
      </c>
      <c r="I1166" s="243" t="s">
        <v>36</v>
      </c>
      <c r="J1166" s="245">
        <f t="shared" si="39"/>
        <v>778000</v>
      </c>
      <c r="K1166" s="1695">
        <v>0</v>
      </c>
      <c r="L1166" s="1695">
        <v>0</v>
      </c>
      <c r="M1166" s="246" t="s">
        <v>68</v>
      </c>
      <c r="N1166" s="261" t="s">
        <v>2626</v>
      </c>
      <c r="O1166" s="261" t="s">
        <v>2627</v>
      </c>
      <c r="P1166" s="263" t="s">
        <v>41</v>
      </c>
      <c r="Q1166" s="262">
        <v>45110</v>
      </c>
      <c r="R1166" s="263" t="s">
        <v>41</v>
      </c>
      <c r="S1166" s="262">
        <v>45110</v>
      </c>
      <c r="T1166" s="263"/>
      <c r="U1166" s="262"/>
      <c r="V1166" s="263" t="s">
        <v>41</v>
      </c>
      <c r="W1166" s="262">
        <f t="shared" si="38"/>
        <v>45233</v>
      </c>
      <c r="X1166" s="263" t="s">
        <v>41</v>
      </c>
      <c r="Y1166" s="262">
        <v>45291</v>
      </c>
      <c r="Z1166" s="263" t="s">
        <v>40</v>
      </c>
      <c r="AA1166" s="262"/>
      <c r="AB1166" s="263" t="s">
        <v>40</v>
      </c>
      <c r="AC1166" s="262"/>
      <c r="AD1166" s="262"/>
      <c r="AE1166" s="262">
        <v>45565</v>
      </c>
      <c r="AF1166" s="263" t="s">
        <v>65</v>
      </c>
      <c r="AG1166" s="270">
        <v>2026</v>
      </c>
      <c r="AH1166" s="261">
        <f t="shared" si="40"/>
        <v>0</v>
      </c>
      <c r="AI1166" s="261"/>
      <c r="AJ1166" s="261"/>
      <c r="AK1166" s="259" t="s">
        <v>43</v>
      </c>
      <c r="AL1166" s="259" t="s">
        <v>41</v>
      </c>
      <c r="AM1166" s="266">
        <v>0</v>
      </c>
      <c r="AN1166" s="67"/>
      <c r="AO1166" s="256"/>
      <c r="AP1166" s="257"/>
    </row>
    <row r="1167" spans="1:42" s="258" customFormat="1" ht="37.950000000000003" customHeight="1" x14ac:dyDescent="0.3">
      <c r="A1167" s="259" t="s">
        <v>1641</v>
      </c>
      <c r="B1167" s="243" t="s">
        <v>1642</v>
      </c>
      <c r="C1167" s="244" t="s">
        <v>2628</v>
      </c>
      <c r="D1167" s="243" t="s">
        <v>34</v>
      </c>
      <c r="E1167" s="243" t="s">
        <v>1644</v>
      </c>
      <c r="F1167" s="259" t="s">
        <v>35</v>
      </c>
      <c r="G1167" s="259">
        <v>1</v>
      </c>
      <c r="H1167" s="245">
        <v>778720.2</v>
      </c>
      <c r="I1167" s="243" t="s">
        <v>36</v>
      </c>
      <c r="J1167" s="245">
        <f t="shared" si="39"/>
        <v>778720.2</v>
      </c>
      <c r="K1167" s="1695">
        <f>41061.08</f>
        <v>41061.08</v>
      </c>
      <c r="L1167" s="1695">
        <f>41061.08</f>
        <v>41061.08</v>
      </c>
      <c r="M1167" s="246" t="s">
        <v>151</v>
      </c>
      <c r="N1167" s="261" t="s">
        <v>2629</v>
      </c>
      <c r="O1167" s="261" t="s">
        <v>2630</v>
      </c>
      <c r="P1167" s="263" t="s">
        <v>41</v>
      </c>
      <c r="Q1167" s="262">
        <v>45110</v>
      </c>
      <c r="R1167" s="263" t="s">
        <v>41</v>
      </c>
      <c r="S1167" s="262">
        <v>45110</v>
      </c>
      <c r="T1167" s="263"/>
      <c r="U1167" s="262"/>
      <c r="V1167" s="263" t="s">
        <v>41</v>
      </c>
      <c r="W1167" s="262">
        <f t="shared" si="38"/>
        <v>45233</v>
      </c>
      <c r="X1167" s="263" t="s">
        <v>41</v>
      </c>
      <c r="Y1167" s="262">
        <v>45291</v>
      </c>
      <c r="Z1167" s="263" t="s">
        <v>40</v>
      </c>
      <c r="AA1167" s="262"/>
      <c r="AB1167" s="263" t="s">
        <v>40</v>
      </c>
      <c r="AC1167" s="262"/>
      <c r="AD1167" s="262"/>
      <c r="AE1167" s="262">
        <v>45565</v>
      </c>
      <c r="AF1167" s="263" t="s">
        <v>65</v>
      </c>
      <c r="AG1167" s="270">
        <v>2026</v>
      </c>
      <c r="AH1167" s="261">
        <f t="shared" si="40"/>
        <v>201999.98306000003</v>
      </c>
      <c r="AI1167" s="261"/>
      <c r="AJ1167" s="261"/>
      <c r="AK1167" s="259" t="s">
        <v>43</v>
      </c>
      <c r="AL1167" s="259" t="s">
        <v>41</v>
      </c>
      <c r="AM1167" s="266">
        <v>0</v>
      </c>
      <c r="AN1167" s="67"/>
      <c r="AO1167" s="256"/>
      <c r="AP1167" s="257"/>
    </row>
    <row r="1168" spans="1:42" s="258" customFormat="1" ht="37.950000000000003" customHeight="1" x14ac:dyDescent="0.3">
      <c r="A1168" s="259" t="s">
        <v>1641</v>
      </c>
      <c r="B1168" s="243" t="s">
        <v>1642</v>
      </c>
      <c r="C1168" s="244" t="s">
        <v>2631</v>
      </c>
      <c r="D1168" s="243" t="s">
        <v>34</v>
      </c>
      <c r="E1168" s="243" t="s">
        <v>1644</v>
      </c>
      <c r="F1168" s="259" t="s">
        <v>35</v>
      </c>
      <c r="G1168" s="259">
        <v>1</v>
      </c>
      <c r="H1168" s="245">
        <v>778720</v>
      </c>
      <c r="I1168" s="243" t="s">
        <v>36</v>
      </c>
      <c r="J1168" s="245">
        <f t="shared" si="39"/>
        <v>778720</v>
      </c>
      <c r="K1168" s="1435">
        <f>38621.81</f>
        <v>38621.81</v>
      </c>
      <c r="L1168" s="1435">
        <f>38621.81</f>
        <v>38621.81</v>
      </c>
      <c r="M1168" s="246" t="s">
        <v>303</v>
      </c>
      <c r="N1168" s="261" t="s">
        <v>2632</v>
      </c>
      <c r="O1168" s="261" t="s">
        <v>2633</v>
      </c>
      <c r="P1168" s="263" t="s">
        <v>41</v>
      </c>
      <c r="Q1168" s="262">
        <v>45110</v>
      </c>
      <c r="R1168" s="263" t="s">
        <v>41</v>
      </c>
      <c r="S1168" s="262">
        <v>45110</v>
      </c>
      <c r="T1168" s="263"/>
      <c r="U1168" s="262"/>
      <c r="V1168" s="263" t="s">
        <v>41</v>
      </c>
      <c r="W1168" s="262">
        <f t="shared" si="38"/>
        <v>45233</v>
      </c>
      <c r="X1168" s="263" t="s">
        <v>41</v>
      </c>
      <c r="Y1168" s="262">
        <v>45291</v>
      </c>
      <c r="Z1168" s="263" t="s">
        <v>40</v>
      </c>
      <c r="AA1168" s="262"/>
      <c r="AB1168" s="263" t="s">
        <v>40</v>
      </c>
      <c r="AC1168" s="262"/>
      <c r="AD1168" s="262"/>
      <c r="AE1168" s="262">
        <v>45565</v>
      </c>
      <c r="AF1168" s="263" t="s">
        <v>65</v>
      </c>
      <c r="AG1168" s="270">
        <v>2026</v>
      </c>
      <c r="AH1168" s="261">
        <f t="shared" si="40"/>
        <v>189999.99429499998</v>
      </c>
      <c r="AI1168" s="261"/>
      <c r="AJ1168" s="261"/>
      <c r="AK1168" s="259" t="s">
        <v>43</v>
      </c>
      <c r="AL1168" s="259" t="s">
        <v>41</v>
      </c>
      <c r="AM1168" s="266">
        <v>0</v>
      </c>
      <c r="AN1168" s="67"/>
      <c r="AO1168" s="256"/>
      <c r="AP1168" s="257"/>
    </row>
    <row r="1169" spans="1:42" s="258" customFormat="1" ht="37.950000000000003" customHeight="1" x14ac:dyDescent="0.3">
      <c r="A1169" s="259" t="s">
        <v>1641</v>
      </c>
      <c r="B1169" s="243" t="s">
        <v>1642</v>
      </c>
      <c r="C1169" s="244" t="s">
        <v>2634</v>
      </c>
      <c r="D1169" s="243" t="s">
        <v>34</v>
      </c>
      <c r="E1169" s="243" t="s">
        <v>1644</v>
      </c>
      <c r="F1169" s="259" t="s">
        <v>35</v>
      </c>
      <c r="G1169" s="259">
        <v>1</v>
      </c>
      <c r="H1169" s="245">
        <v>778720</v>
      </c>
      <c r="I1169" s="243" t="s">
        <v>36</v>
      </c>
      <c r="J1169" s="245">
        <f t="shared" si="39"/>
        <v>778720</v>
      </c>
      <c r="K1169" s="1695">
        <f>2032.72+20327.27+19714.4+2051.02</f>
        <v>44125.409999999996</v>
      </c>
      <c r="L1169" s="1695">
        <f>K1169</f>
        <v>44125.409999999996</v>
      </c>
      <c r="M1169" s="246" t="s">
        <v>316</v>
      </c>
      <c r="N1169" s="261" t="s">
        <v>2635</v>
      </c>
      <c r="O1169" s="261" t="s">
        <v>2636</v>
      </c>
      <c r="P1169" s="263" t="s">
        <v>41</v>
      </c>
      <c r="Q1169" s="262">
        <v>45110</v>
      </c>
      <c r="R1169" s="263" t="s">
        <v>41</v>
      </c>
      <c r="S1169" s="262">
        <v>45110</v>
      </c>
      <c r="T1169" s="263"/>
      <c r="U1169" s="262"/>
      <c r="V1169" s="263" t="s">
        <v>41</v>
      </c>
      <c r="W1169" s="262">
        <f t="shared" si="38"/>
        <v>45233</v>
      </c>
      <c r="X1169" s="263" t="s">
        <v>41</v>
      </c>
      <c r="Y1169" s="262">
        <v>45291</v>
      </c>
      <c r="Z1169" s="263" t="s">
        <v>40</v>
      </c>
      <c r="AA1169" s="262"/>
      <c r="AB1169" s="263" t="s">
        <v>40</v>
      </c>
      <c r="AC1169" s="262"/>
      <c r="AD1169" s="262"/>
      <c r="AE1169" s="262">
        <v>45565</v>
      </c>
      <c r="AF1169" s="263" t="s">
        <v>65</v>
      </c>
      <c r="AG1169" s="270">
        <v>2026</v>
      </c>
      <c r="AH1169" s="261">
        <f t="shared" si="40"/>
        <v>217074.95449499998</v>
      </c>
      <c r="AI1169" s="261"/>
      <c r="AJ1169" s="261"/>
      <c r="AK1169" s="259" t="s">
        <v>43</v>
      </c>
      <c r="AL1169" s="259" t="s">
        <v>41</v>
      </c>
      <c r="AM1169" s="266">
        <v>0</v>
      </c>
      <c r="AN1169" s="67"/>
      <c r="AO1169" s="256"/>
      <c r="AP1169" s="257"/>
    </row>
    <row r="1170" spans="1:42" s="258" customFormat="1" ht="37.950000000000003" customHeight="1" x14ac:dyDescent="0.3">
      <c r="A1170" s="259" t="s">
        <v>1641</v>
      </c>
      <c r="B1170" s="243" t="s">
        <v>1642</v>
      </c>
      <c r="C1170" s="244" t="s">
        <v>2637</v>
      </c>
      <c r="D1170" s="243" t="s">
        <v>34</v>
      </c>
      <c r="E1170" s="243" t="s">
        <v>1644</v>
      </c>
      <c r="F1170" s="259" t="s">
        <v>35</v>
      </c>
      <c r="G1170" s="259">
        <v>1</v>
      </c>
      <c r="H1170" s="245">
        <v>778720</v>
      </c>
      <c r="I1170" s="243" t="s">
        <v>36</v>
      </c>
      <c r="J1170" s="245">
        <f t="shared" si="39"/>
        <v>778720</v>
      </c>
      <c r="K1170" s="1695">
        <f>39638.17</f>
        <v>39638.17</v>
      </c>
      <c r="L1170" s="1695">
        <f>39638.17</f>
        <v>39638.17</v>
      </c>
      <c r="M1170" s="246" t="s">
        <v>303</v>
      </c>
      <c r="N1170" s="261" t="s">
        <v>2638</v>
      </c>
      <c r="O1170" s="261" t="s">
        <v>2639</v>
      </c>
      <c r="P1170" s="263" t="s">
        <v>41</v>
      </c>
      <c r="Q1170" s="262">
        <v>45110</v>
      </c>
      <c r="R1170" s="263" t="s">
        <v>41</v>
      </c>
      <c r="S1170" s="262">
        <v>45110</v>
      </c>
      <c r="T1170" s="263"/>
      <c r="U1170" s="262"/>
      <c r="V1170" s="263" t="s">
        <v>41</v>
      </c>
      <c r="W1170" s="262">
        <f t="shared" si="38"/>
        <v>45233</v>
      </c>
      <c r="X1170" s="263" t="s">
        <v>41</v>
      </c>
      <c r="Y1170" s="262">
        <v>45291</v>
      </c>
      <c r="Z1170" s="263" t="s">
        <v>40</v>
      </c>
      <c r="AA1170" s="262"/>
      <c r="AB1170" s="263" t="s">
        <v>40</v>
      </c>
      <c r="AC1170" s="262"/>
      <c r="AD1170" s="262"/>
      <c r="AE1170" s="262">
        <v>45565</v>
      </c>
      <c r="AF1170" s="263" t="s">
        <v>65</v>
      </c>
      <c r="AG1170" s="270">
        <v>2026</v>
      </c>
      <c r="AH1170" s="261">
        <f t="shared" si="40"/>
        <v>194999.977315</v>
      </c>
      <c r="AI1170" s="261"/>
      <c r="AJ1170" s="261"/>
      <c r="AK1170" s="259" t="s">
        <v>43</v>
      </c>
      <c r="AL1170" s="259" t="s">
        <v>41</v>
      </c>
      <c r="AM1170" s="266">
        <v>0</v>
      </c>
      <c r="AN1170" s="67"/>
      <c r="AO1170" s="256"/>
      <c r="AP1170" s="257"/>
    </row>
    <row r="1171" spans="1:42" s="258" customFormat="1" ht="37.950000000000003" customHeight="1" x14ac:dyDescent="0.3">
      <c r="A1171" s="259" t="s">
        <v>1641</v>
      </c>
      <c r="B1171" s="243" t="s">
        <v>1642</v>
      </c>
      <c r="C1171" s="244" t="s">
        <v>2640</v>
      </c>
      <c r="D1171" s="243" t="s">
        <v>34</v>
      </c>
      <c r="E1171" s="243" t="s">
        <v>1644</v>
      </c>
      <c r="F1171" s="259" t="s">
        <v>35</v>
      </c>
      <c r="G1171" s="259">
        <v>1</v>
      </c>
      <c r="H1171" s="245">
        <v>778720</v>
      </c>
      <c r="I1171" s="243" t="s">
        <v>36</v>
      </c>
      <c r="J1171" s="245">
        <f t="shared" si="39"/>
        <v>778720</v>
      </c>
      <c r="K1171" s="1435">
        <f>6098.18+3049.09+29474.54</f>
        <v>38621.81</v>
      </c>
      <c r="L1171" s="1435">
        <f>6098.18+3049.09+29474.54</f>
        <v>38621.81</v>
      </c>
      <c r="M1171" s="246" t="s">
        <v>412</v>
      </c>
      <c r="N1171" s="261" t="s">
        <v>2641</v>
      </c>
      <c r="O1171" s="261" t="s">
        <v>2642</v>
      </c>
      <c r="P1171" s="263" t="s">
        <v>41</v>
      </c>
      <c r="Q1171" s="262">
        <v>45110</v>
      </c>
      <c r="R1171" s="263" t="s">
        <v>41</v>
      </c>
      <c r="S1171" s="262">
        <v>45110</v>
      </c>
      <c r="T1171" s="263"/>
      <c r="U1171" s="262"/>
      <c r="V1171" s="263" t="s">
        <v>41</v>
      </c>
      <c r="W1171" s="262">
        <f t="shared" ref="W1171:W1182" si="41">EDATE(Q1171,4)</f>
        <v>45233</v>
      </c>
      <c r="X1171" s="263" t="s">
        <v>41</v>
      </c>
      <c r="Y1171" s="262">
        <v>45291</v>
      </c>
      <c r="Z1171" s="263" t="s">
        <v>40</v>
      </c>
      <c r="AA1171" s="262"/>
      <c r="AB1171" s="263" t="s">
        <v>40</v>
      </c>
      <c r="AC1171" s="262"/>
      <c r="AD1171" s="262"/>
      <c r="AE1171" s="262">
        <v>45565</v>
      </c>
      <c r="AF1171" s="263" t="s">
        <v>65</v>
      </c>
      <c r="AG1171" s="270">
        <v>2026</v>
      </c>
      <c r="AH1171" s="261">
        <f t="shared" si="40"/>
        <v>189999.99429499998</v>
      </c>
      <c r="AI1171" s="261"/>
      <c r="AJ1171" s="261"/>
      <c r="AK1171" s="259" t="s">
        <v>43</v>
      </c>
      <c r="AL1171" s="259" t="s">
        <v>41</v>
      </c>
      <c r="AM1171" s="266">
        <v>0</v>
      </c>
      <c r="AN1171" s="67"/>
      <c r="AO1171" s="256"/>
      <c r="AP1171" s="257"/>
    </row>
    <row r="1172" spans="1:42" s="258" customFormat="1" ht="37.950000000000003" customHeight="1" x14ac:dyDescent="0.3">
      <c r="A1172" s="259" t="s">
        <v>1641</v>
      </c>
      <c r="B1172" s="243" t="s">
        <v>1642</v>
      </c>
      <c r="C1172" s="244" t="s">
        <v>2643</v>
      </c>
      <c r="D1172" s="243" t="s">
        <v>34</v>
      </c>
      <c r="E1172" s="243" t="s">
        <v>1644</v>
      </c>
      <c r="F1172" s="259" t="s">
        <v>35</v>
      </c>
      <c r="G1172" s="259">
        <v>1</v>
      </c>
      <c r="H1172" s="245">
        <v>778720</v>
      </c>
      <c r="I1172" s="243" t="s">
        <v>36</v>
      </c>
      <c r="J1172" s="245">
        <f t="shared" si="39"/>
        <v>778720</v>
      </c>
      <c r="K1172" s="1695">
        <f>21279.6+29576.176</f>
        <v>50855.775999999998</v>
      </c>
      <c r="L1172" s="1695">
        <f>21279.6+29576.176</f>
        <v>50855.775999999998</v>
      </c>
      <c r="M1172" s="246" t="s">
        <v>200</v>
      </c>
      <c r="N1172" s="261" t="s">
        <v>475</v>
      </c>
      <c r="O1172" s="261" t="s">
        <v>2644</v>
      </c>
      <c r="P1172" s="263" t="s">
        <v>41</v>
      </c>
      <c r="Q1172" s="262">
        <v>45110</v>
      </c>
      <c r="R1172" s="263" t="s">
        <v>41</v>
      </c>
      <c r="S1172" s="262">
        <v>45110</v>
      </c>
      <c r="T1172" s="263"/>
      <c r="U1172" s="262"/>
      <c r="V1172" s="263" t="s">
        <v>41</v>
      </c>
      <c r="W1172" s="262">
        <f t="shared" si="41"/>
        <v>45233</v>
      </c>
      <c r="X1172" s="263" t="s">
        <v>41</v>
      </c>
      <c r="Y1172" s="262">
        <v>45291</v>
      </c>
      <c r="Z1172" s="263" t="s">
        <v>40</v>
      </c>
      <c r="AA1172" s="262"/>
      <c r="AB1172" s="263" t="s">
        <v>40</v>
      </c>
      <c r="AC1172" s="262"/>
      <c r="AD1172" s="262"/>
      <c r="AE1172" s="262">
        <v>45565</v>
      </c>
      <c r="AF1172" s="263" t="s">
        <v>65</v>
      </c>
      <c r="AG1172" s="270">
        <v>2026</v>
      </c>
      <c r="AH1172" s="261">
        <f t="shared" si="40"/>
        <v>250184.990032</v>
      </c>
      <c r="AI1172" s="261"/>
      <c r="AJ1172" s="261"/>
      <c r="AK1172" s="259" t="s">
        <v>43</v>
      </c>
      <c r="AL1172" s="259" t="s">
        <v>41</v>
      </c>
      <c r="AM1172" s="266">
        <v>0</v>
      </c>
      <c r="AN1172" s="67"/>
      <c r="AO1172" s="256"/>
      <c r="AP1172" s="257"/>
    </row>
    <row r="1173" spans="1:42" s="258" customFormat="1" ht="37.950000000000003" customHeight="1" x14ac:dyDescent="0.3">
      <c r="A1173" s="259" t="s">
        <v>1641</v>
      </c>
      <c r="B1173" s="243" t="s">
        <v>1642</v>
      </c>
      <c r="C1173" s="244" t="s">
        <v>2645</v>
      </c>
      <c r="D1173" s="243" t="s">
        <v>34</v>
      </c>
      <c r="E1173" s="243" t="s">
        <v>1644</v>
      </c>
      <c r="F1173" s="259" t="s">
        <v>35</v>
      </c>
      <c r="G1173" s="259">
        <v>1</v>
      </c>
      <c r="H1173" s="245">
        <v>778720</v>
      </c>
      <c r="I1173" s="243" t="s">
        <v>36</v>
      </c>
      <c r="J1173" s="245">
        <f t="shared" si="39"/>
        <v>778720</v>
      </c>
      <c r="K1173" s="1695">
        <v>7509.91</v>
      </c>
      <c r="L1173" s="1695">
        <f>K1173</f>
        <v>7509.91</v>
      </c>
      <c r="M1173" s="246" t="s">
        <v>62</v>
      </c>
      <c r="N1173" s="261" t="s">
        <v>2646</v>
      </c>
      <c r="O1173" s="261" t="s">
        <v>2647</v>
      </c>
      <c r="P1173" s="263" t="s">
        <v>41</v>
      </c>
      <c r="Q1173" s="262">
        <v>45110</v>
      </c>
      <c r="R1173" s="263" t="s">
        <v>41</v>
      </c>
      <c r="S1173" s="262">
        <v>45110</v>
      </c>
      <c r="T1173" s="263"/>
      <c r="U1173" s="262"/>
      <c r="V1173" s="263" t="s">
        <v>41</v>
      </c>
      <c r="W1173" s="262">
        <f t="shared" si="41"/>
        <v>45233</v>
      </c>
      <c r="X1173" s="263" t="s">
        <v>41</v>
      </c>
      <c r="Y1173" s="262">
        <v>45291</v>
      </c>
      <c r="Z1173" s="263" t="s">
        <v>40</v>
      </c>
      <c r="AA1173" s="262"/>
      <c r="AB1173" s="263" t="s">
        <v>40</v>
      </c>
      <c r="AC1173" s="262"/>
      <c r="AD1173" s="262"/>
      <c r="AE1173" s="262">
        <v>45565</v>
      </c>
      <c r="AF1173" s="263" t="s">
        <v>65</v>
      </c>
      <c r="AG1173" s="270">
        <v>2026</v>
      </c>
      <c r="AH1173" s="261">
        <f t="shared" si="40"/>
        <v>36945.002245000003</v>
      </c>
      <c r="AI1173" s="261"/>
      <c r="AJ1173" s="261"/>
      <c r="AK1173" s="259" t="s">
        <v>43</v>
      </c>
      <c r="AL1173" s="259" t="s">
        <v>41</v>
      </c>
      <c r="AM1173" s="266">
        <v>0</v>
      </c>
      <c r="AN1173" s="67"/>
      <c r="AO1173" s="256"/>
      <c r="AP1173" s="257"/>
    </row>
    <row r="1174" spans="1:42" s="258" customFormat="1" ht="37.950000000000003" customHeight="1" x14ac:dyDescent="0.3">
      <c r="A1174" s="259" t="s">
        <v>1641</v>
      </c>
      <c r="B1174" s="243" t="s">
        <v>1642</v>
      </c>
      <c r="C1174" s="244" t="s">
        <v>2648</v>
      </c>
      <c r="D1174" s="243" t="s">
        <v>34</v>
      </c>
      <c r="E1174" s="243" t="s">
        <v>1644</v>
      </c>
      <c r="F1174" s="259" t="s">
        <v>35</v>
      </c>
      <c r="G1174" s="259">
        <v>1</v>
      </c>
      <c r="H1174" s="245">
        <v>778719.38</v>
      </c>
      <c r="I1174" s="243" t="s">
        <v>36</v>
      </c>
      <c r="J1174" s="245">
        <f t="shared" si="39"/>
        <v>778719.38</v>
      </c>
      <c r="K1174" s="1695">
        <v>0</v>
      </c>
      <c r="L1174" s="1695">
        <v>0</v>
      </c>
      <c r="M1174" s="246" t="s">
        <v>66</v>
      </c>
      <c r="N1174" s="261" t="s">
        <v>66</v>
      </c>
      <c r="O1174" s="261" t="s">
        <v>2649</v>
      </c>
      <c r="P1174" s="263" t="s">
        <v>41</v>
      </c>
      <c r="Q1174" s="262">
        <v>45110</v>
      </c>
      <c r="R1174" s="263" t="s">
        <v>41</v>
      </c>
      <c r="S1174" s="262">
        <v>45110</v>
      </c>
      <c r="T1174" s="263"/>
      <c r="U1174" s="262"/>
      <c r="V1174" s="263" t="s">
        <v>41</v>
      </c>
      <c r="W1174" s="262">
        <f t="shared" si="41"/>
        <v>45233</v>
      </c>
      <c r="X1174" s="263" t="s">
        <v>41</v>
      </c>
      <c r="Y1174" s="262">
        <v>45291</v>
      </c>
      <c r="Z1174" s="263" t="s">
        <v>40</v>
      </c>
      <c r="AA1174" s="262"/>
      <c r="AB1174" s="263" t="s">
        <v>40</v>
      </c>
      <c r="AC1174" s="262"/>
      <c r="AD1174" s="262"/>
      <c r="AE1174" s="262">
        <v>45565</v>
      </c>
      <c r="AF1174" s="263" t="s">
        <v>65</v>
      </c>
      <c r="AG1174" s="270">
        <v>2026</v>
      </c>
      <c r="AH1174" s="261">
        <f t="shared" si="40"/>
        <v>0</v>
      </c>
      <c r="AI1174" s="261"/>
      <c r="AJ1174" s="261"/>
      <c r="AK1174" s="259" t="s">
        <v>43</v>
      </c>
      <c r="AL1174" s="259" t="s">
        <v>41</v>
      </c>
      <c r="AM1174" s="266">
        <v>0</v>
      </c>
      <c r="AN1174" s="67"/>
      <c r="AO1174" s="256"/>
      <c r="AP1174" s="257"/>
    </row>
    <row r="1175" spans="1:42" s="258" customFormat="1" ht="37.950000000000003" customHeight="1" x14ac:dyDescent="0.3">
      <c r="A1175" s="259" t="s">
        <v>1641</v>
      </c>
      <c r="B1175" s="243" t="s">
        <v>1642</v>
      </c>
      <c r="C1175" s="244" t="s">
        <v>2650</v>
      </c>
      <c r="D1175" s="243" t="s">
        <v>34</v>
      </c>
      <c r="E1175" s="243" t="s">
        <v>1644</v>
      </c>
      <c r="F1175" s="259" t="s">
        <v>35</v>
      </c>
      <c r="G1175" s="259">
        <v>1</v>
      </c>
      <c r="H1175" s="245">
        <v>778720.2</v>
      </c>
      <c r="I1175" s="243" t="s">
        <v>36</v>
      </c>
      <c r="J1175" s="245">
        <f t="shared" si="39"/>
        <v>778720.2</v>
      </c>
      <c r="K1175" s="1695">
        <f>18142.09</f>
        <v>18142.09</v>
      </c>
      <c r="L1175" s="1695">
        <f>18142.09</f>
        <v>18142.09</v>
      </c>
      <c r="M1175" s="246" t="s">
        <v>62</v>
      </c>
      <c r="N1175" s="261" t="s">
        <v>2651</v>
      </c>
      <c r="O1175" s="261" t="s">
        <v>2652</v>
      </c>
      <c r="P1175" s="263" t="s">
        <v>41</v>
      </c>
      <c r="Q1175" s="262">
        <v>45110</v>
      </c>
      <c r="R1175" s="263" t="s">
        <v>41</v>
      </c>
      <c r="S1175" s="262">
        <v>45110</v>
      </c>
      <c r="T1175" s="263"/>
      <c r="U1175" s="262"/>
      <c r="V1175" s="263" t="s">
        <v>41</v>
      </c>
      <c r="W1175" s="262">
        <f t="shared" si="41"/>
        <v>45233</v>
      </c>
      <c r="X1175" s="263" t="s">
        <v>41</v>
      </c>
      <c r="Y1175" s="262">
        <v>45291</v>
      </c>
      <c r="Z1175" s="263" t="s">
        <v>40</v>
      </c>
      <c r="AA1175" s="262"/>
      <c r="AB1175" s="263" t="s">
        <v>40</v>
      </c>
      <c r="AC1175" s="262"/>
      <c r="AD1175" s="262"/>
      <c r="AE1175" s="262">
        <v>45565</v>
      </c>
      <c r="AF1175" s="263" t="s">
        <v>65</v>
      </c>
      <c r="AG1175" s="270">
        <v>2026</v>
      </c>
      <c r="AH1175" s="261">
        <f t="shared" si="40"/>
        <v>89250.011755</v>
      </c>
      <c r="AI1175" s="261"/>
      <c r="AJ1175" s="261"/>
      <c r="AK1175" s="259" t="s">
        <v>43</v>
      </c>
      <c r="AL1175" s="259" t="s">
        <v>41</v>
      </c>
      <c r="AM1175" s="266">
        <v>0</v>
      </c>
      <c r="AN1175" s="67"/>
      <c r="AO1175" s="256"/>
      <c r="AP1175" s="257"/>
    </row>
    <row r="1176" spans="1:42" s="258" customFormat="1" ht="37.950000000000003" customHeight="1" x14ac:dyDescent="0.3">
      <c r="A1176" s="259" t="s">
        <v>1641</v>
      </c>
      <c r="B1176" s="243" t="s">
        <v>1642</v>
      </c>
      <c r="C1176" s="244" t="s">
        <v>2653</v>
      </c>
      <c r="D1176" s="243" t="s">
        <v>34</v>
      </c>
      <c r="E1176" s="243" t="s">
        <v>1644</v>
      </c>
      <c r="F1176" s="259" t="s">
        <v>35</v>
      </c>
      <c r="G1176" s="259">
        <v>1</v>
      </c>
      <c r="H1176" s="245">
        <v>778720</v>
      </c>
      <c r="I1176" s="243" t="s">
        <v>36</v>
      </c>
      <c r="J1176" s="245">
        <f t="shared" si="39"/>
        <v>778720</v>
      </c>
      <c r="K1176" s="1695">
        <v>0</v>
      </c>
      <c r="L1176" s="1695">
        <v>0</v>
      </c>
      <c r="M1176" s="246" t="s">
        <v>303</v>
      </c>
      <c r="N1176" s="261" t="s">
        <v>2654</v>
      </c>
      <c r="O1176" s="261" t="s">
        <v>2655</v>
      </c>
      <c r="P1176" s="263" t="s">
        <v>41</v>
      </c>
      <c r="Q1176" s="262">
        <v>45110</v>
      </c>
      <c r="R1176" s="263" t="s">
        <v>41</v>
      </c>
      <c r="S1176" s="262">
        <v>45110</v>
      </c>
      <c r="T1176" s="263"/>
      <c r="U1176" s="262"/>
      <c r="V1176" s="263" t="s">
        <v>41</v>
      </c>
      <c r="W1176" s="262">
        <f t="shared" si="41"/>
        <v>45233</v>
      </c>
      <c r="X1176" s="263" t="s">
        <v>41</v>
      </c>
      <c r="Y1176" s="262">
        <v>45291</v>
      </c>
      <c r="Z1176" s="263" t="s">
        <v>40</v>
      </c>
      <c r="AA1176" s="262"/>
      <c r="AB1176" s="263" t="s">
        <v>40</v>
      </c>
      <c r="AC1176" s="262"/>
      <c r="AD1176" s="262"/>
      <c r="AE1176" s="262">
        <v>45565</v>
      </c>
      <c r="AF1176" s="263" t="s">
        <v>65</v>
      </c>
      <c r="AG1176" s="270">
        <v>2026</v>
      </c>
      <c r="AH1176" s="261">
        <f t="shared" si="40"/>
        <v>0</v>
      </c>
      <c r="AI1176" s="261"/>
      <c r="AJ1176" s="261"/>
      <c r="AK1176" s="259" t="s">
        <v>43</v>
      </c>
      <c r="AL1176" s="259" t="s">
        <v>41</v>
      </c>
      <c r="AM1176" s="266">
        <v>0</v>
      </c>
      <c r="AN1176" s="67"/>
      <c r="AO1176" s="256"/>
      <c r="AP1176" s="257"/>
    </row>
    <row r="1177" spans="1:42" s="258" customFormat="1" ht="37.950000000000003" customHeight="1" x14ac:dyDescent="0.3">
      <c r="A1177" s="259" t="s">
        <v>1641</v>
      </c>
      <c r="B1177" s="243" t="s">
        <v>1642</v>
      </c>
      <c r="C1177" s="244" t="s">
        <v>2656</v>
      </c>
      <c r="D1177" s="243" t="s">
        <v>34</v>
      </c>
      <c r="E1177" s="243" t="s">
        <v>1644</v>
      </c>
      <c r="F1177" s="259" t="s">
        <v>35</v>
      </c>
      <c r="G1177" s="259">
        <v>1</v>
      </c>
      <c r="H1177" s="245">
        <v>778720</v>
      </c>
      <c r="I1177" s="243" t="s">
        <v>36</v>
      </c>
      <c r="J1177" s="245">
        <f t="shared" si="39"/>
        <v>778720</v>
      </c>
      <c r="K1177" s="1695">
        <f>16770+30236.81</f>
        <v>47006.81</v>
      </c>
      <c r="L1177" s="1695">
        <f>K1177</f>
        <v>47006.81</v>
      </c>
      <c r="M1177" s="246" t="s">
        <v>151</v>
      </c>
      <c r="N1177" s="261" t="s">
        <v>2657</v>
      </c>
      <c r="O1177" s="261" t="s">
        <v>2658</v>
      </c>
      <c r="P1177" s="263" t="s">
        <v>41</v>
      </c>
      <c r="Q1177" s="262">
        <v>45110</v>
      </c>
      <c r="R1177" s="263" t="s">
        <v>41</v>
      </c>
      <c r="S1177" s="262">
        <v>45110</v>
      </c>
      <c r="T1177" s="263"/>
      <c r="U1177" s="262"/>
      <c r="V1177" s="263" t="s">
        <v>41</v>
      </c>
      <c r="W1177" s="262">
        <f t="shared" si="41"/>
        <v>45233</v>
      </c>
      <c r="X1177" s="263" t="s">
        <v>41</v>
      </c>
      <c r="Y1177" s="262">
        <v>45291</v>
      </c>
      <c r="Z1177" s="263" t="s">
        <v>40</v>
      </c>
      <c r="AA1177" s="262"/>
      <c r="AB1177" s="263" t="s">
        <v>40</v>
      </c>
      <c r="AC1177" s="262"/>
      <c r="AD1177" s="262"/>
      <c r="AE1177" s="262">
        <v>45565</v>
      </c>
      <c r="AF1177" s="263" t="s">
        <v>65</v>
      </c>
      <c r="AG1177" s="270">
        <v>2026</v>
      </c>
      <c r="AH1177" s="261">
        <f t="shared" si="40"/>
        <v>231250.00179499999</v>
      </c>
      <c r="AI1177" s="261"/>
      <c r="AJ1177" s="261"/>
      <c r="AK1177" s="259" t="s">
        <v>43</v>
      </c>
      <c r="AL1177" s="259" t="s">
        <v>41</v>
      </c>
      <c r="AM1177" s="266">
        <v>0</v>
      </c>
      <c r="AN1177" s="67"/>
      <c r="AO1177" s="256"/>
      <c r="AP1177" s="257"/>
    </row>
    <row r="1178" spans="1:42" s="258" customFormat="1" ht="37.950000000000003" customHeight="1" x14ac:dyDescent="0.3">
      <c r="A1178" s="259" t="s">
        <v>1641</v>
      </c>
      <c r="B1178" s="243" t="s">
        <v>1642</v>
      </c>
      <c r="C1178" s="244" t="s">
        <v>2659</v>
      </c>
      <c r="D1178" s="243" t="s">
        <v>34</v>
      </c>
      <c r="E1178" s="243" t="s">
        <v>1644</v>
      </c>
      <c r="F1178" s="259" t="s">
        <v>35</v>
      </c>
      <c r="G1178" s="259">
        <v>1</v>
      </c>
      <c r="H1178" s="245">
        <v>778720</v>
      </c>
      <c r="I1178" s="243" t="s">
        <v>36</v>
      </c>
      <c r="J1178" s="245">
        <f t="shared" si="39"/>
        <v>778720</v>
      </c>
      <c r="K1178" s="1695">
        <v>0</v>
      </c>
      <c r="L1178" s="1695">
        <v>0</v>
      </c>
      <c r="M1178" s="246" t="s">
        <v>868</v>
      </c>
      <c r="N1178" s="261" t="s">
        <v>2660</v>
      </c>
      <c r="O1178" s="261" t="s">
        <v>2661</v>
      </c>
      <c r="P1178" s="263" t="s">
        <v>41</v>
      </c>
      <c r="Q1178" s="262">
        <v>45110</v>
      </c>
      <c r="R1178" s="263" t="s">
        <v>41</v>
      </c>
      <c r="S1178" s="262">
        <v>45110</v>
      </c>
      <c r="T1178" s="263"/>
      <c r="U1178" s="262"/>
      <c r="V1178" s="263" t="s">
        <v>41</v>
      </c>
      <c r="W1178" s="262">
        <f t="shared" si="41"/>
        <v>45233</v>
      </c>
      <c r="X1178" s="263" t="s">
        <v>41</v>
      </c>
      <c r="Y1178" s="262">
        <v>45291</v>
      </c>
      <c r="Z1178" s="263" t="s">
        <v>40</v>
      </c>
      <c r="AA1178" s="262"/>
      <c r="AB1178" s="263" t="s">
        <v>40</v>
      </c>
      <c r="AC1178" s="262"/>
      <c r="AD1178" s="262"/>
      <c r="AE1178" s="262">
        <v>45565</v>
      </c>
      <c r="AF1178" s="263" t="s">
        <v>65</v>
      </c>
      <c r="AG1178" s="270">
        <v>2026</v>
      </c>
      <c r="AH1178" s="261">
        <f t="shared" si="40"/>
        <v>0</v>
      </c>
      <c r="AI1178" s="261"/>
      <c r="AJ1178" s="261"/>
      <c r="AK1178" s="259" t="s">
        <v>43</v>
      </c>
      <c r="AL1178" s="259" t="s">
        <v>41</v>
      </c>
      <c r="AM1178" s="266">
        <v>0</v>
      </c>
      <c r="AN1178" s="67"/>
      <c r="AO1178" s="256"/>
      <c r="AP1178" s="257"/>
    </row>
    <row r="1179" spans="1:42" s="258" customFormat="1" ht="37.950000000000003" customHeight="1" x14ac:dyDescent="0.3">
      <c r="A1179" s="259" t="s">
        <v>1641</v>
      </c>
      <c r="B1179" s="243" t="s">
        <v>1642</v>
      </c>
      <c r="C1179" s="244" t="s">
        <v>2662</v>
      </c>
      <c r="D1179" s="243" t="s">
        <v>34</v>
      </c>
      <c r="E1179" s="243" t="s">
        <v>1644</v>
      </c>
      <c r="F1179" s="259" t="s">
        <v>35</v>
      </c>
      <c r="G1179" s="259">
        <v>1</v>
      </c>
      <c r="H1179" s="245">
        <v>778720.2</v>
      </c>
      <c r="I1179" s="243" t="s">
        <v>36</v>
      </c>
      <c r="J1179" s="245">
        <f t="shared" si="39"/>
        <v>778720.2</v>
      </c>
      <c r="K1179" s="1695">
        <f>43236.1</f>
        <v>43236.1</v>
      </c>
      <c r="L1179" s="1695">
        <f>43236.1</f>
        <v>43236.1</v>
      </c>
      <c r="M1179" s="246" t="s">
        <v>49</v>
      </c>
      <c r="N1179" s="261" t="s">
        <v>2663</v>
      </c>
      <c r="O1179" s="261" t="s">
        <v>2664</v>
      </c>
      <c r="P1179" s="263" t="s">
        <v>41</v>
      </c>
      <c r="Q1179" s="262">
        <v>45110</v>
      </c>
      <c r="R1179" s="263" t="s">
        <v>41</v>
      </c>
      <c r="S1179" s="262">
        <v>45110</v>
      </c>
      <c r="T1179" s="263"/>
      <c r="U1179" s="262"/>
      <c r="V1179" s="263" t="s">
        <v>41</v>
      </c>
      <c r="W1179" s="262">
        <f t="shared" si="41"/>
        <v>45233</v>
      </c>
      <c r="X1179" s="263" t="s">
        <v>41</v>
      </c>
      <c r="Y1179" s="262">
        <v>45291</v>
      </c>
      <c r="Z1179" s="263" t="s">
        <v>40</v>
      </c>
      <c r="AA1179" s="262"/>
      <c r="AB1179" s="263" t="s">
        <v>40</v>
      </c>
      <c r="AC1179" s="262"/>
      <c r="AD1179" s="262"/>
      <c r="AE1179" s="262">
        <v>45565</v>
      </c>
      <c r="AF1179" s="263" t="s">
        <v>65</v>
      </c>
      <c r="AG1179" s="270">
        <v>2026</v>
      </c>
      <c r="AH1179" s="261">
        <f t="shared" si="40"/>
        <v>212699.99395</v>
      </c>
      <c r="AI1179" s="261"/>
      <c r="AJ1179" s="261"/>
      <c r="AK1179" s="259" t="s">
        <v>43</v>
      </c>
      <c r="AL1179" s="259" t="s">
        <v>41</v>
      </c>
      <c r="AM1179" s="266">
        <v>0</v>
      </c>
      <c r="AN1179" s="67"/>
      <c r="AO1179" s="256"/>
      <c r="AP1179" s="257"/>
    </row>
    <row r="1180" spans="1:42" s="258" customFormat="1" ht="37.950000000000003" customHeight="1" x14ac:dyDescent="0.3">
      <c r="A1180" s="259" t="s">
        <v>1641</v>
      </c>
      <c r="B1180" s="243" t="s">
        <v>1642</v>
      </c>
      <c r="C1180" s="244" t="s">
        <v>2665</v>
      </c>
      <c r="D1180" s="243" t="s">
        <v>34</v>
      </c>
      <c r="E1180" s="243" t="s">
        <v>1644</v>
      </c>
      <c r="F1180" s="259" t="s">
        <v>35</v>
      </c>
      <c r="G1180" s="259">
        <v>1</v>
      </c>
      <c r="H1180" s="245">
        <v>778720.2</v>
      </c>
      <c r="I1180" s="243" t="s">
        <v>36</v>
      </c>
      <c r="J1180" s="245">
        <f t="shared" si="39"/>
        <v>778720.2</v>
      </c>
      <c r="K1180" s="1695">
        <f>27848.36+2032.73</f>
        <v>29881.09</v>
      </c>
      <c r="L1180" s="1695">
        <f>K1180</f>
        <v>29881.09</v>
      </c>
      <c r="M1180" s="246" t="s">
        <v>54</v>
      </c>
      <c r="N1180" s="261" t="s">
        <v>2666</v>
      </c>
      <c r="O1180" s="261" t="s">
        <v>2667</v>
      </c>
      <c r="P1180" s="263" t="s">
        <v>41</v>
      </c>
      <c r="Q1180" s="262">
        <v>45110</v>
      </c>
      <c r="R1180" s="263" t="s">
        <v>41</v>
      </c>
      <c r="S1180" s="262">
        <v>45110</v>
      </c>
      <c r="T1180" s="263"/>
      <c r="U1180" s="262"/>
      <c r="V1180" s="263" t="s">
        <v>41</v>
      </c>
      <c r="W1180" s="262">
        <f t="shared" si="41"/>
        <v>45233</v>
      </c>
      <c r="X1180" s="263" t="s">
        <v>41</v>
      </c>
      <c r="Y1180" s="262">
        <v>45291</v>
      </c>
      <c r="Z1180" s="263" t="s">
        <v>40</v>
      </c>
      <c r="AA1180" s="262"/>
      <c r="AB1180" s="263" t="s">
        <v>40</v>
      </c>
      <c r="AC1180" s="262"/>
      <c r="AD1180" s="262"/>
      <c r="AE1180" s="262">
        <v>45565</v>
      </c>
      <c r="AF1180" s="263" t="s">
        <v>65</v>
      </c>
      <c r="AG1180" s="270">
        <v>2026</v>
      </c>
      <c r="AH1180" s="261">
        <f t="shared" si="40"/>
        <v>147000.02225500002</v>
      </c>
      <c r="AI1180" s="261"/>
      <c r="AJ1180" s="261"/>
      <c r="AK1180" s="259" t="s">
        <v>43</v>
      </c>
      <c r="AL1180" s="259" t="s">
        <v>41</v>
      </c>
      <c r="AM1180" s="266">
        <v>0</v>
      </c>
      <c r="AN1180" s="67"/>
      <c r="AO1180" s="256"/>
      <c r="AP1180" s="257"/>
    </row>
    <row r="1181" spans="1:42" s="258" customFormat="1" ht="37.950000000000003" customHeight="1" x14ac:dyDescent="0.3">
      <c r="A1181" s="259" t="s">
        <v>1641</v>
      </c>
      <c r="B1181" s="243" t="s">
        <v>1642</v>
      </c>
      <c r="C1181" s="244" t="s">
        <v>2668</v>
      </c>
      <c r="D1181" s="243" t="s">
        <v>34</v>
      </c>
      <c r="E1181" s="243" t="s">
        <v>1644</v>
      </c>
      <c r="F1181" s="259" t="s">
        <v>35</v>
      </c>
      <c r="G1181" s="259">
        <v>1</v>
      </c>
      <c r="H1181" s="245">
        <v>778720.2</v>
      </c>
      <c r="I1181" s="243" t="s">
        <v>36</v>
      </c>
      <c r="J1181" s="245">
        <f t="shared" si="39"/>
        <v>778720.2</v>
      </c>
      <c r="K1181" s="1695">
        <f>41772.537</f>
        <v>41772.536999999997</v>
      </c>
      <c r="L1181" s="1695">
        <f>41772.537</f>
        <v>41772.536999999997</v>
      </c>
      <c r="M1181" s="246" t="s">
        <v>53</v>
      </c>
      <c r="N1181" s="261" t="s">
        <v>2669</v>
      </c>
      <c r="O1181" s="261" t="s">
        <v>2670</v>
      </c>
      <c r="P1181" s="263" t="s">
        <v>41</v>
      </c>
      <c r="Q1181" s="262">
        <v>45110</v>
      </c>
      <c r="R1181" s="263" t="s">
        <v>41</v>
      </c>
      <c r="S1181" s="262">
        <v>45110</v>
      </c>
      <c r="T1181" s="263"/>
      <c r="U1181" s="262"/>
      <c r="V1181" s="263" t="s">
        <v>41</v>
      </c>
      <c r="W1181" s="262">
        <f t="shared" si="41"/>
        <v>45233</v>
      </c>
      <c r="X1181" s="263" t="s">
        <v>41</v>
      </c>
      <c r="Y1181" s="262">
        <v>45291</v>
      </c>
      <c r="Z1181" s="263" t="s">
        <v>40</v>
      </c>
      <c r="AA1181" s="262"/>
      <c r="AB1181" s="263" t="s">
        <v>40</v>
      </c>
      <c r="AC1181" s="262"/>
      <c r="AD1181" s="262"/>
      <c r="AE1181" s="262">
        <v>45565</v>
      </c>
      <c r="AF1181" s="263" t="s">
        <v>65</v>
      </c>
      <c r="AG1181" s="270">
        <v>2026</v>
      </c>
      <c r="AH1181" s="261">
        <f t="shared" si="40"/>
        <v>205499.99577149999</v>
      </c>
      <c r="AI1181" s="261"/>
      <c r="AJ1181" s="261"/>
      <c r="AK1181" s="259" t="s">
        <v>43</v>
      </c>
      <c r="AL1181" s="259" t="s">
        <v>41</v>
      </c>
      <c r="AM1181" s="266">
        <v>0</v>
      </c>
      <c r="AN1181" s="67"/>
      <c r="AO1181" s="256"/>
      <c r="AP1181" s="257"/>
    </row>
    <row r="1182" spans="1:42" s="258" customFormat="1" ht="37.950000000000003" customHeight="1" x14ac:dyDescent="0.3">
      <c r="A1182" s="259" t="s">
        <v>1641</v>
      </c>
      <c r="B1182" s="243" t="s">
        <v>1642</v>
      </c>
      <c r="C1182" s="244" t="s">
        <v>2671</v>
      </c>
      <c r="D1182" s="243" t="s">
        <v>34</v>
      </c>
      <c r="E1182" s="243" t="s">
        <v>1644</v>
      </c>
      <c r="F1182" s="259" t="s">
        <v>35</v>
      </c>
      <c r="G1182" s="259">
        <v>1</v>
      </c>
      <c r="H1182" s="245">
        <v>778000</v>
      </c>
      <c r="I1182" s="243" t="s">
        <v>36</v>
      </c>
      <c r="J1182" s="245">
        <f t="shared" si="39"/>
        <v>778000</v>
      </c>
      <c r="K1182" s="1695">
        <v>0</v>
      </c>
      <c r="L1182" s="1695">
        <v>0</v>
      </c>
      <c r="M1182" s="246" t="s">
        <v>68</v>
      </c>
      <c r="N1182" s="261" t="s">
        <v>2672</v>
      </c>
      <c r="O1182" s="261" t="s">
        <v>2673</v>
      </c>
      <c r="P1182" s="263" t="s">
        <v>41</v>
      </c>
      <c r="Q1182" s="262">
        <v>45110</v>
      </c>
      <c r="R1182" s="263" t="s">
        <v>41</v>
      </c>
      <c r="S1182" s="262">
        <v>45110</v>
      </c>
      <c r="T1182" s="263"/>
      <c r="U1182" s="262"/>
      <c r="V1182" s="263" t="s">
        <v>41</v>
      </c>
      <c r="W1182" s="262">
        <f t="shared" si="41"/>
        <v>45233</v>
      </c>
      <c r="X1182" s="263" t="s">
        <v>41</v>
      </c>
      <c r="Y1182" s="262">
        <v>45291</v>
      </c>
      <c r="Z1182" s="263" t="s">
        <v>40</v>
      </c>
      <c r="AA1182" s="262"/>
      <c r="AB1182" s="263" t="s">
        <v>40</v>
      </c>
      <c r="AC1182" s="262"/>
      <c r="AD1182" s="262"/>
      <c r="AE1182" s="262">
        <v>45565</v>
      </c>
      <c r="AF1182" s="263" t="s">
        <v>65</v>
      </c>
      <c r="AG1182" s="270">
        <v>2026</v>
      </c>
      <c r="AH1182" s="261">
        <f t="shared" si="40"/>
        <v>0</v>
      </c>
      <c r="AI1182" s="261"/>
      <c r="AJ1182" s="261"/>
      <c r="AK1182" s="259" t="s">
        <v>43</v>
      </c>
      <c r="AL1182" s="259" t="s">
        <v>41</v>
      </c>
      <c r="AM1182" s="266">
        <v>0</v>
      </c>
      <c r="AN1182" s="67"/>
      <c r="AO1182" s="256"/>
      <c r="AP1182" s="257"/>
    </row>
    <row r="1183" spans="1:42" s="258" customFormat="1" ht="37.950000000000003" customHeight="1" x14ac:dyDescent="0.3">
      <c r="A1183" s="259" t="s">
        <v>1641</v>
      </c>
      <c r="B1183" s="243" t="s">
        <v>1642</v>
      </c>
      <c r="C1183" s="244" t="s">
        <v>2674</v>
      </c>
      <c r="D1183" s="243" t="s">
        <v>34</v>
      </c>
      <c r="E1183" s="243" t="s">
        <v>1644</v>
      </c>
      <c r="F1183" s="259" t="s">
        <v>35</v>
      </c>
      <c r="G1183" s="259">
        <v>1</v>
      </c>
      <c r="H1183" s="245">
        <v>778720.2</v>
      </c>
      <c r="I1183" s="243" t="s">
        <v>36</v>
      </c>
      <c r="J1183" s="245">
        <f t="shared" si="39"/>
        <v>778720.2</v>
      </c>
      <c r="K1183" s="1435">
        <f>5244.43+20977.74+15572.92</f>
        <v>41795.090000000004</v>
      </c>
      <c r="L1183" s="1435">
        <f>5244.43+20977.74+15572.92</f>
        <v>41795.090000000004</v>
      </c>
      <c r="M1183" s="246" t="s">
        <v>54</v>
      </c>
      <c r="N1183" s="261" t="s">
        <v>2675</v>
      </c>
      <c r="O1183" s="261" t="s">
        <v>2676</v>
      </c>
      <c r="P1183" s="263" t="s">
        <v>41</v>
      </c>
      <c r="Q1183" s="262">
        <v>45110</v>
      </c>
      <c r="R1183" s="263" t="s">
        <v>41</v>
      </c>
      <c r="S1183" s="262">
        <v>45110</v>
      </c>
      <c r="T1183" s="263"/>
      <c r="U1183" s="262"/>
      <c r="V1183" s="263" t="s">
        <v>41</v>
      </c>
      <c r="W1183" s="262">
        <v>45233</v>
      </c>
      <c r="X1183" s="263" t="s">
        <v>41</v>
      </c>
      <c r="Y1183" s="262">
        <v>45291</v>
      </c>
      <c r="Z1183" s="263" t="s">
        <v>40</v>
      </c>
      <c r="AA1183" s="262"/>
      <c r="AB1183" s="263" t="s">
        <v>40</v>
      </c>
      <c r="AC1183" s="262"/>
      <c r="AD1183" s="262"/>
      <c r="AE1183" s="262">
        <v>45565</v>
      </c>
      <c r="AF1183" s="263" t="s">
        <v>65</v>
      </c>
      <c r="AG1183" s="270">
        <v>2026</v>
      </c>
      <c r="AH1183" s="261">
        <f t="shared" si="40"/>
        <v>205610.94525500003</v>
      </c>
      <c r="AI1183" s="261"/>
      <c r="AJ1183" s="261"/>
      <c r="AK1183" s="259" t="s">
        <v>43</v>
      </c>
      <c r="AL1183" s="259" t="s">
        <v>41</v>
      </c>
      <c r="AM1183" s="266">
        <v>0</v>
      </c>
      <c r="AN1183" s="67"/>
      <c r="AO1183" s="256"/>
      <c r="AP1183" s="257"/>
    </row>
    <row r="1184" spans="1:42" s="258" customFormat="1" ht="37.950000000000003" customHeight="1" x14ac:dyDescent="0.3">
      <c r="A1184" s="259" t="s">
        <v>1641</v>
      </c>
      <c r="B1184" s="243" t="s">
        <v>1642</v>
      </c>
      <c r="C1184" s="244" t="s">
        <v>2677</v>
      </c>
      <c r="D1184" s="243" t="s">
        <v>34</v>
      </c>
      <c r="E1184" s="243" t="s">
        <v>1644</v>
      </c>
      <c r="F1184" s="259" t="s">
        <v>35</v>
      </c>
      <c r="G1184" s="259">
        <v>1</v>
      </c>
      <c r="H1184" s="245">
        <v>778720.2</v>
      </c>
      <c r="I1184" s="243" t="s">
        <v>36</v>
      </c>
      <c r="J1184" s="245">
        <f t="shared" si="39"/>
        <v>778720.2</v>
      </c>
      <c r="K1184" s="1695">
        <f>20500.05+25640.82+10163.63</f>
        <v>56304.499999999993</v>
      </c>
      <c r="L1184" s="1695">
        <f>K1184</f>
        <v>56304.499999999993</v>
      </c>
      <c r="M1184" s="246" t="s">
        <v>62</v>
      </c>
      <c r="N1184" s="261" t="s">
        <v>2678</v>
      </c>
      <c r="O1184" s="261" t="s">
        <v>2679</v>
      </c>
      <c r="P1184" s="263" t="s">
        <v>41</v>
      </c>
      <c r="Q1184" s="262">
        <v>45110</v>
      </c>
      <c r="R1184" s="263" t="s">
        <v>41</v>
      </c>
      <c r="S1184" s="262">
        <v>45110</v>
      </c>
      <c r="T1184" s="263"/>
      <c r="U1184" s="262"/>
      <c r="V1184" s="263" t="s">
        <v>41</v>
      </c>
      <c r="W1184" s="262">
        <v>45233</v>
      </c>
      <c r="X1184" s="263" t="s">
        <v>41</v>
      </c>
      <c r="Y1184" s="262">
        <v>45291</v>
      </c>
      <c r="Z1184" s="263" t="s">
        <v>40</v>
      </c>
      <c r="AA1184" s="262"/>
      <c r="AB1184" s="263" t="s">
        <v>40</v>
      </c>
      <c r="AC1184" s="262"/>
      <c r="AD1184" s="262"/>
      <c r="AE1184" s="262">
        <v>45565</v>
      </c>
      <c r="AF1184" s="263" t="s">
        <v>65</v>
      </c>
      <c r="AG1184" s="270">
        <v>2026</v>
      </c>
      <c r="AH1184" s="261">
        <f t="shared" si="40"/>
        <v>276989.98774999997</v>
      </c>
      <c r="AI1184" s="261"/>
      <c r="AJ1184" s="261"/>
      <c r="AK1184" s="259" t="s">
        <v>43</v>
      </c>
      <c r="AL1184" s="259" t="s">
        <v>41</v>
      </c>
      <c r="AM1184" s="266">
        <v>0</v>
      </c>
      <c r="AN1184" s="67"/>
      <c r="AO1184" s="256"/>
      <c r="AP1184" s="257"/>
    </row>
    <row r="1185" spans="1:42" s="269" customFormat="1" ht="37.950000000000003" customHeight="1" x14ac:dyDescent="0.3">
      <c r="A1185" s="259" t="s">
        <v>1641</v>
      </c>
      <c r="B1185" s="243" t="s">
        <v>1642</v>
      </c>
      <c r="C1185" s="244" t="s">
        <v>2680</v>
      </c>
      <c r="D1185" s="243" t="s">
        <v>34</v>
      </c>
      <c r="E1185" s="243" t="s">
        <v>1644</v>
      </c>
      <c r="F1185" s="259" t="s">
        <v>35</v>
      </c>
      <c r="G1185" s="259">
        <v>1</v>
      </c>
      <c r="H1185" s="245">
        <v>778720</v>
      </c>
      <c r="I1185" s="243" t="s">
        <v>36</v>
      </c>
      <c r="J1185" s="245">
        <f t="shared" si="39"/>
        <v>778720</v>
      </c>
      <c r="K1185" s="1695">
        <f>49437.03</f>
        <v>49437.03</v>
      </c>
      <c r="L1185" s="1695">
        <f>49437.03</f>
        <v>49437.03</v>
      </c>
      <c r="M1185" s="246" t="s">
        <v>303</v>
      </c>
      <c r="N1185" s="261" t="s">
        <v>2681</v>
      </c>
      <c r="O1185" s="261" t="s">
        <v>2682</v>
      </c>
      <c r="P1185" s="263" t="s">
        <v>41</v>
      </c>
      <c r="Q1185" s="262">
        <v>45110</v>
      </c>
      <c r="R1185" s="263" t="s">
        <v>41</v>
      </c>
      <c r="S1185" s="262">
        <v>45110</v>
      </c>
      <c r="T1185" s="263"/>
      <c r="U1185" s="262"/>
      <c r="V1185" s="263" t="s">
        <v>41</v>
      </c>
      <c r="W1185" s="262">
        <v>45233</v>
      </c>
      <c r="X1185" s="263" t="s">
        <v>41</v>
      </c>
      <c r="Y1185" s="262">
        <v>45291</v>
      </c>
      <c r="Z1185" s="263" t="s">
        <v>40</v>
      </c>
      <c r="AA1185" s="262"/>
      <c r="AB1185" s="263" t="s">
        <v>40</v>
      </c>
      <c r="AC1185" s="262"/>
      <c r="AD1185" s="262"/>
      <c r="AE1185" s="262">
        <v>45565</v>
      </c>
      <c r="AF1185" s="263" t="s">
        <v>65</v>
      </c>
      <c r="AG1185" s="270">
        <v>2026</v>
      </c>
      <c r="AH1185" s="261">
        <f t="shared" si="40"/>
        <v>243205.46908500002</v>
      </c>
      <c r="AI1185" s="261"/>
      <c r="AJ1185" s="261"/>
      <c r="AK1185" s="259" t="s">
        <v>43</v>
      </c>
      <c r="AL1185" s="259" t="s">
        <v>41</v>
      </c>
      <c r="AM1185" s="266">
        <v>0</v>
      </c>
      <c r="AN1185" s="67"/>
      <c r="AO1185" s="267"/>
      <c r="AP1185" s="268"/>
    </row>
    <row r="1186" spans="1:42" s="258" customFormat="1" ht="37.950000000000003" customHeight="1" x14ac:dyDescent="0.3">
      <c r="A1186" s="259" t="s">
        <v>1641</v>
      </c>
      <c r="B1186" s="243" t="s">
        <v>1642</v>
      </c>
      <c r="C1186" s="244" t="s">
        <v>2683</v>
      </c>
      <c r="D1186" s="243" t="s">
        <v>34</v>
      </c>
      <c r="E1186" s="243" t="s">
        <v>1644</v>
      </c>
      <c r="F1186" s="259" t="s">
        <v>35</v>
      </c>
      <c r="G1186" s="259">
        <v>1</v>
      </c>
      <c r="H1186" s="245">
        <v>778720</v>
      </c>
      <c r="I1186" s="243" t="s">
        <v>36</v>
      </c>
      <c r="J1186" s="245">
        <f t="shared" si="39"/>
        <v>778720</v>
      </c>
      <c r="K1186" s="1695">
        <v>0</v>
      </c>
      <c r="L1186" s="1695">
        <v>0</v>
      </c>
      <c r="M1186" s="246" t="s">
        <v>1806</v>
      </c>
      <c r="N1186" s="261" t="s">
        <v>2684</v>
      </c>
      <c r="O1186" s="261" t="s">
        <v>2685</v>
      </c>
      <c r="P1186" s="263" t="s">
        <v>41</v>
      </c>
      <c r="Q1186" s="262">
        <v>45110</v>
      </c>
      <c r="R1186" s="263" t="s">
        <v>41</v>
      </c>
      <c r="S1186" s="262">
        <v>45110</v>
      </c>
      <c r="T1186" s="263"/>
      <c r="U1186" s="262"/>
      <c r="V1186" s="263" t="s">
        <v>41</v>
      </c>
      <c r="W1186" s="262">
        <v>45233</v>
      </c>
      <c r="X1186" s="263" t="s">
        <v>41</v>
      </c>
      <c r="Y1186" s="262">
        <v>45291</v>
      </c>
      <c r="Z1186" s="263" t="s">
        <v>40</v>
      </c>
      <c r="AA1186" s="262"/>
      <c r="AB1186" s="263" t="s">
        <v>40</v>
      </c>
      <c r="AC1186" s="262"/>
      <c r="AD1186" s="262"/>
      <c r="AE1186" s="262">
        <v>45565</v>
      </c>
      <c r="AF1186" s="263" t="s">
        <v>65</v>
      </c>
      <c r="AG1186" s="270">
        <v>2026</v>
      </c>
      <c r="AH1186" s="261">
        <f t="shared" si="40"/>
        <v>0</v>
      </c>
      <c r="AI1186" s="261"/>
      <c r="AJ1186" s="261"/>
      <c r="AK1186" s="259" t="s">
        <v>43</v>
      </c>
      <c r="AL1186" s="259" t="s">
        <v>41</v>
      </c>
      <c r="AM1186" s="266">
        <v>0</v>
      </c>
      <c r="AN1186" s="67"/>
      <c r="AO1186" s="256"/>
      <c r="AP1186" s="257"/>
    </row>
    <row r="1187" spans="1:42" s="258" customFormat="1" ht="37.950000000000003" customHeight="1" x14ac:dyDescent="0.3">
      <c r="A1187" s="259" t="s">
        <v>1641</v>
      </c>
      <c r="B1187" s="243" t="s">
        <v>1642</v>
      </c>
      <c r="C1187" s="244" t="s">
        <v>2686</v>
      </c>
      <c r="D1187" s="243" t="s">
        <v>34</v>
      </c>
      <c r="E1187" s="243" t="s">
        <v>1644</v>
      </c>
      <c r="F1187" s="259" t="s">
        <v>35</v>
      </c>
      <c r="G1187" s="259">
        <v>1</v>
      </c>
      <c r="H1187" s="245">
        <v>778720</v>
      </c>
      <c r="I1187" s="243" t="s">
        <v>36</v>
      </c>
      <c r="J1187" s="245">
        <f t="shared" si="39"/>
        <v>778720</v>
      </c>
      <c r="K1187" s="1435">
        <f>2032.73+20327.27+16261.81</f>
        <v>38621.81</v>
      </c>
      <c r="L1187" s="1435">
        <f>K1187</f>
        <v>38621.81</v>
      </c>
      <c r="M1187" s="246" t="s">
        <v>351</v>
      </c>
      <c r="N1187" s="261" t="s">
        <v>2687</v>
      </c>
      <c r="O1187" s="261" t="s">
        <v>2688</v>
      </c>
      <c r="P1187" s="263" t="s">
        <v>41</v>
      </c>
      <c r="Q1187" s="262">
        <v>45110</v>
      </c>
      <c r="R1187" s="263" t="s">
        <v>41</v>
      </c>
      <c r="S1187" s="262">
        <v>45110</v>
      </c>
      <c r="T1187" s="263"/>
      <c r="U1187" s="262"/>
      <c r="V1187" s="263" t="s">
        <v>41</v>
      </c>
      <c r="W1187" s="262">
        <v>45233</v>
      </c>
      <c r="X1187" s="263" t="s">
        <v>41</v>
      </c>
      <c r="Y1187" s="262">
        <v>45291</v>
      </c>
      <c r="Z1187" s="263" t="s">
        <v>40</v>
      </c>
      <c r="AA1187" s="262"/>
      <c r="AB1187" s="263" t="s">
        <v>40</v>
      </c>
      <c r="AC1187" s="262"/>
      <c r="AD1187" s="262"/>
      <c r="AE1187" s="262">
        <v>45565</v>
      </c>
      <c r="AF1187" s="263" t="s">
        <v>65</v>
      </c>
      <c r="AG1187" s="270">
        <v>2026</v>
      </c>
      <c r="AH1187" s="261">
        <f t="shared" si="40"/>
        <v>189999.99429499998</v>
      </c>
      <c r="AI1187" s="261"/>
      <c r="AJ1187" s="261"/>
      <c r="AK1187" s="259" t="s">
        <v>43</v>
      </c>
      <c r="AL1187" s="259" t="s">
        <v>41</v>
      </c>
      <c r="AM1187" s="266">
        <v>0</v>
      </c>
      <c r="AN1187" s="67"/>
      <c r="AO1187" s="256"/>
      <c r="AP1187" s="257"/>
    </row>
    <row r="1188" spans="1:42" s="258" customFormat="1" ht="37.950000000000003" customHeight="1" x14ac:dyDescent="0.3">
      <c r="A1188" s="259" t="s">
        <v>1641</v>
      </c>
      <c r="B1188" s="243" t="s">
        <v>1642</v>
      </c>
      <c r="C1188" s="244" t="s">
        <v>2689</v>
      </c>
      <c r="D1188" s="243" t="s">
        <v>34</v>
      </c>
      <c r="E1188" s="243" t="s">
        <v>1644</v>
      </c>
      <c r="F1188" s="259" t="s">
        <v>35</v>
      </c>
      <c r="G1188" s="259">
        <v>1</v>
      </c>
      <c r="H1188" s="245">
        <v>754440</v>
      </c>
      <c r="I1188" s="243" t="s">
        <v>36</v>
      </c>
      <c r="J1188" s="245">
        <f t="shared" si="39"/>
        <v>754440</v>
      </c>
      <c r="K1188" s="1695">
        <f>23246.06</f>
        <v>23246.06</v>
      </c>
      <c r="L1188" s="1695">
        <f>23246.06</f>
        <v>23246.06</v>
      </c>
      <c r="M1188" s="246" t="s">
        <v>57</v>
      </c>
      <c r="N1188" s="261" t="s">
        <v>2690</v>
      </c>
      <c r="O1188" s="261" t="s">
        <v>2691</v>
      </c>
      <c r="P1188" s="263" t="s">
        <v>41</v>
      </c>
      <c r="Q1188" s="262">
        <v>45110</v>
      </c>
      <c r="R1188" s="263" t="s">
        <v>41</v>
      </c>
      <c r="S1188" s="262">
        <v>45110</v>
      </c>
      <c r="T1188" s="263"/>
      <c r="U1188" s="262"/>
      <c r="V1188" s="263" t="s">
        <v>41</v>
      </c>
      <c r="W1188" s="262">
        <v>45233</v>
      </c>
      <c r="X1188" s="263" t="s">
        <v>41</v>
      </c>
      <c r="Y1188" s="262">
        <v>45291</v>
      </c>
      <c r="Z1188" s="263" t="s">
        <v>40</v>
      </c>
      <c r="AA1188" s="262"/>
      <c r="AB1188" s="263" t="s">
        <v>40</v>
      </c>
      <c r="AC1188" s="262"/>
      <c r="AD1188" s="262"/>
      <c r="AE1188" s="262">
        <v>45565</v>
      </c>
      <c r="AF1188" s="263" t="s">
        <v>65</v>
      </c>
      <c r="AG1188" s="270">
        <v>2026</v>
      </c>
      <c r="AH1188" s="261">
        <f t="shared" si="40"/>
        <v>114358.99217000001</v>
      </c>
      <c r="AI1188" s="261"/>
      <c r="AJ1188" s="261"/>
      <c r="AK1188" s="259" t="s">
        <v>43</v>
      </c>
      <c r="AL1188" s="259" t="s">
        <v>41</v>
      </c>
      <c r="AM1188" s="266">
        <v>0</v>
      </c>
      <c r="AN1188" s="67"/>
      <c r="AO1188" s="256"/>
      <c r="AP1188" s="257"/>
    </row>
    <row r="1189" spans="1:42" s="258" customFormat="1" ht="37.950000000000003" customHeight="1" x14ac:dyDescent="0.3">
      <c r="A1189" s="259" t="s">
        <v>1641</v>
      </c>
      <c r="B1189" s="243" t="s">
        <v>1642</v>
      </c>
      <c r="C1189" s="244" t="s">
        <v>2692</v>
      </c>
      <c r="D1189" s="243" t="s">
        <v>34</v>
      </c>
      <c r="E1189" s="243" t="s">
        <v>1644</v>
      </c>
      <c r="F1189" s="259" t="s">
        <v>35</v>
      </c>
      <c r="G1189" s="259">
        <v>1</v>
      </c>
      <c r="H1189" s="245">
        <v>778720.2</v>
      </c>
      <c r="I1189" s="243" t="s">
        <v>36</v>
      </c>
      <c r="J1189" s="245">
        <f t="shared" si="39"/>
        <v>778720.2</v>
      </c>
      <c r="K1189" s="1435">
        <f>162.61</f>
        <v>162.61000000000001</v>
      </c>
      <c r="L1189" s="1435">
        <f>162.61</f>
        <v>162.61000000000001</v>
      </c>
      <c r="M1189" s="246" t="s">
        <v>58</v>
      </c>
      <c r="N1189" s="261" t="s">
        <v>1182</v>
      </c>
      <c r="O1189" s="261" t="s">
        <v>2693</v>
      </c>
      <c r="P1189" s="263" t="s">
        <v>41</v>
      </c>
      <c r="Q1189" s="262">
        <v>45110</v>
      </c>
      <c r="R1189" s="263" t="s">
        <v>41</v>
      </c>
      <c r="S1189" s="262">
        <v>45110</v>
      </c>
      <c r="T1189" s="263"/>
      <c r="U1189" s="262"/>
      <c r="V1189" s="263" t="s">
        <v>41</v>
      </c>
      <c r="W1189" s="262">
        <v>45233</v>
      </c>
      <c r="X1189" s="263" t="s">
        <v>41</v>
      </c>
      <c r="Y1189" s="262">
        <v>45291</v>
      </c>
      <c r="Z1189" s="263" t="s">
        <v>40</v>
      </c>
      <c r="AA1189" s="262"/>
      <c r="AB1189" s="263" t="s">
        <v>40</v>
      </c>
      <c r="AC1189" s="262"/>
      <c r="AD1189" s="262"/>
      <c r="AE1189" s="262">
        <v>45565</v>
      </c>
      <c r="AF1189" s="263" t="s">
        <v>65</v>
      </c>
      <c r="AG1189" s="270">
        <v>2026</v>
      </c>
      <c r="AH1189" s="261">
        <f t="shared" si="40"/>
        <v>799.95989500000007</v>
      </c>
      <c r="AI1189" s="261"/>
      <c r="AJ1189" s="261"/>
      <c r="AK1189" s="259" t="s">
        <v>43</v>
      </c>
      <c r="AL1189" s="259" t="s">
        <v>41</v>
      </c>
      <c r="AM1189" s="266">
        <v>0</v>
      </c>
      <c r="AN1189" s="67"/>
      <c r="AO1189" s="256"/>
      <c r="AP1189" s="257"/>
    </row>
    <row r="1190" spans="1:42" s="258" customFormat="1" ht="37.950000000000003" customHeight="1" x14ac:dyDescent="0.3">
      <c r="A1190" s="259" t="s">
        <v>1641</v>
      </c>
      <c r="B1190" s="243" t="s">
        <v>1642</v>
      </c>
      <c r="C1190" s="244" t="s">
        <v>2694</v>
      </c>
      <c r="D1190" s="243" t="s">
        <v>34</v>
      </c>
      <c r="E1190" s="243" t="s">
        <v>1644</v>
      </c>
      <c r="F1190" s="259" t="s">
        <v>35</v>
      </c>
      <c r="G1190" s="259">
        <v>1</v>
      </c>
      <c r="H1190" s="245">
        <v>778720.2</v>
      </c>
      <c r="I1190" s="243" t="s">
        <v>36</v>
      </c>
      <c r="J1190" s="245">
        <f t="shared" si="39"/>
        <v>778720.2</v>
      </c>
      <c r="K1190" s="1695">
        <v>0</v>
      </c>
      <c r="L1190" s="1695">
        <v>0</v>
      </c>
      <c r="M1190" s="246" t="s">
        <v>868</v>
      </c>
      <c r="N1190" s="261" t="s">
        <v>2695</v>
      </c>
      <c r="O1190" s="261" t="s">
        <v>2696</v>
      </c>
      <c r="P1190" s="263" t="s">
        <v>41</v>
      </c>
      <c r="Q1190" s="262">
        <v>45110</v>
      </c>
      <c r="R1190" s="263" t="s">
        <v>41</v>
      </c>
      <c r="S1190" s="262">
        <v>45110</v>
      </c>
      <c r="T1190" s="263"/>
      <c r="U1190" s="262"/>
      <c r="V1190" s="263" t="s">
        <v>41</v>
      </c>
      <c r="W1190" s="262">
        <v>45233</v>
      </c>
      <c r="X1190" s="263" t="s">
        <v>41</v>
      </c>
      <c r="Y1190" s="262">
        <v>45291</v>
      </c>
      <c r="Z1190" s="263" t="s">
        <v>40</v>
      </c>
      <c r="AA1190" s="262"/>
      <c r="AB1190" s="263" t="s">
        <v>40</v>
      </c>
      <c r="AC1190" s="262"/>
      <c r="AD1190" s="262"/>
      <c r="AE1190" s="262">
        <v>45565</v>
      </c>
      <c r="AF1190" s="263" t="s">
        <v>65</v>
      </c>
      <c r="AG1190" s="270">
        <v>2026</v>
      </c>
      <c r="AH1190" s="261">
        <f t="shared" si="40"/>
        <v>0</v>
      </c>
      <c r="AI1190" s="261"/>
      <c r="AJ1190" s="261"/>
      <c r="AK1190" s="259" t="s">
        <v>43</v>
      </c>
      <c r="AL1190" s="259" t="s">
        <v>41</v>
      </c>
      <c r="AM1190" s="266">
        <v>0</v>
      </c>
      <c r="AN1190" s="67"/>
      <c r="AO1190" s="256"/>
      <c r="AP1190" s="257"/>
    </row>
    <row r="1191" spans="1:42" s="258" customFormat="1" ht="37.950000000000003" customHeight="1" x14ac:dyDescent="0.3">
      <c r="A1191" s="259" t="s">
        <v>1641</v>
      </c>
      <c r="B1191" s="243" t="s">
        <v>1642</v>
      </c>
      <c r="C1191" s="244" t="s">
        <v>2697</v>
      </c>
      <c r="D1191" s="243" t="s">
        <v>34</v>
      </c>
      <c r="E1191" s="243" t="s">
        <v>1644</v>
      </c>
      <c r="F1191" s="259" t="s">
        <v>35</v>
      </c>
      <c r="G1191" s="259">
        <v>1</v>
      </c>
      <c r="H1191" s="245">
        <v>778720</v>
      </c>
      <c r="I1191" s="243" t="s">
        <v>36</v>
      </c>
      <c r="J1191" s="245">
        <f t="shared" si="39"/>
        <v>778720</v>
      </c>
      <c r="K1191" s="1435">
        <f>2032.73+29489.04+3150.72</f>
        <v>34672.49</v>
      </c>
      <c r="L1191" s="1435">
        <f>K1191</f>
        <v>34672.49</v>
      </c>
      <c r="M1191" s="246" t="s">
        <v>54</v>
      </c>
      <c r="N1191" s="261" t="s">
        <v>2698</v>
      </c>
      <c r="O1191" s="261" t="s">
        <v>2699</v>
      </c>
      <c r="P1191" s="263" t="s">
        <v>41</v>
      </c>
      <c r="Q1191" s="262">
        <v>45111</v>
      </c>
      <c r="R1191" s="263" t="s">
        <v>41</v>
      </c>
      <c r="S1191" s="262">
        <v>45111</v>
      </c>
      <c r="T1191" s="263"/>
      <c r="U1191" s="262"/>
      <c r="V1191" s="263" t="s">
        <v>41</v>
      </c>
      <c r="W1191" s="262">
        <v>45234</v>
      </c>
      <c r="X1191" s="263" t="s">
        <v>41</v>
      </c>
      <c r="Y1191" s="262">
        <v>45291</v>
      </c>
      <c r="Z1191" s="263" t="s">
        <v>40</v>
      </c>
      <c r="AA1191" s="262"/>
      <c r="AB1191" s="263" t="s">
        <v>40</v>
      </c>
      <c r="AC1191" s="262"/>
      <c r="AD1191" s="262"/>
      <c r="AE1191" s="262">
        <v>45565</v>
      </c>
      <c r="AF1191" s="263" t="s">
        <v>65</v>
      </c>
      <c r="AG1191" s="270">
        <v>2026</v>
      </c>
      <c r="AH1191" s="261">
        <f t="shared" si="40"/>
        <v>170571.31455499999</v>
      </c>
      <c r="AI1191" s="261"/>
      <c r="AJ1191" s="261"/>
      <c r="AK1191" s="259" t="s">
        <v>43</v>
      </c>
      <c r="AL1191" s="259" t="s">
        <v>41</v>
      </c>
      <c r="AM1191" s="266">
        <v>0</v>
      </c>
      <c r="AN1191" s="67"/>
      <c r="AO1191" s="256"/>
      <c r="AP1191" s="257"/>
    </row>
    <row r="1192" spans="1:42" s="258" customFormat="1" ht="37.950000000000003" customHeight="1" x14ac:dyDescent="0.3">
      <c r="A1192" s="259" t="s">
        <v>1641</v>
      </c>
      <c r="B1192" s="243" t="s">
        <v>1642</v>
      </c>
      <c r="C1192" s="244" t="s">
        <v>2700</v>
      </c>
      <c r="D1192" s="243" t="s">
        <v>34</v>
      </c>
      <c r="E1192" s="243" t="s">
        <v>1644</v>
      </c>
      <c r="F1192" s="259" t="s">
        <v>35</v>
      </c>
      <c r="G1192" s="259">
        <v>1</v>
      </c>
      <c r="H1192" s="245">
        <v>754440</v>
      </c>
      <c r="I1192" s="243" t="s">
        <v>36</v>
      </c>
      <c r="J1192" s="245">
        <f t="shared" si="39"/>
        <v>754440</v>
      </c>
      <c r="K1192" s="1695">
        <f>27130.91</f>
        <v>27130.91</v>
      </c>
      <c r="L1192" s="1695">
        <f>K1192</f>
        <v>27130.91</v>
      </c>
      <c r="M1192" s="246" t="s">
        <v>57</v>
      </c>
      <c r="N1192" s="261" t="s">
        <v>2701</v>
      </c>
      <c r="O1192" s="261" t="s">
        <v>2702</v>
      </c>
      <c r="P1192" s="263" t="s">
        <v>41</v>
      </c>
      <c r="Q1192" s="262">
        <v>45111</v>
      </c>
      <c r="R1192" s="263" t="s">
        <v>41</v>
      </c>
      <c r="S1192" s="262">
        <v>45111</v>
      </c>
      <c r="T1192" s="263"/>
      <c r="U1192" s="262"/>
      <c r="V1192" s="263" t="s">
        <v>41</v>
      </c>
      <c r="W1192" s="262">
        <v>45234</v>
      </c>
      <c r="X1192" s="263" t="s">
        <v>41</v>
      </c>
      <c r="Y1192" s="262">
        <v>45291</v>
      </c>
      <c r="Z1192" s="263" t="s">
        <v>40</v>
      </c>
      <c r="AA1192" s="262"/>
      <c r="AB1192" s="263" t="s">
        <v>40</v>
      </c>
      <c r="AC1192" s="262"/>
      <c r="AD1192" s="262"/>
      <c r="AE1192" s="262">
        <v>45565</v>
      </c>
      <c r="AF1192" s="263" t="s">
        <v>65</v>
      </c>
      <c r="AG1192" s="270">
        <v>2026</v>
      </c>
      <c r="AH1192" s="261">
        <f t="shared" si="40"/>
        <v>133470.511745</v>
      </c>
      <c r="AI1192" s="261"/>
      <c r="AJ1192" s="261"/>
      <c r="AK1192" s="259" t="s">
        <v>43</v>
      </c>
      <c r="AL1192" s="259" t="s">
        <v>41</v>
      </c>
      <c r="AM1192" s="266">
        <v>0</v>
      </c>
      <c r="AN1192" s="67"/>
      <c r="AO1192" s="256"/>
      <c r="AP1192" s="257"/>
    </row>
    <row r="1193" spans="1:42" s="258" customFormat="1" ht="37.950000000000003" customHeight="1" x14ac:dyDescent="0.3">
      <c r="A1193" s="259" t="s">
        <v>1641</v>
      </c>
      <c r="B1193" s="243" t="s">
        <v>1642</v>
      </c>
      <c r="C1193" s="244" t="s">
        <v>2703</v>
      </c>
      <c r="D1193" s="243" t="s">
        <v>34</v>
      </c>
      <c r="E1193" s="243" t="s">
        <v>1644</v>
      </c>
      <c r="F1193" s="259" t="s">
        <v>35</v>
      </c>
      <c r="G1193" s="259">
        <v>1</v>
      </c>
      <c r="H1193" s="245">
        <v>778720.2</v>
      </c>
      <c r="I1193" s="243" t="s">
        <v>36</v>
      </c>
      <c r="J1193" s="245">
        <f t="shared" si="39"/>
        <v>778720.2</v>
      </c>
      <c r="K1193" s="1695">
        <v>24795</v>
      </c>
      <c r="L1193" s="1695">
        <v>24795</v>
      </c>
      <c r="M1193" s="246" t="s">
        <v>63</v>
      </c>
      <c r="N1193" s="261" t="s">
        <v>2704</v>
      </c>
      <c r="O1193" s="261" t="s">
        <v>2705</v>
      </c>
      <c r="P1193" s="263" t="s">
        <v>41</v>
      </c>
      <c r="Q1193" s="262">
        <v>45111</v>
      </c>
      <c r="R1193" s="263" t="s">
        <v>41</v>
      </c>
      <c r="S1193" s="262">
        <v>45111</v>
      </c>
      <c r="T1193" s="263"/>
      <c r="U1193" s="262"/>
      <c r="V1193" s="263" t="s">
        <v>41</v>
      </c>
      <c r="W1193" s="262">
        <v>45234</v>
      </c>
      <c r="X1193" s="263" t="s">
        <v>41</v>
      </c>
      <c r="Y1193" s="262">
        <v>45291</v>
      </c>
      <c r="Z1193" s="263" t="s">
        <v>40</v>
      </c>
      <c r="AA1193" s="262"/>
      <c r="AB1193" s="263" t="s">
        <v>40</v>
      </c>
      <c r="AC1193" s="262"/>
      <c r="AD1193" s="262"/>
      <c r="AE1193" s="262">
        <v>45565</v>
      </c>
      <c r="AF1193" s="263" t="s">
        <v>65</v>
      </c>
      <c r="AG1193" s="270">
        <v>2026</v>
      </c>
      <c r="AH1193" s="261">
        <f t="shared" si="40"/>
        <v>121979.0025</v>
      </c>
      <c r="AI1193" s="261"/>
      <c r="AJ1193" s="261"/>
      <c r="AK1193" s="259" t="s">
        <v>43</v>
      </c>
      <c r="AL1193" s="259" t="s">
        <v>41</v>
      </c>
      <c r="AM1193" s="266">
        <v>0</v>
      </c>
      <c r="AN1193" s="67"/>
      <c r="AO1193" s="256"/>
      <c r="AP1193" s="257"/>
    </row>
    <row r="1194" spans="1:42" s="258" customFormat="1" ht="37.950000000000003" customHeight="1" x14ac:dyDescent="0.3">
      <c r="A1194" s="259" t="s">
        <v>1641</v>
      </c>
      <c r="B1194" s="243" t="s">
        <v>1642</v>
      </c>
      <c r="C1194" s="244" t="s">
        <v>2706</v>
      </c>
      <c r="D1194" s="243" t="s">
        <v>34</v>
      </c>
      <c r="E1194" s="243" t="s">
        <v>1644</v>
      </c>
      <c r="F1194" s="259" t="s">
        <v>35</v>
      </c>
      <c r="G1194" s="259">
        <v>1</v>
      </c>
      <c r="H1194" s="245">
        <v>778720.2</v>
      </c>
      <c r="I1194" s="243" t="s">
        <v>36</v>
      </c>
      <c r="J1194" s="245">
        <f t="shared" si="39"/>
        <v>778720.2</v>
      </c>
      <c r="K1194" s="1435">
        <f>2418.95+14997.46+37627.16+10366.9</f>
        <v>65410.470000000008</v>
      </c>
      <c r="L1194" s="1435">
        <f>2418.95+14997.46+37627.16+10366.9</f>
        <v>65410.470000000008</v>
      </c>
      <c r="M1194" s="246" t="s">
        <v>303</v>
      </c>
      <c r="N1194" s="261" t="s">
        <v>2707</v>
      </c>
      <c r="O1194" s="261" t="s">
        <v>2708</v>
      </c>
      <c r="P1194" s="263" t="s">
        <v>41</v>
      </c>
      <c r="Q1194" s="262">
        <v>45111</v>
      </c>
      <c r="R1194" s="263" t="s">
        <v>41</v>
      </c>
      <c r="S1194" s="262">
        <v>45111</v>
      </c>
      <c r="T1194" s="263"/>
      <c r="U1194" s="262"/>
      <c r="V1194" s="263" t="s">
        <v>41</v>
      </c>
      <c r="W1194" s="262">
        <v>45234</v>
      </c>
      <c r="X1194" s="263" t="s">
        <v>41</v>
      </c>
      <c r="Y1194" s="262">
        <v>45291</v>
      </c>
      <c r="Z1194" s="263" t="s">
        <v>40</v>
      </c>
      <c r="AA1194" s="262"/>
      <c r="AB1194" s="263" t="s">
        <v>40</v>
      </c>
      <c r="AC1194" s="262"/>
      <c r="AD1194" s="262"/>
      <c r="AE1194" s="262">
        <v>45565</v>
      </c>
      <c r="AF1194" s="263" t="s">
        <v>65</v>
      </c>
      <c r="AG1194" s="270">
        <v>2026</v>
      </c>
      <c r="AH1194" s="261">
        <f t="shared" si="40"/>
        <v>321786.80716500006</v>
      </c>
      <c r="AI1194" s="261"/>
      <c r="AJ1194" s="261"/>
      <c r="AK1194" s="259" t="s">
        <v>43</v>
      </c>
      <c r="AL1194" s="259" t="s">
        <v>41</v>
      </c>
      <c r="AM1194" s="266">
        <v>0</v>
      </c>
      <c r="AN1194" s="67"/>
      <c r="AO1194" s="256"/>
      <c r="AP1194" s="257"/>
    </row>
    <row r="1195" spans="1:42" s="258" customFormat="1" ht="37.950000000000003" customHeight="1" x14ac:dyDescent="0.3">
      <c r="A1195" s="259" t="s">
        <v>1641</v>
      </c>
      <c r="B1195" s="243" t="s">
        <v>1642</v>
      </c>
      <c r="C1195" s="244" t="s">
        <v>2709</v>
      </c>
      <c r="D1195" s="243" t="s">
        <v>34</v>
      </c>
      <c r="E1195" s="243" t="s">
        <v>1644</v>
      </c>
      <c r="F1195" s="259" t="s">
        <v>35</v>
      </c>
      <c r="G1195" s="259">
        <v>1</v>
      </c>
      <c r="H1195" s="245">
        <v>756305.66</v>
      </c>
      <c r="I1195" s="243" t="s">
        <v>36</v>
      </c>
      <c r="J1195" s="245">
        <f t="shared" si="39"/>
        <v>756305.66</v>
      </c>
      <c r="K1195" s="1435">
        <f>29569.87</f>
        <v>29569.87</v>
      </c>
      <c r="L1195" s="1435">
        <f>29569.87</f>
        <v>29569.87</v>
      </c>
      <c r="M1195" s="246" t="s">
        <v>351</v>
      </c>
      <c r="N1195" s="261" t="s">
        <v>2710</v>
      </c>
      <c r="O1195" s="261" t="s">
        <v>2711</v>
      </c>
      <c r="P1195" s="263" t="s">
        <v>41</v>
      </c>
      <c r="Q1195" s="262">
        <v>45111</v>
      </c>
      <c r="R1195" s="263" t="s">
        <v>41</v>
      </c>
      <c r="S1195" s="262">
        <v>45111</v>
      </c>
      <c r="T1195" s="263"/>
      <c r="U1195" s="262"/>
      <c r="V1195" s="263" t="s">
        <v>41</v>
      </c>
      <c r="W1195" s="262">
        <v>45234</v>
      </c>
      <c r="X1195" s="263" t="s">
        <v>41</v>
      </c>
      <c r="Y1195" s="262">
        <v>45291</v>
      </c>
      <c r="Z1195" s="263" t="s">
        <v>40</v>
      </c>
      <c r="AA1195" s="262"/>
      <c r="AB1195" s="263" t="s">
        <v>40</v>
      </c>
      <c r="AC1195" s="262"/>
      <c r="AD1195" s="262"/>
      <c r="AE1195" s="262">
        <v>45565</v>
      </c>
      <c r="AF1195" s="263" t="s">
        <v>65</v>
      </c>
      <c r="AG1195" s="270">
        <v>2026</v>
      </c>
      <c r="AH1195" s="261">
        <f t="shared" si="40"/>
        <v>145468.975465</v>
      </c>
      <c r="AI1195" s="261"/>
      <c r="AJ1195" s="261"/>
      <c r="AK1195" s="259" t="s">
        <v>43</v>
      </c>
      <c r="AL1195" s="259" t="s">
        <v>41</v>
      </c>
      <c r="AM1195" s="266">
        <v>0</v>
      </c>
      <c r="AN1195" s="67"/>
      <c r="AO1195" s="256"/>
      <c r="AP1195" s="257"/>
    </row>
    <row r="1196" spans="1:42" s="258" customFormat="1" ht="37.950000000000003" customHeight="1" x14ac:dyDescent="0.3">
      <c r="A1196" s="259" t="s">
        <v>1641</v>
      </c>
      <c r="B1196" s="243" t="s">
        <v>1642</v>
      </c>
      <c r="C1196" s="244" t="s">
        <v>2712</v>
      </c>
      <c r="D1196" s="243" t="s">
        <v>34</v>
      </c>
      <c r="E1196" s="243" t="s">
        <v>1644</v>
      </c>
      <c r="F1196" s="259" t="s">
        <v>35</v>
      </c>
      <c r="G1196" s="259">
        <v>1</v>
      </c>
      <c r="H1196" s="245">
        <v>778720.2</v>
      </c>
      <c r="I1196" s="243" t="s">
        <v>36</v>
      </c>
      <c r="J1196" s="245">
        <f t="shared" si="39"/>
        <v>778720.2</v>
      </c>
      <c r="K1196" s="1695">
        <f>36057.52+6017.13</f>
        <v>42074.649999999994</v>
      </c>
      <c r="L1196" s="1695">
        <f>36057.52+6017.13</f>
        <v>42074.649999999994</v>
      </c>
      <c r="M1196" s="246" t="s">
        <v>54</v>
      </c>
      <c r="N1196" s="261" t="s">
        <v>1372</v>
      </c>
      <c r="O1196" s="261" t="s">
        <v>2713</v>
      </c>
      <c r="P1196" s="263" t="s">
        <v>41</v>
      </c>
      <c r="Q1196" s="262">
        <v>45111</v>
      </c>
      <c r="R1196" s="263" t="s">
        <v>41</v>
      </c>
      <c r="S1196" s="262">
        <v>45111</v>
      </c>
      <c r="T1196" s="263"/>
      <c r="U1196" s="262"/>
      <c r="V1196" s="263" t="s">
        <v>41</v>
      </c>
      <c r="W1196" s="262">
        <v>45234</v>
      </c>
      <c r="X1196" s="263" t="s">
        <v>41</v>
      </c>
      <c r="Y1196" s="262">
        <v>45291</v>
      </c>
      <c r="Z1196" s="263" t="s">
        <v>40</v>
      </c>
      <c r="AA1196" s="262"/>
      <c r="AB1196" s="263" t="s">
        <v>40</v>
      </c>
      <c r="AC1196" s="262"/>
      <c r="AD1196" s="262"/>
      <c r="AE1196" s="262">
        <v>45565</v>
      </c>
      <c r="AF1196" s="263" t="s">
        <v>65</v>
      </c>
      <c r="AG1196" s="270">
        <v>2026</v>
      </c>
      <c r="AH1196" s="261">
        <f t="shared" si="40"/>
        <v>206986.24067499998</v>
      </c>
      <c r="AI1196" s="261"/>
      <c r="AJ1196" s="261"/>
      <c r="AK1196" s="259" t="s">
        <v>43</v>
      </c>
      <c r="AL1196" s="259" t="s">
        <v>41</v>
      </c>
      <c r="AM1196" s="266">
        <v>0</v>
      </c>
      <c r="AN1196" s="67"/>
      <c r="AO1196" s="256"/>
      <c r="AP1196" s="257"/>
    </row>
    <row r="1197" spans="1:42" s="269" customFormat="1" ht="37.950000000000003" customHeight="1" x14ac:dyDescent="0.3">
      <c r="A1197" s="259" t="s">
        <v>1641</v>
      </c>
      <c r="B1197" s="243" t="s">
        <v>1642</v>
      </c>
      <c r="C1197" s="244" t="s">
        <v>2714</v>
      </c>
      <c r="D1197" s="243" t="s">
        <v>34</v>
      </c>
      <c r="E1197" s="243" t="s">
        <v>1644</v>
      </c>
      <c r="F1197" s="259" t="s">
        <v>35</v>
      </c>
      <c r="G1197" s="259">
        <v>1</v>
      </c>
      <c r="H1197" s="245">
        <v>778720.2</v>
      </c>
      <c r="I1197" s="243" t="s">
        <v>36</v>
      </c>
      <c r="J1197" s="245">
        <f t="shared" si="39"/>
        <v>778720.2</v>
      </c>
      <c r="K1197" s="1695">
        <f>15245.45+31567.23</f>
        <v>46812.68</v>
      </c>
      <c r="L1197" s="1695">
        <f>K1197</f>
        <v>46812.68</v>
      </c>
      <c r="M1197" s="246" t="s">
        <v>1208</v>
      </c>
      <c r="N1197" s="261" t="s">
        <v>2715</v>
      </c>
      <c r="O1197" s="261" t="s">
        <v>2716</v>
      </c>
      <c r="P1197" s="263" t="s">
        <v>41</v>
      </c>
      <c r="Q1197" s="262">
        <v>45112</v>
      </c>
      <c r="R1197" s="263" t="s">
        <v>41</v>
      </c>
      <c r="S1197" s="262">
        <v>45112</v>
      </c>
      <c r="T1197" s="263"/>
      <c r="U1197" s="262"/>
      <c r="V1197" s="263" t="s">
        <v>41</v>
      </c>
      <c r="W1197" s="262">
        <v>45235</v>
      </c>
      <c r="X1197" s="263" t="s">
        <v>41</v>
      </c>
      <c r="Y1197" s="262">
        <v>45291</v>
      </c>
      <c r="Z1197" s="263" t="s">
        <v>40</v>
      </c>
      <c r="AA1197" s="262"/>
      <c r="AB1197" s="263" t="s">
        <v>40</v>
      </c>
      <c r="AC1197" s="262"/>
      <c r="AD1197" s="262"/>
      <c r="AE1197" s="262">
        <v>45565</v>
      </c>
      <c r="AF1197" s="263" t="s">
        <v>65</v>
      </c>
      <c r="AG1197" s="270">
        <v>2026</v>
      </c>
      <c r="AH1197" s="261">
        <f t="shared" si="40"/>
        <v>230294.97926000002</v>
      </c>
      <c r="AI1197" s="261"/>
      <c r="AJ1197" s="261"/>
      <c r="AK1197" s="259" t="s">
        <v>43</v>
      </c>
      <c r="AL1197" s="259" t="s">
        <v>41</v>
      </c>
      <c r="AM1197" s="266">
        <v>0</v>
      </c>
      <c r="AN1197" s="67"/>
      <c r="AO1197" s="267"/>
      <c r="AP1197" s="268"/>
    </row>
    <row r="1198" spans="1:42" s="258" customFormat="1" ht="37.950000000000003" customHeight="1" x14ac:dyDescent="0.3">
      <c r="A1198" s="259" t="s">
        <v>1641</v>
      </c>
      <c r="B1198" s="243" t="s">
        <v>1642</v>
      </c>
      <c r="C1198" s="244" t="s">
        <v>2717</v>
      </c>
      <c r="D1198" s="243" t="s">
        <v>34</v>
      </c>
      <c r="E1198" s="243" t="s">
        <v>1644</v>
      </c>
      <c r="F1198" s="259" t="s">
        <v>35</v>
      </c>
      <c r="G1198" s="259">
        <v>1</v>
      </c>
      <c r="H1198" s="245">
        <v>778720.2</v>
      </c>
      <c r="I1198" s="243" t="s">
        <v>36</v>
      </c>
      <c r="J1198" s="245">
        <f t="shared" si="39"/>
        <v>778720.2</v>
      </c>
      <c r="K1198" s="1435">
        <f>4472+50005.08</f>
        <v>54477.08</v>
      </c>
      <c r="L1198" s="1435">
        <f>K1198</f>
        <v>54477.08</v>
      </c>
      <c r="M1198" s="246" t="s">
        <v>80</v>
      </c>
      <c r="N1198" s="261" t="s">
        <v>2718</v>
      </c>
      <c r="O1198" s="261" t="s">
        <v>2719</v>
      </c>
      <c r="P1198" s="263" t="s">
        <v>41</v>
      </c>
      <c r="Q1198" s="262">
        <v>45113</v>
      </c>
      <c r="R1198" s="263" t="s">
        <v>41</v>
      </c>
      <c r="S1198" s="262">
        <v>45113</v>
      </c>
      <c r="T1198" s="263"/>
      <c r="U1198" s="262"/>
      <c r="V1198" s="263" t="s">
        <v>41</v>
      </c>
      <c r="W1198" s="262">
        <v>45236</v>
      </c>
      <c r="X1198" s="263" t="s">
        <v>41</v>
      </c>
      <c r="Y1198" s="262">
        <v>45291</v>
      </c>
      <c r="Z1198" s="263" t="s">
        <v>40</v>
      </c>
      <c r="AA1198" s="262"/>
      <c r="AB1198" s="263" t="s">
        <v>40</v>
      </c>
      <c r="AC1198" s="262"/>
      <c r="AD1198" s="262"/>
      <c r="AE1198" s="262">
        <v>45565</v>
      </c>
      <c r="AF1198" s="263" t="s">
        <v>65</v>
      </c>
      <c r="AG1198" s="270">
        <v>2026</v>
      </c>
      <c r="AH1198" s="261">
        <f t="shared" si="40"/>
        <v>267999.99506000004</v>
      </c>
      <c r="AI1198" s="261"/>
      <c r="AJ1198" s="261"/>
      <c r="AK1198" s="259" t="s">
        <v>43</v>
      </c>
      <c r="AL1198" s="259" t="s">
        <v>41</v>
      </c>
      <c r="AM1198" s="266">
        <v>0</v>
      </c>
      <c r="AN1198" s="67"/>
      <c r="AO1198" s="256"/>
      <c r="AP1198" s="257"/>
    </row>
    <row r="1199" spans="1:42" s="258" customFormat="1" ht="37.950000000000003" customHeight="1" x14ac:dyDescent="0.3">
      <c r="A1199" s="259" t="s">
        <v>1641</v>
      </c>
      <c r="B1199" s="243" t="s">
        <v>1642</v>
      </c>
      <c r="C1199" s="244" t="s">
        <v>2720</v>
      </c>
      <c r="D1199" s="243" t="s">
        <v>34</v>
      </c>
      <c r="E1199" s="243" t="s">
        <v>1644</v>
      </c>
      <c r="F1199" s="259" t="s">
        <v>35</v>
      </c>
      <c r="G1199" s="259">
        <v>4</v>
      </c>
      <c r="H1199" s="245">
        <v>2336160.59</v>
      </c>
      <c r="I1199" s="243" t="s">
        <v>36</v>
      </c>
      <c r="J1199" s="245">
        <f t="shared" si="39"/>
        <v>2336160.59</v>
      </c>
      <c r="K1199" s="1695">
        <f>5477.1+41091.83+969.48+30185.99</f>
        <v>77724.400000000009</v>
      </c>
      <c r="L1199" s="1695">
        <f>K1199</f>
        <v>77724.400000000009</v>
      </c>
      <c r="M1199" s="246" t="s">
        <v>72</v>
      </c>
      <c r="N1199" s="261" t="s">
        <v>2721</v>
      </c>
      <c r="O1199" s="261" t="s">
        <v>2722</v>
      </c>
      <c r="P1199" s="263" t="s">
        <v>41</v>
      </c>
      <c r="Q1199" s="262">
        <v>45113</v>
      </c>
      <c r="R1199" s="263" t="s">
        <v>41</v>
      </c>
      <c r="S1199" s="262">
        <v>45113</v>
      </c>
      <c r="T1199" s="263"/>
      <c r="U1199" s="262"/>
      <c r="V1199" s="263" t="s">
        <v>41</v>
      </c>
      <c r="W1199" s="262">
        <v>45236</v>
      </c>
      <c r="X1199" s="263" t="s">
        <v>41</v>
      </c>
      <c r="Y1199" s="262">
        <v>45291</v>
      </c>
      <c r="Z1199" s="263" t="s">
        <v>40</v>
      </c>
      <c r="AA1199" s="262"/>
      <c r="AB1199" s="263" t="s">
        <v>40</v>
      </c>
      <c r="AC1199" s="262"/>
      <c r="AD1199" s="262"/>
      <c r="AE1199" s="262">
        <v>45565</v>
      </c>
      <c r="AF1199" s="263" t="s">
        <v>65</v>
      </c>
      <c r="AG1199" s="270">
        <v>2026</v>
      </c>
      <c r="AH1199" s="261">
        <f t="shared" si="40"/>
        <v>382365.18580000004</v>
      </c>
      <c r="AI1199" s="261"/>
      <c r="AJ1199" s="261"/>
      <c r="AK1199" s="259" t="s">
        <v>43</v>
      </c>
      <c r="AL1199" s="259" t="s">
        <v>41</v>
      </c>
      <c r="AM1199" s="266">
        <v>0</v>
      </c>
      <c r="AN1199" s="67"/>
      <c r="AO1199" s="256"/>
      <c r="AP1199" s="257"/>
    </row>
    <row r="1200" spans="1:42" s="258" customFormat="1" ht="37.950000000000003" customHeight="1" x14ac:dyDescent="0.3">
      <c r="A1200" s="259" t="s">
        <v>1641</v>
      </c>
      <c r="B1200" s="243" t="s">
        <v>1642</v>
      </c>
      <c r="C1200" s="297" t="s">
        <v>2723</v>
      </c>
      <c r="D1200" s="243" t="s">
        <v>34</v>
      </c>
      <c r="E1200" s="243" t="s">
        <v>1644</v>
      </c>
      <c r="F1200" s="259" t="s">
        <v>35</v>
      </c>
      <c r="G1200" s="259">
        <v>1</v>
      </c>
      <c r="H1200" s="245">
        <v>778534.40000000002</v>
      </c>
      <c r="I1200" s="243" t="s">
        <v>36</v>
      </c>
      <c r="J1200" s="245">
        <f t="shared" si="39"/>
        <v>778534.40000000002</v>
      </c>
      <c r="K1200" s="1695">
        <v>0</v>
      </c>
      <c r="L1200" s="1695">
        <v>0</v>
      </c>
      <c r="M1200" s="246" t="s">
        <v>2724</v>
      </c>
      <c r="N1200" s="261" t="s">
        <v>1255</v>
      </c>
      <c r="O1200" s="261" t="s">
        <v>2725</v>
      </c>
      <c r="P1200" s="263" t="s">
        <v>41</v>
      </c>
      <c r="Q1200" s="263"/>
      <c r="R1200" s="263" t="s">
        <v>41</v>
      </c>
      <c r="S1200" s="263"/>
      <c r="T1200" s="263"/>
      <c r="U1200" s="263"/>
      <c r="V1200" s="263" t="s">
        <v>41</v>
      </c>
      <c r="W1200" s="263"/>
      <c r="X1200" s="263" t="s">
        <v>41</v>
      </c>
      <c r="Y1200" s="263"/>
      <c r="Z1200" s="263" t="s">
        <v>40</v>
      </c>
      <c r="AA1200" s="263"/>
      <c r="AB1200" s="263" t="s">
        <v>40</v>
      </c>
      <c r="AC1200" s="263"/>
      <c r="AD1200" s="263"/>
      <c r="AE1200" s="263"/>
      <c r="AF1200" s="263" t="s">
        <v>65</v>
      </c>
      <c r="AG1200" s="263">
        <v>2026</v>
      </c>
      <c r="AH1200" s="261">
        <f t="shared" si="40"/>
        <v>0</v>
      </c>
      <c r="AI1200" s="261"/>
      <c r="AJ1200" s="261"/>
      <c r="AK1200" s="259" t="s">
        <v>43</v>
      </c>
      <c r="AL1200" s="259" t="s">
        <v>41</v>
      </c>
      <c r="AM1200" s="266">
        <v>0</v>
      </c>
      <c r="AN1200" s="67"/>
      <c r="AO1200" s="256"/>
      <c r="AP1200" s="257"/>
    </row>
    <row r="1201" spans="1:42" s="258" customFormat="1" ht="37.950000000000003" customHeight="1" x14ac:dyDescent="0.3">
      <c r="A1201" s="259" t="s">
        <v>1641</v>
      </c>
      <c r="B1201" s="243" t="s">
        <v>1642</v>
      </c>
      <c r="C1201" s="244" t="s">
        <v>2726</v>
      </c>
      <c r="D1201" s="243" t="s">
        <v>34</v>
      </c>
      <c r="E1201" s="243" t="s">
        <v>1644</v>
      </c>
      <c r="F1201" s="259" t="s">
        <v>35</v>
      </c>
      <c r="G1201" s="259">
        <v>1</v>
      </c>
      <c r="H1201" s="245">
        <v>778720.2</v>
      </c>
      <c r="I1201" s="243" t="s">
        <v>36</v>
      </c>
      <c r="J1201" s="245">
        <f t="shared" si="39"/>
        <v>778720.2</v>
      </c>
      <c r="K1201" s="1695">
        <f>25612.358</f>
        <v>25612.358</v>
      </c>
      <c r="L1201" s="1695">
        <f>25612.358</f>
        <v>25612.358</v>
      </c>
      <c r="M1201" s="246" t="s">
        <v>412</v>
      </c>
      <c r="N1201" s="261" t="s">
        <v>2727</v>
      </c>
      <c r="O1201" s="261" t="s">
        <v>2728</v>
      </c>
      <c r="P1201" s="263" t="s">
        <v>41</v>
      </c>
      <c r="Q1201" s="262">
        <v>45126</v>
      </c>
      <c r="R1201" s="263" t="s">
        <v>41</v>
      </c>
      <c r="S1201" s="262">
        <v>45126</v>
      </c>
      <c r="T1201" s="263"/>
      <c r="U1201" s="262"/>
      <c r="V1201" s="263" t="s">
        <v>41</v>
      </c>
      <c r="W1201" s="262">
        <v>45249</v>
      </c>
      <c r="X1201" s="263" t="s">
        <v>41</v>
      </c>
      <c r="Y1201" s="262">
        <v>45291</v>
      </c>
      <c r="Z1201" s="263" t="s">
        <v>40</v>
      </c>
      <c r="AA1201" s="262"/>
      <c r="AB1201" s="263" t="s">
        <v>40</v>
      </c>
      <c r="AC1201" s="262"/>
      <c r="AD1201" s="262"/>
      <c r="AE1201" s="262">
        <v>45565</v>
      </c>
      <c r="AF1201" s="263" t="s">
        <v>65</v>
      </c>
      <c r="AG1201" s="270">
        <v>2026</v>
      </c>
      <c r="AH1201" s="261">
        <f t="shared" si="40"/>
        <v>125999.99518100001</v>
      </c>
      <c r="AI1201" s="261"/>
      <c r="AJ1201" s="261"/>
      <c r="AK1201" s="259" t="s">
        <v>43</v>
      </c>
      <c r="AL1201" s="259" t="s">
        <v>41</v>
      </c>
      <c r="AM1201" s="266">
        <v>0</v>
      </c>
      <c r="AN1201" s="67"/>
      <c r="AO1201" s="256"/>
      <c r="AP1201" s="257"/>
    </row>
    <row r="1202" spans="1:42" s="258" customFormat="1" ht="65.400000000000006" customHeight="1" x14ac:dyDescent="0.3">
      <c r="A1202" s="259" t="s">
        <v>1641</v>
      </c>
      <c r="B1202" s="243" t="s">
        <v>1642</v>
      </c>
      <c r="C1202" s="244" t="s">
        <v>2729</v>
      </c>
      <c r="D1202" s="243" t="s">
        <v>34</v>
      </c>
      <c r="E1202" s="243" t="s">
        <v>1644</v>
      </c>
      <c r="F1202" s="259" t="s">
        <v>35</v>
      </c>
      <c r="G1202" s="259">
        <v>1</v>
      </c>
      <c r="H1202" s="245">
        <v>778719.99</v>
      </c>
      <c r="I1202" s="243" t="s">
        <v>36</v>
      </c>
      <c r="J1202" s="245">
        <f t="shared" si="39"/>
        <v>778719.99</v>
      </c>
      <c r="K1202" s="1695">
        <f>9748.75+13009.45+1073.515+13009.45</f>
        <v>36841.165000000001</v>
      </c>
      <c r="L1202" s="1695">
        <f>K1202</f>
        <v>36841.165000000001</v>
      </c>
      <c r="M1202" s="246" t="s">
        <v>84</v>
      </c>
      <c r="N1202" s="261" t="s">
        <v>2730</v>
      </c>
      <c r="O1202" s="261" t="s">
        <v>2731</v>
      </c>
      <c r="P1202" s="263" t="s">
        <v>41</v>
      </c>
      <c r="Q1202" s="262">
        <v>45126</v>
      </c>
      <c r="R1202" s="263" t="s">
        <v>41</v>
      </c>
      <c r="S1202" s="262">
        <v>45126</v>
      </c>
      <c r="T1202" s="263"/>
      <c r="U1202" s="262"/>
      <c r="V1202" s="263" t="s">
        <v>41</v>
      </c>
      <c r="W1202" s="262">
        <v>45249</v>
      </c>
      <c r="X1202" s="263" t="s">
        <v>41</v>
      </c>
      <c r="Y1202" s="262">
        <v>45291</v>
      </c>
      <c r="Z1202" s="263" t="s">
        <v>40</v>
      </c>
      <c r="AA1202" s="262"/>
      <c r="AB1202" s="263" t="s">
        <v>40</v>
      </c>
      <c r="AC1202" s="262"/>
      <c r="AD1202" s="262"/>
      <c r="AE1202" s="262">
        <v>45565</v>
      </c>
      <c r="AF1202" s="263" t="s">
        <v>65</v>
      </c>
      <c r="AG1202" s="270">
        <v>2026</v>
      </c>
      <c r="AH1202" s="261">
        <f t="shared" si="40"/>
        <v>181240.1112175</v>
      </c>
      <c r="AI1202" s="261"/>
      <c r="AJ1202" s="261"/>
      <c r="AK1202" s="259" t="s">
        <v>43</v>
      </c>
      <c r="AL1202" s="259" t="s">
        <v>41</v>
      </c>
      <c r="AM1202" s="266">
        <v>0</v>
      </c>
      <c r="AN1202" s="67"/>
      <c r="AO1202" s="256"/>
      <c r="AP1202" s="257"/>
    </row>
    <row r="1203" spans="1:42" s="258" customFormat="1" ht="49.2" customHeight="1" x14ac:dyDescent="0.3">
      <c r="A1203" s="259" t="s">
        <v>1641</v>
      </c>
      <c r="B1203" s="243" t="s">
        <v>1642</v>
      </c>
      <c r="C1203" s="244" t="s">
        <v>2732</v>
      </c>
      <c r="D1203" s="243" t="s">
        <v>34</v>
      </c>
      <c r="E1203" s="243" t="s">
        <v>1644</v>
      </c>
      <c r="F1203" s="259" t="s">
        <v>35</v>
      </c>
      <c r="G1203" s="259">
        <v>4</v>
      </c>
      <c r="H1203" s="245">
        <v>3114880.78</v>
      </c>
      <c r="I1203" s="243" t="s">
        <v>36</v>
      </c>
      <c r="J1203" s="245">
        <f t="shared" si="39"/>
        <v>3114880.78</v>
      </c>
      <c r="K1203" s="1695">
        <f>97103.36</f>
        <v>97103.360000000001</v>
      </c>
      <c r="L1203" s="1695">
        <f>97103.36</f>
        <v>97103.360000000001</v>
      </c>
      <c r="M1203" s="246" t="s">
        <v>71</v>
      </c>
      <c r="N1203" s="261" t="s">
        <v>2733</v>
      </c>
      <c r="O1203" s="261" t="s">
        <v>2734</v>
      </c>
      <c r="P1203" s="263" t="s">
        <v>41</v>
      </c>
      <c r="Q1203" s="262">
        <v>45126</v>
      </c>
      <c r="R1203" s="263" t="s">
        <v>41</v>
      </c>
      <c r="S1203" s="262">
        <v>45126</v>
      </c>
      <c r="T1203" s="263"/>
      <c r="U1203" s="262"/>
      <c r="V1203" s="263" t="s">
        <v>41</v>
      </c>
      <c r="W1203" s="262">
        <v>45249</v>
      </c>
      <c r="X1203" s="263" t="s">
        <v>41</v>
      </c>
      <c r="Y1203" s="262">
        <v>45291</v>
      </c>
      <c r="Z1203" s="263" t="s">
        <v>40</v>
      </c>
      <c r="AA1203" s="262"/>
      <c r="AB1203" s="263" t="s">
        <v>40</v>
      </c>
      <c r="AC1203" s="262"/>
      <c r="AD1203" s="262"/>
      <c r="AE1203" s="262">
        <v>45565</v>
      </c>
      <c r="AF1203" s="263" t="s">
        <v>65</v>
      </c>
      <c r="AG1203" s="270">
        <v>2026</v>
      </c>
      <c r="AH1203" s="261">
        <f t="shared" si="40"/>
        <v>477699.97952000005</v>
      </c>
      <c r="AI1203" s="261"/>
      <c r="AJ1203" s="261"/>
      <c r="AK1203" s="259" t="s">
        <v>43</v>
      </c>
      <c r="AL1203" s="259" t="s">
        <v>41</v>
      </c>
      <c r="AM1203" s="266">
        <v>0</v>
      </c>
      <c r="AN1203" s="67"/>
      <c r="AO1203" s="256"/>
      <c r="AP1203" s="257"/>
    </row>
    <row r="1204" spans="1:42" s="258" customFormat="1" ht="37.950000000000003" customHeight="1" x14ac:dyDescent="0.3">
      <c r="A1204" s="259" t="s">
        <v>1641</v>
      </c>
      <c r="B1204" s="243" t="s">
        <v>1642</v>
      </c>
      <c r="C1204" s="244" t="s">
        <v>2735</v>
      </c>
      <c r="D1204" s="243" t="s">
        <v>34</v>
      </c>
      <c r="E1204" s="243" t="s">
        <v>1644</v>
      </c>
      <c r="F1204" s="259" t="s">
        <v>35</v>
      </c>
      <c r="G1204" s="259">
        <v>1</v>
      </c>
      <c r="H1204" s="245">
        <v>778711.25</v>
      </c>
      <c r="I1204" s="243" t="s">
        <v>36</v>
      </c>
      <c r="J1204" s="245">
        <f t="shared" si="39"/>
        <v>778711.25</v>
      </c>
      <c r="K1204" s="1695">
        <v>0</v>
      </c>
      <c r="L1204" s="1695">
        <v>0</v>
      </c>
      <c r="M1204" s="246" t="s">
        <v>412</v>
      </c>
      <c r="N1204" s="261" t="s">
        <v>2736</v>
      </c>
      <c r="O1204" s="261" t="s">
        <v>2737</v>
      </c>
      <c r="P1204" s="263" t="s">
        <v>41</v>
      </c>
      <c r="Q1204" s="262">
        <v>45126</v>
      </c>
      <c r="R1204" s="263" t="s">
        <v>41</v>
      </c>
      <c r="S1204" s="262">
        <v>45126</v>
      </c>
      <c r="T1204" s="263"/>
      <c r="U1204" s="262"/>
      <c r="V1204" s="263" t="s">
        <v>41</v>
      </c>
      <c r="W1204" s="262">
        <v>45249</v>
      </c>
      <c r="X1204" s="263" t="s">
        <v>41</v>
      </c>
      <c r="Y1204" s="262">
        <v>45291</v>
      </c>
      <c r="Z1204" s="263" t="s">
        <v>40</v>
      </c>
      <c r="AA1204" s="262"/>
      <c r="AB1204" s="263" t="s">
        <v>40</v>
      </c>
      <c r="AC1204" s="262"/>
      <c r="AD1204" s="262"/>
      <c r="AE1204" s="262">
        <v>45565</v>
      </c>
      <c r="AF1204" s="263" t="s">
        <v>65</v>
      </c>
      <c r="AG1204" s="270">
        <v>2026</v>
      </c>
      <c r="AH1204" s="261">
        <f t="shared" si="40"/>
        <v>0</v>
      </c>
      <c r="AI1204" s="261"/>
      <c r="AJ1204" s="261"/>
      <c r="AK1204" s="259" t="s">
        <v>43</v>
      </c>
      <c r="AL1204" s="259" t="s">
        <v>41</v>
      </c>
      <c r="AM1204" s="266">
        <v>0</v>
      </c>
      <c r="AN1204" s="67"/>
      <c r="AO1204" s="256"/>
      <c r="AP1204" s="257"/>
    </row>
    <row r="1205" spans="1:42" s="258" customFormat="1" ht="37.950000000000003" customHeight="1" x14ac:dyDescent="0.3">
      <c r="A1205" s="259" t="s">
        <v>1641</v>
      </c>
      <c r="B1205" s="243" t="s">
        <v>1642</v>
      </c>
      <c r="C1205" s="244" t="s">
        <v>2738</v>
      </c>
      <c r="D1205" s="243" t="s">
        <v>34</v>
      </c>
      <c r="E1205" s="243" t="s">
        <v>1644</v>
      </c>
      <c r="F1205" s="259" t="s">
        <v>35</v>
      </c>
      <c r="G1205" s="259">
        <v>1</v>
      </c>
      <c r="H1205" s="245">
        <v>778720</v>
      </c>
      <c r="I1205" s="243" t="s">
        <v>36</v>
      </c>
      <c r="J1205" s="245">
        <f t="shared" si="39"/>
        <v>778720</v>
      </c>
      <c r="K1205" s="1695">
        <f>39638.17</f>
        <v>39638.17</v>
      </c>
      <c r="L1205" s="1695">
        <f>K1205</f>
        <v>39638.17</v>
      </c>
      <c r="M1205" s="246" t="s">
        <v>303</v>
      </c>
      <c r="N1205" s="261" t="s">
        <v>2739</v>
      </c>
      <c r="O1205" s="261" t="s">
        <v>2740</v>
      </c>
      <c r="P1205" s="263" t="s">
        <v>41</v>
      </c>
      <c r="Q1205" s="262">
        <v>45126</v>
      </c>
      <c r="R1205" s="263" t="s">
        <v>41</v>
      </c>
      <c r="S1205" s="262">
        <v>45126</v>
      </c>
      <c r="T1205" s="263"/>
      <c r="U1205" s="262"/>
      <c r="V1205" s="263" t="s">
        <v>41</v>
      </c>
      <c r="W1205" s="262">
        <v>45249</v>
      </c>
      <c r="X1205" s="263" t="s">
        <v>41</v>
      </c>
      <c r="Y1205" s="262">
        <v>45291</v>
      </c>
      <c r="Z1205" s="263" t="s">
        <v>40</v>
      </c>
      <c r="AA1205" s="262"/>
      <c r="AB1205" s="263" t="s">
        <v>40</v>
      </c>
      <c r="AC1205" s="262"/>
      <c r="AD1205" s="262"/>
      <c r="AE1205" s="262">
        <v>45565</v>
      </c>
      <c r="AF1205" s="263" t="s">
        <v>65</v>
      </c>
      <c r="AG1205" s="270">
        <v>2026</v>
      </c>
      <c r="AH1205" s="261">
        <f t="shared" si="40"/>
        <v>194999.977315</v>
      </c>
      <c r="AI1205" s="261"/>
      <c r="AJ1205" s="261"/>
      <c r="AK1205" s="259" t="s">
        <v>43</v>
      </c>
      <c r="AL1205" s="259" t="s">
        <v>41</v>
      </c>
      <c r="AM1205" s="266">
        <v>0</v>
      </c>
      <c r="AN1205" s="67"/>
      <c r="AO1205" s="256"/>
      <c r="AP1205" s="257"/>
    </row>
    <row r="1206" spans="1:42" s="258" customFormat="1" ht="37.950000000000003" customHeight="1" x14ac:dyDescent="0.3">
      <c r="A1206" s="259" t="s">
        <v>1641</v>
      </c>
      <c r="B1206" s="243" t="s">
        <v>1642</v>
      </c>
      <c r="C1206" s="244" t="s">
        <v>2741</v>
      </c>
      <c r="D1206" s="243" t="s">
        <v>34</v>
      </c>
      <c r="E1206" s="243" t="s">
        <v>1644</v>
      </c>
      <c r="F1206" s="259" t="s">
        <v>35</v>
      </c>
      <c r="G1206" s="259">
        <v>1</v>
      </c>
      <c r="H1206" s="245">
        <v>778534.38</v>
      </c>
      <c r="I1206" s="243" t="s">
        <v>36</v>
      </c>
      <c r="J1206" s="245">
        <f t="shared" si="39"/>
        <v>778534.38</v>
      </c>
      <c r="K1206" s="1695">
        <v>0</v>
      </c>
      <c r="L1206" s="1695">
        <v>0</v>
      </c>
      <c r="M1206" s="246" t="s">
        <v>316</v>
      </c>
      <c r="N1206" s="261" t="s">
        <v>887</v>
      </c>
      <c r="O1206" s="261" t="s">
        <v>2742</v>
      </c>
      <c r="P1206" s="263" t="s">
        <v>41</v>
      </c>
      <c r="Q1206" s="262">
        <v>45126</v>
      </c>
      <c r="R1206" s="263" t="s">
        <v>41</v>
      </c>
      <c r="S1206" s="262">
        <v>45126</v>
      </c>
      <c r="T1206" s="263"/>
      <c r="U1206" s="262"/>
      <c r="V1206" s="263" t="s">
        <v>41</v>
      </c>
      <c r="W1206" s="262">
        <v>45249</v>
      </c>
      <c r="X1206" s="263" t="s">
        <v>41</v>
      </c>
      <c r="Y1206" s="262">
        <v>45291</v>
      </c>
      <c r="Z1206" s="263" t="s">
        <v>40</v>
      </c>
      <c r="AA1206" s="262"/>
      <c r="AB1206" s="263" t="s">
        <v>40</v>
      </c>
      <c r="AC1206" s="262"/>
      <c r="AD1206" s="262"/>
      <c r="AE1206" s="262">
        <v>45565</v>
      </c>
      <c r="AF1206" s="263" t="s">
        <v>65</v>
      </c>
      <c r="AG1206" s="270">
        <v>2026</v>
      </c>
      <c r="AH1206" s="261">
        <f t="shared" si="40"/>
        <v>0</v>
      </c>
      <c r="AI1206" s="261"/>
      <c r="AJ1206" s="261"/>
      <c r="AK1206" s="259" t="s">
        <v>43</v>
      </c>
      <c r="AL1206" s="259" t="s">
        <v>41</v>
      </c>
      <c r="AM1206" s="266">
        <v>0</v>
      </c>
      <c r="AN1206" s="67"/>
      <c r="AO1206" s="256"/>
      <c r="AP1206" s="257"/>
    </row>
    <row r="1207" spans="1:42" s="258" customFormat="1" ht="37.950000000000003" customHeight="1" x14ac:dyDescent="0.3">
      <c r="A1207" s="259" t="s">
        <v>1641</v>
      </c>
      <c r="B1207" s="243" t="s">
        <v>1642</v>
      </c>
      <c r="C1207" s="244" t="s">
        <v>2743</v>
      </c>
      <c r="D1207" s="243" t="s">
        <v>34</v>
      </c>
      <c r="E1207" s="243" t="s">
        <v>1644</v>
      </c>
      <c r="F1207" s="259" t="s">
        <v>35</v>
      </c>
      <c r="G1207" s="259">
        <v>1</v>
      </c>
      <c r="H1207" s="245">
        <v>778720.2</v>
      </c>
      <c r="I1207" s="243" t="s">
        <v>36</v>
      </c>
      <c r="J1207" s="245">
        <f t="shared" si="39"/>
        <v>778720.2</v>
      </c>
      <c r="K1207" s="1695">
        <v>0</v>
      </c>
      <c r="L1207" s="1695">
        <v>0</v>
      </c>
      <c r="M1207" s="246" t="s">
        <v>72</v>
      </c>
      <c r="N1207" s="261" t="s">
        <v>2744</v>
      </c>
      <c r="O1207" s="261" t="s">
        <v>2745</v>
      </c>
      <c r="P1207" s="263" t="s">
        <v>41</v>
      </c>
      <c r="Q1207" s="262">
        <v>45126</v>
      </c>
      <c r="R1207" s="263" t="s">
        <v>41</v>
      </c>
      <c r="S1207" s="262">
        <v>45126</v>
      </c>
      <c r="T1207" s="263"/>
      <c r="U1207" s="262"/>
      <c r="V1207" s="263" t="s">
        <v>41</v>
      </c>
      <c r="W1207" s="262">
        <v>45249</v>
      </c>
      <c r="X1207" s="263" t="s">
        <v>41</v>
      </c>
      <c r="Y1207" s="262">
        <v>45291</v>
      </c>
      <c r="Z1207" s="263" t="s">
        <v>40</v>
      </c>
      <c r="AA1207" s="262"/>
      <c r="AB1207" s="263" t="s">
        <v>40</v>
      </c>
      <c r="AC1207" s="262"/>
      <c r="AD1207" s="262"/>
      <c r="AE1207" s="262">
        <v>45565</v>
      </c>
      <c r="AF1207" s="263" t="s">
        <v>65</v>
      </c>
      <c r="AG1207" s="270">
        <v>2026</v>
      </c>
      <c r="AH1207" s="261">
        <f t="shared" si="40"/>
        <v>0</v>
      </c>
      <c r="AI1207" s="261"/>
      <c r="AJ1207" s="261"/>
      <c r="AK1207" s="259" t="s">
        <v>43</v>
      </c>
      <c r="AL1207" s="259" t="s">
        <v>41</v>
      </c>
      <c r="AM1207" s="266">
        <v>0</v>
      </c>
      <c r="AN1207" s="67"/>
      <c r="AO1207" s="256"/>
      <c r="AP1207" s="257"/>
    </row>
    <row r="1208" spans="1:42" s="258" customFormat="1" ht="37.950000000000003" customHeight="1" x14ac:dyDescent="0.3">
      <c r="A1208" s="259" t="s">
        <v>1641</v>
      </c>
      <c r="B1208" s="243" t="s">
        <v>1642</v>
      </c>
      <c r="C1208" s="244" t="s">
        <v>2746</v>
      </c>
      <c r="D1208" s="243" t="s">
        <v>34</v>
      </c>
      <c r="E1208" s="243" t="s">
        <v>1644</v>
      </c>
      <c r="F1208" s="259" t="s">
        <v>35</v>
      </c>
      <c r="G1208" s="259">
        <v>1</v>
      </c>
      <c r="H1208" s="245">
        <v>778720.2</v>
      </c>
      <c r="I1208" s="243" t="s">
        <v>36</v>
      </c>
      <c r="J1208" s="245">
        <f t="shared" si="39"/>
        <v>778720.2</v>
      </c>
      <c r="K1208" s="1695">
        <v>7724.36</v>
      </c>
      <c r="L1208" s="1695">
        <v>7724.36</v>
      </c>
      <c r="M1208" s="246" t="s">
        <v>68</v>
      </c>
      <c r="N1208" s="261" t="s">
        <v>2747</v>
      </c>
      <c r="O1208" s="261" t="s">
        <v>2748</v>
      </c>
      <c r="P1208" s="263" t="s">
        <v>41</v>
      </c>
      <c r="Q1208" s="263"/>
      <c r="R1208" s="263" t="s">
        <v>41</v>
      </c>
      <c r="S1208" s="263"/>
      <c r="T1208" s="263"/>
      <c r="U1208" s="263"/>
      <c r="V1208" s="263" t="s">
        <v>41</v>
      </c>
      <c r="W1208" s="263"/>
      <c r="X1208" s="263" t="s">
        <v>41</v>
      </c>
      <c r="Y1208" s="263"/>
      <c r="Z1208" s="263" t="s">
        <v>40</v>
      </c>
      <c r="AA1208" s="263"/>
      <c r="AB1208" s="263" t="s">
        <v>40</v>
      </c>
      <c r="AC1208" s="263"/>
      <c r="AD1208" s="263"/>
      <c r="AE1208" s="263"/>
      <c r="AF1208" s="263" t="s">
        <v>65</v>
      </c>
      <c r="AG1208" s="263">
        <v>2026</v>
      </c>
      <c r="AH1208" s="261">
        <f t="shared" si="40"/>
        <v>37999.989020000001</v>
      </c>
      <c r="AI1208" s="261"/>
      <c r="AJ1208" s="261"/>
      <c r="AK1208" s="259" t="s">
        <v>43</v>
      </c>
      <c r="AL1208" s="259" t="s">
        <v>41</v>
      </c>
      <c r="AM1208" s="266">
        <v>0</v>
      </c>
      <c r="AN1208" s="67"/>
      <c r="AO1208" s="256"/>
      <c r="AP1208" s="257"/>
    </row>
    <row r="1209" spans="1:42" s="258" customFormat="1" ht="37.950000000000003" customHeight="1" x14ac:dyDescent="0.3">
      <c r="A1209" s="259" t="s">
        <v>1641</v>
      </c>
      <c r="B1209" s="243" t="s">
        <v>1642</v>
      </c>
      <c r="C1209" s="244" t="s">
        <v>2749</v>
      </c>
      <c r="D1209" s="243" t="s">
        <v>34</v>
      </c>
      <c r="E1209" s="243" t="s">
        <v>1644</v>
      </c>
      <c r="F1209" s="259" t="s">
        <v>35</v>
      </c>
      <c r="G1209" s="259">
        <v>1</v>
      </c>
      <c r="H1209" s="245">
        <v>778720.2</v>
      </c>
      <c r="I1209" s="243" t="s">
        <v>36</v>
      </c>
      <c r="J1209" s="245">
        <f t="shared" si="39"/>
        <v>778720.2</v>
      </c>
      <c r="K1209" s="1695">
        <v>0</v>
      </c>
      <c r="L1209" s="1695">
        <v>0</v>
      </c>
      <c r="M1209" s="246" t="s">
        <v>2654</v>
      </c>
      <c r="N1209" s="261" t="s">
        <v>905</v>
      </c>
      <c r="O1209" s="261" t="s">
        <v>2750</v>
      </c>
      <c r="P1209" s="263" t="s">
        <v>41</v>
      </c>
      <c r="Q1209" s="262">
        <v>45126</v>
      </c>
      <c r="R1209" s="263" t="s">
        <v>41</v>
      </c>
      <c r="S1209" s="262">
        <v>45126</v>
      </c>
      <c r="T1209" s="263"/>
      <c r="U1209" s="262"/>
      <c r="V1209" s="263" t="s">
        <v>41</v>
      </c>
      <c r="W1209" s="262">
        <v>45249</v>
      </c>
      <c r="X1209" s="263" t="s">
        <v>41</v>
      </c>
      <c r="Y1209" s="262">
        <v>45291</v>
      </c>
      <c r="Z1209" s="263" t="s">
        <v>40</v>
      </c>
      <c r="AA1209" s="262"/>
      <c r="AB1209" s="263" t="s">
        <v>40</v>
      </c>
      <c r="AC1209" s="262"/>
      <c r="AD1209" s="262"/>
      <c r="AE1209" s="262">
        <v>45565</v>
      </c>
      <c r="AF1209" s="263" t="s">
        <v>65</v>
      </c>
      <c r="AG1209" s="270">
        <v>2026</v>
      </c>
      <c r="AH1209" s="261">
        <f t="shared" si="40"/>
        <v>0</v>
      </c>
      <c r="AI1209" s="261"/>
      <c r="AJ1209" s="261"/>
      <c r="AK1209" s="259" t="s">
        <v>43</v>
      </c>
      <c r="AL1209" s="259" t="s">
        <v>41</v>
      </c>
      <c r="AM1209" s="266">
        <v>0</v>
      </c>
      <c r="AN1209" s="67"/>
      <c r="AO1209" s="256"/>
      <c r="AP1209" s="257"/>
    </row>
    <row r="1210" spans="1:42" s="258" customFormat="1" ht="37.950000000000003" customHeight="1" x14ac:dyDescent="0.3">
      <c r="A1210" s="259" t="s">
        <v>1641</v>
      </c>
      <c r="B1210" s="243" t="s">
        <v>1642</v>
      </c>
      <c r="C1210" s="244" t="s">
        <v>2751</v>
      </c>
      <c r="D1210" s="243" t="s">
        <v>34</v>
      </c>
      <c r="E1210" s="243" t="s">
        <v>1644</v>
      </c>
      <c r="F1210" s="259" t="s">
        <v>35</v>
      </c>
      <c r="G1210" s="259">
        <v>1</v>
      </c>
      <c r="H1210" s="245">
        <v>778720</v>
      </c>
      <c r="I1210" s="243" t="s">
        <v>36</v>
      </c>
      <c r="J1210" s="245">
        <f t="shared" si="39"/>
        <v>778720</v>
      </c>
      <c r="K1210" s="1435">
        <f>8540.87+14731.38+17658.3+1330.01</f>
        <v>42260.560000000005</v>
      </c>
      <c r="L1210" s="1435">
        <f>8540.87+14731.38+17658.3+1330.01</f>
        <v>42260.560000000005</v>
      </c>
      <c r="M1210" s="246" t="s">
        <v>2752</v>
      </c>
      <c r="N1210" s="261" t="s">
        <v>2752</v>
      </c>
      <c r="O1210" s="261" t="s">
        <v>2753</v>
      </c>
      <c r="P1210" s="263" t="s">
        <v>41</v>
      </c>
      <c r="Q1210" s="262">
        <v>45126</v>
      </c>
      <c r="R1210" s="263" t="s">
        <v>41</v>
      </c>
      <c r="S1210" s="262">
        <v>45126</v>
      </c>
      <c r="T1210" s="263"/>
      <c r="U1210" s="262"/>
      <c r="V1210" s="263" t="s">
        <v>41</v>
      </c>
      <c r="W1210" s="262">
        <v>45249</v>
      </c>
      <c r="X1210" s="263" t="s">
        <v>41</v>
      </c>
      <c r="Y1210" s="262">
        <v>45291</v>
      </c>
      <c r="Z1210" s="263" t="s">
        <v>40</v>
      </c>
      <c r="AA1210" s="262"/>
      <c r="AB1210" s="263" t="s">
        <v>40</v>
      </c>
      <c r="AC1210" s="262"/>
      <c r="AD1210" s="262"/>
      <c r="AE1210" s="262">
        <v>45565</v>
      </c>
      <c r="AF1210" s="263" t="s">
        <v>65</v>
      </c>
      <c r="AG1210" s="270">
        <v>2026</v>
      </c>
      <c r="AH1210" s="261">
        <f t="shared" si="40"/>
        <v>207900.82492000004</v>
      </c>
      <c r="AI1210" s="261"/>
      <c r="AJ1210" s="261"/>
      <c r="AK1210" s="259" t="s">
        <v>43</v>
      </c>
      <c r="AL1210" s="259" t="s">
        <v>41</v>
      </c>
      <c r="AM1210" s="266">
        <v>0</v>
      </c>
      <c r="AN1210" s="67"/>
      <c r="AO1210" s="256"/>
      <c r="AP1210" s="257"/>
    </row>
    <row r="1211" spans="1:42" s="258" customFormat="1" ht="37.950000000000003" customHeight="1" x14ac:dyDescent="0.3">
      <c r="A1211" s="259" t="s">
        <v>1641</v>
      </c>
      <c r="B1211" s="243" t="s">
        <v>1642</v>
      </c>
      <c r="C1211" s="244" t="s">
        <v>2754</v>
      </c>
      <c r="D1211" s="243" t="s">
        <v>34</v>
      </c>
      <c r="E1211" s="243" t="s">
        <v>1644</v>
      </c>
      <c r="F1211" s="259" t="s">
        <v>35</v>
      </c>
      <c r="G1211" s="259">
        <v>1</v>
      </c>
      <c r="H1211" s="245">
        <v>778720.2</v>
      </c>
      <c r="I1211" s="243" t="s">
        <v>36</v>
      </c>
      <c r="J1211" s="245">
        <f t="shared" si="39"/>
        <v>778720.2</v>
      </c>
      <c r="K1211" s="1695">
        <f>49709.32</f>
        <v>49709.32</v>
      </c>
      <c r="L1211" s="1695">
        <f>49709.32</f>
        <v>49709.32</v>
      </c>
      <c r="M1211" s="246" t="s">
        <v>53</v>
      </c>
      <c r="N1211" s="261" t="s">
        <v>2755</v>
      </c>
      <c r="O1211" s="261" t="s">
        <v>2756</v>
      </c>
      <c r="P1211" s="263" t="s">
        <v>41</v>
      </c>
      <c r="Q1211" s="262">
        <v>45126</v>
      </c>
      <c r="R1211" s="263" t="s">
        <v>41</v>
      </c>
      <c r="S1211" s="262">
        <v>45126</v>
      </c>
      <c r="T1211" s="263"/>
      <c r="U1211" s="262"/>
      <c r="V1211" s="263" t="s">
        <v>41</v>
      </c>
      <c r="W1211" s="262">
        <v>45249</v>
      </c>
      <c r="X1211" s="263" t="s">
        <v>41</v>
      </c>
      <c r="Y1211" s="262">
        <v>45291</v>
      </c>
      <c r="Z1211" s="263" t="s">
        <v>40</v>
      </c>
      <c r="AA1211" s="262"/>
      <c r="AB1211" s="263" t="s">
        <v>40</v>
      </c>
      <c r="AC1211" s="262"/>
      <c r="AD1211" s="262"/>
      <c r="AE1211" s="262">
        <v>45565</v>
      </c>
      <c r="AF1211" s="263" t="s">
        <v>65</v>
      </c>
      <c r="AG1211" s="270">
        <v>2026</v>
      </c>
      <c r="AH1211" s="261">
        <f t="shared" si="40"/>
        <v>244544.99974</v>
      </c>
      <c r="AI1211" s="261"/>
      <c r="AJ1211" s="261"/>
      <c r="AK1211" s="259" t="s">
        <v>43</v>
      </c>
      <c r="AL1211" s="259" t="s">
        <v>41</v>
      </c>
      <c r="AM1211" s="266">
        <v>0</v>
      </c>
      <c r="AN1211" s="67"/>
      <c r="AO1211" s="256"/>
      <c r="AP1211" s="257"/>
    </row>
    <row r="1212" spans="1:42" s="258" customFormat="1" ht="37.950000000000003" customHeight="1" x14ac:dyDescent="0.3">
      <c r="A1212" s="259" t="s">
        <v>1641</v>
      </c>
      <c r="B1212" s="243" t="s">
        <v>1642</v>
      </c>
      <c r="C1212" s="244" t="s">
        <v>2757</v>
      </c>
      <c r="D1212" s="243" t="s">
        <v>34</v>
      </c>
      <c r="E1212" s="243" t="s">
        <v>1644</v>
      </c>
      <c r="F1212" s="259" t="s">
        <v>35</v>
      </c>
      <c r="G1212" s="259">
        <v>1</v>
      </c>
      <c r="H1212" s="245">
        <v>778720.2</v>
      </c>
      <c r="I1212" s="243" t="s">
        <v>36</v>
      </c>
      <c r="J1212" s="245">
        <f t="shared" si="39"/>
        <v>778720.2</v>
      </c>
      <c r="K1212" s="1695">
        <v>49709.32</v>
      </c>
      <c r="L1212" s="1695">
        <v>49709.32</v>
      </c>
      <c r="M1212" s="246" t="s">
        <v>53</v>
      </c>
      <c r="N1212" s="261" t="s">
        <v>2758</v>
      </c>
      <c r="O1212" s="261" t="s">
        <v>2759</v>
      </c>
      <c r="P1212" s="263" t="s">
        <v>41</v>
      </c>
      <c r="Q1212" s="262">
        <v>45126</v>
      </c>
      <c r="R1212" s="263" t="s">
        <v>41</v>
      </c>
      <c r="S1212" s="262">
        <v>45126</v>
      </c>
      <c r="T1212" s="263"/>
      <c r="U1212" s="262"/>
      <c r="V1212" s="263" t="s">
        <v>41</v>
      </c>
      <c r="W1212" s="262">
        <v>45249</v>
      </c>
      <c r="X1212" s="263" t="s">
        <v>41</v>
      </c>
      <c r="Y1212" s="262">
        <v>45291</v>
      </c>
      <c r="Z1212" s="263" t="s">
        <v>40</v>
      </c>
      <c r="AA1212" s="262"/>
      <c r="AB1212" s="263" t="s">
        <v>40</v>
      </c>
      <c r="AC1212" s="262"/>
      <c r="AD1212" s="262"/>
      <c r="AE1212" s="262">
        <v>45565</v>
      </c>
      <c r="AF1212" s="263" t="s">
        <v>65</v>
      </c>
      <c r="AG1212" s="270">
        <v>2026</v>
      </c>
      <c r="AH1212" s="261">
        <f t="shared" si="40"/>
        <v>244544.99974</v>
      </c>
      <c r="AI1212" s="261"/>
      <c r="AJ1212" s="261"/>
      <c r="AK1212" s="259" t="s">
        <v>43</v>
      </c>
      <c r="AL1212" s="259" t="s">
        <v>41</v>
      </c>
      <c r="AM1212" s="266">
        <v>0</v>
      </c>
      <c r="AN1212" s="67"/>
      <c r="AO1212" s="256"/>
      <c r="AP1212" s="257"/>
    </row>
    <row r="1213" spans="1:42" s="258" customFormat="1" ht="37.950000000000003" customHeight="1" x14ac:dyDescent="0.3">
      <c r="A1213" s="259" t="s">
        <v>1641</v>
      </c>
      <c r="B1213" s="243" t="s">
        <v>1642</v>
      </c>
      <c r="C1213" s="244" t="s">
        <v>2760</v>
      </c>
      <c r="D1213" s="243" t="s">
        <v>34</v>
      </c>
      <c r="E1213" s="243" t="s">
        <v>1644</v>
      </c>
      <c r="F1213" s="259" t="s">
        <v>35</v>
      </c>
      <c r="G1213" s="259">
        <v>1</v>
      </c>
      <c r="H1213" s="245">
        <v>778720.2</v>
      </c>
      <c r="I1213" s="243" t="s">
        <v>36</v>
      </c>
      <c r="J1213" s="245">
        <f t="shared" si="39"/>
        <v>778720.2</v>
      </c>
      <c r="K1213" s="1695">
        <f>43236.1</f>
        <v>43236.1</v>
      </c>
      <c r="L1213" s="1695">
        <f>43236.1</f>
        <v>43236.1</v>
      </c>
      <c r="M1213" s="246" t="s">
        <v>151</v>
      </c>
      <c r="N1213" s="261" t="s">
        <v>2761</v>
      </c>
      <c r="O1213" s="261" t="s">
        <v>2762</v>
      </c>
      <c r="P1213" s="263" t="s">
        <v>41</v>
      </c>
      <c r="Q1213" s="262">
        <v>45126</v>
      </c>
      <c r="R1213" s="263" t="s">
        <v>41</v>
      </c>
      <c r="S1213" s="262">
        <v>45126</v>
      </c>
      <c r="T1213" s="263"/>
      <c r="U1213" s="262"/>
      <c r="V1213" s="263" t="s">
        <v>41</v>
      </c>
      <c r="W1213" s="262">
        <v>45249</v>
      </c>
      <c r="X1213" s="263" t="s">
        <v>41</v>
      </c>
      <c r="Y1213" s="262">
        <v>45291</v>
      </c>
      <c r="Z1213" s="263" t="s">
        <v>40</v>
      </c>
      <c r="AA1213" s="262"/>
      <c r="AB1213" s="263" t="s">
        <v>40</v>
      </c>
      <c r="AC1213" s="262"/>
      <c r="AD1213" s="262"/>
      <c r="AE1213" s="262">
        <v>45565</v>
      </c>
      <c r="AF1213" s="263" t="s">
        <v>65</v>
      </c>
      <c r="AG1213" s="270">
        <v>2026</v>
      </c>
      <c r="AH1213" s="261">
        <f t="shared" si="40"/>
        <v>212699.99395</v>
      </c>
      <c r="AI1213" s="261"/>
      <c r="AJ1213" s="261"/>
      <c r="AK1213" s="259" t="s">
        <v>43</v>
      </c>
      <c r="AL1213" s="259" t="s">
        <v>41</v>
      </c>
      <c r="AM1213" s="266">
        <v>0</v>
      </c>
      <c r="AN1213" s="67"/>
      <c r="AO1213" s="256"/>
      <c r="AP1213" s="257"/>
    </row>
    <row r="1214" spans="1:42" s="258" customFormat="1" ht="37.950000000000003" customHeight="1" x14ac:dyDescent="0.3">
      <c r="A1214" s="259" t="s">
        <v>1641</v>
      </c>
      <c r="B1214" s="243" t="s">
        <v>1642</v>
      </c>
      <c r="C1214" s="244" t="s">
        <v>2763</v>
      </c>
      <c r="D1214" s="243" t="s">
        <v>34</v>
      </c>
      <c r="E1214" s="243" t="s">
        <v>1644</v>
      </c>
      <c r="F1214" s="259" t="s">
        <v>35</v>
      </c>
      <c r="G1214" s="259">
        <v>1</v>
      </c>
      <c r="H1214" s="245">
        <v>778720</v>
      </c>
      <c r="I1214" s="243" t="s">
        <v>36</v>
      </c>
      <c r="J1214" s="245">
        <f t="shared" si="39"/>
        <v>778720</v>
      </c>
      <c r="K1214" s="1695">
        <f>6098.18+17278.178+12399.63+4065.45</f>
        <v>39841.437999999995</v>
      </c>
      <c r="L1214" s="1695">
        <f>K1214</f>
        <v>39841.437999999995</v>
      </c>
      <c r="M1214" s="246" t="s">
        <v>54</v>
      </c>
      <c r="N1214" s="261" t="s">
        <v>2764</v>
      </c>
      <c r="O1214" s="261" t="s">
        <v>2765</v>
      </c>
      <c r="P1214" s="263" t="s">
        <v>41</v>
      </c>
      <c r="Q1214" s="262">
        <v>45126</v>
      </c>
      <c r="R1214" s="263" t="s">
        <v>41</v>
      </c>
      <c r="S1214" s="262">
        <v>45126</v>
      </c>
      <c r="T1214" s="263"/>
      <c r="U1214" s="262"/>
      <c r="V1214" s="263" t="s">
        <v>41</v>
      </c>
      <c r="W1214" s="262">
        <v>45249</v>
      </c>
      <c r="X1214" s="263" t="s">
        <v>41</v>
      </c>
      <c r="Y1214" s="262">
        <v>45291</v>
      </c>
      <c r="Z1214" s="263" t="s">
        <v>40</v>
      </c>
      <c r="AA1214" s="262"/>
      <c r="AB1214" s="263" t="s">
        <v>40</v>
      </c>
      <c r="AC1214" s="262"/>
      <c r="AD1214" s="262"/>
      <c r="AE1214" s="262">
        <v>45565</v>
      </c>
      <c r="AF1214" s="263" t="s">
        <v>65</v>
      </c>
      <c r="AG1214" s="270">
        <v>2026</v>
      </c>
      <c r="AH1214" s="261">
        <f t="shared" si="40"/>
        <v>195999.95424099997</v>
      </c>
      <c r="AI1214" s="261"/>
      <c r="AJ1214" s="261"/>
      <c r="AK1214" s="259" t="s">
        <v>43</v>
      </c>
      <c r="AL1214" s="259" t="s">
        <v>41</v>
      </c>
      <c r="AM1214" s="266">
        <v>0</v>
      </c>
      <c r="AN1214" s="67"/>
      <c r="AO1214" s="256"/>
      <c r="AP1214" s="257"/>
    </row>
    <row r="1215" spans="1:42" s="258" customFormat="1" ht="37.950000000000003" customHeight="1" x14ac:dyDescent="0.3">
      <c r="A1215" s="259" t="s">
        <v>1641</v>
      </c>
      <c r="B1215" s="243" t="s">
        <v>1642</v>
      </c>
      <c r="C1215" s="244" t="s">
        <v>2766</v>
      </c>
      <c r="D1215" s="243" t="s">
        <v>34</v>
      </c>
      <c r="E1215" s="243" t="s">
        <v>1644</v>
      </c>
      <c r="F1215" s="259" t="s">
        <v>35</v>
      </c>
      <c r="G1215" s="259">
        <v>5</v>
      </c>
      <c r="H1215" s="245">
        <v>3893599.96</v>
      </c>
      <c r="I1215" s="243" t="s">
        <v>36</v>
      </c>
      <c r="J1215" s="245">
        <f t="shared" si="39"/>
        <v>3893599.96</v>
      </c>
      <c r="K1215" s="1695">
        <f>12704.54+12704.54+652.95+25409.086</f>
        <v>51471.116000000002</v>
      </c>
      <c r="L1215" s="1695">
        <f>12704.54+12704.54+652.95+25409.086</f>
        <v>51471.116000000002</v>
      </c>
      <c r="M1215" s="246" t="s">
        <v>2767</v>
      </c>
      <c r="N1215" s="261" t="s">
        <v>2768</v>
      </c>
      <c r="O1215" s="261" t="s">
        <v>2769</v>
      </c>
      <c r="P1215" s="263" t="s">
        <v>41</v>
      </c>
      <c r="Q1215" s="262">
        <v>45126</v>
      </c>
      <c r="R1215" s="263" t="s">
        <v>41</v>
      </c>
      <c r="S1215" s="262">
        <v>45126</v>
      </c>
      <c r="T1215" s="263"/>
      <c r="U1215" s="262"/>
      <c r="V1215" s="263" t="s">
        <v>41</v>
      </c>
      <c r="W1215" s="262">
        <v>45249</v>
      </c>
      <c r="X1215" s="263" t="s">
        <v>41</v>
      </c>
      <c r="Y1215" s="262">
        <v>45291</v>
      </c>
      <c r="Z1215" s="263" t="s">
        <v>40</v>
      </c>
      <c r="AA1215" s="262"/>
      <c r="AB1215" s="263" t="s">
        <v>40</v>
      </c>
      <c r="AC1215" s="262"/>
      <c r="AD1215" s="262"/>
      <c r="AE1215" s="262">
        <v>45565</v>
      </c>
      <c r="AF1215" s="263" t="s">
        <v>65</v>
      </c>
      <c r="AG1215" s="270">
        <v>2026</v>
      </c>
      <c r="AH1215" s="261">
        <f t="shared" si="40"/>
        <v>253212.15516200001</v>
      </c>
      <c r="AI1215" s="261"/>
      <c r="AJ1215" s="261"/>
      <c r="AK1215" s="259" t="s">
        <v>43</v>
      </c>
      <c r="AL1215" s="259" t="s">
        <v>41</v>
      </c>
      <c r="AM1215" s="266">
        <v>0</v>
      </c>
      <c r="AN1215" s="67"/>
      <c r="AO1215" s="256"/>
      <c r="AP1215" s="257"/>
    </row>
    <row r="1216" spans="1:42" s="258" customFormat="1" ht="52.95" customHeight="1" x14ac:dyDescent="0.3">
      <c r="A1216" s="259" t="s">
        <v>1641</v>
      </c>
      <c r="B1216" s="243" t="s">
        <v>1642</v>
      </c>
      <c r="C1216" s="244" t="s">
        <v>2770</v>
      </c>
      <c r="D1216" s="243" t="s">
        <v>34</v>
      </c>
      <c r="E1216" s="243" t="s">
        <v>1644</v>
      </c>
      <c r="F1216" s="259" t="s">
        <v>35</v>
      </c>
      <c r="G1216" s="259">
        <v>5</v>
      </c>
      <c r="H1216" s="245">
        <v>3893599.96</v>
      </c>
      <c r="I1216" s="243" t="s">
        <v>36</v>
      </c>
      <c r="J1216" s="245">
        <f t="shared" si="39"/>
        <v>3893599.96</v>
      </c>
      <c r="K1216" s="1695">
        <f>12704.54+12704.54+1357.61+25409.086</f>
        <v>52175.775999999998</v>
      </c>
      <c r="L1216" s="1695">
        <f>12704.54+12704.54+1357.61+25409.086</f>
        <v>52175.775999999998</v>
      </c>
      <c r="M1216" s="246" t="s">
        <v>133</v>
      </c>
      <c r="N1216" s="261" t="s">
        <v>2771</v>
      </c>
      <c r="O1216" s="261" t="s">
        <v>2769</v>
      </c>
      <c r="P1216" s="263" t="s">
        <v>41</v>
      </c>
      <c r="Q1216" s="262">
        <v>45126</v>
      </c>
      <c r="R1216" s="263" t="s">
        <v>41</v>
      </c>
      <c r="S1216" s="262">
        <v>45126</v>
      </c>
      <c r="T1216" s="263"/>
      <c r="U1216" s="262"/>
      <c r="V1216" s="263" t="s">
        <v>41</v>
      </c>
      <c r="W1216" s="262">
        <v>45249</v>
      </c>
      <c r="X1216" s="263" t="s">
        <v>41</v>
      </c>
      <c r="Y1216" s="262">
        <v>45291</v>
      </c>
      <c r="Z1216" s="263" t="s">
        <v>40</v>
      </c>
      <c r="AA1216" s="262"/>
      <c r="AB1216" s="263" t="s">
        <v>40</v>
      </c>
      <c r="AC1216" s="262"/>
      <c r="AD1216" s="262"/>
      <c r="AE1216" s="262">
        <v>45565</v>
      </c>
      <c r="AF1216" s="263" t="s">
        <v>65</v>
      </c>
      <c r="AG1216" s="270">
        <v>2026</v>
      </c>
      <c r="AH1216" s="261">
        <f t="shared" si="40"/>
        <v>256678.73003199999</v>
      </c>
      <c r="AI1216" s="261"/>
      <c r="AJ1216" s="261"/>
      <c r="AK1216" s="259" t="s">
        <v>43</v>
      </c>
      <c r="AL1216" s="259" t="s">
        <v>41</v>
      </c>
      <c r="AM1216" s="266">
        <v>0</v>
      </c>
      <c r="AN1216" s="67"/>
      <c r="AO1216" s="256"/>
      <c r="AP1216" s="257"/>
    </row>
    <row r="1217" spans="1:42" s="258" customFormat="1" ht="37.950000000000003" customHeight="1" x14ac:dyDescent="0.3">
      <c r="A1217" s="259" t="s">
        <v>1641</v>
      </c>
      <c r="B1217" s="243" t="s">
        <v>1642</v>
      </c>
      <c r="C1217" s="244" t="s">
        <v>2772</v>
      </c>
      <c r="D1217" s="243" t="s">
        <v>34</v>
      </c>
      <c r="E1217" s="243" t="s">
        <v>1644</v>
      </c>
      <c r="F1217" s="259" t="s">
        <v>35</v>
      </c>
      <c r="G1217" s="259">
        <v>1</v>
      </c>
      <c r="H1217" s="245">
        <v>756305.62</v>
      </c>
      <c r="I1217" s="243" t="s">
        <v>36</v>
      </c>
      <c r="J1217" s="245">
        <f t="shared" si="39"/>
        <v>756305.62</v>
      </c>
      <c r="K1217" s="1695">
        <f>6707.99+8466.31+17887.99</f>
        <v>33062.29</v>
      </c>
      <c r="L1217" s="1695">
        <f>6707.99+8466.31+17887.99</f>
        <v>33062.29</v>
      </c>
      <c r="M1217" s="246" t="s">
        <v>2773</v>
      </c>
      <c r="N1217" s="261" t="s">
        <v>2773</v>
      </c>
      <c r="O1217" s="261" t="s">
        <v>2774</v>
      </c>
      <c r="P1217" s="263" t="s">
        <v>41</v>
      </c>
      <c r="Q1217" s="262">
        <v>45126</v>
      </c>
      <c r="R1217" s="263" t="s">
        <v>41</v>
      </c>
      <c r="S1217" s="262">
        <v>45126</v>
      </c>
      <c r="T1217" s="263"/>
      <c r="U1217" s="262"/>
      <c r="V1217" s="263" t="s">
        <v>41</v>
      </c>
      <c r="W1217" s="262">
        <v>45249</v>
      </c>
      <c r="X1217" s="263" t="s">
        <v>41</v>
      </c>
      <c r="Y1217" s="262">
        <v>45291</v>
      </c>
      <c r="Z1217" s="263" t="s">
        <v>40</v>
      </c>
      <c r="AA1217" s="262"/>
      <c r="AB1217" s="263" t="s">
        <v>40</v>
      </c>
      <c r="AC1217" s="262"/>
      <c r="AD1217" s="262"/>
      <c r="AE1217" s="262">
        <v>45565</v>
      </c>
      <c r="AF1217" s="263" t="s">
        <v>65</v>
      </c>
      <c r="AG1217" s="270">
        <v>2026</v>
      </c>
      <c r="AH1217" s="261">
        <f t="shared" si="40"/>
        <v>162649.93565500001</v>
      </c>
      <c r="AI1217" s="261"/>
      <c r="AJ1217" s="261"/>
      <c r="AK1217" s="259" t="s">
        <v>43</v>
      </c>
      <c r="AL1217" s="259" t="s">
        <v>41</v>
      </c>
      <c r="AM1217" s="266">
        <v>0</v>
      </c>
      <c r="AN1217" s="67"/>
      <c r="AO1217" s="256"/>
      <c r="AP1217" s="257"/>
    </row>
    <row r="1218" spans="1:42" s="258" customFormat="1" ht="37.950000000000003" customHeight="1" x14ac:dyDescent="0.3">
      <c r="A1218" s="259" t="s">
        <v>1641</v>
      </c>
      <c r="B1218" s="243" t="s">
        <v>1642</v>
      </c>
      <c r="C1218" s="244" t="s">
        <v>2775</v>
      </c>
      <c r="D1218" s="243" t="s">
        <v>34</v>
      </c>
      <c r="E1218" s="243" t="s">
        <v>1644</v>
      </c>
      <c r="F1218" s="259" t="s">
        <v>35</v>
      </c>
      <c r="G1218" s="259">
        <v>1</v>
      </c>
      <c r="H1218" s="245">
        <v>778720.2</v>
      </c>
      <c r="I1218" s="243" t="s">
        <v>36</v>
      </c>
      <c r="J1218" s="245">
        <f t="shared" si="39"/>
        <v>778720.2</v>
      </c>
      <c r="K1218" s="1695">
        <f>41772.537</f>
        <v>41772.536999999997</v>
      </c>
      <c r="L1218" s="1695">
        <f>41772.537</f>
        <v>41772.536999999997</v>
      </c>
      <c r="M1218" s="246" t="s">
        <v>53</v>
      </c>
      <c r="N1218" s="261" t="s">
        <v>2776</v>
      </c>
      <c r="O1218" s="261" t="s">
        <v>2777</v>
      </c>
      <c r="P1218" s="263" t="s">
        <v>41</v>
      </c>
      <c r="Q1218" s="262">
        <v>45126</v>
      </c>
      <c r="R1218" s="263" t="s">
        <v>41</v>
      </c>
      <c r="S1218" s="262">
        <v>45126</v>
      </c>
      <c r="T1218" s="263"/>
      <c r="U1218" s="262"/>
      <c r="V1218" s="263" t="s">
        <v>41</v>
      </c>
      <c r="W1218" s="262">
        <v>45249</v>
      </c>
      <c r="X1218" s="263" t="s">
        <v>41</v>
      </c>
      <c r="Y1218" s="262">
        <v>45291</v>
      </c>
      <c r="Z1218" s="263" t="s">
        <v>40</v>
      </c>
      <c r="AA1218" s="262"/>
      <c r="AB1218" s="263" t="s">
        <v>40</v>
      </c>
      <c r="AC1218" s="262"/>
      <c r="AD1218" s="262"/>
      <c r="AE1218" s="262">
        <v>45565</v>
      </c>
      <c r="AF1218" s="263" t="s">
        <v>65</v>
      </c>
      <c r="AG1218" s="270">
        <v>2026</v>
      </c>
      <c r="AH1218" s="261">
        <f t="shared" si="40"/>
        <v>205499.99577149999</v>
      </c>
      <c r="AI1218" s="261"/>
      <c r="AJ1218" s="261"/>
      <c r="AK1218" s="259" t="s">
        <v>43</v>
      </c>
      <c r="AL1218" s="259" t="s">
        <v>41</v>
      </c>
      <c r="AM1218" s="266">
        <v>0</v>
      </c>
      <c r="AN1218" s="67"/>
      <c r="AO1218" s="256"/>
      <c r="AP1218" s="257"/>
    </row>
    <row r="1219" spans="1:42" s="258" customFormat="1" ht="37.950000000000003" customHeight="1" x14ac:dyDescent="0.3">
      <c r="A1219" s="259" t="s">
        <v>1641</v>
      </c>
      <c r="B1219" s="243" t="s">
        <v>1642</v>
      </c>
      <c r="C1219" s="244" t="s">
        <v>2778</v>
      </c>
      <c r="D1219" s="243" t="s">
        <v>34</v>
      </c>
      <c r="E1219" s="243" t="s">
        <v>1644</v>
      </c>
      <c r="F1219" s="259" t="s">
        <v>35</v>
      </c>
      <c r="G1219" s="259">
        <v>1</v>
      </c>
      <c r="H1219" s="245">
        <v>756305.63</v>
      </c>
      <c r="I1219" s="243" t="s">
        <v>36</v>
      </c>
      <c r="J1219" s="245">
        <f t="shared" ref="J1219:J1282" si="42">H1219</f>
        <v>756305.63</v>
      </c>
      <c r="K1219" s="1695">
        <f>16866.09</f>
        <v>16866.09</v>
      </c>
      <c r="L1219" s="1695">
        <f>16866.09</f>
        <v>16866.09</v>
      </c>
      <c r="M1219" s="246" t="s">
        <v>71</v>
      </c>
      <c r="N1219" s="261" t="s">
        <v>2779</v>
      </c>
      <c r="O1219" s="261" t="s">
        <v>2780</v>
      </c>
      <c r="P1219" s="263" t="s">
        <v>41</v>
      </c>
      <c r="Q1219" s="262">
        <v>45126</v>
      </c>
      <c r="R1219" s="263" t="s">
        <v>41</v>
      </c>
      <c r="S1219" s="262">
        <v>45126</v>
      </c>
      <c r="T1219" s="263"/>
      <c r="U1219" s="262"/>
      <c r="V1219" s="263" t="s">
        <v>41</v>
      </c>
      <c r="W1219" s="262">
        <v>45249</v>
      </c>
      <c r="X1219" s="263" t="s">
        <v>41</v>
      </c>
      <c r="Y1219" s="262">
        <v>45291</v>
      </c>
      <c r="Z1219" s="263" t="s">
        <v>40</v>
      </c>
      <c r="AA1219" s="262"/>
      <c r="AB1219" s="263" t="s">
        <v>40</v>
      </c>
      <c r="AC1219" s="262"/>
      <c r="AD1219" s="262"/>
      <c r="AE1219" s="262">
        <v>45565</v>
      </c>
      <c r="AF1219" s="263" t="s">
        <v>65</v>
      </c>
      <c r="AG1219" s="270">
        <v>2026</v>
      </c>
      <c r="AH1219" s="261">
        <f t="shared" ref="AH1219:AH1282" si="43">K1219*4.9195</f>
        <v>82972.729755000008</v>
      </c>
      <c r="AI1219" s="261"/>
      <c r="AJ1219" s="261"/>
      <c r="AK1219" s="259" t="s">
        <v>43</v>
      </c>
      <c r="AL1219" s="259" t="s">
        <v>41</v>
      </c>
      <c r="AM1219" s="266">
        <v>0</v>
      </c>
      <c r="AN1219" s="67"/>
      <c r="AO1219" s="256"/>
      <c r="AP1219" s="257"/>
    </row>
    <row r="1220" spans="1:42" s="258" customFormat="1" ht="37.950000000000003" customHeight="1" x14ac:dyDescent="0.3">
      <c r="A1220" s="259" t="s">
        <v>1641</v>
      </c>
      <c r="B1220" s="243" t="s">
        <v>1642</v>
      </c>
      <c r="C1220" s="244" t="s">
        <v>2781</v>
      </c>
      <c r="D1220" s="243" t="s">
        <v>34</v>
      </c>
      <c r="E1220" s="243" t="s">
        <v>1644</v>
      </c>
      <c r="F1220" s="259" t="s">
        <v>35</v>
      </c>
      <c r="G1220" s="259">
        <v>1</v>
      </c>
      <c r="H1220" s="245">
        <v>778720.2</v>
      </c>
      <c r="I1220" s="243" t="s">
        <v>36</v>
      </c>
      <c r="J1220" s="245">
        <f t="shared" si="42"/>
        <v>778720.2</v>
      </c>
      <c r="K1220" s="1695">
        <f>23065.45</f>
        <v>23065.45</v>
      </c>
      <c r="L1220" s="1695">
        <f>23065.45</f>
        <v>23065.45</v>
      </c>
      <c r="M1220" s="246" t="s">
        <v>57</v>
      </c>
      <c r="N1220" s="261" t="s">
        <v>2782</v>
      </c>
      <c r="O1220" s="261" t="s">
        <v>2783</v>
      </c>
      <c r="P1220" s="263" t="s">
        <v>41</v>
      </c>
      <c r="Q1220" s="262">
        <v>45126</v>
      </c>
      <c r="R1220" s="263" t="s">
        <v>41</v>
      </c>
      <c r="S1220" s="262">
        <v>45126</v>
      </c>
      <c r="T1220" s="263"/>
      <c r="U1220" s="262"/>
      <c r="V1220" s="263" t="s">
        <v>41</v>
      </c>
      <c r="W1220" s="262">
        <v>45249</v>
      </c>
      <c r="X1220" s="263" t="s">
        <v>41</v>
      </c>
      <c r="Y1220" s="262">
        <v>45291</v>
      </c>
      <c r="Z1220" s="263" t="s">
        <v>40</v>
      </c>
      <c r="AA1220" s="262"/>
      <c r="AB1220" s="263" t="s">
        <v>40</v>
      </c>
      <c r="AC1220" s="262"/>
      <c r="AD1220" s="262"/>
      <c r="AE1220" s="262">
        <v>45565</v>
      </c>
      <c r="AF1220" s="263" t="s">
        <v>65</v>
      </c>
      <c r="AG1220" s="270">
        <v>2026</v>
      </c>
      <c r="AH1220" s="261">
        <f t="shared" si="43"/>
        <v>113470.48127500001</v>
      </c>
      <c r="AI1220" s="261"/>
      <c r="AJ1220" s="261"/>
      <c r="AK1220" s="259" t="s">
        <v>43</v>
      </c>
      <c r="AL1220" s="259" t="s">
        <v>41</v>
      </c>
      <c r="AM1220" s="266">
        <v>0</v>
      </c>
      <c r="AN1220" s="67"/>
      <c r="AO1220" s="256"/>
      <c r="AP1220" s="257"/>
    </row>
    <row r="1221" spans="1:42" s="258" customFormat="1" ht="37.950000000000003" customHeight="1" x14ac:dyDescent="0.3">
      <c r="A1221" s="259" t="s">
        <v>1641</v>
      </c>
      <c r="B1221" s="243" t="s">
        <v>1642</v>
      </c>
      <c r="C1221" s="244" t="s">
        <v>2784</v>
      </c>
      <c r="D1221" s="243" t="s">
        <v>34</v>
      </c>
      <c r="E1221" s="243" t="s">
        <v>1644</v>
      </c>
      <c r="F1221" s="259" t="s">
        <v>35</v>
      </c>
      <c r="G1221" s="259">
        <v>1</v>
      </c>
      <c r="H1221" s="245">
        <v>778717.35</v>
      </c>
      <c r="I1221" s="243" t="s">
        <v>36</v>
      </c>
      <c r="J1221" s="245">
        <f t="shared" si="42"/>
        <v>778717.35</v>
      </c>
      <c r="K1221" s="1695">
        <v>0</v>
      </c>
      <c r="L1221" s="1695">
        <v>0</v>
      </c>
      <c r="M1221" s="246" t="s">
        <v>838</v>
      </c>
      <c r="N1221" s="261" t="s">
        <v>2785</v>
      </c>
      <c r="O1221" s="261" t="s">
        <v>2786</v>
      </c>
      <c r="P1221" s="263" t="s">
        <v>41</v>
      </c>
      <c r="Q1221" s="262">
        <v>45126</v>
      </c>
      <c r="R1221" s="263" t="s">
        <v>41</v>
      </c>
      <c r="S1221" s="262">
        <v>45126</v>
      </c>
      <c r="T1221" s="263"/>
      <c r="U1221" s="262"/>
      <c r="V1221" s="263" t="s">
        <v>41</v>
      </c>
      <c r="W1221" s="262">
        <v>45249</v>
      </c>
      <c r="X1221" s="263" t="s">
        <v>41</v>
      </c>
      <c r="Y1221" s="262">
        <v>45291</v>
      </c>
      <c r="Z1221" s="263" t="s">
        <v>40</v>
      </c>
      <c r="AA1221" s="262"/>
      <c r="AB1221" s="263" t="s">
        <v>40</v>
      </c>
      <c r="AC1221" s="262"/>
      <c r="AD1221" s="262"/>
      <c r="AE1221" s="262">
        <v>45565</v>
      </c>
      <c r="AF1221" s="263" t="s">
        <v>65</v>
      </c>
      <c r="AG1221" s="270">
        <v>2026</v>
      </c>
      <c r="AH1221" s="261">
        <f t="shared" si="43"/>
        <v>0</v>
      </c>
      <c r="AI1221" s="261"/>
      <c r="AJ1221" s="261"/>
      <c r="AK1221" s="259" t="s">
        <v>43</v>
      </c>
      <c r="AL1221" s="259" t="s">
        <v>41</v>
      </c>
      <c r="AM1221" s="266">
        <v>0</v>
      </c>
      <c r="AN1221" s="67"/>
      <c r="AO1221" s="256"/>
      <c r="AP1221" s="257"/>
    </row>
    <row r="1222" spans="1:42" s="258" customFormat="1" ht="37.950000000000003" customHeight="1" x14ac:dyDescent="0.3">
      <c r="A1222" s="259" t="s">
        <v>1641</v>
      </c>
      <c r="B1222" s="243" t="s">
        <v>1642</v>
      </c>
      <c r="C1222" s="244" t="s">
        <v>2787</v>
      </c>
      <c r="D1222" s="243" t="s">
        <v>34</v>
      </c>
      <c r="E1222" s="243" t="s">
        <v>1644</v>
      </c>
      <c r="F1222" s="259" t="s">
        <v>35</v>
      </c>
      <c r="G1222" s="259">
        <v>1</v>
      </c>
      <c r="H1222" s="245">
        <v>778720</v>
      </c>
      <c r="I1222" s="243" t="s">
        <v>36</v>
      </c>
      <c r="J1222" s="245">
        <f t="shared" si="42"/>
        <v>778720</v>
      </c>
      <c r="K1222" s="1695">
        <f>39638.17</f>
        <v>39638.17</v>
      </c>
      <c r="L1222" s="1695">
        <f>39638.17</f>
        <v>39638.17</v>
      </c>
      <c r="M1222" s="246" t="s">
        <v>303</v>
      </c>
      <c r="N1222" s="261" t="s">
        <v>2788</v>
      </c>
      <c r="O1222" s="261" t="s">
        <v>2789</v>
      </c>
      <c r="P1222" s="263" t="s">
        <v>41</v>
      </c>
      <c r="Q1222" s="262">
        <v>45127</v>
      </c>
      <c r="R1222" s="263" t="s">
        <v>41</v>
      </c>
      <c r="S1222" s="262">
        <v>45127</v>
      </c>
      <c r="T1222" s="263"/>
      <c r="U1222" s="262"/>
      <c r="V1222" s="263" t="s">
        <v>41</v>
      </c>
      <c r="W1222" s="262">
        <v>45250</v>
      </c>
      <c r="X1222" s="263" t="s">
        <v>41</v>
      </c>
      <c r="Y1222" s="262">
        <v>45291</v>
      </c>
      <c r="Z1222" s="263" t="s">
        <v>40</v>
      </c>
      <c r="AA1222" s="262"/>
      <c r="AB1222" s="263" t="s">
        <v>40</v>
      </c>
      <c r="AC1222" s="262"/>
      <c r="AD1222" s="262"/>
      <c r="AE1222" s="262">
        <v>45565</v>
      </c>
      <c r="AF1222" s="263" t="s">
        <v>65</v>
      </c>
      <c r="AG1222" s="270">
        <v>2026</v>
      </c>
      <c r="AH1222" s="261">
        <f t="shared" si="43"/>
        <v>194999.977315</v>
      </c>
      <c r="AI1222" s="261"/>
      <c r="AJ1222" s="261"/>
      <c r="AK1222" s="259" t="s">
        <v>43</v>
      </c>
      <c r="AL1222" s="259" t="s">
        <v>41</v>
      </c>
      <c r="AM1222" s="266">
        <v>0</v>
      </c>
      <c r="AN1222" s="67"/>
      <c r="AO1222" s="256"/>
      <c r="AP1222" s="257"/>
    </row>
    <row r="1223" spans="1:42" s="258" customFormat="1" ht="37.950000000000003" customHeight="1" x14ac:dyDescent="0.3">
      <c r="A1223" s="259" t="s">
        <v>1641</v>
      </c>
      <c r="B1223" s="243" t="s">
        <v>1642</v>
      </c>
      <c r="C1223" s="244" t="s">
        <v>2790</v>
      </c>
      <c r="D1223" s="243" t="s">
        <v>34</v>
      </c>
      <c r="E1223" s="243" t="s">
        <v>1644</v>
      </c>
      <c r="F1223" s="259" t="s">
        <v>35</v>
      </c>
      <c r="G1223" s="259">
        <v>1</v>
      </c>
      <c r="H1223" s="245">
        <v>778720</v>
      </c>
      <c r="I1223" s="243" t="s">
        <v>36</v>
      </c>
      <c r="J1223" s="245">
        <f t="shared" si="42"/>
        <v>778720</v>
      </c>
      <c r="K1223" s="1695">
        <f>2418.95+26904.72+12501.27</f>
        <v>41824.94</v>
      </c>
      <c r="L1223" s="1695">
        <f>2418.95+26904.72+12501.27</f>
        <v>41824.94</v>
      </c>
      <c r="M1223" s="246" t="s">
        <v>2791</v>
      </c>
      <c r="N1223" s="261" t="s">
        <v>2792</v>
      </c>
      <c r="O1223" s="261" t="s">
        <v>2793</v>
      </c>
      <c r="P1223" s="263" t="s">
        <v>41</v>
      </c>
      <c r="Q1223" s="262">
        <v>45127</v>
      </c>
      <c r="R1223" s="263" t="s">
        <v>41</v>
      </c>
      <c r="S1223" s="262">
        <v>45127</v>
      </c>
      <c r="T1223" s="263"/>
      <c r="U1223" s="262"/>
      <c r="V1223" s="263" t="s">
        <v>41</v>
      </c>
      <c r="W1223" s="262">
        <v>45250</v>
      </c>
      <c r="X1223" s="263" t="s">
        <v>41</v>
      </c>
      <c r="Y1223" s="262">
        <v>45291</v>
      </c>
      <c r="Z1223" s="263" t="s">
        <v>40</v>
      </c>
      <c r="AA1223" s="262"/>
      <c r="AB1223" s="263" t="s">
        <v>40</v>
      </c>
      <c r="AC1223" s="262"/>
      <c r="AD1223" s="262"/>
      <c r="AE1223" s="262">
        <v>45565</v>
      </c>
      <c r="AF1223" s="263" t="s">
        <v>65</v>
      </c>
      <c r="AG1223" s="270">
        <v>2026</v>
      </c>
      <c r="AH1223" s="261">
        <f t="shared" si="43"/>
        <v>205757.79233000003</v>
      </c>
      <c r="AI1223" s="261"/>
      <c r="AJ1223" s="261"/>
      <c r="AK1223" s="259" t="s">
        <v>43</v>
      </c>
      <c r="AL1223" s="259" t="s">
        <v>41</v>
      </c>
      <c r="AM1223" s="266">
        <v>0</v>
      </c>
      <c r="AN1223" s="67"/>
      <c r="AO1223" s="256"/>
      <c r="AP1223" s="257"/>
    </row>
    <row r="1224" spans="1:42" s="273" customFormat="1" ht="37.950000000000003" customHeight="1" x14ac:dyDescent="0.3">
      <c r="A1224" s="259" t="s">
        <v>1641</v>
      </c>
      <c r="B1224" s="243" t="s">
        <v>1642</v>
      </c>
      <c r="C1224" s="244" t="s">
        <v>2794</v>
      </c>
      <c r="D1224" s="243" t="s">
        <v>34</v>
      </c>
      <c r="E1224" s="243" t="s">
        <v>1644</v>
      </c>
      <c r="F1224" s="259" t="s">
        <v>35</v>
      </c>
      <c r="G1224" s="259">
        <v>1</v>
      </c>
      <c r="H1224" s="245">
        <v>778720.2</v>
      </c>
      <c r="I1224" s="243" t="s">
        <v>36</v>
      </c>
      <c r="J1224" s="245">
        <f t="shared" si="42"/>
        <v>778720.2</v>
      </c>
      <c r="K1224" s="1695">
        <v>0</v>
      </c>
      <c r="L1224" s="1695">
        <v>0</v>
      </c>
      <c r="M1224" s="246" t="s">
        <v>60</v>
      </c>
      <c r="N1224" s="261" t="s">
        <v>2795</v>
      </c>
      <c r="O1224" s="261" t="s">
        <v>2796</v>
      </c>
      <c r="P1224" s="263" t="s">
        <v>41</v>
      </c>
      <c r="Q1224" s="262">
        <v>45127</v>
      </c>
      <c r="R1224" s="263" t="s">
        <v>41</v>
      </c>
      <c r="S1224" s="262">
        <v>45127</v>
      </c>
      <c r="T1224" s="263"/>
      <c r="U1224" s="262"/>
      <c r="V1224" s="263" t="s">
        <v>41</v>
      </c>
      <c r="W1224" s="262">
        <v>45250</v>
      </c>
      <c r="X1224" s="263" t="s">
        <v>41</v>
      </c>
      <c r="Y1224" s="262">
        <v>45291</v>
      </c>
      <c r="Z1224" s="263" t="s">
        <v>40</v>
      </c>
      <c r="AA1224" s="262"/>
      <c r="AB1224" s="263" t="s">
        <v>40</v>
      </c>
      <c r="AC1224" s="262"/>
      <c r="AD1224" s="262"/>
      <c r="AE1224" s="262">
        <v>45565</v>
      </c>
      <c r="AF1224" s="263" t="s">
        <v>65</v>
      </c>
      <c r="AG1224" s="270">
        <v>2026</v>
      </c>
      <c r="AH1224" s="261">
        <f t="shared" si="43"/>
        <v>0</v>
      </c>
      <c r="AI1224" s="261"/>
      <c r="AJ1224" s="261"/>
      <c r="AK1224" s="259" t="s">
        <v>43</v>
      </c>
      <c r="AL1224" s="259" t="s">
        <v>41</v>
      </c>
      <c r="AM1224" s="266">
        <v>0</v>
      </c>
      <c r="AN1224" s="67"/>
      <c r="AO1224" s="271"/>
      <c r="AP1224" s="272"/>
    </row>
    <row r="1225" spans="1:42" s="258" customFormat="1" ht="37.950000000000003" customHeight="1" x14ac:dyDescent="0.3">
      <c r="A1225" s="259" t="s">
        <v>1641</v>
      </c>
      <c r="B1225" s="243" t="s">
        <v>1642</v>
      </c>
      <c r="C1225" s="244" t="s">
        <v>2797</v>
      </c>
      <c r="D1225" s="243" t="s">
        <v>34</v>
      </c>
      <c r="E1225" s="243" t="s">
        <v>1644</v>
      </c>
      <c r="F1225" s="259" t="s">
        <v>35</v>
      </c>
      <c r="G1225" s="259">
        <v>1</v>
      </c>
      <c r="H1225" s="245">
        <v>778720</v>
      </c>
      <c r="I1225" s="243" t="s">
        <v>36</v>
      </c>
      <c r="J1225" s="245">
        <f t="shared" si="42"/>
        <v>778720</v>
      </c>
      <c r="K1225" s="1695">
        <f>39638.17</f>
        <v>39638.17</v>
      </c>
      <c r="L1225" s="1695">
        <f>39638.17</f>
        <v>39638.17</v>
      </c>
      <c r="M1225" s="246" t="s">
        <v>2724</v>
      </c>
      <c r="N1225" s="261" t="s">
        <v>2798</v>
      </c>
      <c r="O1225" s="261" t="s">
        <v>2799</v>
      </c>
      <c r="P1225" s="263" t="s">
        <v>41</v>
      </c>
      <c r="Q1225" s="262">
        <v>45127</v>
      </c>
      <c r="R1225" s="263" t="s">
        <v>41</v>
      </c>
      <c r="S1225" s="262">
        <v>45127</v>
      </c>
      <c r="T1225" s="263"/>
      <c r="U1225" s="262"/>
      <c r="V1225" s="263" t="s">
        <v>41</v>
      </c>
      <c r="W1225" s="262">
        <v>45250</v>
      </c>
      <c r="X1225" s="263" t="s">
        <v>41</v>
      </c>
      <c r="Y1225" s="262">
        <v>45291</v>
      </c>
      <c r="Z1225" s="263" t="s">
        <v>40</v>
      </c>
      <c r="AA1225" s="262"/>
      <c r="AB1225" s="263" t="s">
        <v>40</v>
      </c>
      <c r="AC1225" s="262"/>
      <c r="AD1225" s="262"/>
      <c r="AE1225" s="262">
        <v>45565</v>
      </c>
      <c r="AF1225" s="263" t="s">
        <v>65</v>
      </c>
      <c r="AG1225" s="270">
        <v>2026</v>
      </c>
      <c r="AH1225" s="261">
        <f t="shared" si="43"/>
        <v>194999.977315</v>
      </c>
      <c r="AI1225" s="261"/>
      <c r="AJ1225" s="261"/>
      <c r="AK1225" s="259" t="s">
        <v>43</v>
      </c>
      <c r="AL1225" s="259" t="s">
        <v>41</v>
      </c>
      <c r="AM1225" s="266">
        <v>0</v>
      </c>
      <c r="AN1225" s="67"/>
      <c r="AO1225" s="256"/>
      <c r="AP1225" s="257"/>
    </row>
    <row r="1226" spans="1:42" s="258" customFormat="1" ht="37.950000000000003" customHeight="1" x14ac:dyDescent="0.3">
      <c r="A1226" s="259" t="s">
        <v>1641</v>
      </c>
      <c r="B1226" s="243" t="s">
        <v>1642</v>
      </c>
      <c r="C1226" s="244" t="s">
        <v>2800</v>
      </c>
      <c r="D1226" s="243" t="s">
        <v>34</v>
      </c>
      <c r="E1226" s="243" t="s">
        <v>1644</v>
      </c>
      <c r="F1226" s="259" t="s">
        <v>35</v>
      </c>
      <c r="G1226" s="259">
        <v>1</v>
      </c>
      <c r="H1226" s="245">
        <v>778720.2</v>
      </c>
      <c r="I1226" s="243" t="s">
        <v>36</v>
      </c>
      <c r="J1226" s="245">
        <f t="shared" si="42"/>
        <v>778720.2</v>
      </c>
      <c r="K1226" s="1695">
        <f>27795</f>
        <v>27795</v>
      </c>
      <c r="L1226" s="1695">
        <f>K1226</f>
        <v>27795</v>
      </c>
      <c r="M1226" s="246" t="s">
        <v>63</v>
      </c>
      <c r="N1226" s="261" t="s">
        <v>2801</v>
      </c>
      <c r="O1226" s="261" t="s">
        <v>2802</v>
      </c>
      <c r="P1226" s="263" t="s">
        <v>41</v>
      </c>
      <c r="Q1226" s="262">
        <v>45127</v>
      </c>
      <c r="R1226" s="263" t="s">
        <v>41</v>
      </c>
      <c r="S1226" s="262">
        <v>45127</v>
      </c>
      <c r="T1226" s="263"/>
      <c r="U1226" s="262"/>
      <c r="V1226" s="263" t="s">
        <v>41</v>
      </c>
      <c r="W1226" s="262">
        <v>45250</v>
      </c>
      <c r="X1226" s="263" t="s">
        <v>41</v>
      </c>
      <c r="Y1226" s="262">
        <v>45291</v>
      </c>
      <c r="Z1226" s="263" t="s">
        <v>40</v>
      </c>
      <c r="AA1226" s="262"/>
      <c r="AB1226" s="263" t="s">
        <v>40</v>
      </c>
      <c r="AC1226" s="262"/>
      <c r="AD1226" s="262"/>
      <c r="AE1226" s="262">
        <v>45565</v>
      </c>
      <c r="AF1226" s="263" t="s">
        <v>65</v>
      </c>
      <c r="AG1226" s="270">
        <v>2026</v>
      </c>
      <c r="AH1226" s="261">
        <f t="shared" si="43"/>
        <v>136737.5025</v>
      </c>
      <c r="AI1226" s="261"/>
      <c r="AJ1226" s="261"/>
      <c r="AK1226" s="259" t="s">
        <v>43</v>
      </c>
      <c r="AL1226" s="259" t="s">
        <v>41</v>
      </c>
      <c r="AM1226" s="266">
        <v>0</v>
      </c>
      <c r="AN1226" s="67"/>
      <c r="AO1226" s="256"/>
      <c r="AP1226" s="257"/>
    </row>
    <row r="1227" spans="1:42" s="258" customFormat="1" ht="37.950000000000003" customHeight="1" x14ac:dyDescent="0.3">
      <c r="A1227" s="259" t="s">
        <v>1641</v>
      </c>
      <c r="B1227" s="243" t="s">
        <v>1642</v>
      </c>
      <c r="C1227" s="244" t="s">
        <v>2803</v>
      </c>
      <c r="D1227" s="243" t="s">
        <v>34</v>
      </c>
      <c r="E1227" s="243" t="s">
        <v>1644</v>
      </c>
      <c r="F1227" s="259" t="s">
        <v>35</v>
      </c>
      <c r="G1227" s="259">
        <v>1</v>
      </c>
      <c r="H1227" s="245">
        <v>778720</v>
      </c>
      <c r="I1227" s="243" t="s">
        <v>36</v>
      </c>
      <c r="J1227" s="245">
        <f t="shared" si="42"/>
        <v>778720</v>
      </c>
      <c r="K1227" s="1435">
        <f>39638.17</f>
        <v>39638.17</v>
      </c>
      <c r="L1227" s="1435">
        <f>39638.17</f>
        <v>39638.17</v>
      </c>
      <c r="M1227" s="246" t="s">
        <v>303</v>
      </c>
      <c r="N1227" s="261" t="s">
        <v>2804</v>
      </c>
      <c r="O1227" s="261" t="s">
        <v>2805</v>
      </c>
      <c r="P1227" s="263" t="s">
        <v>41</v>
      </c>
      <c r="Q1227" s="262">
        <v>45127</v>
      </c>
      <c r="R1227" s="263" t="s">
        <v>41</v>
      </c>
      <c r="S1227" s="262">
        <v>45127</v>
      </c>
      <c r="T1227" s="263"/>
      <c r="U1227" s="262"/>
      <c r="V1227" s="263" t="s">
        <v>41</v>
      </c>
      <c r="W1227" s="262">
        <v>45250</v>
      </c>
      <c r="X1227" s="263" t="s">
        <v>41</v>
      </c>
      <c r="Y1227" s="262">
        <v>45291</v>
      </c>
      <c r="Z1227" s="263" t="s">
        <v>40</v>
      </c>
      <c r="AA1227" s="262"/>
      <c r="AB1227" s="263" t="s">
        <v>40</v>
      </c>
      <c r="AC1227" s="262"/>
      <c r="AD1227" s="262"/>
      <c r="AE1227" s="262">
        <v>45565</v>
      </c>
      <c r="AF1227" s="263" t="s">
        <v>65</v>
      </c>
      <c r="AG1227" s="270">
        <v>2026</v>
      </c>
      <c r="AH1227" s="261">
        <f t="shared" si="43"/>
        <v>194999.977315</v>
      </c>
      <c r="AI1227" s="261"/>
      <c r="AJ1227" s="261"/>
      <c r="AK1227" s="259" t="s">
        <v>43</v>
      </c>
      <c r="AL1227" s="259" t="s">
        <v>41</v>
      </c>
      <c r="AM1227" s="266">
        <v>0</v>
      </c>
      <c r="AN1227" s="67"/>
      <c r="AO1227" s="256"/>
      <c r="AP1227" s="257"/>
    </row>
    <row r="1228" spans="1:42" s="258" customFormat="1" ht="37.950000000000003" customHeight="1" x14ac:dyDescent="0.3">
      <c r="A1228" s="259" t="s">
        <v>1641</v>
      </c>
      <c r="B1228" s="243" t="s">
        <v>1642</v>
      </c>
      <c r="C1228" s="244" t="s">
        <v>2806</v>
      </c>
      <c r="D1228" s="243" t="s">
        <v>34</v>
      </c>
      <c r="E1228" s="243" t="s">
        <v>1644</v>
      </c>
      <c r="F1228" s="259" t="s">
        <v>35</v>
      </c>
      <c r="G1228" s="259">
        <v>1</v>
      </c>
      <c r="H1228" s="245">
        <v>778720</v>
      </c>
      <c r="I1228" s="243" t="s">
        <v>36</v>
      </c>
      <c r="J1228" s="245">
        <f t="shared" si="42"/>
        <v>778720</v>
      </c>
      <c r="K1228" s="1695">
        <f>26681.57</f>
        <v>26681.57</v>
      </c>
      <c r="L1228" s="1695">
        <f>26681.57</f>
        <v>26681.57</v>
      </c>
      <c r="M1228" s="246" t="s">
        <v>1208</v>
      </c>
      <c r="N1228" s="261" t="s">
        <v>2807</v>
      </c>
      <c r="O1228" s="261" t="s">
        <v>2808</v>
      </c>
      <c r="P1228" s="263" t="s">
        <v>41</v>
      </c>
      <c r="Q1228" s="262">
        <v>45127</v>
      </c>
      <c r="R1228" s="263" t="s">
        <v>41</v>
      </c>
      <c r="S1228" s="262">
        <v>45127</v>
      </c>
      <c r="T1228" s="263"/>
      <c r="U1228" s="262"/>
      <c r="V1228" s="263" t="s">
        <v>41</v>
      </c>
      <c r="W1228" s="262">
        <v>45250</v>
      </c>
      <c r="X1228" s="263" t="s">
        <v>41</v>
      </c>
      <c r="Y1228" s="262">
        <v>45291</v>
      </c>
      <c r="Z1228" s="263" t="s">
        <v>40</v>
      </c>
      <c r="AA1228" s="262"/>
      <c r="AB1228" s="263" t="s">
        <v>40</v>
      </c>
      <c r="AC1228" s="262"/>
      <c r="AD1228" s="262"/>
      <c r="AE1228" s="262">
        <v>45565</v>
      </c>
      <c r="AF1228" s="263" t="s">
        <v>65</v>
      </c>
      <c r="AG1228" s="270">
        <v>2026</v>
      </c>
      <c r="AH1228" s="261">
        <f t="shared" si="43"/>
        <v>131259.983615</v>
      </c>
      <c r="AI1228" s="261"/>
      <c r="AJ1228" s="261"/>
      <c r="AK1228" s="259" t="s">
        <v>43</v>
      </c>
      <c r="AL1228" s="259" t="s">
        <v>41</v>
      </c>
      <c r="AM1228" s="266">
        <v>0</v>
      </c>
      <c r="AN1228" s="67"/>
      <c r="AO1228" s="256"/>
      <c r="AP1228" s="257"/>
    </row>
    <row r="1229" spans="1:42" s="258" customFormat="1" ht="48.6" customHeight="1" x14ac:dyDescent="0.3">
      <c r="A1229" s="259" t="s">
        <v>1641</v>
      </c>
      <c r="B1229" s="243" t="s">
        <v>1642</v>
      </c>
      <c r="C1229" s="244" t="s">
        <v>2809</v>
      </c>
      <c r="D1229" s="243" t="s">
        <v>34</v>
      </c>
      <c r="E1229" s="243" t="s">
        <v>1644</v>
      </c>
      <c r="F1229" s="259" t="s">
        <v>35</v>
      </c>
      <c r="G1229" s="259">
        <v>1</v>
      </c>
      <c r="H1229" s="245">
        <v>778720.2</v>
      </c>
      <c r="I1229" s="243" t="s">
        <v>36</v>
      </c>
      <c r="J1229" s="245">
        <f t="shared" si="42"/>
        <v>778720.2</v>
      </c>
      <c r="K1229" s="1695">
        <f>34820.61+34820.61+34820.61</f>
        <v>104461.83</v>
      </c>
      <c r="L1229" s="1695">
        <f>K1229</f>
        <v>104461.83</v>
      </c>
      <c r="M1229" s="246" t="s">
        <v>82</v>
      </c>
      <c r="N1229" s="298" t="s">
        <v>2810</v>
      </c>
      <c r="O1229" s="298" t="s">
        <v>2811</v>
      </c>
      <c r="P1229" s="263" t="s">
        <v>41</v>
      </c>
      <c r="Q1229" s="262">
        <v>45127</v>
      </c>
      <c r="R1229" s="263" t="s">
        <v>41</v>
      </c>
      <c r="S1229" s="262">
        <v>45127</v>
      </c>
      <c r="T1229" s="263"/>
      <c r="U1229" s="262"/>
      <c r="V1229" s="263" t="s">
        <v>41</v>
      </c>
      <c r="W1229" s="262">
        <v>45250</v>
      </c>
      <c r="X1229" s="263" t="s">
        <v>41</v>
      </c>
      <c r="Y1229" s="262">
        <v>45291</v>
      </c>
      <c r="Z1229" s="263" t="s">
        <v>40</v>
      </c>
      <c r="AA1229" s="262"/>
      <c r="AB1229" s="263" t="s">
        <v>40</v>
      </c>
      <c r="AC1229" s="262"/>
      <c r="AD1229" s="262"/>
      <c r="AE1229" s="262">
        <v>45565</v>
      </c>
      <c r="AF1229" s="263" t="s">
        <v>65</v>
      </c>
      <c r="AG1229" s="270">
        <v>2026</v>
      </c>
      <c r="AH1229" s="261">
        <f t="shared" si="43"/>
        <v>513899.97268500004</v>
      </c>
      <c r="AI1229" s="261"/>
      <c r="AJ1229" s="261"/>
      <c r="AK1229" s="259" t="s">
        <v>43</v>
      </c>
      <c r="AL1229" s="259" t="s">
        <v>41</v>
      </c>
      <c r="AM1229" s="266">
        <v>0</v>
      </c>
      <c r="AN1229" s="67"/>
      <c r="AO1229" s="256"/>
      <c r="AP1229" s="257"/>
    </row>
    <row r="1230" spans="1:42" s="258" customFormat="1" ht="37.950000000000003" customHeight="1" x14ac:dyDescent="0.3">
      <c r="A1230" s="259" t="s">
        <v>1641</v>
      </c>
      <c r="B1230" s="243" t="s">
        <v>1642</v>
      </c>
      <c r="C1230" s="244" t="s">
        <v>2812</v>
      </c>
      <c r="D1230" s="243" t="s">
        <v>34</v>
      </c>
      <c r="E1230" s="243" t="s">
        <v>1644</v>
      </c>
      <c r="F1230" s="259" t="s">
        <v>35</v>
      </c>
      <c r="G1230" s="259">
        <v>1</v>
      </c>
      <c r="H1230" s="245">
        <v>778720</v>
      </c>
      <c r="I1230" s="243" t="s">
        <v>36</v>
      </c>
      <c r="J1230" s="245">
        <f t="shared" si="42"/>
        <v>778720</v>
      </c>
      <c r="K1230" s="1695">
        <f>6098.18+30490.9+12646.56</f>
        <v>49235.64</v>
      </c>
      <c r="L1230" s="1695">
        <f>K1230</f>
        <v>49235.64</v>
      </c>
      <c r="M1230" s="246" t="s">
        <v>2654</v>
      </c>
      <c r="N1230" s="261" t="s">
        <v>2813</v>
      </c>
      <c r="O1230" s="261" t="s">
        <v>2814</v>
      </c>
      <c r="P1230" s="263" t="s">
        <v>41</v>
      </c>
      <c r="Q1230" s="262">
        <v>45127</v>
      </c>
      <c r="R1230" s="263" t="s">
        <v>41</v>
      </c>
      <c r="S1230" s="262">
        <v>45127</v>
      </c>
      <c r="T1230" s="263"/>
      <c r="U1230" s="262"/>
      <c r="V1230" s="263" t="s">
        <v>41</v>
      </c>
      <c r="W1230" s="262">
        <v>45250</v>
      </c>
      <c r="X1230" s="263" t="s">
        <v>41</v>
      </c>
      <c r="Y1230" s="262">
        <v>45291</v>
      </c>
      <c r="Z1230" s="263" t="s">
        <v>40</v>
      </c>
      <c r="AA1230" s="262"/>
      <c r="AB1230" s="263" t="s">
        <v>40</v>
      </c>
      <c r="AC1230" s="262"/>
      <c r="AD1230" s="262"/>
      <c r="AE1230" s="262">
        <v>45565</v>
      </c>
      <c r="AF1230" s="263" t="s">
        <v>65</v>
      </c>
      <c r="AG1230" s="270">
        <v>2026</v>
      </c>
      <c r="AH1230" s="261">
        <f t="shared" si="43"/>
        <v>242214.73097999999</v>
      </c>
      <c r="AI1230" s="261"/>
      <c r="AJ1230" s="261"/>
      <c r="AK1230" s="259" t="s">
        <v>43</v>
      </c>
      <c r="AL1230" s="259" t="s">
        <v>41</v>
      </c>
      <c r="AM1230" s="266">
        <v>0</v>
      </c>
      <c r="AN1230" s="67"/>
      <c r="AO1230" s="256"/>
      <c r="AP1230" s="257"/>
    </row>
    <row r="1231" spans="1:42" s="258" customFormat="1" ht="37.950000000000003" customHeight="1" x14ac:dyDescent="0.3">
      <c r="A1231" s="259" t="s">
        <v>1641</v>
      </c>
      <c r="B1231" s="243" t="s">
        <v>1642</v>
      </c>
      <c r="C1231" s="244" t="s">
        <v>2815</v>
      </c>
      <c r="D1231" s="243" t="s">
        <v>34</v>
      </c>
      <c r="E1231" s="243" t="s">
        <v>1644</v>
      </c>
      <c r="F1231" s="259" t="s">
        <v>35</v>
      </c>
      <c r="G1231" s="259">
        <v>1</v>
      </c>
      <c r="H1231" s="245">
        <v>778720</v>
      </c>
      <c r="I1231" s="243" t="s">
        <v>36</v>
      </c>
      <c r="J1231" s="245">
        <f t="shared" si="42"/>
        <v>778720</v>
      </c>
      <c r="K1231" s="1695">
        <f>26425.45+6047.36</f>
        <v>32472.81</v>
      </c>
      <c r="L1231" s="1695">
        <f>K1231</f>
        <v>32472.81</v>
      </c>
      <c r="M1231" s="246" t="s">
        <v>351</v>
      </c>
      <c r="N1231" s="261" t="s">
        <v>2816</v>
      </c>
      <c r="O1231" s="261" t="s">
        <v>56</v>
      </c>
      <c r="P1231" s="263" t="s">
        <v>41</v>
      </c>
      <c r="Q1231" s="262">
        <v>45127</v>
      </c>
      <c r="R1231" s="263" t="s">
        <v>41</v>
      </c>
      <c r="S1231" s="262">
        <v>45127</v>
      </c>
      <c r="T1231" s="263"/>
      <c r="U1231" s="262"/>
      <c r="V1231" s="263" t="s">
        <v>41</v>
      </c>
      <c r="W1231" s="262">
        <v>45250</v>
      </c>
      <c r="X1231" s="263" t="s">
        <v>41</v>
      </c>
      <c r="Y1231" s="262">
        <v>45291</v>
      </c>
      <c r="Z1231" s="263" t="s">
        <v>40</v>
      </c>
      <c r="AA1231" s="262"/>
      <c r="AB1231" s="263" t="s">
        <v>40</v>
      </c>
      <c r="AC1231" s="262"/>
      <c r="AD1231" s="262"/>
      <c r="AE1231" s="262">
        <v>45565</v>
      </c>
      <c r="AF1231" s="263" t="s">
        <v>65</v>
      </c>
      <c r="AG1231" s="270">
        <v>2026</v>
      </c>
      <c r="AH1231" s="261">
        <f t="shared" si="43"/>
        <v>159749.98879500001</v>
      </c>
      <c r="AI1231" s="261"/>
      <c r="AJ1231" s="261"/>
      <c r="AK1231" s="259" t="s">
        <v>43</v>
      </c>
      <c r="AL1231" s="259" t="s">
        <v>41</v>
      </c>
      <c r="AM1231" s="266">
        <v>0</v>
      </c>
      <c r="AN1231" s="67"/>
      <c r="AO1231" s="256"/>
      <c r="AP1231" s="257"/>
    </row>
    <row r="1232" spans="1:42" s="258" customFormat="1" ht="37.950000000000003" customHeight="1" x14ac:dyDescent="0.3">
      <c r="A1232" s="259" t="s">
        <v>1641</v>
      </c>
      <c r="B1232" s="243" t="s">
        <v>1642</v>
      </c>
      <c r="C1232" s="244" t="s">
        <v>2817</v>
      </c>
      <c r="D1232" s="243" t="s">
        <v>34</v>
      </c>
      <c r="E1232" s="243" t="s">
        <v>1644</v>
      </c>
      <c r="F1232" s="259" t="s">
        <v>35</v>
      </c>
      <c r="G1232" s="259">
        <v>1</v>
      </c>
      <c r="H1232" s="245">
        <v>778720.2</v>
      </c>
      <c r="I1232" s="243" t="s">
        <v>36</v>
      </c>
      <c r="J1232" s="245">
        <f t="shared" si="42"/>
        <v>778720.2</v>
      </c>
      <c r="K1232" s="1435">
        <f>43744.28</f>
        <v>43744.28</v>
      </c>
      <c r="L1232" s="1435">
        <f>43744.28</f>
        <v>43744.28</v>
      </c>
      <c r="M1232" s="246" t="s">
        <v>49</v>
      </c>
      <c r="N1232" s="261" t="s">
        <v>2818</v>
      </c>
      <c r="O1232" s="261" t="s">
        <v>2819</v>
      </c>
      <c r="P1232" s="263" t="s">
        <v>41</v>
      </c>
      <c r="Q1232" s="262">
        <v>45127</v>
      </c>
      <c r="R1232" s="263" t="s">
        <v>41</v>
      </c>
      <c r="S1232" s="262">
        <v>45127</v>
      </c>
      <c r="T1232" s="263"/>
      <c r="U1232" s="262"/>
      <c r="V1232" s="263" t="s">
        <v>41</v>
      </c>
      <c r="W1232" s="262">
        <v>45250</v>
      </c>
      <c r="X1232" s="263" t="s">
        <v>41</v>
      </c>
      <c r="Y1232" s="262">
        <v>45291</v>
      </c>
      <c r="Z1232" s="263" t="s">
        <v>40</v>
      </c>
      <c r="AA1232" s="262"/>
      <c r="AB1232" s="263" t="s">
        <v>40</v>
      </c>
      <c r="AC1232" s="262"/>
      <c r="AD1232" s="262"/>
      <c r="AE1232" s="262">
        <v>45565</v>
      </c>
      <c r="AF1232" s="263" t="s">
        <v>65</v>
      </c>
      <c r="AG1232" s="270">
        <v>2026</v>
      </c>
      <c r="AH1232" s="261">
        <f t="shared" si="43"/>
        <v>215199.98546</v>
      </c>
      <c r="AI1232" s="261"/>
      <c r="AJ1232" s="261"/>
      <c r="AK1232" s="259" t="s">
        <v>43</v>
      </c>
      <c r="AL1232" s="259" t="s">
        <v>41</v>
      </c>
      <c r="AM1232" s="266">
        <v>0</v>
      </c>
      <c r="AN1232" s="67"/>
      <c r="AO1232" s="256"/>
      <c r="AP1232" s="257"/>
    </row>
    <row r="1233" spans="1:42" s="258" customFormat="1" ht="37.950000000000003" customHeight="1" x14ac:dyDescent="0.3">
      <c r="A1233" s="259" t="s">
        <v>1641</v>
      </c>
      <c r="B1233" s="243" t="s">
        <v>1642</v>
      </c>
      <c r="C1233" s="244" t="s">
        <v>2820</v>
      </c>
      <c r="D1233" s="243" t="s">
        <v>34</v>
      </c>
      <c r="E1233" s="243" t="s">
        <v>1644</v>
      </c>
      <c r="F1233" s="259" t="s">
        <v>35</v>
      </c>
      <c r="G1233" s="259">
        <v>1</v>
      </c>
      <c r="H1233" s="245">
        <v>778720.2</v>
      </c>
      <c r="I1233" s="243" t="s">
        <v>36</v>
      </c>
      <c r="J1233" s="245">
        <f t="shared" si="42"/>
        <v>778720.2</v>
      </c>
      <c r="K1233" s="1695">
        <v>0</v>
      </c>
      <c r="L1233" s="1695">
        <v>0</v>
      </c>
      <c r="M1233" s="246" t="s">
        <v>2654</v>
      </c>
      <c r="N1233" s="261" t="s">
        <v>2821</v>
      </c>
      <c r="O1233" s="261" t="s">
        <v>2822</v>
      </c>
      <c r="P1233" s="263" t="s">
        <v>41</v>
      </c>
      <c r="Q1233" s="262">
        <v>45127</v>
      </c>
      <c r="R1233" s="263" t="s">
        <v>41</v>
      </c>
      <c r="S1233" s="262">
        <v>45127</v>
      </c>
      <c r="T1233" s="263"/>
      <c r="U1233" s="262"/>
      <c r="V1233" s="263" t="s">
        <v>41</v>
      </c>
      <c r="W1233" s="262">
        <v>45250</v>
      </c>
      <c r="X1233" s="263" t="s">
        <v>41</v>
      </c>
      <c r="Y1233" s="262">
        <v>45291</v>
      </c>
      <c r="Z1233" s="263" t="s">
        <v>40</v>
      </c>
      <c r="AA1233" s="262"/>
      <c r="AB1233" s="263" t="s">
        <v>40</v>
      </c>
      <c r="AC1233" s="262"/>
      <c r="AD1233" s="262"/>
      <c r="AE1233" s="262">
        <v>45565</v>
      </c>
      <c r="AF1233" s="263" t="s">
        <v>65</v>
      </c>
      <c r="AG1233" s="270">
        <v>2026</v>
      </c>
      <c r="AH1233" s="261">
        <f t="shared" si="43"/>
        <v>0</v>
      </c>
      <c r="AI1233" s="261"/>
      <c r="AJ1233" s="261"/>
      <c r="AK1233" s="259" t="s">
        <v>43</v>
      </c>
      <c r="AL1233" s="259" t="s">
        <v>41</v>
      </c>
      <c r="AM1233" s="266">
        <v>0</v>
      </c>
      <c r="AN1233" s="67"/>
      <c r="AO1233" s="256"/>
      <c r="AP1233" s="257"/>
    </row>
    <row r="1234" spans="1:42" s="258" customFormat="1" ht="37.950000000000003" customHeight="1" x14ac:dyDescent="0.3">
      <c r="A1234" s="259" t="s">
        <v>1641</v>
      </c>
      <c r="B1234" s="243" t="s">
        <v>1642</v>
      </c>
      <c r="C1234" s="244" t="s">
        <v>2823</v>
      </c>
      <c r="D1234" s="243" t="s">
        <v>34</v>
      </c>
      <c r="E1234" s="243" t="s">
        <v>1644</v>
      </c>
      <c r="F1234" s="259" t="s">
        <v>35</v>
      </c>
      <c r="G1234" s="259">
        <v>1</v>
      </c>
      <c r="H1234" s="245">
        <v>778720</v>
      </c>
      <c r="I1234" s="243" t="s">
        <v>36</v>
      </c>
      <c r="J1234" s="245">
        <f t="shared" si="42"/>
        <v>778720</v>
      </c>
      <c r="K1234" s="1695">
        <f>22359.99</f>
        <v>22359.99</v>
      </c>
      <c r="L1234" s="1695">
        <f>22359.99</f>
        <v>22359.99</v>
      </c>
      <c r="M1234" s="246" t="s">
        <v>55</v>
      </c>
      <c r="N1234" s="261" t="s">
        <v>2824</v>
      </c>
      <c r="O1234" s="261" t="s">
        <v>2825</v>
      </c>
      <c r="P1234" s="263" t="s">
        <v>41</v>
      </c>
      <c r="Q1234" s="262">
        <v>45127</v>
      </c>
      <c r="R1234" s="263" t="s">
        <v>41</v>
      </c>
      <c r="S1234" s="262">
        <v>45127</v>
      </c>
      <c r="T1234" s="263"/>
      <c r="U1234" s="262"/>
      <c r="V1234" s="263" t="s">
        <v>41</v>
      </c>
      <c r="W1234" s="262">
        <v>45250</v>
      </c>
      <c r="X1234" s="263" t="s">
        <v>41</v>
      </c>
      <c r="Y1234" s="262">
        <v>45291</v>
      </c>
      <c r="Z1234" s="263" t="s">
        <v>40</v>
      </c>
      <c r="AA1234" s="262"/>
      <c r="AB1234" s="263" t="s">
        <v>40</v>
      </c>
      <c r="AC1234" s="262"/>
      <c r="AD1234" s="262"/>
      <c r="AE1234" s="262">
        <v>45565</v>
      </c>
      <c r="AF1234" s="263" t="s">
        <v>65</v>
      </c>
      <c r="AG1234" s="270">
        <v>2026</v>
      </c>
      <c r="AH1234" s="261">
        <f t="shared" si="43"/>
        <v>109999.97080500002</v>
      </c>
      <c r="AI1234" s="261"/>
      <c r="AJ1234" s="261"/>
      <c r="AK1234" s="259" t="s">
        <v>43</v>
      </c>
      <c r="AL1234" s="259" t="s">
        <v>41</v>
      </c>
      <c r="AM1234" s="266">
        <v>0</v>
      </c>
      <c r="AN1234" s="67"/>
      <c r="AO1234" s="256"/>
      <c r="AP1234" s="257"/>
    </row>
    <row r="1235" spans="1:42" s="258" customFormat="1" ht="37.950000000000003" customHeight="1" x14ac:dyDescent="0.3">
      <c r="A1235" s="259" t="s">
        <v>1641</v>
      </c>
      <c r="B1235" s="243" t="s">
        <v>1642</v>
      </c>
      <c r="C1235" s="244" t="s">
        <v>2826</v>
      </c>
      <c r="D1235" s="243" t="s">
        <v>34</v>
      </c>
      <c r="E1235" s="243" t="s">
        <v>1644</v>
      </c>
      <c r="F1235" s="259" t="s">
        <v>35</v>
      </c>
      <c r="G1235" s="259">
        <v>1</v>
      </c>
      <c r="H1235" s="245">
        <v>778720</v>
      </c>
      <c r="I1235" s="243" t="s">
        <v>36</v>
      </c>
      <c r="J1235" s="245">
        <f t="shared" si="42"/>
        <v>778720</v>
      </c>
      <c r="K1235" s="1695">
        <v>0</v>
      </c>
      <c r="L1235" s="1695">
        <v>0</v>
      </c>
      <c r="M1235" s="246" t="s">
        <v>50</v>
      </c>
      <c r="N1235" s="261" t="s">
        <v>2827</v>
      </c>
      <c r="O1235" s="261" t="s">
        <v>2828</v>
      </c>
      <c r="P1235" s="263" t="s">
        <v>41</v>
      </c>
      <c r="Q1235" s="262">
        <v>45127</v>
      </c>
      <c r="R1235" s="263" t="s">
        <v>41</v>
      </c>
      <c r="S1235" s="262">
        <v>45127</v>
      </c>
      <c r="T1235" s="263"/>
      <c r="U1235" s="262"/>
      <c r="V1235" s="263" t="s">
        <v>41</v>
      </c>
      <c r="W1235" s="262">
        <v>45250</v>
      </c>
      <c r="X1235" s="263" t="s">
        <v>41</v>
      </c>
      <c r="Y1235" s="262">
        <v>45291</v>
      </c>
      <c r="Z1235" s="263" t="s">
        <v>40</v>
      </c>
      <c r="AA1235" s="262"/>
      <c r="AB1235" s="263" t="s">
        <v>40</v>
      </c>
      <c r="AC1235" s="262"/>
      <c r="AD1235" s="262"/>
      <c r="AE1235" s="262">
        <v>45565</v>
      </c>
      <c r="AF1235" s="263" t="s">
        <v>65</v>
      </c>
      <c r="AG1235" s="270">
        <v>2026</v>
      </c>
      <c r="AH1235" s="261">
        <f t="shared" si="43"/>
        <v>0</v>
      </c>
      <c r="AI1235" s="261"/>
      <c r="AJ1235" s="261"/>
      <c r="AK1235" s="259" t="s">
        <v>43</v>
      </c>
      <c r="AL1235" s="259" t="s">
        <v>41</v>
      </c>
      <c r="AM1235" s="266">
        <v>0</v>
      </c>
      <c r="AN1235" s="67"/>
      <c r="AO1235" s="256"/>
      <c r="AP1235" s="257"/>
    </row>
    <row r="1236" spans="1:42" s="258" customFormat="1" ht="37.950000000000003" customHeight="1" x14ac:dyDescent="0.3">
      <c r="A1236" s="259" t="s">
        <v>1641</v>
      </c>
      <c r="B1236" s="243" t="s">
        <v>1642</v>
      </c>
      <c r="C1236" s="244" t="s">
        <v>2829</v>
      </c>
      <c r="D1236" s="243" t="s">
        <v>34</v>
      </c>
      <c r="E1236" s="243" t="s">
        <v>1644</v>
      </c>
      <c r="F1236" s="259" t="s">
        <v>35</v>
      </c>
      <c r="G1236" s="259">
        <v>1</v>
      </c>
      <c r="H1236" s="245">
        <v>778720</v>
      </c>
      <c r="I1236" s="243" t="s">
        <v>36</v>
      </c>
      <c r="J1236" s="245">
        <f t="shared" si="42"/>
        <v>778720</v>
      </c>
      <c r="K1236" s="1695">
        <f>19310.91+34469.97</f>
        <v>53780.880000000005</v>
      </c>
      <c r="L1236" s="1695">
        <f>K1236</f>
        <v>53780.880000000005</v>
      </c>
      <c r="M1236" s="246" t="s">
        <v>2830</v>
      </c>
      <c r="N1236" s="261" t="s">
        <v>2608</v>
      </c>
      <c r="O1236" s="261" t="s">
        <v>2831</v>
      </c>
      <c r="P1236" s="263" t="s">
        <v>41</v>
      </c>
      <c r="Q1236" s="262">
        <v>45127</v>
      </c>
      <c r="R1236" s="263" t="s">
        <v>41</v>
      </c>
      <c r="S1236" s="262">
        <v>45127</v>
      </c>
      <c r="T1236" s="263"/>
      <c r="U1236" s="262"/>
      <c r="V1236" s="263" t="s">
        <v>41</v>
      </c>
      <c r="W1236" s="262">
        <v>45250</v>
      </c>
      <c r="X1236" s="263" t="s">
        <v>41</v>
      </c>
      <c r="Y1236" s="262">
        <v>45291</v>
      </c>
      <c r="Z1236" s="263" t="s">
        <v>40</v>
      </c>
      <c r="AA1236" s="262"/>
      <c r="AB1236" s="263" t="s">
        <v>40</v>
      </c>
      <c r="AC1236" s="262"/>
      <c r="AD1236" s="262"/>
      <c r="AE1236" s="262">
        <v>45565</v>
      </c>
      <c r="AF1236" s="263" t="s">
        <v>65</v>
      </c>
      <c r="AG1236" s="270">
        <v>2026</v>
      </c>
      <c r="AH1236" s="261">
        <f t="shared" si="43"/>
        <v>264575.03916000004</v>
      </c>
      <c r="AI1236" s="261"/>
      <c r="AJ1236" s="261"/>
      <c r="AK1236" s="259" t="s">
        <v>43</v>
      </c>
      <c r="AL1236" s="259" t="s">
        <v>41</v>
      </c>
      <c r="AM1236" s="266">
        <v>0</v>
      </c>
      <c r="AN1236" s="67"/>
      <c r="AO1236" s="256"/>
      <c r="AP1236" s="257"/>
    </row>
    <row r="1237" spans="1:42" s="258" customFormat="1" ht="37.950000000000003" customHeight="1" x14ac:dyDescent="0.3">
      <c r="A1237" s="259" t="s">
        <v>1641</v>
      </c>
      <c r="B1237" s="243" t="s">
        <v>1642</v>
      </c>
      <c r="C1237" s="244" t="s">
        <v>2832</v>
      </c>
      <c r="D1237" s="243" t="s">
        <v>34</v>
      </c>
      <c r="E1237" s="243" t="s">
        <v>1644</v>
      </c>
      <c r="F1237" s="259" t="s">
        <v>35</v>
      </c>
      <c r="G1237" s="259">
        <v>1</v>
      </c>
      <c r="H1237" s="245">
        <v>769947.52</v>
      </c>
      <c r="I1237" s="243" t="s">
        <v>36</v>
      </c>
      <c r="J1237" s="245">
        <f t="shared" si="42"/>
        <v>769947.52</v>
      </c>
      <c r="K1237" s="1695">
        <f>28628.86</f>
        <v>28628.86</v>
      </c>
      <c r="L1237" s="1695">
        <f>28628.86</f>
        <v>28628.86</v>
      </c>
      <c r="M1237" s="246" t="s">
        <v>53</v>
      </c>
      <c r="N1237" s="261" t="s">
        <v>2833</v>
      </c>
      <c r="O1237" s="261" t="s">
        <v>2834</v>
      </c>
      <c r="P1237" s="263" t="s">
        <v>41</v>
      </c>
      <c r="Q1237" s="262">
        <v>45127</v>
      </c>
      <c r="R1237" s="263" t="s">
        <v>41</v>
      </c>
      <c r="S1237" s="262">
        <v>45127</v>
      </c>
      <c r="T1237" s="263"/>
      <c r="U1237" s="262"/>
      <c r="V1237" s="263" t="s">
        <v>41</v>
      </c>
      <c r="W1237" s="262">
        <v>45250</v>
      </c>
      <c r="X1237" s="263" t="s">
        <v>41</v>
      </c>
      <c r="Y1237" s="262">
        <v>45291</v>
      </c>
      <c r="Z1237" s="263" t="s">
        <v>40</v>
      </c>
      <c r="AA1237" s="262"/>
      <c r="AB1237" s="263" t="s">
        <v>40</v>
      </c>
      <c r="AC1237" s="262"/>
      <c r="AD1237" s="262"/>
      <c r="AE1237" s="262">
        <v>45565</v>
      </c>
      <c r="AF1237" s="263" t="s">
        <v>65</v>
      </c>
      <c r="AG1237" s="270">
        <v>2026</v>
      </c>
      <c r="AH1237" s="261">
        <f t="shared" si="43"/>
        <v>140839.67677000002</v>
      </c>
      <c r="AI1237" s="261"/>
      <c r="AJ1237" s="261"/>
      <c r="AK1237" s="259" t="s">
        <v>43</v>
      </c>
      <c r="AL1237" s="259" t="s">
        <v>41</v>
      </c>
      <c r="AM1237" s="266">
        <v>0</v>
      </c>
      <c r="AN1237" s="67"/>
      <c r="AO1237" s="256"/>
      <c r="AP1237" s="257"/>
    </row>
    <row r="1238" spans="1:42" s="258" customFormat="1" ht="37.950000000000003" customHeight="1" x14ac:dyDescent="0.3">
      <c r="A1238" s="259" t="s">
        <v>1641</v>
      </c>
      <c r="B1238" s="243" t="s">
        <v>1642</v>
      </c>
      <c r="C1238" s="244" t="s">
        <v>2835</v>
      </c>
      <c r="D1238" s="243" t="s">
        <v>34</v>
      </c>
      <c r="E1238" s="243" t="s">
        <v>1644</v>
      </c>
      <c r="F1238" s="259" t="s">
        <v>35</v>
      </c>
      <c r="G1238" s="259">
        <v>1</v>
      </c>
      <c r="H1238" s="245">
        <v>778720.2</v>
      </c>
      <c r="I1238" s="243" t="s">
        <v>36</v>
      </c>
      <c r="J1238" s="245">
        <f t="shared" si="42"/>
        <v>778720.2</v>
      </c>
      <c r="K1238" s="1695">
        <v>0</v>
      </c>
      <c r="L1238" s="1695">
        <v>0</v>
      </c>
      <c r="M1238" s="246" t="s">
        <v>183</v>
      </c>
      <c r="N1238" s="261" t="s">
        <v>2836</v>
      </c>
      <c r="O1238" s="261" t="s">
        <v>2837</v>
      </c>
      <c r="P1238" s="263" t="s">
        <v>41</v>
      </c>
      <c r="Q1238" s="262">
        <v>45127</v>
      </c>
      <c r="R1238" s="263" t="s">
        <v>41</v>
      </c>
      <c r="S1238" s="262">
        <v>45127</v>
      </c>
      <c r="T1238" s="263"/>
      <c r="U1238" s="262"/>
      <c r="V1238" s="263" t="s">
        <v>41</v>
      </c>
      <c r="W1238" s="262">
        <v>45250</v>
      </c>
      <c r="X1238" s="263" t="s">
        <v>41</v>
      </c>
      <c r="Y1238" s="262">
        <v>45291</v>
      </c>
      <c r="Z1238" s="263" t="s">
        <v>40</v>
      </c>
      <c r="AA1238" s="262"/>
      <c r="AB1238" s="263" t="s">
        <v>40</v>
      </c>
      <c r="AC1238" s="262"/>
      <c r="AD1238" s="262"/>
      <c r="AE1238" s="262">
        <v>45565</v>
      </c>
      <c r="AF1238" s="263" t="s">
        <v>65</v>
      </c>
      <c r="AG1238" s="270">
        <v>2026</v>
      </c>
      <c r="AH1238" s="261">
        <f t="shared" si="43"/>
        <v>0</v>
      </c>
      <c r="AI1238" s="261"/>
      <c r="AJ1238" s="261"/>
      <c r="AK1238" s="259" t="s">
        <v>43</v>
      </c>
      <c r="AL1238" s="259" t="s">
        <v>41</v>
      </c>
      <c r="AM1238" s="266">
        <v>0</v>
      </c>
      <c r="AN1238" s="67"/>
      <c r="AO1238" s="256"/>
      <c r="AP1238" s="257"/>
    </row>
    <row r="1239" spans="1:42" s="269" customFormat="1" ht="37.950000000000003" customHeight="1" x14ac:dyDescent="0.3">
      <c r="A1239" s="259" t="s">
        <v>1641</v>
      </c>
      <c r="B1239" s="243" t="s">
        <v>1642</v>
      </c>
      <c r="C1239" s="244" t="s">
        <v>2838</v>
      </c>
      <c r="D1239" s="243" t="s">
        <v>34</v>
      </c>
      <c r="E1239" s="243" t="s">
        <v>1644</v>
      </c>
      <c r="F1239" s="259" t="s">
        <v>35</v>
      </c>
      <c r="G1239" s="259">
        <v>1</v>
      </c>
      <c r="H1239" s="245">
        <v>778720</v>
      </c>
      <c r="I1239" s="243" t="s">
        <v>36</v>
      </c>
      <c r="J1239" s="245">
        <f t="shared" si="42"/>
        <v>778720</v>
      </c>
      <c r="K1239" s="1695">
        <v>0</v>
      </c>
      <c r="L1239" s="1695">
        <v>0</v>
      </c>
      <c r="M1239" s="246" t="s">
        <v>82</v>
      </c>
      <c r="N1239" s="261" t="s">
        <v>2839</v>
      </c>
      <c r="O1239" s="261" t="s">
        <v>2840</v>
      </c>
      <c r="P1239" s="263" t="s">
        <v>41</v>
      </c>
      <c r="Q1239" s="262">
        <v>45127</v>
      </c>
      <c r="R1239" s="263" t="s">
        <v>41</v>
      </c>
      <c r="S1239" s="262">
        <v>45127</v>
      </c>
      <c r="T1239" s="263"/>
      <c r="U1239" s="262"/>
      <c r="V1239" s="263" t="s">
        <v>41</v>
      </c>
      <c r="W1239" s="262">
        <v>45250</v>
      </c>
      <c r="X1239" s="263" t="s">
        <v>41</v>
      </c>
      <c r="Y1239" s="262">
        <v>45291</v>
      </c>
      <c r="Z1239" s="263" t="s">
        <v>40</v>
      </c>
      <c r="AA1239" s="262"/>
      <c r="AB1239" s="263" t="s">
        <v>40</v>
      </c>
      <c r="AC1239" s="262"/>
      <c r="AD1239" s="262"/>
      <c r="AE1239" s="262">
        <v>45565</v>
      </c>
      <c r="AF1239" s="263" t="s">
        <v>65</v>
      </c>
      <c r="AG1239" s="270">
        <v>2026</v>
      </c>
      <c r="AH1239" s="261">
        <f t="shared" si="43"/>
        <v>0</v>
      </c>
      <c r="AI1239" s="261"/>
      <c r="AJ1239" s="261"/>
      <c r="AK1239" s="259" t="s">
        <v>43</v>
      </c>
      <c r="AL1239" s="259" t="s">
        <v>41</v>
      </c>
      <c r="AM1239" s="266">
        <v>0</v>
      </c>
      <c r="AN1239" s="67"/>
      <c r="AO1239" s="267"/>
      <c r="AP1239" s="268"/>
    </row>
    <row r="1240" spans="1:42" s="258" customFormat="1" ht="37.950000000000003" customHeight="1" x14ac:dyDescent="0.3">
      <c r="A1240" s="259" t="s">
        <v>1641</v>
      </c>
      <c r="B1240" s="243" t="s">
        <v>1642</v>
      </c>
      <c r="C1240" s="244" t="s">
        <v>2841</v>
      </c>
      <c r="D1240" s="243" t="s">
        <v>34</v>
      </c>
      <c r="E1240" s="243" t="s">
        <v>1644</v>
      </c>
      <c r="F1240" s="259" t="s">
        <v>35</v>
      </c>
      <c r="G1240" s="259">
        <v>1</v>
      </c>
      <c r="H1240" s="245">
        <v>778720</v>
      </c>
      <c r="I1240" s="243" t="s">
        <v>36</v>
      </c>
      <c r="J1240" s="245">
        <f t="shared" si="42"/>
        <v>778720</v>
      </c>
      <c r="K1240" s="1695">
        <f>6098.18+3933.33+26425.449</f>
        <v>36456.959000000003</v>
      </c>
      <c r="L1240" s="1695">
        <f>6098.18+3933.33+26425.449</f>
        <v>36456.959000000003</v>
      </c>
      <c r="M1240" s="246" t="s">
        <v>412</v>
      </c>
      <c r="N1240" s="261" t="s">
        <v>1588</v>
      </c>
      <c r="O1240" s="261" t="s">
        <v>2842</v>
      </c>
      <c r="P1240" s="263" t="s">
        <v>41</v>
      </c>
      <c r="Q1240" s="262">
        <v>45127</v>
      </c>
      <c r="R1240" s="263" t="s">
        <v>41</v>
      </c>
      <c r="S1240" s="262">
        <v>45127</v>
      </c>
      <c r="T1240" s="263"/>
      <c r="U1240" s="262"/>
      <c r="V1240" s="263" t="s">
        <v>41</v>
      </c>
      <c r="W1240" s="262">
        <v>45250</v>
      </c>
      <c r="X1240" s="263" t="s">
        <v>41</v>
      </c>
      <c r="Y1240" s="262">
        <v>45291</v>
      </c>
      <c r="Z1240" s="263" t="s">
        <v>40</v>
      </c>
      <c r="AA1240" s="262"/>
      <c r="AB1240" s="263" t="s">
        <v>40</v>
      </c>
      <c r="AC1240" s="262"/>
      <c r="AD1240" s="262"/>
      <c r="AE1240" s="262">
        <v>45565</v>
      </c>
      <c r="AF1240" s="263" t="s">
        <v>65</v>
      </c>
      <c r="AG1240" s="270">
        <v>2026</v>
      </c>
      <c r="AH1240" s="261">
        <f t="shared" si="43"/>
        <v>179350.00980050003</v>
      </c>
      <c r="AI1240" s="261"/>
      <c r="AJ1240" s="261"/>
      <c r="AK1240" s="259" t="s">
        <v>43</v>
      </c>
      <c r="AL1240" s="259" t="s">
        <v>41</v>
      </c>
      <c r="AM1240" s="266">
        <v>0</v>
      </c>
      <c r="AN1240" s="67"/>
      <c r="AO1240" s="256"/>
      <c r="AP1240" s="257"/>
    </row>
    <row r="1241" spans="1:42" s="258" customFormat="1" ht="37.950000000000003" customHeight="1" x14ac:dyDescent="0.3">
      <c r="A1241" s="259" t="s">
        <v>1641</v>
      </c>
      <c r="B1241" s="243" t="s">
        <v>1642</v>
      </c>
      <c r="C1241" s="244" t="s">
        <v>2843</v>
      </c>
      <c r="D1241" s="243" t="s">
        <v>34</v>
      </c>
      <c r="E1241" s="243" t="s">
        <v>1644</v>
      </c>
      <c r="F1241" s="259" t="s">
        <v>35</v>
      </c>
      <c r="G1241" s="259">
        <v>1</v>
      </c>
      <c r="H1241" s="245">
        <v>778720</v>
      </c>
      <c r="I1241" s="243" t="s">
        <v>36</v>
      </c>
      <c r="J1241" s="245">
        <f t="shared" si="42"/>
        <v>778720</v>
      </c>
      <c r="K1241" s="1695">
        <f>15245.45+35412.54</f>
        <v>50657.990000000005</v>
      </c>
      <c r="L1241" s="1695">
        <f>K1241</f>
        <v>50657.990000000005</v>
      </c>
      <c r="M1241" s="246" t="s">
        <v>1208</v>
      </c>
      <c r="N1241" s="261" t="s">
        <v>2844</v>
      </c>
      <c r="O1241" s="261" t="s">
        <v>2845</v>
      </c>
      <c r="P1241" s="263" t="s">
        <v>41</v>
      </c>
      <c r="Q1241" s="262">
        <v>45127</v>
      </c>
      <c r="R1241" s="263" t="s">
        <v>41</v>
      </c>
      <c r="S1241" s="262">
        <v>45127</v>
      </c>
      <c r="T1241" s="263"/>
      <c r="U1241" s="262"/>
      <c r="V1241" s="263" t="s">
        <v>41</v>
      </c>
      <c r="W1241" s="262">
        <v>45250</v>
      </c>
      <c r="X1241" s="263" t="s">
        <v>41</v>
      </c>
      <c r="Y1241" s="262">
        <v>45291</v>
      </c>
      <c r="Z1241" s="263" t="s">
        <v>40</v>
      </c>
      <c r="AA1241" s="262"/>
      <c r="AB1241" s="263" t="s">
        <v>40</v>
      </c>
      <c r="AC1241" s="262"/>
      <c r="AD1241" s="262"/>
      <c r="AE1241" s="262">
        <v>45565</v>
      </c>
      <c r="AF1241" s="263" t="s">
        <v>65</v>
      </c>
      <c r="AG1241" s="270">
        <v>2026</v>
      </c>
      <c r="AH1241" s="261">
        <f t="shared" si="43"/>
        <v>249211.98180500005</v>
      </c>
      <c r="AI1241" s="261"/>
      <c r="AJ1241" s="261"/>
      <c r="AK1241" s="259" t="s">
        <v>43</v>
      </c>
      <c r="AL1241" s="259" t="s">
        <v>41</v>
      </c>
      <c r="AM1241" s="266">
        <v>0</v>
      </c>
      <c r="AN1241" s="67"/>
      <c r="AO1241" s="256"/>
      <c r="AP1241" s="257"/>
    </row>
    <row r="1242" spans="1:42" s="258" customFormat="1" ht="37.950000000000003" customHeight="1" x14ac:dyDescent="0.3">
      <c r="A1242" s="259" t="s">
        <v>1641</v>
      </c>
      <c r="B1242" s="243" t="s">
        <v>1642</v>
      </c>
      <c r="C1242" s="244" t="s">
        <v>2846</v>
      </c>
      <c r="D1242" s="243" t="s">
        <v>34</v>
      </c>
      <c r="E1242" s="243" t="s">
        <v>1644</v>
      </c>
      <c r="F1242" s="259" t="s">
        <v>35</v>
      </c>
      <c r="G1242" s="259">
        <v>1</v>
      </c>
      <c r="H1242" s="245">
        <v>778720</v>
      </c>
      <c r="I1242" s="243" t="s">
        <v>36</v>
      </c>
      <c r="J1242" s="245">
        <f t="shared" si="42"/>
        <v>778720</v>
      </c>
      <c r="K1242" s="1435">
        <f>40654.53</f>
        <v>40654.53</v>
      </c>
      <c r="L1242" s="1435">
        <f>40654.53</f>
        <v>40654.53</v>
      </c>
      <c r="M1242" s="246" t="s">
        <v>53</v>
      </c>
      <c r="N1242" s="261" t="s">
        <v>2847</v>
      </c>
      <c r="O1242" s="261" t="s">
        <v>2848</v>
      </c>
      <c r="P1242" s="263" t="s">
        <v>41</v>
      </c>
      <c r="Q1242" s="262">
        <v>45127</v>
      </c>
      <c r="R1242" s="263" t="s">
        <v>41</v>
      </c>
      <c r="S1242" s="262">
        <v>45127</v>
      </c>
      <c r="T1242" s="263"/>
      <c r="U1242" s="262"/>
      <c r="V1242" s="263" t="s">
        <v>41</v>
      </c>
      <c r="W1242" s="262">
        <v>45250</v>
      </c>
      <c r="X1242" s="263" t="s">
        <v>41</v>
      </c>
      <c r="Y1242" s="262">
        <v>45291</v>
      </c>
      <c r="Z1242" s="263" t="s">
        <v>40</v>
      </c>
      <c r="AA1242" s="262"/>
      <c r="AB1242" s="263" t="s">
        <v>40</v>
      </c>
      <c r="AC1242" s="262"/>
      <c r="AD1242" s="262"/>
      <c r="AE1242" s="262">
        <v>45565</v>
      </c>
      <c r="AF1242" s="263" t="s">
        <v>65</v>
      </c>
      <c r="AG1242" s="270">
        <v>2026</v>
      </c>
      <c r="AH1242" s="261">
        <f t="shared" si="43"/>
        <v>199999.96033500001</v>
      </c>
      <c r="AI1242" s="261"/>
      <c r="AJ1242" s="261"/>
      <c r="AK1242" s="259" t="s">
        <v>43</v>
      </c>
      <c r="AL1242" s="259" t="s">
        <v>41</v>
      </c>
      <c r="AM1242" s="266">
        <v>0</v>
      </c>
      <c r="AN1242" s="67"/>
      <c r="AO1242" s="256"/>
      <c r="AP1242" s="257"/>
    </row>
    <row r="1243" spans="1:42" s="258" customFormat="1" ht="37.950000000000003" customHeight="1" x14ac:dyDescent="0.3">
      <c r="A1243" s="259" t="s">
        <v>1641</v>
      </c>
      <c r="B1243" s="243" t="s">
        <v>1642</v>
      </c>
      <c r="C1243" s="244" t="s">
        <v>2849</v>
      </c>
      <c r="D1243" s="243" t="s">
        <v>34</v>
      </c>
      <c r="E1243" s="243" t="s">
        <v>1644</v>
      </c>
      <c r="F1243" s="259" t="s">
        <v>35</v>
      </c>
      <c r="G1243" s="259">
        <v>1</v>
      </c>
      <c r="H1243" s="245">
        <v>778720.2</v>
      </c>
      <c r="I1243" s="243" t="s">
        <v>36</v>
      </c>
      <c r="J1243" s="245">
        <f t="shared" si="42"/>
        <v>778720.2</v>
      </c>
      <c r="K1243" s="1695">
        <v>0</v>
      </c>
      <c r="L1243" s="1695">
        <v>0</v>
      </c>
      <c r="M1243" s="246" t="s">
        <v>50</v>
      </c>
      <c r="N1243" s="261" t="s">
        <v>2850</v>
      </c>
      <c r="O1243" s="261" t="s">
        <v>2851</v>
      </c>
      <c r="P1243" s="263" t="s">
        <v>41</v>
      </c>
      <c r="Q1243" s="262">
        <v>45127</v>
      </c>
      <c r="R1243" s="263" t="s">
        <v>41</v>
      </c>
      <c r="S1243" s="262">
        <v>45127</v>
      </c>
      <c r="T1243" s="263"/>
      <c r="U1243" s="262"/>
      <c r="V1243" s="263" t="s">
        <v>41</v>
      </c>
      <c r="W1243" s="262">
        <v>45250</v>
      </c>
      <c r="X1243" s="263" t="s">
        <v>41</v>
      </c>
      <c r="Y1243" s="262">
        <v>45291</v>
      </c>
      <c r="Z1243" s="263" t="s">
        <v>40</v>
      </c>
      <c r="AA1243" s="262"/>
      <c r="AB1243" s="263" t="s">
        <v>40</v>
      </c>
      <c r="AC1243" s="262"/>
      <c r="AD1243" s="262"/>
      <c r="AE1243" s="262">
        <v>45565</v>
      </c>
      <c r="AF1243" s="263" t="s">
        <v>65</v>
      </c>
      <c r="AG1243" s="270">
        <v>2026</v>
      </c>
      <c r="AH1243" s="261">
        <f t="shared" si="43"/>
        <v>0</v>
      </c>
      <c r="AI1243" s="261"/>
      <c r="AJ1243" s="261"/>
      <c r="AK1243" s="259" t="s">
        <v>43</v>
      </c>
      <c r="AL1243" s="259" t="s">
        <v>41</v>
      </c>
      <c r="AM1243" s="266">
        <v>0</v>
      </c>
      <c r="AN1243" s="67"/>
      <c r="AO1243" s="256"/>
      <c r="AP1243" s="257"/>
    </row>
    <row r="1244" spans="1:42" s="258" customFormat="1" ht="37.950000000000003" customHeight="1" x14ac:dyDescent="0.3">
      <c r="A1244" s="259" t="s">
        <v>1641</v>
      </c>
      <c r="B1244" s="243" t="s">
        <v>1642</v>
      </c>
      <c r="C1244" s="244" t="s">
        <v>2852</v>
      </c>
      <c r="D1244" s="243" t="s">
        <v>34</v>
      </c>
      <c r="E1244" s="243" t="s">
        <v>1644</v>
      </c>
      <c r="F1244" s="259" t="s">
        <v>35</v>
      </c>
      <c r="G1244" s="259">
        <v>1</v>
      </c>
      <c r="H1244" s="245">
        <v>778719.99</v>
      </c>
      <c r="I1244" s="243" t="s">
        <v>36</v>
      </c>
      <c r="J1244" s="245">
        <f t="shared" si="42"/>
        <v>778719.99</v>
      </c>
      <c r="K1244" s="1695">
        <f>9748.75+1335.03</f>
        <v>11083.78</v>
      </c>
      <c r="L1244" s="1695">
        <f>K1244</f>
        <v>11083.78</v>
      </c>
      <c r="M1244" s="246" t="s">
        <v>84</v>
      </c>
      <c r="N1244" s="261" t="s">
        <v>2853</v>
      </c>
      <c r="O1244" s="261" t="s">
        <v>2854</v>
      </c>
      <c r="P1244" s="263" t="s">
        <v>41</v>
      </c>
      <c r="Q1244" s="262">
        <v>45131</v>
      </c>
      <c r="R1244" s="263" t="s">
        <v>41</v>
      </c>
      <c r="S1244" s="262">
        <v>45131</v>
      </c>
      <c r="T1244" s="263"/>
      <c r="U1244" s="262"/>
      <c r="V1244" s="263" t="s">
        <v>41</v>
      </c>
      <c r="W1244" s="262">
        <v>45254</v>
      </c>
      <c r="X1244" s="263" t="s">
        <v>41</v>
      </c>
      <c r="Y1244" s="262">
        <v>45291</v>
      </c>
      <c r="Z1244" s="263" t="s">
        <v>40</v>
      </c>
      <c r="AA1244" s="262"/>
      <c r="AB1244" s="263" t="s">
        <v>40</v>
      </c>
      <c r="AC1244" s="262"/>
      <c r="AD1244" s="262"/>
      <c r="AE1244" s="262">
        <v>45565</v>
      </c>
      <c r="AF1244" s="263" t="s">
        <v>65</v>
      </c>
      <c r="AG1244" s="270">
        <v>2026</v>
      </c>
      <c r="AH1244" s="261">
        <f t="shared" si="43"/>
        <v>54526.655710000006</v>
      </c>
      <c r="AI1244" s="261"/>
      <c r="AJ1244" s="261"/>
      <c r="AK1244" s="259" t="s">
        <v>43</v>
      </c>
      <c r="AL1244" s="259" t="s">
        <v>41</v>
      </c>
      <c r="AM1244" s="266">
        <v>0</v>
      </c>
      <c r="AN1244" s="67"/>
      <c r="AO1244" s="256"/>
      <c r="AP1244" s="257"/>
    </row>
    <row r="1245" spans="1:42" s="258" customFormat="1" ht="66" customHeight="1" x14ac:dyDescent="0.3">
      <c r="A1245" s="259" t="s">
        <v>1641</v>
      </c>
      <c r="B1245" s="243" t="s">
        <v>1642</v>
      </c>
      <c r="C1245" s="244" t="s">
        <v>2855</v>
      </c>
      <c r="D1245" s="243" t="s">
        <v>34</v>
      </c>
      <c r="E1245" s="243" t="s">
        <v>1644</v>
      </c>
      <c r="F1245" s="259" t="s">
        <v>35</v>
      </c>
      <c r="G1245" s="259">
        <v>1</v>
      </c>
      <c r="H1245" s="245">
        <v>778719.99</v>
      </c>
      <c r="I1245" s="243" t="s">
        <v>36</v>
      </c>
      <c r="J1245" s="245">
        <f t="shared" si="42"/>
        <v>778719.99</v>
      </c>
      <c r="K1245" s="1695">
        <f>150.42+7256.84+19520.89+7317.816</f>
        <v>34245.966</v>
      </c>
      <c r="L1245" s="1695">
        <f>150.42+7256.84+19520.89+7317.816</f>
        <v>34245.966</v>
      </c>
      <c r="M1245" s="246" t="s">
        <v>84</v>
      </c>
      <c r="N1245" s="246" t="s">
        <v>836</v>
      </c>
      <c r="O1245" s="261" t="s">
        <v>2731</v>
      </c>
      <c r="P1245" s="263" t="s">
        <v>41</v>
      </c>
      <c r="Q1245" s="262">
        <v>45131</v>
      </c>
      <c r="R1245" s="263" t="s">
        <v>41</v>
      </c>
      <c r="S1245" s="262">
        <v>45131</v>
      </c>
      <c r="T1245" s="263"/>
      <c r="U1245" s="262"/>
      <c r="V1245" s="263" t="s">
        <v>41</v>
      </c>
      <c r="W1245" s="262">
        <v>45254</v>
      </c>
      <c r="X1245" s="263" t="s">
        <v>41</v>
      </c>
      <c r="Y1245" s="262">
        <v>45291</v>
      </c>
      <c r="Z1245" s="263" t="s">
        <v>40</v>
      </c>
      <c r="AA1245" s="262"/>
      <c r="AB1245" s="263" t="s">
        <v>40</v>
      </c>
      <c r="AC1245" s="262"/>
      <c r="AD1245" s="262"/>
      <c r="AE1245" s="262">
        <v>45565</v>
      </c>
      <c r="AF1245" s="263" t="s">
        <v>65</v>
      </c>
      <c r="AG1245" s="270">
        <v>2026</v>
      </c>
      <c r="AH1245" s="261">
        <f t="shared" si="43"/>
        <v>168473.029737</v>
      </c>
      <c r="AI1245" s="261"/>
      <c r="AJ1245" s="261"/>
      <c r="AK1245" s="259" t="s">
        <v>43</v>
      </c>
      <c r="AL1245" s="259" t="s">
        <v>41</v>
      </c>
      <c r="AM1245" s="266">
        <v>0</v>
      </c>
      <c r="AN1245" s="67"/>
      <c r="AO1245" s="256"/>
      <c r="AP1245" s="257"/>
    </row>
    <row r="1246" spans="1:42" s="258" customFormat="1" ht="37.950000000000003" customHeight="1" x14ac:dyDescent="0.3">
      <c r="A1246" s="259" t="s">
        <v>1641</v>
      </c>
      <c r="B1246" s="243" t="s">
        <v>1642</v>
      </c>
      <c r="C1246" s="244" t="s">
        <v>2856</v>
      </c>
      <c r="D1246" s="243" t="s">
        <v>34</v>
      </c>
      <c r="E1246" s="243" t="s">
        <v>1644</v>
      </c>
      <c r="F1246" s="259" t="s">
        <v>35</v>
      </c>
      <c r="G1246" s="259">
        <v>1</v>
      </c>
      <c r="H1246" s="245">
        <v>778720</v>
      </c>
      <c r="I1246" s="243" t="s">
        <v>36</v>
      </c>
      <c r="J1246" s="245">
        <f t="shared" si="42"/>
        <v>778720</v>
      </c>
      <c r="K1246" s="1695">
        <f>28966.358</f>
        <v>28966.358</v>
      </c>
      <c r="L1246" s="1695">
        <f>28966.358</f>
        <v>28966.358</v>
      </c>
      <c r="M1246" s="246" t="s">
        <v>60</v>
      </c>
      <c r="N1246" s="261" t="s">
        <v>2857</v>
      </c>
      <c r="O1246" s="261" t="s">
        <v>2858</v>
      </c>
      <c r="P1246" s="263" t="s">
        <v>41</v>
      </c>
      <c r="Q1246" s="262">
        <v>45131</v>
      </c>
      <c r="R1246" s="263" t="s">
        <v>41</v>
      </c>
      <c r="S1246" s="262">
        <v>45131</v>
      </c>
      <c r="T1246" s="263"/>
      <c r="U1246" s="262"/>
      <c r="V1246" s="263" t="s">
        <v>41</v>
      </c>
      <c r="W1246" s="262">
        <v>45254</v>
      </c>
      <c r="X1246" s="263" t="s">
        <v>41</v>
      </c>
      <c r="Y1246" s="262">
        <v>45291</v>
      </c>
      <c r="Z1246" s="263" t="s">
        <v>40</v>
      </c>
      <c r="AA1246" s="262"/>
      <c r="AB1246" s="263" t="s">
        <v>40</v>
      </c>
      <c r="AC1246" s="262"/>
      <c r="AD1246" s="262"/>
      <c r="AE1246" s="262">
        <v>45565</v>
      </c>
      <c r="AF1246" s="263" t="s">
        <v>65</v>
      </c>
      <c r="AG1246" s="270">
        <v>2026</v>
      </c>
      <c r="AH1246" s="261">
        <f t="shared" si="43"/>
        <v>142499.998181</v>
      </c>
      <c r="AI1246" s="261"/>
      <c r="AJ1246" s="261"/>
      <c r="AK1246" s="259" t="s">
        <v>43</v>
      </c>
      <c r="AL1246" s="259" t="s">
        <v>41</v>
      </c>
      <c r="AM1246" s="266">
        <v>0</v>
      </c>
      <c r="AN1246" s="67"/>
      <c r="AO1246" s="256"/>
      <c r="AP1246" s="257"/>
    </row>
    <row r="1247" spans="1:42" s="258" customFormat="1" ht="37.950000000000003" customHeight="1" x14ac:dyDescent="0.3">
      <c r="A1247" s="259" t="s">
        <v>1641</v>
      </c>
      <c r="B1247" s="243" t="s">
        <v>1642</v>
      </c>
      <c r="C1247" s="244" t="s">
        <v>2859</v>
      </c>
      <c r="D1247" s="243" t="s">
        <v>34</v>
      </c>
      <c r="E1247" s="243" t="s">
        <v>1644</v>
      </c>
      <c r="F1247" s="259" t="s">
        <v>35</v>
      </c>
      <c r="G1247" s="259">
        <v>1</v>
      </c>
      <c r="H1247" s="245">
        <v>769947.52</v>
      </c>
      <c r="I1247" s="243" t="s">
        <v>36</v>
      </c>
      <c r="J1247" s="245">
        <f t="shared" si="42"/>
        <v>769947.52</v>
      </c>
      <c r="K1247" s="1695">
        <v>0</v>
      </c>
      <c r="L1247" s="1695">
        <v>0</v>
      </c>
      <c r="M1247" s="246" t="s">
        <v>63</v>
      </c>
      <c r="N1247" s="261" t="s">
        <v>2860</v>
      </c>
      <c r="O1247" s="261" t="s">
        <v>2861</v>
      </c>
      <c r="P1247" s="263" t="s">
        <v>41</v>
      </c>
      <c r="Q1247" s="262">
        <v>45131</v>
      </c>
      <c r="R1247" s="263" t="s">
        <v>41</v>
      </c>
      <c r="S1247" s="262">
        <v>45131</v>
      </c>
      <c r="T1247" s="263"/>
      <c r="U1247" s="262"/>
      <c r="V1247" s="263" t="s">
        <v>41</v>
      </c>
      <c r="W1247" s="262">
        <v>45254</v>
      </c>
      <c r="X1247" s="263" t="s">
        <v>41</v>
      </c>
      <c r="Y1247" s="262">
        <v>45291</v>
      </c>
      <c r="Z1247" s="263" t="s">
        <v>40</v>
      </c>
      <c r="AA1247" s="262"/>
      <c r="AB1247" s="263" t="s">
        <v>40</v>
      </c>
      <c r="AC1247" s="262"/>
      <c r="AD1247" s="262"/>
      <c r="AE1247" s="262">
        <v>45565</v>
      </c>
      <c r="AF1247" s="263" t="s">
        <v>65</v>
      </c>
      <c r="AG1247" s="270">
        <v>2026</v>
      </c>
      <c r="AH1247" s="261">
        <f t="shared" si="43"/>
        <v>0</v>
      </c>
      <c r="AI1247" s="261"/>
      <c r="AJ1247" s="261"/>
      <c r="AK1247" s="259" t="s">
        <v>43</v>
      </c>
      <c r="AL1247" s="259" t="s">
        <v>41</v>
      </c>
      <c r="AM1247" s="266">
        <v>0</v>
      </c>
      <c r="AN1247" s="67"/>
      <c r="AO1247" s="256"/>
      <c r="AP1247" s="257"/>
    </row>
    <row r="1248" spans="1:42" s="258" customFormat="1" ht="37.950000000000003" customHeight="1" x14ac:dyDescent="0.3">
      <c r="A1248" s="259" t="s">
        <v>1641</v>
      </c>
      <c r="B1248" s="243" t="s">
        <v>1642</v>
      </c>
      <c r="C1248" s="244" t="s">
        <v>2862</v>
      </c>
      <c r="D1248" s="243" t="s">
        <v>34</v>
      </c>
      <c r="E1248" s="243" t="s">
        <v>1644</v>
      </c>
      <c r="F1248" s="259" t="s">
        <v>35</v>
      </c>
      <c r="G1248" s="259">
        <v>1</v>
      </c>
      <c r="H1248" s="245">
        <v>768502</v>
      </c>
      <c r="I1248" s="243" t="s">
        <v>36</v>
      </c>
      <c r="J1248" s="245">
        <f t="shared" si="42"/>
        <v>768502</v>
      </c>
      <c r="K1248" s="1695">
        <v>0</v>
      </c>
      <c r="L1248" s="1695">
        <v>0</v>
      </c>
      <c r="M1248" s="246" t="s">
        <v>67</v>
      </c>
      <c r="N1248" s="261" t="s">
        <v>2863</v>
      </c>
      <c r="O1248" s="261" t="s">
        <v>2864</v>
      </c>
      <c r="P1248" s="263" t="s">
        <v>41</v>
      </c>
      <c r="Q1248" s="262">
        <v>45131</v>
      </c>
      <c r="R1248" s="263" t="s">
        <v>41</v>
      </c>
      <c r="S1248" s="262">
        <v>45131</v>
      </c>
      <c r="T1248" s="263"/>
      <c r="U1248" s="262"/>
      <c r="V1248" s="263" t="s">
        <v>41</v>
      </c>
      <c r="W1248" s="262">
        <v>45254</v>
      </c>
      <c r="X1248" s="263" t="s">
        <v>41</v>
      </c>
      <c r="Y1248" s="262">
        <v>45291</v>
      </c>
      <c r="Z1248" s="263" t="s">
        <v>40</v>
      </c>
      <c r="AA1248" s="262"/>
      <c r="AB1248" s="263" t="s">
        <v>40</v>
      </c>
      <c r="AC1248" s="262"/>
      <c r="AD1248" s="262"/>
      <c r="AE1248" s="262">
        <v>45565</v>
      </c>
      <c r="AF1248" s="263" t="s">
        <v>65</v>
      </c>
      <c r="AG1248" s="270">
        <v>2026</v>
      </c>
      <c r="AH1248" s="261">
        <f t="shared" si="43"/>
        <v>0</v>
      </c>
      <c r="AI1248" s="261"/>
      <c r="AJ1248" s="261"/>
      <c r="AK1248" s="259" t="s">
        <v>43</v>
      </c>
      <c r="AL1248" s="259" t="s">
        <v>41</v>
      </c>
      <c r="AM1248" s="266">
        <v>0</v>
      </c>
      <c r="AN1248" s="67"/>
      <c r="AO1248" s="256"/>
      <c r="AP1248" s="257"/>
    </row>
    <row r="1249" spans="1:42" s="258" customFormat="1" ht="37.950000000000003" customHeight="1" x14ac:dyDescent="0.3">
      <c r="A1249" s="259" t="s">
        <v>1641</v>
      </c>
      <c r="B1249" s="243" t="s">
        <v>1642</v>
      </c>
      <c r="C1249" s="244" t="s">
        <v>2865</v>
      </c>
      <c r="D1249" s="243" t="s">
        <v>34</v>
      </c>
      <c r="E1249" s="243" t="s">
        <v>1644</v>
      </c>
      <c r="F1249" s="259" t="s">
        <v>35</v>
      </c>
      <c r="G1249" s="259">
        <v>1</v>
      </c>
      <c r="H1249" s="245">
        <v>778720.2</v>
      </c>
      <c r="I1249" s="243" t="s">
        <v>36</v>
      </c>
      <c r="J1249" s="245">
        <f t="shared" si="42"/>
        <v>778720.2</v>
      </c>
      <c r="K1249" s="1435">
        <f>6098.18+11733.91</f>
        <v>17832.09</v>
      </c>
      <c r="L1249" s="1435">
        <f>6098.18+11733.91</f>
        <v>17832.09</v>
      </c>
      <c r="M1249" s="246" t="s">
        <v>2510</v>
      </c>
      <c r="N1249" s="261" t="s">
        <v>2866</v>
      </c>
      <c r="O1249" s="261" t="s">
        <v>2867</v>
      </c>
      <c r="P1249" s="263" t="s">
        <v>41</v>
      </c>
      <c r="Q1249" s="262">
        <v>45131</v>
      </c>
      <c r="R1249" s="263" t="s">
        <v>41</v>
      </c>
      <c r="S1249" s="262">
        <v>45131</v>
      </c>
      <c r="T1249" s="263"/>
      <c r="U1249" s="262"/>
      <c r="V1249" s="263" t="s">
        <v>41</v>
      </c>
      <c r="W1249" s="262">
        <v>45254</v>
      </c>
      <c r="X1249" s="263" t="s">
        <v>41</v>
      </c>
      <c r="Y1249" s="262">
        <v>45291</v>
      </c>
      <c r="Z1249" s="263" t="s">
        <v>40</v>
      </c>
      <c r="AA1249" s="262"/>
      <c r="AB1249" s="263" t="s">
        <v>40</v>
      </c>
      <c r="AC1249" s="262"/>
      <c r="AD1249" s="262"/>
      <c r="AE1249" s="262">
        <v>45565</v>
      </c>
      <c r="AF1249" s="263" t="s">
        <v>65</v>
      </c>
      <c r="AG1249" s="270">
        <v>2026</v>
      </c>
      <c r="AH1249" s="261">
        <f t="shared" si="43"/>
        <v>87724.966755000001</v>
      </c>
      <c r="AI1249" s="261"/>
      <c r="AJ1249" s="261"/>
      <c r="AK1249" s="259" t="s">
        <v>43</v>
      </c>
      <c r="AL1249" s="259" t="s">
        <v>41</v>
      </c>
      <c r="AM1249" s="266">
        <v>0</v>
      </c>
      <c r="AN1249" s="67"/>
      <c r="AO1249" s="256"/>
      <c r="AP1249" s="257"/>
    </row>
    <row r="1250" spans="1:42" s="258" customFormat="1" ht="37.950000000000003" customHeight="1" x14ac:dyDescent="0.3">
      <c r="A1250" s="259" t="s">
        <v>1641</v>
      </c>
      <c r="B1250" s="243" t="s">
        <v>1642</v>
      </c>
      <c r="C1250" s="244" t="s">
        <v>2868</v>
      </c>
      <c r="D1250" s="243" t="s">
        <v>34</v>
      </c>
      <c r="E1250" s="243" t="s">
        <v>1644</v>
      </c>
      <c r="F1250" s="259" t="s">
        <v>35</v>
      </c>
      <c r="G1250" s="259">
        <v>1</v>
      </c>
      <c r="H1250" s="245">
        <v>756305.63</v>
      </c>
      <c r="I1250" s="243" t="s">
        <v>36</v>
      </c>
      <c r="J1250" s="245">
        <f t="shared" si="42"/>
        <v>756305.63</v>
      </c>
      <c r="K1250" s="1695">
        <f>14986.27</f>
        <v>14986.27</v>
      </c>
      <c r="L1250" s="1695">
        <f>14986.27</f>
        <v>14986.27</v>
      </c>
      <c r="M1250" s="246" t="s">
        <v>2654</v>
      </c>
      <c r="N1250" s="261" t="s">
        <v>2869</v>
      </c>
      <c r="O1250" s="261" t="s">
        <v>2870</v>
      </c>
      <c r="P1250" s="263" t="s">
        <v>41</v>
      </c>
      <c r="Q1250" s="262">
        <v>45131</v>
      </c>
      <c r="R1250" s="263" t="s">
        <v>41</v>
      </c>
      <c r="S1250" s="262">
        <v>45131</v>
      </c>
      <c r="T1250" s="263"/>
      <c r="U1250" s="262"/>
      <c r="V1250" s="263" t="s">
        <v>41</v>
      </c>
      <c r="W1250" s="262">
        <v>45254</v>
      </c>
      <c r="X1250" s="263" t="s">
        <v>41</v>
      </c>
      <c r="Y1250" s="262">
        <v>45291</v>
      </c>
      <c r="Z1250" s="263" t="s">
        <v>40</v>
      </c>
      <c r="AA1250" s="262"/>
      <c r="AB1250" s="263" t="s">
        <v>40</v>
      </c>
      <c r="AC1250" s="262"/>
      <c r="AD1250" s="262"/>
      <c r="AE1250" s="262">
        <v>45565</v>
      </c>
      <c r="AF1250" s="263" t="s">
        <v>65</v>
      </c>
      <c r="AG1250" s="270">
        <v>2026</v>
      </c>
      <c r="AH1250" s="261">
        <f t="shared" si="43"/>
        <v>73724.955265000011</v>
      </c>
      <c r="AI1250" s="261"/>
      <c r="AJ1250" s="261"/>
      <c r="AK1250" s="259" t="s">
        <v>43</v>
      </c>
      <c r="AL1250" s="259" t="s">
        <v>41</v>
      </c>
      <c r="AM1250" s="266">
        <v>0</v>
      </c>
      <c r="AN1250" s="67"/>
      <c r="AO1250" s="256"/>
      <c r="AP1250" s="257"/>
    </row>
    <row r="1251" spans="1:42" s="269" customFormat="1" ht="37.950000000000003" customHeight="1" x14ac:dyDescent="0.3">
      <c r="A1251" s="259" t="s">
        <v>1641</v>
      </c>
      <c r="B1251" s="243" t="s">
        <v>1642</v>
      </c>
      <c r="C1251" s="244" t="s">
        <v>2871</v>
      </c>
      <c r="D1251" s="243" t="s">
        <v>34</v>
      </c>
      <c r="E1251" s="243" t="s">
        <v>1644</v>
      </c>
      <c r="F1251" s="259" t="s">
        <v>35</v>
      </c>
      <c r="G1251" s="259">
        <v>1</v>
      </c>
      <c r="H1251" s="245">
        <v>778720.2</v>
      </c>
      <c r="I1251" s="243" t="s">
        <v>36</v>
      </c>
      <c r="J1251" s="245">
        <f t="shared" si="42"/>
        <v>778720.2</v>
      </c>
      <c r="K1251" s="1695">
        <f>7114.54+13212.72</f>
        <v>20327.259999999998</v>
      </c>
      <c r="L1251" s="1695">
        <f>K1251</f>
        <v>20327.259999999998</v>
      </c>
      <c r="M1251" s="246" t="s">
        <v>636</v>
      </c>
      <c r="N1251" s="261" t="s">
        <v>2872</v>
      </c>
      <c r="O1251" s="261" t="s">
        <v>2873</v>
      </c>
      <c r="P1251" s="263" t="s">
        <v>41</v>
      </c>
      <c r="Q1251" s="262">
        <v>45131</v>
      </c>
      <c r="R1251" s="263" t="s">
        <v>41</v>
      </c>
      <c r="S1251" s="262">
        <v>45131</v>
      </c>
      <c r="T1251" s="263"/>
      <c r="U1251" s="262"/>
      <c r="V1251" s="263" t="s">
        <v>41</v>
      </c>
      <c r="W1251" s="262">
        <v>45254</v>
      </c>
      <c r="X1251" s="263" t="s">
        <v>41</v>
      </c>
      <c r="Y1251" s="262">
        <v>45291</v>
      </c>
      <c r="Z1251" s="263" t="s">
        <v>40</v>
      </c>
      <c r="AA1251" s="262"/>
      <c r="AB1251" s="263" t="s">
        <v>40</v>
      </c>
      <c r="AC1251" s="262"/>
      <c r="AD1251" s="262"/>
      <c r="AE1251" s="262">
        <v>45565</v>
      </c>
      <c r="AF1251" s="263" t="s">
        <v>65</v>
      </c>
      <c r="AG1251" s="270">
        <v>2026</v>
      </c>
      <c r="AH1251" s="261">
        <f t="shared" si="43"/>
        <v>99999.955569999991</v>
      </c>
      <c r="AI1251" s="261"/>
      <c r="AJ1251" s="261"/>
      <c r="AK1251" s="259" t="s">
        <v>43</v>
      </c>
      <c r="AL1251" s="259" t="s">
        <v>41</v>
      </c>
      <c r="AM1251" s="266">
        <v>0</v>
      </c>
      <c r="AN1251" s="67"/>
      <c r="AO1251" s="267"/>
      <c r="AP1251" s="268"/>
    </row>
    <row r="1252" spans="1:42" s="258" customFormat="1" ht="37.950000000000003" customHeight="1" x14ac:dyDescent="0.3">
      <c r="A1252" s="259" t="s">
        <v>1641</v>
      </c>
      <c r="B1252" s="243" t="s">
        <v>1642</v>
      </c>
      <c r="C1252" s="244" t="s">
        <v>2874</v>
      </c>
      <c r="D1252" s="243" t="s">
        <v>34</v>
      </c>
      <c r="E1252" s="243" t="s">
        <v>1644</v>
      </c>
      <c r="F1252" s="259" t="s">
        <v>35</v>
      </c>
      <c r="G1252" s="259">
        <v>1</v>
      </c>
      <c r="H1252" s="245">
        <v>778720</v>
      </c>
      <c r="I1252" s="243" t="s">
        <v>36</v>
      </c>
      <c r="J1252" s="245">
        <f t="shared" si="42"/>
        <v>778720</v>
      </c>
      <c r="K1252" s="1695">
        <v>0</v>
      </c>
      <c r="L1252" s="1695">
        <v>0</v>
      </c>
      <c r="M1252" s="246" t="s">
        <v>71</v>
      </c>
      <c r="N1252" s="261" t="s">
        <v>2875</v>
      </c>
      <c r="O1252" s="261" t="s">
        <v>2876</v>
      </c>
      <c r="P1252" s="263" t="s">
        <v>41</v>
      </c>
      <c r="Q1252" s="262">
        <v>45131</v>
      </c>
      <c r="R1252" s="263" t="s">
        <v>41</v>
      </c>
      <c r="S1252" s="262">
        <v>45131</v>
      </c>
      <c r="T1252" s="263"/>
      <c r="U1252" s="262"/>
      <c r="V1252" s="263" t="s">
        <v>41</v>
      </c>
      <c r="W1252" s="262">
        <v>45254</v>
      </c>
      <c r="X1252" s="263" t="s">
        <v>41</v>
      </c>
      <c r="Y1252" s="262">
        <v>45291</v>
      </c>
      <c r="Z1252" s="263" t="s">
        <v>40</v>
      </c>
      <c r="AA1252" s="262"/>
      <c r="AB1252" s="263" t="s">
        <v>40</v>
      </c>
      <c r="AC1252" s="262"/>
      <c r="AD1252" s="262"/>
      <c r="AE1252" s="262">
        <v>45565</v>
      </c>
      <c r="AF1252" s="263" t="s">
        <v>65</v>
      </c>
      <c r="AG1252" s="270">
        <v>2026</v>
      </c>
      <c r="AH1252" s="261">
        <f t="shared" si="43"/>
        <v>0</v>
      </c>
      <c r="AI1252" s="261"/>
      <c r="AJ1252" s="261"/>
      <c r="AK1252" s="259" t="s">
        <v>43</v>
      </c>
      <c r="AL1252" s="259" t="s">
        <v>41</v>
      </c>
      <c r="AM1252" s="266">
        <v>0</v>
      </c>
      <c r="AN1252" s="67"/>
      <c r="AO1252" s="256"/>
      <c r="AP1252" s="257"/>
    </row>
    <row r="1253" spans="1:42" s="258" customFormat="1" ht="37.950000000000003" customHeight="1" x14ac:dyDescent="0.3">
      <c r="A1253" s="259" t="s">
        <v>1641</v>
      </c>
      <c r="B1253" s="243" t="s">
        <v>1642</v>
      </c>
      <c r="C1253" s="244" t="s">
        <v>2877</v>
      </c>
      <c r="D1253" s="243" t="s">
        <v>34</v>
      </c>
      <c r="E1253" s="243" t="s">
        <v>1644</v>
      </c>
      <c r="F1253" s="259" t="s">
        <v>35</v>
      </c>
      <c r="G1253" s="259">
        <v>1</v>
      </c>
      <c r="H1253" s="245">
        <v>778720.2</v>
      </c>
      <c r="I1253" s="243" t="s">
        <v>36</v>
      </c>
      <c r="J1253" s="245">
        <f t="shared" si="42"/>
        <v>778720.2</v>
      </c>
      <c r="K1253" s="1695">
        <f>24795</f>
        <v>24795</v>
      </c>
      <c r="L1253" s="1695">
        <f>K1253</f>
        <v>24795</v>
      </c>
      <c r="M1253" s="246" t="s">
        <v>1806</v>
      </c>
      <c r="N1253" s="261" t="s">
        <v>2878</v>
      </c>
      <c r="O1253" s="261" t="s">
        <v>2879</v>
      </c>
      <c r="P1253" s="263" t="s">
        <v>41</v>
      </c>
      <c r="Q1253" s="262">
        <v>45131</v>
      </c>
      <c r="R1253" s="263" t="s">
        <v>41</v>
      </c>
      <c r="S1253" s="262">
        <v>45131</v>
      </c>
      <c r="T1253" s="263"/>
      <c r="U1253" s="262"/>
      <c r="V1253" s="263" t="s">
        <v>41</v>
      </c>
      <c r="W1253" s="262">
        <v>45254</v>
      </c>
      <c r="X1253" s="263" t="s">
        <v>41</v>
      </c>
      <c r="Y1253" s="262">
        <v>45291</v>
      </c>
      <c r="Z1253" s="263" t="s">
        <v>40</v>
      </c>
      <c r="AA1253" s="262"/>
      <c r="AB1253" s="263" t="s">
        <v>40</v>
      </c>
      <c r="AC1253" s="262"/>
      <c r="AD1253" s="262"/>
      <c r="AE1253" s="262">
        <v>45565</v>
      </c>
      <c r="AF1253" s="263" t="s">
        <v>65</v>
      </c>
      <c r="AG1253" s="270">
        <v>2026</v>
      </c>
      <c r="AH1253" s="261">
        <f t="shared" si="43"/>
        <v>121979.0025</v>
      </c>
      <c r="AI1253" s="261"/>
      <c r="AJ1253" s="261"/>
      <c r="AK1253" s="259" t="s">
        <v>43</v>
      </c>
      <c r="AL1253" s="259" t="s">
        <v>41</v>
      </c>
      <c r="AM1253" s="266">
        <v>0</v>
      </c>
      <c r="AN1253" s="67"/>
      <c r="AO1253" s="256"/>
      <c r="AP1253" s="257"/>
    </row>
    <row r="1254" spans="1:42" s="258" customFormat="1" ht="37.950000000000003" customHeight="1" x14ac:dyDescent="0.3">
      <c r="A1254" s="259" t="s">
        <v>1641</v>
      </c>
      <c r="B1254" s="243" t="s">
        <v>1642</v>
      </c>
      <c r="C1254" s="244" t="s">
        <v>2880</v>
      </c>
      <c r="D1254" s="243" t="s">
        <v>34</v>
      </c>
      <c r="E1254" s="243" t="s">
        <v>1644</v>
      </c>
      <c r="F1254" s="259" t="s">
        <v>35</v>
      </c>
      <c r="G1254" s="259">
        <v>1</v>
      </c>
      <c r="H1254" s="245">
        <v>778000</v>
      </c>
      <c r="I1254" s="243" t="s">
        <v>36</v>
      </c>
      <c r="J1254" s="245">
        <f t="shared" si="42"/>
        <v>778000</v>
      </c>
      <c r="K1254" s="1695">
        <v>0</v>
      </c>
      <c r="L1254" s="1695">
        <v>0</v>
      </c>
      <c r="M1254" s="246" t="s">
        <v>68</v>
      </c>
      <c r="N1254" s="261" t="s">
        <v>2881</v>
      </c>
      <c r="O1254" s="261" t="s">
        <v>2882</v>
      </c>
      <c r="P1254" s="263" t="s">
        <v>41</v>
      </c>
      <c r="Q1254" s="262">
        <v>45131</v>
      </c>
      <c r="R1254" s="263" t="s">
        <v>41</v>
      </c>
      <c r="S1254" s="262">
        <v>45131</v>
      </c>
      <c r="T1254" s="263"/>
      <c r="U1254" s="262"/>
      <c r="V1254" s="263" t="s">
        <v>41</v>
      </c>
      <c r="W1254" s="262">
        <v>45254</v>
      </c>
      <c r="X1254" s="263" t="s">
        <v>41</v>
      </c>
      <c r="Y1254" s="262">
        <v>45291</v>
      </c>
      <c r="Z1254" s="263" t="s">
        <v>40</v>
      </c>
      <c r="AA1254" s="262"/>
      <c r="AB1254" s="263" t="s">
        <v>40</v>
      </c>
      <c r="AC1254" s="262"/>
      <c r="AD1254" s="262"/>
      <c r="AE1254" s="262">
        <v>45565</v>
      </c>
      <c r="AF1254" s="263" t="s">
        <v>65</v>
      </c>
      <c r="AG1254" s="270">
        <v>2026</v>
      </c>
      <c r="AH1254" s="261">
        <f t="shared" si="43"/>
        <v>0</v>
      </c>
      <c r="AI1254" s="261"/>
      <c r="AJ1254" s="261"/>
      <c r="AK1254" s="259" t="s">
        <v>43</v>
      </c>
      <c r="AL1254" s="259" t="s">
        <v>41</v>
      </c>
      <c r="AM1254" s="266">
        <v>0</v>
      </c>
      <c r="AN1254" s="67"/>
      <c r="AO1254" s="256"/>
      <c r="AP1254" s="257"/>
    </row>
    <row r="1255" spans="1:42" s="258" customFormat="1" ht="37.950000000000003" customHeight="1" x14ac:dyDescent="0.3">
      <c r="A1255" s="259" t="s">
        <v>1641</v>
      </c>
      <c r="B1255" s="243" t="s">
        <v>1642</v>
      </c>
      <c r="C1255" s="244" t="s">
        <v>2883</v>
      </c>
      <c r="D1255" s="243" t="s">
        <v>34</v>
      </c>
      <c r="E1255" s="243" t="s">
        <v>1644</v>
      </c>
      <c r="F1255" s="259" t="s">
        <v>35</v>
      </c>
      <c r="G1255" s="259">
        <v>1</v>
      </c>
      <c r="H1255" s="299">
        <v>778720</v>
      </c>
      <c r="I1255" s="243" t="s">
        <v>36</v>
      </c>
      <c r="J1255" s="245">
        <f t="shared" si="42"/>
        <v>778720</v>
      </c>
      <c r="K1255" s="1435">
        <f>37605.45+616.83+12066.26</f>
        <v>50288.54</v>
      </c>
      <c r="L1255" s="1435">
        <f>K1255</f>
        <v>50288.54</v>
      </c>
      <c r="M1255" s="246" t="s">
        <v>133</v>
      </c>
      <c r="N1255" s="261" t="s">
        <v>2884</v>
      </c>
      <c r="O1255" s="261" t="s">
        <v>2885</v>
      </c>
      <c r="P1255" s="263" t="s">
        <v>41</v>
      </c>
      <c r="Q1255" s="262">
        <v>45131</v>
      </c>
      <c r="R1255" s="263" t="s">
        <v>41</v>
      </c>
      <c r="S1255" s="262">
        <v>45131</v>
      </c>
      <c r="T1255" s="263"/>
      <c r="U1255" s="262"/>
      <c r="V1255" s="263" t="s">
        <v>41</v>
      </c>
      <c r="W1255" s="262">
        <v>45254</v>
      </c>
      <c r="X1255" s="263" t="s">
        <v>41</v>
      </c>
      <c r="Y1255" s="262">
        <v>45291</v>
      </c>
      <c r="Z1255" s="263" t="s">
        <v>40</v>
      </c>
      <c r="AA1255" s="262"/>
      <c r="AB1255" s="263" t="s">
        <v>40</v>
      </c>
      <c r="AC1255" s="262"/>
      <c r="AD1255" s="262"/>
      <c r="AE1255" s="262">
        <v>45565</v>
      </c>
      <c r="AF1255" s="263" t="s">
        <v>65</v>
      </c>
      <c r="AG1255" s="270">
        <v>2026</v>
      </c>
      <c r="AH1255" s="261">
        <f t="shared" si="43"/>
        <v>247394.47253000003</v>
      </c>
      <c r="AI1255" s="261"/>
      <c r="AJ1255" s="261"/>
      <c r="AK1255" s="259" t="s">
        <v>43</v>
      </c>
      <c r="AL1255" s="259" t="s">
        <v>41</v>
      </c>
      <c r="AM1255" s="266">
        <v>0</v>
      </c>
      <c r="AN1255" s="67"/>
      <c r="AO1255" s="256"/>
      <c r="AP1255" s="257"/>
    </row>
    <row r="1256" spans="1:42" s="258" customFormat="1" ht="37.950000000000003" customHeight="1" x14ac:dyDescent="0.3">
      <c r="A1256" s="259" t="s">
        <v>1641</v>
      </c>
      <c r="B1256" s="243" t="s">
        <v>1642</v>
      </c>
      <c r="C1256" s="244" t="s">
        <v>2886</v>
      </c>
      <c r="D1256" s="243" t="s">
        <v>34</v>
      </c>
      <c r="E1256" s="243" t="s">
        <v>1644</v>
      </c>
      <c r="F1256" s="259" t="s">
        <v>35</v>
      </c>
      <c r="G1256" s="259">
        <v>1</v>
      </c>
      <c r="H1256" s="299">
        <v>778720</v>
      </c>
      <c r="I1256" s="243" t="s">
        <v>36</v>
      </c>
      <c r="J1256" s="245">
        <f t="shared" si="42"/>
        <v>778720</v>
      </c>
      <c r="K1256" s="1695">
        <f>9147.27+10366.91+15286.106</f>
        <v>34800.286</v>
      </c>
      <c r="L1256" s="1695">
        <f>K1256</f>
        <v>34800.286</v>
      </c>
      <c r="M1256" s="246" t="s">
        <v>412</v>
      </c>
      <c r="N1256" s="261" t="s">
        <v>2887</v>
      </c>
      <c r="O1256" s="261" t="s">
        <v>2888</v>
      </c>
      <c r="P1256" s="263" t="s">
        <v>41</v>
      </c>
      <c r="Q1256" s="262">
        <v>45131</v>
      </c>
      <c r="R1256" s="263" t="s">
        <v>41</v>
      </c>
      <c r="S1256" s="262">
        <v>45131</v>
      </c>
      <c r="T1256" s="263"/>
      <c r="U1256" s="262"/>
      <c r="V1256" s="263" t="s">
        <v>41</v>
      </c>
      <c r="W1256" s="262">
        <v>45254</v>
      </c>
      <c r="X1256" s="263" t="s">
        <v>41</v>
      </c>
      <c r="Y1256" s="262">
        <v>45291</v>
      </c>
      <c r="Z1256" s="263" t="s">
        <v>40</v>
      </c>
      <c r="AA1256" s="262"/>
      <c r="AB1256" s="263" t="s">
        <v>40</v>
      </c>
      <c r="AC1256" s="262"/>
      <c r="AD1256" s="262"/>
      <c r="AE1256" s="262">
        <v>45565</v>
      </c>
      <c r="AF1256" s="263" t="s">
        <v>65</v>
      </c>
      <c r="AG1256" s="270">
        <v>2026</v>
      </c>
      <c r="AH1256" s="261">
        <f t="shared" si="43"/>
        <v>171200.00697700001</v>
      </c>
      <c r="AI1256" s="261"/>
      <c r="AJ1256" s="261"/>
      <c r="AK1256" s="259" t="s">
        <v>43</v>
      </c>
      <c r="AL1256" s="259" t="s">
        <v>41</v>
      </c>
      <c r="AM1256" s="266">
        <v>0</v>
      </c>
      <c r="AN1256" s="67"/>
      <c r="AO1256" s="256"/>
      <c r="AP1256" s="257"/>
    </row>
    <row r="1257" spans="1:42" s="258" customFormat="1" ht="37.950000000000003" customHeight="1" x14ac:dyDescent="0.3">
      <c r="A1257" s="259" t="s">
        <v>1641</v>
      </c>
      <c r="B1257" s="243" t="s">
        <v>1642</v>
      </c>
      <c r="C1257" s="244" t="s">
        <v>2889</v>
      </c>
      <c r="D1257" s="243" t="s">
        <v>34</v>
      </c>
      <c r="E1257" s="243" t="s">
        <v>1644</v>
      </c>
      <c r="F1257" s="259" t="s">
        <v>35</v>
      </c>
      <c r="G1257" s="259">
        <v>1</v>
      </c>
      <c r="H1257" s="245">
        <v>778720.2</v>
      </c>
      <c r="I1257" s="243" t="s">
        <v>36</v>
      </c>
      <c r="J1257" s="245">
        <f t="shared" si="42"/>
        <v>778720.2</v>
      </c>
      <c r="K1257" s="1435">
        <f>4014.63+12196.36</f>
        <v>16210.990000000002</v>
      </c>
      <c r="L1257" s="1435">
        <f>4014.63+12196.36</f>
        <v>16210.990000000002</v>
      </c>
      <c r="M1257" s="246" t="s">
        <v>2890</v>
      </c>
      <c r="N1257" s="261" t="s">
        <v>2891</v>
      </c>
      <c r="O1257" s="261" t="s">
        <v>2892</v>
      </c>
      <c r="P1257" s="263" t="s">
        <v>41</v>
      </c>
      <c r="Q1257" s="262">
        <v>45131</v>
      </c>
      <c r="R1257" s="263" t="s">
        <v>41</v>
      </c>
      <c r="S1257" s="262">
        <v>45131</v>
      </c>
      <c r="T1257" s="263"/>
      <c r="U1257" s="262"/>
      <c r="V1257" s="263" t="s">
        <v>41</v>
      </c>
      <c r="W1257" s="262">
        <v>45254</v>
      </c>
      <c r="X1257" s="263" t="s">
        <v>41</v>
      </c>
      <c r="Y1257" s="262">
        <v>45291</v>
      </c>
      <c r="Z1257" s="263" t="s">
        <v>40</v>
      </c>
      <c r="AA1257" s="262"/>
      <c r="AB1257" s="263" t="s">
        <v>40</v>
      </c>
      <c r="AC1257" s="262"/>
      <c r="AD1257" s="262"/>
      <c r="AE1257" s="262">
        <v>45565</v>
      </c>
      <c r="AF1257" s="263" t="s">
        <v>65</v>
      </c>
      <c r="AG1257" s="270">
        <v>2026</v>
      </c>
      <c r="AH1257" s="261">
        <f t="shared" si="43"/>
        <v>79749.965305000005</v>
      </c>
      <c r="AI1257" s="261"/>
      <c r="AJ1257" s="261"/>
      <c r="AK1257" s="259" t="s">
        <v>43</v>
      </c>
      <c r="AL1257" s="259" t="s">
        <v>41</v>
      </c>
      <c r="AM1257" s="266">
        <v>0</v>
      </c>
      <c r="AN1257" s="67"/>
      <c r="AO1257" s="256"/>
      <c r="AP1257" s="257"/>
    </row>
    <row r="1258" spans="1:42" s="258" customFormat="1" ht="37.950000000000003" customHeight="1" x14ac:dyDescent="0.3">
      <c r="A1258" s="259" t="s">
        <v>1641</v>
      </c>
      <c r="B1258" s="243" t="s">
        <v>1642</v>
      </c>
      <c r="C1258" s="244" t="s">
        <v>2893</v>
      </c>
      <c r="D1258" s="243" t="s">
        <v>34</v>
      </c>
      <c r="E1258" s="243" t="s">
        <v>1644</v>
      </c>
      <c r="F1258" s="259" t="s">
        <v>35</v>
      </c>
      <c r="G1258" s="259">
        <v>1</v>
      </c>
      <c r="H1258" s="245">
        <v>754440</v>
      </c>
      <c r="I1258" s="243" t="s">
        <v>36</v>
      </c>
      <c r="J1258" s="245">
        <f t="shared" si="42"/>
        <v>754440</v>
      </c>
      <c r="K1258" s="1695">
        <f>609.82+4065.45</f>
        <v>4675.2699999999995</v>
      </c>
      <c r="L1258" s="1695">
        <f>K1258</f>
        <v>4675.2699999999995</v>
      </c>
      <c r="M1258" s="246" t="s">
        <v>57</v>
      </c>
      <c r="N1258" s="261" t="s">
        <v>2894</v>
      </c>
      <c r="O1258" s="261" t="s">
        <v>2895</v>
      </c>
      <c r="P1258" s="263" t="s">
        <v>41</v>
      </c>
      <c r="Q1258" s="262">
        <v>45131</v>
      </c>
      <c r="R1258" s="263" t="s">
        <v>41</v>
      </c>
      <c r="S1258" s="262">
        <v>45131</v>
      </c>
      <c r="T1258" s="263"/>
      <c r="U1258" s="262"/>
      <c r="V1258" s="263" t="s">
        <v>41</v>
      </c>
      <c r="W1258" s="262">
        <v>45254</v>
      </c>
      <c r="X1258" s="263" t="s">
        <v>41</v>
      </c>
      <c r="Y1258" s="262">
        <v>45291</v>
      </c>
      <c r="Z1258" s="263" t="s">
        <v>40</v>
      </c>
      <c r="AA1258" s="262"/>
      <c r="AB1258" s="263" t="s">
        <v>40</v>
      </c>
      <c r="AC1258" s="262"/>
      <c r="AD1258" s="262"/>
      <c r="AE1258" s="262">
        <v>45565</v>
      </c>
      <c r="AF1258" s="263" t="s">
        <v>65</v>
      </c>
      <c r="AG1258" s="270">
        <v>2026</v>
      </c>
      <c r="AH1258" s="261">
        <f t="shared" si="43"/>
        <v>22999.990764999999</v>
      </c>
      <c r="AI1258" s="261"/>
      <c r="AJ1258" s="261"/>
      <c r="AK1258" s="259" t="s">
        <v>43</v>
      </c>
      <c r="AL1258" s="259" t="s">
        <v>41</v>
      </c>
      <c r="AM1258" s="266">
        <v>0</v>
      </c>
      <c r="AN1258" s="67"/>
      <c r="AO1258" s="256"/>
      <c r="AP1258" s="257"/>
    </row>
    <row r="1259" spans="1:42" s="258" customFormat="1" ht="37.950000000000003" customHeight="1" x14ac:dyDescent="0.3">
      <c r="A1259" s="259" t="s">
        <v>1641</v>
      </c>
      <c r="B1259" s="243" t="s">
        <v>1642</v>
      </c>
      <c r="C1259" s="244" t="s">
        <v>2896</v>
      </c>
      <c r="D1259" s="243" t="s">
        <v>34</v>
      </c>
      <c r="E1259" s="243" t="s">
        <v>1644</v>
      </c>
      <c r="F1259" s="259" t="s">
        <v>35</v>
      </c>
      <c r="G1259" s="259">
        <v>1</v>
      </c>
      <c r="H1259" s="245">
        <v>761984.4</v>
      </c>
      <c r="I1259" s="243" t="s">
        <v>36</v>
      </c>
      <c r="J1259" s="245">
        <f t="shared" si="42"/>
        <v>761984.4</v>
      </c>
      <c r="K1259" s="1695">
        <f>23065.45</f>
        <v>23065.45</v>
      </c>
      <c r="L1259" s="1695">
        <f>23065.45</f>
        <v>23065.45</v>
      </c>
      <c r="M1259" s="246" t="s">
        <v>57</v>
      </c>
      <c r="N1259" s="261" t="s">
        <v>2897</v>
      </c>
      <c r="O1259" s="261" t="s">
        <v>2898</v>
      </c>
      <c r="P1259" s="263" t="s">
        <v>41</v>
      </c>
      <c r="Q1259" s="262">
        <v>45131</v>
      </c>
      <c r="R1259" s="263" t="s">
        <v>41</v>
      </c>
      <c r="S1259" s="262">
        <v>45131</v>
      </c>
      <c r="T1259" s="263"/>
      <c r="U1259" s="262"/>
      <c r="V1259" s="263" t="s">
        <v>41</v>
      </c>
      <c r="W1259" s="262">
        <v>45254</v>
      </c>
      <c r="X1259" s="263" t="s">
        <v>41</v>
      </c>
      <c r="Y1259" s="262">
        <v>45291</v>
      </c>
      <c r="Z1259" s="263" t="s">
        <v>40</v>
      </c>
      <c r="AA1259" s="262"/>
      <c r="AB1259" s="263" t="s">
        <v>40</v>
      </c>
      <c r="AC1259" s="262"/>
      <c r="AD1259" s="262"/>
      <c r="AE1259" s="262">
        <v>45565</v>
      </c>
      <c r="AF1259" s="263" t="s">
        <v>65</v>
      </c>
      <c r="AG1259" s="270">
        <v>2026</v>
      </c>
      <c r="AH1259" s="261">
        <f t="shared" si="43"/>
        <v>113470.48127500001</v>
      </c>
      <c r="AI1259" s="261"/>
      <c r="AJ1259" s="261"/>
      <c r="AK1259" s="259" t="s">
        <v>43</v>
      </c>
      <c r="AL1259" s="259" t="s">
        <v>41</v>
      </c>
      <c r="AM1259" s="266">
        <v>0</v>
      </c>
      <c r="AN1259" s="67"/>
      <c r="AO1259" s="256"/>
      <c r="AP1259" s="257"/>
    </row>
    <row r="1260" spans="1:42" s="258" customFormat="1" ht="37.950000000000003" customHeight="1" x14ac:dyDescent="0.3">
      <c r="A1260" s="259" t="s">
        <v>1641</v>
      </c>
      <c r="B1260" s="243" t="s">
        <v>1642</v>
      </c>
      <c r="C1260" s="244" t="s">
        <v>2899</v>
      </c>
      <c r="D1260" s="243" t="s">
        <v>34</v>
      </c>
      <c r="E1260" s="243" t="s">
        <v>1644</v>
      </c>
      <c r="F1260" s="259" t="s">
        <v>35</v>
      </c>
      <c r="G1260" s="259">
        <v>1</v>
      </c>
      <c r="H1260" s="299">
        <v>778720</v>
      </c>
      <c r="I1260" s="243" t="s">
        <v>36</v>
      </c>
      <c r="J1260" s="245">
        <f t="shared" si="42"/>
        <v>778720</v>
      </c>
      <c r="K1260" s="1695">
        <v>2032.72</v>
      </c>
      <c r="L1260" s="1695">
        <v>2032.72</v>
      </c>
      <c r="M1260" s="246" t="s">
        <v>636</v>
      </c>
      <c r="N1260" s="261" t="s">
        <v>738</v>
      </c>
      <c r="O1260" s="261" t="s">
        <v>2900</v>
      </c>
      <c r="P1260" s="263" t="s">
        <v>41</v>
      </c>
      <c r="Q1260" s="262">
        <v>45131</v>
      </c>
      <c r="R1260" s="263" t="s">
        <v>41</v>
      </c>
      <c r="S1260" s="262">
        <v>45131</v>
      </c>
      <c r="T1260" s="263"/>
      <c r="U1260" s="262"/>
      <c r="V1260" s="263" t="s">
        <v>41</v>
      </c>
      <c r="W1260" s="262">
        <v>45254</v>
      </c>
      <c r="X1260" s="263" t="s">
        <v>41</v>
      </c>
      <c r="Y1260" s="262">
        <v>45291</v>
      </c>
      <c r="Z1260" s="263" t="s">
        <v>40</v>
      </c>
      <c r="AA1260" s="262"/>
      <c r="AB1260" s="263" t="s">
        <v>40</v>
      </c>
      <c r="AC1260" s="262"/>
      <c r="AD1260" s="262"/>
      <c r="AE1260" s="262">
        <v>45565</v>
      </c>
      <c r="AF1260" s="263" t="s">
        <v>65</v>
      </c>
      <c r="AG1260" s="270">
        <v>2026</v>
      </c>
      <c r="AH1260" s="261">
        <f t="shared" si="43"/>
        <v>9999.9660400000012</v>
      </c>
      <c r="AI1260" s="261"/>
      <c r="AJ1260" s="261"/>
      <c r="AK1260" s="259" t="s">
        <v>43</v>
      </c>
      <c r="AL1260" s="259" t="s">
        <v>41</v>
      </c>
      <c r="AM1260" s="266">
        <v>0</v>
      </c>
      <c r="AN1260" s="67"/>
      <c r="AO1260" s="256"/>
      <c r="AP1260" s="257"/>
    </row>
    <row r="1261" spans="1:42" s="258" customFormat="1" ht="37.950000000000003" customHeight="1" x14ac:dyDescent="0.3">
      <c r="A1261" s="259" t="s">
        <v>1641</v>
      </c>
      <c r="B1261" s="243" t="s">
        <v>1642</v>
      </c>
      <c r="C1261" s="244" t="s">
        <v>2901</v>
      </c>
      <c r="D1261" s="243" t="s">
        <v>34</v>
      </c>
      <c r="E1261" s="243" t="s">
        <v>1644</v>
      </c>
      <c r="F1261" s="259" t="s">
        <v>35</v>
      </c>
      <c r="G1261" s="259">
        <v>1</v>
      </c>
      <c r="H1261" s="245">
        <v>778720</v>
      </c>
      <c r="I1261" s="243" t="s">
        <v>36</v>
      </c>
      <c r="J1261" s="245">
        <f t="shared" si="42"/>
        <v>778720</v>
      </c>
      <c r="K1261" s="1695">
        <f>1219.64+12135.38+18095.33+8639.08</f>
        <v>40089.43</v>
      </c>
      <c r="L1261" s="1695">
        <f>K1261</f>
        <v>40089.43</v>
      </c>
      <c r="M1261" s="246" t="s">
        <v>84</v>
      </c>
      <c r="N1261" s="261" t="s">
        <v>2902</v>
      </c>
      <c r="O1261" s="261" t="s">
        <v>2903</v>
      </c>
      <c r="P1261" s="263" t="s">
        <v>41</v>
      </c>
      <c r="Q1261" s="262">
        <v>45131</v>
      </c>
      <c r="R1261" s="263" t="s">
        <v>41</v>
      </c>
      <c r="S1261" s="262">
        <v>45131</v>
      </c>
      <c r="T1261" s="263"/>
      <c r="U1261" s="262"/>
      <c r="V1261" s="263" t="s">
        <v>41</v>
      </c>
      <c r="W1261" s="262">
        <v>45254</v>
      </c>
      <c r="X1261" s="263" t="s">
        <v>41</v>
      </c>
      <c r="Y1261" s="262">
        <v>45291</v>
      </c>
      <c r="Z1261" s="263" t="s">
        <v>40</v>
      </c>
      <c r="AA1261" s="262"/>
      <c r="AB1261" s="263" t="s">
        <v>40</v>
      </c>
      <c r="AC1261" s="262"/>
      <c r="AD1261" s="262"/>
      <c r="AE1261" s="262">
        <v>45565</v>
      </c>
      <c r="AF1261" s="263" t="s">
        <v>65</v>
      </c>
      <c r="AG1261" s="270">
        <v>2026</v>
      </c>
      <c r="AH1261" s="261">
        <f t="shared" si="43"/>
        <v>197219.950885</v>
      </c>
      <c r="AI1261" s="261"/>
      <c r="AJ1261" s="261"/>
      <c r="AK1261" s="259" t="s">
        <v>43</v>
      </c>
      <c r="AL1261" s="259" t="s">
        <v>41</v>
      </c>
      <c r="AM1261" s="266">
        <v>0</v>
      </c>
      <c r="AN1261" s="67"/>
      <c r="AO1261" s="256"/>
      <c r="AP1261" s="257"/>
    </row>
    <row r="1262" spans="1:42" s="258" customFormat="1" ht="37.950000000000003" customHeight="1" x14ac:dyDescent="0.3">
      <c r="A1262" s="259" t="s">
        <v>1641</v>
      </c>
      <c r="B1262" s="243" t="s">
        <v>1642</v>
      </c>
      <c r="C1262" s="244" t="s">
        <v>2904</v>
      </c>
      <c r="D1262" s="243" t="s">
        <v>34</v>
      </c>
      <c r="E1262" s="243" t="s">
        <v>1644</v>
      </c>
      <c r="F1262" s="259" t="s">
        <v>35</v>
      </c>
      <c r="G1262" s="259">
        <v>1</v>
      </c>
      <c r="H1262" s="245">
        <v>778720</v>
      </c>
      <c r="I1262" s="243" t="s">
        <v>36</v>
      </c>
      <c r="J1262" s="245">
        <f t="shared" si="42"/>
        <v>778720</v>
      </c>
      <c r="K1262" s="1695">
        <v>0</v>
      </c>
      <c r="L1262" s="1695">
        <v>0</v>
      </c>
      <c r="M1262" s="246" t="s">
        <v>351</v>
      </c>
      <c r="N1262" s="261" t="s">
        <v>2905</v>
      </c>
      <c r="O1262" s="261" t="s">
        <v>2906</v>
      </c>
      <c r="P1262" s="263" t="s">
        <v>41</v>
      </c>
      <c r="Q1262" s="262">
        <v>45131</v>
      </c>
      <c r="R1262" s="263" t="s">
        <v>41</v>
      </c>
      <c r="S1262" s="262">
        <v>45131</v>
      </c>
      <c r="T1262" s="263"/>
      <c r="U1262" s="262"/>
      <c r="V1262" s="263" t="s">
        <v>41</v>
      </c>
      <c r="W1262" s="262">
        <v>45254</v>
      </c>
      <c r="X1262" s="263" t="s">
        <v>41</v>
      </c>
      <c r="Y1262" s="262">
        <v>45291</v>
      </c>
      <c r="Z1262" s="263" t="s">
        <v>40</v>
      </c>
      <c r="AA1262" s="262"/>
      <c r="AB1262" s="263" t="s">
        <v>40</v>
      </c>
      <c r="AC1262" s="262"/>
      <c r="AD1262" s="262"/>
      <c r="AE1262" s="262">
        <v>45565</v>
      </c>
      <c r="AF1262" s="263" t="s">
        <v>65</v>
      </c>
      <c r="AG1262" s="270">
        <v>2026</v>
      </c>
      <c r="AH1262" s="261">
        <f t="shared" si="43"/>
        <v>0</v>
      </c>
      <c r="AI1262" s="261"/>
      <c r="AJ1262" s="261"/>
      <c r="AK1262" s="259" t="s">
        <v>43</v>
      </c>
      <c r="AL1262" s="259" t="s">
        <v>41</v>
      </c>
      <c r="AM1262" s="266">
        <v>0</v>
      </c>
      <c r="AN1262" s="67"/>
      <c r="AO1262" s="256"/>
      <c r="AP1262" s="257"/>
    </row>
    <row r="1263" spans="1:42" s="258" customFormat="1" ht="37.950000000000003" customHeight="1" x14ac:dyDescent="0.3">
      <c r="A1263" s="259" t="s">
        <v>1641</v>
      </c>
      <c r="B1263" s="243" t="s">
        <v>1642</v>
      </c>
      <c r="C1263" s="244" t="s">
        <v>2907</v>
      </c>
      <c r="D1263" s="243" t="s">
        <v>34</v>
      </c>
      <c r="E1263" s="243" t="s">
        <v>1644</v>
      </c>
      <c r="F1263" s="259" t="s">
        <v>35</v>
      </c>
      <c r="G1263" s="259">
        <v>1</v>
      </c>
      <c r="H1263" s="245">
        <v>778717</v>
      </c>
      <c r="I1263" s="243" t="s">
        <v>36</v>
      </c>
      <c r="J1263" s="245">
        <f t="shared" si="42"/>
        <v>778717</v>
      </c>
      <c r="K1263" s="1695">
        <f>4065.45</f>
        <v>4065.45</v>
      </c>
      <c r="L1263" s="1695">
        <f>4065.45</f>
        <v>4065.45</v>
      </c>
      <c r="M1263" s="246" t="s">
        <v>57</v>
      </c>
      <c r="N1263" s="261" t="s">
        <v>2908</v>
      </c>
      <c r="O1263" s="261" t="s">
        <v>2909</v>
      </c>
      <c r="P1263" s="263" t="s">
        <v>41</v>
      </c>
      <c r="Q1263" s="262">
        <v>45131</v>
      </c>
      <c r="R1263" s="263" t="s">
        <v>41</v>
      </c>
      <c r="S1263" s="262">
        <v>45131</v>
      </c>
      <c r="T1263" s="263"/>
      <c r="U1263" s="262"/>
      <c r="V1263" s="263" t="s">
        <v>41</v>
      </c>
      <c r="W1263" s="262">
        <v>45254</v>
      </c>
      <c r="X1263" s="263" t="s">
        <v>41</v>
      </c>
      <c r="Y1263" s="262">
        <v>45291</v>
      </c>
      <c r="Z1263" s="263" t="s">
        <v>40</v>
      </c>
      <c r="AA1263" s="262"/>
      <c r="AB1263" s="263" t="s">
        <v>40</v>
      </c>
      <c r="AC1263" s="262"/>
      <c r="AD1263" s="262"/>
      <c r="AE1263" s="262">
        <v>45565</v>
      </c>
      <c r="AF1263" s="263" t="s">
        <v>65</v>
      </c>
      <c r="AG1263" s="270">
        <v>2026</v>
      </c>
      <c r="AH1263" s="261">
        <f t="shared" si="43"/>
        <v>19999.981274999998</v>
      </c>
      <c r="AI1263" s="261"/>
      <c r="AJ1263" s="261"/>
      <c r="AK1263" s="259" t="s">
        <v>43</v>
      </c>
      <c r="AL1263" s="259" t="s">
        <v>41</v>
      </c>
      <c r="AM1263" s="266">
        <v>0</v>
      </c>
      <c r="AN1263" s="67"/>
      <c r="AO1263" s="256"/>
      <c r="AP1263" s="257"/>
    </row>
    <row r="1264" spans="1:42" s="258" customFormat="1" ht="37.950000000000003" customHeight="1" x14ac:dyDescent="0.3">
      <c r="A1264" s="259" t="s">
        <v>1641</v>
      </c>
      <c r="B1264" s="243" t="s">
        <v>1642</v>
      </c>
      <c r="C1264" s="244" t="s">
        <v>2910</v>
      </c>
      <c r="D1264" s="243" t="s">
        <v>34</v>
      </c>
      <c r="E1264" s="243" t="s">
        <v>1644</v>
      </c>
      <c r="F1264" s="259" t="s">
        <v>35</v>
      </c>
      <c r="G1264" s="259">
        <v>1</v>
      </c>
      <c r="H1264" s="245">
        <v>778720</v>
      </c>
      <c r="I1264" s="243" t="s">
        <v>36</v>
      </c>
      <c r="J1264" s="245">
        <f t="shared" si="42"/>
        <v>778720</v>
      </c>
      <c r="K1264" s="1695">
        <v>711.45</v>
      </c>
      <c r="L1264" s="1695">
        <v>711.45</v>
      </c>
      <c r="M1264" s="246" t="s">
        <v>200</v>
      </c>
      <c r="N1264" s="261" t="s">
        <v>2911</v>
      </c>
      <c r="O1264" s="261" t="s">
        <v>2912</v>
      </c>
      <c r="P1264" s="263" t="s">
        <v>41</v>
      </c>
      <c r="Q1264" s="262">
        <v>45131</v>
      </c>
      <c r="R1264" s="263" t="s">
        <v>41</v>
      </c>
      <c r="S1264" s="262">
        <v>45131</v>
      </c>
      <c r="T1264" s="263"/>
      <c r="U1264" s="262"/>
      <c r="V1264" s="263" t="s">
        <v>41</v>
      </c>
      <c r="W1264" s="262">
        <v>45254</v>
      </c>
      <c r="X1264" s="263" t="s">
        <v>41</v>
      </c>
      <c r="Y1264" s="262">
        <v>45291</v>
      </c>
      <c r="Z1264" s="263" t="s">
        <v>40</v>
      </c>
      <c r="AA1264" s="262"/>
      <c r="AB1264" s="263" t="s">
        <v>40</v>
      </c>
      <c r="AC1264" s="262"/>
      <c r="AD1264" s="262"/>
      <c r="AE1264" s="262">
        <v>45565</v>
      </c>
      <c r="AF1264" s="263" t="s">
        <v>65</v>
      </c>
      <c r="AG1264" s="270">
        <v>2026</v>
      </c>
      <c r="AH1264" s="261">
        <f t="shared" si="43"/>
        <v>3499.9782750000004</v>
      </c>
      <c r="AI1264" s="261"/>
      <c r="AJ1264" s="261"/>
      <c r="AK1264" s="259" t="s">
        <v>43</v>
      </c>
      <c r="AL1264" s="259" t="s">
        <v>41</v>
      </c>
      <c r="AM1264" s="266">
        <v>0</v>
      </c>
      <c r="AN1264" s="67"/>
      <c r="AO1264" s="256"/>
      <c r="AP1264" s="257"/>
    </row>
    <row r="1265" spans="1:42" s="258" customFormat="1" ht="37.950000000000003" customHeight="1" x14ac:dyDescent="0.3">
      <c r="A1265" s="259" t="s">
        <v>1641</v>
      </c>
      <c r="B1265" s="243" t="s">
        <v>1642</v>
      </c>
      <c r="C1265" s="244" t="s">
        <v>2913</v>
      </c>
      <c r="D1265" s="243" t="s">
        <v>34</v>
      </c>
      <c r="E1265" s="243" t="s">
        <v>1644</v>
      </c>
      <c r="F1265" s="259" t="s">
        <v>35</v>
      </c>
      <c r="G1265" s="259">
        <v>1</v>
      </c>
      <c r="H1265" s="245">
        <v>761836.3</v>
      </c>
      <c r="I1265" s="243" t="s">
        <v>36</v>
      </c>
      <c r="J1265" s="245">
        <f t="shared" si="42"/>
        <v>761836.3</v>
      </c>
      <c r="K1265" s="1695">
        <f>7135.88+6809.635</f>
        <v>13945.514999999999</v>
      </c>
      <c r="L1265" s="1695">
        <f>7135.88+6809.635</f>
        <v>13945.514999999999</v>
      </c>
      <c r="M1265" s="246" t="s">
        <v>838</v>
      </c>
      <c r="N1265" s="261" t="s">
        <v>2914</v>
      </c>
      <c r="O1265" s="261" t="s">
        <v>2915</v>
      </c>
      <c r="P1265" s="263" t="s">
        <v>41</v>
      </c>
      <c r="Q1265" s="262">
        <v>45132</v>
      </c>
      <c r="R1265" s="263" t="s">
        <v>41</v>
      </c>
      <c r="S1265" s="262">
        <v>45132</v>
      </c>
      <c r="T1265" s="263"/>
      <c r="U1265" s="262"/>
      <c r="V1265" s="263" t="s">
        <v>41</v>
      </c>
      <c r="W1265" s="262">
        <v>45255</v>
      </c>
      <c r="X1265" s="263" t="s">
        <v>41</v>
      </c>
      <c r="Y1265" s="262">
        <v>45291</v>
      </c>
      <c r="Z1265" s="263" t="s">
        <v>40</v>
      </c>
      <c r="AA1265" s="262"/>
      <c r="AB1265" s="263" t="s">
        <v>40</v>
      </c>
      <c r="AC1265" s="262"/>
      <c r="AD1265" s="262"/>
      <c r="AE1265" s="262">
        <v>45565</v>
      </c>
      <c r="AF1265" s="263" t="s">
        <v>65</v>
      </c>
      <c r="AG1265" s="270">
        <v>2026</v>
      </c>
      <c r="AH1265" s="261">
        <f t="shared" si="43"/>
        <v>68604.961042499999</v>
      </c>
      <c r="AI1265" s="261"/>
      <c r="AJ1265" s="261"/>
      <c r="AK1265" s="259" t="s">
        <v>43</v>
      </c>
      <c r="AL1265" s="259" t="s">
        <v>41</v>
      </c>
      <c r="AM1265" s="266">
        <v>0</v>
      </c>
      <c r="AN1265" s="67"/>
      <c r="AO1265" s="256"/>
      <c r="AP1265" s="257"/>
    </row>
    <row r="1266" spans="1:42" s="258" customFormat="1" ht="37.950000000000003" customHeight="1" x14ac:dyDescent="0.3">
      <c r="A1266" s="259" t="s">
        <v>1641</v>
      </c>
      <c r="B1266" s="243" t="s">
        <v>1642</v>
      </c>
      <c r="C1266" s="244" t="s">
        <v>2916</v>
      </c>
      <c r="D1266" s="243" t="s">
        <v>34</v>
      </c>
      <c r="E1266" s="243" t="s">
        <v>1644</v>
      </c>
      <c r="F1266" s="259" t="s">
        <v>35</v>
      </c>
      <c r="G1266" s="259">
        <v>1</v>
      </c>
      <c r="H1266" s="245">
        <v>778720</v>
      </c>
      <c r="I1266" s="243" t="s">
        <v>36</v>
      </c>
      <c r="J1266" s="245">
        <f t="shared" si="42"/>
        <v>778720</v>
      </c>
      <c r="K1266" s="1435">
        <f>32320.36+21929.92</f>
        <v>54250.28</v>
      </c>
      <c r="L1266" s="1435">
        <f>K1266</f>
        <v>54250.28</v>
      </c>
      <c r="M1266" s="246" t="s">
        <v>66</v>
      </c>
      <c r="N1266" s="261" t="s">
        <v>2917</v>
      </c>
      <c r="O1266" s="261" t="s">
        <v>2918</v>
      </c>
      <c r="P1266" s="263" t="s">
        <v>41</v>
      </c>
      <c r="Q1266" s="262">
        <v>45132</v>
      </c>
      <c r="R1266" s="263" t="s">
        <v>41</v>
      </c>
      <c r="S1266" s="262">
        <v>45132</v>
      </c>
      <c r="T1266" s="263"/>
      <c r="U1266" s="262"/>
      <c r="V1266" s="263" t="s">
        <v>41</v>
      </c>
      <c r="W1266" s="262">
        <v>45255</v>
      </c>
      <c r="X1266" s="263" t="s">
        <v>41</v>
      </c>
      <c r="Y1266" s="262">
        <v>45291</v>
      </c>
      <c r="Z1266" s="263" t="s">
        <v>40</v>
      </c>
      <c r="AA1266" s="262"/>
      <c r="AB1266" s="263" t="s">
        <v>40</v>
      </c>
      <c r="AC1266" s="262"/>
      <c r="AD1266" s="262"/>
      <c r="AE1266" s="262">
        <v>45565</v>
      </c>
      <c r="AF1266" s="263" t="s">
        <v>65</v>
      </c>
      <c r="AG1266" s="270">
        <v>2026</v>
      </c>
      <c r="AH1266" s="261">
        <f t="shared" si="43"/>
        <v>266884.25245999999</v>
      </c>
      <c r="AI1266" s="261"/>
      <c r="AJ1266" s="261"/>
      <c r="AK1266" s="259" t="s">
        <v>43</v>
      </c>
      <c r="AL1266" s="259" t="s">
        <v>41</v>
      </c>
      <c r="AM1266" s="266">
        <v>0</v>
      </c>
      <c r="AN1266" s="67"/>
      <c r="AO1266" s="256"/>
      <c r="AP1266" s="257"/>
    </row>
    <row r="1267" spans="1:42" s="269" customFormat="1" ht="37.950000000000003" customHeight="1" x14ac:dyDescent="0.3">
      <c r="A1267" s="259" t="s">
        <v>1641</v>
      </c>
      <c r="B1267" s="243" t="s">
        <v>1642</v>
      </c>
      <c r="C1267" s="244" t="s">
        <v>2919</v>
      </c>
      <c r="D1267" s="243" t="s">
        <v>34</v>
      </c>
      <c r="E1267" s="243" t="s">
        <v>1644</v>
      </c>
      <c r="F1267" s="259" t="s">
        <v>35</v>
      </c>
      <c r="G1267" s="259">
        <v>1</v>
      </c>
      <c r="H1267" s="245">
        <v>778720.2</v>
      </c>
      <c r="I1267" s="243" t="s">
        <v>36</v>
      </c>
      <c r="J1267" s="245">
        <f t="shared" si="42"/>
        <v>778720.2</v>
      </c>
      <c r="K1267" s="1435">
        <f>1504.22+1451.37+9675.78+13212.72</f>
        <v>25844.09</v>
      </c>
      <c r="L1267" s="1435">
        <f>K1267</f>
        <v>25844.09</v>
      </c>
      <c r="M1267" s="246" t="s">
        <v>66</v>
      </c>
      <c r="N1267" s="261" t="s">
        <v>2920</v>
      </c>
      <c r="O1267" s="261" t="s">
        <v>2921</v>
      </c>
      <c r="P1267" s="263" t="s">
        <v>41</v>
      </c>
      <c r="Q1267" s="262">
        <v>45132</v>
      </c>
      <c r="R1267" s="263" t="s">
        <v>41</v>
      </c>
      <c r="S1267" s="262">
        <v>45132</v>
      </c>
      <c r="T1267" s="263"/>
      <c r="U1267" s="262"/>
      <c r="V1267" s="263" t="s">
        <v>41</v>
      </c>
      <c r="W1267" s="262">
        <v>45255</v>
      </c>
      <c r="X1267" s="263" t="s">
        <v>41</v>
      </c>
      <c r="Y1267" s="262">
        <v>45291</v>
      </c>
      <c r="Z1267" s="263" t="s">
        <v>40</v>
      </c>
      <c r="AA1267" s="262"/>
      <c r="AB1267" s="263" t="s">
        <v>40</v>
      </c>
      <c r="AC1267" s="262"/>
      <c r="AD1267" s="262"/>
      <c r="AE1267" s="262">
        <v>45565</v>
      </c>
      <c r="AF1267" s="263" t="s">
        <v>65</v>
      </c>
      <c r="AG1267" s="270">
        <v>2026</v>
      </c>
      <c r="AH1267" s="261">
        <f t="shared" si="43"/>
        <v>127140.000755</v>
      </c>
      <c r="AI1267" s="261"/>
      <c r="AJ1267" s="261"/>
      <c r="AK1267" s="259" t="s">
        <v>43</v>
      </c>
      <c r="AL1267" s="259" t="s">
        <v>41</v>
      </c>
      <c r="AM1267" s="266">
        <v>0</v>
      </c>
      <c r="AN1267" s="67"/>
      <c r="AO1267" s="267"/>
      <c r="AP1267" s="268"/>
    </row>
    <row r="1268" spans="1:42" s="258" customFormat="1" ht="37.950000000000003" customHeight="1" x14ac:dyDescent="0.3">
      <c r="A1268" s="259" t="s">
        <v>1641</v>
      </c>
      <c r="B1268" s="243" t="s">
        <v>1642</v>
      </c>
      <c r="C1268" s="244" t="s">
        <v>2922</v>
      </c>
      <c r="D1268" s="243" t="s">
        <v>34</v>
      </c>
      <c r="E1268" s="243" t="s">
        <v>1644</v>
      </c>
      <c r="F1268" s="259" t="s">
        <v>35</v>
      </c>
      <c r="G1268" s="259">
        <v>1</v>
      </c>
      <c r="H1268" s="245">
        <v>778720</v>
      </c>
      <c r="I1268" s="243" t="s">
        <v>36</v>
      </c>
      <c r="J1268" s="245">
        <f t="shared" si="42"/>
        <v>778720</v>
      </c>
      <c r="K1268" s="1695">
        <f>32655.76</f>
        <v>32655.759999999998</v>
      </c>
      <c r="L1268" s="1695">
        <f>32655.76</f>
        <v>32655.759999999998</v>
      </c>
      <c r="M1268" s="246" t="s">
        <v>351</v>
      </c>
      <c r="N1268" s="261" t="s">
        <v>1176</v>
      </c>
      <c r="O1268" s="261" t="s">
        <v>2923</v>
      </c>
      <c r="P1268" s="263" t="s">
        <v>41</v>
      </c>
      <c r="Q1268" s="262">
        <v>45132</v>
      </c>
      <c r="R1268" s="263" t="s">
        <v>41</v>
      </c>
      <c r="S1268" s="262">
        <v>45132</v>
      </c>
      <c r="T1268" s="263"/>
      <c r="U1268" s="262"/>
      <c r="V1268" s="263" t="s">
        <v>41</v>
      </c>
      <c r="W1268" s="262">
        <v>45255</v>
      </c>
      <c r="X1268" s="263" t="s">
        <v>41</v>
      </c>
      <c r="Y1268" s="262">
        <v>45291</v>
      </c>
      <c r="Z1268" s="263" t="s">
        <v>40</v>
      </c>
      <c r="AA1268" s="262"/>
      <c r="AB1268" s="263" t="s">
        <v>40</v>
      </c>
      <c r="AC1268" s="262"/>
      <c r="AD1268" s="262"/>
      <c r="AE1268" s="262">
        <v>45565</v>
      </c>
      <c r="AF1268" s="263" t="s">
        <v>65</v>
      </c>
      <c r="AG1268" s="270">
        <v>2026</v>
      </c>
      <c r="AH1268" s="261">
        <f t="shared" si="43"/>
        <v>160650.01131999999</v>
      </c>
      <c r="AI1268" s="261"/>
      <c r="AJ1268" s="261"/>
      <c r="AK1268" s="259" t="s">
        <v>43</v>
      </c>
      <c r="AL1268" s="259" t="s">
        <v>41</v>
      </c>
      <c r="AM1268" s="266">
        <v>0</v>
      </c>
      <c r="AN1268" s="67"/>
      <c r="AO1268" s="256"/>
      <c r="AP1268" s="257"/>
    </row>
    <row r="1269" spans="1:42" s="258" customFormat="1" ht="37.950000000000003" customHeight="1" x14ac:dyDescent="0.3">
      <c r="A1269" s="259" t="s">
        <v>1641</v>
      </c>
      <c r="B1269" s="243" t="s">
        <v>1642</v>
      </c>
      <c r="C1269" s="244" t="s">
        <v>2924</v>
      </c>
      <c r="D1269" s="243" t="s">
        <v>34</v>
      </c>
      <c r="E1269" s="243" t="s">
        <v>1644</v>
      </c>
      <c r="F1269" s="259" t="s">
        <v>35</v>
      </c>
      <c r="G1269" s="259">
        <v>1</v>
      </c>
      <c r="H1269" s="245">
        <v>778720.2</v>
      </c>
      <c r="I1269" s="243" t="s">
        <v>36</v>
      </c>
      <c r="J1269" s="245">
        <f t="shared" si="42"/>
        <v>778720.2</v>
      </c>
      <c r="K1269" s="1695">
        <f>3049.09+12196.36</f>
        <v>15245.45</v>
      </c>
      <c r="L1269" s="1695">
        <f>K1269</f>
        <v>15245.45</v>
      </c>
      <c r="M1269" s="246" t="s">
        <v>1208</v>
      </c>
      <c r="N1269" s="261" t="s">
        <v>2925</v>
      </c>
      <c r="O1269" s="261" t="s">
        <v>2926</v>
      </c>
      <c r="P1269" s="263" t="s">
        <v>41</v>
      </c>
      <c r="Q1269" s="262">
        <v>45132</v>
      </c>
      <c r="R1269" s="263" t="s">
        <v>41</v>
      </c>
      <c r="S1269" s="262">
        <v>45132</v>
      </c>
      <c r="T1269" s="263"/>
      <c r="U1269" s="262"/>
      <c r="V1269" s="263" t="s">
        <v>41</v>
      </c>
      <c r="W1269" s="262">
        <v>45255</v>
      </c>
      <c r="X1269" s="263" t="s">
        <v>41</v>
      </c>
      <c r="Y1269" s="262">
        <v>45291</v>
      </c>
      <c r="Z1269" s="263" t="s">
        <v>40</v>
      </c>
      <c r="AA1269" s="262"/>
      <c r="AB1269" s="263" t="s">
        <v>40</v>
      </c>
      <c r="AC1269" s="262"/>
      <c r="AD1269" s="262"/>
      <c r="AE1269" s="262">
        <v>45565</v>
      </c>
      <c r="AF1269" s="263" t="s">
        <v>65</v>
      </c>
      <c r="AG1269" s="270">
        <v>2026</v>
      </c>
      <c r="AH1269" s="261">
        <f t="shared" si="43"/>
        <v>74999.991275000008</v>
      </c>
      <c r="AI1269" s="261"/>
      <c r="AJ1269" s="261"/>
      <c r="AK1269" s="259" t="s">
        <v>43</v>
      </c>
      <c r="AL1269" s="259" t="s">
        <v>41</v>
      </c>
      <c r="AM1269" s="266">
        <v>0</v>
      </c>
      <c r="AN1269" s="67"/>
      <c r="AO1269" s="256"/>
      <c r="AP1269" s="257"/>
    </row>
    <row r="1270" spans="1:42" s="258" customFormat="1" ht="37.950000000000003" customHeight="1" x14ac:dyDescent="0.3">
      <c r="A1270" s="259" t="s">
        <v>1641</v>
      </c>
      <c r="B1270" s="243" t="s">
        <v>1642</v>
      </c>
      <c r="C1270" s="244" t="s">
        <v>2927</v>
      </c>
      <c r="D1270" s="300" t="s">
        <v>34</v>
      </c>
      <c r="E1270" s="243" t="s">
        <v>1644</v>
      </c>
      <c r="F1270" s="259" t="s">
        <v>35</v>
      </c>
      <c r="G1270" s="259">
        <v>1</v>
      </c>
      <c r="H1270" s="301">
        <v>778720.19514178263</v>
      </c>
      <c r="I1270" s="243" t="s">
        <v>36</v>
      </c>
      <c r="J1270" s="245">
        <f t="shared" si="42"/>
        <v>778720.19514178263</v>
      </c>
      <c r="K1270" s="1695">
        <v>0</v>
      </c>
      <c r="L1270" s="1695">
        <v>0</v>
      </c>
      <c r="M1270" s="246" t="s">
        <v>82</v>
      </c>
      <c r="N1270" s="261" t="s">
        <v>2928</v>
      </c>
      <c r="O1270" s="284" t="s">
        <v>2929</v>
      </c>
      <c r="P1270" s="263" t="s">
        <v>41</v>
      </c>
      <c r="Q1270" s="262"/>
      <c r="R1270" s="263" t="s">
        <v>41</v>
      </c>
      <c r="S1270" s="262"/>
      <c r="T1270" s="263"/>
      <c r="U1270" s="262"/>
      <c r="V1270" s="263" t="s">
        <v>41</v>
      </c>
      <c r="W1270" s="262"/>
      <c r="X1270" s="263" t="s">
        <v>41</v>
      </c>
      <c r="Y1270" s="262"/>
      <c r="Z1270" s="263" t="s">
        <v>40</v>
      </c>
      <c r="AA1270" s="262"/>
      <c r="AB1270" s="263" t="s">
        <v>40</v>
      </c>
      <c r="AC1270" s="262"/>
      <c r="AD1270" s="262"/>
      <c r="AE1270" s="262">
        <v>45565</v>
      </c>
      <c r="AF1270" s="263" t="s">
        <v>65</v>
      </c>
      <c r="AG1270" s="270">
        <v>2026</v>
      </c>
      <c r="AH1270" s="261">
        <f t="shared" si="43"/>
        <v>0</v>
      </c>
      <c r="AI1270" s="261"/>
      <c r="AJ1270" s="261"/>
      <c r="AK1270" s="259" t="s">
        <v>43</v>
      </c>
      <c r="AL1270" s="259" t="s">
        <v>41</v>
      </c>
      <c r="AM1270" s="266">
        <v>0</v>
      </c>
      <c r="AN1270" s="67"/>
      <c r="AO1270" s="256"/>
      <c r="AP1270" s="257"/>
    </row>
    <row r="1271" spans="1:42" s="258" customFormat="1" ht="37.950000000000003" customHeight="1" x14ac:dyDescent="0.3">
      <c r="A1271" s="259" t="s">
        <v>1641</v>
      </c>
      <c r="B1271" s="243" t="s">
        <v>1642</v>
      </c>
      <c r="C1271" s="244" t="s">
        <v>2930</v>
      </c>
      <c r="D1271" s="300" t="s">
        <v>34</v>
      </c>
      <c r="E1271" s="243" t="s">
        <v>1644</v>
      </c>
      <c r="F1271" s="259" t="s">
        <v>35</v>
      </c>
      <c r="G1271" s="259">
        <v>1</v>
      </c>
      <c r="H1271" s="301">
        <v>778720.19514178263</v>
      </c>
      <c r="I1271" s="243" t="s">
        <v>36</v>
      </c>
      <c r="J1271" s="245">
        <f t="shared" si="42"/>
        <v>778720.19514178263</v>
      </c>
      <c r="K1271" s="1695">
        <v>0</v>
      </c>
      <c r="L1271" s="1695">
        <v>0</v>
      </c>
      <c r="M1271" s="246" t="s">
        <v>151</v>
      </c>
      <c r="N1271" s="261" t="s">
        <v>2931</v>
      </c>
      <c r="O1271" s="284" t="s">
        <v>2932</v>
      </c>
      <c r="P1271" s="263" t="s">
        <v>41</v>
      </c>
      <c r="Q1271" s="262"/>
      <c r="R1271" s="263" t="s">
        <v>41</v>
      </c>
      <c r="S1271" s="262"/>
      <c r="T1271" s="263"/>
      <c r="U1271" s="262"/>
      <c r="V1271" s="263" t="s">
        <v>41</v>
      </c>
      <c r="W1271" s="262"/>
      <c r="X1271" s="263" t="s">
        <v>41</v>
      </c>
      <c r="Y1271" s="262"/>
      <c r="Z1271" s="263" t="s">
        <v>40</v>
      </c>
      <c r="AA1271" s="262"/>
      <c r="AB1271" s="263" t="s">
        <v>40</v>
      </c>
      <c r="AC1271" s="262"/>
      <c r="AD1271" s="262"/>
      <c r="AE1271" s="262">
        <v>45565</v>
      </c>
      <c r="AF1271" s="263" t="s">
        <v>65</v>
      </c>
      <c r="AG1271" s="270">
        <v>2026</v>
      </c>
      <c r="AH1271" s="261">
        <f t="shared" si="43"/>
        <v>0</v>
      </c>
      <c r="AI1271" s="261"/>
      <c r="AJ1271" s="261"/>
      <c r="AK1271" s="259" t="s">
        <v>43</v>
      </c>
      <c r="AL1271" s="259" t="s">
        <v>41</v>
      </c>
      <c r="AM1271" s="266">
        <v>0</v>
      </c>
      <c r="AN1271" s="67"/>
      <c r="AO1271" s="256"/>
      <c r="AP1271" s="257"/>
    </row>
    <row r="1272" spans="1:42" s="258" customFormat="1" ht="37.950000000000003" customHeight="1" x14ac:dyDescent="0.3">
      <c r="A1272" s="259" t="s">
        <v>1641</v>
      </c>
      <c r="B1272" s="243" t="s">
        <v>1642</v>
      </c>
      <c r="C1272" s="244" t="s">
        <v>2933</v>
      </c>
      <c r="D1272" s="300" t="s">
        <v>34</v>
      </c>
      <c r="E1272" s="243" t="s">
        <v>1644</v>
      </c>
      <c r="F1272" s="259" t="s">
        <v>35</v>
      </c>
      <c r="G1272" s="259">
        <v>1</v>
      </c>
      <c r="H1272" s="301">
        <v>778720.19514178263</v>
      </c>
      <c r="I1272" s="243" t="s">
        <v>36</v>
      </c>
      <c r="J1272" s="245">
        <f t="shared" si="42"/>
        <v>778720.19514178263</v>
      </c>
      <c r="K1272" s="1695">
        <f>3658.91+12806.179</f>
        <v>16465.089</v>
      </c>
      <c r="L1272" s="1695">
        <f>K1272</f>
        <v>16465.089</v>
      </c>
      <c r="M1272" s="292" t="s">
        <v>2934</v>
      </c>
      <c r="N1272" s="261" t="s">
        <v>2935</v>
      </c>
      <c r="O1272" s="284" t="s">
        <v>2936</v>
      </c>
      <c r="P1272" s="263" t="s">
        <v>41</v>
      </c>
      <c r="Q1272" s="262"/>
      <c r="R1272" s="263" t="s">
        <v>41</v>
      </c>
      <c r="S1272" s="262"/>
      <c r="T1272" s="263"/>
      <c r="U1272" s="262"/>
      <c r="V1272" s="263" t="s">
        <v>41</v>
      </c>
      <c r="W1272" s="262"/>
      <c r="X1272" s="263" t="s">
        <v>41</v>
      </c>
      <c r="Y1272" s="262"/>
      <c r="Z1272" s="263" t="s">
        <v>40</v>
      </c>
      <c r="AA1272" s="262"/>
      <c r="AB1272" s="263" t="s">
        <v>40</v>
      </c>
      <c r="AC1272" s="262"/>
      <c r="AD1272" s="262"/>
      <c r="AE1272" s="262">
        <v>45565</v>
      </c>
      <c r="AF1272" s="263" t="s">
        <v>65</v>
      </c>
      <c r="AG1272" s="270">
        <v>2026</v>
      </c>
      <c r="AH1272" s="261">
        <f t="shared" si="43"/>
        <v>81000.005335499998</v>
      </c>
      <c r="AI1272" s="261"/>
      <c r="AJ1272" s="261"/>
      <c r="AK1272" s="259" t="s">
        <v>43</v>
      </c>
      <c r="AL1272" s="259" t="s">
        <v>41</v>
      </c>
      <c r="AM1272" s="266">
        <v>0</v>
      </c>
      <c r="AN1272" s="67"/>
      <c r="AO1272" s="256"/>
      <c r="AP1272" s="257"/>
    </row>
    <row r="1273" spans="1:42" s="258" customFormat="1" ht="37.950000000000003" customHeight="1" x14ac:dyDescent="0.3">
      <c r="A1273" s="259" t="s">
        <v>1641</v>
      </c>
      <c r="B1273" s="243" t="s">
        <v>1642</v>
      </c>
      <c r="C1273" s="244" t="s">
        <v>2937</v>
      </c>
      <c r="D1273" s="300" t="s">
        <v>34</v>
      </c>
      <c r="E1273" s="243" t="s">
        <v>1644</v>
      </c>
      <c r="F1273" s="259" t="s">
        <v>35</v>
      </c>
      <c r="G1273" s="259">
        <v>1</v>
      </c>
      <c r="H1273" s="301">
        <v>778720.19514178263</v>
      </c>
      <c r="I1273" s="243" t="s">
        <v>36</v>
      </c>
      <c r="J1273" s="245">
        <f t="shared" si="42"/>
        <v>778720.19514178263</v>
      </c>
      <c r="K1273" s="1435">
        <f>15264.45+34991.97</f>
        <v>50256.42</v>
      </c>
      <c r="L1273" s="1435">
        <f>K1273</f>
        <v>50256.42</v>
      </c>
      <c r="M1273" s="292" t="s">
        <v>2938</v>
      </c>
      <c r="N1273" s="261" t="s">
        <v>2939</v>
      </c>
      <c r="O1273" s="284" t="s">
        <v>2940</v>
      </c>
      <c r="P1273" s="263" t="s">
        <v>41</v>
      </c>
      <c r="Q1273" s="262"/>
      <c r="R1273" s="263" t="s">
        <v>41</v>
      </c>
      <c r="S1273" s="262"/>
      <c r="T1273" s="263"/>
      <c r="U1273" s="262"/>
      <c r="V1273" s="263" t="s">
        <v>41</v>
      </c>
      <c r="W1273" s="262"/>
      <c r="X1273" s="263" t="s">
        <v>41</v>
      </c>
      <c r="Y1273" s="262"/>
      <c r="Z1273" s="263" t="s">
        <v>40</v>
      </c>
      <c r="AA1273" s="262"/>
      <c r="AB1273" s="263" t="s">
        <v>40</v>
      </c>
      <c r="AC1273" s="262"/>
      <c r="AD1273" s="262"/>
      <c r="AE1273" s="262">
        <v>45565</v>
      </c>
      <c r="AF1273" s="263" t="s">
        <v>65</v>
      </c>
      <c r="AG1273" s="270">
        <v>2026</v>
      </c>
      <c r="AH1273" s="261">
        <f t="shared" si="43"/>
        <v>247236.45819</v>
      </c>
      <c r="AI1273" s="261"/>
      <c r="AJ1273" s="261"/>
      <c r="AK1273" s="259" t="s">
        <v>43</v>
      </c>
      <c r="AL1273" s="259" t="s">
        <v>41</v>
      </c>
      <c r="AM1273" s="266">
        <v>0</v>
      </c>
      <c r="AN1273" s="67"/>
      <c r="AO1273" s="256"/>
      <c r="AP1273" s="257"/>
    </row>
    <row r="1274" spans="1:42" s="258" customFormat="1" ht="37.950000000000003" customHeight="1" x14ac:dyDescent="0.3">
      <c r="A1274" s="259" t="s">
        <v>1641</v>
      </c>
      <c r="B1274" s="243" t="s">
        <v>1642</v>
      </c>
      <c r="C1274" s="244" t="s">
        <v>2941</v>
      </c>
      <c r="D1274" s="300" t="s">
        <v>34</v>
      </c>
      <c r="E1274" s="243" t="s">
        <v>1644</v>
      </c>
      <c r="F1274" s="259" t="s">
        <v>35</v>
      </c>
      <c r="G1274" s="259">
        <v>1</v>
      </c>
      <c r="H1274" s="301">
        <v>778719.99186909234</v>
      </c>
      <c r="I1274" s="243" t="s">
        <v>36</v>
      </c>
      <c r="J1274" s="245">
        <f t="shared" si="42"/>
        <v>778719.99186909234</v>
      </c>
      <c r="K1274" s="1695">
        <f>4065.45+393.92+12806.18</f>
        <v>17265.55</v>
      </c>
      <c r="L1274" s="1695">
        <f>K1274</f>
        <v>17265.55</v>
      </c>
      <c r="M1274" s="292" t="s">
        <v>84</v>
      </c>
      <c r="N1274" s="261" t="s">
        <v>2942</v>
      </c>
      <c r="O1274" s="284" t="s">
        <v>2943</v>
      </c>
      <c r="P1274" s="263" t="s">
        <v>41</v>
      </c>
      <c r="Q1274" s="262"/>
      <c r="R1274" s="263" t="s">
        <v>41</v>
      </c>
      <c r="S1274" s="262"/>
      <c r="T1274" s="263"/>
      <c r="U1274" s="262"/>
      <c r="V1274" s="263" t="s">
        <v>41</v>
      </c>
      <c r="W1274" s="262"/>
      <c r="X1274" s="263" t="s">
        <v>41</v>
      </c>
      <c r="Y1274" s="262"/>
      <c r="Z1274" s="263" t="s">
        <v>40</v>
      </c>
      <c r="AA1274" s="262"/>
      <c r="AB1274" s="263" t="s">
        <v>40</v>
      </c>
      <c r="AC1274" s="262"/>
      <c r="AD1274" s="262"/>
      <c r="AE1274" s="262">
        <v>45565</v>
      </c>
      <c r="AF1274" s="263" t="s">
        <v>65</v>
      </c>
      <c r="AG1274" s="270">
        <v>2026</v>
      </c>
      <c r="AH1274" s="261">
        <f t="shared" si="43"/>
        <v>84937.873225000003</v>
      </c>
      <c r="AI1274" s="261"/>
      <c r="AJ1274" s="261"/>
      <c r="AK1274" s="259" t="s">
        <v>43</v>
      </c>
      <c r="AL1274" s="259" t="s">
        <v>41</v>
      </c>
      <c r="AM1274" s="266">
        <v>0</v>
      </c>
      <c r="AN1274" s="67"/>
      <c r="AO1274" s="256"/>
      <c r="AP1274" s="257"/>
    </row>
    <row r="1275" spans="1:42" s="258" customFormat="1" ht="37.950000000000003" customHeight="1" x14ac:dyDescent="0.3">
      <c r="A1275" s="259" t="s">
        <v>1641</v>
      </c>
      <c r="B1275" s="243" t="s">
        <v>1642</v>
      </c>
      <c r="C1275" s="244" t="s">
        <v>2944</v>
      </c>
      <c r="D1275" s="300" t="s">
        <v>34</v>
      </c>
      <c r="E1275" s="243" t="s">
        <v>1644</v>
      </c>
      <c r="F1275" s="259" t="s">
        <v>35</v>
      </c>
      <c r="G1275" s="259">
        <v>1</v>
      </c>
      <c r="H1275" s="301">
        <v>778720.19514178263</v>
      </c>
      <c r="I1275" s="243" t="s">
        <v>36</v>
      </c>
      <c r="J1275" s="245">
        <f t="shared" si="42"/>
        <v>778720.19514178263</v>
      </c>
      <c r="K1275" s="1695">
        <v>0</v>
      </c>
      <c r="L1275" s="1695">
        <v>0</v>
      </c>
      <c r="M1275" s="292" t="s">
        <v>2945</v>
      </c>
      <c r="N1275" s="261" t="s">
        <v>2946</v>
      </c>
      <c r="O1275" s="284" t="s">
        <v>2947</v>
      </c>
      <c r="P1275" s="263" t="s">
        <v>41</v>
      </c>
      <c r="Q1275" s="262"/>
      <c r="R1275" s="263" t="s">
        <v>41</v>
      </c>
      <c r="S1275" s="262"/>
      <c r="T1275" s="263"/>
      <c r="U1275" s="262"/>
      <c r="V1275" s="263" t="s">
        <v>41</v>
      </c>
      <c r="W1275" s="262"/>
      <c r="X1275" s="263" t="s">
        <v>41</v>
      </c>
      <c r="Y1275" s="262"/>
      <c r="Z1275" s="263" t="s">
        <v>40</v>
      </c>
      <c r="AA1275" s="262"/>
      <c r="AB1275" s="263" t="s">
        <v>40</v>
      </c>
      <c r="AC1275" s="262"/>
      <c r="AD1275" s="262"/>
      <c r="AE1275" s="262">
        <v>45565</v>
      </c>
      <c r="AF1275" s="263" t="s">
        <v>65</v>
      </c>
      <c r="AG1275" s="270">
        <v>2026</v>
      </c>
      <c r="AH1275" s="261">
        <f t="shared" si="43"/>
        <v>0</v>
      </c>
      <c r="AI1275" s="261"/>
      <c r="AJ1275" s="261"/>
      <c r="AK1275" s="259" t="s">
        <v>43</v>
      </c>
      <c r="AL1275" s="259" t="s">
        <v>41</v>
      </c>
      <c r="AM1275" s="266">
        <v>0</v>
      </c>
      <c r="AN1275" s="67"/>
      <c r="AO1275" s="256"/>
      <c r="AP1275" s="257"/>
    </row>
    <row r="1276" spans="1:42" s="258" customFormat="1" ht="37.950000000000003" customHeight="1" x14ac:dyDescent="0.3">
      <c r="A1276" s="259" t="s">
        <v>1641</v>
      </c>
      <c r="B1276" s="243" t="s">
        <v>1642</v>
      </c>
      <c r="C1276" s="244" t="s">
        <v>2948</v>
      </c>
      <c r="D1276" s="300" t="s">
        <v>34</v>
      </c>
      <c r="E1276" s="243" t="s">
        <v>1644</v>
      </c>
      <c r="F1276" s="259" t="s">
        <v>35</v>
      </c>
      <c r="G1276" s="259">
        <v>1</v>
      </c>
      <c r="H1276" s="301">
        <v>778720</v>
      </c>
      <c r="I1276" s="243" t="s">
        <v>36</v>
      </c>
      <c r="J1276" s="245">
        <f t="shared" si="42"/>
        <v>778720</v>
      </c>
      <c r="K1276" s="1695">
        <f>31303.99</f>
        <v>31303.99</v>
      </c>
      <c r="L1276" s="1695">
        <f>31303.99</f>
        <v>31303.99</v>
      </c>
      <c r="M1276" s="302" t="s">
        <v>60</v>
      </c>
      <c r="N1276" s="261" t="s">
        <v>2949</v>
      </c>
      <c r="O1276" s="284" t="s">
        <v>2950</v>
      </c>
      <c r="P1276" s="263" t="s">
        <v>41</v>
      </c>
      <c r="Q1276" s="262"/>
      <c r="R1276" s="263" t="s">
        <v>41</v>
      </c>
      <c r="S1276" s="262"/>
      <c r="T1276" s="263"/>
      <c r="U1276" s="262"/>
      <c r="V1276" s="263" t="s">
        <v>41</v>
      </c>
      <c r="W1276" s="262"/>
      <c r="X1276" s="263" t="s">
        <v>41</v>
      </c>
      <c r="Y1276" s="262"/>
      <c r="Z1276" s="263" t="s">
        <v>40</v>
      </c>
      <c r="AA1276" s="262"/>
      <c r="AB1276" s="263" t="s">
        <v>40</v>
      </c>
      <c r="AC1276" s="262"/>
      <c r="AD1276" s="262"/>
      <c r="AE1276" s="262">
        <v>45565</v>
      </c>
      <c r="AF1276" s="263" t="s">
        <v>65</v>
      </c>
      <c r="AG1276" s="270">
        <v>2026</v>
      </c>
      <c r="AH1276" s="261">
        <f t="shared" si="43"/>
        <v>153999.97880500002</v>
      </c>
      <c r="AI1276" s="261"/>
      <c r="AJ1276" s="261"/>
      <c r="AK1276" s="259" t="s">
        <v>43</v>
      </c>
      <c r="AL1276" s="259" t="s">
        <v>41</v>
      </c>
      <c r="AM1276" s="266">
        <v>0</v>
      </c>
      <c r="AN1276" s="67"/>
      <c r="AO1276" s="256"/>
      <c r="AP1276" s="257"/>
    </row>
    <row r="1277" spans="1:42" s="258" customFormat="1" ht="37.950000000000003" customHeight="1" x14ac:dyDescent="0.3">
      <c r="A1277" s="259" t="s">
        <v>1641</v>
      </c>
      <c r="B1277" s="243" t="s">
        <v>1642</v>
      </c>
      <c r="C1277" s="244" t="s">
        <v>2951</v>
      </c>
      <c r="D1277" s="300" t="s">
        <v>34</v>
      </c>
      <c r="E1277" s="243" t="s">
        <v>1644</v>
      </c>
      <c r="F1277" s="259" t="s">
        <v>35</v>
      </c>
      <c r="G1277" s="259">
        <v>1</v>
      </c>
      <c r="H1277" s="301">
        <v>778717.34932411823</v>
      </c>
      <c r="I1277" s="243" t="s">
        <v>36</v>
      </c>
      <c r="J1277" s="245">
        <f t="shared" si="42"/>
        <v>778717.34932411823</v>
      </c>
      <c r="K1277" s="1695">
        <f>22360+30279.09</f>
        <v>52639.09</v>
      </c>
      <c r="L1277" s="1695">
        <f>K1277</f>
        <v>52639.09</v>
      </c>
      <c r="M1277" s="292" t="s">
        <v>200</v>
      </c>
      <c r="N1277" s="261" t="s">
        <v>2952</v>
      </c>
      <c r="O1277" s="284" t="s">
        <v>2953</v>
      </c>
      <c r="P1277" s="263" t="s">
        <v>41</v>
      </c>
      <c r="Q1277" s="262"/>
      <c r="R1277" s="263" t="s">
        <v>41</v>
      </c>
      <c r="S1277" s="262"/>
      <c r="T1277" s="263"/>
      <c r="U1277" s="262"/>
      <c r="V1277" s="263" t="s">
        <v>41</v>
      </c>
      <c r="W1277" s="262"/>
      <c r="X1277" s="263" t="s">
        <v>41</v>
      </c>
      <c r="Y1277" s="262"/>
      <c r="Z1277" s="263" t="s">
        <v>40</v>
      </c>
      <c r="AA1277" s="262"/>
      <c r="AB1277" s="263" t="s">
        <v>40</v>
      </c>
      <c r="AC1277" s="262"/>
      <c r="AD1277" s="262"/>
      <c r="AE1277" s="262">
        <v>45565</v>
      </c>
      <c r="AF1277" s="263" t="s">
        <v>65</v>
      </c>
      <c r="AG1277" s="270">
        <v>2026</v>
      </c>
      <c r="AH1277" s="261">
        <f t="shared" si="43"/>
        <v>258958.00325499999</v>
      </c>
      <c r="AI1277" s="261"/>
      <c r="AJ1277" s="261"/>
      <c r="AK1277" s="259" t="s">
        <v>43</v>
      </c>
      <c r="AL1277" s="259" t="s">
        <v>41</v>
      </c>
      <c r="AM1277" s="266">
        <v>0</v>
      </c>
      <c r="AN1277" s="67"/>
      <c r="AO1277" s="256"/>
      <c r="AP1277" s="257"/>
    </row>
    <row r="1278" spans="1:42" s="258" customFormat="1" ht="37.950000000000003" customHeight="1" x14ac:dyDescent="0.3">
      <c r="A1278" s="259" t="s">
        <v>1641</v>
      </c>
      <c r="B1278" s="243" t="s">
        <v>1642</v>
      </c>
      <c r="C1278" s="244" t="s">
        <v>2954</v>
      </c>
      <c r="D1278" s="300" t="s">
        <v>34</v>
      </c>
      <c r="E1278" s="243" t="s">
        <v>1644</v>
      </c>
      <c r="F1278" s="259" t="s">
        <v>35</v>
      </c>
      <c r="G1278" s="259">
        <v>1</v>
      </c>
      <c r="H1278" s="301">
        <v>778720</v>
      </c>
      <c r="I1278" s="243" t="s">
        <v>36</v>
      </c>
      <c r="J1278" s="245">
        <f t="shared" si="42"/>
        <v>778720</v>
      </c>
      <c r="K1278" s="1695">
        <v>0</v>
      </c>
      <c r="L1278" s="1695">
        <v>0</v>
      </c>
      <c r="M1278" s="292" t="s">
        <v>868</v>
      </c>
      <c r="N1278" s="261" t="s">
        <v>1255</v>
      </c>
      <c r="O1278" s="284" t="s">
        <v>2955</v>
      </c>
      <c r="P1278" s="263" t="s">
        <v>41</v>
      </c>
      <c r="Q1278" s="262"/>
      <c r="R1278" s="263" t="s">
        <v>41</v>
      </c>
      <c r="S1278" s="262"/>
      <c r="T1278" s="263"/>
      <c r="U1278" s="262"/>
      <c r="V1278" s="263" t="s">
        <v>41</v>
      </c>
      <c r="W1278" s="262"/>
      <c r="X1278" s="263" t="s">
        <v>41</v>
      </c>
      <c r="Y1278" s="262"/>
      <c r="Z1278" s="263" t="s">
        <v>40</v>
      </c>
      <c r="AA1278" s="262"/>
      <c r="AB1278" s="263" t="s">
        <v>40</v>
      </c>
      <c r="AC1278" s="262"/>
      <c r="AD1278" s="262"/>
      <c r="AE1278" s="262">
        <v>45565</v>
      </c>
      <c r="AF1278" s="263" t="s">
        <v>65</v>
      </c>
      <c r="AG1278" s="270">
        <v>2026</v>
      </c>
      <c r="AH1278" s="261">
        <f t="shared" si="43"/>
        <v>0</v>
      </c>
      <c r="AI1278" s="261"/>
      <c r="AJ1278" s="261"/>
      <c r="AK1278" s="259" t="s">
        <v>43</v>
      </c>
      <c r="AL1278" s="259" t="s">
        <v>41</v>
      </c>
      <c r="AM1278" s="266">
        <v>0</v>
      </c>
      <c r="AN1278" s="67"/>
      <c r="AO1278" s="256"/>
      <c r="AP1278" s="257"/>
    </row>
    <row r="1279" spans="1:42" s="258" customFormat="1" ht="37.950000000000003" customHeight="1" x14ac:dyDescent="0.3">
      <c r="A1279" s="259" t="s">
        <v>1641</v>
      </c>
      <c r="B1279" s="243" t="s">
        <v>1642</v>
      </c>
      <c r="C1279" s="244" t="s">
        <v>2956</v>
      </c>
      <c r="D1279" s="300" t="s">
        <v>34</v>
      </c>
      <c r="E1279" s="243" t="s">
        <v>1644</v>
      </c>
      <c r="F1279" s="259" t="s">
        <v>35</v>
      </c>
      <c r="G1279" s="259">
        <v>1</v>
      </c>
      <c r="H1279" s="301">
        <v>778717.34932411823</v>
      </c>
      <c r="I1279" s="243" t="s">
        <v>36</v>
      </c>
      <c r="J1279" s="245">
        <f t="shared" si="42"/>
        <v>778717.34932411823</v>
      </c>
      <c r="K1279" s="1435">
        <f>28051.63+2439.37+36408.18+1499.64</f>
        <v>68398.819999999992</v>
      </c>
      <c r="L1279" s="1435">
        <f>K1279</f>
        <v>68398.819999999992</v>
      </c>
      <c r="M1279" s="292" t="s">
        <v>63</v>
      </c>
      <c r="N1279" s="261" t="s">
        <v>2957</v>
      </c>
      <c r="O1279" s="284" t="s">
        <v>2958</v>
      </c>
      <c r="P1279" s="263" t="s">
        <v>41</v>
      </c>
      <c r="Q1279" s="262"/>
      <c r="R1279" s="263" t="s">
        <v>41</v>
      </c>
      <c r="S1279" s="262"/>
      <c r="T1279" s="263"/>
      <c r="U1279" s="262"/>
      <c r="V1279" s="263" t="s">
        <v>41</v>
      </c>
      <c r="W1279" s="262"/>
      <c r="X1279" s="263" t="s">
        <v>41</v>
      </c>
      <c r="Y1279" s="262"/>
      <c r="Z1279" s="263" t="s">
        <v>40</v>
      </c>
      <c r="AA1279" s="262"/>
      <c r="AB1279" s="263" t="s">
        <v>40</v>
      </c>
      <c r="AC1279" s="262"/>
      <c r="AD1279" s="262"/>
      <c r="AE1279" s="262">
        <v>45565</v>
      </c>
      <c r="AF1279" s="263" t="s">
        <v>65</v>
      </c>
      <c r="AG1279" s="270">
        <v>2026</v>
      </c>
      <c r="AH1279" s="261">
        <f t="shared" si="43"/>
        <v>336487.99498999998</v>
      </c>
      <c r="AI1279" s="261"/>
      <c r="AJ1279" s="261"/>
      <c r="AK1279" s="259" t="s">
        <v>43</v>
      </c>
      <c r="AL1279" s="259" t="s">
        <v>41</v>
      </c>
      <c r="AM1279" s="266">
        <v>0</v>
      </c>
      <c r="AN1279" s="67"/>
      <c r="AO1279" s="256"/>
      <c r="AP1279" s="257"/>
    </row>
    <row r="1280" spans="1:42" s="258" customFormat="1" ht="37.950000000000003" customHeight="1" x14ac:dyDescent="0.3">
      <c r="A1280" s="259" t="s">
        <v>1641</v>
      </c>
      <c r="B1280" s="243" t="s">
        <v>1642</v>
      </c>
      <c r="C1280" s="244" t="s">
        <v>2959</v>
      </c>
      <c r="D1280" s="300" t="s">
        <v>34</v>
      </c>
      <c r="E1280" s="243" t="s">
        <v>1644</v>
      </c>
      <c r="F1280" s="259" t="s">
        <v>35</v>
      </c>
      <c r="G1280" s="259">
        <v>1</v>
      </c>
      <c r="H1280" s="301">
        <v>778720</v>
      </c>
      <c r="I1280" s="243" t="s">
        <v>36</v>
      </c>
      <c r="J1280" s="245">
        <f t="shared" si="42"/>
        <v>778720</v>
      </c>
      <c r="K1280" s="1695">
        <f>56845.21</f>
        <v>56845.21</v>
      </c>
      <c r="L1280" s="1695">
        <f>56845.21</f>
        <v>56845.21</v>
      </c>
      <c r="M1280" s="292" t="s">
        <v>2960</v>
      </c>
      <c r="N1280" s="261" t="s">
        <v>1288</v>
      </c>
      <c r="O1280" s="284" t="s">
        <v>2961</v>
      </c>
      <c r="P1280" s="263" t="s">
        <v>41</v>
      </c>
      <c r="Q1280" s="262"/>
      <c r="R1280" s="263" t="s">
        <v>41</v>
      </c>
      <c r="S1280" s="262"/>
      <c r="T1280" s="263"/>
      <c r="U1280" s="262"/>
      <c r="V1280" s="263" t="s">
        <v>41</v>
      </c>
      <c r="W1280" s="262"/>
      <c r="X1280" s="263" t="s">
        <v>41</v>
      </c>
      <c r="Y1280" s="262"/>
      <c r="Z1280" s="263" t="s">
        <v>40</v>
      </c>
      <c r="AA1280" s="262"/>
      <c r="AB1280" s="263" t="s">
        <v>40</v>
      </c>
      <c r="AC1280" s="262"/>
      <c r="AD1280" s="262"/>
      <c r="AE1280" s="262">
        <v>45565</v>
      </c>
      <c r="AF1280" s="263" t="s">
        <v>65</v>
      </c>
      <c r="AG1280" s="270">
        <v>2026</v>
      </c>
      <c r="AH1280" s="261">
        <f t="shared" si="43"/>
        <v>279650.010595</v>
      </c>
      <c r="AI1280" s="261"/>
      <c r="AJ1280" s="261"/>
      <c r="AK1280" s="259" t="s">
        <v>43</v>
      </c>
      <c r="AL1280" s="259" t="s">
        <v>41</v>
      </c>
      <c r="AM1280" s="266">
        <v>0</v>
      </c>
      <c r="AN1280" s="67"/>
      <c r="AO1280" s="256"/>
      <c r="AP1280" s="257"/>
    </row>
    <row r="1281" spans="1:42" s="258" customFormat="1" ht="37.950000000000003" customHeight="1" x14ac:dyDescent="0.3">
      <c r="A1281" s="259" t="s">
        <v>1641</v>
      </c>
      <c r="B1281" s="243" t="s">
        <v>1642</v>
      </c>
      <c r="C1281" s="244" t="s">
        <v>2962</v>
      </c>
      <c r="D1281" s="300" t="s">
        <v>34</v>
      </c>
      <c r="E1281" s="243" t="s">
        <v>1644</v>
      </c>
      <c r="F1281" s="259" t="s">
        <v>35</v>
      </c>
      <c r="G1281" s="259">
        <v>1</v>
      </c>
      <c r="H1281" s="301">
        <v>778720</v>
      </c>
      <c r="I1281" s="243" t="s">
        <v>36</v>
      </c>
      <c r="J1281" s="245">
        <f t="shared" si="42"/>
        <v>778720</v>
      </c>
      <c r="K1281" s="1695">
        <v>0</v>
      </c>
      <c r="L1281" s="1695">
        <v>0</v>
      </c>
      <c r="M1281" s="292" t="s">
        <v>58</v>
      </c>
      <c r="N1281" s="261" t="s">
        <v>2963</v>
      </c>
      <c r="O1281" s="284" t="s">
        <v>2964</v>
      </c>
      <c r="P1281" s="263" t="s">
        <v>41</v>
      </c>
      <c r="Q1281" s="262"/>
      <c r="R1281" s="263" t="s">
        <v>41</v>
      </c>
      <c r="S1281" s="262"/>
      <c r="T1281" s="263"/>
      <c r="U1281" s="262"/>
      <c r="V1281" s="263" t="s">
        <v>41</v>
      </c>
      <c r="W1281" s="262"/>
      <c r="X1281" s="263" t="s">
        <v>41</v>
      </c>
      <c r="Y1281" s="262"/>
      <c r="Z1281" s="263" t="s">
        <v>40</v>
      </c>
      <c r="AA1281" s="262"/>
      <c r="AB1281" s="263" t="s">
        <v>40</v>
      </c>
      <c r="AC1281" s="262"/>
      <c r="AD1281" s="262"/>
      <c r="AE1281" s="262">
        <v>45565</v>
      </c>
      <c r="AF1281" s="263" t="s">
        <v>65</v>
      </c>
      <c r="AG1281" s="270">
        <v>2026</v>
      </c>
      <c r="AH1281" s="261">
        <f t="shared" si="43"/>
        <v>0</v>
      </c>
      <c r="AI1281" s="261"/>
      <c r="AJ1281" s="261"/>
      <c r="AK1281" s="259" t="s">
        <v>43</v>
      </c>
      <c r="AL1281" s="259" t="s">
        <v>41</v>
      </c>
      <c r="AM1281" s="266">
        <v>0</v>
      </c>
      <c r="AN1281" s="67"/>
      <c r="AO1281" s="256"/>
      <c r="AP1281" s="257"/>
    </row>
    <row r="1282" spans="1:42" s="258" customFormat="1" ht="37.950000000000003" customHeight="1" x14ac:dyDescent="0.3">
      <c r="A1282" s="259" t="s">
        <v>1641</v>
      </c>
      <c r="B1282" s="243" t="s">
        <v>1642</v>
      </c>
      <c r="C1282" s="244" t="s">
        <v>2965</v>
      </c>
      <c r="D1282" s="300" t="s">
        <v>34</v>
      </c>
      <c r="E1282" s="243" t="s">
        <v>1644</v>
      </c>
      <c r="F1282" s="259" t="s">
        <v>35</v>
      </c>
      <c r="G1282" s="259">
        <v>1</v>
      </c>
      <c r="H1282" s="301">
        <v>778720.19514178263</v>
      </c>
      <c r="I1282" s="243" t="s">
        <v>36</v>
      </c>
      <c r="J1282" s="245">
        <f t="shared" si="42"/>
        <v>778720.19514178263</v>
      </c>
      <c r="K1282" s="1695">
        <f>41772.537</f>
        <v>41772.536999999997</v>
      </c>
      <c r="L1282" s="1695">
        <f>41772.537</f>
        <v>41772.536999999997</v>
      </c>
      <c r="M1282" s="292" t="s">
        <v>49</v>
      </c>
      <c r="N1282" s="261" t="s">
        <v>2966</v>
      </c>
      <c r="O1282" s="284" t="s">
        <v>2967</v>
      </c>
      <c r="P1282" s="263" t="s">
        <v>41</v>
      </c>
      <c r="Q1282" s="262"/>
      <c r="R1282" s="263" t="s">
        <v>41</v>
      </c>
      <c r="S1282" s="262"/>
      <c r="T1282" s="263"/>
      <c r="U1282" s="262"/>
      <c r="V1282" s="263" t="s">
        <v>41</v>
      </c>
      <c r="W1282" s="262"/>
      <c r="X1282" s="263" t="s">
        <v>41</v>
      </c>
      <c r="Y1282" s="262"/>
      <c r="Z1282" s="263" t="s">
        <v>40</v>
      </c>
      <c r="AA1282" s="262"/>
      <c r="AB1282" s="263" t="s">
        <v>40</v>
      </c>
      <c r="AC1282" s="262"/>
      <c r="AD1282" s="262"/>
      <c r="AE1282" s="262">
        <v>45565</v>
      </c>
      <c r="AF1282" s="263" t="s">
        <v>65</v>
      </c>
      <c r="AG1282" s="270">
        <v>2026</v>
      </c>
      <c r="AH1282" s="261">
        <f t="shared" si="43"/>
        <v>205499.99577149999</v>
      </c>
      <c r="AI1282" s="261"/>
      <c r="AJ1282" s="261"/>
      <c r="AK1282" s="259" t="s">
        <v>43</v>
      </c>
      <c r="AL1282" s="259" t="s">
        <v>41</v>
      </c>
      <c r="AM1282" s="266">
        <v>0</v>
      </c>
      <c r="AN1282" s="67"/>
      <c r="AO1282" s="256"/>
      <c r="AP1282" s="257"/>
    </row>
    <row r="1283" spans="1:42" s="269" customFormat="1" ht="37.950000000000003" customHeight="1" x14ac:dyDescent="0.3">
      <c r="A1283" s="259" t="s">
        <v>1641</v>
      </c>
      <c r="B1283" s="243" t="s">
        <v>1642</v>
      </c>
      <c r="C1283" s="244" t="s">
        <v>2968</v>
      </c>
      <c r="D1283" s="300" t="s">
        <v>34</v>
      </c>
      <c r="E1283" s="243" t="s">
        <v>1644</v>
      </c>
      <c r="F1283" s="259" t="s">
        <v>35</v>
      </c>
      <c r="G1283" s="259">
        <v>1</v>
      </c>
      <c r="H1283" s="301">
        <v>778720.19514178263</v>
      </c>
      <c r="I1283" s="243" t="s">
        <v>36</v>
      </c>
      <c r="J1283" s="245">
        <f t="shared" ref="J1283:J1346" si="44">H1283</f>
        <v>778720.19514178263</v>
      </c>
      <c r="K1283" s="1695">
        <v>0</v>
      </c>
      <c r="L1283" s="1695">
        <v>0</v>
      </c>
      <c r="M1283" s="292" t="s">
        <v>73</v>
      </c>
      <c r="N1283" s="261" t="s">
        <v>2969</v>
      </c>
      <c r="O1283" s="284" t="s">
        <v>2970</v>
      </c>
      <c r="P1283" s="263" t="s">
        <v>41</v>
      </c>
      <c r="Q1283" s="262"/>
      <c r="R1283" s="263" t="s">
        <v>41</v>
      </c>
      <c r="S1283" s="262"/>
      <c r="T1283" s="263"/>
      <c r="U1283" s="262"/>
      <c r="V1283" s="263" t="s">
        <v>41</v>
      </c>
      <c r="W1283" s="262"/>
      <c r="X1283" s="263" t="s">
        <v>41</v>
      </c>
      <c r="Y1283" s="262"/>
      <c r="Z1283" s="263" t="s">
        <v>40</v>
      </c>
      <c r="AA1283" s="262"/>
      <c r="AB1283" s="263" t="s">
        <v>40</v>
      </c>
      <c r="AC1283" s="262"/>
      <c r="AD1283" s="262"/>
      <c r="AE1283" s="262">
        <v>45565</v>
      </c>
      <c r="AF1283" s="263" t="s">
        <v>65</v>
      </c>
      <c r="AG1283" s="270">
        <v>2026</v>
      </c>
      <c r="AH1283" s="261">
        <f t="shared" ref="AH1283:AH1346" si="45">K1283*4.9195</f>
        <v>0</v>
      </c>
      <c r="AI1283" s="261"/>
      <c r="AJ1283" s="261"/>
      <c r="AK1283" s="259" t="s">
        <v>43</v>
      </c>
      <c r="AL1283" s="259" t="s">
        <v>41</v>
      </c>
      <c r="AM1283" s="266">
        <v>0</v>
      </c>
      <c r="AN1283" s="67"/>
      <c r="AO1283" s="267"/>
      <c r="AP1283" s="268"/>
    </row>
    <row r="1284" spans="1:42" s="258" customFormat="1" ht="37.950000000000003" customHeight="1" x14ac:dyDescent="0.3">
      <c r="A1284" s="259" t="s">
        <v>1641</v>
      </c>
      <c r="B1284" s="243" t="s">
        <v>1642</v>
      </c>
      <c r="C1284" s="244" t="s">
        <v>2971</v>
      </c>
      <c r="D1284" s="300" t="s">
        <v>34</v>
      </c>
      <c r="E1284" s="243" t="s">
        <v>1644</v>
      </c>
      <c r="F1284" s="259" t="s">
        <v>35</v>
      </c>
      <c r="G1284" s="259">
        <v>1</v>
      </c>
      <c r="H1284" s="301">
        <v>778720.19514178263</v>
      </c>
      <c r="I1284" s="243" t="s">
        <v>36</v>
      </c>
      <c r="J1284" s="245">
        <f t="shared" si="44"/>
        <v>778720.19514178263</v>
      </c>
      <c r="K1284" s="1695">
        <v>0</v>
      </c>
      <c r="L1284" s="1695">
        <v>0</v>
      </c>
      <c r="M1284" s="302" t="s">
        <v>636</v>
      </c>
      <c r="N1284" s="261" t="s">
        <v>1337</v>
      </c>
      <c r="O1284" s="284" t="s">
        <v>2972</v>
      </c>
      <c r="P1284" s="263" t="s">
        <v>41</v>
      </c>
      <c r="Q1284" s="262"/>
      <c r="R1284" s="263" t="s">
        <v>41</v>
      </c>
      <c r="S1284" s="262"/>
      <c r="T1284" s="263"/>
      <c r="U1284" s="262"/>
      <c r="V1284" s="263" t="s">
        <v>41</v>
      </c>
      <c r="W1284" s="262"/>
      <c r="X1284" s="263" t="s">
        <v>41</v>
      </c>
      <c r="Y1284" s="262"/>
      <c r="Z1284" s="263" t="s">
        <v>40</v>
      </c>
      <c r="AA1284" s="262"/>
      <c r="AB1284" s="263" t="s">
        <v>40</v>
      </c>
      <c r="AC1284" s="262"/>
      <c r="AD1284" s="262"/>
      <c r="AE1284" s="262">
        <v>45565</v>
      </c>
      <c r="AF1284" s="263" t="s">
        <v>65</v>
      </c>
      <c r="AG1284" s="270">
        <v>2026</v>
      </c>
      <c r="AH1284" s="261">
        <f t="shared" si="45"/>
        <v>0</v>
      </c>
      <c r="AI1284" s="261"/>
      <c r="AJ1284" s="261"/>
      <c r="AK1284" s="259" t="s">
        <v>43</v>
      </c>
      <c r="AL1284" s="259" t="s">
        <v>41</v>
      </c>
      <c r="AM1284" s="266">
        <v>0</v>
      </c>
      <c r="AN1284" s="67"/>
      <c r="AO1284" s="256"/>
      <c r="AP1284" s="257"/>
    </row>
    <row r="1285" spans="1:42" s="258" customFormat="1" ht="37.950000000000003" customHeight="1" x14ac:dyDescent="0.3">
      <c r="A1285" s="259" t="s">
        <v>1641</v>
      </c>
      <c r="B1285" s="243" t="s">
        <v>1642</v>
      </c>
      <c r="C1285" s="244" t="s">
        <v>2973</v>
      </c>
      <c r="D1285" s="300" t="s">
        <v>34</v>
      </c>
      <c r="E1285" s="243" t="s">
        <v>1644</v>
      </c>
      <c r="F1285" s="259" t="s">
        <v>35</v>
      </c>
      <c r="G1285" s="259">
        <v>4</v>
      </c>
      <c r="H1285" s="301">
        <v>3114880.7805671305</v>
      </c>
      <c r="I1285" s="243" t="s">
        <v>36</v>
      </c>
      <c r="J1285" s="245">
        <f t="shared" si="44"/>
        <v>3114880.7805671305</v>
      </c>
      <c r="K1285" s="1695">
        <f>18448.28+4612.07+18448.28+5353.39+16261.81+4361.98+27509.1+30296.56+83872.89</f>
        <v>209164.36</v>
      </c>
      <c r="L1285" s="1695">
        <f>K1285</f>
        <v>209164.36</v>
      </c>
      <c r="M1285" s="302" t="s">
        <v>322</v>
      </c>
      <c r="N1285" s="303"/>
      <c r="O1285" s="304" t="s">
        <v>2974</v>
      </c>
      <c r="P1285" s="263" t="s">
        <v>41</v>
      </c>
      <c r="Q1285" s="262"/>
      <c r="R1285" s="263" t="s">
        <v>41</v>
      </c>
      <c r="S1285" s="262"/>
      <c r="T1285" s="263"/>
      <c r="U1285" s="262"/>
      <c r="V1285" s="263" t="s">
        <v>41</v>
      </c>
      <c r="W1285" s="262"/>
      <c r="X1285" s="263" t="s">
        <v>41</v>
      </c>
      <c r="Y1285" s="262"/>
      <c r="Z1285" s="263" t="s">
        <v>40</v>
      </c>
      <c r="AA1285" s="262"/>
      <c r="AB1285" s="263" t="s">
        <v>40</v>
      </c>
      <c r="AC1285" s="262"/>
      <c r="AD1285" s="262"/>
      <c r="AE1285" s="262">
        <v>45565</v>
      </c>
      <c r="AF1285" s="263" t="s">
        <v>65</v>
      </c>
      <c r="AG1285" s="270">
        <v>2026</v>
      </c>
      <c r="AH1285" s="261">
        <f t="shared" si="45"/>
        <v>1028984.0690199999</v>
      </c>
      <c r="AI1285" s="261"/>
      <c r="AJ1285" s="261"/>
      <c r="AK1285" s="259" t="s">
        <v>43</v>
      </c>
      <c r="AL1285" s="259" t="s">
        <v>41</v>
      </c>
      <c r="AM1285" s="266">
        <v>0</v>
      </c>
      <c r="AN1285" s="67"/>
      <c r="AO1285" s="256"/>
      <c r="AP1285" s="257"/>
    </row>
    <row r="1286" spans="1:42" s="258" customFormat="1" ht="37.950000000000003" customHeight="1" x14ac:dyDescent="0.3">
      <c r="A1286" s="259" t="s">
        <v>1641</v>
      </c>
      <c r="B1286" s="243" t="s">
        <v>1642</v>
      </c>
      <c r="C1286" s="244" t="s">
        <v>2975</v>
      </c>
      <c r="D1286" s="300" t="s">
        <v>34</v>
      </c>
      <c r="E1286" s="243" t="s">
        <v>1644</v>
      </c>
      <c r="F1286" s="259" t="s">
        <v>35</v>
      </c>
      <c r="G1286" s="259">
        <v>1</v>
      </c>
      <c r="H1286" s="301">
        <v>778717.34932411823</v>
      </c>
      <c r="I1286" s="243" t="s">
        <v>36</v>
      </c>
      <c r="J1286" s="245">
        <f t="shared" si="44"/>
        <v>778717.34932411823</v>
      </c>
      <c r="K1286" s="1695">
        <v>0</v>
      </c>
      <c r="L1286" s="1695">
        <v>0</v>
      </c>
      <c r="M1286" s="292" t="s">
        <v>84</v>
      </c>
      <c r="N1286" s="261" t="s">
        <v>2976</v>
      </c>
      <c r="O1286" s="284" t="s">
        <v>2977</v>
      </c>
      <c r="P1286" s="263" t="s">
        <v>41</v>
      </c>
      <c r="Q1286" s="262"/>
      <c r="R1286" s="263" t="s">
        <v>41</v>
      </c>
      <c r="S1286" s="262"/>
      <c r="T1286" s="263"/>
      <c r="U1286" s="262"/>
      <c r="V1286" s="263" t="s">
        <v>41</v>
      </c>
      <c r="W1286" s="262"/>
      <c r="X1286" s="263" t="s">
        <v>41</v>
      </c>
      <c r="Y1286" s="262"/>
      <c r="Z1286" s="263" t="s">
        <v>40</v>
      </c>
      <c r="AA1286" s="262"/>
      <c r="AB1286" s="263" t="s">
        <v>40</v>
      </c>
      <c r="AC1286" s="262"/>
      <c r="AD1286" s="262"/>
      <c r="AE1286" s="262">
        <v>45565</v>
      </c>
      <c r="AF1286" s="263" t="s">
        <v>65</v>
      </c>
      <c r="AG1286" s="270">
        <v>2026</v>
      </c>
      <c r="AH1286" s="261">
        <f t="shared" si="45"/>
        <v>0</v>
      </c>
      <c r="AI1286" s="261"/>
      <c r="AJ1286" s="261"/>
      <c r="AK1286" s="259" t="s">
        <v>43</v>
      </c>
      <c r="AL1286" s="259" t="s">
        <v>41</v>
      </c>
      <c r="AM1286" s="266">
        <v>0</v>
      </c>
      <c r="AN1286" s="67"/>
      <c r="AO1286" s="256"/>
      <c r="AP1286" s="257"/>
    </row>
    <row r="1287" spans="1:42" s="258" customFormat="1" ht="37.950000000000003" customHeight="1" x14ac:dyDescent="0.3">
      <c r="A1287" s="259" t="s">
        <v>1641</v>
      </c>
      <c r="B1287" s="243" t="s">
        <v>1642</v>
      </c>
      <c r="C1287" s="244" t="s">
        <v>2978</v>
      </c>
      <c r="D1287" s="300" t="s">
        <v>34</v>
      </c>
      <c r="E1287" s="243" t="s">
        <v>1644</v>
      </c>
      <c r="F1287" s="259" t="s">
        <v>35</v>
      </c>
      <c r="G1287" s="259">
        <v>1</v>
      </c>
      <c r="H1287" s="301">
        <v>769947.51905681461</v>
      </c>
      <c r="I1287" s="243" t="s">
        <v>36</v>
      </c>
      <c r="J1287" s="245">
        <f t="shared" si="44"/>
        <v>769947.51905681461</v>
      </c>
      <c r="K1287" s="1695">
        <v>0</v>
      </c>
      <c r="L1287" s="1695">
        <v>0</v>
      </c>
      <c r="M1287" s="292" t="s">
        <v>2979</v>
      </c>
      <c r="N1287" s="261" t="s">
        <v>2980</v>
      </c>
      <c r="O1287" s="284" t="s">
        <v>2981</v>
      </c>
      <c r="P1287" s="263" t="s">
        <v>41</v>
      </c>
      <c r="Q1287" s="262"/>
      <c r="R1287" s="263" t="s">
        <v>41</v>
      </c>
      <c r="S1287" s="262"/>
      <c r="T1287" s="263"/>
      <c r="U1287" s="262"/>
      <c r="V1287" s="263" t="s">
        <v>41</v>
      </c>
      <c r="W1287" s="262"/>
      <c r="X1287" s="263" t="s">
        <v>41</v>
      </c>
      <c r="Y1287" s="262"/>
      <c r="Z1287" s="263" t="s">
        <v>40</v>
      </c>
      <c r="AA1287" s="262"/>
      <c r="AB1287" s="263" t="s">
        <v>40</v>
      </c>
      <c r="AC1287" s="262"/>
      <c r="AD1287" s="262"/>
      <c r="AE1287" s="262">
        <v>45565</v>
      </c>
      <c r="AF1287" s="263" t="s">
        <v>65</v>
      </c>
      <c r="AG1287" s="270">
        <v>2026</v>
      </c>
      <c r="AH1287" s="261">
        <f t="shared" si="45"/>
        <v>0</v>
      </c>
      <c r="AI1287" s="261"/>
      <c r="AJ1287" s="261"/>
      <c r="AK1287" s="259" t="s">
        <v>43</v>
      </c>
      <c r="AL1287" s="259" t="s">
        <v>41</v>
      </c>
      <c r="AM1287" s="266">
        <v>0</v>
      </c>
      <c r="AN1287" s="67"/>
      <c r="AO1287" s="256"/>
      <c r="AP1287" s="257"/>
    </row>
    <row r="1288" spans="1:42" s="258" customFormat="1" ht="37.950000000000003" customHeight="1" x14ac:dyDescent="0.3">
      <c r="A1288" s="259" t="s">
        <v>1641</v>
      </c>
      <c r="B1288" s="243" t="s">
        <v>1642</v>
      </c>
      <c r="C1288" s="244" t="s">
        <v>2982</v>
      </c>
      <c r="D1288" s="300" t="s">
        <v>34</v>
      </c>
      <c r="E1288" s="243" t="s">
        <v>1644</v>
      </c>
      <c r="F1288" s="259" t="s">
        <v>35</v>
      </c>
      <c r="G1288" s="259">
        <v>1</v>
      </c>
      <c r="H1288" s="301">
        <v>778534.40390283568</v>
      </c>
      <c r="I1288" s="243" t="s">
        <v>36</v>
      </c>
      <c r="J1288" s="245">
        <f t="shared" si="44"/>
        <v>778534.40390283568</v>
      </c>
      <c r="K1288" s="1695">
        <v>0</v>
      </c>
      <c r="L1288" s="1695">
        <v>0</v>
      </c>
      <c r="M1288" s="292" t="s">
        <v>58</v>
      </c>
      <c r="N1288" s="261" t="s">
        <v>2983</v>
      </c>
      <c r="O1288" s="284" t="s">
        <v>2984</v>
      </c>
      <c r="P1288" s="263" t="s">
        <v>41</v>
      </c>
      <c r="Q1288" s="262"/>
      <c r="R1288" s="263" t="s">
        <v>41</v>
      </c>
      <c r="S1288" s="262"/>
      <c r="T1288" s="263"/>
      <c r="U1288" s="262"/>
      <c r="V1288" s="263" t="s">
        <v>41</v>
      </c>
      <c r="W1288" s="262"/>
      <c r="X1288" s="263" t="s">
        <v>41</v>
      </c>
      <c r="Y1288" s="262"/>
      <c r="Z1288" s="263" t="s">
        <v>40</v>
      </c>
      <c r="AA1288" s="262"/>
      <c r="AB1288" s="263" t="s">
        <v>40</v>
      </c>
      <c r="AC1288" s="262"/>
      <c r="AD1288" s="262"/>
      <c r="AE1288" s="262">
        <v>45565</v>
      </c>
      <c r="AF1288" s="263" t="s">
        <v>65</v>
      </c>
      <c r="AG1288" s="270">
        <v>2026</v>
      </c>
      <c r="AH1288" s="261">
        <f t="shared" si="45"/>
        <v>0</v>
      </c>
      <c r="AI1288" s="261"/>
      <c r="AJ1288" s="261"/>
      <c r="AK1288" s="259" t="s">
        <v>43</v>
      </c>
      <c r="AL1288" s="259" t="s">
        <v>41</v>
      </c>
      <c r="AM1288" s="266">
        <v>0</v>
      </c>
      <c r="AN1288" s="67"/>
      <c r="AO1288" s="256"/>
      <c r="AP1288" s="257"/>
    </row>
    <row r="1289" spans="1:42" s="258" customFormat="1" ht="37.950000000000003" customHeight="1" x14ac:dyDescent="0.3">
      <c r="A1289" s="259" t="s">
        <v>1641</v>
      </c>
      <c r="B1289" s="243" t="s">
        <v>1642</v>
      </c>
      <c r="C1289" s="244" t="s">
        <v>2985</v>
      </c>
      <c r="D1289" s="300" t="s">
        <v>34</v>
      </c>
      <c r="E1289" s="243" t="s">
        <v>1644</v>
      </c>
      <c r="F1289" s="259" t="s">
        <v>35</v>
      </c>
      <c r="G1289" s="259">
        <v>1</v>
      </c>
      <c r="H1289" s="301">
        <v>778720</v>
      </c>
      <c r="I1289" s="243" t="s">
        <v>36</v>
      </c>
      <c r="J1289" s="245">
        <f t="shared" si="44"/>
        <v>778720</v>
      </c>
      <c r="K1289" s="1695">
        <v>0</v>
      </c>
      <c r="L1289" s="1695">
        <v>0</v>
      </c>
      <c r="M1289" s="292" t="s">
        <v>322</v>
      </c>
      <c r="N1289" s="261" t="s">
        <v>2986</v>
      </c>
      <c r="O1289" s="284" t="s">
        <v>2987</v>
      </c>
      <c r="P1289" s="263" t="s">
        <v>41</v>
      </c>
      <c r="Q1289" s="262"/>
      <c r="R1289" s="263" t="s">
        <v>41</v>
      </c>
      <c r="S1289" s="262"/>
      <c r="T1289" s="263"/>
      <c r="U1289" s="262"/>
      <c r="V1289" s="263" t="s">
        <v>41</v>
      </c>
      <c r="W1289" s="262"/>
      <c r="X1289" s="263" t="s">
        <v>41</v>
      </c>
      <c r="Y1289" s="262"/>
      <c r="Z1289" s="263" t="s">
        <v>40</v>
      </c>
      <c r="AA1289" s="262"/>
      <c r="AB1289" s="263" t="s">
        <v>40</v>
      </c>
      <c r="AC1289" s="262"/>
      <c r="AD1289" s="262"/>
      <c r="AE1289" s="262">
        <v>45565</v>
      </c>
      <c r="AF1289" s="263" t="s">
        <v>65</v>
      </c>
      <c r="AG1289" s="270">
        <v>2026</v>
      </c>
      <c r="AH1289" s="261">
        <f t="shared" si="45"/>
        <v>0</v>
      </c>
      <c r="AI1289" s="261"/>
      <c r="AJ1289" s="261"/>
      <c r="AK1289" s="259" t="s">
        <v>43</v>
      </c>
      <c r="AL1289" s="259" t="s">
        <v>41</v>
      </c>
      <c r="AM1289" s="266">
        <v>0</v>
      </c>
      <c r="AN1289" s="67"/>
      <c r="AO1289" s="256"/>
      <c r="AP1289" s="257"/>
    </row>
    <row r="1290" spans="1:42" s="258" customFormat="1" ht="37.950000000000003" customHeight="1" x14ac:dyDescent="0.3">
      <c r="A1290" s="259" t="s">
        <v>1641</v>
      </c>
      <c r="B1290" s="243" t="s">
        <v>1642</v>
      </c>
      <c r="C1290" s="244" t="s">
        <v>2988</v>
      </c>
      <c r="D1290" s="300" t="s">
        <v>34</v>
      </c>
      <c r="E1290" s="243" t="s">
        <v>1644</v>
      </c>
      <c r="F1290" s="259" t="s">
        <v>35</v>
      </c>
      <c r="G1290" s="259">
        <v>1</v>
      </c>
      <c r="H1290" s="301">
        <v>778719.89023274719</v>
      </c>
      <c r="I1290" s="243" t="s">
        <v>36</v>
      </c>
      <c r="J1290" s="245">
        <f t="shared" si="44"/>
        <v>778719.89023274719</v>
      </c>
      <c r="K1290" s="1695">
        <f>4776.91+4065.45</f>
        <v>8842.36</v>
      </c>
      <c r="L1290" s="1695">
        <f>4776.91+4065.45</f>
        <v>8842.36</v>
      </c>
      <c r="M1290" s="292" t="s">
        <v>53</v>
      </c>
      <c r="N1290" s="261" t="s">
        <v>2989</v>
      </c>
      <c r="O1290" s="284" t="s">
        <v>2990</v>
      </c>
      <c r="P1290" s="263" t="s">
        <v>41</v>
      </c>
      <c r="Q1290" s="262"/>
      <c r="R1290" s="263" t="s">
        <v>41</v>
      </c>
      <c r="S1290" s="262"/>
      <c r="T1290" s="263"/>
      <c r="U1290" s="262"/>
      <c r="V1290" s="263" t="s">
        <v>41</v>
      </c>
      <c r="W1290" s="262"/>
      <c r="X1290" s="263" t="s">
        <v>41</v>
      </c>
      <c r="Y1290" s="262"/>
      <c r="Z1290" s="263" t="s">
        <v>40</v>
      </c>
      <c r="AA1290" s="262"/>
      <c r="AB1290" s="263" t="s">
        <v>40</v>
      </c>
      <c r="AC1290" s="262"/>
      <c r="AD1290" s="262"/>
      <c r="AE1290" s="262">
        <v>45565</v>
      </c>
      <c r="AF1290" s="263" t="s">
        <v>65</v>
      </c>
      <c r="AG1290" s="270">
        <v>2026</v>
      </c>
      <c r="AH1290" s="261">
        <f t="shared" si="45"/>
        <v>43499.990020000005</v>
      </c>
      <c r="AI1290" s="261"/>
      <c r="AJ1290" s="261"/>
      <c r="AK1290" s="259" t="s">
        <v>43</v>
      </c>
      <c r="AL1290" s="259" t="s">
        <v>41</v>
      </c>
      <c r="AM1290" s="266">
        <v>0</v>
      </c>
      <c r="AN1290" s="67"/>
      <c r="AO1290" s="256"/>
      <c r="AP1290" s="257"/>
    </row>
    <row r="1291" spans="1:42" s="258" customFormat="1" ht="37.950000000000003" customHeight="1" x14ac:dyDescent="0.3">
      <c r="A1291" s="259" t="s">
        <v>1641</v>
      </c>
      <c r="B1291" s="243" t="s">
        <v>1642</v>
      </c>
      <c r="C1291" s="244" t="s">
        <v>2991</v>
      </c>
      <c r="D1291" s="300" t="s">
        <v>34</v>
      </c>
      <c r="E1291" s="243" t="s">
        <v>1644</v>
      </c>
      <c r="F1291" s="259" t="s">
        <v>35</v>
      </c>
      <c r="G1291" s="259">
        <v>1</v>
      </c>
      <c r="H1291" s="301">
        <v>778720.19514178263</v>
      </c>
      <c r="I1291" s="243" t="s">
        <v>36</v>
      </c>
      <c r="J1291" s="245">
        <f t="shared" si="44"/>
        <v>778720.19514178263</v>
      </c>
      <c r="K1291" s="1695">
        <f>15245.45+32636.65</f>
        <v>47882.100000000006</v>
      </c>
      <c r="L1291" s="1695">
        <f>K1291</f>
        <v>47882.100000000006</v>
      </c>
      <c r="M1291" s="302" t="s">
        <v>62</v>
      </c>
      <c r="N1291" s="261" t="s">
        <v>2992</v>
      </c>
      <c r="O1291" s="284" t="s">
        <v>2993</v>
      </c>
      <c r="P1291" s="263" t="s">
        <v>41</v>
      </c>
      <c r="Q1291" s="262"/>
      <c r="R1291" s="263" t="s">
        <v>41</v>
      </c>
      <c r="S1291" s="262"/>
      <c r="T1291" s="263"/>
      <c r="U1291" s="262"/>
      <c r="V1291" s="263" t="s">
        <v>41</v>
      </c>
      <c r="W1291" s="262"/>
      <c r="X1291" s="263" t="s">
        <v>41</v>
      </c>
      <c r="Y1291" s="262"/>
      <c r="Z1291" s="263" t="s">
        <v>40</v>
      </c>
      <c r="AA1291" s="262"/>
      <c r="AB1291" s="263" t="s">
        <v>40</v>
      </c>
      <c r="AC1291" s="262"/>
      <c r="AD1291" s="262"/>
      <c r="AE1291" s="262">
        <v>45565</v>
      </c>
      <c r="AF1291" s="263" t="s">
        <v>65</v>
      </c>
      <c r="AG1291" s="270">
        <v>2026</v>
      </c>
      <c r="AH1291" s="261">
        <f t="shared" si="45"/>
        <v>235555.99095000004</v>
      </c>
      <c r="AI1291" s="261"/>
      <c r="AJ1291" s="261"/>
      <c r="AK1291" s="259" t="s">
        <v>43</v>
      </c>
      <c r="AL1291" s="259" t="s">
        <v>41</v>
      </c>
      <c r="AM1291" s="266">
        <v>0</v>
      </c>
      <c r="AN1291" s="67"/>
      <c r="AO1291" s="256"/>
      <c r="AP1291" s="257"/>
    </row>
    <row r="1292" spans="1:42" s="258" customFormat="1" ht="37.950000000000003" customHeight="1" x14ac:dyDescent="0.3">
      <c r="A1292" s="259" t="s">
        <v>1641</v>
      </c>
      <c r="B1292" s="243" t="s">
        <v>1642</v>
      </c>
      <c r="C1292" s="244" t="s">
        <v>2994</v>
      </c>
      <c r="D1292" s="300" t="s">
        <v>34</v>
      </c>
      <c r="E1292" s="243" t="s">
        <v>1644</v>
      </c>
      <c r="F1292" s="259" t="s">
        <v>35</v>
      </c>
      <c r="G1292" s="259">
        <v>1</v>
      </c>
      <c r="H1292" s="301">
        <v>778720.19514178263</v>
      </c>
      <c r="I1292" s="243" t="s">
        <v>36</v>
      </c>
      <c r="J1292" s="245">
        <f t="shared" si="44"/>
        <v>778720.19514178263</v>
      </c>
      <c r="K1292" s="1695">
        <f>24799.27+32361.01</f>
        <v>57160.28</v>
      </c>
      <c r="L1292" s="1695">
        <f>K1292</f>
        <v>57160.28</v>
      </c>
      <c r="M1292" s="292" t="s">
        <v>54</v>
      </c>
      <c r="N1292" s="261" t="s">
        <v>2995</v>
      </c>
      <c r="O1292" s="284" t="s">
        <v>2996</v>
      </c>
      <c r="P1292" s="263" t="s">
        <v>41</v>
      </c>
      <c r="Q1292" s="262"/>
      <c r="R1292" s="263" t="s">
        <v>41</v>
      </c>
      <c r="S1292" s="262"/>
      <c r="T1292" s="263"/>
      <c r="U1292" s="262"/>
      <c r="V1292" s="263" t="s">
        <v>41</v>
      </c>
      <c r="W1292" s="262"/>
      <c r="X1292" s="263" t="s">
        <v>41</v>
      </c>
      <c r="Y1292" s="262"/>
      <c r="Z1292" s="263" t="s">
        <v>40</v>
      </c>
      <c r="AA1292" s="262"/>
      <c r="AB1292" s="263" t="s">
        <v>40</v>
      </c>
      <c r="AC1292" s="262"/>
      <c r="AD1292" s="262"/>
      <c r="AE1292" s="262">
        <v>45565</v>
      </c>
      <c r="AF1292" s="263" t="s">
        <v>65</v>
      </c>
      <c r="AG1292" s="270">
        <v>2026</v>
      </c>
      <c r="AH1292" s="261">
        <f t="shared" si="45"/>
        <v>281199.99745999998</v>
      </c>
      <c r="AI1292" s="261"/>
      <c r="AJ1292" s="261"/>
      <c r="AK1292" s="259" t="s">
        <v>43</v>
      </c>
      <c r="AL1292" s="259" t="s">
        <v>41</v>
      </c>
      <c r="AM1292" s="266">
        <v>0</v>
      </c>
      <c r="AN1292" s="67"/>
      <c r="AO1292" s="256"/>
      <c r="AP1292" s="257"/>
    </row>
    <row r="1293" spans="1:42" s="258" customFormat="1" ht="37.950000000000003" customHeight="1" x14ac:dyDescent="0.3">
      <c r="A1293" s="259" t="s">
        <v>1641</v>
      </c>
      <c r="B1293" s="243" t="s">
        <v>1642</v>
      </c>
      <c r="C1293" s="244" t="s">
        <v>2997</v>
      </c>
      <c r="D1293" s="300" t="s">
        <v>34</v>
      </c>
      <c r="E1293" s="243" t="s">
        <v>1644</v>
      </c>
      <c r="F1293" s="259" t="s">
        <v>35</v>
      </c>
      <c r="G1293" s="259">
        <v>1</v>
      </c>
      <c r="H1293" s="301">
        <v>778720</v>
      </c>
      <c r="I1293" s="243" t="s">
        <v>36</v>
      </c>
      <c r="J1293" s="245">
        <f t="shared" si="44"/>
        <v>778720</v>
      </c>
      <c r="K1293" s="1695">
        <v>0</v>
      </c>
      <c r="L1293" s="1695">
        <v>0</v>
      </c>
      <c r="M1293" s="292" t="s">
        <v>636</v>
      </c>
      <c r="N1293" s="261" t="s">
        <v>2998</v>
      </c>
      <c r="O1293" s="284" t="s">
        <v>2999</v>
      </c>
      <c r="P1293" s="263" t="s">
        <v>41</v>
      </c>
      <c r="Q1293" s="262"/>
      <c r="R1293" s="263" t="s">
        <v>41</v>
      </c>
      <c r="S1293" s="262"/>
      <c r="T1293" s="263"/>
      <c r="U1293" s="262"/>
      <c r="V1293" s="263" t="s">
        <v>41</v>
      </c>
      <c r="W1293" s="262"/>
      <c r="X1293" s="263" t="s">
        <v>41</v>
      </c>
      <c r="Y1293" s="262"/>
      <c r="Z1293" s="263" t="s">
        <v>40</v>
      </c>
      <c r="AA1293" s="262"/>
      <c r="AB1293" s="263" t="s">
        <v>40</v>
      </c>
      <c r="AC1293" s="262"/>
      <c r="AD1293" s="262"/>
      <c r="AE1293" s="262">
        <v>45565</v>
      </c>
      <c r="AF1293" s="263" t="s">
        <v>65</v>
      </c>
      <c r="AG1293" s="270">
        <v>2026</v>
      </c>
      <c r="AH1293" s="261">
        <f t="shared" si="45"/>
        <v>0</v>
      </c>
      <c r="AI1293" s="261"/>
      <c r="AJ1293" s="261"/>
      <c r="AK1293" s="259" t="s">
        <v>43</v>
      </c>
      <c r="AL1293" s="259" t="s">
        <v>41</v>
      </c>
      <c r="AM1293" s="266">
        <v>0</v>
      </c>
      <c r="AN1293" s="67"/>
      <c r="AO1293" s="256"/>
      <c r="AP1293" s="257"/>
    </row>
    <row r="1294" spans="1:42" s="258" customFormat="1" ht="37.950000000000003" customHeight="1" x14ac:dyDescent="0.3">
      <c r="A1294" s="259" t="s">
        <v>1641</v>
      </c>
      <c r="B1294" s="243" t="s">
        <v>1642</v>
      </c>
      <c r="C1294" s="244" t="s">
        <v>3000</v>
      </c>
      <c r="D1294" s="300" t="s">
        <v>34</v>
      </c>
      <c r="E1294" s="243" t="s">
        <v>1644</v>
      </c>
      <c r="F1294" s="259" t="s">
        <v>35</v>
      </c>
      <c r="G1294" s="259">
        <v>1</v>
      </c>
      <c r="H1294" s="301">
        <v>778720</v>
      </c>
      <c r="I1294" s="243" t="s">
        <v>36</v>
      </c>
      <c r="J1294" s="245">
        <f t="shared" si="44"/>
        <v>778720</v>
      </c>
      <c r="K1294" s="1695">
        <v>0</v>
      </c>
      <c r="L1294" s="1695">
        <v>0</v>
      </c>
      <c r="M1294" s="292" t="s">
        <v>351</v>
      </c>
      <c r="N1294" s="261" t="s">
        <v>843</v>
      </c>
      <c r="O1294" s="284" t="s">
        <v>3001</v>
      </c>
      <c r="P1294" s="263" t="s">
        <v>41</v>
      </c>
      <c r="Q1294" s="262"/>
      <c r="R1294" s="263" t="s">
        <v>41</v>
      </c>
      <c r="S1294" s="262"/>
      <c r="T1294" s="263"/>
      <c r="U1294" s="262"/>
      <c r="V1294" s="263" t="s">
        <v>41</v>
      </c>
      <c r="W1294" s="262"/>
      <c r="X1294" s="263" t="s">
        <v>41</v>
      </c>
      <c r="Y1294" s="262"/>
      <c r="Z1294" s="263" t="s">
        <v>40</v>
      </c>
      <c r="AA1294" s="262"/>
      <c r="AB1294" s="263" t="s">
        <v>40</v>
      </c>
      <c r="AC1294" s="262"/>
      <c r="AD1294" s="262"/>
      <c r="AE1294" s="262">
        <v>45565</v>
      </c>
      <c r="AF1294" s="263" t="s">
        <v>65</v>
      </c>
      <c r="AG1294" s="270">
        <v>2026</v>
      </c>
      <c r="AH1294" s="261">
        <f t="shared" si="45"/>
        <v>0</v>
      </c>
      <c r="AI1294" s="261"/>
      <c r="AJ1294" s="261"/>
      <c r="AK1294" s="259" t="s">
        <v>43</v>
      </c>
      <c r="AL1294" s="259" t="s">
        <v>41</v>
      </c>
      <c r="AM1294" s="266">
        <v>0</v>
      </c>
      <c r="AN1294" s="67"/>
      <c r="AO1294" s="256"/>
      <c r="AP1294" s="257"/>
    </row>
    <row r="1295" spans="1:42" s="258" customFormat="1" ht="37.950000000000003" customHeight="1" x14ac:dyDescent="0.3">
      <c r="A1295" s="259" t="s">
        <v>1641</v>
      </c>
      <c r="B1295" s="243" t="s">
        <v>1642</v>
      </c>
      <c r="C1295" s="244" t="s">
        <v>3002</v>
      </c>
      <c r="D1295" s="300" t="s">
        <v>34</v>
      </c>
      <c r="E1295" s="243" t="s">
        <v>1644</v>
      </c>
      <c r="F1295" s="259" t="s">
        <v>35</v>
      </c>
      <c r="G1295" s="259">
        <v>1</v>
      </c>
      <c r="H1295" s="301">
        <v>778684</v>
      </c>
      <c r="I1295" s="243" t="s">
        <v>36</v>
      </c>
      <c r="J1295" s="245">
        <f t="shared" si="44"/>
        <v>778684</v>
      </c>
      <c r="K1295" s="1695">
        <f>9228.28+10744.99</f>
        <v>19973.27</v>
      </c>
      <c r="L1295" s="1695">
        <f>9228.28+10744.99</f>
        <v>19973.27</v>
      </c>
      <c r="M1295" s="292" t="s">
        <v>79</v>
      </c>
      <c r="N1295" s="261" t="s">
        <v>3003</v>
      </c>
      <c r="O1295" s="284" t="s">
        <v>3004</v>
      </c>
      <c r="P1295" s="263" t="s">
        <v>41</v>
      </c>
      <c r="Q1295" s="262"/>
      <c r="R1295" s="263" t="s">
        <v>41</v>
      </c>
      <c r="S1295" s="262"/>
      <c r="T1295" s="263"/>
      <c r="U1295" s="262"/>
      <c r="V1295" s="263" t="s">
        <v>41</v>
      </c>
      <c r="W1295" s="262"/>
      <c r="X1295" s="263" t="s">
        <v>41</v>
      </c>
      <c r="Y1295" s="262"/>
      <c r="Z1295" s="263" t="s">
        <v>40</v>
      </c>
      <c r="AA1295" s="262"/>
      <c r="AB1295" s="263" t="s">
        <v>40</v>
      </c>
      <c r="AC1295" s="262"/>
      <c r="AD1295" s="262"/>
      <c r="AE1295" s="262">
        <v>45565</v>
      </c>
      <c r="AF1295" s="263" t="s">
        <v>65</v>
      </c>
      <c r="AG1295" s="270">
        <v>2026</v>
      </c>
      <c r="AH1295" s="261">
        <f t="shared" si="45"/>
        <v>98258.501765000008</v>
      </c>
      <c r="AI1295" s="261"/>
      <c r="AJ1295" s="261"/>
      <c r="AK1295" s="259" t="s">
        <v>43</v>
      </c>
      <c r="AL1295" s="259" t="s">
        <v>41</v>
      </c>
      <c r="AM1295" s="266">
        <v>0</v>
      </c>
      <c r="AN1295" s="67"/>
      <c r="AO1295" s="256"/>
      <c r="AP1295" s="257"/>
    </row>
    <row r="1296" spans="1:42" s="258" customFormat="1" ht="37.950000000000003" customHeight="1" x14ac:dyDescent="0.3">
      <c r="A1296" s="259" t="s">
        <v>1641</v>
      </c>
      <c r="B1296" s="243" t="s">
        <v>1642</v>
      </c>
      <c r="C1296" s="244" t="s">
        <v>3005</v>
      </c>
      <c r="D1296" s="300" t="s">
        <v>34</v>
      </c>
      <c r="E1296" s="243" t="s">
        <v>1644</v>
      </c>
      <c r="F1296" s="259" t="s">
        <v>35</v>
      </c>
      <c r="G1296" s="259">
        <v>1</v>
      </c>
      <c r="H1296" s="301">
        <v>778720.19514178298</v>
      </c>
      <c r="I1296" s="243" t="s">
        <v>36</v>
      </c>
      <c r="J1296" s="245">
        <f t="shared" si="44"/>
        <v>778720.19514178298</v>
      </c>
      <c r="K1296" s="1695">
        <v>0</v>
      </c>
      <c r="L1296" s="1695">
        <v>0</v>
      </c>
      <c r="M1296" s="292" t="s">
        <v>3006</v>
      </c>
      <c r="N1296" s="261" t="s">
        <v>3007</v>
      </c>
      <c r="O1296" s="284" t="s">
        <v>3008</v>
      </c>
      <c r="P1296" s="263" t="s">
        <v>41</v>
      </c>
      <c r="Q1296" s="262"/>
      <c r="R1296" s="263" t="s">
        <v>41</v>
      </c>
      <c r="S1296" s="262"/>
      <c r="T1296" s="263"/>
      <c r="U1296" s="262"/>
      <c r="V1296" s="263" t="s">
        <v>41</v>
      </c>
      <c r="W1296" s="262"/>
      <c r="X1296" s="263" t="s">
        <v>41</v>
      </c>
      <c r="Y1296" s="262"/>
      <c r="Z1296" s="263" t="s">
        <v>40</v>
      </c>
      <c r="AA1296" s="262"/>
      <c r="AB1296" s="263" t="s">
        <v>40</v>
      </c>
      <c r="AC1296" s="262"/>
      <c r="AD1296" s="262"/>
      <c r="AE1296" s="262">
        <v>45565</v>
      </c>
      <c r="AF1296" s="263" t="s">
        <v>65</v>
      </c>
      <c r="AG1296" s="270">
        <v>2026</v>
      </c>
      <c r="AH1296" s="261">
        <f t="shared" si="45"/>
        <v>0</v>
      </c>
      <c r="AI1296" s="261"/>
      <c r="AJ1296" s="261"/>
      <c r="AK1296" s="259" t="s">
        <v>43</v>
      </c>
      <c r="AL1296" s="259" t="s">
        <v>41</v>
      </c>
      <c r="AM1296" s="266">
        <v>0</v>
      </c>
      <c r="AN1296" s="67"/>
      <c r="AO1296" s="256"/>
      <c r="AP1296" s="257"/>
    </row>
    <row r="1297" spans="1:42" s="258" customFormat="1" ht="37.950000000000003" customHeight="1" x14ac:dyDescent="0.3">
      <c r="A1297" s="259" t="s">
        <v>1641</v>
      </c>
      <c r="B1297" s="243" t="s">
        <v>1642</v>
      </c>
      <c r="C1297" s="244" t="s">
        <v>3009</v>
      </c>
      <c r="D1297" s="300" t="s">
        <v>34</v>
      </c>
      <c r="E1297" s="243" t="s">
        <v>1644</v>
      </c>
      <c r="F1297" s="259" t="s">
        <v>35</v>
      </c>
      <c r="G1297" s="259">
        <v>1</v>
      </c>
      <c r="H1297" s="301">
        <v>778720</v>
      </c>
      <c r="I1297" s="243" t="s">
        <v>36</v>
      </c>
      <c r="J1297" s="245">
        <f t="shared" si="44"/>
        <v>778720</v>
      </c>
      <c r="K1297" s="1695">
        <f>26425.32+17674.147</f>
        <v>44099.467000000004</v>
      </c>
      <c r="L1297" s="1695">
        <f>26425.32+17674.147</f>
        <v>44099.467000000004</v>
      </c>
      <c r="M1297" s="292" t="s">
        <v>66</v>
      </c>
      <c r="N1297" s="261" t="s">
        <v>3010</v>
      </c>
      <c r="O1297" s="284" t="s">
        <v>3011</v>
      </c>
      <c r="P1297" s="263" t="s">
        <v>41</v>
      </c>
      <c r="Q1297" s="262"/>
      <c r="R1297" s="263" t="s">
        <v>41</v>
      </c>
      <c r="S1297" s="262"/>
      <c r="T1297" s="263"/>
      <c r="U1297" s="262"/>
      <c r="V1297" s="263" t="s">
        <v>41</v>
      </c>
      <c r="W1297" s="262"/>
      <c r="X1297" s="263" t="s">
        <v>41</v>
      </c>
      <c r="Y1297" s="262"/>
      <c r="Z1297" s="263" t="s">
        <v>40</v>
      </c>
      <c r="AA1297" s="262"/>
      <c r="AB1297" s="263" t="s">
        <v>40</v>
      </c>
      <c r="AC1297" s="262"/>
      <c r="AD1297" s="262"/>
      <c r="AE1297" s="262">
        <v>45565</v>
      </c>
      <c r="AF1297" s="263" t="s">
        <v>65</v>
      </c>
      <c r="AG1297" s="270">
        <v>2026</v>
      </c>
      <c r="AH1297" s="261">
        <f t="shared" si="45"/>
        <v>216947.32790650002</v>
      </c>
      <c r="AI1297" s="261"/>
      <c r="AJ1297" s="261"/>
      <c r="AK1297" s="259" t="s">
        <v>43</v>
      </c>
      <c r="AL1297" s="259" t="s">
        <v>41</v>
      </c>
      <c r="AM1297" s="266">
        <v>0</v>
      </c>
      <c r="AN1297" s="67"/>
      <c r="AO1297" s="256"/>
      <c r="AP1297" s="257"/>
    </row>
    <row r="1298" spans="1:42" s="258" customFormat="1" ht="37.950000000000003" customHeight="1" x14ac:dyDescent="0.3">
      <c r="A1298" s="259" t="s">
        <v>1641</v>
      </c>
      <c r="B1298" s="243" t="s">
        <v>1642</v>
      </c>
      <c r="C1298" s="244" t="s">
        <v>3012</v>
      </c>
      <c r="D1298" s="300" t="s">
        <v>34</v>
      </c>
      <c r="E1298" s="243" t="s">
        <v>1644</v>
      </c>
      <c r="F1298" s="259" t="s">
        <v>35</v>
      </c>
      <c r="G1298" s="259">
        <v>1</v>
      </c>
      <c r="H1298" s="301">
        <v>778720</v>
      </c>
      <c r="I1298" s="243" t="s">
        <v>36</v>
      </c>
      <c r="J1298" s="245">
        <f t="shared" si="44"/>
        <v>778720</v>
      </c>
      <c r="K1298" s="1695">
        <f>18904.36+14098.587</f>
        <v>33002.947</v>
      </c>
      <c r="L1298" s="1695">
        <f>K1298</f>
        <v>33002.947</v>
      </c>
      <c r="M1298" s="292" t="s">
        <v>322</v>
      </c>
      <c r="N1298" s="261" t="s">
        <v>673</v>
      </c>
      <c r="O1298" s="284" t="s">
        <v>3013</v>
      </c>
      <c r="P1298" s="263" t="s">
        <v>41</v>
      </c>
      <c r="Q1298" s="262"/>
      <c r="R1298" s="263" t="s">
        <v>41</v>
      </c>
      <c r="S1298" s="262"/>
      <c r="T1298" s="263"/>
      <c r="U1298" s="262"/>
      <c r="V1298" s="263" t="s">
        <v>41</v>
      </c>
      <c r="W1298" s="262"/>
      <c r="X1298" s="263" t="s">
        <v>41</v>
      </c>
      <c r="Y1298" s="262"/>
      <c r="Z1298" s="263" t="s">
        <v>40</v>
      </c>
      <c r="AA1298" s="262"/>
      <c r="AB1298" s="263" t="s">
        <v>40</v>
      </c>
      <c r="AC1298" s="262"/>
      <c r="AD1298" s="262"/>
      <c r="AE1298" s="262">
        <v>45565</v>
      </c>
      <c r="AF1298" s="263" t="s">
        <v>65</v>
      </c>
      <c r="AG1298" s="270">
        <v>2026</v>
      </c>
      <c r="AH1298" s="261">
        <f t="shared" si="45"/>
        <v>162357.99776650002</v>
      </c>
      <c r="AI1298" s="261"/>
      <c r="AJ1298" s="261"/>
      <c r="AK1298" s="259" t="s">
        <v>43</v>
      </c>
      <c r="AL1298" s="259" t="s">
        <v>41</v>
      </c>
      <c r="AM1298" s="266">
        <v>0</v>
      </c>
      <c r="AN1298" s="67"/>
      <c r="AO1298" s="256"/>
      <c r="AP1298" s="257"/>
    </row>
    <row r="1299" spans="1:42" s="258" customFormat="1" ht="37.950000000000003" customHeight="1" x14ac:dyDescent="0.3">
      <c r="A1299" s="259" t="s">
        <v>1641</v>
      </c>
      <c r="B1299" s="243" t="s">
        <v>1642</v>
      </c>
      <c r="C1299" s="244" t="s">
        <v>3014</v>
      </c>
      <c r="D1299" s="300" t="s">
        <v>34</v>
      </c>
      <c r="E1299" s="243" t="s">
        <v>1644</v>
      </c>
      <c r="F1299" s="259" t="s">
        <v>35</v>
      </c>
      <c r="G1299" s="259">
        <v>1</v>
      </c>
      <c r="H1299" s="301">
        <v>778720.19514178263</v>
      </c>
      <c r="I1299" s="243" t="s">
        <v>36</v>
      </c>
      <c r="J1299" s="245">
        <f t="shared" si="44"/>
        <v>778720.19514178263</v>
      </c>
      <c r="K1299" s="1435">
        <f>41508.28</f>
        <v>41508.28</v>
      </c>
      <c r="L1299" s="1435">
        <f>41508.28</f>
        <v>41508.28</v>
      </c>
      <c r="M1299" s="292" t="s">
        <v>151</v>
      </c>
      <c r="N1299" s="261" t="s">
        <v>3015</v>
      </c>
      <c r="O1299" s="284" t="s">
        <v>3016</v>
      </c>
      <c r="P1299" s="263" t="s">
        <v>41</v>
      </c>
      <c r="Q1299" s="262"/>
      <c r="R1299" s="263" t="s">
        <v>41</v>
      </c>
      <c r="S1299" s="262"/>
      <c r="T1299" s="263"/>
      <c r="U1299" s="262"/>
      <c r="V1299" s="263" t="s">
        <v>41</v>
      </c>
      <c r="W1299" s="262"/>
      <c r="X1299" s="263" t="s">
        <v>41</v>
      </c>
      <c r="Y1299" s="262"/>
      <c r="Z1299" s="263" t="s">
        <v>40</v>
      </c>
      <c r="AA1299" s="262"/>
      <c r="AB1299" s="263" t="s">
        <v>40</v>
      </c>
      <c r="AC1299" s="262"/>
      <c r="AD1299" s="262"/>
      <c r="AE1299" s="262">
        <v>45565</v>
      </c>
      <c r="AF1299" s="263" t="s">
        <v>65</v>
      </c>
      <c r="AG1299" s="270">
        <v>2026</v>
      </c>
      <c r="AH1299" s="261">
        <f t="shared" si="45"/>
        <v>204199.98345999999</v>
      </c>
      <c r="AI1299" s="261"/>
      <c r="AJ1299" s="261"/>
      <c r="AK1299" s="259" t="s">
        <v>43</v>
      </c>
      <c r="AL1299" s="259" t="s">
        <v>41</v>
      </c>
      <c r="AM1299" s="266">
        <v>0</v>
      </c>
      <c r="AN1299" s="67"/>
      <c r="AO1299" s="256"/>
      <c r="AP1299" s="257"/>
    </row>
    <row r="1300" spans="1:42" s="258" customFormat="1" ht="37.950000000000003" customHeight="1" x14ac:dyDescent="0.3">
      <c r="A1300" s="259" t="s">
        <v>1641</v>
      </c>
      <c r="B1300" s="243" t="s">
        <v>1642</v>
      </c>
      <c r="C1300" s="244" t="s">
        <v>3017</v>
      </c>
      <c r="D1300" s="300" t="s">
        <v>34</v>
      </c>
      <c r="E1300" s="243" t="s">
        <v>1644</v>
      </c>
      <c r="F1300" s="259" t="s">
        <v>35</v>
      </c>
      <c r="G1300" s="259">
        <v>1</v>
      </c>
      <c r="H1300" s="301">
        <v>778720.19514178263</v>
      </c>
      <c r="I1300" s="243" t="s">
        <v>36</v>
      </c>
      <c r="J1300" s="245">
        <f t="shared" si="44"/>
        <v>778720.19514178263</v>
      </c>
      <c r="K1300" s="1695">
        <f>3049.09+12196.36+20493.79</f>
        <v>35739.240000000005</v>
      </c>
      <c r="L1300" s="1695">
        <f>K1300</f>
        <v>35739.240000000005</v>
      </c>
      <c r="M1300" s="292" t="s">
        <v>54</v>
      </c>
      <c r="N1300" s="261" t="s">
        <v>3018</v>
      </c>
      <c r="O1300" s="284" t="s">
        <v>3019</v>
      </c>
      <c r="P1300" s="263" t="s">
        <v>41</v>
      </c>
      <c r="Q1300" s="262"/>
      <c r="R1300" s="263" t="s">
        <v>41</v>
      </c>
      <c r="S1300" s="262"/>
      <c r="T1300" s="263"/>
      <c r="U1300" s="262"/>
      <c r="V1300" s="263" t="s">
        <v>41</v>
      </c>
      <c r="W1300" s="262"/>
      <c r="X1300" s="263" t="s">
        <v>41</v>
      </c>
      <c r="Y1300" s="262"/>
      <c r="Z1300" s="263" t="s">
        <v>40</v>
      </c>
      <c r="AA1300" s="262"/>
      <c r="AB1300" s="263" t="s">
        <v>40</v>
      </c>
      <c r="AC1300" s="262"/>
      <c r="AD1300" s="262"/>
      <c r="AE1300" s="262">
        <v>45565</v>
      </c>
      <c r="AF1300" s="263" t="s">
        <v>65</v>
      </c>
      <c r="AG1300" s="270">
        <v>2026</v>
      </c>
      <c r="AH1300" s="261">
        <f t="shared" si="45"/>
        <v>175819.19118000002</v>
      </c>
      <c r="AI1300" s="261"/>
      <c r="AJ1300" s="261"/>
      <c r="AK1300" s="259" t="s">
        <v>43</v>
      </c>
      <c r="AL1300" s="259" t="s">
        <v>41</v>
      </c>
      <c r="AM1300" s="266">
        <v>0</v>
      </c>
      <c r="AN1300" s="67"/>
      <c r="AO1300" s="256"/>
      <c r="AP1300" s="257"/>
    </row>
    <row r="1301" spans="1:42" s="258" customFormat="1" ht="37.950000000000003" customHeight="1" x14ac:dyDescent="0.3">
      <c r="A1301" s="259" t="s">
        <v>1641</v>
      </c>
      <c r="B1301" s="243" t="s">
        <v>1642</v>
      </c>
      <c r="C1301" s="244" t="s">
        <v>3020</v>
      </c>
      <c r="D1301" s="300" t="s">
        <v>34</v>
      </c>
      <c r="E1301" s="243" t="s">
        <v>1644</v>
      </c>
      <c r="F1301" s="259" t="s">
        <v>35</v>
      </c>
      <c r="G1301" s="259">
        <v>1</v>
      </c>
      <c r="H1301" s="301">
        <v>778720.19514178263</v>
      </c>
      <c r="I1301" s="243" t="s">
        <v>36</v>
      </c>
      <c r="J1301" s="245">
        <f t="shared" si="44"/>
        <v>778720.19514178263</v>
      </c>
      <c r="K1301" s="1435">
        <f>43236.1</f>
        <v>43236.1</v>
      </c>
      <c r="L1301" s="1435">
        <f>43236.1</f>
        <v>43236.1</v>
      </c>
      <c r="M1301" s="292" t="s">
        <v>151</v>
      </c>
      <c r="N1301" s="261" t="s">
        <v>3021</v>
      </c>
      <c r="O1301" s="284" t="s">
        <v>3022</v>
      </c>
      <c r="P1301" s="263" t="s">
        <v>41</v>
      </c>
      <c r="Q1301" s="262"/>
      <c r="R1301" s="263" t="s">
        <v>41</v>
      </c>
      <c r="S1301" s="262"/>
      <c r="T1301" s="263"/>
      <c r="U1301" s="262"/>
      <c r="V1301" s="263" t="s">
        <v>41</v>
      </c>
      <c r="W1301" s="262"/>
      <c r="X1301" s="263" t="s">
        <v>41</v>
      </c>
      <c r="Y1301" s="262"/>
      <c r="Z1301" s="263" t="s">
        <v>40</v>
      </c>
      <c r="AA1301" s="262"/>
      <c r="AB1301" s="263" t="s">
        <v>40</v>
      </c>
      <c r="AC1301" s="262"/>
      <c r="AD1301" s="262"/>
      <c r="AE1301" s="262">
        <v>45565</v>
      </c>
      <c r="AF1301" s="263" t="s">
        <v>65</v>
      </c>
      <c r="AG1301" s="270">
        <v>2026</v>
      </c>
      <c r="AH1301" s="261">
        <f t="shared" si="45"/>
        <v>212699.99395</v>
      </c>
      <c r="AI1301" s="261"/>
      <c r="AJ1301" s="261"/>
      <c r="AK1301" s="259" t="s">
        <v>43</v>
      </c>
      <c r="AL1301" s="259" t="s">
        <v>41</v>
      </c>
      <c r="AM1301" s="266">
        <v>0</v>
      </c>
      <c r="AN1301" s="67"/>
      <c r="AO1301" s="256"/>
      <c r="AP1301" s="257"/>
    </row>
    <row r="1302" spans="1:42" s="258" customFormat="1" ht="37.950000000000003" customHeight="1" x14ac:dyDescent="0.3">
      <c r="A1302" s="259" t="s">
        <v>1641</v>
      </c>
      <c r="B1302" s="243" t="s">
        <v>1642</v>
      </c>
      <c r="C1302" s="244" t="s">
        <v>3023</v>
      </c>
      <c r="D1302" s="305" t="s">
        <v>34</v>
      </c>
      <c r="E1302" s="243" t="s">
        <v>1644</v>
      </c>
      <c r="F1302" s="259" t="s">
        <v>35</v>
      </c>
      <c r="G1302" s="259">
        <v>1</v>
      </c>
      <c r="H1302" s="301">
        <v>778720</v>
      </c>
      <c r="I1302" s="243" t="s">
        <v>36</v>
      </c>
      <c r="J1302" s="245">
        <f t="shared" si="44"/>
        <v>778720</v>
      </c>
      <c r="K1302" s="1435">
        <f>4065.45+16932.62+16932.62+4065.45+11717.12</f>
        <v>53713.26</v>
      </c>
      <c r="L1302" s="1435">
        <f>K1302</f>
        <v>53713.26</v>
      </c>
      <c r="M1302" s="292" t="s">
        <v>351</v>
      </c>
      <c r="N1302" s="261" t="s">
        <v>3024</v>
      </c>
      <c r="O1302" s="284" t="s">
        <v>3025</v>
      </c>
      <c r="P1302" s="263" t="s">
        <v>41</v>
      </c>
      <c r="Q1302" s="262"/>
      <c r="R1302" s="263" t="s">
        <v>41</v>
      </c>
      <c r="S1302" s="262"/>
      <c r="T1302" s="263"/>
      <c r="U1302" s="262"/>
      <c r="V1302" s="263" t="s">
        <v>41</v>
      </c>
      <c r="W1302" s="262"/>
      <c r="X1302" s="263" t="s">
        <v>41</v>
      </c>
      <c r="Y1302" s="262"/>
      <c r="Z1302" s="263" t="s">
        <v>40</v>
      </c>
      <c r="AA1302" s="262"/>
      <c r="AB1302" s="263" t="s">
        <v>40</v>
      </c>
      <c r="AC1302" s="262"/>
      <c r="AD1302" s="262"/>
      <c r="AE1302" s="262">
        <v>45565</v>
      </c>
      <c r="AF1302" s="263" t="s">
        <v>65</v>
      </c>
      <c r="AG1302" s="270">
        <v>2026</v>
      </c>
      <c r="AH1302" s="261">
        <f t="shared" si="45"/>
        <v>264242.38257000002</v>
      </c>
      <c r="AI1302" s="261"/>
      <c r="AJ1302" s="261"/>
      <c r="AK1302" s="259" t="s">
        <v>43</v>
      </c>
      <c r="AL1302" s="259" t="s">
        <v>41</v>
      </c>
      <c r="AM1302" s="266">
        <v>0</v>
      </c>
      <c r="AN1302" s="67"/>
      <c r="AO1302" s="256"/>
      <c r="AP1302" s="257"/>
    </row>
    <row r="1303" spans="1:42" s="258" customFormat="1" ht="37.950000000000003" customHeight="1" x14ac:dyDescent="0.3">
      <c r="A1303" s="259" t="s">
        <v>1641</v>
      </c>
      <c r="B1303" s="243" t="s">
        <v>1642</v>
      </c>
      <c r="C1303" s="244" t="s">
        <v>3026</v>
      </c>
      <c r="D1303" s="300" t="s">
        <v>34</v>
      </c>
      <c r="E1303" s="243" t="s">
        <v>1644</v>
      </c>
      <c r="F1303" s="259" t="s">
        <v>35</v>
      </c>
      <c r="G1303" s="259">
        <v>1</v>
      </c>
      <c r="H1303" s="301">
        <v>778720.19514178263</v>
      </c>
      <c r="I1303" s="243" t="s">
        <v>36</v>
      </c>
      <c r="J1303" s="245">
        <f t="shared" si="44"/>
        <v>778720.19514178263</v>
      </c>
      <c r="K1303" s="1695">
        <v>0</v>
      </c>
      <c r="L1303" s="1695">
        <v>0</v>
      </c>
      <c r="M1303" s="302" t="s">
        <v>82</v>
      </c>
      <c r="N1303" s="303"/>
      <c r="O1303" s="304" t="s">
        <v>3027</v>
      </c>
      <c r="P1303" s="263" t="s">
        <v>41</v>
      </c>
      <c r="Q1303" s="262"/>
      <c r="R1303" s="263" t="s">
        <v>41</v>
      </c>
      <c r="S1303" s="262"/>
      <c r="T1303" s="263"/>
      <c r="U1303" s="262"/>
      <c r="V1303" s="263" t="s">
        <v>41</v>
      </c>
      <c r="W1303" s="262"/>
      <c r="X1303" s="263" t="s">
        <v>41</v>
      </c>
      <c r="Y1303" s="262"/>
      <c r="Z1303" s="263" t="s">
        <v>40</v>
      </c>
      <c r="AA1303" s="262"/>
      <c r="AB1303" s="263" t="s">
        <v>40</v>
      </c>
      <c r="AC1303" s="262"/>
      <c r="AD1303" s="262"/>
      <c r="AE1303" s="262">
        <v>45565</v>
      </c>
      <c r="AF1303" s="263" t="s">
        <v>65</v>
      </c>
      <c r="AG1303" s="270">
        <v>2026</v>
      </c>
      <c r="AH1303" s="261">
        <f t="shared" si="45"/>
        <v>0</v>
      </c>
      <c r="AI1303" s="261"/>
      <c r="AJ1303" s="261"/>
      <c r="AK1303" s="259" t="s">
        <v>43</v>
      </c>
      <c r="AL1303" s="259" t="s">
        <v>41</v>
      </c>
      <c r="AM1303" s="266">
        <v>0</v>
      </c>
      <c r="AN1303" s="67"/>
      <c r="AO1303" s="256"/>
      <c r="AP1303" s="257"/>
    </row>
    <row r="1304" spans="1:42" s="258" customFormat="1" ht="37.950000000000003" customHeight="1" x14ac:dyDescent="0.3">
      <c r="A1304" s="259" t="s">
        <v>1641</v>
      </c>
      <c r="B1304" s="243" t="s">
        <v>1642</v>
      </c>
      <c r="C1304" s="244" t="s">
        <v>3028</v>
      </c>
      <c r="D1304" s="300" t="s">
        <v>34</v>
      </c>
      <c r="E1304" s="243" t="s">
        <v>1644</v>
      </c>
      <c r="F1304" s="259" t="s">
        <v>35</v>
      </c>
      <c r="G1304" s="259">
        <v>1</v>
      </c>
      <c r="H1304" s="301">
        <v>778720.19514178263</v>
      </c>
      <c r="I1304" s="243" t="s">
        <v>36</v>
      </c>
      <c r="J1304" s="245">
        <f t="shared" si="44"/>
        <v>778720.19514178263</v>
      </c>
      <c r="K1304" s="1435">
        <f>5488.36+21953.45+30694.17</f>
        <v>58135.979999999996</v>
      </c>
      <c r="L1304" s="1435">
        <f>K1304</f>
        <v>58135.979999999996</v>
      </c>
      <c r="M1304" s="292" t="s">
        <v>54</v>
      </c>
      <c r="N1304" s="261" t="s">
        <v>3029</v>
      </c>
      <c r="O1304" s="284" t="s">
        <v>3030</v>
      </c>
      <c r="P1304" s="263" t="s">
        <v>41</v>
      </c>
      <c r="Q1304" s="262"/>
      <c r="R1304" s="263" t="s">
        <v>41</v>
      </c>
      <c r="S1304" s="262"/>
      <c r="T1304" s="263"/>
      <c r="U1304" s="262"/>
      <c r="V1304" s="263" t="s">
        <v>41</v>
      </c>
      <c r="W1304" s="262"/>
      <c r="X1304" s="263" t="s">
        <v>41</v>
      </c>
      <c r="Y1304" s="262"/>
      <c r="Z1304" s="263" t="s">
        <v>40</v>
      </c>
      <c r="AA1304" s="262"/>
      <c r="AB1304" s="263" t="s">
        <v>40</v>
      </c>
      <c r="AC1304" s="262"/>
      <c r="AD1304" s="262"/>
      <c r="AE1304" s="262">
        <v>45565</v>
      </c>
      <c r="AF1304" s="263" t="s">
        <v>65</v>
      </c>
      <c r="AG1304" s="270">
        <v>2026</v>
      </c>
      <c r="AH1304" s="261">
        <f t="shared" si="45"/>
        <v>285999.95360999997</v>
      </c>
      <c r="AI1304" s="261"/>
      <c r="AJ1304" s="261"/>
      <c r="AK1304" s="259" t="s">
        <v>43</v>
      </c>
      <c r="AL1304" s="259" t="s">
        <v>41</v>
      </c>
      <c r="AM1304" s="266">
        <v>0</v>
      </c>
      <c r="AN1304" s="67"/>
      <c r="AO1304" s="256"/>
      <c r="AP1304" s="257"/>
    </row>
    <row r="1305" spans="1:42" s="258" customFormat="1" ht="37.950000000000003" customHeight="1" x14ac:dyDescent="0.3">
      <c r="A1305" s="259" t="s">
        <v>1641</v>
      </c>
      <c r="B1305" s="243" t="s">
        <v>1642</v>
      </c>
      <c r="C1305" s="244" t="s">
        <v>3031</v>
      </c>
      <c r="D1305" s="300" t="s">
        <v>34</v>
      </c>
      <c r="E1305" s="243" t="s">
        <v>1644</v>
      </c>
      <c r="F1305" s="259" t="s">
        <v>35</v>
      </c>
      <c r="G1305" s="259">
        <v>1</v>
      </c>
      <c r="H1305" s="301">
        <v>778717.34932411823</v>
      </c>
      <c r="I1305" s="243" t="s">
        <v>36</v>
      </c>
      <c r="J1305" s="245">
        <f t="shared" si="44"/>
        <v>778717.34932411823</v>
      </c>
      <c r="K1305" s="1695">
        <f>61888</f>
        <v>61888</v>
      </c>
      <c r="L1305" s="1695">
        <f>K1305</f>
        <v>61888</v>
      </c>
      <c r="M1305" s="292" t="s">
        <v>57</v>
      </c>
      <c r="N1305" s="261" t="s">
        <v>3032</v>
      </c>
      <c r="O1305" s="284" t="s">
        <v>3033</v>
      </c>
      <c r="P1305" s="263" t="s">
        <v>41</v>
      </c>
      <c r="Q1305" s="262"/>
      <c r="R1305" s="263" t="s">
        <v>41</v>
      </c>
      <c r="S1305" s="262"/>
      <c r="T1305" s="263"/>
      <c r="U1305" s="262"/>
      <c r="V1305" s="263" t="s">
        <v>41</v>
      </c>
      <c r="W1305" s="262"/>
      <c r="X1305" s="263" t="s">
        <v>41</v>
      </c>
      <c r="Y1305" s="262"/>
      <c r="Z1305" s="263" t="s">
        <v>40</v>
      </c>
      <c r="AA1305" s="262"/>
      <c r="AB1305" s="263" t="s">
        <v>40</v>
      </c>
      <c r="AC1305" s="262"/>
      <c r="AD1305" s="262"/>
      <c r="AE1305" s="262">
        <v>45565</v>
      </c>
      <c r="AF1305" s="263" t="s">
        <v>65</v>
      </c>
      <c r="AG1305" s="270">
        <v>2026</v>
      </c>
      <c r="AH1305" s="261">
        <f t="shared" si="45"/>
        <v>304458.016</v>
      </c>
      <c r="AI1305" s="261"/>
      <c r="AJ1305" s="261"/>
      <c r="AK1305" s="259" t="s">
        <v>43</v>
      </c>
      <c r="AL1305" s="259" t="s">
        <v>41</v>
      </c>
      <c r="AM1305" s="266">
        <v>0</v>
      </c>
      <c r="AN1305" s="67"/>
      <c r="AO1305" s="256"/>
      <c r="AP1305" s="257"/>
    </row>
    <row r="1306" spans="1:42" s="258" customFormat="1" ht="50.4" customHeight="1" x14ac:dyDescent="0.3">
      <c r="A1306" s="259" t="s">
        <v>1641</v>
      </c>
      <c r="B1306" s="243" t="s">
        <v>1642</v>
      </c>
      <c r="C1306" s="244" t="s">
        <v>3034</v>
      </c>
      <c r="D1306" s="300" t="s">
        <v>34</v>
      </c>
      <c r="E1306" s="243" t="s">
        <v>1644</v>
      </c>
      <c r="F1306" s="259" t="s">
        <v>35</v>
      </c>
      <c r="G1306" s="259">
        <v>1</v>
      </c>
      <c r="H1306" s="301">
        <v>778720.19514178263</v>
      </c>
      <c r="I1306" s="243" t="s">
        <v>36</v>
      </c>
      <c r="J1306" s="245">
        <f t="shared" si="44"/>
        <v>778720.19514178263</v>
      </c>
      <c r="K1306" s="1695">
        <v>0</v>
      </c>
      <c r="L1306" s="1695">
        <v>0</v>
      </c>
      <c r="M1306" s="292" t="s">
        <v>82</v>
      </c>
      <c r="N1306" s="261" t="s">
        <v>3035</v>
      </c>
      <c r="O1306" s="261" t="s">
        <v>3036</v>
      </c>
      <c r="P1306" s="263" t="s">
        <v>41</v>
      </c>
      <c r="Q1306" s="262"/>
      <c r="R1306" s="263" t="s">
        <v>41</v>
      </c>
      <c r="S1306" s="262"/>
      <c r="T1306" s="263"/>
      <c r="U1306" s="262"/>
      <c r="V1306" s="263" t="s">
        <v>41</v>
      </c>
      <c r="W1306" s="262"/>
      <c r="X1306" s="263" t="s">
        <v>41</v>
      </c>
      <c r="Y1306" s="262"/>
      <c r="Z1306" s="263" t="s">
        <v>40</v>
      </c>
      <c r="AA1306" s="262"/>
      <c r="AB1306" s="263" t="s">
        <v>40</v>
      </c>
      <c r="AC1306" s="262"/>
      <c r="AD1306" s="262"/>
      <c r="AE1306" s="262">
        <v>45565</v>
      </c>
      <c r="AF1306" s="263" t="s">
        <v>65</v>
      </c>
      <c r="AG1306" s="270">
        <v>2026</v>
      </c>
      <c r="AH1306" s="261">
        <f t="shared" si="45"/>
        <v>0</v>
      </c>
      <c r="AI1306" s="261"/>
      <c r="AJ1306" s="261"/>
      <c r="AK1306" s="259" t="s">
        <v>43</v>
      </c>
      <c r="AL1306" s="259" t="s">
        <v>41</v>
      </c>
      <c r="AM1306" s="266">
        <v>0</v>
      </c>
      <c r="AN1306" s="67"/>
      <c r="AO1306" s="256"/>
      <c r="AP1306" s="257"/>
    </row>
    <row r="1307" spans="1:42" s="258" customFormat="1" ht="37.950000000000003" customHeight="1" x14ac:dyDescent="0.3">
      <c r="A1307" s="259" t="s">
        <v>1641</v>
      </c>
      <c r="B1307" s="243" t="s">
        <v>1642</v>
      </c>
      <c r="C1307" s="244" t="s">
        <v>3037</v>
      </c>
      <c r="D1307" s="300" t="s">
        <v>34</v>
      </c>
      <c r="E1307" s="243" t="s">
        <v>1644</v>
      </c>
      <c r="F1307" s="259" t="s">
        <v>35</v>
      </c>
      <c r="G1307" s="259">
        <v>1</v>
      </c>
      <c r="H1307" s="301">
        <v>778720</v>
      </c>
      <c r="I1307" s="243" t="s">
        <v>36</v>
      </c>
      <c r="J1307" s="245">
        <f t="shared" si="44"/>
        <v>778720</v>
      </c>
      <c r="K1307" s="1435">
        <f>2032.72+10732.79</f>
        <v>12765.51</v>
      </c>
      <c r="L1307" s="1435">
        <f>2032.72+10732.79</f>
        <v>12765.51</v>
      </c>
      <c r="M1307" s="292" t="s">
        <v>140</v>
      </c>
      <c r="N1307" s="261" t="s">
        <v>3038</v>
      </c>
      <c r="O1307" s="284" t="s">
        <v>3039</v>
      </c>
      <c r="P1307" s="263" t="s">
        <v>41</v>
      </c>
      <c r="Q1307" s="262"/>
      <c r="R1307" s="263" t="s">
        <v>41</v>
      </c>
      <c r="S1307" s="262"/>
      <c r="T1307" s="263"/>
      <c r="U1307" s="262"/>
      <c r="V1307" s="263" t="s">
        <v>41</v>
      </c>
      <c r="W1307" s="262"/>
      <c r="X1307" s="263" t="s">
        <v>41</v>
      </c>
      <c r="Y1307" s="262"/>
      <c r="Z1307" s="263" t="s">
        <v>40</v>
      </c>
      <c r="AA1307" s="262"/>
      <c r="AB1307" s="263" t="s">
        <v>40</v>
      </c>
      <c r="AC1307" s="262"/>
      <c r="AD1307" s="262"/>
      <c r="AE1307" s="262">
        <v>45565</v>
      </c>
      <c r="AF1307" s="263" t="s">
        <v>65</v>
      </c>
      <c r="AG1307" s="270">
        <v>2026</v>
      </c>
      <c r="AH1307" s="261">
        <f t="shared" si="45"/>
        <v>62799.926445000005</v>
      </c>
      <c r="AI1307" s="261"/>
      <c r="AJ1307" s="261"/>
      <c r="AK1307" s="259" t="s">
        <v>43</v>
      </c>
      <c r="AL1307" s="259" t="s">
        <v>41</v>
      </c>
      <c r="AM1307" s="266">
        <v>0</v>
      </c>
      <c r="AN1307" s="67"/>
      <c r="AO1307" s="256"/>
      <c r="AP1307" s="257"/>
    </row>
    <row r="1308" spans="1:42" s="258" customFormat="1" ht="37.950000000000003" customHeight="1" x14ac:dyDescent="0.3">
      <c r="A1308" s="259" t="s">
        <v>1641</v>
      </c>
      <c r="B1308" s="243" t="s">
        <v>1642</v>
      </c>
      <c r="C1308" s="244" t="s">
        <v>3040</v>
      </c>
      <c r="D1308" s="300" t="s">
        <v>34</v>
      </c>
      <c r="E1308" s="243" t="s">
        <v>1644</v>
      </c>
      <c r="F1308" s="259" t="s">
        <v>35</v>
      </c>
      <c r="G1308" s="259">
        <v>1</v>
      </c>
      <c r="H1308" s="301">
        <v>778720</v>
      </c>
      <c r="I1308" s="243" t="s">
        <v>36</v>
      </c>
      <c r="J1308" s="245">
        <f t="shared" si="44"/>
        <v>778720</v>
      </c>
      <c r="K1308" s="1695">
        <f>2032.72+32172.99+10976.725</f>
        <v>45182.434999999998</v>
      </c>
      <c r="L1308" s="1695">
        <f>2032.72+32172.99+10976.725</f>
        <v>45182.434999999998</v>
      </c>
      <c r="M1308" s="292" t="s">
        <v>183</v>
      </c>
      <c r="N1308" s="261" t="s">
        <v>3041</v>
      </c>
      <c r="O1308" s="284" t="s">
        <v>3042</v>
      </c>
      <c r="P1308" s="263" t="s">
        <v>41</v>
      </c>
      <c r="Q1308" s="262"/>
      <c r="R1308" s="263" t="s">
        <v>41</v>
      </c>
      <c r="S1308" s="262"/>
      <c r="T1308" s="263"/>
      <c r="U1308" s="262"/>
      <c r="V1308" s="263" t="s">
        <v>41</v>
      </c>
      <c r="W1308" s="262"/>
      <c r="X1308" s="263" t="s">
        <v>41</v>
      </c>
      <c r="Y1308" s="262"/>
      <c r="Z1308" s="263" t="s">
        <v>40</v>
      </c>
      <c r="AA1308" s="262"/>
      <c r="AB1308" s="263" t="s">
        <v>40</v>
      </c>
      <c r="AC1308" s="262"/>
      <c r="AD1308" s="262"/>
      <c r="AE1308" s="262">
        <v>45565</v>
      </c>
      <c r="AF1308" s="263" t="s">
        <v>65</v>
      </c>
      <c r="AG1308" s="270">
        <v>2026</v>
      </c>
      <c r="AH1308" s="261">
        <f t="shared" si="45"/>
        <v>222274.98898249998</v>
      </c>
      <c r="AI1308" s="261"/>
      <c r="AJ1308" s="261"/>
      <c r="AK1308" s="259" t="s">
        <v>43</v>
      </c>
      <c r="AL1308" s="259" t="s">
        <v>41</v>
      </c>
      <c r="AM1308" s="266">
        <v>0</v>
      </c>
      <c r="AN1308" s="67"/>
      <c r="AO1308" s="256"/>
      <c r="AP1308" s="257"/>
    </row>
    <row r="1309" spans="1:42" s="258" customFormat="1" ht="37.950000000000003" customHeight="1" x14ac:dyDescent="0.3">
      <c r="A1309" s="259" t="s">
        <v>1641</v>
      </c>
      <c r="B1309" s="243" t="s">
        <v>1642</v>
      </c>
      <c r="C1309" s="244" t="s">
        <v>3043</v>
      </c>
      <c r="D1309" s="300" t="s">
        <v>34</v>
      </c>
      <c r="E1309" s="243" t="s">
        <v>1644</v>
      </c>
      <c r="F1309" s="259" t="s">
        <v>35</v>
      </c>
      <c r="G1309" s="259">
        <v>1</v>
      </c>
      <c r="H1309" s="301">
        <v>778720.19514178263</v>
      </c>
      <c r="I1309" s="243" t="s">
        <v>36</v>
      </c>
      <c r="J1309" s="245">
        <f t="shared" si="44"/>
        <v>778720.19514178263</v>
      </c>
      <c r="K1309" s="1695">
        <f>1219.64+4498.67+2177.05</f>
        <v>7895.3600000000006</v>
      </c>
      <c r="L1309" s="1695">
        <f>K1309</f>
        <v>7895.3600000000006</v>
      </c>
      <c r="M1309" s="292" t="s">
        <v>67</v>
      </c>
      <c r="N1309" s="261" t="s">
        <v>3044</v>
      </c>
      <c r="O1309" s="284" t="s">
        <v>3045</v>
      </c>
      <c r="P1309" s="263" t="s">
        <v>41</v>
      </c>
      <c r="Q1309" s="262"/>
      <c r="R1309" s="263" t="s">
        <v>41</v>
      </c>
      <c r="S1309" s="262"/>
      <c r="T1309" s="263"/>
      <c r="U1309" s="262"/>
      <c r="V1309" s="263" t="s">
        <v>41</v>
      </c>
      <c r="W1309" s="262"/>
      <c r="X1309" s="263" t="s">
        <v>41</v>
      </c>
      <c r="Y1309" s="262"/>
      <c r="Z1309" s="263" t="s">
        <v>40</v>
      </c>
      <c r="AA1309" s="262"/>
      <c r="AB1309" s="263" t="s">
        <v>40</v>
      </c>
      <c r="AC1309" s="262"/>
      <c r="AD1309" s="262"/>
      <c r="AE1309" s="262">
        <v>45565</v>
      </c>
      <c r="AF1309" s="263" t="s">
        <v>65</v>
      </c>
      <c r="AG1309" s="270">
        <v>2026</v>
      </c>
      <c r="AH1309" s="261">
        <f t="shared" si="45"/>
        <v>38841.223520000007</v>
      </c>
      <c r="AI1309" s="261"/>
      <c r="AJ1309" s="261"/>
      <c r="AK1309" s="259" t="s">
        <v>43</v>
      </c>
      <c r="AL1309" s="259" t="s">
        <v>41</v>
      </c>
      <c r="AM1309" s="266">
        <v>0</v>
      </c>
      <c r="AN1309" s="67"/>
      <c r="AO1309" s="256"/>
      <c r="AP1309" s="257"/>
    </row>
    <row r="1310" spans="1:42" s="258" customFormat="1" ht="37.950000000000003" customHeight="1" x14ac:dyDescent="0.3">
      <c r="A1310" s="259" t="s">
        <v>1641</v>
      </c>
      <c r="B1310" s="243" t="s">
        <v>1642</v>
      </c>
      <c r="C1310" s="244" t="s">
        <v>3046</v>
      </c>
      <c r="D1310" s="300" t="s">
        <v>34</v>
      </c>
      <c r="E1310" s="243" t="s">
        <v>1644</v>
      </c>
      <c r="F1310" s="259" t="s">
        <v>35</v>
      </c>
      <c r="G1310" s="259">
        <v>1</v>
      </c>
      <c r="H1310" s="301">
        <v>778720</v>
      </c>
      <c r="I1310" s="243" t="s">
        <v>36</v>
      </c>
      <c r="J1310" s="245">
        <f t="shared" si="44"/>
        <v>778720</v>
      </c>
      <c r="K1310" s="1695">
        <f>2032.73+32828.539</f>
        <v>34861.269</v>
      </c>
      <c r="L1310" s="1695">
        <f>K1310</f>
        <v>34861.269</v>
      </c>
      <c r="M1310" s="292" t="s">
        <v>316</v>
      </c>
      <c r="N1310" s="261" t="s">
        <v>3047</v>
      </c>
      <c r="O1310" s="284" t="s">
        <v>3048</v>
      </c>
      <c r="P1310" s="263" t="s">
        <v>41</v>
      </c>
      <c r="Q1310" s="262"/>
      <c r="R1310" s="263" t="s">
        <v>41</v>
      </c>
      <c r="S1310" s="262"/>
      <c r="T1310" s="263"/>
      <c r="U1310" s="262"/>
      <c r="V1310" s="263" t="s">
        <v>41</v>
      </c>
      <c r="W1310" s="262"/>
      <c r="X1310" s="263" t="s">
        <v>41</v>
      </c>
      <c r="Y1310" s="262"/>
      <c r="Z1310" s="263" t="s">
        <v>40</v>
      </c>
      <c r="AA1310" s="262"/>
      <c r="AB1310" s="263" t="s">
        <v>40</v>
      </c>
      <c r="AC1310" s="262"/>
      <c r="AD1310" s="262"/>
      <c r="AE1310" s="262">
        <v>45565</v>
      </c>
      <c r="AF1310" s="263" t="s">
        <v>65</v>
      </c>
      <c r="AG1310" s="270">
        <v>2026</v>
      </c>
      <c r="AH1310" s="261">
        <f t="shared" si="45"/>
        <v>171500.01284549999</v>
      </c>
      <c r="AI1310" s="261"/>
      <c r="AJ1310" s="261"/>
      <c r="AK1310" s="259" t="s">
        <v>43</v>
      </c>
      <c r="AL1310" s="259" t="s">
        <v>41</v>
      </c>
      <c r="AM1310" s="266">
        <v>0</v>
      </c>
      <c r="AN1310" s="67"/>
      <c r="AO1310" s="256"/>
      <c r="AP1310" s="257"/>
    </row>
    <row r="1311" spans="1:42" s="258" customFormat="1" ht="37.950000000000003" customHeight="1" x14ac:dyDescent="0.3">
      <c r="A1311" s="259" t="s">
        <v>1641</v>
      </c>
      <c r="B1311" s="243" t="s">
        <v>1642</v>
      </c>
      <c r="C1311" s="244" t="s">
        <v>3049</v>
      </c>
      <c r="D1311" s="300" t="s">
        <v>34</v>
      </c>
      <c r="E1311" s="243" t="s">
        <v>1644</v>
      </c>
      <c r="F1311" s="259" t="s">
        <v>35</v>
      </c>
      <c r="G1311" s="259">
        <v>1</v>
      </c>
      <c r="H1311" s="301">
        <v>778720</v>
      </c>
      <c r="I1311" s="243" t="s">
        <v>36</v>
      </c>
      <c r="J1311" s="245">
        <f t="shared" si="44"/>
        <v>778720</v>
      </c>
      <c r="K1311" s="1435">
        <f>7256.84+43057.22+7988.61</f>
        <v>58302.67</v>
      </c>
      <c r="L1311" s="1435">
        <f>7256.84+43057.22+7988.61</f>
        <v>58302.67</v>
      </c>
      <c r="M1311" s="292" t="s">
        <v>2945</v>
      </c>
      <c r="N1311" s="261" t="s">
        <v>1255</v>
      </c>
      <c r="O1311" s="284" t="s">
        <v>3050</v>
      </c>
      <c r="P1311" s="263" t="s">
        <v>41</v>
      </c>
      <c r="Q1311" s="262"/>
      <c r="R1311" s="263" t="s">
        <v>41</v>
      </c>
      <c r="S1311" s="262"/>
      <c r="T1311" s="263"/>
      <c r="U1311" s="262"/>
      <c r="V1311" s="263" t="s">
        <v>41</v>
      </c>
      <c r="W1311" s="262"/>
      <c r="X1311" s="263" t="s">
        <v>41</v>
      </c>
      <c r="Y1311" s="262"/>
      <c r="Z1311" s="263" t="s">
        <v>40</v>
      </c>
      <c r="AA1311" s="262"/>
      <c r="AB1311" s="263" t="s">
        <v>40</v>
      </c>
      <c r="AC1311" s="262"/>
      <c r="AD1311" s="262"/>
      <c r="AE1311" s="262">
        <v>45565</v>
      </c>
      <c r="AF1311" s="263" t="s">
        <v>65</v>
      </c>
      <c r="AG1311" s="270">
        <v>2026</v>
      </c>
      <c r="AH1311" s="261">
        <f t="shared" si="45"/>
        <v>286819.98506500002</v>
      </c>
      <c r="AI1311" s="261"/>
      <c r="AJ1311" s="261"/>
      <c r="AK1311" s="259" t="s">
        <v>43</v>
      </c>
      <c r="AL1311" s="259" t="s">
        <v>41</v>
      </c>
      <c r="AM1311" s="266">
        <v>0</v>
      </c>
      <c r="AN1311" s="67"/>
      <c r="AO1311" s="256"/>
      <c r="AP1311" s="257"/>
    </row>
    <row r="1312" spans="1:42" s="258" customFormat="1" ht="37.950000000000003" customHeight="1" x14ac:dyDescent="0.3">
      <c r="A1312" s="259" t="s">
        <v>1641</v>
      </c>
      <c r="B1312" s="243" t="s">
        <v>1642</v>
      </c>
      <c r="C1312" s="244" t="s">
        <v>3051</v>
      </c>
      <c r="D1312" s="300" t="s">
        <v>34</v>
      </c>
      <c r="E1312" s="243" t="s">
        <v>1644</v>
      </c>
      <c r="F1312" s="259" t="s">
        <v>35</v>
      </c>
      <c r="G1312" s="259">
        <v>1</v>
      </c>
      <c r="H1312" s="301">
        <v>778720</v>
      </c>
      <c r="I1312" s="243" t="s">
        <v>36</v>
      </c>
      <c r="J1312" s="245">
        <f t="shared" si="44"/>
        <v>778720</v>
      </c>
      <c r="K1312" s="1695">
        <v>0</v>
      </c>
      <c r="L1312" s="1695">
        <v>0</v>
      </c>
      <c r="M1312" s="292" t="s">
        <v>183</v>
      </c>
      <c r="N1312" s="261" t="s">
        <v>3052</v>
      </c>
      <c r="O1312" s="284" t="s">
        <v>3053</v>
      </c>
      <c r="P1312" s="263" t="s">
        <v>41</v>
      </c>
      <c r="Q1312" s="262"/>
      <c r="R1312" s="263" t="s">
        <v>41</v>
      </c>
      <c r="S1312" s="262"/>
      <c r="T1312" s="263"/>
      <c r="U1312" s="262"/>
      <c r="V1312" s="263" t="s">
        <v>41</v>
      </c>
      <c r="W1312" s="262"/>
      <c r="X1312" s="263" t="s">
        <v>41</v>
      </c>
      <c r="Y1312" s="262"/>
      <c r="Z1312" s="263" t="s">
        <v>40</v>
      </c>
      <c r="AA1312" s="262"/>
      <c r="AB1312" s="263" t="s">
        <v>40</v>
      </c>
      <c r="AC1312" s="262"/>
      <c r="AD1312" s="262"/>
      <c r="AE1312" s="262">
        <v>45565</v>
      </c>
      <c r="AF1312" s="263" t="s">
        <v>65</v>
      </c>
      <c r="AG1312" s="270">
        <v>2026</v>
      </c>
      <c r="AH1312" s="261">
        <f t="shared" si="45"/>
        <v>0</v>
      </c>
      <c r="AI1312" s="261"/>
      <c r="AJ1312" s="261"/>
      <c r="AK1312" s="259" t="s">
        <v>43</v>
      </c>
      <c r="AL1312" s="259" t="s">
        <v>41</v>
      </c>
      <c r="AM1312" s="266">
        <v>0</v>
      </c>
      <c r="AN1312" s="67"/>
      <c r="AO1312" s="256"/>
      <c r="AP1312" s="257"/>
    </row>
    <row r="1313" spans="1:42" s="258" customFormat="1" ht="37.950000000000003" customHeight="1" x14ac:dyDescent="0.3">
      <c r="A1313" s="259" t="s">
        <v>1641</v>
      </c>
      <c r="B1313" s="243" t="s">
        <v>1642</v>
      </c>
      <c r="C1313" s="244" t="s">
        <v>3054</v>
      </c>
      <c r="D1313" s="300" t="s">
        <v>34</v>
      </c>
      <c r="E1313" s="243" t="s">
        <v>1644</v>
      </c>
      <c r="F1313" s="259" t="s">
        <v>35</v>
      </c>
      <c r="G1313" s="259">
        <v>1</v>
      </c>
      <c r="H1313" s="301">
        <v>778720.19514178263</v>
      </c>
      <c r="I1313" s="243" t="s">
        <v>36</v>
      </c>
      <c r="J1313" s="245">
        <f t="shared" si="44"/>
        <v>778720.19514178263</v>
      </c>
      <c r="K1313" s="1695">
        <v>0</v>
      </c>
      <c r="L1313" s="1695">
        <v>0</v>
      </c>
      <c r="M1313" s="292" t="s">
        <v>79</v>
      </c>
      <c r="N1313" s="261" t="s">
        <v>3055</v>
      </c>
      <c r="O1313" s="284" t="s">
        <v>3056</v>
      </c>
      <c r="P1313" s="263" t="s">
        <v>41</v>
      </c>
      <c r="Q1313" s="262"/>
      <c r="R1313" s="263" t="s">
        <v>41</v>
      </c>
      <c r="S1313" s="262"/>
      <c r="T1313" s="263"/>
      <c r="U1313" s="262"/>
      <c r="V1313" s="263" t="s">
        <v>41</v>
      </c>
      <c r="W1313" s="262"/>
      <c r="X1313" s="263" t="s">
        <v>41</v>
      </c>
      <c r="Y1313" s="262"/>
      <c r="Z1313" s="263" t="s">
        <v>40</v>
      </c>
      <c r="AA1313" s="262"/>
      <c r="AB1313" s="263" t="s">
        <v>40</v>
      </c>
      <c r="AC1313" s="262"/>
      <c r="AD1313" s="262"/>
      <c r="AE1313" s="262">
        <v>45565</v>
      </c>
      <c r="AF1313" s="263" t="s">
        <v>65</v>
      </c>
      <c r="AG1313" s="270">
        <v>2026</v>
      </c>
      <c r="AH1313" s="261">
        <f t="shared" si="45"/>
        <v>0</v>
      </c>
      <c r="AI1313" s="261"/>
      <c r="AJ1313" s="261"/>
      <c r="AK1313" s="259" t="s">
        <v>43</v>
      </c>
      <c r="AL1313" s="259" t="s">
        <v>41</v>
      </c>
      <c r="AM1313" s="266">
        <v>0</v>
      </c>
      <c r="AN1313" s="67"/>
      <c r="AO1313" s="256"/>
      <c r="AP1313" s="257"/>
    </row>
    <row r="1314" spans="1:42" s="258" customFormat="1" ht="37.950000000000003" customHeight="1" x14ac:dyDescent="0.3">
      <c r="A1314" s="259" t="s">
        <v>1641</v>
      </c>
      <c r="B1314" s="243" t="s">
        <v>1642</v>
      </c>
      <c r="C1314" s="244" t="s">
        <v>3057</v>
      </c>
      <c r="D1314" s="300" t="s">
        <v>34</v>
      </c>
      <c r="E1314" s="243" t="s">
        <v>1644</v>
      </c>
      <c r="F1314" s="259" t="s">
        <v>35</v>
      </c>
      <c r="G1314" s="259">
        <v>3</v>
      </c>
      <c r="H1314" s="301">
        <v>2336160.585425348</v>
      </c>
      <c r="I1314" s="243" t="s">
        <v>36</v>
      </c>
      <c r="J1314" s="245">
        <f t="shared" si="44"/>
        <v>2336160.585425348</v>
      </c>
      <c r="K1314" s="1695">
        <f>78391.82</f>
        <v>78391.820000000007</v>
      </c>
      <c r="L1314" s="1695">
        <f>78391.82</f>
        <v>78391.820000000007</v>
      </c>
      <c r="M1314" s="292" t="s">
        <v>322</v>
      </c>
      <c r="N1314" s="261" t="s">
        <v>3058</v>
      </c>
      <c r="O1314" s="284" t="s">
        <v>3059</v>
      </c>
      <c r="P1314" s="263" t="s">
        <v>41</v>
      </c>
      <c r="Q1314" s="262"/>
      <c r="R1314" s="263" t="s">
        <v>41</v>
      </c>
      <c r="S1314" s="262"/>
      <c r="T1314" s="263"/>
      <c r="U1314" s="262"/>
      <c r="V1314" s="263" t="s">
        <v>41</v>
      </c>
      <c r="W1314" s="262"/>
      <c r="X1314" s="263" t="s">
        <v>41</v>
      </c>
      <c r="Y1314" s="262"/>
      <c r="Z1314" s="263" t="s">
        <v>40</v>
      </c>
      <c r="AA1314" s="262"/>
      <c r="AB1314" s="263" t="s">
        <v>40</v>
      </c>
      <c r="AC1314" s="262"/>
      <c r="AD1314" s="262"/>
      <c r="AE1314" s="262">
        <v>45565</v>
      </c>
      <c r="AF1314" s="263" t="s">
        <v>65</v>
      </c>
      <c r="AG1314" s="270">
        <v>2026</v>
      </c>
      <c r="AH1314" s="261">
        <f t="shared" si="45"/>
        <v>385648.55849000002</v>
      </c>
      <c r="AI1314" s="261"/>
      <c r="AJ1314" s="261"/>
      <c r="AK1314" s="259" t="s">
        <v>43</v>
      </c>
      <c r="AL1314" s="259" t="s">
        <v>41</v>
      </c>
      <c r="AM1314" s="266">
        <v>0</v>
      </c>
      <c r="AN1314" s="67"/>
      <c r="AO1314" s="256"/>
      <c r="AP1314" s="257"/>
    </row>
    <row r="1315" spans="1:42" s="258" customFormat="1" ht="37.950000000000003" customHeight="1" x14ac:dyDescent="0.3">
      <c r="A1315" s="259" t="s">
        <v>1641</v>
      </c>
      <c r="B1315" s="243" t="s">
        <v>1642</v>
      </c>
      <c r="C1315" s="244" t="s">
        <v>3060</v>
      </c>
      <c r="D1315" s="300" t="s">
        <v>34</v>
      </c>
      <c r="E1315" s="243" t="s">
        <v>1644</v>
      </c>
      <c r="F1315" s="259" t="s">
        <v>35</v>
      </c>
      <c r="G1315" s="259">
        <v>1</v>
      </c>
      <c r="H1315" s="301">
        <v>778720.19514178263</v>
      </c>
      <c r="I1315" s="243" t="s">
        <v>36</v>
      </c>
      <c r="J1315" s="245">
        <f t="shared" si="44"/>
        <v>778720.19514178263</v>
      </c>
      <c r="K1315" s="1695">
        <v>0</v>
      </c>
      <c r="L1315" s="1695">
        <v>0</v>
      </c>
      <c r="M1315" s="294" t="s">
        <v>82</v>
      </c>
      <c r="N1315" s="298"/>
      <c r="O1315" s="303" t="s">
        <v>3027</v>
      </c>
      <c r="P1315" s="263" t="s">
        <v>41</v>
      </c>
      <c r="Q1315" s="262"/>
      <c r="R1315" s="263" t="s">
        <v>41</v>
      </c>
      <c r="S1315" s="262"/>
      <c r="T1315" s="263"/>
      <c r="U1315" s="262"/>
      <c r="V1315" s="263" t="s">
        <v>41</v>
      </c>
      <c r="W1315" s="262"/>
      <c r="X1315" s="263" t="s">
        <v>41</v>
      </c>
      <c r="Y1315" s="262"/>
      <c r="Z1315" s="263" t="s">
        <v>40</v>
      </c>
      <c r="AA1315" s="262"/>
      <c r="AB1315" s="263" t="s">
        <v>40</v>
      </c>
      <c r="AC1315" s="262"/>
      <c r="AD1315" s="262"/>
      <c r="AE1315" s="262">
        <v>45565</v>
      </c>
      <c r="AF1315" s="263" t="s">
        <v>65</v>
      </c>
      <c r="AG1315" s="270">
        <v>2026</v>
      </c>
      <c r="AH1315" s="261">
        <f t="shared" si="45"/>
        <v>0</v>
      </c>
      <c r="AI1315" s="261"/>
      <c r="AJ1315" s="261"/>
      <c r="AK1315" s="259" t="s">
        <v>43</v>
      </c>
      <c r="AL1315" s="259" t="s">
        <v>41</v>
      </c>
      <c r="AM1315" s="266">
        <v>0</v>
      </c>
      <c r="AN1315" s="67"/>
      <c r="AO1315" s="256"/>
      <c r="AP1315" s="257"/>
    </row>
    <row r="1316" spans="1:42" s="258" customFormat="1" ht="37.950000000000003" customHeight="1" x14ac:dyDescent="0.3">
      <c r="A1316" s="259" t="s">
        <v>1641</v>
      </c>
      <c r="B1316" s="243" t="s">
        <v>1642</v>
      </c>
      <c r="C1316" s="244" t="s">
        <v>3061</v>
      </c>
      <c r="D1316" s="300" t="s">
        <v>34</v>
      </c>
      <c r="E1316" s="243" t="s">
        <v>1644</v>
      </c>
      <c r="F1316" s="259" t="s">
        <v>35</v>
      </c>
      <c r="G1316" s="259">
        <v>2</v>
      </c>
      <c r="H1316" s="301">
        <v>1512611.2694379508</v>
      </c>
      <c r="I1316" s="243" t="s">
        <v>36</v>
      </c>
      <c r="J1316" s="245">
        <f t="shared" si="44"/>
        <v>1512611.2694379508</v>
      </c>
      <c r="K1316" s="1695">
        <v>0</v>
      </c>
      <c r="L1316" s="1695">
        <v>0</v>
      </c>
      <c r="M1316" s="294" t="s">
        <v>79</v>
      </c>
      <c r="N1316" s="303"/>
      <c r="O1316" s="303" t="s">
        <v>3062</v>
      </c>
      <c r="P1316" s="263" t="s">
        <v>41</v>
      </c>
      <c r="Q1316" s="262"/>
      <c r="R1316" s="263" t="s">
        <v>41</v>
      </c>
      <c r="S1316" s="262"/>
      <c r="T1316" s="263"/>
      <c r="U1316" s="262"/>
      <c r="V1316" s="263" t="s">
        <v>41</v>
      </c>
      <c r="W1316" s="262"/>
      <c r="X1316" s="263" t="s">
        <v>41</v>
      </c>
      <c r="Y1316" s="262"/>
      <c r="Z1316" s="263" t="s">
        <v>40</v>
      </c>
      <c r="AA1316" s="262"/>
      <c r="AB1316" s="263" t="s">
        <v>40</v>
      </c>
      <c r="AC1316" s="262"/>
      <c r="AD1316" s="262"/>
      <c r="AE1316" s="262">
        <v>45565</v>
      </c>
      <c r="AF1316" s="263" t="s">
        <v>65</v>
      </c>
      <c r="AG1316" s="270">
        <v>2026</v>
      </c>
      <c r="AH1316" s="261">
        <f t="shared" si="45"/>
        <v>0</v>
      </c>
      <c r="AI1316" s="261"/>
      <c r="AJ1316" s="261"/>
      <c r="AK1316" s="259" t="s">
        <v>43</v>
      </c>
      <c r="AL1316" s="259" t="s">
        <v>41</v>
      </c>
      <c r="AM1316" s="266">
        <v>0</v>
      </c>
      <c r="AN1316" s="67"/>
      <c r="AO1316" s="256"/>
      <c r="AP1316" s="257"/>
    </row>
    <row r="1317" spans="1:42" s="258" customFormat="1" ht="37.950000000000003" customHeight="1" x14ac:dyDescent="0.3">
      <c r="A1317" s="259" t="s">
        <v>1641</v>
      </c>
      <c r="B1317" s="243" t="s">
        <v>1642</v>
      </c>
      <c r="C1317" s="244" t="s">
        <v>3063</v>
      </c>
      <c r="D1317" s="300" t="s">
        <v>34</v>
      </c>
      <c r="E1317" s="243" t="s">
        <v>1644</v>
      </c>
      <c r="F1317" s="259" t="s">
        <v>35</v>
      </c>
      <c r="G1317" s="259">
        <v>3</v>
      </c>
      <c r="H1317" s="301">
        <v>2336159.9999999995</v>
      </c>
      <c r="I1317" s="243" t="s">
        <v>36</v>
      </c>
      <c r="J1317" s="245">
        <f t="shared" si="44"/>
        <v>2336159.9999999995</v>
      </c>
      <c r="K1317" s="1695">
        <v>0</v>
      </c>
      <c r="L1317" s="1695">
        <v>0</v>
      </c>
      <c r="M1317" s="302" t="s">
        <v>602</v>
      </c>
      <c r="N1317" s="303"/>
      <c r="O1317" s="304" t="s">
        <v>3064</v>
      </c>
      <c r="P1317" s="263" t="s">
        <v>41</v>
      </c>
      <c r="Q1317" s="262"/>
      <c r="R1317" s="263" t="s">
        <v>41</v>
      </c>
      <c r="S1317" s="262"/>
      <c r="T1317" s="263"/>
      <c r="U1317" s="262"/>
      <c r="V1317" s="263" t="s">
        <v>41</v>
      </c>
      <c r="W1317" s="262"/>
      <c r="X1317" s="263" t="s">
        <v>41</v>
      </c>
      <c r="Y1317" s="262"/>
      <c r="Z1317" s="263" t="s">
        <v>40</v>
      </c>
      <c r="AA1317" s="262"/>
      <c r="AB1317" s="263" t="s">
        <v>40</v>
      </c>
      <c r="AC1317" s="262"/>
      <c r="AD1317" s="262"/>
      <c r="AE1317" s="262">
        <v>45565</v>
      </c>
      <c r="AF1317" s="263" t="s">
        <v>65</v>
      </c>
      <c r="AG1317" s="270">
        <v>2026</v>
      </c>
      <c r="AH1317" s="261">
        <f t="shared" si="45"/>
        <v>0</v>
      </c>
      <c r="AI1317" s="261"/>
      <c r="AJ1317" s="261"/>
      <c r="AK1317" s="259" t="s">
        <v>43</v>
      </c>
      <c r="AL1317" s="259" t="s">
        <v>41</v>
      </c>
      <c r="AM1317" s="266">
        <v>0</v>
      </c>
      <c r="AN1317" s="67"/>
      <c r="AO1317" s="256"/>
      <c r="AP1317" s="257"/>
    </row>
    <row r="1318" spans="1:42" s="258" customFormat="1" ht="37.950000000000003" customHeight="1" x14ac:dyDescent="0.3">
      <c r="A1318" s="259" t="s">
        <v>1641</v>
      </c>
      <c r="B1318" s="243" t="s">
        <v>1642</v>
      </c>
      <c r="C1318" s="244" t="s">
        <v>3065</v>
      </c>
      <c r="D1318" s="300" t="s">
        <v>34</v>
      </c>
      <c r="E1318" s="243" t="s">
        <v>1644</v>
      </c>
      <c r="F1318" s="259" t="s">
        <v>35</v>
      </c>
      <c r="G1318" s="259">
        <v>1</v>
      </c>
      <c r="H1318" s="301">
        <v>778720</v>
      </c>
      <c r="I1318" s="243" t="s">
        <v>36</v>
      </c>
      <c r="J1318" s="245">
        <f t="shared" si="44"/>
        <v>778720</v>
      </c>
      <c r="K1318" s="1695">
        <f>2032.73+16363.45+20327.269</f>
        <v>38723.449000000001</v>
      </c>
      <c r="L1318" s="1695">
        <f>K1318</f>
        <v>38723.449000000001</v>
      </c>
      <c r="M1318" s="292" t="s">
        <v>322</v>
      </c>
      <c r="N1318" s="261" t="s">
        <v>3066</v>
      </c>
      <c r="O1318" s="284" t="s">
        <v>3067</v>
      </c>
      <c r="P1318" s="263" t="s">
        <v>41</v>
      </c>
      <c r="Q1318" s="262"/>
      <c r="R1318" s="263" t="s">
        <v>41</v>
      </c>
      <c r="S1318" s="262"/>
      <c r="T1318" s="263"/>
      <c r="U1318" s="262"/>
      <c r="V1318" s="263" t="s">
        <v>41</v>
      </c>
      <c r="W1318" s="262"/>
      <c r="X1318" s="263" t="s">
        <v>41</v>
      </c>
      <c r="Y1318" s="262"/>
      <c r="Z1318" s="263" t="s">
        <v>40</v>
      </c>
      <c r="AA1318" s="262"/>
      <c r="AB1318" s="263" t="s">
        <v>40</v>
      </c>
      <c r="AC1318" s="262"/>
      <c r="AD1318" s="262"/>
      <c r="AE1318" s="262">
        <v>45565</v>
      </c>
      <c r="AF1318" s="263" t="s">
        <v>65</v>
      </c>
      <c r="AG1318" s="270">
        <v>2026</v>
      </c>
      <c r="AH1318" s="261">
        <f t="shared" si="45"/>
        <v>190500.00735550001</v>
      </c>
      <c r="AI1318" s="261"/>
      <c r="AJ1318" s="261"/>
      <c r="AK1318" s="259" t="s">
        <v>43</v>
      </c>
      <c r="AL1318" s="259" t="s">
        <v>41</v>
      </c>
      <c r="AM1318" s="266">
        <v>0</v>
      </c>
      <c r="AN1318" s="67"/>
      <c r="AO1318" s="256"/>
      <c r="AP1318" s="257"/>
    </row>
    <row r="1319" spans="1:42" s="258" customFormat="1" ht="37.950000000000003" customHeight="1" x14ac:dyDescent="0.3">
      <c r="A1319" s="259" t="s">
        <v>1641</v>
      </c>
      <c r="B1319" s="243" t="s">
        <v>1642</v>
      </c>
      <c r="C1319" s="244" t="s">
        <v>3068</v>
      </c>
      <c r="D1319" s="300" t="s">
        <v>34</v>
      </c>
      <c r="E1319" s="243" t="s">
        <v>1644</v>
      </c>
      <c r="F1319" s="259" t="s">
        <v>35</v>
      </c>
      <c r="G1319" s="259">
        <v>1</v>
      </c>
      <c r="H1319" s="301">
        <v>778720</v>
      </c>
      <c r="I1319" s="243" t="s">
        <v>36</v>
      </c>
      <c r="J1319" s="245">
        <f t="shared" si="44"/>
        <v>778720</v>
      </c>
      <c r="K1319" s="1695">
        <f>40654.53</f>
        <v>40654.53</v>
      </c>
      <c r="L1319" s="1695">
        <f>40654.53</f>
        <v>40654.53</v>
      </c>
      <c r="M1319" s="302" t="s">
        <v>66</v>
      </c>
      <c r="N1319" s="303" t="s">
        <v>3069</v>
      </c>
      <c r="O1319" s="304" t="s">
        <v>2742</v>
      </c>
      <c r="P1319" s="263" t="s">
        <v>41</v>
      </c>
      <c r="Q1319" s="262"/>
      <c r="R1319" s="263" t="s">
        <v>41</v>
      </c>
      <c r="S1319" s="262"/>
      <c r="T1319" s="263"/>
      <c r="U1319" s="262"/>
      <c r="V1319" s="263" t="s">
        <v>41</v>
      </c>
      <c r="W1319" s="262"/>
      <c r="X1319" s="263" t="s">
        <v>41</v>
      </c>
      <c r="Y1319" s="262"/>
      <c r="Z1319" s="263" t="s">
        <v>40</v>
      </c>
      <c r="AA1319" s="262"/>
      <c r="AB1319" s="263" t="s">
        <v>40</v>
      </c>
      <c r="AC1319" s="262"/>
      <c r="AD1319" s="262"/>
      <c r="AE1319" s="262">
        <v>45565</v>
      </c>
      <c r="AF1319" s="263" t="s">
        <v>65</v>
      </c>
      <c r="AG1319" s="270">
        <v>2026</v>
      </c>
      <c r="AH1319" s="261">
        <f t="shared" si="45"/>
        <v>199999.96033500001</v>
      </c>
      <c r="AI1319" s="261"/>
      <c r="AJ1319" s="261"/>
      <c r="AK1319" s="259" t="s">
        <v>43</v>
      </c>
      <c r="AL1319" s="259" t="s">
        <v>41</v>
      </c>
      <c r="AM1319" s="266">
        <v>0</v>
      </c>
      <c r="AN1319" s="67"/>
    </row>
    <row r="1320" spans="1:42" s="258" customFormat="1" ht="37.950000000000003" customHeight="1" x14ac:dyDescent="0.3">
      <c r="A1320" s="259" t="s">
        <v>1641</v>
      </c>
      <c r="B1320" s="243" t="s">
        <v>1642</v>
      </c>
      <c r="C1320" s="244" t="s">
        <v>3070</v>
      </c>
      <c r="D1320" s="300" t="s">
        <v>34</v>
      </c>
      <c r="E1320" s="243" t="s">
        <v>1644</v>
      </c>
      <c r="F1320" s="259" t="s">
        <v>35</v>
      </c>
      <c r="G1320" s="259">
        <v>1</v>
      </c>
      <c r="H1320" s="301">
        <v>778720</v>
      </c>
      <c r="I1320" s="243" t="s">
        <v>36</v>
      </c>
      <c r="J1320" s="245">
        <f t="shared" si="44"/>
        <v>778720</v>
      </c>
      <c r="K1320" s="1695">
        <v>0</v>
      </c>
      <c r="L1320" s="1695">
        <v>0</v>
      </c>
      <c r="M1320" s="292" t="s">
        <v>636</v>
      </c>
      <c r="N1320" s="261" t="s">
        <v>66</v>
      </c>
      <c r="O1320" s="284" t="s">
        <v>3071</v>
      </c>
      <c r="P1320" s="263" t="s">
        <v>41</v>
      </c>
      <c r="Q1320" s="262"/>
      <c r="R1320" s="263" t="s">
        <v>41</v>
      </c>
      <c r="S1320" s="262"/>
      <c r="T1320" s="263"/>
      <c r="U1320" s="262"/>
      <c r="V1320" s="263" t="s">
        <v>41</v>
      </c>
      <c r="W1320" s="262"/>
      <c r="X1320" s="263" t="s">
        <v>41</v>
      </c>
      <c r="Y1320" s="262"/>
      <c r="Z1320" s="263" t="s">
        <v>40</v>
      </c>
      <c r="AA1320" s="262"/>
      <c r="AB1320" s="263" t="s">
        <v>40</v>
      </c>
      <c r="AC1320" s="262"/>
      <c r="AD1320" s="262"/>
      <c r="AE1320" s="262">
        <v>45565</v>
      </c>
      <c r="AF1320" s="263" t="s">
        <v>65</v>
      </c>
      <c r="AG1320" s="270">
        <v>2026</v>
      </c>
      <c r="AH1320" s="261">
        <f t="shared" si="45"/>
        <v>0</v>
      </c>
      <c r="AI1320" s="261"/>
      <c r="AJ1320" s="261"/>
      <c r="AK1320" s="259" t="s">
        <v>43</v>
      </c>
      <c r="AL1320" s="259" t="s">
        <v>41</v>
      </c>
      <c r="AM1320" s="266">
        <v>0</v>
      </c>
      <c r="AN1320" s="67"/>
      <c r="AO1320" s="256"/>
      <c r="AP1320" s="257"/>
    </row>
    <row r="1321" spans="1:42" s="320" customFormat="1" ht="37.950000000000003" customHeight="1" x14ac:dyDescent="0.3">
      <c r="A1321" s="143" t="s">
        <v>1641</v>
      </c>
      <c r="B1321" s="243" t="s">
        <v>1642</v>
      </c>
      <c r="C1321" s="297" t="s">
        <v>3072</v>
      </c>
      <c r="D1321" s="306" t="s">
        <v>34</v>
      </c>
      <c r="E1321" s="307" t="s">
        <v>1644</v>
      </c>
      <c r="F1321" s="308" t="s">
        <v>35</v>
      </c>
      <c r="G1321" s="308">
        <v>1</v>
      </c>
      <c r="H1321" s="309">
        <v>778720</v>
      </c>
      <c r="I1321" s="307" t="s">
        <v>36</v>
      </c>
      <c r="J1321" s="245">
        <f t="shared" si="44"/>
        <v>778720</v>
      </c>
      <c r="K1321" s="1698">
        <f>6098.18+36080.9</f>
        <v>42179.08</v>
      </c>
      <c r="L1321" s="1698">
        <f>K1321</f>
        <v>42179.08</v>
      </c>
      <c r="M1321" s="310" t="s">
        <v>2724</v>
      </c>
      <c r="N1321" s="311" t="s">
        <v>3073</v>
      </c>
      <c r="O1321" s="312" t="s">
        <v>3074</v>
      </c>
      <c r="P1321" s="313" t="s">
        <v>41</v>
      </c>
      <c r="Q1321" s="313"/>
      <c r="R1321" s="313" t="s">
        <v>41</v>
      </c>
      <c r="S1321" s="313"/>
      <c r="T1321" s="313"/>
      <c r="U1321" s="313"/>
      <c r="V1321" s="313" t="s">
        <v>41</v>
      </c>
      <c r="W1321" s="313"/>
      <c r="X1321" s="313" t="s">
        <v>41</v>
      </c>
      <c r="Y1321" s="49"/>
      <c r="Z1321" s="49" t="s">
        <v>40</v>
      </c>
      <c r="AA1321" s="313"/>
      <c r="AB1321" s="49" t="s">
        <v>40</v>
      </c>
      <c r="AC1321" s="313"/>
      <c r="AD1321" s="49"/>
      <c r="AE1321" s="49"/>
      <c r="AF1321" s="49" t="s">
        <v>65</v>
      </c>
      <c r="AG1321" s="314">
        <v>2026</v>
      </c>
      <c r="AH1321" s="311">
        <f t="shared" si="45"/>
        <v>207499.98406000002</v>
      </c>
      <c r="AI1321" s="315" t="s">
        <v>43</v>
      </c>
      <c r="AJ1321" s="143" t="s">
        <v>41</v>
      </c>
      <c r="AK1321" s="316">
        <v>0</v>
      </c>
      <c r="AL1321" s="317"/>
      <c r="AM1321" s="258"/>
      <c r="AN1321" s="258"/>
      <c r="AO1321" s="318"/>
      <c r="AP1321" s="319"/>
    </row>
    <row r="1322" spans="1:42" s="320" customFormat="1" ht="37.950000000000003" customHeight="1" x14ac:dyDescent="0.3">
      <c r="A1322" s="259" t="s">
        <v>1641</v>
      </c>
      <c r="B1322" s="243" t="s">
        <v>1642</v>
      </c>
      <c r="C1322" s="244" t="s">
        <v>3075</v>
      </c>
      <c r="D1322" s="300" t="s">
        <v>34</v>
      </c>
      <c r="E1322" s="243" t="s">
        <v>1644</v>
      </c>
      <c r="F1322" s="259" t="s">
        <v>35</v>
      </c>
      <c r="G1322" s="259">
        <v>1</v>
      </c>
      <c r="H1322" s="301">
        <v>778720</v>
      </c>
      <c r="I1322" s="243" t="s">
        <v>36</v>
      </c>
      <c r="J1322" s="245">
        <f t="shared" si="44"/>
        <v>778720</v>
      </c>
      <c r="K1322" s="1435">
        <f>9965.6+16261.815+6098.18</f>
        <v>32325.595000000001</v>
      </c>
      <c r="L1322" s="1435">
        <f>9965.6+16261.815+6098.18</f>
        <v>32325.595000000001</v>
      </c>
      <c r="M1322" s="246" t="s">
        <v>2724</v>
      </c>
      <c r="N1322" s="261" t="s">
        <v>3076</v>
      </c>
      <c r="O1322" s="261" t="s">
        <v>3077</v>
      </c>
      <c r="P1322" s="263" t="s">
        <v>41</v>
      </c>
      <c r="Q1322" s="263"/>
      <c r="R1322" s="263" t="s">
        <v>41</v>
      </c>
      <c r="S1322" s="263"/>
      <c r="T1322" s="263"/>
      <c r="U1322" s="263"/>
      <c r="V1322" s="263" t="s">
        <v>41</v>
      </c>
      <c r="W1322" s="263"/>
      <c r="X1322" s="263" t="s">
        <v>41</v>
      </c>
      <c r="Y1322" s="263"/>
      <c r="Z1322" s="263" t="s">
        <v>40</v>
      </c>
      <c r="AA1322" s="263"/>
      <c r="AB1322" s="263" t="s">
        <v>40</v>
      </c>
      <c r="AC1322" s="263"/>
      <c r="AD1322" s="263"/>
      <c r="AE1322" s="263"/>
      <c r="AF1322" s="263" t="s">
        <v>65</v>
      </c>
      <c r="AG1322" s="263">
        <v>2026</v>
      </c>
      <c r="AH1322" s="261">
        <f t="shared" si="45"/>
        <v>159025.76460250001</v>
      </c>
      <c r="AI1322" s="261"/>
      <c r="AJ1322" s="261"/>
      <c r="AK1322" s="259" t="s">
        <v>43</v>
      </c>
      <c r="AL1322" s="259" t="s">
        <v>41</v>
      </c>
      <c r="AM1322" s="266">
        <v>0</v>
      </c>
      <c r="AN1322" s="67"/>
      <c r="AO1322" s="318"/>
      <c r="AP1322" s="319"/>
    </row>
    <row r="1323" spans="1:42" s="320" customFormat="1" ht="37.950000000000003" customHeight="1" x14ac:dyDescent="0.3">
      <c r="A1323" s="318" t="s">
        <v>1641</v>
      </c>
      <c r="B1323" s="243" t="s">
        <v>1642</v>
      </c>
      <c r="C1323" s="287" t="s">
        <v>3078</v>
      </c>
      <c r="D1323" s="321" t="s">
        <v>34</v>
      </c>
      <c r="E1323" s="321" t="s">
        <v>1644</v>
      </c>
      <c r="F1323" s="322" t="s">
        <v>35</v>
      </c>
      <c r="G1323" s="318">
        <v>1</v>
      </c>
      <c r="H1323" s="323">
        <v>756305.6347189754</v>
      </c>
      <c r="I1323" s="321" t="s">
        <v>36</v>
      </c>
      <c r="J1323" s="245">
        <f t="shared" si="44"/>
        <v>756305.6347189754</v>
      </c>
      <c r="K1323" s="1638">
        <v>0</v>
      </c>
      <c r="L1323" s="1638">
        <v>0</v>
      </c>
      <c r="M1323" s="111" t="s">
        <v>534</v>
      </c>
      <c r="N1323" s="324" t="s">
        <v>3079</v>
      </c>
      <c r="O1323" s="324" t="s">
        <v>3080</v>
      </c>
      <c r="P1323" s="318" t="s">
        <v>41</v>
      </c>
      <c r="Q1323" s="325"/>
      <c r="R1323" s="318" t="s">
        <v>41</v>
      </c>
      <c r="S1323" s="325"/>
      <c r="T1323" s="318"/>
      <c r="U1323" s="325"/>
      <c r="V1323" s="322" t="s">
        <v>41</v>
      </c>
      <c r="W1323" s="325"/>
      <c r="X1323" s="322" t="s">
        <v>41</v>
      </c>
      <c r="Y1323" s="325"/>
      <c r="Z1323" s="322" t="s">
        <v>40</v>
      </c>
      <c r="AA1323" s="326" t="s">
        <v>40</v>
      </c>
      <c r="AB1323" s="322" t="s">
        <v>40</v>
      </c>
      <c r="AC1323" s="326" t="s">
        <v>40</v>
      </c>
      <c r="AD1323" s="325"/>
      <c r="AE1323" s="325" t="s">
        <v>3081</v>
      </c>
      <c r="AF1323" s="322" t="s">
        <v>65</v>
      </c>
      <c r="AG1323" s="327">
        <v>2026</v>
      </c>
      <c r="AH1323" s="318">
        <f t="shared" si="45"/>
        <v>0</v>
      </c>
      <c r="AI1323" s="318"/>
      <c r="AJ1323" s="318"/>
      <c r="AK1323" s="322" t="s">
        <v>43</v>
      </c>
      <c r="AL1323" s="322" t="s">
        <v>41</v>
      </c>
      <c r="AM1323" s="328">
        <v>0</v>
      </c>
      <c r="AN1323" s="318"/>
      <c r="AO1323" s="318"/>
      <c r="AP1323" s="319"/>
    </row>
    <row r="1324" spans="1:42" s="320" customFormat="1" ht="37.950000000000003" customHeight="1" x14ac:dyDescent="0.3">
      <c r="A1324" s="318" t="s">
        <v>1641</v>
      </c>
      <c r="B1324" s="243" t="s">
        <v>1642</v>
      </c>
      <c r="C1324" s="287" t="s">
        <v>3082</v>
      </c>
      <c r="D1324" s="321" t="s">
        <v>34</v>
      </c>
      <c r="E1324" s="321" t="s">
        <v>1644</v>
      </c>
      <c r="F1324" s="322" t="s">
        <v>35</v>
      </c>
      <c r="G1324" s="318">
        <v>1</v>
      </c>
      <c r="H1324" s="323">
        <v>778720</v>
      </c>
      <c r="I1324" s="321" t="s">
        <v>36</v>
      </c>
      <c r="J1324" s="245">
        <f t="shared" si="44"/>
        <v>778720</v>
      </c>
      <c r="K1324" s="1397">
        <f>2418.95+20327.269+17804.65</f>
        <v>40550.869000000006</v>
      </c>
      <c r="L1324" s="1397">
        <f>2418.95+20327.269+17804.65</f>
        <v>40550.869000000006</v>
      </c>
      <c r="M1324" s="111" t="s">
        <v>200</v>
      </c>
      <c r="N1324" s="324" t="s">
        <v>3083</v>
      </c>
      <c r="O1324" s="324" t="s">
        <v>3084</v>
      </c>
      <c r="P1324" s="318" t="s">
        <v>41</v>
      </c>
      <c r="Q1324" s="325"/>
      <c r="R1324" s="318" t="s">
        <v>41</v>
      </c>
      <c r="S1324" s="325"/>
      <c r="T1324" s="318"/>
      <c r="U1324" s="325"/>
      <c r="V1324" s="322" t="s">
        <v>41</v>
      </c>
      <c r="W1324" s="325"/>
      <c r="X1324" s="322" t="s">
        <v>41</v>
      </c>
      <c r="Y1324" s="325"/>
      <c r="Z1324" s="322" t="s">
        <v>40</v>
      </c>
      <c r="AA1324" s="326" t="s">
        <v>40</v>
      </c>
      <c r="AB1324" s="322" t="s">
        <v>40</v>
      </c>
      <c r="AC1324" s="326" t="s">
        <v>40</v>
      </c>
      <c r="AD1324" s="325"/>
      <c r="AE1324" s="325" t="s">
        <v>3081</v>
      </c>
      <c r="AF1324" s="322" t="s">
        <v>65</v>
      </c>
      <c r="AG1324" s="327">
        <v>2026</v>
      </c>
      <c r="AH1324" s="318">
        <f t="shared" si="45"/>
        <v>199490.00004550003</v>
      </c>
      <c r="AI1324" s="318"/>
      <c r="AJ1324" s="318"/>
      <c r="AK1324" s="322" t="s">
        <v>43</v>
      </c>
      <c r="AL1324" s="322" t="s">
        <v>41</v>
      </c>
      <c r="AM1324" s="328">
        <v>0</v>
      </c>
      <c r="AN1324" s="318"/>
      <c r="AO1324" s="318"/>
      <c r="AP1324" s="319"/>
    </row>
    <row r="1325" spans="1:42" s="320" customFormat="1" ht="37.950000000000003" customHeight="1" x14ac:dyDescent="0.3">
      <c r="A1325" s="318" t="s">
        <v>1641</v>
      </c>
      <c r="B1325" s="243" t="s">
        <v>1642</v>
      </c>
      <c r="C1325" s="287" t="s">
        <v>3085</v>
      </c>
      <c r="D1325" s="321" t="s">
        <v>34</v>
      </c>
      <c r="E1325" s="321" t="s">
        <v>1644</v>
      </c>
      <c r="F1325" s="322" t="s">
        <v>35</v>
      </c>
      <c r="G1325" s="318">
        <v>1</v>
      </c>
      <c r="H1325" s="323">
        <v>778720.19514178263</v>
      </c>
      <c r="I1325" s="321" t="s">
        <v>36</v>
      </c>
      <c r="J1325" s="245">
        <f t="shared" si="44"/>
        <v>778720.19514178263</v>
      </c>
      <c r="K1325" s="1397">
        <f>30490.9</f>
        <v>30490.9</v>
      </c>
      <c r="L1325" s="1397">
        <f>30490.9</f>
        <v>30490.9</v>
      </c>
      <c r="M1325" s="111" t="s">
        <v>636</v>
      </c>
      <c r="N1325" s="324" t="s">
        <v>3086</v>
      </c>
      <c r="O1325" s="324" t="s">
        <v>3087</v>
      </c>
      <c r="P1325" s="318" t="s">
        <v>41</v>
      </c>
      <c r="Q1325" s="325"/>
      <c r="R1325" s="318" t="s">
        <v>41</v>
      </c>
      <c r="S1325" s="325"/>
      <c r="T1325" s="318"/>
      <c r="U1325" s="325"/>
      <c r="V1325" s="322" t="s">
        <v>41</v>
      </c>
      <c r="W1325" s="325"/>
      <c r="X1325" s="322" t="s">
        <v>41</v>
      </c>
      <c r="Y1325" s="325"/>
      <c r="Z1325" s="322" t="s">
        <v>40</v>
      </c>
      <c r="AA1325" s="326" t="s">
        <v>40</v>
      </c>
      <c r="AB1325" s="322" t="s">
        <v>40</v>
      </c>
      <c r="AC1325" s="326" t="s">
        <v>40</v>
      </c>
      <c r="AD1325" s="325"/>
      <c r="AE1325" s="325" t="s">
        <v>3081</v>
      </c>
      <c r="AF1325" s="322" t="s">
        <v>65</v>
      </c>
      <c r="AG1325" s="327">
        <v>2026</v>
      </c>
      <c r="AH1325" s="318">
        <f t="shared" si="45"/>
        <v>149999.98255000002</v>
      </c>
      <c r="AI1325" s="318"/>
      <c r="AJ1325" s="318"/>
      <c r="AK1325" s="322" t="s">
        <v>43</v>
      </c>
      <c r="AL1325" s="322" t="s">
        <v>41</v>
      </c>
      <c r="AM1325" s="328">
        <v>0</v>
      </c>
      <c r="AN1325" s="318"/>
      <c r="AO1325" s="318"/>
      <c r="AP1325" s="319"/>
    </row>
    <row r="1326" spans="1:42" s="320" customFormat="1" ht="37.950000000000003" customHeight="1" x14ac:dyDescent="0.3">
      <c r="A1326" s="318" t="s">
        <v>1641</v>
      </c>
      <c r="B1326" s="243" t="s">
        <v>1642</v>
      </c>
      <c r="C1326" s="287" t="s">
        <v>3088</v>
      </c>
      <c r="D1326" s="321" t="s">
        <v>34</v>
      </c>
      <c r="E1326" s="321" t="s">
        <v>1644</v>
      </c>
      <c r="F1326" s="322" t="s">
        <v>35</v>
      </c>
      <c r="G1326" s="318">
        <v>1</v>
      </c>
      <c r="H1326" s="323">
        <v>778720</v>
      </c>
      <c r="I1326" s="321" t="s">
        <v>36</v>
      </c>
      <c r="J1326" s="245">
        <f t="shared" si="44"/>
        <v>778720</v>
      </c>
      <c r="K1326" s="1638">
        <v>0</v>
      </c>
      <c r="L1326" s="1638">
        <v>0</v>
      </c>
      <c r="M1326" s="111" t="s">
        <v>322</v>
      </c>
      <c r="N1326" s="324" t="s">
        <v>3089</v>
      </c>
      <c r="O1326" s="324" t="s">
        <v>3090</v>
      </c>
      <c r="P1326" s="318" t="s">
        <v>41</v>
      </c>
      <c r="Q1326" s="325"/>
      <c r="R1326" s="318" t="s">
        <v>41</v>
      </c>
      <c r="S1326" s="325"/>
      <c r="T1326" s="318"/>
      <c r="U1326" s="325"/>
      <c r="V1326" s="322" t="s">
        <v>41</v>
      </c>
      <c r="W1326" s="325"/>
      <c r="X1326" s="322" t="s">
        <v>41</v>
      </c>
      <c r="Y1326" s="325"/>
      <c r="Z1326" s="322" t="s">
        <v>40</v>
      </c>
      <c r="AA1326" s="326" t="s">
        <v>40</v>
      </c>
      <c r="AB1326" s="322" t="s">
        <v>40</v>
      </c>
      <c r="AC1326" s="326" t="s">
        <v>40</v>
      </c>
      <c r="AD1326" s="325"/>
      <c r="AE1326" s="325" t="s">
        <v>3081</v>
      </c>
      <c r="AF1326" s="322" t="s">
        <v>65</v>
      </c>
      <c r="AG1326" s="327">
        <v>2026</v>
      </c>
      <c r="AH1326" s="318">
        <f t="shared" si="45"/>
        <v>0</v>
      </c>
      <c r="AI1326" s="318"/>
      <c r="AJ1326" s="318"/>
      <c r="AK1326" s="322" t="s">
        <v>43</v>
      </c>
      <c r="AL1326" s="322" t="s">
        <v>41</v>
      </c>
      <c r="AM1326" s="328">
        <v>0</v>
      </c>
      <c r="AN1326" s="318"/>
      <c r="AO1326" s="318"/>
      <c r="AP1326" s="319"/>
    </row>
    <row r="1327" spans="1:42" s="320" customFormat="1" ht="50.4" customHeight="1" x14ac:dyDescent="0.3">
      <c r="A1327" s="318" t="s">
        <v>1641</v>
      </c>
      <c r="B1327" s="243" t="s">
        <v>1642</v>
      </c>
      <c r="C1327" s="287" t="s">
        <v>3091</v>
      </c>
      <c r="D1327" s="321" t="s">
        <v>34</v>
      </c>
      <c r="E1327" s="321" t="s">
        <v>1644</v>
      </c>
      <c r="F1327" s="322" t="s">
        <v>35</v>
      </c>
      <c r="G1327" s="318">
        <v>4</v>
      </c>
      <c r="H1327" s="323">
        <v>3114880.7805671305</v>
      </c>
      <c r="I1327" s="321" t="s">
        <v>36</v>
      </c>
      <c r="J1327" s="245">
        <f t="shared" si="44"/>
        <v>3114880.7805671305</v>
      </c>
      <c r="K1327" s="1638">
        <f>92733</f>
        <v>92733</v>
      </c>
      <c r="L1327" s="1638">
        <f>92733</f>
        <v>92733</v>
      </c>
      <c r="M1327" s="111" t="s">
        <v>71</v>
      </c>
      <c r="N1327" s="324" t="s">
        <v>3092</v>
      </c>
      <c r="O1327" s="324" t="s">
        <v>3092</v>
      </c>
      <c r="P1327" s="318" t="s">
        <v>41</v>
      </c>
      <c r="Q1327" s="325"/>
      <c r="R1327" s="318" t="s">
        <v>41</v>
      </c>
      <c r="S1327" s="325"/>
      <c r="T1327" s="318"/>
      <c r="U1327" s="325"/>
      <c r="V1327" s="322" t="s">
        <v>41</v>
      </c>
      <c r="W1327" s="325"/>
      <c r="X1327" s="322" t="s">
        <v>41</v>
      </c>
      <c r="Y1327" s="325"/>
      <c r="Z1327" s="322" t="s">
        <v>40</v>
      </c>
      <c r="AA1327" s="326" t="s">
        <v>40</v>
      </c>
      <c r="AB1327" s="322" t="s">
        <v>40</v>
      </c>
      <c r="AC1327" s="326" t="s">
        <v>40</v>
      </c>
      <c r="AD1327" s="325"/>
      <c r="AE1327" s="325" t="s">
        <v>3081</v>
      </c>
      <c r="AF1327" s="322" t="s">
        <v>65</v>
      </c>
      <c r="AG1327" s="327">
        <v>2026</v>
      </c>
      <c r="AH1327" s="318">
        <f t="shared" si="45"/>
        <v>456199.99350000004</v>
      </c>
      <c r="AI1327" s="318"/>
      <c r="AJ1327" s="318"/>
      <c r="AK1327" s="322" t="s">
        <v>43</v>
      </c>
      <c r="AL1327" s="322" t="s">
        <v>41</v>
      </c>
      <c r="AM1327" s="328">
        <v>0</v>
      </c>
      <c r="AN1327" s="318"/>
      <c r="AO1327" s="318"/>
      <c r="AP1327" s="319"/>
    </row>
    <row r="1328" spans="1:42" s="320" customFormat="1" ht="37.950000000000003" customHeight="1" x14ac:dyDescent="0.3">
      <c r="A1328" s="318" t="s">
        <v>1641</v>
      </c>
      <c r="B1328" s="243" t="s">
        <v>1642</v>
      </c>
      <c r="C1328" s="287" t="s">
        <v>3093</v>
      </c>
      <c r="D1328" s="321" t="s">
        <v>34</v>
      </c>
      <c r="E1328" s="321" t="s">
        <v>1644</v>
      </c>
      <c r="F1328" s="322" t="s">
        <v>35</v>
      </c>
      <c r="G1328" s="318">
        <v>1</v>
      </c>
      <c r="H1328" s="323">
        <v>778720.19514178263</v>
      </c>
      <c r="I1328" s="321" t="s">
        <v>36</v>
      </c>
      <c r="J1328" s="245">
        <f t="shared" si="44"/>
        <v>778720.19514178263</v>
      </c>
      <c r="K1328" s="1638">
        <v>0</v>
      </c>
      <c r="L1328" s="1638">
        <v>0</v>
      </c>
      <c r="M1328" s="111" t="s">
        <v>534</v>
      </c>
      <c r="N1328" s="324" t="s">
        <v>3094</v>
      </c>
      <c r="O1328" s="324" t="s">
        <v>3095</v>
      </c>
      <c r="P1328" s="318" t="s">
        <v>41</v>
      </c>
      <c r="Q1328" s="325"/>
      <c r="R1328" s="318" t="s">
        <v>41</v>
      </c>
      <c r="S1328" s="325"/>
      <c r="T1328" s="318"/>
      <c r="U1328" s="325"/>
      <c r="V1328" s="322" t="s">
        <v>41</v>
      </c>
      <c r="W1328" s="325"/>
      <c r="X1328" s="322" t="s">
        <v>41</v>
      </c>
      <c r="Y1328" s="325"/>
      <c r="Z1328" s="322" t="s">
        <v>40</v>
      </c>
      <c r="AA1328" s="326" t="s">
        <v>40</v>
      </c>
      <c r="AB1328" s="322" t="s">
        <v>40</v>
      </c>
      <c r="AC1328" s="326" t="s">
        <v>40</v>
      </c>
      <c r="AD1328" s="325"/>
      <c r="AE1328" s="325" t="s">
        <v>3081</v>
      </c>
      <c r="AF1328" s="322" t="s">
        <v>65</v>
      </c>
      <c r="AG1328" s="327">
        <v>2026</v>
      </c>
      <c r="AH1328" s="318">
        <f t="shared" si="45"/>
        <v>0</v>
      </c>
      <c r="AI1328" s="318"/>
      <c r="AJ1328" s="318"/>
      <c r="AK1328" s="322" t="s">
        <v>43</v>
      </c>
      <c r="AL1328" s="322" t="s">
        <v>41</v>
      </c>
      <c r="AM1328" s="328">
        <v>0</v>
      </c>
      <c r="AN1328" s="318"/>
      <c r="AO1328" s="318"/>
      <c r="AP1328" s="319"/>
    </row>
    <row r="1329" spans="1:42" s="320" customFormat="1" ht="37.950000000000003" customHeight="1" x14ac:dyDescent="0.3">
      <c r="A1329" s="318" t="s">
        <v>1641</v>
      </c>
      <c r="B1329" s="243" t="s">
        <v>1642</v>
      </c>
      <c r="C1329" s="287" t="s">
        <v>3096</v>
      </c>
      <c r="D1329" s="321" t="s">
        <v>34</v>
      </c>
      <c r="E1329" s="321" t="s">
        <v>1644</v>
      </c>
      <c r="F1329" s="322" t="s">
        <v>35</v>
      </c>
      <c r="G1329" s="318">
        <v>1</v>
      </c>
      <c r="H1329" s="323">
        <v>778717.34932411823</v>
      </c>
      <c r="I1329" s="321" t="s">
        <v>36</v>
      </c>
      <c r="J1329" s="245">
        <f t="shared" si="44"/>
        <v>778717.34932411823</v>
      </c>
      <c r="K1329" s="1638">
        <f>9553.82+31092.18</f>
        <v>40646</v>
      </c>
      <c r="L1329" s="1638">
        <f>9553.82+31092.18</f>
        <v>40646</v>
      </c>
      <c r="M1329" s="111" t="s">
        <v>60</v>
      </c>
      <c r="N1329" s="324" t="s">
        <v>3097</v>
      </c>
      <c r="O1329" s="324" t="s">
        <v>3098</v>
      </c>
      <c r="P1329" s="318" t="s">
        <v>41</v>
      </c>
      <c r="Q1329" s="325"/>
      <c r="R1329" s="318" t="s">
        <v>41</v>
      </c>
      <c r="S1329" s="325"/>
      <c r="T1329" s="318"/>
      <c r="U1329" s="325"/>
      <c r="V1329" s="322" t="s">
        <v>41</v>
      </c>
      <c r="W1329" s="325"/>
      <c r="X1329" s="322" t="s">
        <v>41</v>
      </c>
      <c r="Y1329" s="325"/>
      <c r="Z1329" s="322" t="s">
        <v>40</v>
      </c>
      <c r="AA1329" s="326" t="s">
        <v>40</v>
      </c>
      <c r="AB1329" s="322" t="s">
        <v>40</v>
      </c>
      <c r="AC1329" s="326" t="s">
        <v>40</v>
      </c>
      <c r="AD1329" s="325"/>
      <c r="AE1329" s="325" t="s">
        <v>3081</v>
      </c>
      <c r="AF1329" s="322" t="s">
        <v>65</v>
      </c>
      <c r="AG1329" s="327">
        <v>2026</v>
      </c>
      <c r="AH1329" s="318">
        <f t="shared" si="45"/>
        <v>199957.997</v>
      </c>
      <c r="AI1329" s="318"/>
      <c r="AJ1329" s="318"/>
      <c r="AK1329" s="322" t="s">
        <v>43</v>
      </c>
      <c r="AL1329" s="322" t="s">
        <v>41</v>
      </c>
      <c r="AM1329" s="328">
        <v>0</v>
      </c>
      <c r="AN1329" s="318"/>
      <c r="AO1329" s="318"/>
      <c r="AP1329" s="319"/>
    </row>
    <row r="1330" spans="1:42" s="320" customFormat="1" ht="37.950000000000003" customHeight="1" x14ac:dyDescent="0.3">
      <c r="A1330" s="318" t="s">
        <v>1641</v>
      </c>
      <c r="B1330" s="243" t="s">
        <v>1642</v>
      </c>
      <c r="C1330" s="287" t="s">
        <v>3099</v>
      </c>
      <c r="D1330" s="321" t="s">
        <v>34</v>
      </c>
      <c r="E1330" s="321" t="s">
        <v>1644</v>
      </c>
      <c r="F1330" s="322" t="s">
        <v>35</v>
      </c>
      <c r="G1330" s="318">
        <v>1</v>
      </c>
      <c r="H1330" s="323">
        <v>778720.19514178263</v>
      </c>
      <c r="I1330" s="321" t="s">
        <v>36</v>
      </c>
      <c r="J1330" s="245">
        <f t="shared" si="44"/>
        <v>778720.19514178263</v>
      </c>
      <c r="K1330" s="1638">
        <v>0</v>
      </c>
      <c r="L1330" s="1638">
        <v>0</v>
      </c>
      <c r="M1330" s="111" t="s">
        <v>151</v>
      </c>
      <c r="N1330" s="324" t="s">
        <v>3100</v>
      </c>
      <c r="O1330" s="324" t="s">
        <v>2932</v>
      </c>
      <c r="P1330" s="318" t="s">
        <v>41</v>
      </c>
      <c r="Q1330" s="325"/>
      <c r="R1330" s="318" t="s">
        <v>41</v>
      </c>
      <c r="S1330" s="325"/>
      <c r="T1330" s="318"/>
      <c r="U1330" s="325"/>
      <c r="V1330" s="322" t="s">
        <v>41</v>
      </c>
      <c r="W1330" s="325"/>
      <c r="X1330" s="322" t="s">
        <v>41</v>
      </c>
      <c r="Y1330" s="325"/>
      <c r="Z1330" s="322" t="s">
        <v>40</v>
      </c>
      <c r="AA1330" s="326" t="s">
        <v>40</v>
      </c>
      <c r="AB1330" s="322" t="s">
        <v>40</v>
      </c>
      <c r="AC1330" s="326" t="s">
        <v>40</v>
      </c>
      <c r="AD1330" s="325"/>
      <c r="AE1330" s="325" t="s">
        <v>3081</v>
      </c>
      <c r="AF1330" s="322" t="s">
        <v>65</v>
      </c>
      <c r="AG1330" s="327">
        <v>2026</v>
      </c>
      <c r="AH1330" s="318">
        <f t="shared" si="45"/>
        <v>0</v>
      </c>
      <c r="AI1330" s="318"/>
      <c r="AJ1330" s="318"/>
      <c r="AK1330" s="322" t="s">
        <v>43</v>
      </c>
      <c r="AL1330" s="322" t="s">
        <v>41</v>
      </c>
      <c r="AM1330" s="328">
        <v>0</v>
      </c>
      <c r="AN1330" s="318"/>
      <c r="AO1330" s="318"/>
      <c r="AP1330" s="319"/>
    </row>
    <row r="1331" spans="1:42" s="320" customFormat="1" ht="37.950000000000003" customHeight="1" x14ac:dyDescent="0.3">
      <c r="A1331" s="318" t="s">
        <v>1641</v>
      </c>
      <c r="B1331" s="243" t="s">
        <v>1642</v>
      </c>
      <c r="C1331" s="287" t="s">
        <v>3101</v>
      </c>
      <c r="D1331" s="321" t="s">
        <v>34</v>
      </c>
      <c r="E1331" s="321" t="s">
        <v>1644</v>
      </c>
      <c r="F1331" s="322" t="s">
        <v>35</v>
      </c>
      <c r="G1331" s="318">
        <v>1</v>
      </c>
      <c r="H1331" s="323">
        <v>756305.6347189754</v>
      </c>
      <c r="I1331" s="321" t="s">
        <v>36</v>
      </c>
      <c r="J1331" s="245">
        <f t="shared" si="44"/>
        <v>756305.6347189754</v>
      </c>
      <c r="K1331" s="1638">
        <v>0</v>
      </c>
      <c r="L1331" s="1638">
        <v>0</v>
      </c>
      <c r="M1331" s="111" t="s">
        <v>60</v>
      </c>
      <c r="N1331" s="324" t="s">
        <v>3102</v>
      </c>
      <c r="O1331" s="324" t="s">
        <v>3103</v>
      </c>
      <c r="P1331" s="318" t="s">
        <v>41</v>
      </c>
      <c r="Q1331" s="325"/>
      <c r="R1331" s="318" t="s">
        <v>41</v>
      </c>
      <c r="S1331" s="325"/>
      <c r="T1331" s="318"/>
      <c r="U1331" s="325"/>
      <c r="V1331" s="322" t="s">
        <v>41</v>
      </c>
      <c r="W1331" s="325"/>
      <c r="X1331" s="322" t="s">
        <v>41</v>
      </c>
      <c r="Y1331" s="325"/>
      <c r="Z1331" s="322" t="s">
        <v>40</v>
      </c>
      <c r="AA1331" s="326" t="s">
        <v>40</v>
      </c>
      <c r="AB1331" s="322" t="s">
        <v>40</v>
      </c>
      <c r="AC1331" s="326" t="s">
        <v>40</v>
      </c>
      <c r="AD1331" s="325"/>
      <c r="AE1331" s="325" t="s">
        <v>3081</v>
      </c>
      <c r="AF1331" s="322" t="s">
        <v>65</v>
      </c>
      <c r="AG1331" s="327">
        <v>2026</v>
      </c>
      <c r="AH1331" s="318">
        <f t="shared" si="45"/>
        <v>0</v>
      </c>
      <c r="AI1331" s="318"/>
      <c r="AJ1331" s="318"/>
      <c r="AK1331" s="322" t="s">
        <v>43</v>
      </c>
      <c r="AL1331" s="322" t="s">
        <v>41</v>
      </c>
      <c r="AM1331" s="328">
        <v>0</v>
      </c>
      <c r="AN1331" s="318"/>
      <c r="AO1331" s="318"/>
      <c r="AP1331" s="319"/>
    </row>
    <row r="1332" spans="1:42" s="320" customFormat="1" ht="37.950000000000003" customHeight="1" x14ac:dyDescent="0.3">
      <c r="A1332" s="318" t="s">
        <v>1641</v>
      </c>
      <c r="B1332" s="243" t="s">
        <v>1642</v>
      </c>
      <c r="C1332" s="287" t="s">
        <v>3104</v>
      </c>
      <c r="D1332" s="321" t="s">
        <v>34</v>
      </c>
      <c r="E1332" s="321" t="s">
        <v>1644</v>
      </c>
      <c r="F1332" s="322" t="s">
        <v>35</v>
      </c>
      <c r="G1332" s="318">
        <v>1</v>
      </c>
      <c r="H1332" s="323">
        <v>778720</v>
      </c>
      <c r="I1332" s="321" t="s">
        <v>36</v>
      </c>
      <c r="J1332" s="245">
        <f t="shared" si="44"/>
        <v>778720</v>
      </c>
      <c r="K1332" s="1397">
        <f>8130.9+35611.606</f>
        <v>43742.506000000001</v>
      </c>
      <c r="L1332" s="1397">
        <f>8130.9+35611.606</f>
        <v>43742.506000000001</v>
      </c>
      <c r="M1332" s="111" t="s">
        <v>322</v>
      </c>
      <c r="N1332" s="324" t="s">
        <v>669</v>
      </c>
      <c r="O1332" s="324" t="s">
        <v>3105</v>
      </c>
      <c r="P1332" s="318" t="s">
        <v>41</v>
      </c>
      <c r="Q1332" s="325"/>
      <c r="R1332" s="318" t="s">
        <v>41</v>
      </c>
      <c r="S1332" s="325"/>
      <c r="T1332" s="318"/>
      <c r="U1332" s="325"/>
      <c r="V1332" s="322" t="s">
        <v>41</v>
      </c>
      <c r="W1332" s="325"/>
      <c r="X1332" s="322" t="s">
        <v>41</v>
      </c>
      <c r="Y1332" s="325"/>
      <c r="Z1332" s="322" t="s">
        <v>40</v>
      </c>
      <c r="AA1332" s="326" t="s">
        <v>40</v>
      </c>
      <c r="AB1332" s="322" t="s">
        <v>40</v>
      </c>
      <c r="AC1332" s="326" t="s">
        <v>40</v>
      </c>
      <c r="AD1332" s="325"/>
      <c r="AE1332" s="325" t="s">
        <v>3081</v>
      </c>
      <c r="AF1332" s="322" t="s">
        <v>65</v>
      </c>
      <c r="AG1332" s="327">
        <v>2026</v>
      </c>
      <c r="AH1332" s="318">
        <f t="shared" si="45"/>
        <v>215191.25826700003</v>
      </c>
      <c r="AI1332" s="318"/>
      <c r="AJ1332" s="318"/>
      <c r="AK1332" s="322" t="s">
        <v>43</v>
      </c>
      <c r="AL1332" s="322" t="s">
        <v>41</v>
      </c>
      <c r="AM1332" s="328">
        <v>0</v>
      </c>
      <c r="AN1332" s="318"/>
      <c r="AO1332" s="318"/>
      <c r="AP1332" s="319"/>
    </row>
    <row r="1333" spans="1:42" s="320" customFormat="1" ht="37.950000000000003" customHeight="1" x14ac:dyDescent="0.3">
      <c r="A1333" s="318" t="s">
        <v>1641</v>
      </c>
      <c r="B1333" s="243" t="s">
        <v>1642</v>
      </c>
      <c r="C1333" s="287" t="s">
        <v>3106</v>
      </c>
      <c r="D1333" s="321" t="s">
        <v>34</v>
      </c>
      <c r="E1333" s="321" t="s">
        <v>1644</v>
      </c>
      <c r="F1333" s="322" t="s">
        <v>35</v>
      </c>
      <c r="G1333" s="318">
        <v>1</v>
      </c>
      <c r="H1333" s="323">
        <v>778720</v>
      </c>
      <c r="I1333" s="321" t="s">
        <v>36</v>
      </c>
      <c r="J1333" s="245">
        <f t="shared" si="44"/>
        <v>778720</v>
      </c>
      <c r="K1333" s="1638">
        <f>2418.95</f>
        <v>2418.9499999999998</v>
      </c>
      <c r="L1333" s="1638">
        <f t="shared" ref="L1333:N1333" si="46">2418.95</f>
        <v>2418.9499999999998</v>
      </c>
      <c r="M1333" s="230">
        <f t="shared" si="46"/>
        <v>2418.9499999999998</v>
      </c>
      <c r="N1333" s="230">
        <f t="shared" si="46"/>
        <v>2418.9499999999998</v>
      </c>
      <c r="O1333" s="324" t="s">
        <v>3107</v>
      </c>
      <c r="P1333" s="318" t="s">
        <v>41</v>
      </c>
      <c r="Q1333" s="325"/>
      <c r="R1333" s="318" t="s">
        <v>41</v>
      </c>
      <c r="S1333" s="325"/>
      <c r="T1333" s="318"/>
      <c r="U1333" s="325"/>
      <c r="V1333" s="322" t="s">
        <v>41</v>
      </c>
      <c r="W1333" s="325"/>
      <c r="X1333" s="322" t="s">
        <v>41</v>
      </c>
      <c r="Y1333" s="325"/>
      <c r="Z1333" s="322" t="s">
        <v>40</v>
      </c>
      <c r="AA1333" s="326" t="s">
        <v>40</v>
      </c>
      <c r="AB1333" s="322" t="s">
        <v>40</v>
      </c>
      <c r="AC1333" s="326" t="s">
        <v>40</v>
      </c>
      <c r="AD1333" s="325"/>
      <c r="AE1333" s="325" t="s">
        <v>3081</v>
      </c>
      <c r="AF1333" s="322" t="s">
        <v>65</v>
      </c>
      <c r="AG1333" s="327">
        <v>2026</v>
      </c>
      <c r="AH1333" s="318">
        <f t="shared" si="45"/>
        <v>11900.024524999999</v>
      </c>
      <c r="AI1333" s="318"/>
      <c r="AJ1333" s="318"/>
      <c r="AK1333" s="322" t="s">
        <v>43</v>
      </c>
      <c r="AL1333" s="322" t="s">
        <v>41</v>
      </c>
      <c r="AM1333" s="328">
        <v>0</v>
      </c>
      <c r="AN1333" s="318"/>
      <c r="AO1333" s="318"/>
      <c r="AP1333" s="319"/>
    </row>
    <row r="1334" spans="1:42" s="320" customFormat="1" ht="37.950000000000003" customHeight="1" x14ac:dyDescent="0.3">
      <c r="A1334" s="318" t="s">
        <v>1641</v>
      </c>
      <c r="B1334" s="243" t="s">
        <v>1642</v>
      </c>
      <c r="C1334" s="287" t="s">
        <v>3108</v>
      </c>
      <c r="D1334" s="321" t="s">
        <v>34</v>
      </c>
      <c r="E1334" s="321" t="s">
        <v>1644</v>
      </c>
      <c r="F1334" s="322" t="s">
        <v>35</v>
      </c>
      <c r="G1334" s="318">
        <v>1</v>
      </c>
      <c r="H1334" s="323">
        <v>778720</v>
      </c>
      <c r="I1334" s="321" t="s">
        <v>36</v>
      </c>
      <c r="J1334" s="245">
        <f t="shared" si="44"/>
        <v>778720</v>
      </c>
      <c r="K1334" s="1638">
        <f>2032.73+2051.02</f>
        <v>4083.75</v>
      </c>
      <c r="L1334" s="1638">
        <f>K1334</f>
        <v>4083.75</v>
      </c>
      <c r="M1334" s="111" t="s">
        <v>351</v>
      </c>
      <c r="N1334" s="324" t="s">
        <v>3109</v>
      </c>
      <c r="O1334" s="324" t="s">
        <v>52</v>
      </c>
      <c r="P1334" s="318" t="s">
        <v>41</v>
      </c>
      <c r="Q1334" s="325"/>
      <c r="R1334" s="318" t="s">
        <v>41</v>
      </c>
      <c r="S1334" s="325"/>
      <c r="T1334" s="318"/>
      <c r="U1334" s="325"/>
      <c r="V1334" s="322" t="s">
        <v>41</v>
      </c>
      <c r="W1334" s="325"/>
      <c r="X1334" s="322" t="s">
        <v>41</v>
      </c>
      <c r="Y1334" s="325"/>
      <c r="Z1334" s="322" t="s">
        <v>40</v>
      </c>
      <c r="AA1334" s="326" t="s">
        <v>40</v>
      </c>
      <c r="AB1334" s="322" t="s">
        <v>40</v>
      </c>
      <c r="AC1334" s="326" t="s">
        <v>40</v>
      </c>
      <c r="AD1334" s="325"/>
      <c r="AE1334" s="325" t="s">
        <v>3081</v>
      </c>
      <c r="AF1334" s="322" t="s">
        <v>65</v>
      </c>
      <c r="AG1334" s="327">
        <v>2026</v>
      </c>
      <c r="AH1334" s="318">
        <f t="shared" si="45"/>
        <v>20090.008125</v>
      </c>
      <c r="AI1334" s="318"/>
      <c r="AJ1334" s="318"/>
      <c r="AK1334" s="322" t="s">
        <v>43</v>
      </c>
      <c r="AL1334" s="322" t="s">
        <v>41</v>
      </c>
      <c r="AM1334" s="328">
        <v>0</v>
      </c>
      <c r="AN1334" s="318"/>
      <c r="AO1334" s="318"/>
      <c r="AP1334" s="319"/>
    </row>
    <row r="1335" spans="1:42" s="320" customFormat="1" ht="37.950000000000003" customHeight="1" x14ac:dyDescent="0.3">
      <c r="A1335" s="318" t="s">
        <v>1641</v>
      </c>
      <c r="B1335" s="243" t="s">
        <v>1642</v>
      </c>
      <c r="C1335" s="287" t="s">
        <v>3110</v>
      </c>
      <c r="D1335" s="321" t="s">
        <v>34</v>
      </c>
      <c r="E1335" s="321" t="s">
        <v>1644</v>
      </c>
      <c r="F1335" s="322" t="s">
        <v>35</v>
      </c>
      <c r="G1335" s="318">
        <v>1</v>
      </c>
      <c r="H1335" s="323">
        <v>778720</v>
      </c>
      <c r="I1335" s="321" t="s">
        <v>36</v>
      </c>
      <c r="J1335" s="245">
        <f t="shared" si="44"/>
        <v>778720</v>
      </c>
      <c r="K1335" s="1638">
        <v>0</v>
      </c>
      <c r="L1335" s="1638">
        <v>0</v>
      </c>
      <c r="M1335" s="111" t="s">
        <v>3111</v>
      </c>
      <c r="N1335" s="324" t="s">
        <v>717</v>
      </c>
      <c r="O1335" s="324" t="s">
        <v>3112</v>
      </c>
      <c r="P1335" s="318" t="s">
        <v>41</v>
      </c>
      <c r="Q1335" s="325"/>
      <c r="R1335" s="318" t="s">
        <v>41</v>
      </c>
      <c r="S1335" s="325"/>
      <c r="T1335" s="318"/>
      <c r="U1335" s="325"/>
      <c r="V1335" s="322" t="s">
        <v>41</v>
      </c>
      <c r="W1335" s="325"/>
      <c r="X1335" s="322" t="s">
        <v>41</v>
      </c>
      <c r="Y1335" s="325"/>
      <c r="Z1335" s="322" t="s">
        <v>40</v>
      </c>
      <c r="AA1335" s="326" t="s">
        <v>40</v>
      </c>
      <c r="AB1335" s="322" t="s">
        <v>40</v>
      </c>
      <c r="AC1335" s="326" t="s">
        <v>40</v>
      </c>
      <c r="AD1335" s="325"/>
      <c r="AE1335" s="325" t="s">
        <v>3081</v>
      </c>
      <c r="AF1335" s="322" t="s">
        <v>65</v>
      </c>
      <c r="AG1335" s="327">
        <v>2026</v>
      </c>
      <c r="AH1335" s="318">
        <f t="shared" si="45"/>
        <v>0</v>
      </c>
      <c r="AI1335" s="318"/>
      <c r="AJ1335" s="318"/>
      <c r="AK1335" s="322" t="s">
        <v>43</v>
      </c>
      <c r="AL1335" s="322" t="s">
        <v>41</v>
      </c>
      <c r="AM1335" s="328">
        <v>0</v>
      </c>
      <c r="AN1335" s="318"/>
      <c r="AO1335" s="318"/>
      <c r="AP1335" s="319"/>
    </row>
    <row r="1336" spans="1:42" s="320" customFormat="1" ht="37.950000000000003" customHeight="1" x14ac:dyDescent="0.3">
      <c r="A1336" s="318" t="s">
        <v>1641</v>
      </c>
      <c r="B1336" s="243" t="s">
        <v>1642</v>
      </c>
      <c r="C1336" s="287" t="s">
        <v>3113</v>
      </c>
      <c r="D1336" s="321" t="s">
        <v>34</v>
      </c>
      <c r="E1336" s="321" t="s">
        <v>1644</v>
      </c>
      <c r="F1336" s="322" t="s">
        <v>35</v>
      </c>
      <c r="G1336" s="318">
        <v>1</v>
      </c>
      <c r="H1336" s="323">
        <v>778720.19514178263</v>
      </c>
      <c r="I1336" s="321" t="s">
        <v>36</v>
      </c>
      <c r="J1336" s="245">
        <f t="shared" si="44"/>
        <v>778720.19514178263</v>
      </c>
      <c r="K1336" s="1638">
        <v>0</v>
      </c>
      <c r="L1336" s="1638">
        <v>0</v>
      </c>
      <c r="M1336" s="111" t="s">
        <v>3114</v>
      </c>
      <c r="N1336" s="324" t="s">
        <v>3115</v>
      </c>
      <c r="O1336" s="324" t="s">
        <v>3116</v>
      </c>
      <c r="P1336" s="318" t="s">
        <v>41</v>
      </c>
      <c r="Q1336" s="325"/>
      <c r="R1336" s="318" t="s">
        <v>41</v>
      </c>
      <c r="S1336" s="325"/>
      <c r="T1336" s="318"/>
      <c r="U1336" s="325"/>
      <c r="V1336" s="322" t="s">
        <v>41</v>
      </c>
      <c r="W1336" s="325"/>
      <c r="X1336" s="322" t="s">
        <v>41</v>
      </c>
      <c r="Y1336" s="325"/>
      <c r="Z1336" s="322" t="s">
        <v>40</v>
      </c>
      <c r="AA1336" s="326" t="s">
        <v>40</v>
      </c>
      <c r="AB1336" s="322" t="s">
        <v>40</v>
      </c>
      <c r="AC1336" s="326" t="s">
        <v>40</v>
      </c>
      <c r="AD1336" s="325"/>
      <c r="AE1336" s="325" t="s">
        <v>3081</v>
      </c>
      <c r="AF1336" s="322" t="s">
        <v>65</v>
      </c>
      <c r="AG1336" s="327">
        <v>2026</v>
      </c>
      <c r="AH1336" s="318">
        <f t="shared" si="45"/>
        <v>0</v>
      </c>
      <c r="AI1336" s="318"/>
      <c r="AJ1336" s="318"/>
      <c r="AK1336" s="322" t="s">
        <v>43</v>
      </c>
      <c r="AL1336" s="322" t="s">
        <v>41</v>
      </c>
      <c r="AM1336" s="328">
        <v>0</v>
      </c>
      <c r="AN1336" s="318"/>
      <c r="AO1336" s="318"/>
      <c r="AP1336" s="319"/>
    </row>
    <row r="1337" spans="1:42" s="320" customFormat="1" ht="37.950000000000003" customHeight="1" x14ac:dyDescent="0.3">
      <c r="A1337" s="318" t="s">
        <v>1641</v>
      </c>
      <c r="B1337" s="243" t="s">
        <v>1642</v>
      </c>
      <c r="C1337" s="287" t="s">
        <v>3117</v>
      </c>
      <c r="D1337" s="321" t="s">
        <v>34</v>
      </c>
      <c r="E1337" s="321" t="s">
        <v>1644</v>
      </c>
      <c r="F1337" s="322" t="s">
        <v>35</v>
      </c>
      <c r="G1337" s="318"/>
      <c r="H1337" s="323">
        <v>778720.19514178263</v>
      </c>
      <c r="I1337" s="321" t="s">
        <v>36</v>
      </c>
      <c r="J1337" s="245">
        <f t="shared" si="44"/>
        <v>778720.19514178263</v>
      </c>
      <c r="K1337" s="1397">
        <f>22359.99</f>
        <v>22359.99</v>
      </c>
      <c r="L1337" s="1397">
        <f>22359.99</f>
        <v>22359.99</v>
      </c>
      <c r="M1337" s="111" t="s">
        <v>316</v>
      </c>
      <c r="N1337" s="324" t="s">
        <v>3118</v>
      </c>
      <c r="O1337" s="324" t="s">
        <v>3119</v>
      </c>
      <c r="P1337" s="318" t="s">
        <v>41</v>
      </c>
      <c r="Q1337" s="325"/>
      <c r="R1337" s="318" t="s">
        <v>41</v>
      </c>
      <c r="S1337" s="325"/>
      <c r="T1337" s="318"/>
      <c r="U1337" s="325"/>
      <c r="V1337" s="322" t="s">
        <v>41</v>
      </c>
      <c r="W1337" s="325"/>
      <c r="X1337" s="322" t="s">
        <v>41</v>
      </c>
      <c r="Y1337" s="325"/>
      <c r="Z1337" s="322" t="s">
        <v>40</v>
      </c>
      <c r="AA1337" s="326" t="s">
        <v>40</v>
      </c>
      <c r="AB1337" s="322" t="s">
        <v>40</v>
      </c>
      <c r="AC1337" s="326" t="s">
        <v>40</v>
      </c>
      <c r="AD1337" s="325"/>
      <c r="AE1337" s="325" t="s">
        <v>3081</v>
      </c>
      <c r="AF1337" s="322" t="s">
        <v>65</v>
      </c>
      <c r="AG1337" s="327">
        <v>2026</v>
      </c>
      <c r="AH1337" s="318">
        <f t="shared" si="45"/>
        <v>109999.97080500002</v>
      </c>
      <c r="AI1337" s="318"/>
      <c r="AJ1337" s="318"/>
      <c r="AK1337" s="322" t="s">
        <v>43</v>
      </c>
      <c r="AL1337" s="322" t="s">
        <v>41</v>
      </c>
      <c r="AM1337" s="328">
        <v>0</v>
      </c>
      <c r="AN1337" s="318"/>
      <c r="AO1337" s="318"/>
      <c r="AP1337" s="319"/>
    </row>
    <row r="1338" spans="1:42" s="320" customFormat="1" ht="37.950000000000003" customHeight="1" x14ac:dyDescent="0.3">
      <c r="A1338" s="318" t="s">
        <v>1641</v>
      </c>
      <c r="B1338" s="243" t="s">
        <v>1642</v>
      </c>
      <c r="C1338" s="287" t="s">
        <v>3120</v>
      </c>
      <c r="D1338" s="321" t="s">
        <v>34</v>
      </c>
      <c r="E1338" s="321" t="s">
        <v>1644</v>
      </c>
      <c r="F1338" s="322" t="s">
        <v>35</v>
      </c>
      <c r="G1338" s="318">
        <v>1</v>
      </c>
      <c r="H1338" s="323">
        <v>778720</v>
      </c>
      <c r="I1338" s="321" t="s">
        <v>36</v>
      </c>
      <c r="J1338" s="245">
        <f t="shared" si="44"/>
        <v>778720</v>
      </c>
      <c r="K1338" s="1638">
        <f>2032.726</f>
        <v>2032.7260000000001</v>
      </c>
      <c r="L1338" s="1638">
        <f>2032.726</f>
        <v>2032.7260000000001</v>
      </c>
      <c r="M1338" s="111" t="s">
        <v>351</v>
      </c>
      <c r="N1338" s="324" t="s">
        <v>3121</v>
      </c>
      <c r="O1338" s="324" t="s">
        <v>3122</v>
      </c>
      <c r="P1338" s="318" t="s">
        <v>41</v>
      </c>
      <c r="Q1338" s="325"/>
      <c r="R1338" s="318" t="s">
        <v>41</v>
      </c>
      <c r="S1338" s="325"/>
      <c r="T1338" s="318"/>
      <c r="U1338" s="325"/>
      <c r="V1338" s="322" t="s">
        <v>41</v>
      </c>
      <c r="W1338" s="325"/>
      <c r="X1338" s="322" t="s">
        <v>41</v>
      </c>
      <c r="Y1338" s="325"/>
      <c r="Z1338" s="322" t="s">
        <v>40</v>
      </c>
      <c r="AA1338" s="326" t="s">
        <v>40</v>
      </c>
      <c r="AB1338" s="322" t="s">
        <v>40</v>
      </c>
      <c r="AC1338" s="326" t="s">
        <v>40</v>
      </c>
      <c r="AD1338" s="325"/>
      <c r="AE1338" s="325" t="s">
        <v>3081</v>
      </c>
      <c r="AF1338" s="322" t="s">
        <v>65</v>
      </c>
      <c r="AG1338" s="327">
        <v>2026</v>
      </c>
      <c r="AH1338" s="318">
        <f t="shared" si="45"/>
        <v>9999.9955570000002</v>
      </c>
      <c r="AI1338" s="318"/>
      <c r="AJ1338" s="318"/>
      <c r="AK1338" s="322" t="s">
        <v>43</v>
      </c>
      <c r="AL1338" s="322" t="s">
        <v>41</v>
      </c>
      <c r="AM1338" s="328">
        <v>0</v>
      </c>
      <c r="AN1338" s="318"/>
      <c r="AO1338" s="318"/>
      <c r="AP1338" s="319"/>
    </row>
    <row r="1339" spans="1:42" s="320" customFormat="1" ht="37.950000000000003" customHeight="1" x14ac:dyDescent="0.3">
      <c r="A1339" s="318" t="s">
        <v>1641</v>
      </c>
      <c r="B1339" s="243" t="s">
        <v>1642</v>
      </c>
      <c r="C1339" s="287" t="s">
        <v>3123</v>
      </c>
      <c r="D1339" s="321" t="s">
        <v>34</v>
      </c>
      <c r="E1339" s="321" t="s">
        <v>1644</v>
      </c>
      <c r="F1339" s="322" t="s">
        <v>35</v>
      </c>
      <c r="G1339" s="318">
        <v>1</v>
      </c>
      <c r="H1339" s="323">
        <v>778720.19514178263</v>
      </c>
      <c r="I1339" s="321" t="s">
        <v>36</v>
      </c>
      <c r="J1339" s="245">
        <f t="shared" si="44"/>
        <v>778720.19514178263</v>
      </c>
      <c r="K1339" s="1638">
        <v>0</v>
      </c>
      <c r="L1339" s="1638">
        <v>0</v>
      </c>
      <c r="M1339" s="111" t="s">
        <v>3124</v>
      </c>
      <c r="N1339" s="324" t="s">
        <v>3125</v>
      </c>
      <c r="O1339" s="324" t="s">
        <v>3126</v>
      </c>
      <c r="P1339" s="318" t="s">
        <v>41</v>
      </c>
      <c r="Q1339" s="325"/>
      <c r="R1339" s="318" t="s">
        <v>41</v>
      </c>
      <c r="S1339" s="325"/>
      <c r="T1339" s="318"/>
      <c r="U1339" s="325"/>
      <c r="V1339" s="322" t="s">
        <v>41</v>
      </c>
      <c r="W1339" s="325"/>
      <c r="X1339" s="322" t="s">
        <v>41</v>
      </c>
      <c r="Y1339" s="325"/>
      <c r="Z1339" s="322" t="s">
        <v>40</v>
      </c>
      <c r="AA1339" s="326" t="s">
        <v>40</v>
      </c>
      <c r="AB1339" s="322" t="s">
        <v>40</v>
      </c>
      <c r="AC1339" s="326" t="s">
        <v>40</v>
      </c>
      <c r="AD1339" s="325"/>
      <c r="AE1339" s="325" t="s">
        <v>3081</v>
      </c>
      <c r="AF1339" s="322" t="s">
        <v>65</v>
      </c>
      <c r="AG1339" s="327">
        <v>2026</v>
      </c>
      <c r="AH1339" s="318">
        <f t="shared" si="45"/>
        <v>0</v>
      </c>
      <c r="AI1339" s="318"/>
      <c r="AJ1339" s="318"/>
      <c r="AK1339" s="322" t="s">
        <v>43</v>
      </c>
      <c r="AL1339" s="322" t="s">
        <v>41</v>
      </c>
      <c r="AM1339" s="328">
        <v>0</v>
      </c>
      <c r="AN1339" s="318"/>
      <c r="AO1339" s="318"/>
      <c r="AP1339" s="319"/>
    </row>
    <row r="1340" spans="1:42" s="320" customFormat="1" ht="37.950000000000003" customHeight="1" x14ac:dyDescent="0.3">
      <c r="A1340" s="318" t="s">
        <v>1641</v>
      </c>
      <c r="B1340" s="243" t="s">
        <v>1642</v>
      </c>
      <c r="C1340" s="287" t="s">
        <v>3127</v>
      </c>
      <c r="D1340" s="321" t="s">
        <v>34</v>
      </c>
      <c r="E1340" s="321" t="s">
        <v>1644</v>
      </c>
      <c r="F1340" s="322" t="s">
        <v>35</v>
      </c>
      <c r="G1340" s="318">
        <v>2</v>
      </c>
      <c r="H1340" s="323">
        <v>1557440</v>
      </c>
      <c r="I1340" s="321" t="s">
        <v>36</v>
      </c>
      <c r="J1340" s="245">
        <f t="shared" si="44"/>
        <v>1557440</v>
      </c>
      <c r="K1340" s="1638">
        <f>2540.91+8435.816</f>
        <v>10976.726000000001</v>
      </c>
      <c r="L1340" s="1638">
        <f>K1340</f>
        <v>10976.726000000001</v>
      </c>
      <c r="M1340" s="111" t="s">
        <v>412</v>
      </c>
      <c r="N1340" s="324" t="s">
        <v>3128</v>
      </c>
      <c r="O1340" s="324" t="s">
        <v>3129</v>
      </c>
      <c r="P1340" s="318" t="s">
        <v>41</v>
      </c>
      <c r="Q1340" s="325"/>
      <c r="R1340" s="318" t="s">
        <v>41</v>
      </c>
      <c r="S1340" s="325"/>
      <c r="T1340" s="318"/>
      <c r="U1340" s="325"/>
      <c r="V1340" s="322" t="s">
        <v>41</v>
      </c>
      <c r="W1340" s="325"/>
      <c r="X1340" s="322" t="s">
        <v>41</v>
      </c>
      <c r="Y1340" s="325"/>
      <c r="Z1340" s="322" t="s">
        <v>40</v>
      </c>
      <c r="AA1340" s="326" t="s">
        <v>40</v>
      </c>
      <c r="AB1340" s="322" t="s">
        <v>40</v>
      </c>
      <c r="AC1340" s="326" t="s">
        <v>40</v>
      </c>
      <c r="AD1340" s="325"/>
      <c r="AE1340" s="325" t="s">
        <v>3081</v>
      </c>
      <c r="AF1340" s="322" t="s">
        <v>65</v>
      </c>
      <c r="AG1340" s="327">
        <v>2026</v>
      </c>
      <c r="AH1340" s="329">
        <f t="shared" si="45"/>
        <v>54000.003557000004</v>
      </c>
      <c r="AI1340" s="318"/>
      <c r="AJ1340" s="318"/>
      <c r="AK1340" s="322" t="s">
        <v>43</v>
      </c>
      <c r="AL1340" s="322" t="s">
        <v>41</v>
      </c>
      <c r="AM1340" s="328">
        <v>0</v>
      </c>
      <c r="AN1340" s="318"/>
      <c r="AO1340" s="318"/>
      <c r="AP1340" s="319"/>
    </row>
    <row r="1341" spans="1:42" s="320" customFormat="1" ht="37.950000000000003" customHeight="1" x14ac:dyDescent="0.3">
      <c r="A1341" s="318" t="s">
        <v>1641</v>
      </c>
      <c r="B1341" s="243" t="s">
        <v>1642</v>
      </c>
      <c r="C1341" s="287" t="s">
        <v>3130</v>
      </c>
      <c r="D1341" s="321" t="s">
        <v>34</v>
      </c>
      <c r="E1341" s="321" t="s">
        <v>1644</v>
      </c>
      <c r="F1341" s="322" t="s">
        <v>35</v>
      </c>
      <c r="G1341" s="318">
        <v>1</v>
      </c>
      <c r="H1341" s="323">
        <v>754440</v>
      </c>
      <c r="I1341" s="321" t="s">
        <v>36</v>
      </c>
      <c r="J1341" s="245">
        <f t="shared" si="44"/>
        <v>754440</v>
      </c>
      <c r="K1341" s="1397">
        <f>4065.45</f>
        <v>4065.45</v>
      </c>
      <c r="L1341" s="1397">
        <f>4065.45</f>
        <v>4065.45</v>
      </c>
      <c r="M1341" s="111" t="s">
        <v>57</v>
      </c>
      <c r="N1341" s="324" t="s">
        <v>3131</v>
      </c>
      <c r="O1341" s="324" t="s">
        <v>3132</v>
      </c>
      <c r="P1341" s="318" t="s">
        <v>41</v>
      </c>
      <c r="Q1341" s="325"/>
      <c r="R1341" s="318" t="s">
        <v>41</v>
      </c>
      <c r="S1341" s="325"/>
      <c r="T1341" s="318"/>
      <c r="U1341" s="325"/>
      <c r="V1341" s="322" t="s">
        <v>41</v>
      </c>
      <c r="W1341" s="325"/>
      <c r="X1341" s="322" t="s">
        <v>41</v>
      </c>
      <c r="Y1341" s="325"/>
      <c r="Z1341" s="322" t="s">
        <v>40</v>
      </c>
      <c r="AA1341" s="326" t="s">
        <v>40</v>
      </c>
      <c r="AB1341" s="322" t="s">
        <v>40</v>
      </c>
      <c r="AC1341" s="326" t="s">
        <v>40</v>
      </c>
      <c r="AD1341" s="325"/>
      <c r="AE1341" s="325" t="s">
        <v>3081</v>
      </c>
      <c r="AF1341" s="322" t="s">
        <v>65</v>
      </c>
      <c r="AG1341" s="327">
        <v>2026</v>
      </c>
      <c r="AH1341" s="318">
        <f t="shared" si="45"/>
        <v>19999.981274999998</v>
      </c>
      <c r="AI1341" s="318"/>
      <c r="AJ1341" s="318"/>
      <c r="AK1341" s="322" t="s">
        <v>43</v>
      </c>
      <c r="AL1341" s="322" t="s">
        <v>41</v>
      </c>
      <c r="AM1341" s="328">
        <v>0</v>
      </c>
      <c r="AN1341" s="318"/>
      <c r="AO1341" s="318"/>
      <c r="AP1341" s="319"/>
    </row>
    <row r="1342" spans="1:42" s="320" customFormat="1" ht="37.950000000000003" customHeight="1" x14ac:dyDescent="0.3">
      <c r="A1342" s="318" t="s">
        <v>1641</v>
      </c>
      <c r="B1342" s="243" t="s">
        <v>1642</v>
      </c>
      <c r="C1342" s="287" t="s">
        <v>3133</v>
      </c>
      <c r="D1342" s="321" t="s">
        <v>34</v>
      </c>
      <c r="E1342" s="321" t="s">
        <v>1644</v>
      </c>
      <c r="F1342" s="322" t="s">
        <v>35</v>
      </c>
      <c r="G1342" s="318">
        <v>1</v>
      </c>
      <c r="H1342" s="323">
        <v>754440</v>
      </c>
      <c r="I1342" s="321" t="s">
        <v>36</v>
      </c>
      <c r="J1342" s="245">
        <f t="shared" si="44"/>
        <v>754440</v>
      </c>
      <c r="K1342" s="1638">
        <f>7724.36</f>
        <v>7724.36</v>
      </c>
      <c r="L1342" s="1638">
        <f>7724.36</f>
        <v>7724.36</v>
      </c>
      <c r="M1342" s="111" t="s">
        <v>57</v>
      </c>
      <c r="N1342" s="324" t="s">
        <v>3134</v>
      </c>
      <c r="O1342" s="324" t="s">
        <v>3135</v>
      </c>
      <c r="P1342" s="318" t="s">
        <v>41</v>
      </c>
      <c r="Q1342" s="325"/>
      <c r="R1342" s="318" t="s">
        <v>41</v>
      </c>
      <c r="S1342" s="325"/>
      <c r="T1342" s="318"/>
      <c r="U1342" s="325"/>
      <c r="V1342" s="322" t="s">
        <v>41</v>
      </c>
      <c r="W1342" s="325"/>
      <c r="X1342" s="322" t="s">
        <v>41</v>
      </c>
      <c r="Y1342" s="325"/>
      <c r="Z1342" s="322" t="s">
        <v>40</v>
      </c>
      <c r="AA1342" s="326" t="s">
        <v>40</v>
      </c>
      <c r="AB1342" s="322" t="s">
        <v>40</v>
      </c>
      <c r="AC1342" s="326" t="s">
        <v>40</v>
      </c>
      <c r="AD1342" s="325"/>
      <c r="AE1342" s="325" t="s">
        <v>3081</v>
      </c>
      <c r="AF1342" s="322" t="s">
        <v>65</v>
      </c>
      <c r="AG1342" s="327">
        <v>2026</v>
      </c>
      <c r="AH1342" s="318">
        <f t="shared" si="45"/>
        <v>37999.989020000001</v>
      </c>
      <c r="AI1342" s="318"/>
      <c r="AJ1342" s="318"/>
      <c r="AK1342" s="322" t="s">
        <v>43</v>
      </c>
      <c r="AL1342" s="322" t="s">
        <v>41</v>
      </c>
      <c r="AM1342" s="328">
        <v>0</v>
      </c>
      <c r="AN1342" s="318"/>
      <c r="AO1342" s="318"/>
      <c r="AP1342" s="319"/>
    </row>
    <row r="1343" spans="1:42" s="320" customFormat="1" ht="37.950000000000003" customHeight="1" x14ac:dyDescent="0.3">
      <c r="A1343" s="318" t="s">
        <v>1641</v>
      </c>
      <c r="B1343" s="243" t="s">
        <v>1642</v>
      </c>
      <c r="C1343" s="287" t="s">
        <v>3136</v>
      </c>
      <c r="D1343" s="321" t="s">
        <v>34</v>
      </c>
      <c r="E1343" s="321" t="s">
        <v>1644</v>
      </c>
      <c r="F1343" s="322" t="s">
        <v>35</v>
      </c>
      <c r="G1343" s="318">
        <v>1</v>
      </c>
      <c r="H1343" s="323">
        <v>778534.37544465892</v>
      </c>
      <c r="I1343" s="321" t="s">
        <v>36</v>
      </c>
      <c r="J1343" s="245">
        <f t="shared" si="44"/>
        <v>778534.37544465892</v>
      </c>
      <c r="K1343" s="1638">
        <f>4736.25+8708.2</f>
        <v>13444.45</v>
      </c>
      <c r="L1343" s="1638">
        <f>K1343</f>
        <v>13444.45</v>
      </c>
      <c r="M1343" s="111" t="s">
        <v>71</v>
      </c>
      <c r="N1343" s="324" t="s">
        <v>3137</v>
      </c>
      <c r="O1343" s="324" t="s">
        <v>3138</v>
      </c>
      <c r="P1343" s="318" t="s">
        <v>41</v>
      </c>
      <c r="Q1343" s="325"/>
      <c r="R1343" s="318" t="s">
        <v>41</v>
      </c>
      <c r="S1343" s="325"/>
      <c r="T1343" s="318"/>
      <c r="U1343" s="325"/>
      <c r="V1343" s="322" t="s">
        <v>41</v>
      </c>
      <c r="W1343" s="325"/>
      <c r="X1343" s="322" t="s">
        <v>41</v>
      </c>
      <c r="Y1343" s="325"/>
      <c r="Z1343" s="322" t="s">
        <v>40</v>
      </c>
      <c r="AA1343" s="326" t="s">
        <v>40</v>
      </c>
      <c r="AB1343" s="322" t="s">
        <v>40</v>
      </c>
      <c r="AC1343" s="326" t="s">
        <v>40</v>
      </c>
      <c r="AD1343" s="325"/>
      <c r="AE1343" s="325" t="s">
        <v>3081</v>
      </c>
      <c r="AF1343" s="322" t="s">
        <v>65</v>
      </c>
      <c r="AG1343" s="327">
        <v>2026</v>
      </c>
      <c r="AH1343" s="318">
        <f t="shared" si="45"/>
        <v>66139.971775000013</v>
      </c>
      <c r="AI1343" s="318"/>
      <c r="AJ1343" s="318"/>
      <c r="AK1343" s="322" t="s">
        <v>43</v>
      </c>
      <c r="AL1343" s="322" t="s">
        <v>41</v>
      </c>
      <c r="AM1343" s="328">
        <v>0</v>
      </c>
      <c r="AN1343" s="318"/>
      <c r="AO1343" s="318"/>
      <c r="AP1343" s="319"/>
    </row>
    <row r="1344" spans="1:42" s="332" customFormat="1" ht="37.950000000000003" customHeight="1" x14ac:dyDescent="0.3">
      <c r="A1344" s="318" t="s">
        <v>1641</v>
      </c>
      <c r="B1344" s="243" t="s">
        <v>1642</v>
      </c>
      <c r="C1344" s="287" t="s">
        <v>3139</v>
      </c>
      <c r="D1344" s="321" t="s">
        <v>34</v>
      </c>
      <c r="E1344" s="321" t="s">
        <v>1644</v>
      </c>
      <c r="F1344" s="322" t="s">
        <v>35</v>
      </c>
      <c r="G1344" s="318">
        <v>1</v>
      </c>
      <c r="H1344" s="323">
        <v>754440</v>
      </c>
      <c r="I1344" s="321" t="s">
        <v>36</v>
      </c>
      <c r="J1344" s="245">
        <f t="shared" si="44"/>
        <v>754440</v>
      </c>
      <c r="K1344" s="1638">
        <v>0</v>
      </c>
      <c r="L1344" s="1638">
        <v>0</v>
      </c>
      <c r="M1344" s="111" t="s">
        <v>57</v>
      </c>
      <c r="N1344" s="324" t="s">
        <v>3140</v>
      </c>
      <c r="O1344" s="324" t="s">
        <v>3141</v>
      </c>
      <c r="P1344" s="318" t="s">
        <v>41</v>
      </c>
      <c r="Q1344" s="325"/>
      <c r="R1344" s="318" t="s">
        <v>41</v>
      </c>
      <c r="S1344" s="325"/>
      <c r="T1344" s="318"/>
      <c r="U1344" s="325"/>
      <c r="V1344" s="322" t="s">
        <v>41</v>
      </c>
      <c r="W1344" s="325"/>
      <c r="X1344" s="322" t="s">
        <v>41</v>
      </c>
      <c r="Y1344" s="325"/>
      <c r="Z1344" s="322" t="s">
        <v>40</v>
      </c>
      <c r="AA1344" s="326" t="s">
        <v>40</v>
      </c>
      <c r="AB1344" s="322" t="s">
        <v>40</v>
      </c>
      <c r="AC1344" s="326" t="s">
        <v>40</v>
      </c>
      <c r="AD1344" s="325"/>
      <c r="AE1344" s="325" t="s">
        <v>3081</v>
      </c>
      <c r="AF1344" s="322" t="s">
        <v>65</v>
      </c>
      <c r="AG1344" s="327">
        <v>2026</v>
      </c>
      <c r="AH1344" s="318">
        <f t="shared" si="45"/>
        <v>0</v>
      </c>
      <c r="AI1344" s="318"/>
      <c r="AJ1344" s="318"/>
      <c r="AK1344" s="322" t="s">
        <v>43</v>
      </c>
      <c r="AL1344" s="322" t="s">
        <v>41</v>
      </c>
      <c r="AM1344" s="328">
        <v>0</v>
      </c>
      <c r="AN1344" s="318"/>
      <c r="AO1344" s="330"/>
      <c r="AP1344" s="331"/>
    </row>
    <row r="1345" spans="1:42" s="332" customFormat="1" ht="37.950000000000003" customHeight="1" x14ac:dyDescent="0.3">
      <c r="A1345" s="318" t="s">
        <v>1641</v>
      </c>
      <c r="B1345" s="243" t="s">
        <v>1642</v>
      </c>
      <c r="C1345" s="287" t="s">
        <v>3142</v>
      </c>
      <c r="D1345" s="321" t="s">
        <v>34</v>
      </c>
      <c r="E1345" s="321" t="s">
        <v>1644</v>
      </c>
      <c r="F1345" s="322" t="s">
        <v>35</v>
      </c>
      <c r="G1345" s="318">
        <v>1</v>
      </c>
      <c r="H1345" s="323">
        <v>754440</v>
      </c>
      <c r="I1345" s="321" t="s">
        <v>36</v>
      </c>
      <c r="J1345" s="245">
        <f t="shared" si="44"/>
        <v>754440</v>
      </c>
      <c r="K1345" s="1638">
        <v>7724.36</v>
      </c>
      <c r="L1345" s="1638">
        <v>7724.36</v>
      </c>
      <c r="M1345" s="111" t="s">
        <v>57</v>
      </c>
      <c r="N1345" s="324" t="s">
        <v>3143</v>
      </c>
      <c r="O1345" s="324" t="s">
        <v>3144</v>
      </c>
      <c r="P1345" s="318" t="s">
        <v>41</v>
      </c>
      <c r="Q1345" s="325"/>
      <c r="R1345" s="318" t="s">
        <v>41</v>
      </c>
      <c r="S1345" s="325"/>
      <c r="T1345" s="318"/>
      <c r="U1345" s="325"/>
      <c r="V1345" s="322" t="s">
        <v>41</v>
      </c>
      <c r="W1345" s="325"/>
      <c r="X1345" s="322" t="s">
        <v>41</v>
      </c>
      <c r="Y1345" s="325"/>
      <c r="Z1345" s="322" t="s">
        <v>40</v>
      </c>
      <c r="AA1345" s="326" t="s">
        <v>40</v>
      </c>
      <c r="AB1345" s="322" t="s">
        <v>40</v>
      </c>
      <c r="AC1345" s="326" t="s">
        <v>40</v>
      </c>
      <c r="AD1345" s="325"/>
      <c r="AE1345" s="325" t="s">
        <v>3081</v>
      </c>
      <c r="AF1345" s="322" t="s">
        <v>65</v>
      </c>
      <c r="AG1345" s="327">
        <v>2026</v>
      </c>
      <c r="AH1345" s="318">
        <f t="shared" si="45"/>
        <v>37999.989020000001</v>
      </c>
      <c r="AI1345" s="318"/>
      <c r="AJ1345" s="318"/>
      <c r="AK1345" s="322" t="s">
        <v>43</v>
      </c>
      <c r="AL1345" s="322" t="s">
        <v>41</v>
      </c>
      <c r="AM1345" s="328">
        <v>0</v>
      </c>
      <c r="AN1345" s="318"/>
      <c r="AO1345" s="330"/>
      <c r="AP1345" s="331"/>
    </row>
    <row r="1346" spans="1:42" s="332" customFormat="1" ht="37.950000000000003" customHeight="1" x14ac:dyDescent="0.3">
      <c r="A1346" s="318" t="s">
        <v>1641</v>
      </c>
      <c r="B1346" s="243" t="s">
        <v>1642</v>
      </c>
      <c r="C1346" s="287" t="s">
        <v>3145</v>
      </c>
      <c r="D1346" s="321" t="s">
        <v>34</v>
      </c>
      <c r="E1346" s="321" t="s">
        <v>1644</v>
      </c>
      <c r="F1346" s="322" t="s">
        <v>35</v>
      </c>
      <c r="G1346" s="318">
        <v>1</v>
      </c>
      <c r="H1346" s="323">
        <v>778720</v>
      </c>
      <c r="I1346" s="321" t="s">
        <v>36</v>
      </c>
      <c r="J1346" s="245">
        <f t="shared" si="44"/>
        <v>778720</v>
      </c>
      <c r="K1346" s="1638">
        <f>2032.726</f>
        <v>2032.7260000000001</v>
      </c>
      <c r="L1346" s="1638">
        <f>2032.726</f>
        <v>2032.7260000000001</v>
      </c>
      <c r="M1346" s="111" t="s">
        <v>351</v>
      </c>
      <c r="N1346" s="324" t="s">
        <v>3146</v>
      </c>
      <c r="O1346" s="324" t="s">
        <v>3147</v>
      </c>
      <c r="P1346" s="318" t="s">
        <v>41</v>
      </c>
      <c r="Q1346" s="333"/>
      <c r="R1346" s="318" t="s">
        <v>41</v>
      </c>
      <c r="S1346" s="333"/>
      <c r="T1346" s="330"/>
      <c r="U1346" s="333"/>
      <c r="V1346" s="322" t="s">
        <v>41</v>
      </c>
      <c r="W1346" s="333"/>
      <c r="X1346" s="322" t="s">
        <v>41</v>
      </c>
      <c r="Y1346" s="333"/>
      <c r="Z1346" s="322" t="s">
        <v>40</v>
      </c>
      <c r="AA1346" s="326" t="s">
        <v>40</v>
      </c>
      <c r="AB1346" s="322" t="s">
        <v>40</v>
      </c>
      <c r="AC1346" s="326" t="s">
        <v>40</v>
      </c>
      <c r="AD1346" s="325"/>
      <c r="AE1346" s="325" t="s">
        <v>3081</v>
      </c>
      <c r="AF1346" s="322" t="s">
        <v>65</v>
      </c>
      <c r="AG1346" s="327">
        <v>2026</v>
      </c>
      <c r="AH1346" s="318">
        <f t="shared" si="45"/>
        <v>9999.9955570000002</v>
      </c>
      <c r="AI1346" s="318"/>
      <c r="AJ1346" s="318"/>
      <c r="AK1346" s="322" t="s">
        <v>43</v>
      </c>
      <c r="AL1346" s="322" t="s">
        <v>41</v>
      </c>
      <c r="AM1346" s="328">
        <v>0</v>
      </c>
      <c r="AN1346" s="330"/>
      <c r="AO1346" s="330"/>
      <c r="AP1346" s="331"/>
    </row>
    <row r="1347" spans="1:42" s="332" customFormat="1" ht="37.950000000000003" customHeight="1" x14ac:dyDescent="0.3">
      <c r="A1347" s="318" t="s">
        <v>1641</v>
      </c>
      <c r="B1347" s="243" t="s">
        <v>1642</v>
      </c>
      <c r="C1347" s="287" t="s">
        <v>3148</v>
      </c>
      <c r="D1347" s="116" t="s">
        <v>34</v>
      </c>
      <c r="E1347" s="116" t="s">
        <v>1644</v>
      </c>
      <c r="F1347" s="324" t="s">
        <v>35</v>
      </c>
      <c r="G1347" s="318">
        <v>1</v>
      </c>
      <c r="H1347" s="323">
        <v>778720</v>
      </c>
      <c r="I1347" s="116" t="s">
        <v>36</v>
      </c>
      <c r="J1347" s="245">
        <f t="shared" ref="J1347:J1379" si="47">H1347</f>
        <v>778720</v>
      </c>
      <c r="K1347" s="1638">
        <v>0</v>
      </c>
      <c r="L1347" s="1638">
        <v>0</v>
      </c>
      <c r="M1347" s="111" t="s">
        <v>2767</v>
      </c>
      <c r="N1347" s="324" t="s">
        <v>3149</v>
      </c>
      <c r="O1347" s="324" t="s">
        <v>3149</v>
      </c>
      <c r="P1347" s="318" t="s">
        <v>41</v>
      </c>
      <c r="Q1347" s="333"/>
      <c r="R1347" s="318" t="s">
        <v>41</v>
      </c>
      <c r="S1347" s="333"/>
      <c r="T1347" s="330"/>
      <c r="U1347" s="333"/>
      <c r="V1347" s="324" t="s">
        <v>41</v>
      </c>
      <c r="W1347" s="333"/>
      <c r="X1347" s="324" t="s">
        <v>41</v>
      </c>
      <c r="Y1347" s="333"/>
      <c r="Z1347" s="324" t="s">
        <v>40</v>
      </c>
      <c r="AA1347" s="334" t="s">
        <v>40</v>
      </c>
      <c r="AB1347" s="324" t="s">
        <v>40</v>
      </c>
      <c r="AC1347" s="334" t="s">
        <v>40</v>
      </c>
      <c r="AD1347" s="325"/>
      <c r="AE1347" s="325" t="s">
        <v>3150</v>
      </c>
      <c r="AF1347" s="324" t="s">
        <v>247</v>
      </c>
      <c r="AG1347" s="335" t="s">
        <v>247</v>
      </c>
      <c r="AH1347" s="318">
        <f t="shared" ref="AH1347:AH1379" si="48">K1347*4.9195</f>
        <v>0</v>
      </c>
      <c r="AI1347" s="318"/>
      <c r="AJ1347" s="318"/>
      <c r="AK1347" s="324" t="s">
        <v>43</v>
      </c>
      <c r="AL1347" s="324" t="s">
        <v>41</v>
      </c>
      <c r="AM1347" s="336">
        <v>0</v>
      </c>
      <c r="AN1347" s="330"/>
      <c r="AO1347" s="330"/>
      <c r="AP1347" s="331"/>
    </row>
    <row r="1348" spans="1:42" s="332" customFormat="1" ht="37.950000000000003" customHeight="1" x14ac:dyDescent="0.3">
      <c r="A1348" s="318" t="s">
        <v>1641</v>
      </c>
      <c r="B1348" s="243" t="s">
        <v>1642</v>
      </c>
      <c r="C1348" s="287" t="s">
        <v>3151</v>
      </c>
      <c r="D1348" s="116" t="s">
        <v>34</v>
      </c>
      <c r="E1348" s="116" t="s">
        <v>1644</v>
      </c>
      <c r="F1348" s="324" t="s">
        <v>35</v>
      </c>
      <c r="G1348" s="318">
        <v>1</v>
      </c>
      <c r="H1348" s="323">
        <v>778720</v>
      </c>
      <c r="I1348" s="116" t="s">
        <v>36</v>
      </c>
      <c r="J1348" s="245">
        <f t="shared" si="47"/>
        <v>778720</v>
      </c>
      <c r="K1348" s="1638">
        <f>34556.35+11989.626</f>
        <v>46545.975999999995</v>
      </c>
      <c r="L1348" s="1638">
        <f>34556.35+11989.626</f>
        <v>46545.975999999995</v>
      </c>
      <c r="M1348" s="111" t="s">
        <v>66</v>
      </c>
      <c r="N1348" s="324" t="s">
        <v>3152</v>
      </c>
      <c r="O1348" s="324"/>
      <c r="P1348" s="318"/>
      <c r="Q1348" s="333"/>
      <c r="R1348" s="318"/>
      <c r="S1348" s="333"/>
      <c r="T1348" s="330"/>
      <c r="U1348" s="333"/>
      <c r="V1348" s="324"/>
      <c r="W1348" s="333"/>
      <c r="X1348" s="324"/>
      <c r="Y1348" s="333"/>
      <c r="Z1348" s="324"/>
      <c r="AA1348" s="334"/>
      <c r="AB1348" s="324"/>
      <c r="AC1348" s="334"/>
      <c r="AD1348" s="325"/>
      <c r="AE1348" s="325"/>
      <c r="AF1348" s="324"/>
      <c r="AG1348" s="335"/>
      <c r="AH1348" s="329">
        <f t="shared" si="48"/>
        <v>228982.92893199998</v>
      </c>
      <c r="AI1348" s="318"/>
      <c r="AJ1348" s="318"/>
      <c r="AK1348" s="324"/>
      <c r="AL1348" s="324"/>
      <c r="AM1348" s="336"/>
      <c r="AN1348" s="330"/>
      <c r="AO1348" s="330"/>
      <c r="AP1348" s="331"/>
    </row>
    <row r="1349" spans="1:42" s="332" customFormat="1" ht="37.950000000000003" customHeight="1" x14ac:dyDescent="0.3">
      <c r="A1349" s="318" t="s">
        <v>1641</v>
      </c>
      <c r="B1349" s="243" t="s">
        <v>1642</v>
      </c>
      <c r="C1349" s="287" t="s">
        <v>3153</v>
      </c>
      <c r="D1349" s="116" t="s">
        <v>34</v>
      </c>
      <c r="E1349" s="116" t="s">
        <v>1644</v>
      </c>
      <c r="F1349" s="324" t="s">
        <v>35</v>
      </c>
      <c r="G1349" s="318">
        <v>1</v>
      </c>
      <c r="H1349" s="323">
        <v>778720</v>
      </c>
      <c r="I1349" s="116" t="s">
        <v>36</v>
      </c>
      <c r="J1349" s="245">
        <f t="shared" si="47"/>
        <v>778720</v>
      </c>
      <c r="K1349" s="1638"/>
      <c r="L1349" s="1638"/>
      <c r="M1349" s="111" t="s">
        <v>73</v>
      </c>
      <c r="N1349" s="324" t="s">
        <v>3154</v>
      </c>
      <c r="O1349" s="324"/>
      <c r="P1349" s="318"/>
      <c r="Q1349" s="333"/>
      <c r="R1349" s="318"/>
      <c r="S1349" s="333"/>
      <c r="T1349" s="330"/>
      <c r="U1349" s="333"/>
      <c r="V1349" s="324"/>
      <c r="W1349" s="333"/>
      <c r="X1349" s="324"/>
      <c r="Y1349" s="333"/>
      <c r="Z1349" s="324"/>
      <c r="AA1349" s="334"/>
      <c r="AB1349" s="324"/>
      <c r="AC1349" s="334"/>
      <c r="AD1349" s="325"/>
      <c r="AE1349" s="325"/>
      <c r="AF1349" s="324"/>
      <c r="AG1349" s="335"/>
      <c r="AH1349" s="318">
        <f t="shared" si="48"/>
        <v>0</v>
      </c>
      <c r="AI1349" s="318"/>
      <c r="AJ1349" s="318"/>
      <c r="AK1349" s="324"/>
      <c r="AL1349" s="324"/>
      <c r="AM1349" s="336"/>
      <c r="AN1349" s="330"/>
      <c r="AO1349" s="330"/>
      <c r="AP1349" s="331"/>
    </row>
    <row r="1350" spans="1:42" s="332" customFormat="1" ht="37.950000000000003" customHeight="1" x14ac:dyDescent="0.3">
      <c r="A1350" s="318" t="s">
        <v>1641</v>
      </c>
      <c r="B1350" s="243" t="s">
        <v>1642</v>
      </c>
      <c r="C1350" s="287" t="s">
        <v>3155</v>
      </c>
      <c r="D1350" s="116" t="s">
        <v>34</v>
      </c>
      <c r="E1350" s="116" t="s">
        <v>1644</v>
      </c>
      <c r="F1350" s="324" t="s">
        <v>35</v>
      </c>
      <c r="G1350" s="318">
        <v>1</v>
      </c>
      <c r="H1350" s="323">
        <v>778720</v>
      </c>
      <c r="I1350" s="116" t="s">
        <v>36</v>
      </c>
      <c r="J1350" s="245">
        <f t="shared" si="47"/>
        <v>778720</v>
      </c>
      <c r="K1350" s="1638">
        <f>19453.2+38703.12</f>
        <v>58156.320000000007</v>
      </c>
      <c r="L1350" s="1638">
        <f>19453.2+38703.12</f>
        <v>58156.320000000007</v>
      </c>
      <c r="M1350" s="111" t="s">
        <v>200</v>
      </c>
      <c r="N1350" s="324" t="s">
        <v>3156</v>
      </c>
      <c r="O1350" s="324" t="s">
        <v>3157</v>
      </c>
      <c r="P1350" s="318"/>
      <c r="Q1350" s="333"/>
      <c r="R1350" s="318"/>
      <c r="S1350" s="333"/>
      <c r="T1350" s="330"/>
      <c r="U1350" s="333"/>
      <c r="V1350" s="324"/>
      <c r="W1350" s="333"/>
      <c r="X1350" s="324"/>
      <c r="Y1350" s="333"/>
      <c r="Z1350" s="324"/>
      <c r="AA1350" s="334"/>
      <c r="AB1350" s="324"/>
      <c r="AC1350" s="334"/>
      <c r="AD1350" s="325"/>
      <c r="AE1350" s="325"/>
      <c r="AF1350" s="324"/>
      <c r="AG1350" s="335"/>
      <c r="AH1350" s="318">
        <f t="shared" si="48"/>
        <v>286100.01624000003</v>
      </c>
      <c r="AI1350" s="318"/>
      <c r="AJ1350" s="318"/>
      <c r="AK1350" s="324"/>
      <c r="AL1350" s="324"/>
      <c r="AM1350" s="336"/>
      <c r="AN1350" s="330"/>
      <c r="AO1350" s="330"/>
      <c r="AP1350" s="331"/>
    </row>
    <row r="1351" spans="1:42" s="332" customFormat="1" ht="37.950000000000003" customHeight="1" x14ac:dyDescent="0.3">
      <c r="A1351" s="318" t="s">
        <v>1641</v>
      </c>
      <c r="B1351" s="243" t="s">
        <v>1642</v>
      </c>
      <c r="C1351" s="287" t="s">
        <v>3158</v>
      </c>
      <c r="D1351" s="116" t="s">
        <v>34</v>
      </c>
      <c r="E1351" s="116" t="s">
        <v>1644</v>
      </c>
      <c r="F1351" s="324" t="s">
        <v>35</v>
      </c>
      <c r="G1351" s="318">
        <v>1</v>
      </c>
      <c r="H1351" s="323">
        <v>778720</v>
      </c>
      <c r="I1351" s="116" t="s">
        <v>36</v>
      </c>
      <c r="J1351" s="245">
        <f t="shared" si="47"/>
        <v>778720</v>
      </c>
      <c r="K1351" s="1397">
        <f>43236.1</f>
        <v>43236.1</v>
      </c>
      <c r="L1351" s="1397">
        <f>43236.1</f>
        <v>43236.1</v>
      </c>
      <c r="M1351" s="111" t="s">
        <v>49</v>
      </c>
      <c r="N1351" s="324" t="s">
        <v>3159</v>
      </c>
      <c r="O1351" s="324"/>
      <c r="P1351" s="318"/>
      <c r="Q1351" s="333"/>
      <c r="R1351" s="318"/>
      <c r="S1351" s="333"/>
      <c r="T1351" s="330"/>
      <c r="U1351" s="333"/>
      <c r="V1351" s="324"/>
      <c r="W1351" s="333"/>
      <c r="X1351" s="324"/>
      <c r="Y1351" s="333"/>
      <c r="Z1351" s="324"/>
      <c r="AA1351" s="334"/>
      <c r="AB1351" s="324"/>
      <c r="AC1351" s="334"/>
      <c r="AD1351" s="325"/>
      <c r="AE1351" s="325"/>
      <c r="AF1351" s="324"/>
      <c r="AG1351" s="335"/>
      <c r="AH1351" s="318">
        <f t="shared" si="48"/>
        <v>212699.99395</v>
      </c>
      <c r="AI1351" s="318"/>
      <c r="AJ1351" s="318"/>
      <c r="AK1351" s="324"/>
      <c r="AL1351" s="324"/>
      <c r="AM1351" s="336"/>
      <c r="AN1351" s="330"/>
      <c r="AO1351" s="330"/>
      <c r="AP1351" s="331"/>
    </row>
    <row r="1352" spans="1:42" s="332" customFormat="1" ht="37.950000000000003" customHeight="1" x14ac:dyDescent="0.3">
      <c r="A1352" s="318" t="s">
        <v>1641</v>
      </c>
      <c r="B1352" s="243" t="s">
        <v>1642</v>
      </c>
      <c r="C1352" s="287" t="s">
        <v>3160</v>
      </c>
      <c r="D1352" s="116" t="s">
        <v>34</v>
      </c>
      <c r="E1352" s="116" t="s">
        <v>1644</v>
      </c>
      <c r="F1352" s="324" t="s">
        <v>35</v>
      </c>
      <c r="G1352" s="318">
        <v>1</v>
      </c>
      <c r="H1352" s="323">
        <v>778720</v>
      </c>
      <c r="I1352" s="116" t="s">
        <v>36</v>
      </c>
      <c r="J1352" s="245">
        <f t="shared" si="47"/>
        <v>778720</v>
      </c>
      <c r="K1352" s="1638">
        <f>30236.81+18294.54</f>
        <v>48531.350000000006</v>
      </c>
      <c r="L1352" s="1638">
        <f>30236.81+18294.54</f>
        <v>48531.350000000006</v>
      </c>
      <c r="M1352" s="111" t="s">
        <v>151</v>
      </c>
      <c r="N1352" s="324" t="s">
        <v>3161</v>
      </c>
      <c r="O1352" s="324" t="s">
        <v>3162</v>
      </c>
      <c r="P1352" s="318"/>
      <c r="Q1352" s="333"/>
      <c r="R1352" s="318"/>
      <c r="S1352" s="333"/>
      <c r="T1352" s="330"/>
      <c r="U1352" s="333"/>
      <c r="V1352" s="324"/>
      <c r="W1352" s="333"/>
      <c r="X1352" s="324"/>
      <c r="Y1352" s="333"/>
      <c r="Z1352" s="324"/>
      <c r="AA1352" s="334"/>
      <c r="AB1352" s="324"/>
      <c r="AC1352" s="334"/>
      <c r="AD1352" s="325"/>
      <c r="AE1352" s="325"/>
      <c r="AF1352" s="324"/>
      <c r="AG1352" s="335"/>
      <c r="AH1352" s="318">
        <f t="shared" si="48"/>
        <v>238749.97632500003</v>
      </c>
      <c r="AI1352" s="318"/>
      <c r="AJ1352" s="318"/>
      <c r="AK1352" s="324"/>
      <c r="AL1352" s="324"/>
      <c r="AM1352" s="336"/>
      <c r="AN1352" s="330"/>
      <c r="AO1352" s="330"/>
      <c r="AP1352" s="331"/>
    </row>
    <row r="1353" spans="1:42" s="341" customFormat="1" ht="37.950000000000003" customHeight="1" x14ac:dyDescent="0.3">
      <c r="A1353" s="318" t="s">
        <v>1641</v>
      </c>
      <c r="B1353" s="243" t="s">
        <v>1642</v>
      </c>
      <c r="C1353" s="287" t="s">
        <v>3163</v>
      </c>
      <c r="D1353" s="116" t="s">
        <v>34</v>
      </c>
      <c r="E1353" s="116" t="s">
        <v>1644</v>
      </c>
      <c r="F1353" s="324" t="s">
        <v>35</v>
      </c>
      <c r="G1353" s="318">
        <v>1</v>
      </c>
      <c r="H1353" s="323">
        <v>778720</v>
      </c>
      <c r="I1353" s="116" t="s">
        <v>36</v>
      </c>
      <c r="J1353" s="245">
        <f t="shared" si="47"/>
        <v>778720</v>
      </c>
      <c r="K1353" s="1638">
        <f>2032.73</f>
        <v>2032.73</v>
      </c>
      <c r="L1353" s="1638">
        <f>K1353</f>
        <v>2032.73</v>
      </c>
      <c r="M1353" s="337" t="s">
        <v>351</v>
      </c>
      <c r="N1353" s="338" t="s">
        <v>3164</v>
      </c>
      <c r="O1353" s="324"/>
      <c r="P1353" s="318"/>
      <c r="Q1353" s="333"/>
      <c r="R1353" s="318"/>
      <c r="S1353" s="333"/>
      <c r="T1353" s="330"/>
      <c r="U1353" s="333"/>
      <c r="V1353" s="324"/>
      <c r="W1353" s="333"/>
      <c r="X1353" s="324"/>
      <c r="Y1353" s="333"/>
      <c r="Z1353" s="324"/>
      <c r="AA1353" s="334"/>
      <c r="AB1353" s="324"/>
      <c r="AC1353" s="334"/>
      <c r="AD1353" s="325"/>
      <c r="AE1353" s="325"/>
      <c r="AF1353" s="324"/>
      <c r="AG1353" s="335"/>
      <c r="AH1353" s="329">
        <f t="shared" si="48"/>
        <v>10000.015235000001</v>
      </c>
      <c r="AI1353" s="318"/>
      <c r="AJ1353" s="318"/>
      <c r="AK1353" s="324"/>
      <c r="AL1353" s="324"/>
      <c r="AM1353" s="336"/>
      <c r="AN1353" s="330"/>
      <c r="AO1353" s="339"/>
      <c r="AP1353" s="340"/>
    </row>
    <row r="1354" spans="1:42" s="332" customFormat="1" ht="37.950000000000003" customHeight="1" x14ac:dyDescent="0.3">
      <c r="A1354" s="318" t="s">
        <v>1641</v>
      </c>
      <c r="B1354" s="243" t="s">
        <v>1642</v>
      </c>
      <c r="C1354" s="287" t="s">
        <v>3165</v>
      </c>
      <c r="D1354" s="116" t="s">
        <v>34</v>
      </c>
      <c r="E1354" s="116" t="s">
        <v>1644</v>
      </c>
      <c r="F1354" s="324" t="s">
        <v>35</v>
      </c>
      <c r="G1354" s="318">
        <v>1</v>
      </c>
      <c r="H1354" s="323">
        <v>778720</v>
      </c>
      <c r="I1354" s="116" t="s">
        <v>36</v>
      </c>
      <c r="J1354" s="245">
        <f t="shared" si="47"/>
        <v>778720</v>
      </c>
      <c r="K1354" s="1638">
        <v>1016.36</v>
      </c>
      <c r="L1354" s="1638">
        <v>1016.36</v>
      </c>
      <c r="M1354" s="111" t="s">
        <v>140</v>
      </c>
      <c r="N1354" s="324" t="s">
        <v>3166</v>
      </c>
      <c r="O1354" s="324"/>
      <c r="P1354" s="318"/>
      <c r="Q1354" s="333"/>
      <c r="R1354" s="318"/>
      <c r="S1354" s="333"/>
      <c r="T1354" s="330"/>
      <c r="U1354" s="333"/>
      <c r="V1354" s="324"/>
      <c r="W1354" s="333"/>
      <c r="X1354" s="324"/>
      <c r="Y1354" s="333"/>
      <c r="Z1354" s="324"/>
      <c r="AA1354" s="334"/>
      <c r="AB1354" s="324"/>
      <c r="AC1354" s="334"/>
      <c r="AD1354" s="325"/>
      <c r="AE1354" s="325"/>
      <c r="AF1354" s="324"/>
      <c r="AG1354" s="335"/>
      <c r="AH1354" s="329">
        <f t="shared" si="48"/>
        <v>4999.9830200000006</v>
      </c>
      <c r="AI1354" s="318"/>
      <c r="AJ1354" s="318"/>
      <c r="AK1354" s="324"/>
      <c r="AL1354" s="324"/>
      <c r="AM1354" s="336"/>
      <c r="AN1354" s="330"/>
      <c r="AO1354" s="330"/>
      <c r="AP1354" s="331"/>
    </row>
    <row r="1355" spans="1:42" s="332" customFormat="1" ht="37.950000000000003" customHeight="1" x14ac:dyDescent="0.3">
      <c r="A1355" s="318" t="s">
        <v>1641</v>
      </c>
      <c r="B1355" s="243" t="s">
        <v>1642</v>
      </c>
      <c r="C1355" s="287" t="s">
        <v>3167</v>
      </c>
      <c r="D1355" s="116" t="s">
        <v>34</v>
      </c>
      <c r="E1355" s="116" t="s">
        <v>1644</v>
      </c>
      <c r="F1355" s="324" t="s">
        <v>35</v>
      </c>
      <c r="G1355" s="318">
        <v>1</v>
      </c>
      <c r="H1355" s="323">
        <v>778720</v>
      </c>
      <c r="I1355" s="116" t="s">
        <v>36</v>
      </c>
      <c r="J1355" s="245">
        <f t="shared" si="47"/>
        <v>778720</v>
      </c>
      <c r="K1355" s="1397">
        <f>15245.45+4065.45+14533.99</f>
        <v>33844.89</v>
      </c>
      <c r="L1355" s="1397">
        <f>K1355</f>
        <v>33844.89</v>
      </c>
      <c r="M1355" s="111" t="s">
        <v>62</v>
      </c>
      <c r="N1355" s="324" t="s">
        <v>3168</v>
      </c>
      <c r="O1355" s="324"/>
      <c r="P1355" s="318"/>
      <c r="Q1355" s="333"/>
      <c r="R1355" s="318"/>
      <c r="S1355" s="333"/>
      <c r="T1355" s="330"/>
      <c r="U1355" s="333"/>
      <c r="V1355" s="324"/>
      <c r="W1355" s="333"/>
      <c r="X1355" s="324"/>
      <c r="Y1355" s="333"/>
      <c r="Z1355" s="324"/>
      <c r="AA1355" s="334"/>
      <c r="AB1355" s="324"/>
      <c r="AC1355" s="334"/>
      <c r="AD1355" s="325"/>
      <c r="AE1355" s="325"/>
      <c r="AF1355" s="324"/>
      <c r="AG1355" s="335"/>
      <c r="AH1355" s="329">
        <f t="shared" si="48"/>
        <v>166499.93635500001</v>
      </c>
      <c r="AI1355" s="318"/>
      <c r="AJ1355" s="318"/>
      <c r="AK1355" s="324"/>
      <c r="AL1355" s="324"/>
      <c r="AM1355" s="336"/>
      <c r="AN1355" s="330"/>
      <c r="AO1355" s="330"/>
      <c r="AP1355" s="331"/>
    </row>
    <row r="1356" spans="1:42" s="332" customFormat="1" ht="37.950000000000003" customHeight="1" x14ac:dyDescent="0.3">
      <c r="A1356" s="318" t="s">
        <v>1641</v>
      </c>
      <c r="B1356" s="243" t="s">
        <v>1642</v>
      </c>
      <c r="C1356" s="287" t="s">
        <v>3169</v>
      </c>
      <c r="D1356" s="116" t="s">
        <v>34</v>
      </c>
      <c r="E1356" s="116" t="s">
        <v>1644</v>
      </c>
      <c r="F1356" s="324" t="s">
        <v>35</v>
      </c>
      <c r="G1356" s="318">
        <v>1</v>
      </c>
      <c r="H1356" s="323">
        <v>778720</v>
      </c>
      <c r="I1356" s="116" t="s">
        <v>36</v>
      </c>
      <c r="J1356" s="245">
        <f t="shared" si="47"/>
        <v>778720</v>
      </c>
      <c r="K1356" s="1638"/>
      <c r="L1356" s="1638"/>
      <c r="M1356" s="111" t="s">
        <v>62</v>
      </c>
      <c r="N1356" s="324" t="s">
        <v>3170</v>
      </c>
      <c r="O1356" s="324"/>
      <c r="P1356" s="318"/>
      <c r="Q1356" s="333"/>
      <c r="R1356" s="318"/>
      <c r="S1356" s="333"/>
      <c r="T1356" s="330"/>
      <c r="U1356" s="333"/>
      <c r="V1356" s="324"/>
      <c r="W1356" s="333"/>
      <c r="X1356" s="324"/>
      <c r="Y1356" s="333"/>
      <c r="Z1356" s="324"/>
      <c r="AA1356" s="334"/>
      <c r="AB1356" s="324"/>
      <c r="AC1356" s="334"/>
      <c r="AD1356" s="325"/>
      <c r="AE1356" s="325"/>
      <c r="AF1356" s="324"/>
      <c r="AG1356" s="335"/>
      <c r="AH1356" s="318">
        <f t="shared" si="48"/>
        <v>0</v>
      </c>
      <c r="AI1356" s="318"/>
      <c r="AJ1356" s="318"/>
      <c r="AK1356" s="324"/>
      <c r="AL1356" s="324"/>
      <c r="AM1356" s="336"/>
      <c r="AN1356" s="330"/>
      <c r="AO1356" s="330"/>
      <c r="AP1356" s="331"/>
    </row>
    <row r="1357" spans="1:42" s="332" customFormat="1" ht="37.950000000000003" customHeight="1" x14ac:dyDescent="0.3">
      <c r="A1357" s="318" t="s">
        <v>1641</v>
      </c>
      <c r="B1357" s="243" t="s">
        <v>1642</v>
      </c>
      <c r="C1357" s="287" t="s">
        <v>3171</v>
      </c>
      <c r="D1357" s="116" t="s">
        <v>34</v>
      </c>
      <c r="E1357" s="116" t="s">
        <v>1644</v>
      </c>
      <c r="F1357" s="324" t="s">
        <v>35</v>
      </c>
      <c r="G1357" s="318">
        <v>1</v>
      </c>
      <c r="H1357" s="323">
        <v>778720</v>
      </c>
      <c r="I1357" s="116" t="s">
        <v>36</v>
      </c>
      <c r="J1357" s="245">
        <f t="shared" si="47"/>
        <v>778720</v>
      </c>
      <c r="K1357" s="1638"/>
      <c r="L1357" s="1638"/>
      <c r="M1357" s="111" t="s">
        <v>316</v>
      </c>
      <c r="N1357" s="324" t="s">
        <v>1782</v>
      </c>
      <c r="O1357" s="324"/>
      <c r="P1357" s="318"/>
      <c r="Q1357" s="333"/>
      <c r="R1357" s="318"/>
      <c r="S1357" s="333"/>
      <c r="T1357" s="330"/>
      <c r="U1357" s="333"/>
      <c r="V1357" s="324"/>
      <c r="W1357" s="333"/>
      <c r="X1357" s="324"/>
      <c r="Y1357" s="333"/>
      <c r="Z1357" s="324"/>
      <c r="AA1357" s="334"/>
      <c r="AB1357" s="324"/>
      <c r="AC1357" s="334"/>
      <c r="AD1357" s="325"/>
      <c r="AE1357" s="325"/>
      <c r="AF1357" s="324"/>
      <c r="AG1357" s="335"/>
      <c r="AH1357" s="318">
        <f t="shared" si="48"/>
        <v>0</v>
      </c>
      <c r="AI1357" s="318"/>
      <c r="AJ1357" s="318"/>
      <c r="AK1357" s="324"/>
      <c r="AL1357" s="324"/>
      <c r="AM1357" s="336"/>
      <c r="AN1357" s="330"/>
      <c r="AO1357" s="330"/>
      <c r="AP1357" s="331"/>
    </row>
    <row r="1358" spans="1:42" s="332" customFormat="1" ht="37.950000000000003" customHeight="1" x14ac:dyDescent="0.3">
      <c r="A1358" s="318" t="s">
        <v>1641</v>
      </c>
      <c r="B1358" s="243" t="s">
        <v>1642</v>
      </c>
      <c r="C1358" s="287" t="s">
        <v>3172</v>
      </c>
      <c r="D1358" s="116" t="s">
        <v>34</v>
      </c>
      <c r="E1358" s="116" t="s">
        <v>1644</v>
      </c>
      <c r="F1358" s="324" t="s">
        <v>35</v>
      </c>
      <c r="G1358" s="318">
        <v>1</v>
      </c>
      <c r="H1358" s="323">
        <v>778720</v>
      </c>
      <c r="I1358" s="116" t="s">
        <v>36</v>
      </c>
      <c r="J1358" s="245">
        <f t="shared" si="47"/>
        <v>778720</v>
      </c>
      <c r="K1358" s="1638"/>
      <c r="L1358" s="1638"/>
      <c r="M1358" s="111" t="s">
        <v>183</v>
      </c>
      <c r="N1358" s="324" t="s">
        <v>3173</v>
      </c>
      <c r="O1358" s="324"/>
      <c r="P1358" s="318"/>
      <c r="Q1358" s="333"/>
      <c r="R1358" s="318"/>
      <c r="S1358" s="333"/>
      <c r="T1358" s="330"/>
      <c r="U1358" s="333"/>
      <c r="V1358" s="324"/>
      <c r="W1358" s="333"/>
      <c r="X1358" s="324"/>
      <c r="Y1358" s="333"/>
      <c r="Z1358" s="324"/>
      <c r="AA1358" s="334"/>
      <c r="AB1358" s="324"/>
      <c r="AC1358" s="334"/>
      <c r="AD1358" s="325"/>
      <c r="AE1358" s="325"/>
      <c r="AF1358" s="324"/>
      <c r="AG1358" s="335"/>
      <c r="AH1358" s="318">
        <f t="shared" si="48"/>
        <v>0</v>
      </c>
      <c r="AI1358" s="318"/>
      <c r="AJ1358" s="318"/>
      <c r="AK1358" s="324"/>
      <c r="AL1358" s="324"/>
      <c r="AM1358" s="336"/>
      <c r="AN1358" s="330"/>
      <c r="AO1358" s="330"/>
      <c r="AP1358" s="331"/>
    </row>
    <row r="1359" spans="1:42" s="332" customFormat="1" ht="37.950000000000003" customHeight="1" x14ac:dyDescent="0.3">
      <c r="A1359" s="318" t="s">
        <v>1641</v>
      </c>
      <c r="B1359" s="243" t="s">
        <v>1642</v>
      </c>
      <c r="C1359" s="287" t="s">
        <v>3174</v>
      </c>
      <c r="D1359" s="116" t="s">
        <v>34</v>
      </c>
      <c r="E1359" s="116" t="s">
        <v>1644</v>
      </c>
      <c r="F1359" s="324" t="s">
        <v>35</v>
      </c>
      <c r="G1359" s="318">
        <v>1</v>
      </c>
      <c r="H1359" s="323">
        <v>778720</v>
      </c>
      <c r="I1359" s="116" t="s">
        <v>36</v>
      </c>
      <c r="J1359" s="245">
        <f t="shared" si="47"/>
        <v>778720</v>
      </c>
      <c r="K1359" s="1638">
        <f>20081.3</f>
        <v>20081.3</v>
      </c>
      <c r="L1359" s="1638">
        <f>20081.3</f>
        <v>20081.3</v>
      </c>
      <c r="M1359" s="111" t="s">
        <v>59</v>
      </c>
      <c r="N1359" s="324" t="s">
        <v>3175</v>
      </c>
      <c r="O1359" s="324"/>
      <c r="P1359" s="318"/>
      <c r="Q1359" s="333"/>
      <c r="R1359" s="318"/>
      <c r="S1359" s="333"/>
      <c r="T1359" s="330"/>
      <c r="U1359" s="333"/>
      <c r="V1359" s="324"/>
      <c r="W1359" s="333"/>
      <c r="X1359" s="324"/>
      <c r="Y1359" s="333"/>
      <c r="Z1359" s="324"/>
      <c r="AA1359" s="334"/>
      <c r="AB1359" s="324"/>
      <c r="AC1359" s="334"/>
      <c r="AD1359" s="325"/>
      <c r="AE1359" s="325"/>
      <c r="AF1359" s="324"/>
      <c r="AG1359" s="335"/>
      <c r="AH1359" s="318">
        <f t="shared" si="48"/>
        <v>98789.955350000004</v>
      </c>
      <c r="AI1359" s="318"/>
      <c r="AJ1359" s="318"/>
      <c r="AK1359" s="324"/>
      <c r="AL1359" s="324"/>
      <c r="AM1359" s="336"/>
      <c r="AN1359" s="330"/>
      <c r="AO1359" s="330"/>
      <c r="AP1359" s="331"/>
    </row>
    <row r="1360" spans="1:42" s="332" customFormat="1" ht="37.950000000000003" customHeight="1" x14ac:dyDescent="0.3">
      <c r="A1360" s="318" t="s">
        <v>1641</v>
      </c>
      <c r="B1360" s="243" t="s">
        <v>1642</v>
      </c>
      <c r="C1360" s="287" t="s">
        <v>3176</v>
      </c>
      <c r="D1360" s="116" t="s">
        <v>34</v>
      </c>
      <c r="E1360" s="116" t="s">
        <v>1644</v>
      </c>
      <c r="F1360" s="324" t="s">
        <v>35</v>
      </c>
      <c r="G1360" s="318">
        <v>1</v>
      </c>
      <c r="H1360" s="323">
        <v>778720</v>
      </c>
      <c r="I1360" s="116" t="s">
        <v>36</v>
      </c>
      <c r="J1360" s="245">
        <f t="shared" si="47"/>
        <v>778720</v>
      </c>
      <c r="K1360" s="1638">
        <f>27441.81+15424.38</f>
        <v>42866.19</v>
      </c>
      <c r="L1360" s="1638">
        <f>27441.81+15424.38</f>
        <v>42866.19</v>
      </c>
      <c r="M1360" s="111" t="s">
        <v>62</v>
      </c>
      <c r="N1360" s="324" t="s">
        <v>3177</v>
      </c>
      <c r="O1360" s="324"/>
      <c r="P1360" s="318"/>
      <c r="Q1360" s="333"/>
      <c r="R1360" s="318"/>
      <c r="S1360" s="333"/>
      <c r="T1360" s="330"/>
      <c r="U1360" s="333"/>
      <c r="V1360" s="324"/>
      <c r="W1360" s="333"/>
      <c r="X1360" s="324"/>
      <c r="Y1360" s="333"/>
      <c r="Z1360" s="324"/>
      <c r="AA1360" s="334"/>
      <c r="AB1360" s="324"/>
      <c r="AC1360" s="334"/>
      <c r="AD1360" s="325"/>
      <c r="AE1360" s="325"/>
      <c r="AF1360" s="324"/>
      <c r="AG1360" s="335"/>
      <c r="AH1360" s="318">
        <f t="shared" si="48"/>
        <v>210880.22170500003</v>
      </c>
      <c r="AI1360" s="318"/>
      <c r="AJ1360" s="318"/>
      <c r="AK1360" s="324"/>
      <c r="AL1360" s="324"/>
      <c r="AM1360" s="336"/>
      <c r="AN1360" s="330"/>
      <c r="AO1360" s="330"/>
      <c r="AP1360" s="331"/>
    </row>
    <row r="1361" spans="1:42" s="332" customFormat="1" ht="37.950000000000003" customHeight="1" x14ac:dyDescent="0.3">
      <c r="A1361" s="318" t="s">
        <v>1641</v>
      </c>
      <c r="B1361" s="243" t="s">
        <v>1642</v>
      </c>
      <c r="C1361" s="287" t="s">
        <v>3178</v>
      </c>
      <c r="D1361" s="116" t="s">
        <v>34</v>
      </c>
      <c r="E1361" s="116" t="s">
        <v>1644</v>
      </c>
      <c r="F1361" s="324" t="s">
        <v>35</v>
      </c>
      <c r="G1361" s="318">
        <v>1</v>
      </c>
      <c r="H1361" s="323">
        <v>778720</v>
      </c>
      <c r="I1361" s="116" t="s">
        <v>36</v>
      </c>
      <c r="J1361" s="245">
        <f t="shared" si="47"/>
        <v>778720</v>
      </c>
      <c r="K1361" s="1638">
        <f>8130.91+18091.27</f>
        <v>26222.18</v>
      </c>
      <c r="L1361" s="1638">
        <f>K1361</f>
        <v>26222.18</v>
      </c>
      <c r="M1361" s="111" t="s">
        <v>57</v>
      </c>
      <c r="N1361" s="324" t="s">
        <v>3179</v>
      </c>
      <c r="O1361" s="324"/>
      <c r="P1361" s="318"/>
      <c r="Q1361" s="333"/>
      <c r="R1361" s="318"/>
      <c r="S1361" s="333"/>
      <c r="T1361" s="330"/>
      <c r="U1361" s="333"/>
      <c r="V1361" s="324"/>
      <c r="W1361" s="333"/>
      <c r="X1361" s="324"/>
      <c r="Y1361" s="333"/>
      <c r="Z1361" s="324"/>
      <c r="AA1361" s="334"/>
      <c r="AB1361" s="324"/>
      <c r="AC1361" s="334"/>
      <c r="AD1361" s="325"/>
      <c r="AE1361" s="325"/>
      <c r="AF1361" s="324"/>
      <c r="AG1361" s="335"/>
      <c r="AH1361" s="329">
        <f t="shared" si="48"/>
        <v>129000.01451000001</v>
      </c>
      <c r="AI1361" s="318"/>
      <c r="AJ1361" s="318"/>
      <c r="AK1361" s="324"/>
      <c r="AL1361" s="324"/>
      <c r="AM1361" s="336"/>
      <c r="AN1361" s="330"/>
      <c r="AO1361" s="330"/>
      <c r="AP1361" s="331"/>
    </row>
    <row r="1362" spans="1:42" s="332" customFormat="1" ht="37.950000000000003" customHeight="1" x14ac:dyDescent="0.3">
      <c r="A1362" s="318" t="s">
        <v>1641</v>
      </c>
      <c r="B1362" s="243" t="s">
        <v>1642</v>
      </c>
      <c r="C1362" s="287" t="s">
        <v>3180</v>
      </c>
      <c r="D1362" s="116" t="s">
        <v>34</v>
      </c>
      <c r="E1362" s="116" t="s">
        <v>1644</v>
      </c>
      <c r="F1362" s="324" t="s">
        <v>35</v>
      </c>
      <c r="G1362" s="318">
        <v>1</v>
      </c>
      <c r="H1362" s="323">
        <v>778720</v>
      </c>
      <c r="I1362" s="116" t="s">
        <v>36</v>
      </c>
      <c r="J1362" s="245">
        <f t="shared" si="47"/>
        <v>778720</v>
      </c>
      <c r="K1362" s="1638">
        <f>12602.91</f>
        <v>12602.91</v>
      </c>
      <c r="L1362" s="1638">
        <f>K1362</f>
        <v>12602.91</v>
      </c>
      <c r="M1362" s="111" t="s">
        <v>69</v>
      </c>
      <c r="N1362" s="324" t="s">
        <v>3181</v>
      </c>
      <c r="O1362" s="324"/>
      <c r="P1362" s="318"/>
      <c r="Q1362" s="333"/>
      <c r="R1362" s="318"/>
      <c r="S1362" s="333"/>
      <c r="T1362" s="330"/>
      <c r="U1362" s="333"/>
      <c r="V1362" s="324"/>
      <c r="W1362" s="333"/>
      <c r="X1362" s="324"/>
      <c r="Y1362" s="333"/>
      <c r="Z1362" s="324"/>
      <c r="AA1362" s="334"/>
      <c r="AB1362" s="324"/>
      <c r="AC1362" s="334"/>
      <c r="AD1362" s="325"/>
      <c r="AE1362" s="325"/>
      <c r="AF1362" s="324"/>
      <c r="AG1362" s="335"/>
      <c r="AH1362" s="318">
        <f t="shared" si="48"/>
        <v>62000.015745000004</v>
      </c>
      <c r="AI1362" s="318"/>
      <c r="AJ1362" s="318"/>
      <c r="AK1362" s="324"/>
      <c r="AL1362" s="324"/>
      <c r="AM1362" s="336"/>
      <c r="AN1362" s="330"/>
      <c r="AO1362" s="330"/>
      <c r="AP1362" s="331"/>
    </row>
    <row r="1363" spans="1:42" s="332" customFormat="1" ht="37.950000000000003" customHeight="1" x14ac:dyDescent="0.3">
      <c r="A1363" s="318" t="s">
        <v>1641</v>
      </c>
      <c r="B1363" s="243" t="s">
        <v>1642</v>
      </c>
      <c r="C1363" s="287" t="s">
        <v>3182</v>
      </c>
      <c r="D1363" s="116" t="s">
        <v>34</v>
      </c>
      <c r="E1363" s="116" t="s">
        <v>1644</v>
      </c>
      <c r="F1363" s="324" t="s">
        <v>35</v>
      </c>
      <c r="G1363" s="318">
        <v>1</v>
      </c>
      <c r="H1363" s="323">
        <v>778720</v>
      </c>
      <c r="I1363" s="116" t="s">
        <v>36</v>
      </c>
      <c r="J1363" s="245">
        <f t="shared" si="47"/>
        <v>778720</v>
      </c>
      <c r="K1363" s="1638">
        <f>22359.99+9248.91-101.64+4837.89+148018.869+43007.547</f>
        <v>227371.56599999999</v>
      </c>
      <c r="L1363" s="1638">
        <f>K1363</f>
        <v>227371.56599999999</v>
      </c>
      <c r="M1363" s="111" t="s">
        <v>67</v>
      </c>
      <c r="N1363" s="324" t="s">
        <v>3183</v>
      </c>
      <c r="O1363" s="324" t="s">
        <v>3184</v>
      </c>
      <c r="P1363" s="318"/>
      <c r="Q1363" s="333"/>
      <c r="R1363" s="318"/>
      <c r="S1363" s="333"/>
      <c r="T1363" s="330"/>
      <c r="U1363" s="333"/>
      <c r="V1363" s="324"/>
      <c r="W1363" s="333"/>
      <c r="X1363" s="324"/>
      <c r="Y1363" s="333"/>
      <c r="Z1363" s="324"/>
      <c r="AA1363" s="334"/>
      <c r="AB1363" s="324"/>
      <c r="AC1363" s="334"/>
      <c r="AD1363" s="325"/>
      <c r="AE1363" s="325"/>
      <c r="AF1363" s="324"/>
      <c r="AG1363" s="335"/>
      <c r="AH1363" s="329">
        <f t="shared" si="48"/>
        <v>1118554.418937</v>
      </c>
      <c r="AI1363" s="318"/>
      <c r="AJ1363" s="318"/>
      <c r="AK1363" s="324"/>
      <c r="AL1363" s="324"/>
      <c r="AM1363" s="336"/>
      <c r="AN1363" s="330"/>
      <c r="AO1363" s="330"/>
      <c r="AP1363" s="331"/>
    </row>
    <row r="1364" spans="1:42" s="332" customFormat="1" ht="37.950000000000003" customHeight="1" x14ac:dyDescent="0.3">
      <c r="A1364" s="318" t="s">
        <v>1641</v>
      </c>
      <c r="B1364" s="243" t="s">
        <v>1642</v>
      </c>
      <c r="C1364" s="287" t="s">
        <v>3185</v>
      </c>
      <c r="D1364" s="116" t="s">
        <v>34</v>
      </c>
      <c r="E1364" s="116" t="s">
        <v>1644</v>
      </c>
      <c r="F1364" s="324" t="s">
        <v>35</v>
      </c>
      <c r="G1364" s="318">
        <v>1</v>
      </c>
      <c r="H1364" s="323">
        <v>778719.99</v>
      </c>
      <c r="I1364" s="116" t="s">
        <v>36</v>
      </c>
      <c r="J1364" s="245">
        <f t="shared" si="47"/>
        <v>778719.99</v>
      </c>
      <c r="K1364" s="1638">
        <f>12298+28664.5</f>
        <v>40962.5</v>
      </c>
      <c r="L1364" s="1638">
        <f>K1364</f>
        <v>40962.5</v>
      </c>
      <c r="M1364" s="111" t="s">
        <v>60</v>
      </c>
      <c r="N1364" s="324" t="s">
        <v>3186</v>
      </c>
      <c r="O1364" s="324" t="s">
        <v>3187</v>
      </c>
      <c r="P1364" s="318"/>
      <c r="Q1364" s="333"/>
      <c r="R1364" s="318"/>
      <c r="S1364" s="333"/>
      <c r="T1364" s="330"/>
      <c r="U1364" s="333"/>
      <c r="V1364" s="324"/>
      <c r="W1364" s="333"/>
      <c r="X1364" s="324"/>
      <c r="Y1364" s="333"/>
      <c r="Z1364" s="324"/>
      <c r="AA1364" s="334"/>
      <c r="AB1364" s="324"/>
      <c r="AC1364" s="334"/>
      <c r="AD1364" s="325"/>
      <c r="AE1364" s="325"/>
      <c r="AF1364" s="324"/>
      <c r="AG1364" s="335"/>
      <c r="AH1364" s="329">
        <f t="shared" si="48"/>
        <v>201515.01875000002</v>
      </c>
      <c r="AI1364" s="318"/>
      <c r="AJ1364" s="318"/>
      <c r="AK1364" s="324"/>
      <c r="AL1364" s="324"/>
      <c r="AM1364" s="336"/>
      <c r="AN1364" s="330"/>
      <c r="AO1364" s="330"/>
      <c r="AP1364" s="331"/>
    </row>
    <row r="1365" spans="1:42" s="332" customFormat="1" ht="37.950000000000003" customHeight="1" x14ac:dyDescent="0.3">
      <c r="A1365" s="318" t="s">
        <v>1641</v>
      </c>
      <c r="B1365" s="243" t="s">
        <v>1642</v>
      </c>
      <c r="C1365" s="287" t="s">
        <v>3188</v>
      </c>
      <c r="D1365" s="116" t="s">
        <v>34</v>
      </c>
      <c r="E1365" s="116" t="s">
        <v>1644</v>
      </c>
      <c r="F1365" s="324" t="s">
        <v>35</v>
      </c>
      <c r="G1365" s="318">
        <v>1</v>
      </c>
      <c r="H1365" s="323">
        <v>778720</v>
      </c>
      <c r="I1365" s="116" t="s">
        <v>36</v>
      </c>
      <c r="J1365" s="245">
        <f t="shared" si="47"/>
        <v>778720</v>
      </c>
      <c r="K1365" s="1397">
        <f>17422.31-19.31-3.67+7903.24</f>
        <v>25302.57</v>
      </c>
      <c r="L1365" s="1397">
        <f>17422.31-19.31-3.67+7903.244</f>
        <v>25302.574000000001</v>
      </c>
      <c r="M1365" s="111" t="s">
        <v>79</v>
      </c>
      <c r="N1365" s="324" t="s">
        <v>3189</v>
      </c>
      <c r="O1365" s="324" t="s">
        <v>3190</v>
      </c>
      <c r="P1365" s="318"/>
      <c r="Q1365" s="333"/>
      <c r="R1365" s="318"/>
      <c r="S1365" s="333"/>
      <c r="T1365" s="330"/>
      <c r="U1365" s="333"/>
      <c r="V1365" s="324"/>
      <c r="W1365" s="333"/>
      <c r="X1365" s="324"/>
      <c r="Y1365" s="333"/>
      <c r="Z1365" s="324"/>
      <c r="AA1365" s="334"/>
      <c r="AB1365" s="324"/>
      <c r="AC1365" s="334"/>
      <c r="AD1365" s="325"/>
      <c r="AE1365" s="325"/>
      <c r="AF1365" s="324"/>
      <c r="AG1365" s="335"/>
      <c r="AH1365" s="318">
        <f t="shared" si="48"/>
        <v>124475.993115</v>
      </c>
      <c r="AI1365" s="318"/>
      <c r="AJ1365" s="318"/>
      <c r="AK1365" s="324"/>
      <c r="AL1365" s="324"/>
      <c r="AM1365" s="336"/>
      <c r="AN1365" s="330"/>
      <c r="AO1365" s="330"/>
      <c r="AP1365" s="331"/>
    </row>
    <row r="1366" spans="1:42" s="332" customFormat="1" ht="37.950000000000003" customHeight="1" x14ac:dyDescent="0.3">
      <c r="A1366" s="318" t="s">
        <v>1641</v>
      </c>
      <c r="B1366" s="243" t="s">
        <v>1642</v>
      </c>
      <c r="C1366" s="287" t="s">
        <v>3191</v>
      </c>
      <c r="D1366" s="116" t="s">
        <v>34</v>
      </c>
      <c r="E1366" s="116" t="s">
        <v>1644</v>
      </c>
      <c r="F1366" s="324" t="s">
        <v>35</v>
      </c>
      <c r="G1366" s="318">
        <v>1</v>
      </c>
      <c r="H1366" s="323">
        <v>778720</v>
      </c>
      <c r="I1366" s="116" t="s">
        <v>36</v>
      </c>
      <c r="J1366" s="245">
        <f t="shared" si="47"/>
        <v>778720</v>
      </c>
      <c r="K1366" s="1638"/>
      <c r="L1366" s="1638"/>
      <c r="M1366" s="111" t="s">
        <v>868</v>
      </c>
      <c r="N1366" s="324" t="s">
        <v>3192</v>
      </c>
      <c r="O1366" s="324"/>
      <c r="P1366" s="318"/>
      <c r="Q1366" s="333"/>
      <c r="R1366" s="318"/>
      <c r="S1366" s="333"/>
      <c r="T1366" s="330"/>
      <c r="U1366" s="333"/>
      <c r="V1366" s="324"/>
      <c r="W1366" s="333"/>
      <c r="X1366" s="324"/>
      <c r="Y1366" s="333"/>
      <c r="Z1366" s="324"/>
      <c r="AA1366" s="334"/>
      <c r="AB1366" s="324"/>
      <c r="AC1366" s="334"/>
      <c r="AD1366" s="325"/>
      <c r="AE1366" s="325"/>
      <c r="AF1366" s="324"/>
      <c r="AG1366" s="335"/>
      <c r="AH1366" s="318">
        <f t="shared" si="48"/>
        <v>0</v>
      </c>
      <c r="AI1366" s="318"/>
      <c r="AJ1366" s="318"/>
      <c r="AK1366" s="324"/>
      <c r="AL1366" s="324"/>
      <c r="AM1366" s="336"/>
      <c r="AN1366" s="330"/>
      <c r="AO1366" s="330"/>
      <c r="AP1366" s="331"/>
    </row>
    <row r="1367" spans="1:42" s="332" customFormat="1" ht="37.950000000000003" customHeight="1" x14ac:dyDescent="0.3">
      <c r="A1367" s="318" t="s">
        <v>1641</v>
      </c>
      <c r="B1367" s="243" t="s">
        <v>1642</v>
      </c>
      <c r="C1367" s="342" t="s">
        <v>3193</v>
      </c>
      <c r="D1367" s="116" t="s">
        <v>34</v>
      </c>
      <c r="E1367" s="116" t="s">
        <v>1644</v>
      </c>
      <c r="F1367" s="324" t="s">
        <v>35</v>
      </c>
      <c r="G1367" s="318">
        <v>1</v>
      </c>
      <c r="H1367" s="323">
        <v>778720</v>
      </c>
      <c r="I1367" s="116" t="s">
        <v>36</v>
      </c>
      <c r="J1367" s="245">
        <f t="shared" si="47"/>
        <v>778720</v>
      </c>
      <c r="K1367" s="1638">
        <f>26425.45+4065.45+7229.02+8639.089</f>
        <v>46359.008999999998</v>
      </c>
      <c r="L1367" s="1638">
        <f>K1367</f>
        <v>46359.008999999998</v>
      </c>
      <c r="M1367" s="111" t="s">
        <v>412</v>
      </c>
      <c r="N1367" s="324" t="s">
        <v>2376</v>
      </c>
      <c r="O1367" s="1182" t="s">
        <v>3194</v>
      </c>
      <c r="P1367" s="318"/>
      <c r="Q1367" s="333"/>
      <c r="R1367" s="318"/>
      <c r="S1367" s="333"/>
      <c r="T1367" s="330"/>
      <c r="U1367" s="333"/>
      <c r="V1367" s="324"/>
      <c r="W1367" s="333"/>
      <c r="X1367" s="324"/>
      <c r="Y1367" s="333"/>
      <c r="Z1367" s="324"/>
      <c r="AA1367" s="334"/>
      <c r="AB1367" s="324"/>
      <c r="AC1367" s="334"/>
      <c r="AD1367" s="325"/>
      <c r="AE1367" s="325"/>
      <c r="AF1367" s="324"/>
      <c r="AG1367" s="335"/>
      <c r="AH1367" s="329">
        <f t="shared" si="48"/>
        <v>228063.1447755</v>
      </c>
      <c r="AI1367" s="318"/>
      <c r="AJ1367" s="318"/>
      <c r="AK1367" s="324"/>
      <c r="AL1367" s="324"/>
      <c r="AM1367" s="336"/>
      <c r="AN1367" s="330"/>
      <c r="AO1367" s="330"/>
      <c r="AP1367" s="331"/>
    </row>
    <row r="1368" spans="1:42" s="332" customFormat="1" ht="37.950000000000003" customHeight="1" x14ac:dyDescent="0.3">
      <c r="A1368" s="318" t="s">
        <v>1641</v>
      </c>
      <c r="B1368" s="243" t="s">
        <v>1642</v>
      </c>
      <c r="C1368" s="342" t="s">
        <v>3195</v>
      </c>
      <c r="D1368" s="116" t="s">
        <v>34</v>
      </c>
      <c r="E1368" s="116" t="s">
        <v>1644</v>
      </c>
      <c r="F1368" s="324" t="s">
        <v>35</v>
      </c>
      <c r="G1368" s="318">
        <v>1</v>
      </c>
      <c r="H1368" s="323">
        <v>778720</v>
      </c>
      <c r="I1368" s="116" t="s">
        <v>36</v>
      </c>
      <c r="J1368" s="245">
        <f t="shared" si="47"/>
        <v>778720</v>
      </c>
      <c r="K1368" s="1638">
        <v>6047.36</v>
      </c>
      <c r="L1368" s="1638">
        <v>6047.36</v>
      </c>
      <c r="M1368" s="111" t="s">
        <v>868</v>
      </c>
      <c r="N1368" s="324" t="s">
        <v>868</v>
      </c>
      <c r="O1368" s="324" t="s">
        <v>3196</v>
      </c>
      <c r="P1368" s="318"/>
      <c r="Q1368" s="333"/>
      <c r="R1368" s="318"/>
      <c r="S1368" s="333"/>
      <c r="T1368" s="330"/>
      <c r="U1368" s="333"/>
      <c r="V1368" s="324"/>
      <c r="W1368" s="333"/>
      <c r="X1368" s="324"/>
      <c r="Y1368" s="333"/>
      <c r="Z1368" s="324"/>
      <c r="AA1368" s="334"/>
      <c r="AB1368" s="324"/>
      <c r="AC1368" s="334"/>
      <c r="AD1368" s="325"/>
      <c r="AE1368" s="325"/>
      <c r="AF1368" s="324"/>
      <c r="AG1368" s="335"/>
      <c r="AH1368" s="318">
        <f t="shared" si="48"/>
        <v>29749.987519999999</v>
      </c>
      <c r="AI1368" s="318"/>
      <c r="AJ1368" s="318"/>
      <c r="AK1368" s="324"/>
      <c r="AL1368" s="324"/>
      <c r="AM1368" s="336"/>
      <c r="AN1368" s="330"/>
      <c r="AO1368" s="330"/>
      <c r="AP1368" s="331"/>
    </row>
    <row r="1369" spans="1:42" s="332" customFormat="1" ht="37.950000000000003" customHeight="1" x14ac:dyDescent="0.3">
      <c r="A1369" s="318" t="s">
        <v>1641</v>
      </c>
      <c r="B1369" s="243" t="s">
        <v>1642</v>
      </c>
      <c r="C1369" s="287" t="s">
        <v>3197</v>
      </c>
      <c r="D1369" s="116" t="s">
        <v>34</v>
      </c>
      <c r="E1369" s="116" t="s">
        <v>1644</v>
      </c>
      <c r="F1369" s="324" t="s">
        <v>35</v>
      </c>
      <c r="G1369" s="318">
        <v>1</v>
      </c>
      <c r="H1369" s="323">
        <v>756305.63</v>
      </c>
      <c r="I1369" s="116" t="s">
        <v>36</v>
      </c>
      <c r="J1369" s="245">
        <f t="shared" si="47"/>
        <v>756305.63</v>
      </c>
      <c r="K1369" s="1638"/>
      <c r="L1369" s="1638"/>
      <c r="M1369" s="111" t="s">
        <v>68</v>
      </c>
      <c r="N1369" s="324" t="s">
        <v>3198</v>
      </c>
      <c r="O1369" s="324"/>
      <c r="P1369" s="318"/>
      <c r="Q1369" s="333"/>
      <c r="R1369" s="318"/>
      <c r="S1369" s="333"/>
      <c r="T1369" s="330"/>
      <c r="U1369" s="333"/>
      <c r="V1369" s="324"/>
      <c r="W1369" s="333"/>
      <c r="X1369" s="324"/>
      <c r="Y1369" s="333"/>
      <c r="Z1369" s="324"/>
      <c r="AA1369" s="334"/>
      <c r="AB1369" s="324"/>
      <c r="AC1369" s="334"/>
      <c r="AD1369" s="325"/>
      <c r="AE1369" s="325"/>
      <c r="AF1369" s="324"/>
      <c r="AG1369" s="335"/>
      <c r="AH1369" s="318">
        <f t="shared" si="48"/>
        <v>0</v>
      </c>
      <c r="AI1369" s="318"/>
      <c r="AJ1369" s="318"/>
      <c r="AK1369" s="324"/>
      <c r="AL1369" s="324"/>
      <c r="AM1369" s="336"/>
      <c r="AN1369" s="330"/>
      <c r="AO1369" s="330"/>
      <c r="AP1369" s="331"/>
    </row>
    <row r="1370" spans="1:42" s="332" customFormat="1" ht="37.950000000000003" customHeight="1" x14ac:dyDescent="0.3">
      <c r="A1370" s="318" t="s">
        <v>1641</v>
      </c>
      <c r="B1370" s="243" t="s">
        <v>1642</v>
      </c>
      <c r="C1370" s="287" t="s">
        <v>3199</v>
      </c>
      <c r="D1370" s="116" t="s">
        <v>34</v>
      </c>
      <c r="E1370" s="116" t="s">
        <v>1644</v>
      </c>
      <c r="F1370" s="324" t="s">
        <v>35</v>
      </c>
      <c r="G1370" s="318">
        <v>1</v>
      </c>
      <c r="H1370" s="323">
        <v>778720</v>
      </c>
      <c r="I1370" s="116" t="s">
        <v>36</v>
      </c>
      <c r="J1370" s="245">
        <f t="shared" si="47"/>
        <v>778720</v>
      </c>
      <c r="K1370" s="1638"/>
      <c r="L1370" s="1638"/>
      <c r="M1370" s="111" t="s">
        <v>58</v>
      </c>
      <c r="N1370" s="324" t="s">
        <v>3200</v>
      </c>
      <c r="O1370" s="324"/>
      <c r="P1370" s="318"/>
      <c r="Q1370" s="333"/>
      <c r="R1370" s="318"/>
      <c r="S1370" s="333"/>
      <c r="T1370" s="330"/>
      <c r="U1370" s="333"/>
      <c r="V1370" s="324"/>
      <c r="W1370" s="333"/>
      <c r="X1370" s="324"/>
      <c r="Y1370" s="333"/>
      <c r="Z1370" s="324"/>
      <c r="AA1370" s="334"/>
      <c r="AB1370" s="324"/>
      <c r="AC1370" s="334"/>
      <c r="AD1370" s="325"/>
      <c r="AE1370" s="325"/>
      <c r="AF1370" s="324"/>
      <c r="AG1370" s="335"/>
      <c r="AH1370" s="318">
        <f t="shared" si="48"/>
        <v>0</v>
      </c>
      <c r="AI1370" s="318"/>
      <c r="AJ1370" s="318"/>
      <c r="AK1370" s="324"/>
      <c r="AL1370" s="324"/>
      <c r="AM1370" s="336"/>
      <c r="AN1370" s="330"/>
      <c r="AO1370" s="330"/>
      <c r="AP1370" s="331"/>
    </row>
    <row r="1371" spans="1:42" s="332" customFormat="1" ht="37.950000000000003" customHeight="1" x14ac:dyDescent="0.3">
      <c r="A1371" s="318" t="s">
        <v>1641</v>
      </c>
      <c r="B1371" s="243" t="s">
        <v>1642</v>
      </c>
      <c r="C1371" s="287" t="s">
        <v>3201</v>
      </c>
      <c r="D1371" s="116" t="s">
        <v>34</v>
      </c>
      <c r="E1371" s="116" t="s">
        <v>1644</v>
      </c>
      <c r="F1371" s="324" t="s">
        <v>35</v>
      </c>
      <c r="G1371" s="318">
        <v>1</v>
      </c>
      <c r="H1371" s="323">
        <v>778720</v>
      </c>
      <c r="I1371" s="116" t="s">
        <v>36</v>
      </c>
      <c r="J1371" s="245">
        <f t="shared" si="47"/>
        <v>778720</v>
      </c>
      <c r="K1371" s="1638">
        <f>2032.73+17481.45+22979.98</f>
        <v>42494.16</v>
      </c>
      <c r="L1371" s="1638">
        <f>K1371</f>
        <v>42494.16</v>
      </c>
      <c r="M1371" s="111" t="s">
        <v>351</v>
      </c>
      <c r="N1371" s="324" t="s">
        <v>3202</v>
      </c>
      <c r="O1371" s="324" t="s">
        <v>3203</v>
      </c>
      <c r="P1371" s="318"/>
      <c r="Q1371" s="333"/>
      <c r="R1371" s="318"/>
      <c r="S1371" s="333"/>
      <c r="T1371" s="330"/>
      <c r="U1371" s="333"/>
      <c r="V1371" s="324"/>
      <c r="W1371" s="333"/>
      <c r="X1371" s="324"/>
      <c r="Y1371" s="333"/>
      <c r="Z1371" s="324"/>
      <c r="AA1371" s="334"/>
      <c r="AB1371" s="324"/>
      <c r="AC1371" s="334"/>
      <c r="AD1371" s="325"/>
      <c r="AE1371" s="325"/>
      <c r="AF1371" s="324"/>
      <c r="AG1371" s="335"/>
      <c r="AH1371" s="329">
        <f t="shared" si="48"/>
        <v>209050.02012000003</v>
      </c>
      <c r="AI1371" s="318"/>
      <c r="AJ1371" s="318"/>
      <c r="AK1371" s="324"/>
      <c r="AL1371" s="324"/>
      <c r="AM1371" s="336"/>
      <c r="AN1371" s="330"/>
      <c r="AO1371" s="330"/>
      <c r="AP1371" s="331"/>
    </row>
    <row r="1372" spans="1:42" s="332" customFormat="1" ht="37.950000000000003" customHeight="1" x14ac:dyDescent="0.3">
      <c r="A1372" s="318" t="s">
        <v>1641</v>
      </c>
      <c r="B1372" s="243" t="s">
        <v>1642</v>
      </c>
      <c r="C1372" s="287" t="s">
        <v>3204</v>
      </c>
      <c r="D1372" s="116" t="s">
        <v>34</v>
      </c>
      <c r="E1372" s="116" t="s">
        <v>1644</v>
      </c>
      <c r="F1372" s="324" t="s">
        <v>35</v>
      </c>
      <c r="G1372" s="318">
        <v>1</v>
      </c>
      <c r="H1372" s="323">
        <v>778720</v>
      </c>
      <c r="I1372" s="116" t="s">
        <v>36</v>
      </c>
      <c r="J1372" s="245">
        <f t="shared" si="47"/>
        <v>778720</v>
      </c>
      <c r="K1372" s="1699">
        <f>22766.54</f>
        <v>22766.54</v>
      </c>
      <c r="L1372" s="1699">
        <f>22766.54</f>
        <v>22766.54</v>
      </c>
      <c r="M1372" s="111" t="s">
        <v>868</v>
      </c>
      <c r="N1372" s="324" t="s">
        <v>3205</v>
      </c>
      <c r="O1372" s="324"/>
      <c r="P1372" s="318"/>
      <c r="Q1372" s="333"/>
      <c r="R1372" s="318"/>
      <c r="S1372" s="333"/>
      <c r="T1372" s="330"/>
      <c r="U1372" s="333"/>
      <c r="V1372" s="324"/>
      <c r="W1372" s="333"/>
      <c r="X1372" s="324"/>
      <c r="Y1372" s="333"/>
      <c r="Z1372" s="324"/>
      <c r="AA1372" s="334"/>
      <c r="AB1372" s="324"/>
      <c r="AC1372" s="334"/>
      <c r="AD1372" s="325"/>
      <c r="AE1372" s="325"/>
      <c r="AF1372" s="324"/>
      <c r="AG1372" s="335"/>
      <c r="AH1372" s="318">
        <f t="shared" si="48"/>
        <v>111999.99353000001</v>
      </c>
      <c r="AI1372" s="318"/>
      <c r="AJ1372" s="318"/>
      <c r="AK1372" s="324"/>
      <c r="AL1372" s="324"/>
      <c r="AM1372" s="336"/>
      <c r="AN1372" s="330"/>
      <c r="AO1372" s="330"/>
      <c r="AP1372" s="331"/>
    </row>
    <row r="1373" spans="1:42" s="332" customFormat="1" ht="37.950000000000003" customHeight="1" x14ac:dyDescent="0.3">
      <c r="A1373" s="318" t="s">
        <v>1641</v>
      </c>
      <c r="B1373" s="243" t="s">
        <v>1642</v>
      </c>
      <c r="C1373" s="287" t="s">
        <v>3206</v>
      </c>
      <c r="D1373" s="116" t="s">
        <v>34</v>
      </c>
      <c r="E1373" s="116" t="s">
        <v>1644</v>
      </c>
      <c r="F1373" s="324" t="s">
        <v>35</v>
      </c>
      <c r="G1373" s="318">
        <v>1</v>
      </c>
      <c r="H1373" s="323">
        <v>761981.7</v>
      </c>
      <c r="I1373" s="116" t="s">
        <v>36</v>
      </c>
      <c r="J1373" s="245">
        <f t="shared" si="47"/>
        <v>761981.7</v>
      </c>
      <c r="K1373" s="1699">
        <f>1219.64+4502.69+4370.36+1829.45</f>
        <v>11922.14</v>
      </c>
      <c r="L1373" s="1699">
        <f>K1373</f>
        <v>11922.14</v>
      </c>
      <c r="M1373" s="111" t="s">
        <v>67</v>
      </c>
      <c r="N1373" s="324" t="s">
        <v>3207</v>
      </c>
      <c r="O1373" s="324"/>
      <c r="P1373" s="318"/>
      <c r="Q1373" s="333"/>
      <c r="R1373" s="318"/>
      <c r="S1373" s="333"/>
      <c r="T1373" s="330"/>
      <c r="U1373" s="333"/>
      <c r="V1373" s="324"/>
      <c r="W1373" s="333"/>
      <c r="X1373" s="324"/>
      <c r="Y1373" s="333"/>
      <c r="Z1373" s="324"/>
      <c r="AA1373" s="334"/>
      <c r="AB1373" s="324"/>
      <c r="AC1373" s="334"/>
      <c r="AD1373" s="325"/>
      <c r="AE1373" s="325"/>
      <c r="AF1373" s="324"/>
      <c r="AG1373" s="335"/>
      <c r="AH1373" s="329">
        <f t="shared" si="48"/>
        <v>58650.967729999997</v>
      </c>
      <c r="AI1373" s="318"/>
      <c r="AJ1373" s="318"/>
      <c r="AK1373" s="324"/>
      <c r="AL1373" s="324"/>
      <c r="AM1373" s="336"/>
      <c r="AN1373" s="330"/>
      <c r="AO1373" s="330"/>
      <c r="AP1373" s="331"/>
    </row>
    <row r="1374" spans="1:42" s="332" customFormat="1" ht="37.950000000000003" customHeight="1" x14ac:dyDescent="0.3">
      <c r="A1374" s="318" t="s">
        <v>1641</v>
      </c>
      <c r="B1374" s="243" t="s">
        <v>1642</v>
      </c>
      <c r="C1374" s="287" t="s">
        <v>3208</v>
      </c>
      <c r="D1374" s="116" t="s">
        <v>34</v>
      </c>
      <c r="E1374" s="116" t="s">
        <v>1644</v>
      </c>
      <c r="F1374" s="324" t="s">
        <v>35</v>
      </c>
      <c r="G1374" s="318">
        <v>1</v>
      </c>
      <c r="H1374" s="323">
        <v>778720</v>
      </c>
      <c r="I1374" s="116" t="s">
        <v>36</v>
      </c>
      <c r="J1374" s="245">
        <f t="shared" si="47"/>
        <v>778720</v>
      </c>
      <c r="K1374" s="1638">
        <f>10976.73+27441.81</f>
        <v>38418.54</v>
      </c>
      <c r="L1374" s="1638">
        <f>K1374</f>
        <v>38418.54</v>
      </c>
      <c r="M1374" s="111" t="s">
        <v>51</v>
      </c>
      <c r="N1374" s="324" t="s">
        <v>3209</v>
      </c>
      <c r="O1374" s="324"/>
      <c r="P1374" s="318"/>
      <c r="Q1374" s="333"/>
      <c r="R1374" s="318"/>
      <c r="S1374" s="333"/>
      <c r="T1374" s="330"/>
      <c r="U1374" s="333"/>
      <c r="V1374" s="324"/>
      <c r="W1374" s="333"/>
      <c r="X1374" s="324"/>
      <c r="Y1374" s="333"/>
      <c r="Z1374" s="324"/>
      <c r="AA1374" s="334"/>
      <c r="AB1374" s="324"/>
      <c r="AC1374" s="334"/>
      <c r="AD1374" s="325"/>
      <c r="AE1374" s="325"/>
      <c r="AF1374" s="324"/>
      <c r="AG1374" s="335"/>
      <c r="AH1374" s="318">
        <f t="shared" si="48"/>
        <v>189000.00753</v>
      </c>
      <c r="AI1374" s="318"/>
      <c r="AJ1374" s="318"/>
      <c r="AK1374" s="324"/>
      <c r="AL1374" s="324"/>
      <c r="AM1374" s="336"/>
      <c r="AN1374" s="330"/>
      <c r="AO1374" s="330"/>
      <c r="AP1374" s="331"/>
    </row>
    <row r="1375" spans="1:42" s="332" customFormat="1" ht="37.950000000000003" customHeight="1" x14ac:dyDescent="0.3">
      <c r="A1375" s="318" t="s">
        <v>1641</v>
      </c>
      <c r="B1375" s="243" t="s">
        <v>1642</v>
      </c>
      <c r="C1375" s="287" t="s">
        <v>3210</v>
      </c>
      <c r="D1375" s="116" t="s">
        <v>34</v>
      </c>
      <c r="E1375" s="116" t="s">
        <v>1644</v>
      </c>
      <c r="F1375" s="324" t="s">
        <v>35</v>
      </c>
      <c r="G1375" s="318">
        <v>1</v>
      </c>
      <c r="H1375" s="323">
        <v>778720</v>
      </c>
      <c r="I1375" s="116" t="s">
        <v>36</v>
      </c>
      <c r="J1375" s="245">
        <f t="shared" si="47"/>
        <v>778720</v>
      </c>
      <c r="K1375" s="1638"/>
      <c r="L1375" s="1638"/>
      <c r="M1375" s="111" t="s">
        <v>82</v>
      </c>
      <c r="N1375" s="324" t="s">
        <v>3211</v>
      </c>
      <c r="O1375" s="324"/>
      <c r="P1375" s="318"/>
      <c r="Q1375" s="333"/>
      <c r="R1375" s="318"/>
      <c r="S1375" s="333"/>
      <c r="T1375" s="330"/>
      <c r="U1375" s="333"/>
      <c r="V1375" s="324"/>
      <c r="W1375" s="333"/>
      <c r="X1375" s="324"/>
      <c r="Y1375" s="333"/>
      <c r="Z1375" s="324"/>
      <c r="AA1375" s="334"/>
      <c r="AB1375" s="324"/>
      <c r="AC1375" s="334"/>
      <c r="AD1375" s="325"/>
      <c r="AE1375" s="325"/>
      <c r="AF1375" s="324"/>
      <c r="AG1375" s="335"/>
      <c r="AH1375" s="318">
        <f t="shared" si="48"/>
        <v>0</v>
      </c>
      <c r="AI1375" s="318"/>
      <c r="AJ1375" s="318"/>
      <c r="AK1375" s="324"/>
      <c r="AL1375" s="324"/>
      <c r="AM1375" s="336"/>
      <c r="AN1375" s="330"/>
      <c r="AO1375" s="330"/>
      <c r="AP1375" s="331"/>
    </row>
    <row r="1376" spans="1:42" s="332" customFormat="1" ht="37.950000000000003" customHeight="1" x14ac:dyDescent="0.3">
      <c r="A1376" s="318" t="s">
        <v>1641</v>
      </c>
      <c r="B1376" s="243" t="s">
        <v>1642</v>
      </c>
      <c r="C1376" s="287" t="s">
        <v>3212</v>
      </c>
      <c r="D1376" s="116" t="s">
        <v>34</v>
      </c>
      <c r="E1376" s="116" t="s">
        <v>1644</v>
      </c>
      <c r="F1376" s="324" t="s">
        <v>35</v>
      </c>
      <c r="G1376" s="318">
        <v>1</v>
      </c>
      <c r="H1376" s="323">
        <v>778720</v>
      </c>
      <c r="I1376" s="116" t="s">
        <v>36</v>
      </c>
      <c r="J1376" s="245">
        <f t="shared" si="47"/>
        <v>778720</v>
      </c>
      <c r="K1376" s="1638">
        <f>9147.27+27441.81</f>
        <v>36589.08</v>
      </c>
      <c r="L1376" s="1638">
        <f>K1376</f>
        <v>36589.08</v>
      </c>
      <c r="M1376" s="111" t="s">
        <v>133</v>
      </c>
      <c r="N1376" s="324" t="s">
        <v>3213</v>
      </c>
      <c r="O1376" s="324"/>
      <c r="P1376" s="318"/>
      <c r="Q1376" s="333"/>
      <c r="R1376" s="318"/>
      <c r="S1376" s="333"/>
      <c r="T1376" s="330"/>
      <c r="U1376" s="333"/>
      <c r="V1376" s="324"/>
      <c r="W1376" s="333"/>
      <c r="X1376" s="324"/>
      <c r="Y1376" s="333"/>
      <c r="Z1376" s="324"/>
      <c r="AA1376" s="334"/>
      <c r="AB1376" s="324"/>
      <c r="AC1376" s="334"/>
      <c r="AD1376" s="325"/>
      <c r="AE1376" s="325"/>
      <c r="AF1376" s="324"/>
      <c r="AG1376" s="335"/>
      <c r="AH1376" s="329">
        <f t="shared" si="48"/>
        <v>179999.97906000001</v>
      </c>
      <c r="AI1376" s="318"/>
      <c r="AJ1376" s="318"/>
      <c r="AK1376" s="324"/>
      <c r="AL1376" s="324"/>
      <c r="AM1376" s="336"/>
      <c r="AN1376" s="330"/>
      <c r="AO1376" s="330"/>
      <c r="AP1376" s="331"/>
    </row>
    <row r="1377" spans="1:129" s="332" customFormat="1" ht="37.950000000000003" customHeight="1" x14ac:dyDescent="0.3">
      <c r="A1377" s="318" t="s">
        <v>1641</v>
      </c>
      <c r="B1377" s="243" t="s">
        <v>1642</v>
      </c>
      <c r="C1377" s="287" t="s">
        <v>3214</v>
      </c>
      <c r="D1377" s="116" t="s">
        <v>34</v>
      </c>
      <c r="E1377" s="116" t="s">
        <v>1644</v>
      </c>
      <c r="F1377" s="324" t="s">
        <v>35</v>
      </c>
      <c r="G1377" s="318">
        <v>1</v>
      </c>
      <c r="H1377" s="323">
        <v>778720</v>
      </c>
      <c r="I1377" s="116" t="s">
        <v>36</v>
      </c>
      <c r="J1377" s="245">
        <f t="shared" si="47"/>
        <v>778720</v>
      </c>
      <c r="K1377" s="1397">
        <f>43312.32</f>
        <v>43312.32</v>
      </c>
      <c r="L1377" s="1397">
        <f>43312.32</f>
        <v>43312.32</v>
      </c>
      <c r="M1377" s="111" t="s">
        <v>151</v>
      </c>
      <c r="N1377" s="324" t="s">
        <v>3215</v>
      </c>
      <c r="O1377" s="324"/>
      <c r="P1377" s="318"/>
      <c r="Q1377" s="333"/>
      <c r="R1377" s="318"/>
      <c r="S1377" s="333"/>
      <c r="T1377" s="330"/>
      <c r="U1377" s="333"/>
      <c r="V1377" s="324"/>
      <c r="W1377" s="333"/>
      <c r="X1377" s="324"/>
      <c r="Y1377" s="333"/>
      <c r="Z1377" s="324"/>
      <c r="AA1377" s="334"/>
      <c r="AB1377" s="324"/>
      <c r="AC1377" s="334"/>
      <c r="AD1377" s="325"/>
      <c r="AE1377" s="325"/>
      <c r="AF1377" s="324"/>
      <c r="AG1377" s="335"/>
      <c r="AH1377" s="318">
        <f t="shared" si="48"/>
        <v>213074.95824000001</v>
      </c>
      <c r="AI1377" s="318"/>
      <c r="AJ1377" s="318"/>
      <c r="AK1377" s="324"/>
      <c r="AL1377" s="324"/>
      <c r="AM1377" s="336"/>
      <c r="AN1377" s="330"/>
      <c r="AO1377" s="330"/>
      <c r="AP1377" s="331"/>
    </row>
    <row r="1378" spans="1:129" s="258" customFormat="1" ht="37.950000000000003" customHeight="1" x14ac:dyDescent="0.3">
      <c r="A1378" s="318" t="s">
        <v>1641</v>
      </c>
      <c r="B1378" s="243" t="s">
        <v>1642</v>
      </c>
      <c r="C1378" s="287" t="s">
        <v>3216</v>
      </c>
      <c r="D1378" s="116" t="s">
        <v>34</v>
      </c>
      <c r="E1378" s="116" t="s">
        <v>1644</v>
      </c>
      <c r="F1378" s="324" t="s">
        <v>35</v>
      </c>
      <c r="G1378" s="318">
        <v>1</v>
      </c>
      <c r="H1378" s="323">
        <v>778720</v>
      </c>
      <c r="I1378" s="116" t="s">
        <v>36</v>
      </c>
      <c r="J1378" s="245">
        <f t="shared" si="47"/>
        <v>778720</v>
      </c>
      <c r="K1378" s="1638">
        <f>16607.38+32523.63</f>
        <v>49131.01</v>
      </c>
      <c r="L1378" s="1638">
        <f>16607.38+32523.63</f>
        <v>49131.01</v>
      </c>
      <c r="M1378" s="111" t="s">
        <v>69</v>
      </c>
      <c r="N1378" s="324" t="s">
        <v>3217</v>
      </c>
      <c r="O1378" s="324" t="s">
        <v>3218</v>
      </c>
      <c r="P1378" s="318"/>
      <c r="Q1378" s="333"/>
      <c r="R1378" s="318"/>
      <c r="S1378" s="333"/>
      <c r="T1378" s="330"/>
      <c r="U1378" s="333"/>
      <c r="V1378" s="324"/>
      <c r="W1378" s="333"/>
      <c r="X1378" s="324"/>
      <c r="Y1378" s="333"/>
      <c r="Z1378" s="324"/>
      <c r="AA1378" s="334"/>
      <c r="AB1378" s="324"/>
      <c r="AC1378" s="334"/>
      <c r="AD1378" s="325"/>
      <c r="AE1378" s="325"/>
      <c r="AF1378" s="324"/>
      <c r="AG1378" s="335"/>
      <c r="AH1378" s="318">
        <f t="shared" si="48"/>
        <v>241700.00369500002</v>
      </c>
      <c r="AI1378" s="318"/>
      <c r="AJ1378" s="318"/>
      <c r="AK1378" s="324"/>
      <c r="AL1378" s="324"/>
      <c r="AM1378" s="336"/>
      <c r="AN1378" s="330"/>
      <c r="AO1378" s="256"/>
      <c r="AP1378" s="257"/>
    </row>
    <row r="1379" spans="1:129" s="348" customFormat="1" ht="37.950000000000003" customHeight="1" x14ac:dyDescent="0.3">
      <c r="A1379" s="318" t="s">
        <v>1641</v>
      </c>
      <c r="B1379" s="243" t="s">
        <v>1642</v>
      </c>
      <c r="C1379" s="287" t="s">
        <v>3219</v>
      </c>
      <c r="D1379" s="116" t="s">
        <v>34</v>
      </c>
      <c r="E1379" s="116" t="s">
        <v>1644</v>
      </c>
      <c r="F1379" s="324" t="s">
        <v>35</v>
      </c>
      <c r="G1379" s="318">
        <v>1</v>
      </c>
      <c r="H1379" s="323">
        <v>778720</v>
      </c>
      <c r="I1379" s="116" t="s">
        <v>36</v>
      </c>
      <c r="J1379" s="245">
        <f t="shared" si="47"/>
        <v>778720</v>
      </c>
      <c r="K1379" s="1638">
        <f>43236.1</f>
        <v>43236.1</v>
      </c>
      <c r="L1379" s="1638">
        <f>43236.1</f>
        <v>43236.1</v>
      </c>
      <c r="M1379" s="111" t="s">
        <v>49</v>
      </c>
      <c r="N1379" s="324" t="s">
        <v>3220</v>
      </c>
      <c r="O1379" s="324"/>
      <c r="P1379" s="318"/>
      <c r="Q1379" s="333"/>
      <c r="R1379" s="318"/>
      <c r="S1379" s="333"/>
      <c r="T1379" s="330"/>
      <c r="U1379" s="333"/>
      <c r="V1379" s="324"/>
      <c r="W1379" s="333"/>
      <c r="X1379" s="324"/>
      <c r="Y1379" s="333"/>
      <c r="Z1379" s="324"/>
      <c r="AA1379" s="334"/>
      <c r="AB1379" s="324"/>
      <c r="AC1379" s="334"/>
      <c r="AD1379" s="325"/>
      <c r="AE1379" s="325"/>
      <c r="AF1379" s="324"/>
      <c r="AG1379" s="335"/>
      <c r="AH1379" s="318">
        <f t="shared" si="48"/>
        <v>212699.99395</v>
      </c>
      <c r="AI1379" s="318"/>
      <c r="AJ1379" s="318"/>
      <c r="AK1379" s="324"/>
      <c r="AL1379" s="324"/>
      <c r="AM1379" s="336"/>
      <c r="AN1379" s="330"/>
      <c r="AO1379" s="343"/>
      <c r="AP1379" s="344"/>
      <c r="AQ1379" s="345"/>
      <c r="AR1379" s="345"/>
      <c r="AS1379" s="345"/>
      <c r="AT1379" s="345"/>
      <c r="AU1379" s="345"/>
      <c r="AV1379" s="345"/>
      <c r="AW1379" s="345"/>
      <c r="AX1379" s="345"/>
      <c r="AY1379" s="345"/>
      <c r="AZ1379" s="345"/>
      <c r="BA1379" s="345"/>
      <c r="BB1379" s="345"/>
      <c r="BC1379" s="345"/>
      <c r="BD1379" s="345"/>
      <c r="BE1379" s="345"/>
      <c r="BF1379" s="345"/>
      <c r="BG1379" s="345"/>
      <c r="BH1379" s="345"/>
      <c r="BI1379" s="345"/>
      <c r="BJ1379" s="345"/>
      <c r="BK1379" s="345"/>
      <c r="BL1379" s="345"/>
      <c r="BM1379" s="345"/>
      <c r="BN1379" s="345"/>
      <c r="BO1379" s="345"/>
      <c r="BP1379" s="345"/>
      <c r="BQ1379" s="345"/>
      <c r="BR1379" s="345"/>
      <c r="BS1379" s="345"/>
      <c r="BT1379" s="345"/>
      <c r="BU1379" s="345"/>
      <c r="BV1379" s="345"/>
      <c r="BW1379" s="345"/>
      <c r="BX1379" s="345"/>
      <c r="BY1379" s="345"/>
      <c r="BZ1379" s="345"/>
      <c r="CA1379" s="346"/>
      <c r="CB1379" s="347"/>
      <c r="CC1379" s="347"/>
      <c r="CD1379" s="347"/>
      <c r="CE1379" s="347"/>
      <c r="CF1379" s="347"/>
      <c r="CG1379" s="347"/>
      <c r="CH1379" s="347"/>
      <c r="CI1379" s="347"/>
      <c r="CJ1379" s="347"/>
      <c r="CK1379" s="347"/>
      <c r="CL1379" s="347"/>
      <c r="CM1379" s="347"/>
      <c r="CN1379" s="347"/>
      <c r="CO1379" s="347"/>
      <c r="CP1379" s="347"/>
      <c r="CQ1379" s="347"/>
      <c r="CR1379" s="347"/>
      <c r="CS1379" s="347"/>
      <c r="CT1379" s="347"/>
      <c r="CU1379" s="347"/>
      <c r="CV1379" s="347"/>
      <c r="CW1379" s="347"/>
      <c r="CX1379" s="347"/>
      <c r="CY1379" s="347"/>
      <c r="CZ1379" s="347"/>
      <c r="DA1379" s="347"/>
      <c r="DB1379" s="347"/>
      <c r="DC1379" s="347"/>
      <c r="DD1379" s="347"/>
      <c r="DE1379" s="347"/>
      <c r="DF1379" s="347"/>
      <c r="DG1379" s="347"/>
      <c r="DH1379" s="347"/>
      <c r="DI1379" s="347"/>
      <c r="DJ1379" s="347"/>
      <c r="DK1379" s="347"/>
      <c r="DL1379" s="347"/>
      <c r="DM1379" s="347"/>
      <c r="DN1379" s="347"/>
      <c r="DO1379" s="347"/>
      <c r="DP1379" s="347"/>
      <c r="DQ1379" s="347"/>
      <c r="DR1379" s="347"/>
      <c r="DS1379" s="347"/>
      <c r="DT1379" s="347"/>
      <c r="DU1379" s="347"/>
      <c r="DV1379" s="347"/>
      <c r="DW1379" s="347"/>
      <c r="DX1379" s="347"/>
      <c r="DY1379" s="347"/>
    </row>
    <row r="1380" spans="1:129" s="1198" customFormat="1" ht="23.4" customHeight="1" x14ac:dyDescent="0.3">
      <c r="A1380" s="1183" t="s">
        <v>1641</v>
      </c>
      <c r="B1380" s="1183"/>
      <c r="C1380" s="1184" t="s">
        <v>3221</v>
      </c>
      <c r="D1380" s="1183"/>
      <c r="E1380" s="1183"/>
      <c r="F1380" s="1183"/>
      <c r="G1380" s="1183"/>
      <c r="H1380" s="1185">
        <f>H832-H833</f>
        <v>-11777332.506248057</v>
      </c>
      <c r="I1380" s="1183"/>
      <c r="J1380" s="1185"/>
      <c r="K1380" s="1700"/>
      <c r="L1380" s="1700"/>
      <c r="M1380" s="1187"/>
      <c r="N1380" s="1187"/>
      <c r="O1380" s="1188"/>
      <c r="P1380" s="1187"/>
      <c r="Q1380" s="1189"/>
      <c r="R1380" s="1187"/>
      <c r="S1380" s="1189"/>
      <c r="T1380" s="1187"/>
      <c r="U1380" s="1189"/>
      <c r="V1380" s="1187"/>
      <c r="W1380" s="1189"/>
      <c r="X1380" s="1187"/>
      <c r="Y1380" s="1189"/>
      <c r="Z1380" s="1187"/>
      <c r="AA1380" s="1189"/>
      <c r="AB1380" s="1187"/>
      <c r="AC1380" s="1189"/>
      <c r="AD1380" s="1189"/>
      <c r="AE1380" s="1189"/>
      <c r="AF1380" s="1187"/>
      <c r="AG1380" s="1190"/>
      <c r="AH1380" s="1186"/>
      <c r="AI1380" s="1186"/>
      <c r="AJ1380" s="1186"/>
      <c r="AK1380" s="1183"/>
      <c r="AL1380" s="1183"/>
      <c r="AM1380" s="1191"/>
      <c r="AN1380" s="1192"/>
      <c r="AO1380" s="1193"/>
      <c r="AP1380" s="1194"/>
      <c r="AQ1380" s="1195"/>
      <c r="AR1380" s="1195"/>
      <c r="AS1380" s="1195"/>
      <c r="AT1380" s="1195"/>
      <c r="AU1380" s="1195"/>
      <c r="AV1380" s="1195"/>
      <c r="AW1380" s="1195"/>
      <c r="AX1380" s="1195"/>
      <c r="AY1380" s="1195"/>
      <c r="AZ1380" s="1195"/>
      <c r="BA1380" s="1195"/>
      <c r="BB1380" s="1195"/>
      <c r="BC1380" s="1195"/>
      <c r="BD1380" s="1195"/>
      <c r="BE1380" s="1195"/>
      <c r="BF1380" s="1195"/>
      <c r="BG1380" s="1195"/>
      <c r="BH1380" s="1195"/>
      <c r="BI1380" s="1195"/>
      <c r="BJ1380" s="1195"/>
      <c r="BK1380" s="1195"/>
      <c r="BL1380" s="1195"/>
      <c r="BM1380" s="1195"/>
      <c r="BN1380" s="1195"/>
      <c r="BO1380" s="1195"/>
      <c r="BP1380" s="1195"/>
      <c r="BQ1380" s="1195"/>
      <c r="BR1380" s="1195"/>
      <c r="BS1380" s="1195"/>
      <c r="BT1380" s="1195"/>
      <c r="BU1380" s="1195"/>
      <c r="BV1380" s="1195"/>
      <c r="BW1380" s="1195"/>
      <c r="BX1380" s="1195"/>
      <c r="BY1380" s="1195"/>
      <c r="BZ1380" s="1195"/>
      <c r="CA1380" s="1196"/>
      <c r="CB1380" s="1197"/>
      <c r="CC1380" s="1197"/>
      <c r="CD1380" s="1197"/>
      <c r="CE1380" s="1197"/>
      <c r="CF1380" s="1197"/>
      <c r="CG1380" s="1197"/>
      <c r="CH1380" s="1197"/>
      <c r="CI1380" s="1197"/>
      <c r="CJ1380" s="1197"/>
      <c r="CK1380" s="1197"/>
      <c r="CL1380" s="1197"/>
      <c r="CM1380" s="1197"/>
      <c r="CN1380" s="1197"/>
      <c r="CO1380" s="1197"/>
      <c r="CP1380" s="1197"/>
      <c r="CQ1380" s="1197"/>
      <c r="CR1380" s="1197"/>
      <c r="CS1380" s="1197"/>
      <c r="CT1380" s="1197"/>
      <c r="CU1380" s="1197"/>
      <c r="CV1380" s="1197"/>
      <c r="CW1380" s="1197"/>
      <c r="CX1380" s="1197"/>
      <c r="CY1380" s="1197"/>
      <c r="CZ1380" s="1197"/>
      <c r="DA1380" s="1197"/>
      <c r="DB1380" s="1197"/>
      <c r="DC1380" s="1197"/>
      <c r="DD1380" s="1197"/>
      <c r="DE1380" s="1197"/>
      <c r="DF1380" s="1197"/>
      <c r="DG1380" s="1197"/>
      <c r="DH1380" s="1197"/>
      <c r="DI1380" s="1197"/>
      <c r="DJ1380" s="1197"/>
      <c r="DK1380" s="1197"/>
      <c r="DL1380" s="1197"/>
      <c r="DM1380" s="1197"/>
      <c r="DN1380" s="1197"/>
      <c r="DO1380" s="1197"/>
      <c r="DP1380" s="1197"/>
      <c r="DQ1380" s="1197"/>
      <c r="DR1380" s="1197"/>
      <c r="DS1380" s="1197"/>
      <c r="DT1380" s="1197"/>
      <c r="DU1380" s="1197"/>
      <c r="DV1380" s="1197"/>
      <c r="DW1380" s="1197"/>
      <c r="DX1380" s="1197"/>
      <c r="DY1380" s="1197"/>
    </row>
    <row r="1381" spans="1:129" s="143" customFormat="1" ht="35.4" customHeight="1" x14ac:dyDescent="0.3">
      <c r="A1381" s="349" t="s">
        <v>1641</v>
      </c>
      <c r="B1381" s="349" t="s">
        <v>3222</v>
      </c>
      <c r="C1381" s="349" t="s">
        <v>3223</v>
      </c>
      <c r="D1381" s="349" t="s">
        <v>34</v>
      </c>
      <c r="E1381" s="349" t="s">
        <v>3224</v>
      </c>
      <c r="F1381" s="349" t="s">
        <v>35</v>
      </c>
      <c r="G1381" s="349" t="s">
        <v>3225</v>
      </c>
      <c r="H1381" s="1199">
        <v>200100000</v>
      </c>
      <c r="I1381" s="1200" t="s">
        <v>36</v>
      </c>
      <c r="J1381" s="1199">
        <v>200100000</v>
      </c>
      <c r="K1381" s="1701">
        <f>K1382</f>
        <v>14721.63</v>
      </c>
      <c r="L1381" s="1701">
        <f>L1382</f>
        <v>14721.63</v>
      </c>
      <c r="M1381" s="350"/>
      <c r="N1381" s="350"/>
      <c r="O1381" s="350"/>
      <c r="P1381" s="350"/>
      <c r="Q1381" s="1201"/>
      <c r="R1381" s="350"/>
      <c r="S1381" s="1201"/>
      <c r="T1381" s="350" t="s">
        <v>40</v>
      </c>
      <c r="U1381" s="1201"/>
      <c r="V1381" s="350" t="s">
        <v>40</v>
      </c>
      <c r="W1381" s="1201"/>
      <c r="X1381" s="350" t="s">
        <v>40</v>
      </c>
      <c r="Y1381" s="1201"/>
      <c r="Z1381" s="350" t="s">
        <v>64</v>
      </c>
      <c r="AA1381" s="1201"/>
      <c r="AB1381" s="350"/>
      <c r="AC1381" s="1201"/>
      <c r="AD1381" s="1201"/>
      <c r="AE1381" s="1201">
        <v>46203</v>
      </c>
      <c r="AF1381" s="350" t="s">
        <v>255</v>
      </c>
      <c r="AG1381" s="351" t="s">
        <v>47</v>
      </c>
      <c r="AH1381" s="1200">
        <f>AH1382</f>
        <v>72586.692745000008</v>
      </c>
      <c r="AI1381" s="1200"/>
      <c r="AJ1381" s="1200"/>
      <c r="AK1381" s="349" t="s">
        <v>43</v>
      </c>
      <c r="AL1381" s="349" t="s">
        <v>41</v>
      </c>
      <c r="AM1381" s="1202">
        <v>0</v>
      </c>
      <c r="AN1381" s="1203" t="s">
        <v>3226</v>
      </c>
      <c r="AO1381" s="259"/>
      <c r="AP1381" s="277"/>
      <c r="AQ1381" s="165"/>
      <c r="AR1381" s="165"/>
      <c r="AS1381" s="165"/>
      <c r="AT1381" s="165"/>
      <c r="AU1381" s="165"/>
      <c r="AV1381" s="165"/>
      <c r="AW1381" s="165"/>
      <c r="AX1381" s="165"/>
      <c r="AY1381" s="165"/>
      <c r="AZ1381" s="165"/>
      <c r="BA1381" s="165"/>
      <c r="BB1381" s="165"/>
      <c r="BC1381" s="165"/>
      <c r="BD1381" s="165"/>
      <c r="BE1381" s="165"/>
      <c r="BF1381" s="165"/>
      <c r="BG1381" s="165"/>
      <c r="BH1381" s="165"/>
      <c r="BI1381" s="165"/>
      <c r="BJ1381" s="165"/>
      <c r="BK1381" s="165"/>
      <c r="BL1381" s="165"/>
      <c r="BM1381" s="165"/>
      <c r="BN1381" s="165"/>
      <c r="BO1381" s="165"/>
      <c r="BP1381" s="165"/>
      <c r="BQ1381" s="165"/>
      <c r="BR1381" s="165"/>
      <c r="BS1381" s="165"/>
      <c r="BT1381" s="165"/>
      <c r="BU1381" s="165"/>
      <c r="BV1381" s="165"/>
      <c r="BW1381" s="165"/>
      <c r="BX1381" s="165"/>
      <c r="BY1381" s="165"/>
      <c r="BZ1381" s="165"/>
      <c r="CA1381" s="315"/>
    </row>
    <row r="1382" spans="1:129" s="143" customFormat="1" ht="37.950000000000003" customHeight="1" x14ac:dyDescent="0.3">
      <c r="A1382" s="1204" t="s">
        <v>1641</v>
      </c>
      <c r="B1382" s="1204" t="s">
        <v>3222</v>
      </c>
      <c r="C1382" s="1204" t="s">
        <v>3227</v>
      </c>
      <c r="D1382" s="1204" t="s">
        <v>34</v>
      </c>
      <c r="E1382" s="1204" t="s">
        <v>3224</v>
      </c>
      <c r="F1382" s="1204" t="s">
        <v>35</v>
      </c>
      <c r="G1382" s="1204">
        <f>SUM(G1383:G1549)</f>
        <v>8065</v>
      </c>
      <c r="H1382" s="1205">
        <f>SUM(H1383:H1549)</f>
        <v>140104000.20163634</v>
      </c>
      <c r="I1382" s="1206" t="s">
        <v>36</v>
      </c>
      <c r="J1382" s="1205">
        <f>SUM(J1383:J1549)</f>
        <v>140104000.20163634</v>
      </c>
      <c r="K1382" s="1702">
        <f>SUM(K1383:K1549)</f>
        <v>14721.63</v>
      </c>
      <c r="L1382" s="1702">
        <f>SUM(L1383:L1549)</f>
        <v>14721.63</v>
      </c>
      <c r="M1382" s="1207"/>
      <c r="N1382" s="1207"/>
      <c r="O1382" s="1207"/>
      <c r="P1382" s="1207"/>
      <c r="Q1382" s="1208"/>
      <c r="R1382" s="1207"/>
      <c r="S1382" s="1208"/>
      <c r="T1382" s="1207"/>
      <c r="U1382" s="1208"/>
      <c r="V1382" s="1207"/>
      <c r="W1382" s="1208"/>
      <c r="X1382" s="1207"/>
      <c r="Y1382" s="1208"/>
      <c r="Z1382" s="1207"/>
      <c r="AA1382" s="1208"/>
      <c r="AB1382" s="1207"/>
      <c r="AC1382" s="1208"/>
      <c r="AD1382" s="1208"/>
      <c r="AE1382" s="1208"/>
      <c r="AF1382" s="1207"/>
      <c r="AG1382" s="1209"/>
      <c r="AH1382" s="1206">
        <f>SUM(AH1383:AH1549)</f>
        <v>72586.692745000008</v>
      </c>
      <c r="AI1382" s="1206"/>
      <c r="AJ1382" s="1206"/>
      <c r="AK1382" s="1204"/>
      <c r="AL1382" s="1204"/>
      <c r="AM1382" s="1210"/>
      <c r="AN1382" s="1210" t="s">
        <v>3228</v>
      </c>
      <c r="AO1382" s="259"/>
      <c r="AP1382" s="277"/>
      <c r="AQ1382" s="165"/>
      <c r="AR1382" s="165"/>
      <c r="AS1382" s="165"/>
      <c r="AT1382" s="165"/>
      <c r="AU1382" s="165"/>
      <c r="AV1382" s="165"/>
      <c r="AW1382" s="165"/>
      <c r="AX1382" s="165"/>
      <c r="AY1382" s="165"/>
      <c r="AZ1382" s="165"/>
      <c r="BA1382" s="165"/>
      <c r="BB1382" s="165"/>
      <c r="BC1382" s="165"/>
      <c r="BD1382" s="165"/>
      <c r="BE1382" s="165"/>
      <c r="BF1382" s="165"/>
      <c r="BG1382" s="165"/>
      <c r="BH1382" s="165"/>
      <c r="BI1382" s="165"/>
      <c r="BJ1382" s="165"/>
      <c r="BK1382" s="165"/>
      <c r="BL1382" s="165"/>
      <c r="BM1382" s="165"/>
      <c r="BN1382" s="165"/>
      <c r="BO1382" s="165"/>
      <c r="BP1382" s="165"/>
      <c r="BQ1382" s="165"/>
      <c r="BR1382" s="165"/>
      <c r="BS1382" s="165"/>
      <c r="BT1382" s="165"/>
      <c r="BU1382" s="165"/>
      <c r="BV1382" s="165"/>
      <c r="BW1382" s="165"/>
      <c r="BX1382" s="165"/>
      <c r="BY1382" s="165"/>
      <c r="BZ1382" s="165"/>
      <c r="CA1382" s="315"/>
    </row>
    <row r="1383" spans="1:129" s="143" customFormat="1" ht="41.4" customHeight="1" x14ac:dyDescent="0.3">
      <c r="A1383" s="259" t="s">
        <v>1641</v>
      </c>
      <c r="B1383" s="259" t="s">
        <v>3222</v>
      </c>
      <c r="C1383" s="352" t="s">
        <v>3229</v>
      </c>
      <c r="D1383" s="259" t="s">
        <v>34</v>
      </c>
      <c r="E1383" s="259" t="s">
        <v>3224</v>
      </c>
      <c r="F1383" s="260" t="s">
        <v>35</v>
      </c>
      <c r="G1383" s="259">
        <v>50</v>
      </c>
      <c r="H1383" s="70">
        <v>700000</v>
      </c>
      <c r="I1383" s="261" t="s">
        <v>36</v>
      </c>
      <c r="J1383" s="70">
        <v>700000</v>
      </c>
      <c r="K1383" s="1696">
        <v>0</v>
      </c>
      <c r="L1383" s="1696">
        <v>0</v>
      </c>
      <c r="M1383" s="263" t="s">
        <v>1208</v>
      </c>
      <c r="N1383" s="263" t="s">
        <v>2038</v>
      </c>
      <c r="O1383" s="263" t="s">
        <v>3230</v>
      </c>
      <c r="P1383" s="263" t="s">
        <v>40</v>
      </c>
      <c r="Q1383" s="262"/>
      <c r="R1383" s="263" t="s">
        <v>40</v>
      </c>
      <c r="S1383" s="262"/>
      <c r="T1383" s="263" t="s">
        <v>40</v>
      </c>
      <c r="U1383" s="262"/>
      <c r="V1383" s="263" t="s">
        <v>40</v>
      </c>
      <c r="W1383" s="262"/>
      <c r="X1383" s="263" t="s">
        <v>40</v>
      </c>
      <c r="Y1383" s="262"/>
      <c r="Z1383" s="263" t="s">
        <v>40</v>
      </c>
      <c r="AA1383" s="262"/>
      <c r="AB1383" s="263" t="s">
        <v>40</v>
      </c>
      <c r="AC1383" s="262"/>
      <c r="AD1383" s="262"/>
      <c r="AE1383" s="262">
        <v>46203</v>
      </c>
      <c r="AF1383" s="263" t="s">
        <v>65</v>
      </c>
      <c r="AG1383" s="270">
        <v>2026</v>
      </c>
      <c r="AH1383" s="296">
        <f t="shared" ref="AH1383:AH1446" si="49">K1383*4.9195</f>
        <v>0</v>
      </c>
      <c r="AI1383" s="296"/>
      <c r="AJ1383" s="296"/>
      <c r="AK1383" s="260" t="s">
        <v>43</v>
      </c>
      <c r="AL1383" s="259" t="s">
        <v>41</v>
      </c>
      <c r="AM1383" s="266">
        <v>0</v>
      </c>
      <c r="AO1383" s="259"/>
      <c r="AP1383" s="277"/>
      <c r="AQ1383" s="165"/>
      <c r="AR1383" s="165"/>
      <c r="AS1383" s="165"/>
      <c r="AT1383" s="165"/>
      <c r="AU1383" s="165"/>
      <c r="AV1383" s="165"/>
      <c r="AW1383" s="165"/>
      <c r="AX1383" s="165"/>
      <c r="AY1383" s="165"/>
      <c r="AZ1383" s="165"/>
      <c r="BA1383" s="165"/>
      <c r="BB1383" s="165"/>
      <c r="BC1383" s="165"/>
      <c r="BD1383" s="165"/>
      <c r="BE1383" s="165"/>
      <c r="BF1383" s="165"/>
      <c r="BG1383" s="165"/>
      <c r="BH1383" s="165"/>
      <c r="BI1383" s="165"/>
      <c r="BJ1383" s="165"/>
      <c r="BK1383" s="165"/>
      <c r="BL1383" s="165"/>
      <c r="BM1383" s="165"/>
      <c r="BN1383" s="165"/>
      <c r="BO1383" s="165"/>
      <c r="BP1383" s="165"/>
      <c r="BQ1383" s="165"/>
      <c r="BR1383" s="165"/>
      <c r="BS1383" s="165"/>
      <c r="BT1383" s="165"/>
      <c r="BU1383" s="165"/>
      <c r="BV1383" s="165"/>
      <c r="BW1383" s="165"/>
      <c r="BX1383" s="165"/>
      <c r="BY1383" s="165"/>
      <c r="BZ1383" s="165"/>
      <c r="CA1383" s="315"/>
    </row>
    <row r="1384" spans="1:129" s="143" customFormat="1" ht="41.4" customHeight="1" x14ac:dyDescent="0.3">
      <c r="A1384" s="259" t="s">
        <v>1641</v>
      </c>
      <c r="B1384" s="259" t="s">
        <v>3222</v>
      </c>
      <c r="C1384" s="352" t="s">
        <v>3231</v>
      </c>
      <c r="D1384" s="259" t="s">
        <v>34</v>
      </c>
      <c r="E1384" s="259" t="s">
        <v>3224</v>
      </c>
      <c r="F1384" s="260" t="s">
        <v>35</v>
      </c>
      <c r="G1384" s="259">
        <v>31</v>
      </c>
      <c r="H1384" s="70">
        <v>434000</v>
      </c>
      <c r="I1384" s="261" t="s">
        <v>36</v>
      </c>
      <c r="J1384" s="70">
        <v>434000</v>
      </c>
      <c r="K1384" s="1696">
        <v>0</v>
      </c>
      <c r="L1384" s="1696">
        <v>0</v>
      </c>
      <c r="M1384" s="263" t="s">
        <v>53</v>
      </c>
      <c r="N1384" s="263" t="s">
        <v>2429</v>
      </c>
      <c r="O1384" s="263" t="s">
        <v>3232</v>
      </c>
      <c r="P1384" s="263" t="s">
        <v>40</v>
      </c>
      <c r="Q1384" s="262"/>
      <c r="R1384" s="263" t="s">
        <v>40</v>
      </c>
      <c r="S1384" s="262"/>
      <c r="T1384" s="263" t="s">
        <v>40</v>
      </c>
      <c r="U1384" s="262"/>
      <c r="V1384" s="263" t="s">
        <v>40</v>
      </c>
      <c r="W1384" s="262"/>
      <c r="X1384" s="263" t="s">
        <v>40</v>
      </c>
      <c r="Y1384" s="262"/>
      <c r="Z1384" s="263" t="s">
        <v>40</v>
      </c>
      <c r="AA1384" s="262"/>
      <c r="AB1384" s="263" t="s">
        <v>40</v>
      </c>
      <c r="AC1384" s="262"/>
      <c r="AD1384" s="262"/>
      <c r="AE1384" s="262">
        <v>46203</v>
      </c>
      <c r="AF1384" s="263" t="s">
        <v>65</v>
      </c>
      <c r="AG1384" s="270">
        <v>2026</v>
      </c>
      <c r="AH1384" s="296">
        <f t="shared" si="49"/>
        <v>0</v>
      </c>
      <c r="AI1384" s="296"/>
      <c r="AJ1384" s="296"/>
      <c r="AK1384" s="260" t="s">
        <v>43</v>
      </c>
      <c r="AL1384" s="259" t="s">
        <v>41</v>
      </c>
      <c r="AM1384" s="266">
        <v>0</v>
      </c>
      <c r="AN1384" s="67"/>
      <c r="AO1384" s="259"/>
      <c r="AP1384" s="277"/>
      <c r="AQ1384" s="165"/>
      <c r="AR1384" s="165"/>
      <c r="AS1384" s="165"/>
      <c r="AT1384" s="165"/>
      <c r="AU1384" s="165"/>
      <c r="AV1384" s="165"/>
      <c r="AW1384" s="165"/>
      <c r="AX1384" s="165"/>
      <c r="AY1384" s="165"/>
      <c r="AZ1384" s="165"/>
      <c r="BA1384" s="165"/>
      <c r="BB1384" s="165"/>
      <c r="BC1384" s="165"/>
      <c r="BD1384" s="165"/>
      <c r="BE1384" s="165"/>
      <c r="BF1384" s="165"/>
      <c r="BG1384" s="165"/>
      <c r="BH1384" s="165"/>
      <c r="BI1384" s="165"/>
      <c r="BJ1384" s="165"/>
      <c r="BK1384" s="165"/>
      <c r="BL1384" s="165"/>
      <c r="BM1384" s="165"/>
      <c r="BN1384" s="165"/>
      <c r="BO1384" s="165"/>
      <c r="BP1384" s="165"/>
      <c r="BQ1384" s="165"/>
      <c r="BR1384" s="165"/>
      <c r="BS1384" s="165"/>
      <c r="BT1384" s="165"/>
      <c r="BU1384" s="165"/>
      <c r="BV1384" s="165"/>
      <c r="BW1384" s="165"/>
      <c r="BX1384" s="165"/>
      <c r="BY1384" s="165"/>
      <c r="BZ1384" s="165"/>
      <c r="CA1384" s="315"/>
    </row>
    <row r="1385" spans="1:129" s="143" customFormat="1" ht="41.4" customHeight="1" x14ac:dyDescent="0.3">
      <c r="A1385" s="259" t="s">
        <v>1641</v>
      </c>
      <c r="B1385" s="259" t="s">
        <v>3222</v>
      </c>
      <c r="C1385" s="352" t="s">
        <v>3233</v>
      </c>
      <c r="D1385" s="259" t="s">
        <v>34</v>
      </c>
      <c r="E1385" s="259" t="s">
        <v>3224</v>
      </c>
      <c r="F1385" s="260" t="s">
        <v>35</v>
      </c>
      <c r="G1385" s="259">
        <v>275</v>
      </c>
      <c r="H1385" s="70">
        <v>4600000</v>
      </c>
      <c r="I1385" s="261" t="s">
        <v>36</v>
      </c>
      <c r="J1385" s="70">
        <v>4600000</v>
      </c>
      <c r="K1385" s="1696">
        <v>0</v>
      </c>
      <c r="L1385" s="1696">
        <v>0</v>
      </c>
      <c r="M1385" s="263" t="s">
        <v>412</v>
      </c>
      <c r="N1385" s="263" t="s">
        <v>412</v>
      </c>
      <c r="O1385" s="263" t="s">
        <v>3234</v>
      </c>
      <c r="P1385" s="263" t="s">
        <v>40</v>
      </c>
      <c r="Q1385" s="262"/>
      <c r="R1385" s="263" t="s">
        <v>40</v>
      </c>
      <c r="S1385" s="262"/>
      <c r="T1385" s="263" t="s">
        <v>40</v>
      </c>
      <c r="U1385" s="262"/>
      <c r="V1385" s="263" t="s">
        <v>40</v>
      </c>
      <c r="W1385" s="262"/>
      <c r="X1385" s="263" t="s">
        <v>40</v>
      </c>
      <c r="Y1385" s="262"/>
      <c r="Z1385" s="263" t="s">
        <v>40</v>
      </c>
      <c r="AA1385" s="262"/>
      <c r="AB1385" s="263" t="s">
        <v>40</v>
      </c>
      <c r="AC1385" s="262"/>
      <c r="AD1385" s="262"/>
      <c r="AE1385" s="262">
        <v>46203</v>
      </c>
      <c r="AF1385" s="263" t="s">
        <v>65</v>
      </c>
      <c r="AG1385" s="270">
        <v>2026</v>
      </c>
      <c r="AH1385" s="296">
        <f t="shared" si="49"/>
        <v>0</v>
      </c>
      <c r="AI1385" s="296"/>
      <c r="AJ1385" s="296"/>
      <c r="AK1385" s="260" t="s">
        <v>43</v>
      </c>
      <c r="AL1385" s="259" t="s">
        <v>41</v>
      </c>
      <c r="AM1385" s="266">
        <v>0</v>
      </c>
      <c r="AN1385" s="67"/>
      <c r="AO1385" s="259"/>
      <c r="AP1385" s="277"/>
      <c r="AQ1385" s="165"/>
      <c r="AR1385" s="165"/>
      <c r="AS1385" s="165"/>
      <c r="AT1385" s="165"/>
      <c r="AU1385" s="165"/>
      <c r="AV1385" s="165"/>
      <c r="AW1385" s="165"/>
      <c r="AX1385" s="165"/>
      <c r="AY1385" s="165"/>
      <c r="AZ1385" s="165"/>
      <c r="BA1385" s="165"/>
      <c r="BB1385" s="165"/>
      <c r="BC1385" s="165"/>
      <c r="BD1385" s="165"/>
      <c r="BE1385" s="165"/>
      <c r="BF1385" s="165"/>
      <c r="BG1385" s="165"/>
      <c r="BH1385" s="165"/>
      <c r="BI1385" s="165"/>
      <c r="BJ1385" s="165"/>
      <c r="BK1385" s="165"/>
      <c r="BL1385" s="165"/>
      <c r="BM1385" s="165"/>
      <c r="BN1385" s="165"/>
      <c r="BO1385" s="165"/>
      <c r="BP1385" s="165"/>
      <c r="BQ1385" s="165"/>
      <c r="BR1385" s="165"/>
      <c r="BS1385" s="165"/>
      <c r="BT1385" s="165"/>
      <c r="BU1385" s="165"/>
      <c r="BV1385" s="165"/>
      <c r="BW1385" s="165"/>
      <c r="BX1385" s="165"/>
      <c r="BY1385" s="165"/>
      <c r="BZ1385" s="165"/>
      <c r="CA1385" s="315"/>
    </row>
    <row r="1386" spans="1:129" s="143" customFormat="1" ht="41.4" customHeight="1" x14ac:dyDescent="0.3">
      <c r="A1386" s="259" t="s">
        <v>1641</v>
      </c>
      <c r="B1386" s="259" t="s">
        <v>3222</v>
      </c>
      <c r="C1386" s="352" t="s">
        <v>3235</v>
      </c>
      <c r="D1386" s="259" t="s">
        <v>34</v>
      </c>
      <c r="E1386" s="259" t="s">
        <v>3224</v>
      </c>
      <c r="F1386" s="260" t="s">
        <v>35</v>
      </c>
      <c r="G1386" s="259">
        <v>10</v>
      </c>
      <c r="H1386" s="70">
        <v>190000</v>
      </c>
      <c r="I1386" s="261" t="s">
        <v>36</v>
      </c>
      <c r="J1386" s="70">
        <v>190000</v>
      </c>
      <c r="K1386" s="1696">
        <v>0</v>
      </c>
      <c r="L1386" s="1696">
        <v>0</v>
      </c>
      <c r="M1386" s="263" t="s">
        <v>1208</v>
      </c>
      <c r="N1386" s="263" t="s">
        <v>1992</v>
      </c>
      <c r="O1386" s="263" t="s">
        <v>1993</v>
      </c>
      <c r="P1386" s="263" t="s">
        <v>40</v>
      </c>
      <c r="Q1386" s="262"/>
      <c r="R1386" s="263" t="s">
        <v>40</v>
      </c>
      <c r="S1386" s="262"/>
      <c r="T1386" s="263" t="s">
        <v>40</v>
      </c>
      <c r="U1386" s="262"/>
      <c r="V1386" s="263" t="s">
        <v>40</v>
      </c>
      <c r="W1386" s="262"/>
      <c r="X1386" s="263" t="s">
        <v>40</v>
      </c>
      <c r="Y1386" s="262"/>
      <c r="Z1386" s="263" t="s">
        <v>40</v>
      </c>
      <c r="AA1386" s="262"/>
      <c r="AB1386" s="263" t="s">
        <v>40</v>
      </c>
      <c r="AC1386" s="262"/>
      <c r="AD1386" s="262"/>
      <c r="AE1386" s="262">
        <v>46203</v>
      </c>
      <c r="AF1386" s="263" t="s">
        <v>65</v>
      </c>
      <c r="AG1386" s="270">
        <v>2026</v>
      </c>
      <c r="AH1386" s="296">
        <f t="shared" si="49"/>
        <v>0</v>
      </c>
      <c r="AI1386" s="296"/>
      <c r="AJ1386" s="296"/>
      <c r="AK1386" s="260" t="s">
        <v>43</v>
      </c>
      <c r="AL1386" s="259" t="s">
        <v>41</v>
      </c>
      <c r="AM1386" s="266">
        <v>0</v>
      </c>
      <c r="AN1386" s="67"/>
      <c r="AO1386" s="259"/>
      <c r="AP1386" s="277"/>
      <c r="AQ1386" s="165"/>
      <c r="AR1386" s="165"/>
      <c r="AS1386" s="165"/>
      <c r="AT1386" s="165"/>
      <c r="AU1386" s="165"/>
      <c r="AV1386" s="165"/>
      <c r="AW1386" s="165"/>
      <c r="AX1386" s="165"/>
      <c r="AY1386" s="165"/>
      <c r="AZ1386" s="165"/>
      <c r="BA1386" s="165"/>
      <c r="BB1386" s="165"/>
      <c r="BC1386" s="165"/>
      <c r="BD1386" s="165"/>
      <c r="BE1386" s="165"/>
      <c r="BF1386" s="165"/>
      <c r="BG1386" s="165"/>
      <c r="BH1386" s="165"/>
      <c r="BI1386" s="165"/>
      <c r="BJ1386" s="165"/>
      <c r="BK1386" s="165"/>
      <c r="BL1386" s="165"/>
      <c r="BM1386" s="165"/>
      <c r="BN1386" s="165"/>
      <c r="BO1386" s="165"/>
      <c r="BP1386" s="165"/>
      <c r="BQ1386" s="165"/>
      <c r="BR1386" s="165"/>
      <c r="BS1386" s="165"/>
      <c r="BT1386" s="165"/>
      <c r="BU1386" s="165"/>
      <c r="BV1386" s="165"/>
      <c r="BW1386" s="165"/>
      <c r="BX1386" s="165"/>
      <c r="BY1386" s="165"/>
      <c r="BZ1386" s="165"/>
      <c r="CA1386" s="315"/>
    </row>
    <row r="1387" spans="1:129" s="143" customFormat="1" ht="41.4" customHeight="1" x14ac:dyDescent="0.3">
      <c r="A1387" s="259" t="s">
        <v>1641</v>
      </c>
      <c r="B1387" s="259" t="s">
        <v>3222</v>
      </c>
      <c r="C1387" s="352" t="s">
        <v>3236</v>
      </c>
      <c r="D1387" s="259" t="s">
        <v>34</v>
      </c>
      <c r="E1387" s="259" t="s">
        <v>3224</v>
      </c>
      <c r="F1387" s="260" t="s">
        <v>35</v>
      </c>
      <c r="G1387" s="259">
        <v>25</v>
      </c>
      <c r="H1387" s="70">
        <v>415000</v>
      </c>
      <c r="I1387" s="261" t="s">
        <v>36</v>
      </c>
      <c r="J1387" s="70">
        <v>415000</v>
      </c>
      <c r="K1387" s="1696">
        <v>0</v>
      </c>
      <c r="L1387" s="1696">
        <v>0</v>
      </c>
      <c r="M1387" s="263" t="s">
        <v>140</v>
      </c>
      <c r="N1387" s="263" t="s">
        <v>3237</v>
      </c>
      <c r="O1387" s="263" t="s">
        <v>3238</v>
      </c>
      <c r="P1387" s="263" t="s">
        <v>40</v>
      </c>
      <c r="Q1387" s="262"/>
      <c r="R1387" s="263" t="s">
        <v>40</v>
      </c>
      <c r="S1387" s="262"/>
      <c r="T1387" s="263" t="s">
        <v>40</v>
      </c>
      <c r="U1387" s="262"/>
      <c r="V1387" s="263" t="s">
        <v>40</v>
      </c>
      <c r="W1387" s="262"/>
      <c r="X1387" s="263" t="s">
        <v>40</v>
      </c>
      <c r="Y1387" s="262"/>
      <c r="Z1387" s="263" t="s">
        <v>40</v>
      </c>
      <c r="AA1387" s="262"/>
      <c r="AB1387" s="263" t="s">
        <v>40</v>
      </c>
      <c r="AC1387" s="262"/>
      <c r="AD1387" s="262"/>
      <c r="AE1387" s="262">
        <v>46203</v>
      </c>
      <c r="AF1387" s="263" t="s">
        <v>65</v>
      </c>
      <c r="AG1387" s="270">
        <v>2026</v>
      </c>
      <c r="AH1387" s="296">
        <f t="shared" si="49"/>
        <v>0</v>
      </c>
      <c r="AI1387" s="296"/>
      <c r="AJ1387" s="296"/>
      <c r="AK1387" s="260" t="s">
        <v>43</v>
      </c>
      <c r="AL1387" s="259" t="s">
        <v>41</v>
      </c>
      <c r="AM1387" s="266">
        <v>0</v>
      </c>
      <c r="AN1387" s="67"/>
      <c r="AO1387" s="259"/>
      <c r="AP1387" s="277"/>
      <c r="AQ1387" s="165"/>
      <c r="AR1387" s="165"/>
      <c r="AS1387" s="165"/>
      <c r="AT1387" s="165"/>
      <c r="AU1387" s="165"/>
      <c r="AV1387" s="165"/>
      <c r="AW1387" s="165"/>
      <c r="AX1387" s="165"/>
      <c r="AY1387" s="165"/>
      <c r="AZ1387" s="165"/>
      <c r="BA1387" s="165"/>
      <c r="BB1387" s="165"/>
      <c r="BC1387" s="165"/>
      <c r="BD1387" s="165"/>
      <c r="BE1387" s="165"/>
      <c r="BF1387" s="165"/>
      <c r="BG1387" s="165"/>
      <c r="BH1387" s="165"/>
      <c r="BI1387" s="165"/>
      <c r="BJ1387" s="165"/>
      <c r="BK1387" s="165"/>
      <c r="BL1387" s="165"/>
      <c r="BM1387" s="165"/>
      <c r="BN1387" s="165"/>
      <c r="BO1387" s="165"/>
      <c r="BP1387" s="165"/>
      <c r="BQ1387" s="165"/>
      <c r="BR1387" s="165"/>
      <c r="BS1387" s="165"/>
      <c r="BT1387" s="165"/>
      <c r="BU1387" s="165"/>
      <c r="BV1387" s="165"/>
      <c r="BW1387" s="165"/>
      <c r="BX1387" s="165"/>
      <c r="BY1387" s="165"/>
      <c r="BZ1387" s="165"/>
      <c r="CA1387" s="315"/>
    </row>
    <row r="1388" spans="1:129" s="143" customFormat="1" ht="41.4" customHeight="1" x14ac:dyDescent="0.3">
      <c r="A1388" s="259" t="s">
        <v>1641</v>
      </c>
      <c r="B1388" s="259" t="s">
        <v>3222</v>
      </c>
      <c r="C1388" s="352" t="s">
        <v>3239</v>
      </c>
      <c r="D1388" s="259" t="s">
        <v>34</v>
      </c>
      <c r="E1388" s="259" t="s">
        <v>3224</v>
      </c>
      <c r="F1388" s="260" t="s">
        <v>35</v>
      </c>
      <c r="G1388" s="259">
        <v>18</v>
      </c>
      <c r="H1388" s="70">
        <v>252000</v>
      </c>
      <c r="I1388" s="261" t="s">
        <v>36</v>
      </c>
      <c r="J1388" s="245">
        <v>252000</v>
      </c>
      <c r="K1388" s="1696">
        <v>0</v>
      </c>
      <c r="L1388" s="1696">
        <v>0</v>
      </c>
      <c r="M1388" s="263" t="s">
        <v>868</v>
      </c>
      <c r="N1388" s="263" t="s">
        <v>2289</v>
      </c>
      <c r="O1388" s="263" t="s">
        <v>3240</v>
      </c>
      <c r="P1388" s="263" t="s">
        <v>40</v>
      </c>
      <c r="Q1388" s="262"/>
      <c r="R1388" s="263" t="s">
        <v>40</v>
      </c>
      <c r="S1388" s="262"/>
      <c r="T1388" s="263" t="s">
        <v>40</v>
      </c>
      <c r="U1388" s="262"/>
      <c r="V1388" s="263" t="s">
        <v>40</v>
      </c>
      <c r="W1388" s="262"/>
      <c r="X1388" s="263" t="s">
        <v>40</v>
      </c>
      <c r="Y1388" s="262"/>
      <c r="Z1388" s="263" t="s">
        <v>40</v>
      </c>
      <c r="AA1388" s="262"/>
      <c r="AB1388" s="263" t="s">
        <v>40</v>
      </c>
      <c r="AC1388" s="262"/>
      <c r="AD1388" s="262"/>
      <c r="AE1388" s="262">
        <v>46203</v>
      </c>
      <c r="AF1388" s="263" t="s">
        <v>65</v>
      </c>
      <c r="AG1388" s="270">
        <v>2026</v>
      </c>
      <c r="AH1388" s="296">
        <f t="shared" si="49"/>
        <v>0</v>
      </c>
      <c r="AI1388" s="296"/>
      <c r="AJ1388" s="296"/>
      <c r="AK1388" s="260" t="s">
        <v>43</v>
      </c>
      <c r="AL1388" s="259" t="s">
        <v>41</v>
      </c>
      <c r="AM1388" s="266">
        <v>0</v>
      </c>
      <c r="AN1388" s="67"/>
      <c r="AO1388" s="259"/>
      <c r="AP1388" s="277"/>
      <c r="AQ1388" s="165"/>
      <c r="AR1388" s="165"/>
      <c r="AS1388" s="165"/>
      <c r="AT1388" s="165"/>
      <c r="AU1388" s="165"/>
      <c r="AV1388" s="165"/>
      <c r="AW1388" s="165"/>
      <c r="AX1388" s="165"/>
      <c r="AY1388" s="165"/>
      <c r="AZ1388" s="165"/>
      <c r="BA1388" s="165"/>
      <c r="BB1388" s="165"/>
      <c r="BC1388" s="165"/>
      <c r="BD1388" s="165"/>
      <c r="BE1388" s="165"/>
      <c r="BF1388" s="165"/>
      <c r="BG1388" s="165"/>
      <c r="BH1388" s="165"/>
      <c r="BI1388" s="165"/>
      <c r="BJ1388" s="165"/>
      <c r="BK1388" s="165"/>
      <c r="BL1388" s="165"/>
      <c r="BM1388" s="165"/>
      <c r="BN1388" s="165"/>
      <c r="BO1388" s="165"/>
      <c r="BP1388" s="165"/>
      <c r="BQ1388" s="165"/>
      <c r="BR1388" s="165"/>
      <c r="BS1388" s="165"/>
      <c r="BT1388" s="165"/>
      <c r="BU1388" s="165"/>
      <c r="BV1388" s="165"/>
      <c r="BW1388" s="165"/>
      <c r="BX1388" s="165"/>
      <c r="BY1388" s="165"/>
      <c r="BZ1388" s="165"/>
      <c r="CA1388" s="315"/>
    </row>
    <row r="1389" spans="1:129" s="143" customFormat="1" ht="41.4" customHeight="1" x14ac:dyDescent="0.3">
      <c r="A1389" s="259" t="s">
        <v>1641</v>
      </c>
      <c r="B1389" s="259" t="s">
        <v>3222</v>
      </c>
      <c r="C1389" s="352" t="s">
        <v>3241</v>
      </c>
      <c r="D1389" s="259" t="s">
        <v>34</v>
      </c>
      <c r="E1389" s="259" t="s">
        <v>3224</v>
      </c>
      <c r="F1389" s="260" t="s">
        <v>35</v>
      </c>
      <c r="G1389" s="259">
        <v>50</v>
      </c>
      <c r="H1389" s="70">
        <v>700000</v>
      </c>
      <c r="I1389" s="261" t="s">
        <v>36</v>
      </c>
      <c r="J1389" s="70">
        <v>700000</v>
      </c>
      <c r="K1389" s="1696">
        <v>0</v>
      </c>
      <c r="L1389" s="1696">
        <v>0</v>
      </c>
      <c r="M1389" s="263" t="s">
        <v>1208</v>
      </c>
      <c r="N1389" s="263" t="s">
        <v>1540</v>
      </c>
      <c r="O1389" s="263" t="s">
        <v>3242</v>
      </c>
      <c r="P1389" s="263" t="s">
        <v>40</v>
      </c>
      <c r="Q1389" s="262"/>
      <c r="R1389" s="263" t="s">
        <v>40</v>
      </c>
      <c r="S1389" s="262"/>
      <c r="T1389" s="263" t="s">
        <v>40</v>
      </c>
      <c r="U1389" s="262"/>
      <c r="V1389" s="263" t="s">
        <v>40</v>
      </c>
      <c r="W1389" s="262"/>
      <c r="X1389" s="263" t="s">
        <v>40</v>
      </c>
      <c r="Y1389" s="262"/>
      <c r="Z1389" s="263" t="s">
        <v>40</v>
      </c>
      <c r="AA1389" s="262"/>
      <c r="AB1389" s="263" t="s">
        <v>40</v>
      </c>
      <c r="AC1389" s="262"/>
      <c r="AD1389" s="262"/>
      <c r="AE1389" s="262">
        <v>46203</v>
      </c>
      <c r="AF1389" s="263" t="s">
        <v>65</v>
      </c>
      <c r="AG1389" s="270">
        <v>2026</v>
      </c>
      <c r="AH1389" s="296">
        <f t="shared" si="49"/>
        <v>0</v>
      </c>
      <c r="AI1389" s="296"/>
      <c r="AJ1389" s="296"/>
      <c r="AK1389" s="260" t="s">
        <v>43</v>
      </c>
      <c r="AL1389" s="259" t="s">
        <v>41</v>
      </c>
      <c r="AM1389" s="266">
        <v>0</v>
      </c>
      <c r="AN1389" s="67"/>
      <c r="AO1389" s="259"/>
      <c r="AP1389" s="277"/>
      <c r="AQ1389" s="165"/>
      <c r="AR1389" s="165"/>
      <c r="AS1389" s="165"/>
      <c r="AT1389" s="165"/>
      <c r="AU1389" s="165"/>
      <c r="AV1389" s="165"/>
      <c r="AW1389" s="165"/>
      <c r="AX1389" s="165"/>
      <c r="AY1389" s="165"/>
      <c r="AZ1389" s="165"/>
      <c r="BA1389" s="165"/>
      <c r="BB1389" s="165"/>
      <c r="BC1389" s="165"/>
      <c r="BD1389" s="165"/>
      <c r="BE1389" s="165"/>
      <c r="BF1389" s="165"/>
      <c r="BG1389" s="165"/>
      <c r="BH1389" s="165"/>
      <c r="BI1389" s="165"/>
      <c r="BJ1389" s="165"/>
      <c r="BK1389" s="165"/>
      <c r="BL1389" s="165"/>
      <c r="BM1389" s="165"/>
      <c r="BN1389" s="165"/>
      <c r="BO1389" s="165"/>
      <c r="BP1389" s="165"/>
      <c r="BQ1389" s="165"/>
      <c r="BR1389" s="165"/>
      <c r="BS1389" s="165"/>
      <c r="BT1389" s="165"/>
      <c r="BU1389" s="165"/>
      <c r="BV1389" s="165"/>
      <c r="BW1389" s="165"/>
      <c r="BX1389" s="165"/>
      <c r="BY1389" s="165"/>
      <c r="BZ1389" s="165"/>
      <c r="CA1389" s="315"/>
    </row>
    <row r="1390" spans="1:129" s="143" customFormat="1" ht="41.4" customHeight="1" x14ac:dyDescent="0.3">
      <c r="A1390" s="259" t="s">
        <v>1641</v>
      </c>
      <c r="B1390" s="259" t="s">
        <v>3222</v>
      </c>
      <c r="C1390" s="352" t="s">
        <v>3243</v>
      </c>
      <c r="D1390" s="259" t="s">
        <v>34</v>
      </c>
      <c r="E1390" s="259" t="s">
        <v>3224</v>
      </c>
      <c r="F1390" s="260" t="s">
        <v>35</v>
      </c>
      <c r="G1390" s="259">
        <v>14</v>
      </c>
      <c r="H1390" s="70">
        <v>196000</v>
      </c>
      <c r="I1390" s="261" t="s">
        <v>36</v>
      </c>
      <c r="J1390" s="70">
        <v>196000</v>
      </c>
      <c r="K1390" s="1696">
        <v>0</v>
      </c>
      <c r="L1390" s="1696">
        <v>0</v>
      </c>
      <c r="M1390" s="263" t="s">
        <v>1208</v>
      </c>
      <c r="N1390" s="263" t="s">
        <v>1701</v>
      </c>
      <c r="O1390" s="263" t="s">
        <v>3244</v>
      </c>
      <c r="P1390" s="263" t="s">
        <v>40</v>
      </c>
      <c r="Q1390" s="262"/>
      <c r="R1390" s="263" t="s">
        <v>40</v>
      </c>
      <c r="S1390" s="262"/>
      <c r="T1390" s="263" t="s">
        <v>40</v>
      </c>
      <c r="U1390" s="262"/>
      <c r="V1390" s="263" t="s">
        <v>40</v>
      </c>
      <c r="W1390" s="262"/>
      <c r="X1390" s="263" t="s">
        <v>40</v>
      </c>
      <c r="Y1390" s="262"/>
      <c r="Z1390" s="263" t="s">
        <v>40</v>
      </c>
      <c r="AA1390" s="262"/>
      <c r="AB1390" s="263" t="s">
        <v>40</v>
      </c>
      <c r="AC1390" s="262"/>
      <c r="AD1390" s="262"/>
      <c r="AE1390" s="262">
        <v>46203</v>
      </c>
      <c r="AF1390" s="263" t="s">
        <v>65</v>
      </c>
      <c r="AG1390" s="270">
        <v>2026</v>
      </c>
      <c r="AH1390" s="296">
        <f t="shared" si="49"/>
        <v>0</v>
      </c>
      <c r="AI1390" s="296"/>
      <c r="AJ1390" s="296"/>
      <c r="AK1390" s="260" t="s">
        <v>43</v>
      </c>
      <c r="AL1390" s="259" t="s">
        <v>41</v>
      </c>
      <c r="AM1390" s="266">
        <v>0</v>
      </c>
      <c r="AN1390" s="67"/>
      <c r="AO1390" s="259"/>
      <c r="AP1390" s="277"/>
      <c r="AQ1390" s="165"/>
      <c r="AR1390" s="165"/>
      <c r="AS1390" s="165"/>
      <c r="AT1390" s="165"/>
      <c r="AU1390" s="165"/>
      <c r="AV1390" s="165"/>
      <c r="AW1390" s="165"/>
      <c r="AX1390" s="165"/>
      <c r="AY1390" s="165"/>
      <c r="AZ1390" s="165"/>
      <c r="BA1390" s="165"/>
      <c r="BB1390" s="165"/>
      <c r="BC1390" s="165"/>
      <c r="BD1390" s="165"/>
      <c r="BE1390" s="165"/>
      <c r="BF1390" s="165"/>
      <c r="BG1390" s="165"/>
      <c r="BH1390" s="165"/>
      <c r="BI1390" s="165"/>
      <c r="BJ1390" s="165"/>
      <c r="BK1390" s="165"/>
      <c r="BL1390" s="165"/>
      <c r="BM1390" s="165"/>
      <c r="BN1390" s="165"/>
      <c r="BO1390" s="165"/>
      <c r="BP1390" s="165"/>
      <c r="BQ1390" s="165"/>
      <c r="BR1390" s="165"/>
      <c r="BS1390" s="165"/>
      <c r="BT1390" s="165"/>
      <c r="BU1390" s="165"/>
      <c r="BV1390" s="165"/>
      <c r="BW1390" s="165"/>
      <c r="BX1390" s="165"/>
      <c r="BY1390" s="165"/>
      <c r="BZ1390" s="165"/>
      <c r="CA1390" s="315"/>
    </row>
    <row r="1391" spans="1:129" s="143" customFormat="1" ht="41.4" customHeight="1" x14ac:dyDescent="0.3">
      <c r="A1391" s="259" t="s">
        <v>1641</v>
      </c>
      <c r="B1391" s="259" t="s">
        <v>3222</v>
      </c>
      <c r="C1391" s="352" t="s">
        <v>3245</v>
      </c>
      <c r="D1391" s="259" t="s">
        <v>34</v>
      </c>
      <c r="E1391" s="259" t="s">
        <v>3224</v>
      </c>
      <c r="F1391" s="260" t="s">
        <v>35</v>
      </c>
      <c r="G1391" s="259">
        <v>9</v>
      </c>
      <c r="H1391" s="70">
        <v>126000</v>
      </c>
      <c r="I1391" s="261" t="s">
        <v>36</v>
      </c>
      <c r="J1391" s="70">
        <v>126000</v>
      </c>
      <c r="K1391" s="1696">
        <v>0</v>
      </c>
      <c r="L1391" s="1696">
        <v>0</v>
      </c>
      <c r="M1391" s="263" t="s">
        <v>50</v>
      </c>
      <c r="N1391" s="263" t="s">
        <v>1710</v>
      </c>
      <c r="O1391" s="263" t="s">
        <v>1711</v>
      </c>
      <c r="P1391" s="263" t="s">
        <v>40</v>
      </c>
      <c r="Q1391" s="262"/>
      <c r="R1391" s="263" t="s">
        <v>40</v>
      </c>
      <c r="S1391" s="262"/>
      <c r="T1391" s="263" t="s">
        <v>40</v>
      </c>
      <c r="U1391" s="262"/>
      <c r="V1391" s="263" t="s">
        <v>40</v>
      </c>
      <c r="W1391" s="262"/>
      <c r="X1391" s="263" t="s">
        <v>40</v>
      </c>
      <c r="Y1391" s="262"/>
      <c r="Z1391" s="263" t="s">
        <v>40</v>
      </c>
      <c r="AA1391" s="262"/>
      <c r="AB1391" s="263" t="s">
        <v>40</v>
      </c>
      <c r="AC1391" s="262"/>
      <c r="AD1391" s="262"/>
      <c r="AE1391" s="262">
        <v>46203</v>
      </c>
      <c r="AF1391" s="263" t="s">
        <v>65</v>
      </c>
      <c r="AG1391" s="270">
        <v>2026</v>
      </c>
      <c r="AH1391" s="296">
        <f t="shared" si="49"/>
        <v>0</v>
      </c>
      <c r="AI1391" s="296"/>
      <c r="AJ1391" s="296"/>
      <c r="AK1391" s="260" t="s">
        <v>43</v>
      </c>
      <c r="AL1391" s="259" t="s">
        <v>41</v>
      </c>
      <c r="AM1391" s="266">
        <v>0</v>
      </c>
      <c r="AN1391" s="67"/>
      <c r="AO1391" s="259"/>
      <c r="AP1391" s="277"/>
      <c r="AQ1391" s="165"/>
      <c r="AR1391" s="165"/>
      <c r="AS1391" s="165"/>
      <c r="AT1391" s="165"/>
      <c r="AU1391" s="165"/>
      <c r="AV1391" s="165"/>
      <c r="AW1391" s="165"/>
      <c r="AX1391" s="165"/>
      <c r="AY1391" s="165"/>
      <c r="AZ1391" s="165"/>
      <c r="BA1391" s="165"/>
      <c r="BB1391" s="165"/>
      <c r="BC1391" s="165"/>
      <c r="BD1391" s="165"/>
      <c r="BE1391" s="165"/>
      <c r="BF1391" s="165"/>
      <c r="BG1391" s="165"/>
      <c r="BH1391" s="165"/>
      <c r="BI1391" s="165"/>
      <c r="BJ1391" s="165"/>
      <c r="BK1391" s="165"/>
      <c r="BL1391" s="165"/>
      <c r="BM1391" s="165"/>
      <c r="BN1391" s="165"/>
      <c r="BO1391" s="165"/>
      <c r="BP1391" s="165"/>
      <c r="BQ1391" s="165"/>
      <c r="BR1391" s="165"/>
      <c r="BS1391" s="165"/>
      <c r="BT1391" s="165"/>
      <c r="BU1391" s="165"/>
      <c r="BV1391" s="165"/>
      <c r="BW1391" s="165"/>
      <c r="BX1391" s="165"/>
      <c r="BY1391" s="165"/>
      <c r="BZ1391" s="165"/>
      <c r="CA1391" s="315"/>
    </row>
    <row r="1392" spans="1:129" s="143" customFormat="1" ht="41.4" customHeight="1" x14ac:dyDescent="0.3">
      <c r="A1392" s="259" t="s">
        <v>1641</v>
      </c>
      <c r="B1392" s="259" t="s">
        <v>3222</v>
      </c>
      <c r="C1392" s="352" t="s">
        <v>3246</v>
      </c>
      <c r="D1392" s="259" t="s">
        <v>34</v>
      </c>
      <c r="E1392" s="259" t="s">
        <v>3224</v>
      </c>
      <c r="F1392" s="260" t="s">
        <v>35</v>
      </c>
      <c r="G1392" s="259">
        <v>7</v>
      </c>
      <c r="H1392" s="70">
        <v>98000</v>
      </c>
      <c r="I1392" s="261" t="s">
        <v>36</v>
      </c>
      <c r="J1392" s="70">
        <v>98000</v>
      </c>
      <c r="K1392" s="1696">
        <v>0</v>
      </c>
      <c r="L1392" s="1696">
        <v>0</v>
      </c>
      <c r="M1392" s="263" t="s">
        <v>50</v>
      </c>
      <c r="N1392" s="263" t="s">
        <v>1749</v>
      </c>
      <c r="O1392" s="263" t="s">
        <v>3247</v>
      </c>
      <c r="P1392" s="263" t="s">
        <v>40</v>
      </c>
      <c r="Q1392" s="262"/>
      <c r="R1392" s="263" t="s">
        <v>40</v>
      </c>
      <c r="S1392" s="262"/>
      <c r="T1392" s="263" t="s">
        <v>40</v>
      </c>
      <c r="U1392" s="262"/>
      <c r="V1392" s="263" t="s">
        <v>40</v>
      </c>
      <c r="W1392" s="262"/>
      <c r="X1392" s="263" t="s">
        <v>40</v>
      </c>
      <c r="Y1392" s="262"/>
      <c r="Z1392" s="263" t="s">
        <v>40</v>
      </c>
      <c r="AA1392" s="262"/>
      <c r="AB1392" s="263" t="s">
        <v>40</v>
      </c>
      <c r="AC1392" s="262"/>
      <c r="AD1392" s="262"/>
      <c r="AE1392" s="262">
        <v>46203</v>
      </c>
      <c r="AF1392" s="263" t="s">
        <v>65</v>
      </c>
      <c r="AG1392" s="270">
        <v>2026</v>
      </c>
      <c r="AH1392" s="296">
        <f t="shared" si="49"/>
        <v>0</v>
      </c>
      <c r="AI1392" s="296"/>
      <c r="AJ1392" s="296"/>
      <c r="AK1392" s="260" t="s">
        <v>43</v>
      </c>
      <c r="AL1392" s="259" t="s">
        <v>41</v>
      </c>
      <c r="AM1392" s="266">
        <v>0</v>
      </c>
      <c r="AN1392" s="67"/>
      <c r="AO1392" s="259"/>
      <c r="AP1392" s="277"/>
      <c r="AQ1392" s="165"/>
      <c r="AR1392" s="165"/>
      <c r="AS1392" s="165"/>
      <c r="AT1392" s="165"/>
      <c r="AU1392" s="165"/>
      <c r="AV1392" s="165"/>
      <c r="AW1392" s="165"/>
      <c r="AX1392" s="165"/>
      <c r="AY1392" s="165"/>
      <c r="AZ1392" s="165"/>
      <c r="BA1392" s="165"/>
      <c r="BB1392" s="165"/>
      <c r="BC1392" s="165"/>
      <c r="BD1392" s="165"/>
      <c r="BE1392" s="165"/>
      <c r="BF1392" s="165"/>
      <c r="BG1392" s="165"/>
      <c r="BH1392" s="165"/>
      <c r="BI1392" s="165"/>
      <c r="BJ1392" s="165"/>
      <c r="BK1392" s="165"/>
      <c r="BL1392" s="165"/>
      <c r="BM1392" s="165"/>
      <c r="BN1392" s="165"/>
      <c r="BO1392" s="165"/>
      <c r="BP1392" s="165"/>
      <c r="BQ1392" s="165"/>
      <c r="BR1392" s="165"/>
      <c r="BS1392" s="165"/>
      <c r="BT1392" s="165"/>
      <c r="BU1392" s="165"/>
      <c r="BV1392" s="165"/>
      <c r="BW1392" s="165"/>
      <c r="BX1392" s="165"/>
      <c r="BY1392" s="165"/>
      <c r="BZ1392" s="165"/>
      <c r="CA1392" s="315"/>
    </row>
    <row r="1393" spans="1:79" s="143" customFormat="1" ht="41.4" customHeight="1" x14ac:dyDescent="0.3">
      <c r="A1393" s="259" t="s">
        <v>1641</v>
      </c>
      <c r="B1393" s="259" t="s">
        <v>3222</v>
      </c>
      <c r="C1393" s="352" t="s">
        <v>3248</v>
      </c>
      <c r="D1393" s="259" t="s">
        <v>34</v>
      </c>
      <c r="E1393" s="259" t="s">
        <v>3224</v>
      </c>
      <c r="F1393" s="260" t="s">
        <v>35</v>
      </c>
      <c r="G1393" s="259">
        <v>14</v>
      </c>
      <c r="H1393" s="70">
        <v>196000</v>
      </c>
      <c r="I1393" s="261" t="s">
        <v>36</v>
      </c>
      <c r="J1393" s="70">
        <v>196000</v>
      </c>
      <c r="K1393" s="1696">
        <v>0</v>
      </c>
      <c r="L1393" s="1696">
        <v>0</v>
      </c>
      <c r="M1393" s="263" t="s">
        <v>67</v>
      </c>
      <c r="N1393" s="263" t="s">
        <v>3249</v>
      </c>
      <c r="O1393" s="263" t="s">
        <v>3250</v>
      </c>
      <c r="P1393" s="263" t="s">
        <v>40</v>
      </c>
      <c r="Q1393" s="262"/>
      <c r="R1393" s="263" t="s">
        <v>40</v>
      </c>
      <c r="S1393" s="262"/>
      <c r="T1393" s="263" t="s">
        <v>40</v>
      </c>
      <c r="U1393" s="262"/>
      <c r="V1393" s="263" t="s">
        <v>40</v>
      </c>
      <c r="W1393" s="262"/>
      <c r="X1393" s="263" t="s">
        <v>40</v>
      </c>
      <c r="Y1393" s="262"/>
      <c r="Z1393" s="263" t="s">
        <v>40</v>
      </c>
      <c r="AA1393" s="262"/>
      <c r="AB1393" s="263" t="s">
        <v>40</v>
      </c>
      <c r="AC1393" s="262"/>
      <c r="AD1393" s="262"/>
      <c r="AE1393" s="262">
        <v>46203</v>
      </c>
      <c r="AF1393" s="263" t="s">
        <v>65</v>
      </c>
      <c r="AG1393" s="270">
        <v>2026</v>
      </c>
      <c r="AH1393" s="296">
        <f t="shared" si="49"/>
        <v>0</v>
      </c>
      <c r="AI1393" s="296"/>
      <c r="AJ1393" s="296"/>
      <c r="AK1393" s="260" t="s">
        <v>43</v>
      </c>
      <c r="AL1393" s="259" t="s">
        <v>41</v>
      </c>
      <c r="AM1393" s="266">
        <v>0</v>
      </c>
      <c r="AN1393" s="67"/>
      <c r="AO1393" s="259"/>
      <c r="AP1393" s="277"/>
      <c r="AQ1393" s="165"/>
      <c r="AR1393" s="165"/>
      <c r="AS1393" s="165"/>
      <c r="AT1393" s="165"/>
      <c r="AU1393" s="165"/>
      <c r="AV1393" s="165"/>
      <c r="AW1393" s="165"/>
      <c r="AX1393" s="165"/>
      <c r="AY1393" s="165"/>
      <c r="AZ1393" s="165"/>
      <c r="BA1393" s="165"/>
      <c r="BB1393" s="165"/>
      <c r="BC1393" s="165"/>
      <c r="BD1393" s="165"/>
      <c r="BE1393" s="165"/>
      <c r="BF1393" s="165"/>
      <c r="BG1393" s="165"/>
      <c r="BH1393" s="165"/>
      <c r="BI1393" s="165"/>
      <c r="BJ1393" s="165"/>
      <c r="BK1393" s="165"/>
      <c r="BL1393" s="165"/>
      <c r="BM1393" s="165"/>
      <c r="BN1393" s="165"/>
      <c r="BO1393" s="165"/>
      <c r="BP1393" s="165"/>
      <c r="BQ1393" s="165"/>
      <c r="BR1393" s="165"/>
      <c r="BS1393" s="165"/>
      <c r="BT1393" s="165"/>
      <c r="BU1393" s="165"/>
      <c r="BV1393" s="165"/>
      <c r="BW1393" s="165"/>
      <c r="BX1393" s="165"/>
      <c r="BY1393" s="165"/>
      <c r="BZ1393" s="165"/>
      <c r="CA1393" s="315"/>
    </row>
    <row r="1394" spans="1:79" s="143" customFormat="1" ht="41.4" customHeight="1" x14ac:dyDescent="0.3">
      <c r="A1394" s="259" t="s">
        <v>1641</v>
      </c>
      <c r="B1394" s="259" t="s">
        <v>3222</v>
      </c>
      <c r="C1394" s="352" t="s">
        <v>3251</v>
      </c>
      <c r="D1394" s="259" t="s">
        <v>34</v>
      </c>
      <c r="E1394" s="259" t="s">
        <v>3224</v>
      </c>
      <c r="F1394" s="260" t="s">
        <v>35</v>
      </c>
      <c r="G1394" s="259">
        <v>25</v>
      </c>
      <c r="H1394" s="70">
        <v>415000</v>
      </c>
      <c r="I1394" s="261" t="s">
        <v>36</v>
      </c>
      <c r="J1394" s="70">
        <v>415000</v>
      </c>
      <c r="K1394" s="1696">
        <v>0</v>
      </c>
      <c r="L1394" s="1696">
        <v>0</v>
      </c>
      <c r="M1394" s="263" t="s">
        <v>290</v>
      </c>
      <c r="N1394" s="263" t="s">
        <v>3252</v>
      </c>
      <c r="O1394" s="263" t="s">
        <v>3253</v>
      </c>
      <c r="P1394" s="263" t="s">
        <v>40</v>
      </c>
      <c r="Q1394" s="262"/>
      <c r="R1394" s="263" t="s">
        <v>40</v>
      </c>
      <c r="S1394" s="262"/>
      <c r="T1394" s="263" t="s">
        <v>40</v>
      </c>
      <c r="U1394" s="262"/>
      <c r="V1394" s="263" t="s">
        <v>40</v>
      </c>
      <c r="W1394" s="262"/>
      <c r="X1394" s="263" t="s">
        <v>40</v>
      </c>
      <c r="Y1394" s="262"/>
      <c r="Z1394" s="263" t="s">
        <v>40</v>
      </c>
      <c r="AA1394" s="262"/>
      <c r="AB1394" s="263" t="s">
        <v>40</v>
      </c>
      <c r="AC1394" s="262"/>
      <c r="AD1394" s="262"/>
      <c r="AE1394" s="262">
        <v>46203</v>
      </c>
      <c r="AF1394" s="263" t="s">
        <v>65</v>
      </c>
      <c r="AG1394" s="270">
        <v>2026</v>
      </c>
      <c r="AH1394" s="296">
        <f t="shared" si="49"/>
        <v>0</v>
      </c>
      <c r="AI1394" s="296"/>
      <c r="AJ1394" s="296"/>
      <c r="AK1394" s="260" t="s">
        <v>43</v>
      </c>
      <c r="AL1394" s="259" t="s">
        <v>41</v>
      </c>
      <c r="AM1394" s="266">
        <v>0</v>
      </c>
      <c r="AN1394" s="67"/>
      <c r="AO1394" s="259"/>
      <c r="AP1394" s="277"/>
      <c r="AQ1394" s="165"/>
      <c r="AR1394" s="165"/>
      <c r="AS1394" s="165"/>
      <c r="AT1394" s="165"/>
      <c r="AU1394" s="165"/>
      <c r="AV1394" s="165"/>
      <c r="AW1394" s="165"/>
      <c r="AX1394" s="165"/>
      <c r="AY1394" s="165"/>
      <c r="AZ1394" s="165"/>
      <c r="BA1394" s="165"/>
      <c r="BB1394" s="165"/>
      <c r="BC1394" s="165"/>
      <c r="BD1394" s="165"/>
      <c r="BE1394" s="165"/>
      <c r="BF1394" s="165"/>
      <c r="BG1394" s="165"/>
      <c r="BH1394" s="165"/>
      <c r="BI1394" s="165"/>
      <c r="BJ1394" s="165"/>
      <c r="BK1394" s="165"/>
      <c r="BL1394" s="165"/>
      <c r="BM1394" s="165"/>
      <c r="BN1394" s="165"/>
      <c r="BO1394" s="165"/>
      <c r="BP1394" s="165"/>
      <c r="BQ1394" s="165"/>
      <c r="BR1394" s="165"/>
      <c r="BS1394" s="165"/>
      <c r="BT1394" s="165"/>
      <c r="BU1394" s="165"/>
      <c r="BV1394" s="165"/>
      <c r="BW1394" s="165"/>
      <c r="BX1394" s="165"/>
      <c r="BY1394" s="165"/>
      <c r="BZ1394" s="165"/>
      <c r="CA1394" s="315"/>
    </row>
    <row r="1395" spans="1:79" s="143" customFormat="1" ht="41.4" customHeight="1" x14ac:dyDescent="0.3">
      <c r="A1395" s="259" t="s">
        <v>1641</v>
      </c>
      <c r="B1395" s="259" t="s">
        <v>3222</v>
      </c>
      <c r="C1395" s="352" t="s">
        <v>3254</v>
      </c>
      <c r="D1395" s="259" t="s">
        <v>34</v>
      </c>
      <c r="E1395" s="259" t="s">
        <v>3224</v>
      </c>
      <c r="F1395" s="260" t="s">
        <v>35</v>
      </c>
      <c r="G1395" s="259">
        <v>25</v>
      </c>
      <c r="H1395" s="70">
        <v>1250000</v>
      </c>
      <c r="I1395" s="261" t="s">
        <v>36</v>
      </c>
      <c r="J1395" s="70">
        <v>1250000</v>
      </c>
      <c r="K1395" s="1696">
        <v>0</v>
      </c>
      <c r="L1395" s="1696">
        <v>0</v>
      </c>
      <c r="M1395" s="263" t="s">
        <v>58</v>
      </c>
      <c r="N1395" s="263" t="s">
        <v>2003</v>
      </c>
      <c r="O1395" s="263" t="s">
        <v>3255</v>
      </c>
      <c r="P1395" s="263" t="s">
        <v>41</v>
      </c>
      <c r="Q1395" s="262">
        <v>45073</v>
      </c>
      <c r="R1395" s="263" t="s">
        <v>41</v>
      </c>
      <c r="S1395" s="262">
        <v>45073</v>
      </c>
      <c r="T1395" s="263" t="s">
        <v>40</v>
      </c>
      <c r="U1395" s="262"/>
      <c r="V1395" s="263" t="s">
        <v>40</v>
      </c>
      <c r="W1395" s="262"/>
      <c r="X1395" s="263" t="s">
        <v>40</v>
      </c>
      <c r="Y1395" s="262"/>
      <c r="Z1395" s="263" t="s">
        <v>40</v>
      </c>
      <c r="AA1395" s="262"/>
      <c r="AB1395" s="263" t="s">
        <v>40</v>
      </c>
      <c r="AC1395" s="262"/>
      <c r="AD1395" s="262"/>
      <c r="AE1395" s="262">
        <v>46203</v>
      </c>
      <c r="AF1395" s="263" t="s">
        <v>65</v>
      </c>
      <c r="AG1395" s="270">
        <v>2026</v>
      </c>
      <c r="AH1395" s="296">
        <f t="shared" si="49"/>
        <v>0</v>
      </c>
      <c r="AI1395" s="296"/>
      <c r="AJ1395" s="296"/>
      <c r="AK1395" s="260" t="s">
        <v>43</v>
      </c>
      <c r="AL1395" s="259" t="s">
        <v>41</v>
      </c>
      <c r="AM1395" s="266">
        <v>0</v>
      </c>
      <c r="AN1395" s="67"/>
      <c r="AO1395" s="259"/>
      <c r="AP1395" s="277"/>
      <c r="AQ1395" s="165"/>
      <c r="AR1395" s="165"/>
      <c r="AS1395" s="165"/>
      <c r="AT1395" s="165"/>
      <c r="AU1395" s="165"/>
      <c r="AV1395" s="165"/>
      <c r="AW1395" s="165"/>
      <c r="AX1395" s="165"/>
      <c r="AY1395" s="165"/>
      <c r="AZ1395" s="165"/>
      <c r="BA1395" s="165"/>
      <c r="BB1395" s="165"/>
      <c r="BC1395" s="165"/>
      <c r="BD1395" s="165"/>
      <c r="BE1395" s="165"/>
      <c r="BF1395" s="165"/>
      <c r="BG1395" s="165"/>
      <c r="BH1395" s="165"/>
      <c r="BI1395" s="165"/>
      <c r="BJ1395" s="165"/>
      <c r="BK1395" s="165"/>
      <c r="BL1395" s="165"/>
      <c r="BM1395" s="165"/>
      <c r="BN1395" s="165"/>
      <c r="BO1395" s="165"/>
      <c r="BP1395" s="165"/>
      <c r="BQ1395" s="165"/>
      <c r="BR1395" s="165"/>
      <c r="BS1395" s="165"/>
      <c r="BT1395" s="165"/>
      <c r="BU1395" s="165"/>
      <c r="BV1395" s="165"/>
      <c r="BW1395" s="165"/>
      <c r="BX1395" s="165"/>
      <c r="BY1395" s="165"/>
      <c r="BZ1395" s="165"/>
      <c r="CA1395" s="315"/>
    </row>
    <row r="1396" spans="1:79" s="143" customFormat="1" ht="41.4" customHeight="1" x14ac:dyDescent="0.3">
      <c r="A1396" s="259" t="s">
        <v>1641</v>
      </c>
      <c r="B1396" s="259" t="s">
        <v>3222</v>
      </c>
      <c r="C1396" s="352" t="s">
        <v>3256</v>
      </c>
      <c r="D1396" s="259" t="s">
        <v>34</v>
      </c>
      <c r="E1396" s="259" t="s">
        <v>3224</v>
      </c>
      <c r="F1396" s="260" t="s">
        <v>35</v>
      </c>
      <c r="G1396" s="259">
        <v>30</v>
      </c>
      <c r="H1396" s="70">
        <v>420000</v>
      </c>
      <c r="I1396" s="261" t="s">
        <v>36</v>
      </c>
      <c r="J1396" s="70">
        <v>420000</v>
      </c>
      <c r="K1396" s="1696">
        <v>0</v>
      </c>
      <c r="L1396" s="1696">
        <v>0</v>
      </c>
      <c r="M1396" s="263" t="s">
        <v>636</v>
      </c>
      <c r="N1396" s="263" t="s">
        <v>2597</v>
      </c>
      <c r="O1396" s="263" t="s">
        <v>3257</v>
      </c>
      <c r="P1396" s="263" t="s">
        <v>40</v>
      </c>
      <c r="Q1396" s="262"/>
      <c r="R1396" s="263" t="s">
        <v>40</v>
      </c>
      <c r="S1396" s="262"/>
      <c r="T1396" s="263" t="s">
        <v>40</v>
      </c>
      <c r="U1396" s="262"/>
      <c r="V1396" s="263" t="s">
        <v>40</v>
      </c>
      <c r="W1396" s="262"/>
      <c r="X1396" s="263" t="s">
        <v>40</v>
      </c>
      <c r="Y1396" s="262"/>
      <c r="Z1396" s="263" t="s">
        <v>40</v>
      </c>
      <c r="AA1396" s="262"/>
      <c r="AB1396" s="263" t="s">
        <v>40</v>
      </c>
      <c r="AC1396" s="262"/>
      <c r="AD1396" s="262"/>
      <c r="AE1396" s="262">
        <v>46203</v>
      </c>
      <c r="AF1396" s="263" t="s">
        <v>65</v>
      </c>
      <c r="AG1396" s="270">
        <v>2026</v>
      </c>
      <c r="AH1396" s="296">
        <f t="shared" si="49"/>
        <v>0</v>
      </c>
      <c r="AI1396" s="296"/>
      <c r="AJ1396" s="296"/>
      <c r="AK1396" s="260" t="s">
        <v>43</v>
      </c>
      <c r="AL1396" s="259" t="s">
        <v>41</v>
      </c>
      <c r="AM1396" s="266">
        <v>0</v>
      </c>
      <c r="AN1396" s="67"/>
      <c r="AO1396" s="259"/>
      <c r="AP1396" s="277"/>
      <c r="AQ1396" s="165"/>
      <c r="AR1396" s="165"/>
      <c r="AS1396" s="165"/>
      <c r="AT1396" s="165"/>
      <c r="AU1396" s="165"/>
      <c r="AV1396" s="165"/>
      <c r="AW1396" s="165"/>
      <c r="AX1396" s="165"/>
      <c r="AY1396" s="165"/>
      <c r="AZ1396" s="165"/>
      <c r="BA1396" s="165"/>
      <c r="BB1396" s="165"/>
      <c r="BC1396" s="165"/>
      <c r="BD1396" s="165"/>
      <c r="BE1396" s="165"/>
      <c r="BF1396" s="165"/>
      <c r="BG1396" s="165"/>
      <c r="BH1396" s="165"/>
      <c r="BI1396" s="165"/>
      <c r="BJ1396" s="165"/>
      <c r="BK1396" s="165"/>
      <c r="BL1396" s="165"/>
      <c r="BM1396" s="165"/>
      <c r="BN1396" s="165"/>
      <c r="BO1396" s="165"/>
      <c r="BP1396" s="165"/>
      <c r="BQ1396" s="165"/>
      <c r="BR1396" s="165"/>
      <c r="BS1396" s="165"/>
      <c r="BT1396" s="165"/>
      <c r="BU1396" s="165"/>
      <c r="BV1396" s="165"/>
      <c r="BW1396" s="165"/>
      <c r="BX1396" s="165"/>
      <c r="BY1396" s="165"/>
      <c r="BZ1396" s="165"/>
      <c r="CA1396" s="315"/>
    </row>
    <row r="1397" spans="1:79" s="143" customFormat="1" ht="41.4" customHeight="1" x14ac:dyDescent="0.3">
      <c r="A1397" s="259" t="s">
        <v>1641</v>
      </c>
      <c r="B1397" s="259" t="s">
        <v>3222</v>
      </c>
      <c r="C1397" s="352" t="s">
        <v>3258</v>
      </c>
      <c r="D1397" s="259" t="s">
        <v>34</v>
      </c>
      <c r="E1397" s="259" t="s">
        <v>3224</v>
      </c>
      <c r="F1397" s="260" t="s">
        <v>35</v>
      </c>
      <c r="G1397" s="259">
        <v>37</v>
      </c>
      <c r="H1397" s="70">
        <v>518000</v>
      </c>
      <c r="I1397" s="261" t="s">
        <v>36</v>
      </c>
      <c r="J1397" s="70">
        <v>518000</v>
      </c>
      <c r="K1397" s="1696">
        <v>0</v>
      </c>
      <c r="L1397" s="1696">
        <v>0</v>
      </c>
      <c r="M1397" s="263" t="s">
        <v>49</v>
      </c>
      <c r="N1397" s="263" t="s">
        <v>2084</v>
      </c>
      <c r="O1397" s="263" t="s">
        <v>3259</v>
      </c>
      <c r="P1397" s="263" t="s">
        <v>40</v>
      </c>
      <c r="Q1397" s="262"/>
      <c r="R1397" s="263" t="s">
        <v>40</v>
      </c>
      <c r="S1397" s="262"/>
      <c r="T1397" s="263" t="s">
        <v>40</v>
      </c>
      <c r="U1397" s="262"/>
      <c r="V1397" s="263" t="s">
        <v>40</v>
      </c>
      <c r="W1397" s="262"/>
      <c r="X1397" s="263" t="s">
        <v>40</v>
      </c>
      <c r="Y1397" s="262"/>
      <c r="Z1397" s="263" t="s">
        <v>40</v>
      </c>
      <c r="AA1397" s="262"/>
      <c r="AB1397" s="263" t="s">
        <v>40</v>
      </c>
      <c r="AC1397" s="262"/>
      <c r="AD1397" s="262"/>
      <c r="AE1397" s="262">
        <v>46203</v>
      </c>
      <c r="AF1397" s="263" t="s">
        <v>65</v>
      </c>
      <c r="AG1397" s="270">
        <v>2026</v>
      </c>
      <c r="AH1397" s="296">
        <f t="shared" si="49"/>
        <v>0</v>
      </c>
      <c r="AI1397" s="296"/>
      <c r="AJ1397" s="296"/>
      <c r="AK1397" s="260" t="s">
        <v>43</v>
      </c>
      <c r="AL1397" s="259" t="s">
        <v>41</v>
      </c>
      <c r="AM1397" s="266">
        <v>0</v>
      </c>
      <c r="AN1397" s="67"/>
      <c r="AO1397" s="259"/>
      <c r="AP1397" s="277"/>
      <c r="AQ1397" s="165"/>
      <c r="AR1397" s="165"/>
      <c r="AS1397" s="165"/>
      <c r="AT1397" s="165"/>
      <c r="AU1397" s="165"/>
      <c r="AV1397" s="165"/>
      <c r="AW1397" s="165"/>
      <c r="AX1397" s="165"/>
      <c r="AY1397" s="165"/>
      <c r="AZ1397" s="165"/>
      <c r="BA1397" s="165"/>
      <c r="BB1397" s="165"/>
      <c r="BC1397" s="165"/>
      <c r="BD1397" s="165"/>
      <c r="BE1397" s="165"/>
      <c r="BF1397" s="165"/>
      <c r="BG1397" s="165"/>
      <c r="BH1397" s="165"/>
      <c r="BI1397" s="165"/>
      <c r="BJ1397" s="165"/>
      <c r="BK1397" s="165"/>
      <c r="BL1397" s="165"/>
      <c r="BM1397" s="165"/>
      <c r="BN1397" s="165"/>
      <c r="BO1397" s="165"/>
      <c r="BP1397" s="165"/>
      <c r="BQ1397" s="165"/>
      <c r="BR1397" s="165"/>
      <c r="BS1397" s="165"/>
      <c r="BT1397" s="165"/>
      <c r="BU1397" s="165"/>
      <c r="BV1397" s="165"/>
      <c r="BW1397" s="165"/>
      <c r="BX1397" s="165"/>
      <c r="BY1397" s="165"/>
      <c r="BZ1397" s="165"/>
      <c r="CA1397" s="315"/>
    </row>
    <row r="1398" spans="1:79" s="143" customFormat="1" ht="41.4" customHeight="1" x14ac:dyDescent="0.3">
      <c r="A1398" s="259" t="s">
        <v>1641</v>
      </c>
      <c r="B1398" s="259" t="s">
        <v>3222</v>
      </c>
      <c r="C1398" s="352" t="s">
        <v>3260</v>
      </c>
      <c r="D1398" s="259" t="s">
        <v>34</v>
      </c>
      <c r="E1398" s="259" t="s">
        <v>3224</v>
      </c>
      <c r="F1398" s="260" t="s">
        <v>35</v>
      </c>
      <c r="G1398" s="259">
        <v>25</v>
      </c>
      <c r="H1398" s="70">
        <v>350000</v>
      </c>
      <c r="I1398" s="261" t="s">
        <v>36</v>
      </c>
      <c r="J1398" s="70">
        <v>350000</v>
      </c>
      <c r="K1398" s="1696">
        <v>0</v>
      </c>
      <c r="L1398" s="1696">
        <v>0</v>
      </c>
      <c r="M1398" s="263" t="s">
        <v>3261</v>
      </c>
      <c r="N1398" s="263" t="s">
        <v>2536</v>
      </c>
      <c r="O1398" s="263" t="s">
        <v>3262</v>
      </c>
      <c r="P1398" s="263" t="s">
        <v>40</v>
      </c>
      <c r="Q1398" s="262"/>
      <c r="R1398" s="263" t="s">
        <v>40</v>
      </c>
      <c r="S1398" s="262"/>
      <c r="T1398" s="263" t="s">
        <v>40</v>
      </c>
      <c r="U1398" s="262"/>
      <c r="V1398" s="263" t="s">
        <v>40</v>
      </c>
      <c r="W1398" s="262"/>
      <c r="X1398" s="263" t="s">
        <v>40</v>
      </c>
      <c r="Y1398" s="262"/>
      <c r="Z1398" s="263" t="s">
        <v>40</v>
      </c>
      <c r="AA1398" s="262"/>
      <c r="AB1398" s="263" t="s">
        <v>40</v>
      </c>
      <c r="AC1398" s="262"/>
      <c r="AD1398" s="262"/>
      <c r="AE1398" s="262">
        <v>46203</v>
      </c>
      <c r="AF1398" s="263" t="s">
        <v>65</v>
      </c>
      <c r="AG1398" s="270">
        <v>2026</v>
      </c>
      <c r="AH1398" s="296">
        <f t="shared" si="49"/>
        <v>0</v>
      </c>
      <c r="AI1398" s="296"/>
      <c r="AJ1398" s="296"/>
      <c r="AK1398" s="260" t="s">
        <v>43</v>
      </c>
      <c r="AL1398" s="259" t="s">
        <v>41</v>
      </c>
      <c r="AM1398" s="266">
        <v>0</v>
      </c>
      <c r="AN1398" s="67"/>
      <c r="AO1398" s="259"/>
      <c r="AP1398" s="277"/>
      <c r="AQ1398" s="165"/>
      <c r="AR1398" s="165"/>
      <c r="AS1398" s="165"/>
      <c r="AT1398" s="165"/>
      <c r="AU1398" s="165"/>
      <c r="AV1398" s="165"/>
      <c r="AW1398" s="165"/>
      <c r="AX1398" s="165"/>
      <c r="AY1398" s="165"/>
      <c r="AZ1398" s="165"/>
      <c r="BA1398" s="165"/>
      <c r="BB1398" s="165"/>
      <c r="BC1398" s="165"/>
      <c r="BD1398" s="165"/>
      <c r="BE1398" s="165"/>
      <c r="BF1398" s="165"/>
      <c r="BG1398" s="165"/>
      <c r="BH1398" s="165"/>
      <c r="BI1398" s="165"/>
      <c r="BJ1398" s="165"/>
      <c r="BK1398" s="165"/>
      <c r="BL1398" s="165"/>
      <c r="BM1398" s="165"/>
      <c r="BN1398" s="165"/>
      <c r="BO1398" s="165"/>
      <c r="BP1398" s="165"/>
      <c r="BQ1398" s="165"/>
      <c r="BR1398" s="165"/>
      <c r="BS1398" s="165"/>
      <c r="BT1398" s="165"/>
      <c r="BU1398" s="165"/>
      <c r="BV1398" s="165"/>
      <c r="BW1398" s="165"/>
      <c r="BX1398" s="165"/>
      <c r="BY1398" s="165"/>
      <c r="BZ1398" s="165"/>
      <c r="CA1398" s="315"/>
    </row>
    <row r="1399" spans="1:79" s="143" customFormat="1" ht="41.4" customHeight="1" x14ac:dyDescent="0.3">
      <c r="A1399" s="259" t="s">
        <v>1641</v>
      </c>
      <c r="B1399" s="259" t="s">
        <v>3222</v>
      </c>
      <c r="C1399" s="352" t="s">
        <v>3263</v>
      </c>
      <c r="D1399" s="259" t="s">
        <v>34</v>
      </c>
      <c r="E1399" s="259" t="s">
        <v>3224</v>
      </c>
      <c r="F1399" s="260" t="s">
        <v>35</v>
      </c>
      <c r="G1399" s="259">
        <v>25</v>
      </c>
      <c r="H1399" s="70">
        <v>350000</v>
      </c>
      <c r="I1399" s="261" t="s">
        <v>36</v>
      </c>
      <c r="J1399" s="70">
        <v>350000</v>
      </c>
      <c r="K1399" s="1696">
        <v>0</v>
      </c>
      <c r="L1399" s="1696">
        <v>0</v>
      </c>
      <c r="M1399" s="263" t="s">
        <v>3264</v>
      </c>
      <c r="N1399" s="263" t="s">
        <v>3265</v>
      </c>
      <c r="O1399" s="263" t="s">
        <v>3266</v>
      </c>
      <c r="P1399" s="263" t="s">
        <v>40</v>
      </c>
      <c r="Q1399" s="262"/>
      <c r="R1399" s="263" t="s">
        <v>40</v>
      </c>
      <c r="S1399" s="262"/>
      <c r="T1399" s="263" t="s">
        <v>40</v>
      </c>
      <c r="U1399" s="262"/>
      <c r="V1399" s="263" t="s">
        <v>40</v>
      </c>
      <c r="W1399" s="262"/>
      <c r="X1399" s="263" t="s">
        <v>40</v>
      </c>
      <c r="Y1399" s="262"/>
      <c r="Z1399" s="263" t="s">
        <v>40</v>
      </c>
      <c r="AA1399" s="262"/>
      <c r="AB1399" s="263" t="s">
        <v>40</v>
      </c>
      <c r="AC1399" s="262"/>
      <c r="AD1399" s="262"/>
      <c r="AE1399" s="262">
        <v>46203</v>
      </c>
      <c r="AF1399" s="263" t="s">
        <v>65</v>
      </c>
      <c r="AG1399" s="270">
        <v>2026</v>
      </c>
      <c r="AH1399" s="296">
        <f t="shared" si="49"/>
        <v>0</v>
      </c>
      <c r="AI1399" s="296"/>
      <c r="AJ1399" s="296"/>
      <c r="AK1399" s="260" t="s">
        <v>43</v>
      </c>
      <c r="AL1399" s="259" t="s">
        <v>41</v>
      </c>
      <c r="AM1399" s="266">
        <v>0</v>
      </c>
      <c r="AN1399" s="67"/>
      <c r="AO1399" s="259"/>
      <c r="AP1399" s="277"/>
      <c r="AQ1399" s="165"/>
      <c r="AR1399" s="165"/>
      <c r="AS1399" s="165"/>
      <c r="AT1399" s="165"/>
      <c r="AU1399" s="165"/>
      <c r="AV1399" s="165"/>
      <c r="AW1399" s="165"/>
      <c r="AX1399" s="165"/>
      <c r="AY1399" s="165"/>
      <c r="AZ1399" s="165"/>
      <c r="BA1399" s="165"/>
      <c r="BB1399" s="165"/>
      <c r="BC1399" s="165"/>
      <c r="BD1399" s="165"/>
      <c r="BE1399" s="165"/>
      <c r="BF1399" s="165"/>
      <c r="BG1399" s="165"/>
      <c r="BH1399" s="165"/>
      <c r="BI1399" s="165"/>
      <c r="BJ1399" s="165"/>
      <c r="BK1399" s="165"/>
      <c r="BL1399" s="165"/>
      <c r="BM1399" s="165"/>
      <c r="BN1399" s="165"/>
      <c r="BO1399" s="165"/>
      <c r="BP1399" s="165"/>
      <c r="BQ1399" s="165"/>
      <c r="BR1399" s="165"/>
      <c r="BS1399" s="165"/>
      <c r="BT1399" s="165"/>
      <c r="BU1399" s="165"/>
      <c r="BV1399" s="165"/>
      <c r="BW1399" s="165"/>
      <c r="BX1399" s="165"/>
      <c r="BY1399" s="165"/>
      <c r="BZ1399" s="165"/>
      <c r="CA1399" s="315"/>
    </row>
    <row r="1400" spans="1:79" s="143" customFormat="1" ht="41.4" customHeight="1" x14ac:dyDescent="0.3">
      <c r="A1400" s="259" t="s">
        <v>1641</v>
      </c>
      <c r="B1400" s="259" t="s">
        <v>3222</v>
      </c>
      <c r="C1400" s="352" t="s">
        <v>3267</v>
      </c>
      <c r="D1400" s="259" t="s">
        <v>34</v>
      </c>
      <c r="E1400" s="259" t="s">
        <v>3224</v>
      </c>
      <c r="F1400" s="260" t="s">
        <v>35</v>
      </c>
      <c r="G1400" s="259">
        <v>25</v>
      </c>
      <c r="H1400" s="70">
        <v>350000</v>
      </c>
      <c r="I1400" s="261" t="s">
        <v>36</v>
      </c>
      <c r="J1400" s="70">
        <v>350000</v>
      </c>
      <c r="K1400" s="1696">
        <v>0</v>
      </c>
      <c r="L1400" s="1696">
        <v>0</v>
      </c>
      <c r="M1400" s="263" t="s">
        <v>1208</v>
      </c>
      <c r="N1400" s="263" t="s">
        <v>3268</v>
      </c>
      <c r="O1400" s="263" t="s">
        <v>3269</v>
      </c>
      <c r="P1400" s="263" t="s">
        <v>40</v>
      </c>
      <c r="Q1400" s="262"/>
      <c r="R1400" s="263" t="s">
        <v>40</v>
      </c>
      <c r="S1400" s="262"/>
      <c r="T1400" s="263" t="s">
        <v>40</v>
      </c>
      <c r="U1400" s="262"/>
      <c r="V1400" s="263" t="s">
        <v>40</v>
      </c>
      <c r="W1400" s="262"/>
      <c r="X1400" s="263" t="s">
        <v>40</v>
      </c>
      <c r="Y1400" s="262"/>
      <c r="Z1400" s="263" t="s">
        <v>40</v>
      </c>
      <c r="AA1400" s="262"/>
      <c r="AB1400" s="263" t="s">
        <v>40</v>
      </c>
      <c r="AC1400" s="262"/>
      <c r="AD1400" s="262"/>
      <c r="AE1400" s="262">
        <v>46203</v>
      </c>
      <c r="AF1400" s="263" t="s">
        <v>65</v>
      </c>
      <c r="AG1400" s="270">
        <v>2026</v>
      </c>
      <c r="AH1400" s="296">
        <f t="shared" si="49"/>
        <v>0</v>
      </c>
      <c r="AI1400" s="296"/>
      <c r="AJ1400" s="296"/>
      <c r="AK1400" s="260" t="s">
        <v>43</v>
      </c>
      <c r="AL1400" s="259" t="s">
        <v>41</v>
      </c>
      <c r="AM1400" s="266">
        <v>0</v>
      </c>
      <c r="AN1400" s="67"/>
      <c r="AO1400" s="259"/>
      <c r="AP1400" s="277"/>
      <c r="AQ1400" s="165"/>
      <c r="AR1400" s="165"/>
      <c r="AS1400" s="165"/>
      <c r="AT1400" s="165"/>
      <c r="AU1400" s="165"/>
      <c r="AV1400" s="165"/>
      <c r="AW1400" s="165"/>
      <c r="AX1400" s="165"/>
      <c r="AY1400" s="165"/>
      <c r="AZ1400" s="165"/>
      <c r="BA1400" s="165"/>
      <c r="BB1400" s="165"/>
      <c r="BC1400" s="165"/>
      <c r="BD1400" s="165"/>
      <c r="BE1400" s="165"/>
      <c r="BF1400" s="165"/>
      <c r="BG1400" s="165"/>
      <c r="BH1400" s="165"/>
      <c r="BI1400" s="165"/>
      <c r="BJ1400" s="165"/>
      <c r="BK1400" s="165"/>
      <c r="BL1400" s="165"/>
      <c r="BM1400" s="165"/>
      <c r="BN1400" s="165"/>
      <c r="BO1400" s="165"/>
      <c r="BP1400" s="165"/>
      <c r="BQ1400" s="165"/>
      <c r="BR1400" s="165"/>
      <c r="BS1400" s="165"/>
      <c r="BT1400" s="165"/>
      <c r="BU1400" s="165"/>
      <c r="BV1400" s="165"/>
      <c r="BW1400" s="165"/>
      <c r="BX1400" s="165"/>
      <c r="BY1400" s="165"/>
      <c r="BZ1400" s="165"/>
      <c r="CA1400" s="315"/>
    </row>
    <row r="1401" spans="1:79" s="143" customFormat="1" ht="41.4" customHeight="1" x14ac:dyDescent="0.3">
      <c r="A1401" s="259" t="s">
        <v>1641</v>
      </c>
      <c r="B1401" s="259" t="s">
        <v>3222</v>
      </c>
      <c r="C1401" s="352" t="s">
        <v>3270</v>
      </c>
      <c r="D1401" s="259" t="s">
        <v>34</v>
      </c>
      <c r="E1401" s="259" t="s">
        <v>3224</v>
      </c>
      <c r="F1401" s="260" t="s">
        <v>35</v>
      </c>
      <c r="G1401" s="259">
        <v>46</v>
      </c>
      <c r="H1401" s="70">
        <v>644000</v>
      </c>
      <c r="I1401" s="261" t="s">
        <v>36</v>
      </c>
      <c r="J1401" s="70">
        <v>644000</v>
      </c>
      <c r="K1401" s="1696">
        <v>0</v>
      </c>
      <c r="L1401" s="1696">
        <v>0</v>
      </c>
      <c r="M1401" s="263" t="s">
        <v>183</v>
      </c>
      <c r="N1401" s="263" t="s">
        <v>2176</v>
      </c>
      <c r="O1401" s="263" t="s">
        <v>3271</v>
      </c>
      <c r="P1401" s="263" t="s">
        <v>40</v>
      </c>
      <c r="Q1401" s="262"/>
      <c r="R1401" s="263" t="s">
        <v>40</v>
      </c>
      <c r="S1401" s="262"/>
      <c r="T1401" s="263" t="s">
        <v>40</v>
      </c>
      <c r="U1401" s="262"/>
      <c r="V1401" s="263" t="s">
        <v>40</v>
      </c>
      <c r="W1401" s="262"/>
      <c r="X1401" s="263" t="s">
        <v>40</v>
      </c>
      <c r="Y1401" s="262"/>
      <c r="Z1401" s="263" t="s">
        <v>40</v>
      </c>
      <c r="AA1401" s="262"/>
      <c r="AB1401" s="263" t="s">
        <v>40</v>
      </c>
      <c r="AC1401" s="262"/>
      <c r="AD1401" s="262"/>
      <c r="AE1401" s="262">
        <v>46203</v>
      </c>
      <c r="AF1401" s="263" t="s">
        <v>65</v>
      </c>
      <c r="AG1401" s="270">
        <v>2026</v>
      </c>
      <c r="AH1401" s="296">
        <f t="shared" si="49"/>
        <v>0</v>
      </c>
      <c r="AI1401" s="296"/>
      <c r="AJ1401" s="296"/>
      <c r="AK1401" s="260" t="s">
        <v>43</v>
      </c>
      <c r="AL1401" s="259" t="s">
        <v>41</v>
      </c>
      <c r="AM1401" s="266">
        <v>0</v>
      </c>
      <c r="AN1401" s="67"/>
      <c r="AO1401" s="259"/>
      <c r="AP1401" s="277"/>
      <c r="AQ1401" s="165"/>
      <c r="AR1401" s="165"/>
      <c r="AS1401" s="165"/>
      <c r="AT1401" s="165"/>
      <c r="AU1401" s="165"/>
      <c r="AV1401" s="165"/>
      <c r="AW1401" s="165"/>
      <c r="AX1401" s="165"/>
      <c r="AY1401" s="165"/>
      <c r="AZ1401" s="165"/>
      <c r="BA1401" s="165"/>
      <c r="BB1401" s="165"/>
      <c r="BC1401" s="165"/>
      <c r="BD1401" s="165"/>
      <c r="BE1401" s="165"/>
      <c r="BF1401" s="165"/>
      <c r="BG1401" s="165"/>
      <c r="BH1401" s="165"/>
      <c r="BI1401" s="165"/>
      <c r="BJ1401" s="165"/>
      <c r="BK1401" s="165"/>
      <c r="BL1401" s="165"/>
      <c r="BM1401" s="165"/>
      <c r="BN1401" s="165"/>
      <c r="BO1401" s="165"/>
      <c r="BP1401" s="165"/>
      <c r="BQ1401" s="165"/>
      <c r="BR1401" s="165"/>
      <c r="BS1401" s="165"/>
      <c r="BT1401" s="165"/>
      <c r="BU1401" s="165"/>
      <c r="BV1401" s="165"/>
      <c r="BW1401" s="165"/>
      <c r="BX1401" s="165"/>
      <c r="BY1401" s="165"/>
      <c r="BZ1401" s="165"/>
      <c r="CA1401" s="315"/>
    </row>
    <row r="1402" spans="1:79" s="143" customFormat="1" ht="41.4" customHeight="1" x14ac:dyDescent="0.3">
      <c r="A1402" s="259" t="s">
        <v>1641</v>
      </c>
      <c r="B1402" s="259" t="s">
        <v>3222</v>
      </c>
      <c r="C1402" s="352" t="s">
        <v>3272</v>
      </c>
      <c r="D1402" s="259" t="s">
        <v>34</v>
      </c>
      <c r="E1402" s="259" t="s">
        <v>3224</v>
      </c>
      <c r="F1402" s="260" t="s">
        <v>35</v>
      </c>
      <c r="G1402" s="259">
        <v>36</v>
      </c>
      <c r="H1402" s="70">
        <v>504000</v>
      </c>
      <c r="I1402" s="261" t="s">
        <v>36</v>
      </c>
      <c r="J1402" s="70">
        <v>504000</v>
      </c>
      <c r="K1402" s="1696">
        <v>0</v>
      </c>
      <c r="L1402" s="1696">
        <v>0</v>
      </c>
      <c r="M1402" s="263" t="s">
        <v>303</v>
      </c>
      <c r="N1402" s="263" t="s">
        <v>3273</v>
      </c>
      <c r="O1402" s="263" t="s">
        <v>3274</v>
      </c>
      <c r="P1402" s="263" t="s">
        <v>40</v>
      </c>
      <c r="Q1402" s="262"/>
      <c r="R1402" s="263" t="s">
        <v>40</v>
      </c>
      <c r="S1402" s="262"/>
      <c r="T1402" s="263" t="s">
        <v>40</v>
      </c>
      <c r="U1402" s="262"/>
      <c r="V1402" s="263" t="s">
        <v>40</v>
      </c>
      <c r="W1402" s="262"/>
      <c r="X1402" s="263" t="s">
        <v>40</v>
      </c>
      <c r="Y1402" s="262"/>
      <c r="Z1402" s="263" t="s">
        <v>40</v>
      </c>
      <c r="AA1402" s="262"/>
      <c r="AB1402" s="263" t="s">
        <v>40</v>
      </c>
      <c r="AC1402" s="262"/>
      <c r="AD1402" s="262"/>
      <c r="AE1402" s="262">
        <v>46203</v>
      </c>
      <c r="AF1402" s="263" t="s">
        <v>65</v>
      </c>
      <c r="AG1402" s="270">
        <v>2026</v>
      </c>
      <c r="AH1402" s="296">
        <f t="shared" si="49"/>
        <v>0</v>
      </c>
      <c r="AI1402" s="296"/>
      <c r="AJ1402" s="296"/>
      <c r="AK1402" s="260" t="s">
        <v>43</v>
      </c>
      <c r="AL1402" s="259" t="s">
        <v>41</v>
      </c>
      <c r="AM1402" s="266">
        <v>0</v>
      </c>
      <c r="AN1402" s="67"/>
      <c r="AO1402" s="259"/>
      <c r="AP1402" s="277"/>
      <c r="AQ1402" s="165"/>
      <c r="AR1402" s="165"/>
      <c r="AS1402" s="165"/>
      <c r="AT1402" s="165"/>
      <c r="AU1402" s="165"/>
      <c r="AV1402" s="165"/>
      <c r="AW1402" s="165"/>
      <c r="AX1402" s="165"/>
      <c r="AY1402" s="165"/>
      <c r="AZ1402" s="165"/>
      <c r="BA1402" s="165"/>
      <c r="BB1402" s="165"/>
      <c r="BC1402" s="165"/>
      <c r="BD1402" s="165"/>
      <c r="BE1402" s="165"/>
      <c r="BF1402" s="165"/>
      <c r="BG1402" s="165"/>
      <c r="BH1402" s="165"/>
      <c r="BI1402" s="165"/>
      <c r="BJ1402" s="165"/>
      <c r="BK1402" s="165"/>
      <c r="BL1402" s="165"/>
      <c r="BM1402" s="165"/>
      <c r="BN1402" s="165"/>
      <c r="BO1402" s="165"/>
      <c r="BP1402" s="165"/>
      <c r="BQ1402" s="165"/>
      <c r="BR1402" s="165"/>
      <c r="BS1402" s="165"/>
      <c r="BT1402" s="165"/>
      <c r="BU1402" s="165"/>
      <c r="BV1402" s="165"/>
      <c r="BW1402" s="165"/>
      <c r="BX1402" s="165"/>
      <c r="BY1402" s="165"/>
      <c r="BZ1402" s="165"/>
      <c r="CA1402" s="315"/>
    </row>
    <row r="1403" spans="1:79" s="143" customFormat="1" ht="41.4" customHeight="1" x14ac:dyDescent="0.3">
      <c r="A1403" s="259" t="s">
        <v>1641</v>
      </c>
      <c r="B1403" s="259" t="s">
        <v>3222</v>
      </c>
      <c r="C1403" s="352" t="s">
        <v>3275</v>
      </c>
      <c r="D1403" s="259" t="s">
        <v>34</v>
      </c>
      <c r="E1403" s="259" t="s">
        <v>3224</v>
      </c>
      <c r="F1403" s="260" t="s">
        <v>35</v>
      </c>
      <c r="G1403" s="259">
        <v>100</v>
      </c>
      <c r="H1403" s="70">
        <v>1400000</v>
      </c>
      <c r="I1403" s="261" t="s">
        <v>36</v>
      </c>
      <c r="J1403" s="70">
        <v>1400000</v>
      </c>
      <c r="K1403" s="1696">
        <v>0</v>
      </c>
      <c r="L1403" s="1696">
        <v>0</v>
      </c>
      <c r="M1403" s="263" t="s">
        <v>67</v>
      </c>
      <c r="N1403" s="263" t="s">
        <v>1698</v>
      </c>
      <c r="O1403" s="263" t="s">
        <v>1699</v>
      </c>
      <c r="P1403" s="263" t="s">
        <v>40</v>
      </c>
      <c r="Q1403" s="262"/>
      <c r="R1403" s="263" t="s">
        <v>40</v>
      </c>
      <c r="S1403" s="262"/>
      <c r="T1403" s="263" t="s">
        <v>40</v>
      </c>
      <c r="U1403" s="262"/>
      <c r="V1403" s="263" t="s">
        <v>40</v>
      </c>
      <c r="W1403" s="262"/>
      <c r="X1403" s="263" t="s">
        <v>40</v>
      </c>
      <c r="Y1403" s="262"/>
      <c r="Z1403" s="263" t="s">
        <v>40</v>
      </c>
      <c r="AA1403" s="262"/>
      <c r="AB1403" s="263" t="s">
        <v>40</v>
      </c>
      <c r="AC1403" s="262"/>
      <c r="AD1403" s="262"/>
      <c r="AE1403" s="262">
        <v>46203</v>
      </c>
      <c r="AF1403" s="263" t="s">
        <v>65</v>
      </c>
      <c r="AG1403" s="270">
        <v>2026</v>
      </c>
      <c r="AH1403" s="296">
        <f t="shared" si="49"/>
        <v>0</v>
      </c>
      <c r="AI1403" s="296"/>
      <c r="AJ1403" s="296"/>
      <c r="AK1403" s="260" t="s">
        <v>43</v>
      </c>
      <c r="AL1403" s="259" t="s">
        <v>41</v>
      </c>
      <c r="AM1403" s="266">
        <v>0</v>
      </c>
      <c r="AN1403" s="67"/>
      <c r="AO1403" s="259"/>
      <c r="AP1403" s="277"/>
      <c r="AQ1403" s="165"/>
      <c r="AR1403" s="165"/>
      <c r="AS1403" s="165"/>
      <c r="AT1403" s="165"/>
      <c r="AU1403" s="165"/>
      <c r="AV1403" s="165"/>
      <c r="AW1403" s="165"/>
      <c r="AX1403" s="165"/>
      <c r="AY1403" s="165"/>
      <c r="AZ1403" s="165"/>
      <c r="BA1403" s="165"/>
      <c r="BB1403" s="165"/>
      <c r="BC1403" s="165"/>
      <c r="BD1403" s="165"/>
      <c r="BE1403" s="165"/>
      <c r="BF1403" s="165"/>
      <c r="BG1403" s="165"/>
      <c r="BH1403" s="165"/>
      <c r="BI1403" s="165"/>
      <c r="BJ1403" s="165"/>
      <c r="BK1403" s="165"/>
      <c r="BL1403" s="165"/>
      <c r="BM1403" s="165"/>
      <c r="BN1403" s="165"/>
      <c r="BO1403" s="165"/>
      <c r="BP1403" s="165"/>
      <c r="BQ1403" s="165"/>
      <c r="BR1403" s="165"/>
      <c r="BS1403" s="165"/>
      <c r="BT1403" s="165"/>
      <c r="BU1403" s="165"/>
      <c r="BV1403" s="165"/>
      <c r="BW1403" s="165"/>
      <c r="BX1403" s="165"/>
      <c r="BY1403" s="165"/>
      <c r="BZ1403" s="165"/>
      <c r="CA1403" s="315"/>
    </row>
    <row r="1404" spans="1:79" s="143" customFormat="1" ht="41.4" customHeight="1" x14ac:dyDescent="0.3">
      <c r="A1404" s="259" t="s">
        <v>1641</v>
      </c>
      <c r="B1404" s="259" t="s">
        <v>3222</v>
      </c>
      <c r="C1404" s="352" t="s">
        <v>3276</v>
      </c>
      <c r="D1404" s="259" t="s">
        <v>34</v>
      </c>
      <c r="E1404" s="259" t="s">
        <v>3224</v>
      </c>
      <c r="F1404" s="260" t="s">
        <v>35</v>
      </c>
      <c r="G1404" s="259">
        <v>70</v>
      </c>
      <c r="H1404" s="70">
        <v>980000</v>
      </c>
      <c r="I1404" s="261" t="s">
        <v>36</v>
      </c>
      <c r="J1404" s="70">
        <v>980000</v>
      </c>
      <c r="K1404" s="1696">
        <v>0</v>
      </c>
      <c r="L1404" s="1696">
        <v>0</v>
      </c>
      <c r="M1404" s="263" t="s">
        <v>59</v>
      </c>
      <c r="N1404" s="263" t="s">
        <v>2752</v>
      </c>
      <c r="O1404" s="263" t="s">
        <v>3277</v>
      </c>
      <c r="P1404" s="263" t="s">
        <v>40</v>
      </c>
      <c r="Q1404" s="262"/>
      <c r="R1404" s="263" t="s">
        <v>40</v>
      </c>
      <c r="S1404" s="262"/>
      <c r="T1404" s="263" t="s">
        <v>40</v>
      </c>
      <c r="U1404" s="262"/>
      <c r="V1404" s="263" t="s">
        <v>40</v>
      </c>
      <c r="W1404" s="262"/>
      <c r="X1404" s="263" t="s">
        <v>40</v>
      </c>
      <c r="Y1404" s="262"/>
      <c r="Z1404" s="263" t="s">
        <v>40</v>
      </c>
      <c r="AA1404" s="262"/>
      <c r="AB1404" s="263" t="s">
        <v>40</v>
      </c>
      <c r="AC1404" s="262"/>
      <c r="AD1404" s="262"/>
      <c r="AE1404" s="262">
        <v>46203</v>
      </c>
      <c r="AF1404" s="263" t="s">
        <v>65</v>
      </c>
      <c r="AG1404" s="270">
        <v>2026</v>
      </c>
      <c r="AH1404" s="296">
        <f t="shared" si="49"/>
        <v>0</v>
      </c>
      <c r="AI1404" s="296"/>
      <c r="AJ1404" s="296"/>
      <c r="AK1404" s="260" t="s">
        <v>43</v>
      </c>
      <c r="AL1404" s="259" t="s">
        <v>41</v>
      </c>
      <c r="AM1404" s="266">
        <v>0</v>
      </c>
      <c r="AN1404" s="67"/>
      <c r="AO1404" s="259"/>
      <c r="AP1404" s="277"/>
      <c r="AQ1404" s="165"/>
      <c r="AR1404" s="165"/>
      <c r="AS1404" s="165"/>
      <c r="AT1404" s="165"/>
      <c r="AU1404" s="165"/>
      <c r="AV1404" s="165"/>
      <c r="AW1404" s="165"/>
      <c r="AX1404" s="165"/>
      <c r="AY1404" s="165"/>
      <c r="AZ1404" s="165"/>
      <c r="BA1404" s="165"/>
      <c r="BB1404" s="165"/>
      <c r="BC1404" s="165"/>
      <c r="BD1404" s="165"/>
      <c r="BE1404" s="165"/>
      <c r="BF1404" s="165"/>
      <c r="BG1404" s="165"/>
      <c r="BH1404" s="165"/>
      <c r="BI1404" s="165"/>
      <c r="BJ1404" s="165"/>
      <c r="BK1404" s="165"/>
      <c r="BL1404" s="165"/>
      <c r="BM1404" s="165"/>
      <c r="BN1404" s="165"/>
      <c r="BO1404" s="165"/>
      <c r="BP1404" s="165"/>
      <c r="BQ1404" s="165"/>
      <c r="BR1404" s="165"/>
      <c r="BS1404" s="165"/>
      <c r="BT1404" s="165"/>
      <c r="BU1404" s="165"/>
      <c r="BV1404" s="165"/>
      <c r="BW1404" s="165"/>
      <c r="BX1404" s="165"/>
      <c r="BY1404" s="165"/>
      <c r="BZ1404" s="165"/>
      <c r="CA1404" s="315"/>
    </row>
    <row r="1405" spans="1:79" s="143" customFormat="1" ht="41.4" customHeight="1" x14ac:dyDescent="0.3">
      <c r="A1405" s="259" t="s">
        <v>1641</v>
      </c>
      <c r="B1405" s="259" t="s">
        <v>3222</v>
      </c>
      <c r="C1405" s="352" t="s">
        <v>3278</v>
      </c>
      <c r="D1405" s="259" t="s">
        <v>34</v>
      </c>
      <c r="E1405" s="259" t="s">
        <v>3224</v>
      </c>
      <c r="F1405" s="260" t="s">
        <v>35</v>
      </c>
      <c r="G1405" s="259">
        <v>130</v>
      </c>
      <c r="H1405" s="70">
        <v>3090000</v>
      </c>
      <c r="I1405" s="261" t="s">
        <v>36</v>
      </c>
      <c r="J1405" s="70">
        <v>3090000</v>
      </c>
      <c r="K1405" s="1696">
        <v>0</v>
      </c>
      <c r="L1405" s="1696">
        <v>0</v>
      </c>
      <c r="M1405" s="263" t="s">
        <v>57</v>
      </c>
      <c r="N1405" s="263" t="s">
        <v>3279</v>
      </c>
      <c r="O1405" s="263" t="s">
        <v>3280</v>
      </c>
      <c r="P1405" s="263" t="s">
        <v>41</v>
      </c>
      <c r="Q1405" s="262">
        <v>45073</v>
      </c>
      <c r="R1405" s="263" t="s">
        <v>3281</v>
      </c>
      <c r="S1405" s="262" t="s">
        <v>3282</v>
      </c>
      <c r="T1405" s="263" t="s">
        <v>40</v>
      </c>
      <c r="U1405" s="262"/>
      <c r="V1405" s="263" t="s">
        <v>40</v>
      </c>
      <c r="W1405" s="262"/>
      <c r="X1405" s="263" t="s">
        <v>40</v>
      </c>
      <c r="Y1405" s="262"/>
      <c r="Z1405" s="263" t="s">
        <v>40</v>
      </c>
      <c r="AA1405" s="262"/>
      <c r="AB1405" s="263" t="s">
        <v>40</v>
      </c>
      <c r="AC1405" s="262"/>
      <c r="AD1405" s="262"/>
      <c r="AE1405" s="262">
        <v>46203</v>
      </c>
      <c r="AF1405" s="263" t="s">
        <v>65</v>
      </c>
      <c r="AG1405" s="270">
        <v>2026</v>
      </c>
      <c r="AH1405" s="296">
        <f t="shared" si="49"/>
        <v>0</v>
      </c>
      <c r="AI1405" s="296"/>
      <c r="AJ1405" s="296"/>
      <c r="AK1405" s="260" t="s">
        <v>43</v>
      </c>
      <c r="AL1405" s="259" t="s">
        <v>41</v>
      </c>
      <c r="AM1405" s="266">
        <v>0</v>
      </c>
      <c r="AN1405" s="67"/>
      <c r="AO1405" s="259"/>
      <c r="AP1405" s="277"/>
      <c r="AQ1405" s="165"/>
      <c r="AR1405" s="165"/>
      <c r="AS1405" s="165"/>
      <c r="AT1405" s="165"/>
      <c r="AU1405" s="165"/>
      <c r="AV1405" s="165"/>
      <c r="AW1405" s="165"/>
      <c r="AX1405" s="165"/>
      <c r="AY1405" s="165"/>
      <c r="AZ1405" s="165"/>
      <c r="BA1405" s="165"/>
      <c r="BB1405" s="165"/>
      <c r="BC1405" s="165"/>
      <c r="BD1405" s="165"/>
      <c r="BE1405" s="165"/>
      <c r="BF1405" s="165"/>
      <c r="BG1405" s="165"/>
      <c r="BH1405" s="165"/>
      <c r="BI1405" s="165"/>
      <c r="BJ1405" s="165"/>
      <c r="BK1405" s="165"/>
      <c r="BL1405" s="165"/>
      <c r="BM1405" s="165"/>
      <c r="BN1405" s="165"/>
      <c r="BO1405" s="165"/>
      <c r="BP1405" s="165"/>
      <c r="BQ1405" s="165"/>
      <c r="BR1405" s="165"/>
      <c r="BS1405" s="165"/>
      <c r="BT1405" s="165"/>
      <c r="BU1405" s="165"/>
      <c r="BV1405" s="165"/>
      <c r="BW1405" s="165"/>
      <c r="BX1405" s="165"/>
      <c r="BY1405" s="165"/>
      <c r="BZ1405" s="165"/>
      <c r="CA1405" s="315"/>
    </row>
    <row r="1406" spans="1:79" s="143" customFormat="1" ht="41.4" customHeight="1" x14ac:dyDescent="0.3">
      <c r="A1406" s="259" t="s">
        <v>1641</v>
      </c>
      <c r="B1406" s="259" t="s">
        <v>3222</v>
      </c>
      <c r="C1406" s="352" t="s">
        <v>3283</v>
      </c>
      <c r="D1406" s="259" t="s">
        <v>34</v>
      </c>
      <c r="E1406" s="259" t="s">
        <v>3224</v>
      </c>
      <c r="F1406" s="260" t="s">
        <v>35</v>
      </c>
      <c r="G1406" s="259">
        <v>89</v>
      </c>
      <c r="H1406" s="70">
        <v>1246000</v>
      </c>
      <c r="I1406" s="261" t="s">
        <v>36</v>
      </c>
      <c r="J1406" s="70">
        <v>1246000</v>
      </c>
      <c r="K1406" s="1696">
        <v>0</v>
      </c>
      <c r="L1406" s="1696">
        <v>0</v>
      </c>
      <c r="M1406" s="263" t="s">
        <v>69</v>
      </c>
      <c r="N1406" s="353" t="s">
        <v>69</v>
      </c>
      <c r="O1406" s="263" t="s">
        <v>3284</v>
      </c>
      <c r="P1406" s="263" t="s">
        <v>40</v>
      </c>
      <c r="Q1406" s="262"/>
      <c r="R1406" s="263" t="s">
        <v>40</v>
      </c>
      <c r="S1406" s="262"/>
      <c r="T1406" s="263" t="s">
        <v>40</v>
      </c>
      <c r="U1406" s="262"/>
      <c r="V1406" s="263" t="s">
        <v>40</v>
      </c>
      <c r="W1406" s="262"/>
      <c r="X1406" s="263" t="s">
        <v>40</v>
      </c>
      <c r="Y1406" s="262"/>
      <c r="Z1406" s="263" t="s">
        <v>40</v>
      </c>
      <c r="AA1406" s="262"/>
      <c r="AB1406" s="263" t="s">
        <v>40</v>
      </c>
      <c r="AC1406" s="262"/>
      <c r="AD1406" s="262"/>
      <c r="AE1406" s="262">
        <v>46203</v>
      </c>
      <c r="AF1406" s="263" t="s">
        <v>65</v>
      </c>
      <c r="AG1406" s="270">
        <v>2026</v>
      </c>
      <c r="AH1406" s="296">
        <f t="shared" si="49"/>
        <v>0</v>
      </c>
      <c r="AI1406" s="296"/>
      <c r="AJ1406" s="296"/>
      <c r="AK1406" s="260" t="s">
        <v>43</v>
      </c>
      <c r="AL1406" s="259" t="s">
        <v>41</v>
      </c>
      <c r="AM1406" s="266">
        <v>0</v>
      </c>
      <c r="AN1406" s="67"/>
      <c r="AO1406" s="259"/>
      <c r="AP1406" s="277"/>
      <c r="AQ1406" s="165"/>
      <c r="AR1406" s="165"/>
      <c r="AS1406" s="165"/>
      <c r="AT1406" s="165"/>
      <c r="AU1406" s="165"/>
      <c r="AV1406" s="165"/>
      <c r="AW1406" s="165"/>
      <c r="AX1406" s="165"/>
      <c r="AY1406" s="165"/>
      <c r="AZ1406" s="165"/>
      <c r="BA1406" s="165"/>
      <c r="BB1406" s="165"/>
      <c r="BC1406" s="165"/>
      <c r="BD1406" s="165"/>
      <c r="BE1406" s="165"/>
      <c r="BF1406" s="165"/>
      <c r="BG1406" s="165"/>
      <c r="BH1406" s="165"/>
      <c r="BI1406" s="165"/>
      <c r="BJ1406" s="165"/>
      <c r="BK1406" s="165"/>
      <c r="BL1406" s="165"/>
      <c r="BM1406" s="165"/>
      <c r="BN1406" s="165"/>
      <c r="BO1406" s="165"/>
      <c r="BP1406" s="165"/>
      <c r="BQ1406" s="165"/>
      <c r="BR1406" s="165"/>
      <c r="BS1406" s="165"/>
      <c r="BT1406" s="165"/>
      <c r="BU1406" s="165"/>
      <c r="BV1406" s="165"/>
      <c r="BW1406" s="165"/>
      <c r="BX1406" s="165"/>
      <c r="BY1406" s="165"/>
      <c r="BZ1406" s="165"/>
      <c r="CA1406" s="315"/>
    </row>
    <row r="1407" spans="1:79" s="143" customFormat="1" ht="41.4" customHeight="1" x14ac:dyDescent="0.3">
      <c r="A1407" s="259" t="s">
        <v>1641</v>
      </c>
      <c r="B1407" s="259" t="s">
        <v>3222</v>
      </c>
      <c r="C1407" s="352" t="s">
        <v>3285</v>
      </c>
      <c r="D1407" s="259" t="s">
        <v>34</v>
      </c>
      <c r="E1407" s="259" t="s">
        <v>3224</v>
      </c>
      <c r="F1407" s="260" t="s">
        <v>35</v>
      </c>
      <c r="G1407" s="259">
        <v>200</v>
      </c>
      <c r="H1407" s="70">
        <v>2800000</v>
      </c>
      <c r="I1407" s="261" t="s">
        <v>36</v>
      </c>
      <c r="J1407" s="70">
        <v>2800000</v>
      </c>
      <c r="K1407" s="1696">
        <v>0</v>
      </c>
      <c r="L1407" s="1696">
        <v>0</v>
      </c>
      <c r="M1407" s="263" t="s">
        <v>63</v>
      </c>
      <c r="N1407" s="263" t="s">
        <v>63</v>
      </c>
      <c r="O1407" s="263" t="s">
        <v>1696</v>
      </c>
      <c r="P1407" s="263" t="s">
        <v>40</v>
      </c>
      <c r="Q1407" s="262"/>
      <c r="R1407" s="263" t="s">
        <v>40</v>
      </c>
      <c r="S1407" s="262"/>
      <c r="T1407" s="263" t="s">
        <v>40</v>
      </c>
      <c r="U1407" s="262"/>
      <c r="V1407" s="263" t="s">
        <v>40</v>
      </c>
      <c r="W1407" s="262"/>
      <c r="X1407" s="263" t="s">
        <v>40</v>
      </c>
      <c r="Y1407" s="262"/>
      <c r="Z1407" s="263" t="s">
        <v>40</v>
      </c>
      <c r="AA1407" s="262"/>
      <c r="AB1407" s="263" t="s">
        <v>40</v>
      </c>
      <c r="AC1407" s="262"/>
      <c r="AD1407" s="262"/>
      <c r="AE1407" s="262">
        <v>46203</v>
      </c>
      <c r="AF1407" s="263" t="s">
        <v>65</v>
      </c>
      <c r="AG1407" s="270">
        <v>2026</v>
      </c>
      <c r="AH1407" s="296">
        <f t="shared" si="49"/>
        <v>0</v>
      </c>
      <c r="AI1407" s="296"/>
      <c r="AJ1407" s="296"/>
      <c r="AK1407" s="260" t="s">
        <v>43</v>
      </c>
      <c r="AL1407" s="259" t="s">
        <v>41</v>
      </c>
      <c r="AM1407" s="266">
        <v>0</v>
      </c>
      <c r="AN1407" s="67"/>
      <c r="AO1407" s="259"/>
      <c r="AP1407" s="277"/>
      <c r="AQ1407" s="165"/>
      <c r="AR1407" s="165"/>
      <c r="AS1407" s="165"/>
      <c r="AT1407" s="165"/>
      <c r="AU1407" s="165"/>
      <c r="AV1407" s="165"/>
      <c r="AW1407" s="165"/>
      <c r="AX1407" s="165"/>
      <c r="AY1407" s="165"/>
      <c r="AZ1407" s="165"/>
      <c r="BA1407" s="165"/>
      <c r="BB1407" s="165"/>
      <c r="BC1407" s="165"/>
      <c r="BD1407" s="165"/>
      <c r="BE1407" s="165"/>
      <c r="BF1407" s="165"/>
      <c r="BG1407" s="165"/>
      <c r="BH1407" s="165"/>
      <c r="BI1407" s="165"/>
      <c r="BJ1407" s="165"/>
      <c r="BK1407" s="165"/>
      <c r="BL1407" s="165"/>
      <c r="BM1407" s="165"/>
      <c r="BN1407" s="165"/>
      <c r="BO1407" s="165"/>
      <c r="BP1407" s="165"/>
      <c r="BQ1407" s="165"/>
      <c r="BR1407" s="165"/>
      <c r="BS1407" s="165"/>
      <c r="BT1407" s="165"/>
      <c r="BU1407" s="165"/>
      <c r="BV1407" s="165"/>
      <c r="BW1407" s="165"/>
      <c r="BX1407" s="165"/>
      <c r="BY1407" s="165"/>
      <c r="BZ1407" s="165"/>
      <c r="CA1407" s="315"/>
    </row>
    <row r="1408" spans="1:79" s="143" customFormat="1" ht="41.4" customHeight="1" x14ac:dyDescent="0.3">
      <c r="A1408" s="259" t="s">
        <v>1641</v>
      </c>
      <c r="B1408" s="259" t="s">
        <v>3222</v>
      </c>
      <c r="C1408" s="352" t="s">
        <v>3286</v>
      </c>
      <c r="D1408" s="259" t="s">
        <v>34</v>
      </c>
      <c r="E1408" s="259" t="s">
        <v>3224</v>
      </c>
      <c r="F1408" s="260" t="s">
        <v>35</v>
      </c>
      <c r="G1408" s="259">
        <v>16</v>
      </c>
      <c r="H1408" s="70">
        <v>264000</v>
      </c>
      <c r="I1408" s="261" t="s">
        <v>36</v>
      </c>
      <c r="J1408" s="70">
        <v>264000</v>
      </c>
      <c r="K1408" s="1696">
        <v>0</v>
      </c>
      <c r="L1408" s="1696">
        <v>0</v>
      </c>
      <c r="M1408" s="263" t="s">
        <v>76</v>
      </c>
      <c r="N1408" s="263" t="s">
        <v>3287</v>
      </c>
      <c r="O1408" s="263" t="s">
        <v>3288</v>
      </c>
      <c r="P1408" s="263" t="s">
        <v>40</v>
      </c>
      <c r="Q1408" s="262"/>
      <c r="R1408" s="263" t="s">
        <v>40</v>
      </c>
      <c r="S1408" s="262"/>
      <c r="T1408" s="263" t="s">
        <v>40</v>
      </c>
      <c r="U1408" s="262"/>
      <c r="V1408" s="263" t="s">
        <v>40</v>
      </c>
      <c r="W1408" s="262"/>
      <c r="X1408" s="263" t="s">
        <v>40</v>
      </c>
      <c r="Y1408" s="262"/>
      <c r="Z1408" s="263" t="s">
        <v>40</v>
      </c>
      <c r="AA1408" s="262"/>
      <c r="AB1408" s="263" t="s">
        <v>40</v>
      </c>
      <c r="AC1408" s="262"/>
      <c r="AD1408" s="262"/>
      <c r="AE1408" s="262">
        <v>46203</v>
      </c>
      <c r="AF1408" s="263" t="s">
        <v>65</v>
      </c>
      <c r="AG1408" s="270">
        <v>2026</v>
      </c>
      <c r="AH1408" s="296">
        <f t="shared" si="49"/>
        <v>0</v>
      </c>
      <c r="AI1408" s="296"/>
      <c r="AJ1408" s="296"/>
      <c r="AK1408" s="260" t="s">
        <v>43</v>
      </c>
      <c r="AL1408" s="259" t="s">
        <v>41</v>
      </c>
      <c r="AM1408" s="266">
        <v>0</v>
      </c>
      <c r="AN1408" s="67"/>
      <c r="AO1408" s="259"/>
      <c r="AP1408" s="277"/>
      <c r="AQ1408" s="165"/>
      <c r="AR1408" s="165"/>
      <c r="AS1408" s="165"/>
      <c r="AT1408" s="165"/>
      <c r="AU1408" s="165"/>
      <c r="AV1408" s="165"/>
      <c r="AW1408" s="165"/>
      <c r="AX1408" s="165"/>
      <c r="AY1408" s="165"/>
      <c r="AZ1408" s="165"/>
      <c r="BA1408" s="165"/>
      <c r="BB1408" s="165"/>
      <c r="BC1408" s="165"/>
      <c r="BD1408" s="165"/>
      <c r="BE1408" s="165"/>
      <c r="BF1408" s="165"/>
      <c r="BG1408" s="165"/>
      <c r="BH1408" s="165"/>
      <c r="BI1408" s="165"/>
      <c r="BJ1408" s="165"/>
      <c r="BK1408" s="165"/>
      <c r="BL1408" s="165"/>
      <c r="BM1408" s="165"/>
      <c r="BN1408" s="165"/>
      <c r="BO1408" s="165"/>
      <c r="BP1408" s="165"/>
      <c r="BQ1408" s="165"/>
      <c r="BR1408" s="165"/>
      <c r="BS1408" s="165"/>
      <c r="BT1408" s="165"/>
      <c r="BU1408" s="165"/>
      <c r="BV1408" s="165"/>
      <c r="BW1408" s="165"/>
      <c r="BX1408" s="165"/>
      <c r="BY1408" s="165"/>
      <c r="BZ1408" s="165"/>
      <c r="CA1408" s="315"/>
    </row>
    <row r="1409" spans="1:79" s="143" customFormat="1" ht="41.4" customHeight="1" x14ac:dyDescent="0.3">
      <c r="A1409" s="259" t="s">
        <v>1641</v>
      </c>
      <c r="B1409" s="259" t="s">
        <v>3222</v>
      </c>
      <c r="C1409" s="352" t="s">
        <v>3289</v>
      </c>
      <c r="D1409" s="259" t="s">
        <v>34</v>
      </c>
      <c r="E1409" s="259" t="s">
        <v>3224</v>
      </c>
      <c r="F1409" s="260" t="s">
        <v>35</v>
      </c>
      <c r="G1409" s="259">
        <v>100</v>
      </c>
      <c r="H1409" s="70">
        <v>1675000</v>
      </c>
      <c r="I1409" s="261" t="s">
        <v>36</v>
      </c>
      <c r="J1409" s="70">
        <v>1675000</v>
      </c>
      <c r="K1409" s="1696">
        <v>0</v>
      </c>
      <c r="L1409" s="1696">
        <v>0</v>
      </c>
      <c r="M1409" s="263" t="s">
        <v>303</v>
      </c>
      <c r="N1409" s="263" t="s">
        <v>303</v>
      </c>
      <c r="O1409" s="263" t="s">
        <v>3290</v>
      </c>
      <c r="P1409" s="263" t="s">
        <v>40</v>
      </c>
      <c r="Q1409" s="262"/>
      <c r="R1409" s="263" t="s">
        <v>40</v>
      </c>
      <c r="S1409" s="262"/>
      <c r="T1409" s="263" t="s">
        <v>40</v>
      </c>
      <c r="U1409" s="262"/>
      <c r="V1409" s="263" t="s">
        <v>40</v>
      </c>
      <c r="W1409" s="262"/>
      <c r="X1409" s="263" t="s">
        <v>40</v>
      </c>
      <c r="Y1409" s="262"/>
      <c r="Z1409" s="263" t="s">
        <v>40</v>
      </c>
      <c r="AA1409" s="262"/>
      <c r="AB1409" s="263" t="s">
        <v>40</v>
      </c>
      <c r="AC1409" s="262"/>
      <c r="AD1409" s="262"/>
      <c r="AE1409" s="262">
        <v>46203</v>
      </c>
      <c r="AF1409" s="263" t="s">
        <v>65</v>
      </c>
      <c r="AG1409" s="270">
        <v>2026</v>
      </c>
      <c r="AH1409" s="296">
        <f t="shared" si="49"/>
        <v>0</v>
      </c>
      <c r="AI1409" s="296"/>
      <c r="AJ1409" s="296"/>
      <c r="AK1409" s="260" t="s">
        <v>43</v>
      </c>
      <c r="AL1409" s="259" t="s">
        <v>41</v>
      </c>
      <c r="AM1409" s="266">
        <v>0</v>
      </c>
      <c r="AN1409" s="67"/>
      <c r="AO1409" s="259"/>
      <c r="AP1409" s="277"/>
      <c r="AQ1409" s="165"/>
      <c r="AR1409" s="165"/>
      <c r="AS1409" s="165"/>
      <c r="AT1409" s="165"/>
      <c r="AU1409" s="165"/>
      <c r="AV1409" s="165"/>
      <c r="AW1409" s="165"/>
      <c r="AX1409" s="165"/>
      <c r="AY1409" s="165"/>
      <c r="AZ1409" s="165"/>
      <c r="BA1409" s="165"/>
      <c r="BB1409" s="165"/>
      <c r="BC1409" s="165"/>
      <c r="BD1409" s="165"/>
      <c r="BE1409" s="165"/>
      <c r="BF1409" s="165"/>
      <c r="BG1409" s="165"/>
      <c r="BH1409" s="165"/>
      <c r="BI1409" s="165"/>
      <c r="BJ1409" s="165"/>
      <c r="BK1409" s="165"/>
      <c r="BL1409" s="165"/>
      <c r="BM1409" s="165"/>
      <c r="BN1409" s="165"/>
      <c r="BO1409" s="165"/>
      <c r="BP1409" s="165"/>
      <c r="BQ1409" s="165"/>
      <c r="BR1409" s="165"/>
      <c r="BS1409" s="165"/>
      <c r="BT1409" s="165"/>
      <c r="BU1409" s="165"/>
      <c r="BV1409" s="165"/>
      <c r="BW1409" s="165"/>
      <c r="BX1409" s="165"/>
      <c r="BY1409" s="165"/>
      <c r="BZ1409" s="165"/>
      <c r="CA1409" s="315"/>
    </row>
    <row r="1410" spans="1:79" s="143" customFormat="1" ht="41.4" customHeight="1" x14ac:dyDescent="0.3">
      <c r="A1410" s="259" t="s">
        <v>1641</v>
      </c>
      <c r="B1410" s="259" t="s">
        <v>3222</v>
      </c>
      <c r="C1410" s="352" t="s">
        <v>3291</v>
      </c>
      <c r="D1410" s="259" t="s">
        <v>34</v>
      </c>
      <c r="E1410" s="259" t="s">
        <v>3224</v>
      </c>
      <c r="F1410" s="260" t="s">
        <v>35</v>
      </c>
      <c r="G1410" s="259">
        <v>9</v>
      </c>
      <c r="H1410" s="70">
        <v>126000</v>
      </c>
      <c r="I1410" s="261" t="s">
        <v>36</v>
      </c>
      <c r="J1410" s="70">
        <v>126000</v>
      </c>
      <c r="K1410" s="1696">
        <v>0</v>
      </c>
      <c r="L1410" s="1696">
        <v>0</v>
      </c>
      <c r="M1410" s="263" t="s">
        <v>50</v>
      </c>
      <c r="N1410" s="263" t="s">
        <v>3292</v>
      </c>
      <c r="O1410" s="263" t="s">
        <v>3293</v>
      </c>
      <c r="P1410" s="263" t="s">
        <v>40</v>
      </c>
      <c r="Q1410" s="262"/>
      <c r="R1410" s="263" t="s">
        <v>40</v>
      </c>
      <c r="S1410" s="262"/>
      <c r="T1410" s="263" t="s">
        <v>40</v>
      </c>
      <c r="U1410" s="262"/>
      <c r="V1410" s="263" t="s">
        <v>40</v>
      </c>
      <c r="W1410" s="262"/>
      <c r="X1410" s="263" t="s">
        <v>40</v>
      </c>
      <c r="Y1410" s="262"/>
      <c r="Z1410" s="263" t="s">
        <v>40</v>
      </c>
      <c r="AA1410" s="262"/>
      <c r="AB1410" s="263" t="s">
        <v>40</v>
      </c>
      <c r="AC1410" s="262"/>
      <c r="AD1410" s="262"/>
      <c r="AE1410" s="262">
        <v>46203</v>
      </c>
      <c r="AF1410" s="263" t="s">
        <v>65</v>
      </c>
      <c r="AG1410" s="270">
        <v>2026</v>
      </c>
      <c r="AH1410" s="296">
        <f t="shared" si="49"/>
        <v>0</v>
      </c>
      <c r="AI1410" s="296"/>
      <c r="AJ1410" s="296"/>
      <c r="AK1410" s="260" t="s">
        <v>43</v>
      </c>
      <c r="AL1410" s="259" t="s">
        <v>41</v>
      </c>
      <c r="AM1410" s="266">
        <v>0</v>
      </c>
      <c r="AN1410" s="67"/>
      <c r="AO1410" s="259"/>
      <c r="AP1410" s="277"/>
      <c r="AQ1410" s="165"/>
      <c r="AR1410" s="165"/>
      <c r="AS1410" s="165"/>
      <c r="AT1410" s="165"/>
      <c r="AU1410" s="165"/>
      <c r="AV1410" s="165"/>
      <c r="AW1410" s="165"/>
      <c r="AX1410" s="165"/>
      <c r="AY1410" s="165"/>
      <c r="AZ1410" s="165"/>
      <c r="BA1410" s="165"/>
      <c r="BB1410" s="165"/>
      <c r="BC1410" s="165"/>
      <c r="BD1410" s="165"/>
      <c r="BE1410" s="165"/>
      <c r="BF1410" s="165"/>
      <c r="BG1410" s="165"/>
      <c r="BH1410" s="165"/>
      <c r="BI1410" s="165"/>
      <c r="BJ1410" s="165"/>
      <c r="BK1410" s="165"/>
      <c r="BL1410" s="165"/>
      <c r="BM1410" s="165"/>
      <c r="BN1410" s="165"/>
      <c r="BO1410" s="165"/>
      <c r="BP1410" s="165"/>
      <c r="BQ1410" s="165"/>
      <c r="BR1410" s="165"/>
      <c r="BS1410" s="165"/>
      <c r="BT1410" s="165"/>
      <c r="BU1410" s="165"/>
      <c r="BV1410" s="165"/>
      <c r="BW1410" s="165"/>
      <c r="BX1410" s="165"/>
      <c r="BY1410" s="165"/>
      <c r="BZ1410" s="165"/>
      <c r="CA1410" s="315"/>
    </row>
    <row r="1411" spans="1:79" s="143" customFormat="1" ht="41.4" customHeight="1" x14ac:dyDescent="0.3">
      <c r="A1411" s="259" t="s">
        <v>1641</v>
      </c>
      <c r="B1411" s="259" t="s">
        <v>3222</v>
      </c>
      <c r="C1411" s="352" t="s">
        <v>3294</v>
      </c>
      <c r="D1411" s="259" t="s">
        <v>34</v>
      </c>
      <c r="E1411" s="259" t="s">
        <v>3224</v>
      </c>
      <c r="F1411" s="260" t="s">
        <v>35</v>
      </c>
      <c r="G1411" s="259">
        <v>23</v>
      </c>
      <c r="H1411" s="70">
        <v>322000</v>
      </c>
      <c r="I1411" s="261" t="s">
        <v>36</v>
      </c>
      <c r="J1411" s="70">
        <v>322000</v>
      </c>
      <c r="K1411" s="1696">
        <v>0</v>
      </c>
      <c r="L1411" s="1696">
        <v>0</v>
      </c>
      <c r="M1411" s="263" t="s">
        <v>80</v>
      </c>
      <c r="N1411" s="263" t="s">
        <v>2127</v>
      </c>
      <c r="O1411" s="263" t="s">
        <v>3295</v>
      </c>
      <c r="P1411" s="263" t="s">
        <v>40</v>
      </c>
      <c r="Q1411" s="262"/>
      <c r="R1411" s="263" t="s">
        <v>40</v>
      </c>
      <c r="S1411" s="262"/>
      <c r="T1411" s="263" t="s">
        <v>40</v>
      </c>
      <c r="U1411" s="262"/>
      <c r="V1411" s="263" t="s">
        <v>40</v>
      </c>
      <c r="W1411" s="262"/>
      <c r="X1411" s="263" t="s">
        <v>40</v>
      </c>
      <c r="Y1411" s="262"/>
      <c r="Z1411" s="263" t="s">
        <v>40</v>
      </c>
      <c r="AA1411" s="262"/>
      <c r="AB1411" s="263" t="s">
        <v>40</v>
      </c>
      <c r="AC1411" s="262"/>
      <c r="AD1411" s="262"/>
      <c r="AE1411" s="262">
        <v>46203</v>
      </c>
      <c r="AF1411" s="263" t="s">
        <v>65</v>
      </c>
      <c r="AG1411" s="270">
        <v>2026</v>
      </c>
      <c r="AH1411" s="296">
        <f t="shared" si="49"/>
        <v>0</v>
      </c>
      <c r="AI1411" s="296"/>
      <c r="AJ1411" s="296"/>
      <c r="AK1411" s="260" t="s">
        <v>43</v>
      </c>
      <c r="AL1411" s="259" t="s">
        <v>41</v>
      </c>
      <c r="AM1411" s="266">
        <v>0</v>
      </c>
      <c r="AN1411" s="67"/>
      <c r="AO1411" s="259"/>
      <c r="AP1411" s="277"/>
      <c r="AQ1411" s="165"/>
      <c r="AR1411" s="165"/>
      <c r="AS1411" s="165"/>
      <c r="AT1411" s="165"/>
      <c r="AU1411" s="165"/>
      <c r="AV1411" s="165"/>
      <c r="AW1411" s="165"/>
      <c r="AX1411" s="165"/>
      <c r="AY1411" s="165"/>
      <c r="AZ1411" s="165"/>
      <c r="BA1411" s="165"/>
      <c r="BB1411" s="165"/>
      <c r="BC1411" s="165"/>
      <c r="BD1411" s="165"/>
      <c r="BE1411" s="165"/>
      <c r="BF1411" s="165"/>
      <c r="BG1411" s="165"/>
      <c r="BH1411" s="165"/>
      <c r="BI1411" s="165"/>
      <c r="BJ1411" s="165"/>
      <c r="BK1411" s="165"/>
      <c r="BL1411" s="165"/>
      <c r="BM1411" s="165"/>
      <c r="BN1411" s="165"/>
      <c r="BO1411" s="165"/>
      <c r="BP1411" s="165"/>
      <c r="BQ1411" s="165"/>
      <c r="BR1411" s="165"/>
      <c r="BS1411" s="165"/>
      <c r="BT1411" s="165"/>
      <c r="BU1411" s="165"/>
      <c r="BV1411" s="165"/>
      <c r="BW1411" s="165"/>
      <c r="BX1411" s="165"/>
      <c r="BY1411" s="165"/>
      <c r="BZ1411" s="165"/>
      <c r="CA1411" s="315"/>
    </row>
    <row r="1412" spans="1:79" s="143" customFormat="1" ht="41.4" customHeight="1" x14ac:dyDescent="0.3">
      <c r="A1412" s="259" t="s">
        <v>1641</v>
      </c>
      <c r="B1412" s="259" t="s">
        <v>3222</v>
      </c>
      <c r="C1412" s="352" t="s">
        <v>3296</v>
      </c>
      <c r="D1412" s="259" t="s">
        <v>34</v>
      </c>
      <c r="E1412" s="259" t="s">
        <v>3224</v>
      </c>
      <c r="F1412" s="260" t="s">
        <v>35</v>
      </c>
      <c r="G1412" s="259">
        <v>2</v>
      </c>
      <c r="H1412" s="70">
        <v>100000</v>
      </c>
      <c r="I1412" s="261" t="s">
        <v>36</v>
      </c>
      <c r="J1412" s="70">
        <v>100000</v>
      </c>
      <c r="K1412" s="1696">
        <v>0</v>
      </c>
      <c r="L1412" s="1696">
        <v>0</v>
      </c>
      <c r="M1412" s="263" t="s">
        <v>80</v>
      </c>
      <c r="N1412" s="263" t="s">
        <v>2127</v>
      </c>
      <c r="O1412" s="263" t="s">
        <v>3295</v>
      </c>
      <c r="P1412" s="263" t="s">
        <v>41</v>
      </c>
      <c r="Q1412" s="262">
        <v>45073</v>
      </c>
      <c r="R1412" s="263" t="s">
        <v>3281</v>
      </c>
      <c r="S1412" s="262" t="s">
        <v>3282</v>
      </c>
      <c r="T1412" s="263" t="s">
        <v>40</v>
      </c>
      <c r="U1412" s="262"/>
      <c r="V1412" s="263" t="s">
        <v>40</v>
      </c>
      <c r="W1412" s="262"/>
      <c r="X1412" s="263" t="s">
        <v>40</v>
      </c>
      <c r="Y1412" s="262"/>
      <c r="Z1412" s="263" t="s">
        <v>40</v>
      </c>
      <c r="AA1412" s="262"/>
      <c r="AB1412" s="263" t="s">
        <v>40</v>
      </c>
      <c r="AC1412" s="262"/>
      <c r="AD1412" s="262"/>
      <c r="AE1412" s="262">
        <v>46203</v>
      </c>
      <c r="AF1412" s="263" t="s">
        <v>65</v>
      </c>
      <c r="AG1412" s="270">
        <v>2026</v>
      </c>
      <c r="AH1412" s="296">
        <f t="shared" si="49"/>
        <v>0</v>
      </c>
      <c r="AI1412" s="296"/>
      <c r="AJ1412" s="296"/>
      <c r="AK1412" s="260" t="s">
        <v>43</v>
      </c>
      <c r="AL1412" s="259" t="s">
        <v>41</v>
      </c>
      <c r="AM1412" s="266">
        <v>0</v>
      </c>
      <c r="AN1412" s="67"/>
      <c r="AO1412" s="259"/>
      <c r="AP1412" s="277"/>
      <c r="AQ1412" s="165"/>
      <c r="AR1412" s="165"/>
      <c r="AS1412" s="165"/>
      <c r="AT1412" s="165"/>
      <c r="AU1412" s="165"/>
      <c r="AV1412" s="165"/>
      <c r="AW1412" s="165"/>
      <c r="AX1412" s="165"/>
      <c r="AY1412" s="165"/>
      <c r="AZ1412" s="165"/>
      <c r="BA1412" s="165"/>
      <c r="BB1412" s="165"/>
      <c r="BC1412" s="165"/>
      <c r="BD1412" s="165"/>
      <c r="BE1412" s="165"/>
      <c r="BF1412" s="165"/>
      <c r="BG1412" s="165"/>
      <c r="BH1412" s="165"/>
      <c r="BI1412" s="165"/>
      <c r="BJ1412" s="165"/>
      <c r="BK1412" s="165"/>
      <c r="BL1412" s="165"/>
      <c r="BM1412" s="165"/>
      <c r="BN1412" s="165"/>
      <c r="BO1412" s="165"/>
      <c r="BP1412" s="165"/>
      <c r="BQ1412" s="165"/>
      <c r="BR1412" s="165"/>
      <c r="BS1412" s="165"/>
      <c r="BT1412" s="165"/>
      <c r="BU1412" s="165"/>
      <c r="BV1412" s="165"/>
      <c r="BW1412" s="165"/>
      <c r="BX1412" s="165"/>
      <c r="BY1412" s="165"/>
      <c r="BZ1412" s="165"/>
      <c r="CA1412" s="315"/>
    </row>
    <row r="1413" spans="1:79" s="143" customFormat="1" ht="41.4" customHeight="1" x14ac:dyDescent="0.3">
      <c r="A1413" s="259" t="s">
        <v>1641</v>
      </c>
      <c r="B1413" s="259" t="s">
        <v>3222</v>
      </c>
      <c r="C1413" s="352" t="s">
        <v>3297</v>
      </c>
      <c r="D1413" s="259" t="s">
        <v>34</v>
      </c>
      <c r="E1413" s="259" t="s">
        <v>3224</v>
      </c>
      <c r="F1413" s="260" t="s">
        <v>35</v>
      </c>
      <c r="G1413" s="259">
        <v>25</v>
      </c>
      <c r="H1413" s="70">
        <v>350000</v>
      </c>
      <c r="I1413" s="261" t="s">
        <v>36</v>
      </c>
      <c r="J1413" s="70">
        <v>350000</v>
      </c>
      <c r="K1413" s="1696">
        <v>0</v>
      </c>
      <c r="L1413" s="1696">
        <v>0</v>
      </c>
      <c r="M1413" s="263" t="s">
        <v>53</v>
      </c>
      <c r="N1413" s="263" t="s">
        <v>3298</v>
      </c>
      <c r="O1413" s="263" t="s">
        <v>3299</v>
      </c>
      <c r="P1413" s="263" t="s">
        <v>40</v>
      </c>
      <c r="Q1413" s="262"/>
      <c r="R1413" s="263" t="s">
        <v>40</v>
      </c>
      <c r="S1413" s="262"/>
      <c r="T1413" s="263" t="s">
        <v>40</v>
      </c>
      <c r="U1413" s="262"/>
      <c r="V1413" s="263" t="s">
        <v>40</v>
      </c>
      <c r="W1413" s="262"/>
      <c r="X1413" s="263" t="s">
        <v>40</v>
      </c>
      <c r="Y1413" s="262"/>
      <c r="Z1413" s="263" t="s">
        <v>40</v>
      </c>
      <c r="AA1413" s="262"/>
      <c r="AB1413" s="263" t="s">
        <v>40</v>
      </c>
      <c r="AC1413" s="262"/>
      <c r="AD1413" s="262"/>
      <c r="AE1413" s="262">
        <v>46203</v>
      </c>
      <c r="AF1413" s="263" t="s">
        <v>65</v>
      </c>
      <c r="AG1413" s="270">
        <v>2026</v>
      </c>
      <c r="AH1413" s="296">
        <f t="shared" si="49"/>
        <v>0</v>
      </c>
      <c r="AI1413" s="296"/>
      <c r="AJ1413" s="296"/>
      <c r="AK1413" s="260" t="s">
        <v>43</v>
      </c>
      <c r="AL1413" s="259" t="s">
        <v>41</v>
      </c>
      <c r="AM1413" s="266">
        <v>0</v>
      </c>
      <c r="AN1413" s="67"/>
      <c r="AO1413" s="259"/>
      <c r="AP1413" s="277"/>
      <c r="AQ1413" s="165"/>
      <c r="AR1413" s="165"/>
      <c r="AS1413" s="165"/>
      <c r="AT1413" s="165"/>
      <c r="AU1413" s="165"/>
      <c r="AV1413" s="165"/>
      <c r="AW1413" s="165"/>
      <c r="AX1413" s="165"/>
      <c r="AY1413" s="165"/>
      <c r="AZ1413" s="165"/>
      <c r="BA1413" s="165"/>
      <c r="BB1413" s="165"/>
      <c r="BC1413" s="165"/>
      <c r="BD1413" s="165"/>
      <c r="BE1413" s="165"/>
      <c r="BF1413" s="165"/>
      <c r="BG1413" s="165"/>
      <c r="BH1413" s="165"/>
      <c r="BI1413" s="165"/>
      <c r="BJ1413" s="165"/>
      <c r="BK1413" s="165"/>
      <c r="BL1413" s="165"/>
      <c r="BM1413" s="165"/>
      <c r="BN1413" s="165"/>
      <c r="BO1413" s="165"/>
      <c r="BP1413" s="165"/>
      <c r="BQ1413" s="165"/>
      <c r="BR1413" s="165"/>
      <c r="BS1413" s="165"/>
      <c r="BT1413" s="165"/>
      <c r="BU1413" s="165"/>
      <c r="BV1413" s="165"/>
      <c r="BW1413" s="165"/>
      <c r="BX1413" s="165"/>
      <c r="BY1413" s="165"/>
      <c r="BZ1413" s="165"/>
      <c r="CA1413" s="315"/>
    </row>
    <row r="1414" spans="1:79" s="143" customFormat="1" ht="41.4" customHeight="1" x14ac:dyDescent="0.3">
      <c r="A1414" s="259" t="s">
        <v>1641</v>
      </c>
      <c r="B1414" s="259" t="s">
        <v>3222</v>
      </c>
      <c r="C1414" s="352" t="s">
        <v>3300</v>
      </c>
      <c r="D1414" s="259" t="s">
        <v>34</v>
      </c>
      <c r="E1414" s="259" t="s">
        <v>3224</v>
      </c>
      <c r="F1414" s="260" t="s">
        <v>35</v>
      </c>
      <c r="G1414" s="259">
        <v>25</v>
      </c>
      <c r="H1414" s="70">
        <v>350000</v>
      </c>
      <c r="I1414" s="261" t="s">
        <v>36</v>
      </c>
      <c r="J1414" s="70">
        <v>350000</v>
      </c>
      <c r="K1414" s="1696">
        <v>0</v>
      </c>
      <c r="L1414" s="1696">
        <v>0</v>
      </c>
      <c r="M1414" s="263" t="s">
        <v>80</v>
      </c>
      <c r="N1414" s="263" t="s">
        <v>329</v>
      </c>
      <c r="O1414" s="263" t="s">
        <v>3301</v>
      </c>
      <c r="P1414" s="263" t="s">
        <v>40</v>
      </c>
      <c r="Q1414" s="262"/>
      <c r="R1414" s="263" t="s">
        <v>40</v>
      </c>
      <c r="S1414" s="262"/>
      <c r="T1414" s="263" t="s">
        <v>40</v>
      </c>
      <c r="U1414" s="262"/>
      <c r="V1414" s="263" t="s">
        <v>40</v>
      </c>
      <c r="W1414" s="262"/>
      <c r="X1414" s="263" t="s">
        <v>40</v>
      </c>
      <c r="Y1414" s="262"/>
      <c r="Z1414" s="263" t="s">
        <v>40</v>
      </c>
      <c r="AA1414" s="262"/>
      <c r="AB1414" s="263" t="s">
        <v>40</v>
      </c>
      <c r="AC1414" s="262"/>
      <c r="AD1414" s="262"/>
      <c r="AE1414" s="262">
        <v>46203</v>
      </c>
      <c r="AF1414" s="263" t="s">
        <v>65</v>
      </c>
      <c r="AG1414" s="270">
        <v>2026</v>
      </c>
      <c r="AH1414" s="296">
        <f t="shared" si="49"/>
        <v>0</v>
      </c>
      <c r="AI1414" s="296"/>
      <c r="AJ1414" s="296"/>
      <c r="AK1414" s="260" t="s">
        <v>43</v>
      </c>
      <c r="AL1414" s="259" t="s">
        <v>41</v>
      </c>
      <c r="AM1414" s="266">
        <v>0</v>
      </c>
      <c r="AN1414" s="67"/>
      <c r="AO1414" s="259"/>
      <c r="AP1414" s="277"/>
      <c r="AQ1414" s="165"/>
      <c r="AR1414" s="165"/>
      <c r="AS1414" s="165"/>
      <c r="AT1414" s="165"/>
      <c r="AU1414" s="165"/>
      <c r="AV1414" s="165"/>
      <c r="AW1414" s="165"/>
      <c r="AX1414" s="165"/>
      <c r="AY1414" s="165"/>
      <c r="AZ1414" s="165"/>
      <c r="BA1414" s="165"/>
      <c r="BB1414" s="165"/>
      <c r="BC1414" s="165"/>
      <c r="BD1414" s="165"/>
      <c r="BE1414" s="165"/>
      <c r="BF1414" s="165"/>
      <c r="BG1414" s="165"/>
      <c r="BH1414" s="165"/>
      <c r="BI1414" s="165"/>
      <c r="BJ1414" s="165"/>
      <c r="BK1414" s="165"/>
      <c r="BL1414" s="165"/>
      <c r="BM1414" s="165"/>
      <c r="BN1414" s="165"/>
      <c r="BO1414" s="165"/>
      <c r="BP1414" s="165"/>
      <c r="BQ1414" s="165"/>
      <c r="BR1414" s="165"/>
      <c r="BS1414" s="165"/>
      <c r="BT1414" s="165"/>
      <c r="BU1414" s="165"/>
      <c r="BV1414" s="165"/>
      <c r="BW1414" s="165"/>
      <c r="BX1414" s="165"/>
      <c r="BY1414" s="165"/>
      <c r="BZ1414" s="165"/>
      <c r="CA1414" s="315"/>
    </row>
    <row r="1415" spans="1:79" s="143" customFormat="1" ht="41.4" customHeight="1" x14ac:dyDescent="0.3">
      <c r="A1415" s="259" t="s">
        <v>1641</v>
      </c>
      <c r="B1415" s="243" t="s">
        <v>3222</v>
      </c>
      <c r="C1415" s="244" t="s">
        <v>3302</v>
      </c>
      <c r="D1415" s="259" t="s">
        <v>34</v>
      </c>
      <c r="E1415" s="259" t="s">
        <v>3224</v>
      </c>
      <c r="F1415" s="260" t="s">
        <v>35</v>
      </c>
      <c r="G1415" s="259">
        <v>14</v>
      </c>
      <c r="H1415" s="70">
        <v>196000</v>
      </c>
      <c r="I1415" s="261" t="s">
        <v>36</v>
      </c>
      <c r="J1415" s="70">
        <v>196000</v>
      </c>
      <c r="K1415" s="1696">
        <v>0</v>
      </c>
      <c r="L1415" s="1696">
        <v>0</v>
      </c>
      <c r="M1415" s="263" t="s">
        <v>62</v>
      </c>
      <c r="N1415" s="263" t="s">
        <v>2608</v>
      </c>
      <c r="O1415" s="263" t="s">
        <v>3303</v>
      </c>
      <c r="P1415" s="263" t="s">
        <v>40</v>
      </c>
      <c r="Q1415" s="262"/>
      <c r="R1415" s="263" t="s">
        <v>40</v>
      </c>
      <c r="S1415" s="262"/>
      <c r="T1415" s="263" t="s">
        <v>40</v>
      </c>
      <c r="U1415" s="262"/>
      <c r="V1415" s="263" t="s">
        <v>40</v>
      </c>
      <c r="W1415" s="262"/>
      <c r="X1415" s="263" t="s">
        <v>40</v>
      </c>
      <c r="Y1415" s="262"/>
      <c r="Z1415" s="263" t="s">
        <v>40</v>
      </c>
      <c r="AA1415" s="262"/>
      <c r="AB1415" s="263" t="s">
        <v>40</v>
      </c>
      <c r="AC1415" s="262"/>
      <c r="AD1415" s="262"/>
      <c r="AE1415" s="262">
        <v>46203</v>
      </c>
      <c r="AF1415" s="263" t="s">
        <v>65</v>
      </c>
      <c r="AG1415" s="270">
        <v>2026</v>
      </c>
      <c r="AH1415" s="296">
        <f t="shared" si="49"/>
        <v>0</v>
      </c>
      <c r="AI1415" s="296"/>
      <c r="AJ1415" s="296"/>
      <c r="AK1415" s="260" t="s">
        <v>43</v>
      </c>
      <c r="AL1415" s="259" t="s">
        <v>41</v>
      </c>
      <c r="AM1415" s="266">
        <v>0</v>
      </c>
      <c r="AN1415" s="67"/>
      <c r="AO1415" s="259"/>
      <c r="AP1415" s="277"/>
      <c r="AQ1415" s="165"/>
      <c r="AR1415" s="165"/>
      <c r="AS1415" s="165"/>
      <c r="AT1415" s="165"/>
      <c r="AU1415" s="165"/>
      <c r="AV1415" s="165"/>
      <c r="AW1415" s="165"/>
      <c r="AX1415" s="165"/>
      <c r="AY1415" s="165"/>
      <c r="AZ1415" s="165"/>
      <c r="BA1415" s="165"/>
      <c r="BB1415" s="165"/>
      <c r="BC1415" s="165"/>
      <c r="BD1415" s="165"/>
      <c r="BE1415" s="165"/>
      <c r="BF1415" s="165"/>
      <c r="BG1415" s="165"/>
      <c r="BH1415" s="165"/>
      <c r="BI1415" s="165"/>
      <c r="BJ1415" s="165"/>
      <c r="BK1415" s="165"/>
      <c r="BL1415" s="165"/>
      <c r="BM1415" s="165"/>
      <c r="BN1415" s="165"/>
      <c r="BO1415" s="165"/>
      <c r="BP1415" s="165"/>
      <c r="BQ1415" s="165"/>
      <c r="BR1415" s="165"/>
      <c r="BS1415" s="165"/>
      <c r="BT1415" s="165"/>
      <c r="BU1415" s="165"/>
      <c r="BV1415" s="165"/>
      <c r="BW1415" s="165"/>
      <c r="BX1415" s="165"/>
      <c r="BY1415" s="165"/>
      <c r="BZ1415" s="165"/>
      <c r="CA1415" s="315"/>
    </row>
    <row r="1416" spans="1:79" s="143" customFormat="1" ht="41.4" customHeight="1" x14ac:dyDescent="0.3">
      <c r="A1416" s="259" t="s">
        <v>1641</v>
      </c>
      <c r="B1416" s="243" t="s">
        <v>3222</v>
      </c>
      <c r="C1416" s="244" t="s">
        <v>3304</v>
      </c>
      <c r="D1416" s="259" t="s">
        <v>34</v>
      </c>
      <c r="E1416" s="259" t="s">
        <v>3224</v>
      </c>
      <c r="F1416" s="260" t="s">
        <v>35</v>
      </c>
      <c r="G1416" s="259">
        <v>25</v>
      </c>
      <c r="H1416" s="70">
        <v>350000</v>
      </c>
      <c r="I1416" s="261" t="s">
        <v>36</v>
      </c>
      <c r="J1416" s="70">
        <v>350000</v>
      </c>
      <c r="K1416" s="1696">
        <v>0</v>
      </c>
      <c r="L1416" s="1696">
        <v>0</v>
      </c>
      <c r="M1416" s="263" t="s">
        <v>303</v>
      </c>
      <c r="N1416" s="263" t="s">
        <v>3305</v>
      </c>
      <c r="O1416" s="263" t="s">
        <v>3306</v>
      </c>
      <c r="P1416" s="263" t="s">
        <v>40</v>
      </c>
      <c r="Q1416" s="262"/>
      <c r="R1416" s="263" t="s">
        <v>40</v>
      </c>
      <c r="S1416" s="262"/>
      <c r="T1416" s="263" t="s">
        <v>40</v>
      </c>
      <c r="U1416" s="262"/>
      <c r="V1416" s="263" t="s">
        <v>40</v>
      </c>
      <c r="W1416" s="262"/>
      <c r="X1416" s="263" t="s">
        <v>40</v>
      </c>
      <c r="Y1416" s="262"/>
      <c r="Z1416" s="263" t="s">
        <v>40</v>
      </c>
      <c r="AA1416" s="262"/>
      <c r="AB1416" s="263" t="s">
        <v>40</v>
      </c>
      <c r="AC1416" s="262"/>
      <c r="AD1416" s="262"/>
      <c r="AE1416" s="262">
        <v>46203</v>
      </c>
      <c r="AF1416" s="263" t="s">
        <v>65</v>
      </c>
      <c r="AG1416" s="270">
        <v>2026</v>
      </c>
      <c r="AH1416" s="296">
        <f t="shared" si="49"/>
        <v>0</v>
      </c>
      <c r="AI1416" s="296"/>
      <c r="AJ1416" s="296"/>
      <c r="AK1416" s="260" t="s">
        <v>43</v>
      </c>
      <c r="AL1416" s="259" t="s">
        <v>41</v>
      </c>
      <c r="AM1416" s="266">
        <v>0</v>
      </c>
      <c r="AN1416" s="67"/>
      <c r="AO1416" s="259"/>
      <c r="AP1416" s="277"/>
      <c r="AQ1416" s="165"/>
      <c r="AR1416" s="165"/>
      <c r="AS1416" s="165"/>
      <c r="AT1416" s="165"/>
      <c r="AU1416" s="165"/>
      <c r="AV1416" s="165"/>
      <c r="AW1416" s="165"/>
      <c r="AX1416" s="165"/>
      <c r="AY1416" s="165"/>
      <c r="AZ1416" s="165"/>
      <c r="BA1416" s="165"/>
      <c r="BB1416" s="165"/>
      <c r="BC1416" s="165"/>
      <c r="BD1416" s="165"/>
      <c r="BE1416" s="165"/>
      <c r="BF1416" s="165"/>
      <c r="BG1416" s="165"/>
      <c r="BH1416" s="165"/>
      <c r="BI1416" s="165"/>
      <c r="BJ1416" s="165"/>
      <c r="BK1416" s="165"/>
      <c r="BL1416" s="165"/>
      <c r="BM1416" s="165"/>
      <c r="BN1416" s="165"/>
      <c r="BO1416" s="165"/>
      <c r="BP1416" s="165"/>
      <c r="BQ1416" s="165"/>
      <c r="BR1416" s="165"/>
      <c r="BS1416" s="165"/>
      <c r="BT1416" s="165"/>
      <c r="BU1416" s="165"/>
      <c r="BV1416" s="165"/>
      <c r="BW1416" s="165"/>
      <c r="BX1416" s="165"/>
      <c r="BY1416" s="165"/>
      <c r="BZ1416" s="165"/>
      <c r="CA1416" s="315"/>
    </row>
    <row r="1417" spans="1:79" s="143" customFormat="1" ht="41.4" customHeight="1" x14ac:dyDescent="0.3">
      <c r="A1417" s="259" t="s">
        <v>1641</v>
      </c>
      <c r="B1417" s="243" t="s">
        <v>3222</v>
      </c>
      <c r="C1417" s="244" t="s">
        <v>3307</v>
      </c>
      <c r="D1417" s="259" t="s">
        <v>34</v>
      </c>
      <c r="E1417" s="259" t="s">
        <v>3224</v>
      </c>
      <c r="F1417" s="260" t="s">
        <v>35</v>
      </c>
      <c r="G1417" s="259">
        <v>50</v>
      </c>
      <c r="H1417" s="70">
        <v>700000</v>
      </c>
      <c r="I1417" s="261" t="s">
        <v>36</v>
      </c>
      <c r="J1417" s="70">
        <v>700000</v>
      </c>
      <c r="K1417" s="1696">
        <v>0</v>
      </c>
      <c r="L1417" s="1696">
        <v>0</v>
      </c>
      <c r="M1417" s="263" t="s">
        <v>66</v>
      </c>
      <c r="N1417" s="263" t="s">
        <v>66</v>
      </c>
      <c r="O1417" s="263" t="s">
        <v>3308</v>
      </c>
      <c r="P1417" s="263" t="s">
        <v>40</v>
      </c>
      <c r="Q1417" s="262"/>
      <c r="R1417" s="263" t="s">
        <v>40</v>
      </c>
      <c r="S1417" s="262"/>
      <c r="T1417" s="263" t="s">
        <v>40</v>
      </c>
      <c r="U1417" s="262"/>
      <c r="V1417" s="263" t="s">
        <v>40</v>
      </c>
      <c r="W1417" s="262"/>
      <c r="X1417" s="263" t="s">
        <v>40</v>
      </c>
      <c r="Y1417" s="262"/>
      <c r="Z1417" s="263" t="s">
        <v>40</v>
      </c>
      <c r="AA1417" s="262"/>
      <c r="AB1417" s="263" t="s">
        <v>40</v>
      </c>
      <c r="AC1417" s="262"/>
      <c r="AD1417" s="262"/>
      <c r="AE1417" s="262">
        <v>46203</v>
      </c>
      <c r="AF1417" s="263" t="s">
        <v>65</v>
      </c>
      <c r="AG1417" s="270">
        <v>2026</v>
      </c>
      <c r="AH1417" s="296">
        <f t="shared" si="49"/>
        <v>0</v>
      </c>
      <c r="AI1417" s="296"/>
      <c r="AJ1417" s="296"/>
      <c r="AK1417" s="260" t="s">
        <v>43</v>
      </c>
      <c r="AL1417" s="259" t="s">
        <v>41</v>
      </c>
      <c r="AM1417" s="266">
        <v>0</v>
      </c>
      <c r="AN1417" s="67"/>
      <c r="AO1417" s="259"/>
      <c r="AP1417" s="277"/>
      <c r="AQ1417" s="165"/>
      <c r="AR1417" s="165"/>
      <c r="AS1417" s="165"/>
      <c r="AT1417" s="165"/>
      <c r="AU1417" s="165"/>
      <c r="AV1417" s="165"/>
      <c r="AW1417" s="165"/>
      <c r="AX1417" s="165"/>
      <c r="AY1417" s="165"/>
      <c r="AZ1417" s="165"/>
      <c r="BA1417" s="165"/>
      <c r="BB1417" s="165"/>
      <c r="BC1417" s="165"/>
      <c r="BD1417" s="165"/>
      <c r="BE1417" s="165"/>
      <c r="BF1417" s="165"/>
      <c r="BG1417" s="165"/>
      <c r="BH1417" s="165"/>
      <c r="BI1417" s="165"/>
      <c r="BJ1417" s="165"/>
      <c r="BK1417" s="165"/>
      <c r="BL1417" s="165"/>
      <c r="BM1417" s="165"/>
      <c r="BN1417" s="165"/>
      <c r="BO1417" s="165"/>
      <c r="BP1417" s="165"/>
      <c r="BQ1417" s="165"/>
      <c r="BR1417" s="165"/>
      <c r="BS1417" s="165"/>
      <c r="BT1417" s="165"/>
      <c r="BU1417" s="165"/>
      <c r="BV1417" s="165"/>
      <c r="BW1417" s="165"/>
      <c r="BX1417" s="165"/>
      <c r="BY1417" s="165"/>
      <c r="BZ1417" s="165"/>
      <c r="CA1417" s="315"/>
    </row>
    <row r="1418" spans="1:79" s="143" customFormat="1" ht="41.4" customHeight="1" x14ac:dyDescent="0.3">
      <c r="A1418" s="259" t="s">
        <v>1641</v>
      </c>
      <c r="B1418" s="243" t="s">
        <v>3222</v>
      </c>
      <c r="C1418" s="244" t="s">
        <v>3309</v>
      </c>
      <c r="D1418" s="259" t="s">
        <v>34</v>
      </c>
      <c r="E1418" s="259" t="s">
        <v>3224</v>
      </c>
      <c r="F1418" s="260" t="s">
        <v>35</v>
      </c>
      <c r="G1418" s="259">
        <v>8</v>
      </c>
      <c r="H1418" s="70">
        <v>112000</v>
      </c>
      <c r="I1418" s="261" t="s">
        <v>36</v>
      </c>
      <c r="J1418" s="70">
        <v>112000</v>
      </c>
      <c r="K1418" s="1696">
        <v>0</v>
      </c>
      <c r="L1418" s="1696">
        <v>0</v>
      </c>
      <c r="M1418" s="263" t="s">
        <v>151</v>
      </c>
      <c r="N1418" s="263" t="s">
        <v>637</v>
      </c>
      <c r="O1418" s="263" t="s">
        <v>3310</v>
      </c>
      <c r="P1418" s="263" t="s">
        <v>40</v>
      </c>
      <c r="Q1418" s="262"/>
      <c r="R1418" s="263" t="s">
        <v>40</v>
      </c>
      <c r="S1418" s="262"/>
      <c r="T1418" s="263" t="s">
        <v>40</v>
      </c>
      <c r="U1418" s="262"/>
      <c r="V1418" s="263" t="s">
        <v>40</v>
      </c>
      <c r="W1418" s="262"/>
      <c r="X1418" s="263" t="s">
        <v>40</v>
      </c>
      <c r="Y1418" s="262"/>
      <c r="Z1418" s="263" t="s">
        <v>40</v>
      </c>
      <c r="AA1418" s="262"/>
      <c r="AB1418" s="263" t="s">
        <v>40</v>
      </c>
      <c r="AC1418" s="262"/>
      <c r="AD1418" s="262"/>
      <c r="AE1418" s="262">
        <v>46203</v>
      </c>
      <c r="AF1418" s="263" t="s">
        <v>65</v>
      </c>
      <c r="AG1418" s="270">
        <v>2026</v>
      </c>
      <c r="AH1418" s="296">
        <f t="shared" si="49"/>
        <v>0</v>
      </c>
      <c r="AI1418" s="296"/>
      <c r="AJ1418" s="296"/>
      <c r="AK1418" s="260" t="s">
        <v>43</v>
      </c>
      <c r="AL1418" s="259" t="s">
        <v>41</v>
      </c>
      <c r="AM1418" s="266">
        <v>0</v>
      </c>
      <c r="AN1418" s="67"/>
      <c r="AO1418" s="259"/>
      <c r="AP1418" s="277"/>
      <c r="AQ1418" s="165"/>
      <c r="AR1418" s="165"/>
      <c r="AS1418" s="165"/>
      <c r="AT1418" s="165"/>
      <c r="AU1418" s="165"/>
      <c r="AV1418" s="165"/>
      <c r="AW1418" s="165"/>
      <c r="AX1418" s="165"/>
      <c r="AY1418" s="165"/>
      <c r="AZ1418" s="165"/>
      <c r="BA1418" s="165"/>
      <c r="BB1418" s="165"/>
      <c r="BC1418" s="165"/>
      <c r="BD1418" s="165"/>
      <c r="BE1418" s="165"/>
      <c r="BF1418" s="165"/>
      <c r="BG1418" s="165"/>
      <c r="BH1418" s="165"/>
      <c r="BI1418" s="165"/>
      <c r="BJ1418" s="165"/>
      <c r="BK1418" s="165"/>
      <c r="BL1418" s="165"/>
      <c r="BM1418" s="165"/>
      <c r="BN1418" s="165"/>
      <c r="BO1418" s="165"/>
      <c r="BP1418" s="165"/>
      <c r="BQ1418" s="165"/>
      <c r="BR1418" s="165"/>
      <c r="BS1418" s="165"/>
      <c r="BT1418" s="165"/>
      <c r="BU1418" s="165"/>
      <c r="BV1418" s="165"/>
      <c r="BW1418" s="165"/>
      <c r="BX1418" s="165"/>
      <c r="BY1418" s="165"/>
      <c r="BZ1418" s="165"/>
      <c r="CA1418" s="315"/>
    </row>
    <row r="1419" spans="1:79" s="143" customFormat="1" ht="41.4" customHeight="1" x14ac:dyDescent="0.3">
      <c r="A1419" s="259" t="s">
        <v>1641</v>
      </c>
      <c r="B1419" s="243" t="s">
        <v>3222</v>
      </c>
      <c r="C1419" s="244" t="s">
        <v>3311</v>
      </c>
      <c r="D1419" s="259" t="s">
        <v>34</v>
      </c>
      <c r="E1419" s="259" t="s">
        <v>3224</v>
      </c>
      <c r="F1419" s="260" t="s">
        <v>35</v>
      </c>
      <c r="G1419" s="259">
        <v>2</v>
      </c>
      <c r="H1419" s="70">
        <v>38000</v>
      </c>
      <c r="I1419" s="261" t="s">
        <v>36</v>
      </c>
      <c r="J1419" s="70">
        <v>38000</v>
      </c>
      <c r="K1419" s="1696">
        <v>0</v>
      </c>
      <c r="L1419" s="1696">
        <v>0</v>
      </c>
      <c r="M1419" s="263" t="s">
        <v>2654</v>
      </c>
      <c r="N1419" s="263" t="s">
        <v>2860</v>
      </c>
      <c r="O1419" s="263" t="s">
        <v>3312</v>
      </c>
      <c r="P1419" s="263" t="s">
        <v>40</v>
      </c>
      <c r="Q1419" s="262"/>
      <c r="R1419" s="263" t="s">
        <v>40</v>
      </c>
      <c r="S1419" s="262"/>
      <c r="T1419" s="263" t="s">
        <v>40</v>
      </c>
      <c r="U1419" s="262"/>
      <c r="V1419" s="263" t="s">
        <v>40</v>
      </c>
      <c r="W1419" s="262"/>
      <c r="X1419" s="263" t="s">
        <v>40</v>
      </c>
      <c r="Y1419" s="262"/>
      <c r="Z1419" s="263" t="s">
        <v>40</v>
      </c>
      <c r="AA1419" s="262"/>
      <c r="AB1419" s="263" t="s">
        <v>40</v>
      </c>
      <c r="AC1419" s="262"/>
      <c r="AD1419" s="262"/>
      <c r="AE1419" s="262">
        <v>46203</v>
      </c>
      <c r="AF1419" s="263" t="s">
        <v>65</v>
      </c>
      <c r="AG1419" s="270">
        <v>2026</v>
      </c>
      <c r="AH1419" s="296">
        <f t="shared" si="49"/>
        <v>0</v>
      </c>
      <c r="AI1419" s="296"/>
      <c r="AJ1419" s="296"/>
      <c r="AK1419" s="260" t="s">
        <v>43</v>
      </c>
      <c r="AL1419" s="259" t="s">
        <v>41</v>
      </c>
      <c r="AM1419" s="266">
        <v>0</v>
      </c>
      <c r="AN1419" s="67"/>
      <c r="AO1419" s="259"/>
      <c r="AP1419" s="277"/>
      <c r="AQ1419" s="165"/>
      <c r="AR1419" s="165"/>
      <c r="AS1419" s="165"/>
      <c r="AT1419" s="165"/>
      <c r="AU1419" s="165"/>
      <c r="AV1419" s="165"/>
      <c r="AW1419" s="165"/>
      <c r="AX1419" s="165"/>
      <c r="AY1419" s="165"/>
      <c r="AZ1419" s="165"/>
      <c r="BA1419" s="165"/>
      <c r="BB1419" s="165"/>
      <c r="BC1419" s="165"/>
      <c r="BD1419" s="165"/>
      <c r="BE1419" s="165"/>
      <c r="BF1419" s="165"/>
      <c r="BG1419" s="165"/>
      <c r="BH1419" s="165"/>
      <c r="BI1419" s="165"/>
      <c r="BJ1419" s="165"/>
      <c r="BK1419" s="165"/>
      <c r="BL1419" s="165"/>
      <c r="BM1419" s="165"/>
      <c r="BN1419" s="165"/>
      <c r="BO1419" s="165"/>
      <c r="BP1419" s="165"/>
      <c r="BQ1419" s="165"/>
      <c r="BR1419" s="165"/>
      <c r="BS1419" s="165"/>
      <c r="BT1419" s="165"/>
      <c r="BU1419" s="165"/>
      <c r="BV1419" s="165"/>
      <c r="BW1419" s="165"/>
      <c r="BX1419" s="165"/>
      <c r="BY1419" s="165"/>
      <c r="BZ1419" s="165"/>
      <c r="CA1419" s="315"/>
    </row>
    <row r="1420" spans="1:79" s="143" customFormat="1" ht="41.4" customHeight="1" x14ac:dyDescent="0.3">
      <c r="A1420" s="259" t="s">
        <v>1641</v>
      </c>
      <c r="B1420" s="243" t="s">
        <v>3222</v>
      </c>
      <c r="C1420" s="244" t="s">
        <v>3313</v>
      </c>
      <c r="D1420" s="259" t="s">
        <v>34</v>
      </c>
      <c r="E1420" s="259" t="s">
        <v>3224</v>
      </c>
      <c r="F1420" s="260" t="s">
        <v>35</v>
      </c>
      <c r="G1420" s="259">
        <v>14</v>
      </c>
      <c r="H1420" s="70">
        <v>196000</v>
      </c>
      <c r="I1420" s="261" t="s">
        <v>36</v>
      </c>
      <c r="J1420" s="70">
        <v>196000</v>
      </c>
      <c r="K1420" s="1696">
        <v>0</v>
      </c>
      <c r="L1420" s="1696">
        <v>0</v>
      </c>
      <c r="M1420" s="263" t="s">
        <v>50</v>
      </c>
      <c r="N1420" s="263" t="s">
        <v>1656</v>
      </c>
      <c r="O1420" s="263" t="s">
        <v>3314</v>
      </c>
      <c r="P1420" s="263" t="s">
        <v>40</v>
      </c>
      <c r="Q1420" s="262"/>
      <c r="R1420" s="263" t="s">
        <v>40</v>
      </c>
      <c r="S1420" s="262"/>
      <c r="T1420" s="263" t="s">
        <v>40</v>
      </c>
      <c r="U1420" s="262"/>
      <c r="V1420" s="263" t="s">
        <v>40</v>
      </c>
      <c r="W1420" s="262"/>
      <c r="X1420" s="263" t="s">
        <v>40</v>
      </c>
      <c r="Y1420" s="262"/>
      <c r="Z1420" s="263" t="s">
        <v>40</v>
      </c>
      <c r="AA1420" s="262"/>
      <c r="AB1420" s="263" t="s">
        <v>40</v>
      </c>
      <c r="AC1420" s="262"/>
      <c r="AD1420" s="262"/>
      <c r="AE1420" s="262">
        <v>46203</v>
      </c>
      <c r="AF1420" s="263" t="s">
        <v>65</v>
      </c>
      <c r="AG1420" s="270">
        <v>2026</v>
      </c>
      <c r="AH1420" s="296">
        <f t="shared" si="49"/>
        <v>0</v>
      </c>
      <c r="AI1420" s="296"/>
      <c r="AJ1420" s="296"/>
      <c r="AK1420" s="260" t="s">
        <v>43</v>
      </c>
      <c r="AL1420" s="259" t="s">
        <v>41</v>
      </c>
      <c r="AM1420" s="266">
        <v>0</v>
      </c>
      <c r="AN1420" s="67"/>
      <c r="AO1420" s="259"/>
      <c r="AP1420" s="277"/>
      <c r="AQ1420" s="165"/>
      <c r="AR1420" s="165"/>
      <c r="AS1420" s="165"/>
      <c r="AT1420" s="165"/>
      <c r="AU1420" s="165"/>
      <c r="AV1420" s="165"/>
      <c r="AW1420" s="165"/>
      <c r="AX1420" s="165"/>
      <c r="AY1420" s="165"/>
      <c r="AZ1420" s="165"/>
      <c r="BA1420" s="165"/>
      <c r="BB1420" s="165"/>
      <c r="BC1420" s="165"/>
      <c r="BD1420" s="165"/>
      <c r="BE1420" s="165"/>
      <c r="BF1420" s="165"/>
      <c r="BG1420" s="165"/>
      <c r="BH1420" s="165"/>
      <c r="BI1420" s="165"/>
      <c r="BJ1420" s="165"/>
      <c r="BK1420" s="165"/>
      <c r="BL1420" s="165"/>
      <c r="BM1420" s="165"/>
      <c r="BN1420" s="165"/>
      <c r="BO1420" s="165"/>
      <c r="BP1420" s="165"/>
      <c r="BQ1420" s="165"/>
      <c r="BR1420" s="165"/>
      <c r="BS1420" s="165"/>
      <c r="BT1420" s="165"/>
      <c r="BU1420" s="165"/>
      <c r="BV1420" s="165"/>
      <c r="BW1420" s="165"/>
      <c r="BX1420" s="165"/>
      <c r="BY1420" s="165"/>
      <c r="BZ1420" s="165"/>
      <c r="CA1420" s="315"/>
    </row>
    <row r="1421" spans="1:79" s="143" customFormat="1" ht="41.4" customHeight="1" x14ac:dyDescent="0.3">
      <c r="A1421" s="259" t="s">
        <v>1641</v>
      </c>
      <c r="B1421" s="243" t="s">
        <v>3222</v>
      </c>
      <c r="C1421" s="244" t="s">
        <v>3315</v>
      </c>
      <c r="D1421" s="259" t="s">
        <v>34</v>
      </c>
      <c r="E1421" s="259" t="s">
        <v>3224</v>
      </c>
      <c r="F1421" s="260" t="s">
        <v>35</v>
      </c>
      <c r="G1421" s="259">
        <v>9</v>
      </c>
      <c r="H1421" s="70">
        <v>126000</v>
      </c>
      <c r="I1421" s="261" t="s">
        <v>36</v>
      </c>
      <c r="J1421" s="70">
        <v>126000</v>
      </c>
      <c r="K1421" s="1696">
        <v>0</v>
      </c>
      <c r="L1421" s="1696">
        <v>0</v>
      </c>
      <c r="M1421" s="263" t="s">
        <v>68</v>
      </c>
      <c r="N1421" s="263" t="s">
        <v>3316</v>
      </c>
      <c r="O1421" s="263" t="s">
        <v>3317</v>
      </c>
      <c r="P1421" s="263" t="s">
        <v>40</v>
      </c>
      <c r="Q1421" s="262"/>
      <c r="R1421" s="263" t="s">
        <v>40</v>
      </c>
      <c r="S1421" s="262"/>
      <c r="T1421" s="263" t="s">
        <v>40</v>
      </c>
      <c r="U1421" s="262"/>
      <c r="V1421" s="263" t="s">
        <v>40</v>
      </c>
      <c r="W1421" s="262"/>
      <c r="X1421" s="263" t="s">
        <v>40</v>
      </c>
      <c r="Y1421" s="262"/>
      <c r="Z1421" s="263" t="s">
        <v>40</v>
      </c>
      <c r="AA1421" s="262"/>
      <c r="AB1421" s="263" t="s">
        <v>40</v>
      </c>
      <c r="AC1421" s="262"/>
      <c r="AD1421" s="262"/>
      <c r="AE1421" s="262">
        <v>46203</v>
      </c>
      <c r="AF1421" s="263" t="s">
        <v>65</v>
      </c>
      <c r="AG1421" s="270">
        <v>2026</v>
      </c>
      <c r="AH1421" s="296">
        <f t="shared" si="49"/>
        <v>0</v>
      </c>
      <c r="AI1421" s="296"/>
      <c r="AJ1421" s="296"/>
      <c r="AK1421" s="260" t="s">
        <v>43</v>
      </c>
      <c r="AL1421" s="259" t="s">
        <v>41</v>
      </c>
      <c r="AM1421" s="266">
        <v>0</v>
      </c>
      <c r="AN1421" s="67"/>
      <c r="AO1421" s="259"/>
      <c r="AP1421" s="277"/>
      <c r="AQ1421" s="165"/>
      <c r="AR1421" s="165"/>
      <c r="AS1421" s="165"/>
      <c r="AT1421" s="165"/>
      <c r="AU1421" s="165"/>
      <c r="AV1421" s="165"/>
      <c r="AW1421" s="165"/>
      <c r="AX1421" s="165"/>
      <c r="AY1421" s="165"/>
      <c r="AZ1421" s="165"/>
      <c r="BA1421" s="165"/>
      <c r="BB1421" s="165"/>
      <c r="BC1421" s="165"/>
      <c r="BD1421" s="165"/>
      <c r="BE1421" s="165"/>
      <c r="BF1421" s="165"/>
      <c r="BG1421" s="165"/>
      <c r="BH1421" s="165"/>
      <c r="BI1421" s="165"/>
      <c r="BJ1421" s="165"/>
      <c r="BK1421" s="165"/>
      <c r="BL1421" s="165"/>
      <c r="BM1421" s="165"/>
      <c r="BN1421" s="165"/>
      <c r="BO1421" s="165"/>
      <c r="BP1421" s="165"/>
      <c r="BQ1421" s="165"/>
      <c r="BR1421" s="165"/>
      <c r="BS1421" s="165"/>
      <c r="BT1421" s="165"/>
      <c r="BU1421" s="165"/>
      <c r="BV1421" s="165"/>
      <c r="BW1421" s="165"/>
      <c r="BX1421" s="165"/>
      <c r="BY1421" s="165"/>
      <c r="BZ1421" s="165"/>
      <c r="CA1421" s="315"/>
    </row>
    <row r="1422" spans="1:79" s="143" customFormat="1" ht="41.4" customHeight="1" x14ac:dyDescent="0.3">
      <c r="A1422" s="259" t="s">
        <v>1641</v>
      </c>
      <c r="B1422" s="243" t="s">
        <v>3222</v>
      </c>
      <c r="C1422" s="244" t="s">
        <v>3318</v>
      </c>
      <c r="D1422" s="259" t="s">
        <v>34</v>
      </c>
      <c r="E1422" s="259" t="s">
        <v>3224</v>
      </c>
      <c r="F1422" s="260" t="s">
        <v>35</v>
      </c>
      <c r="G1422" s="259">
        <v>6</v>
      </c>
      <c r="H1422" s="70">
        <v>84000</v>
      </c>
      <c r="I1422" s="261" t="s">
        <v>36</v>
      </c>
      <c r="J1422" s="70">
        <v>84000</v>
      </c>
      <c r="K1422" s="1696">
        <v>0</v>
      </c>
      <c r="L1422" s="1696">
        <v>0</v>
      </c>
      <c r="M1422" s="263" t="s">
        <v>54</v>
      </c>
      <c r="N1422" s="263" t="s">
        <v>3319</v>
      </c>
      <c r="O1422" s="263" t="s">
        <v>1860</v>
      </c>
      <c r="P1422" s="263" t="s">
        <v>40</v>
      </c>
      <c r="Q1422" s="262"/>
      <c r="R1422" s="263" t="s">
        <v>40</v>
      </c>
      <c r="S1422" s="262"/>
      <c r="T1422" s="263" t="s">
        <v>40</v>
      </c>
      <c r="U1422" s="262"/>
      <c r="V1422" s="263" t="s">
        <v>40</v>
      </c>
      <c r="W1422" s="262"/>
      <c r="X1422" s="263" t="s">
        <v>40</v>
      </c>
      <c r="Y1422" s="262"/>
      <c r="Z1422" s="263" t="s">
        <v>40</v>
      </c>
      <c r="AA1422" s="262"/>
      <c r="AB1422" s="263" t="s">
        <v>40</v>
      </c>
      <c r="AC1422" s="262"/>
      <c r="AD1422" s="262"/>
      <c r="AE1422" s="262">
        <v>46203</v>
      </c>
      <c r="AF1422" s="263" t="s">
        <v>65</v>
      </c>
      <c r="AG1422" s="270">
        <v>2026</v>
      </c>
      <c r="AH1422" s="296">
        <f t="shared" si="49"/>
        <v>0</v>
      </c>
      <c r="AI1422" s="296"/>
      <c r="AJ1422" s="296"/>
      <c r="AK1422" s="260" t="s">
        <v>43</v>
      </c>
      <c r="AL1422" s="259" t="s">
        <v>41</v>
      </c>
      <c r="AM1422" s="266">
        <v>0</v>
      </c>
      <c r="AN1422" s="67"/>
      <c r="AO1422" s="259"/>
      <c r="AP1422" s="277"/>
      <c r="AQ1422" s="165"/>
      <c r="AR1422" s="165"/>
      <c r="AS1422" s="165"/>
      <c r="AT1422" s="165"/>
      <c r="AU1422" s="165"/>
      <c r="AV1422" s="165"/>
      <c r="AW1422" s="165"/>
      <c r="AX1422" s="165"/>
      <c r="AY1422" s="165"/>
      <c r="AZ1422" s="165"/>
      <c r="BA1422" s="165"/>
      <c r="BB1422" s="165"/>
      <c r="BC1422" s="165"/>
      <c r="BD1422" s="165"/>
      <c r="BE1422" s="165"/>
      <c r="BF1422" s="165"/>
      <c r="BG1422" s="165"/>
      <c r="BH1422" s="165"/>
      <c r="BI1422" s="165"/>
      <c r="BJ1422" s="165"/>
      <c r="BK1422" s="165"/>
      <c r="BL1422" s="165"/>
      <c r="BM1422" s="165"/>
      <c r="BN1422" s="165"/>
      <c r="BO1422" s="165"/>
      <c r="BP1422" s="165"/>
      <c r="BQ1422" s="165"/>
      <c r="BR1422" s="165"/>
      <c r="BS1422" s="165"/>
      <c r="BT1422" s="165"/>
      <c r="BU1422" s="165"/>
      <c r="BV1422" s="165"/>
      <c r="BW1422" s="165"/>
      <c r="BX1422" s="165"/>
      <c r="BY1422" s="165"/>
      <c r="BZ1422" s="165"/>
      <c r="CA1422" s="315"/>
    </row>
    <row r="1423" spans="1:79" s="143" customFormat="1" ht="57" customHeight="1" x14ac:dyDescent="0.3">
      <c r="A1423" s="259" t="s">
        <v>1641</v>
      </c>
      <c r="B1423" s="243" t="s">
        <v>3222</v>
      </c>
      <c r="C1423" s="244" t="s">
        <v>3320</v>
      </c>
      <c r="D1423" s="259" t="s">
        <v>34</v>
      </c>
      <c r="E1423" s="259" t="s">
        <v>3224</v>
      </c>
      <c r="F1423" s="260" t="s">
        <v>35</v>
      </c>
      <c r="G1423" s="259">
        <v>13</v>
      </c>
      <c r="H1423" s="70">
        <v>247000</v>
      </c>
      <c r="I1423" s="261" t="s">
        <v>36</v>
      </c>
      <c r="J1423" s="70">
        <v>247000</v>
      </c>
      <c r="K1423" s="1696">
        <v>0</v>
      </c>
      <c r="L1423" s="1696">
        <v>0</v>
      </c>
      <c r="M1423" s="263" t="s">
        <v>82</v>
      </c>
      <c r="N1423" s="263" t="s">
        <v>2928</v>
      </c>
      <c r="O1423" s="263" t="s">
        <v>3321</v>
      </c>
      <c r="P1423" s="263" t="s">
        <v>40</v>
      </c>
      <c r="Q1423" s="262"/>
      <c r="R1423" s="263" t="s">
        <v>40</v>
      </c>
      <c r="S1423" s="262"/>
      <c r="T1423" s="263" t="s">
        <v>40</v>
      </c>
      <c r="U1423" s="262"/>
      <c r="V1423" s="263" t="s">
        <v>40</v>
      </c>
      <c r="W1423" s="262"/>
      <c r="X1423" s="263" t="s">
        <v>40</v>
      </c>
      <c r="Y1423" s="262"/>
      <c r="Z1423" s="263" t="s">
        <v>40</v>
      </c>
      <c r="AA1423" s="262"/>
      <c r="AB1423" s="263" t="s">
        <v>40</v>
      </c>
      <c r="AC1423" s="262"/>
      <c r="AD1423" s="262"/>
      <c r="AE1423" s="262">
        <v>46203</v>
      </c>
      <c r="AF1423" s="263" t="s">
        <v>65</v>
      </c>
      <c r="AG1423" s="270">
        <v>2026</v>
      </c>
      <c r="AH1423" s="296">
        <f t="shared" si="49"/>
        <v>0</v>
      </c>
      <c r="AI1423" s="296"/>
      <c r="AJ1423" s="296"/>
      <c r="AK1423" s="260" t="s">
        <v>43</v>
      </c>
      <c r="AL1423" s="259" t="s">
        <v>41</v>
      </c>
      <c r="AM1423" s="266">
        <v>0</v>
      </c>
      <c r="AN1423" s="67"/>
      <c r="AO1423" s="259"/>
      <c r="AP1423" s="277"/>
      <c r="AQ1423" s="165"/>
      <c r="AR1423" s="165"/>
      <c r="AS1423" s="165"/>
      <c r="AT1423" s="165"/>
      <c r="AU1423" s="165"/>
      <c r="AV1423" s="165"/>
      <c r="AW1423" s="165"/>
      <c r="AX1423" s="165"/>
      <c r="AY1423" s="165"/>
      <c r="AZ1423" s="165"/>
      <c r="BA1423" s="165"/>
      <c r="BB1423" s="165"/>
      <c r="BC1423" s="165"/>
      <c r="BD1423" s="165"/>
      <c r="BE1423" s="165"/>
      <c r="BF1423" s="165"/>
      <c r="BG1423" s="165"/>
      <c r="BH1423" s="165"/>
      <c r="BI1423" s="165"/>
      <c r="BJ1423" s="165"/>
      <c r="BK1423" s="165"/>
      <c r="BL1423" s="165"/>
      <c r="BM1423" s="165"/>
      <c r="BN1423" s="165"/>
      <c r="BO1423" s="165"/>
      <c r="BP1423" s="165"/>
      <c r="BQ1423" s="165"/>
      <c r="BR1423" s="165"/>
      <c r="BS1423" s="165"/>
      <c r="BT1423" s="165"/>
      <c r="BU1423" s="165"/>
      <c r="BV1423" s="165"/>
      <c r="BW1423" s="165"/>
      <c r="BX1423" s="165"/>
      <c r="BY1423" s="165"/>
      <c r="BZ1423" s="165"/>
      <c r="CA1423" s="315"/>
    </row>
    <row r="1424" spans="1:79" s="143" customFormat="1" ht="41.4" customHeight="1" x14ac:dyDescent="0.3">
      <c r="A1424" s="259" t="s">
        <v>1641</v>
      </c>
      <c r="B1424" s="243" t="s">
        <v>3222</v>
      </c>
      <c r="C1424" s="244" t="s">
        <v>3322</v>
      </c>
      <c r="D1424" s="259" t="s">
        <v>34</v>
      </c>
      <c r="E1424" s="259" t="s">
        <v>3224</v>
      </c>
      <c r="F1424" s="260" t="s">
        <v>35</v>
      </c>
      <c r="G1424" s="259">
        <v>10</v>
      </c>
      <c r="H1424" s="70">
        <v>1400000</v>
      </c>
      <c r="I1424" s="261" t="s">
        <v>36</v>
      </c>
      <c r="J1424" s="70">
        <v>1400000</v>
      </c>
      <c r="K1424" s="1696">
        <v>0</v>
      </c>
      <c r="L1424" s="1696">
        <v>0</v>
      </c>
      <c r="M1424" s="263" t="s">
        <v>1208</v>
      </c>
      <c r="N1424" s="263" t="s">
        <v>1208</v>
      </c>
      <c r="O1424" s="263" t="s">
        <v>3323</v>
      </c>
      <c r="P1424" s="263" t="s">
        <v>40</v>
      </c>
      <c r="Q1424" s="262"/>
      <c r="R1424" s="263" t="s">
        <v>40</v>
      </c>
      <c r="S1424" s="262"/>
      <c r="T1424" s="263" t="s">
        <v>40</v>
      </c>
      <c r="U1424" s="262"/>
      <c r="V1424" s="263" t="s">
        <v>40</v>
      </c>
      <c r="W1424" s="262"/>
      <c r="X1424" s="263" t="s">
        <v>40</v>
      </c>
      <c r="Y1424" s="262"/>
      <c r="Z1424" s="263" t="s">
        <v>40</v>
      </c>
      <c r="AA1424" s="262"/>
      <c r="AB1424" s="263" t="s">
        <v>40</v>
      </c>
      <c r="AC1424" s="262"/>
      <c r="AD1424" s="262"/>
      <c r="AE1424" s="262">
        <v>46203</v>
      </c>
      <c r="AF1424" s="263" t="s">
        <v>65</v>
      </c>
      <c r="AG1424" s="270">
        <v>2026</v>
      </c>
      <c r="AH1424" s="296">
        <f t="shared" si="49"/>
        <v>0</v>
      </c>
      <c r="AI1424" s="296"/>
      <c r="AJ1424" s="296"/>
      <c r="AK1424" s="260" t="s">
        <v>43</v>
      </c>
      <c r="AL1424" s="259" t="s">
        <v>41</v>
      </c>
      <c r="AM1424" s="266">
        <v>0</v>
      </c>
      <c r="AN1424" s="67"/>
      <c r="AO1424" s="259"/>
      <c r="AP1424" s="277"/>
      <c r="AQ1424" s="165"/>
      <c r="AR1424" s="165"/>
      <c r="AS1424" s="165"/>
      <c r="AT1424" s="165"/>
      <c r="AU1424" s="165"/>
      <c r="AV1424" s="165"/>
      <c r="AW1424" s="165"/>
      <c r="AX1424" s="165"/>
      <c r="AY1424" s="165"/>
      <c r="AZ1424" s="165"/>
      <c r="BA1424" s="165"/>
      <c r="BB1424" s="165"/>
      <c r="BC1424" s="165"/>
      <c r="BD1424" s="165"/>
      <c r="BE1424" s="165"/>
      <c r="BF1424" s="165"/>
      <c r="BG1424" s="165"/>
      <c r="BH1424" s="165"/>
      <c r="BI1424" s="165"/>
      <c r="BJ1424" s="165"/>
      <c r="BK1424" s="165"/>
      <c r="BL1424" s="165"/>
      <c r="BM1424" s="165"/>
      <c r="BN1424" s="165"/>
      <c r="BO1424" s="165"/>
      <c r="BP1424" s="165"/>
      <c r="BQ1424" s="165"/>
      <c r="BR1424" s="165"/>
      <c r="BS1424" s="165"/>
      <c r="BT1424" s="165"/>
      <c r="BU1424" s="165"/>
      <c r="BV1424" s="165"/>
      <c r="BW1424" s="165"/>
      <c r="BX1424" s="165"/>
      <c r="BY1424" s="165"/>
      <c r="BZ1424" s="165"/>
      <c r="CA1424" s="315"/>
    </row>
    <row r="1425" spans="1:79" s="143" customFormat="1" ht="41.4" customHeight="1" x14ac:dyDescent="0.3">
      <c r="A1425" s="259" t="s">
        <v>1641</v>
      </c>
      <c r="B1425" s="243" t="s">
        <v>3222</v>
      </c>
      <c r="C1425" s="244" t="s">
        <v>3324</v>
      </c>
      <c r="D1425" s="259" t="s">
        <v>34</v>
      </c>
      <c r="E1425" s="259" t="s">
        <v>3224</v>
      </c>
      <c r="F1425" s="260" t="s">
        <v>35</v>
      </c>
      <c r="G1425" s="259">
        <v>100</v>
      </c>
      <c r="H1425" s="70">
        <v>1400000</v>
      </c>
      <c r="I1425" s="261" t="s">
        <v>36</v>
      </c>
      <c r="J1425" s="70">
        <v>1400000</v>
      </c>
      <c r="K1425" s="1696">
        <v>0</v>
      </c>
      <c r="L1425" s="1696">
        <v>0</v>
      </c>
      <c r="M1425" s="354" t="s">
        <v>1806</v>
      </c>
      <c r="N1425" s="263" t="s">
        <v>2135</v>
      </c>
      <c r="O1425" s="263" t="s">
        <v>3325</v>
      </c>
      <c r="P1425" s="263" t="s">
        <v>40</v>
      </c>
      <c r="Q1425" s="262"/>
      <c r="R1425" s="263" t="s">
        <v>40</v>
      </c>
      <c r="S1425" s="262"/>
      <c r="T1425" s="263" t="s">
        <v>40</v>
      </c>
      <c r="U1425" s="262"/>
      <c r="V1425" s="263" t="s">
        <v>40</v>
      </c>
      <c r="W1425" s="262"/>
      <c r="X1425" s="263" t="s">
        <v>40</v>
      </c>
      <c r="Y1425" s="262"/>
      <c r="Z1425" s="263" t="s">
        <v>40</v>
      </c>
      <c r="AA1425" s="262"/>
      <c r="AB1425" s="263" t="s">
        <v>40</v>
      </c>
      <c r="AC1425" s="262"/>
      <c r="AD1425" s="262"/>
      <c r="AE1425" s="262">
        <v>46203</v>
      </c>
      <c r="AF1425" s="263" t="s">
        <v>65</v>
      </c>
      <c r="AG1425" s="270">
        <v>2026</v>
      </c>
      <c r="AH1425" s="296">
        <f t="shared" si="49"/>
        <v>0</v>
      </c>
      <c r="AI1425" s="296"/>
      <c r="AJ1425" s="296"/>
      <c r="AK1425" s="260" t="s">
        <v>43</v>
      </c>
      <c r="AL1425" s="259" t="s">
        <v>41</v>
      </c>
      <c r="AM1425" s="266">
        <v>0</v>
      </c>
      <c r="AN1425" s="67"/>
      <c r="AO1425" s="259"/>
      <c r="AP1425" s="277"/>
      <c r="AQ1425" s="165"/>
      <c r="AR1425" s="165"/>
      <c r="AS1425" s="165"/>
      <c r="AT1425" s="165"/>
      <c r="AU1425" s="165"/>
      <c r="AV1425" s="165"/>
      <c r="AW1425" s="165"/>
      <c r="AX1425" s="165"/>
      <c r="AY1425" s="165"/>
      <c r="AZ1425" s="165"/>
      <c r="BA1425" s="165"/>
      <c r="BB1425" s="165"/>
      <c r="BC1425" s="165"/>
      <c r="BD1425" s="165"/>
      <c r="BE1425" s="165"/>
      <c r="BF1425" s="165"/>
      <c r="BG1425" s="165"/>
      <c r="BH1425" s="165"/>
      <c r="BI1425" s="165"/>
      <c r="BJ1425" s="165"/>
      <c r="BK1425" s="165"/>
      <c r="BL1425" s="165"/>
      <c r="BM1425" s="165"/>
      <c r="BN1425" s="165"/>
      <c r="BO1425" s="165"/>
      <c r="BP1425" s="165"/>
      <c r="BQ1425" s="165"/>
      <c r="BR1425" s="165"/>
      <c r="BS1425" s="165"/>
      <c r="BT1425" s="165"/>
      <c r="BU1425" s="165"/>
      <c r="BV1425" s="165"/>
      <c r="BW1425" s="165"/>
      <c r="BX1425" s="165"/>
      <c r="BY1425" s="165"/>
      <c r="BZ1425" s="165"/>
      <c r="CA1425" s="315"/>
    </row>
    <row r="1426" spans="1:79" s="143" customFormat="1" ht="77.400000000000006" customHeight="1" x14ac:dyDescent="0.3">
      <c r="A1426" s="259" t="s">
        <v>1641</v>
      </c>
      <c r="B1426" s="243" t="s">
        <v>3222</v>
      </c>
      <c r="C1426" s="244" t="s">
        <v>3326</v>
      </c>
      <c r="D1426" s="259" t="s">
        <v>34</v>
      </c>
      <c r="E1426" s="259" t="s">
        <v>3224</v>
      </c>
      <c r="F1426" s="260" t="s">
        <v>35</v>
      </c>
      <c r="G1426" s="259">
        <v>14</v>
      </c>
      <c r="H1426" s="70">
        <v>196000</v>
      </c>
      <c r="I1426" s="261" t="s">
        <v>36</v>
      </c>
      <c r="J1426" s="70">
        <v>196000</v>
      </c>
      <c r="K1426" s="1696">
        <v>0</v>
      </c>
      <c r="L1426" s="1696">
        <v>0</v>
      </c>
      <c r="M1426" s="354" t="s">
        <v>54</v>
      </c>
      <c r="N1426" s="263" t="s">
        <v>2050</v>
      </c>
      <c r="O1426" s="263" t="s">
        <v>3327</v>
      </c>
      <c r="P1426" s="263" t="s">
        <v>40</v>
      </c>
      <c r="Q1426" s="262"/>
      <c r="R1426" s="263" t="s">
        <v>40</v>
      </c>
      <c r="S1426" s="262"/>
      <c r="T1426" s="263" t="s">
        <v>40</v>
      </c>
      <c r="U1426" s="262"/>
      <c r="V1426" s="263" t="s">
        <v>40</v>
      </c>
      <c r="W1426" s="262"/>
      <c r="X1426" s="263" t="s">
        <v>40</v>
      </c>
      <c r="Y1426" s="262"/>
      <c r="Z1426" s="263" t="s">
        <v>40</v>
      </c>
      <c r="AA1426" s="262"/>
      <c r="AB1426" s="263" t="s">
        <v>40</v>
      </c>
      <c r="AC1426" s="262"/>
      <c r="AD1426" s="262"/>
      <c r="AE1426" s="262">
        <v>46203</v>
      </c>
      <c r="AF1426" s="263" t="s">
        <v>65</v>
      </c>
      <c r="AG1426" s="270">
        <v>2026</v>
      </c>
      <c r="AH1426" s="296">
        <f t="shared" si="49"/>
        <v>0</v>
      </c>
      <c r="AI1426" s="296"/>
      <c r="AJ1426" s="296"/>
      <c r="AK1426" s="260" t="s">
        <v>43</v>
      </c>
      <c r="AL1426" s="259" t="s">
        <v>41</v>
      </c>
      <c r="AM1426" s="266">
        <v>0</v>
      </c>
      <c r="AN1426" s="67"/>
      <c r="AO1426" s="259"/>
      <c r="AP1426" s="277"/>
      <c r="AQ1426" s="165"/>
      <c r="AR1426" s="165"/>
      <c r="AS1426" s="165"/>
      <c r="AT1426" s="165"/>
      <c r="AU1426" s="165"/>
      <c r="AV1426" s="165"/>
      <c r="AW1426" s="165"/>
      <c r="AX1426" s="165"/>
      <c r="AY1426" s="165"/>
      <c r="AZ1426" s="165"/>
      <c r="BA1426" s="165"/>
      <c r="BB1426" s="165"/>
      <c r="BC1426" s="165"/>
      <c r="BD1426" s="165"/>
      <c r="BE1426" s="165"/>
      <c r="BF1426" s="165"/>
      <c r="BG1426" s="165"/>
      <c r="BH1426" s="165"/>
      <c r="BI1426" s="165"/>
      <c r="BJ1426" s="165"/>
      <c r="BK1426" s="165"/>
      <c r="BL1426" s="165"/>
      <c r="BM1426" s="165"/>
      <c r="BN1426" s="165"/>
      <c r="BO1426" s="165"/>
      <c r="BP1426" s="165"/>
      <c r="BQ1426" s="165"/>
      <c r="BR1426" s="165"/>
      <c r="BS1426" s="165"/>
      <c r="BT1426" s="165"/>
      <c r="BU1426" s="165"/>
      <c r="BV1426" s="165"/>
      <c r="BW1426" s="165"/>
      <c r="BX1426" s="165"/>
      <c r="BY1426" s="165"/>
      <c r="BZ1426" s="165"/>
      <c r="CA1426" s="315"/>
    </row>
    <row r="1427" spans="1:79" s="143" customFormat="1" ht="41.4" customHeight="1" x14ac:dyDescent="0.3">
      <c r="A1427" s="259" t="s">
        <v>1641</v>
      </c>
      <c r="B1427" s="243" t="s">
        <v>3222</v>
      </c>
      <c r="C1427" s="244" t="s">
        <v>3328</v>
      </c>
      <c r="D1427" s="259" t="s">
        <v>34</v>
      </c>
      <c r="E1427" s="259" t="s">
        <v>3224</v>
      </c>
      <c r="F1427" s="260" t="s">
        <v>35</v>
      </c>
      <c r="G1427" s="259">
        <v>15</v>
      </c>
      <c r="H1427" s="70">
        <v>210000</v>
      </c>
      <c r="I1427" s="261" t="s">
        <v>36</v>
      </c>
      <c r="J1427" s="70">
        <v>210000</v>
      </c>
      <c r="K1427" s="1696">
        <v>0</v>
      </c>
      <c r="L1427" s="1696">
        <v>0</v>
      </c>
      <c r="M1427" s="263" t="s">
        <v>351</v>
      </c>
      <c r="N1427" s="263" t="s">
        <v>3329</v>
      </c>
      <c r="O1427" s="263" t="s">
        <v>3330</v>
      </c>
      <c r="P1427" s="263" t="s">
        <v>40</v>
      </c>
      <c r="Q1427" s="262"/>
      <c r="R1427" s="263" t="s">
        <v>40</v>
      </c>
      <c r="S1427" s="262"/>
      <c r="T1427" s="263" t="s">
        <v>40</v>
      </c>
      <c r="U1427" s="262"/>
      <c r="V1427" s="263" t="s">
        <v>40</v>
      </c>
      <c r="W1427" s="262"/>
      <c r="X1427" s="263" t="s">
        <v>40</v>
      </c>
      <c r="Y1427" s="262"/>
      <c r="Z1427" s="263" t="s">
        <v>40</v>
      </c>
      <c r="AA1427" s="262"/>
      <c r="AB1427" s="263" t="s">
        <v>40</v>
      </c>
      <c r="AC1427" s="262"/>
      <c r="AD1427" s="262"/>
      <c r="AE1427" s="262">
        <v>46203</v>
      </c>
      <c r="AF1427" s="263" t="s">
        <v>65</v>
      </c>
      <c r="AG1427" s="270">
        <v>2026</v>
      </c>
      <c r="AH1427" s="296">
        <f t="shared" si="49"/>
        <v>0</v>
      </c>
      <c r="AI1427" s="296"/>
      <c r="AJ1427" s="296"/>
      <c r="AK1427" s="260" t="s">
        <v>43</v>
      </c>
      <c r="AL1427" s="259" t="s">
        <v>41</v>
      </c>
      <c r="AM1427" s="266">
        <v>0</v>
      </c>
      <c r="AN1427" s="67"/>
      <c r="AO1427" s="259"/>
      <c r="AP1427" s="277"/>
      <c r="AQ1427" s="165"/>
      <c r="AR1427" s="165"/>
      <c r="AS1427" s="165"/>
      <c r="AT1427" s="165"/>
      <c r="AU1427" s="165"/>
      <c r="AV1427" s="165"/>
      <c r="AW1427" s="165"/>
      <c r="AX1427" s="165"/>
      <c r="AY1427" s="165"/>
      <c r="AZ1427" s="165"/>
      <c r="BA1427" s="165"/>
      <c r="BB1427" s="165"/>
      <c r="BC1427" s="165"/>
      <c r="BD1427" s="165"/>
      <c r="BE1427" s="165"/>
      <c r="BF1427" s="165"/>
      <c r="BG1427" s="165"/>
      <c r="BH1427" s="165"/>
      <c r="BI1427" s="165"/>
      <c r="BJ1427" s="165"/>
      <c r="BK1427" s="165"/>
      <c r="BL1427" s="165"/>
      <c r="BM1427" s="165"/>
      <c r="BN1427" s="165"/>
      <c r="BO1427" s="165"/>
      <c r="BP1427" s="165"/>
      <c r="BQ1427" s="165"/>
      <c r="BR1427" s="165"/>
      <c r="BS1427" s="165"/>
      <c r="BT1427" s="165"/>
      <c r="BU1427" s="165"/>
      <c r="BV1427" s="165"/>
      <c r="BW1427" s="165"/>
      <c r="BX1427" s="165"/>
      <c r="BY1427" s="165"/>
      <c r="BZ1427" s="165"/>
      <c r="CA1427" s="315"/>
    </row>
    <row r="1428" spans="1:79" s="143" customFormat="1" ht="41.4" customHeight="1" x14ac:dyDescent="0.3">
      <c r="A1428" s="259" t="s">
        <v>1641</v>
      </c>
      <c r="B1428" s="243" t="s">
        <v>3222</v>
      </c>
      <c r="C1428" s="244" t="s">
        <v>3331</v>
      </c>
      <c r="D1428" s="259" t="s">
        <v>34</v>
      </c>
      <c r="E1428" s="259" t="s">
        <v>3224</v>
      </c>
      <c r="F1428" s="260" t="s">
        <v>35</v>
      </c>
      <c r="G1428" s="259">
        <v>23</v>
      </c>
      <c r="H1428" s="70">
        <v>322000</v>
      </c>
      <c r="I1428" s="261" t="s">
        <v>36</v>
      </c>
      <c r="J1428" s="70">
        <v>322000</v>
      </c>
      <c r="K1428" s="1696">
        <v>0</v>
      </c>
      <c r="L1428" s="1696">
        <v>0</v>
      </c>
      <c r="M1428" s="354" t="s">
        <v>68</v>
      </c>
      <c r="N1428" s="263" t="s">
        <v>3332</v>
      </c>
      <c r="O1428" s="263" t="s">
        <v>3333</v>
      </c>
      <c r="P1428" s="263" t="s">
        <v>40</v>
      </c>
      <c r="Q1428" s="262"/>
      <c r="R1428" s="263" t="s">
        <v>40</v>
      </c>
      <c r="S1428" s="262"/>
      <c r="T1428" s="263" t="s">
        <v>40</v>
      </c>
      <c r="U1428" s="262"/>
      <c r="V1428" s="263" t="s">
        <v>40</v>
      </c>
      <c r="W1428" s="262"/>
      <c r="X1428" s="263" t="s">
        <v>40</v>
      </c>
      <c r="Y1428" s="262"/>
      <c r="Z1428" s="263" t="s">
        <v>40</v>
      </c>
      <c r="AA1428" s="262"/>
      <c r="AB1428" s="263" t="s">
        <v>40</v>
      </c>
      <c r="AC1428" s="262"/>
      <c r="AD1428" s="262"/>
      <c r="AE1428" s="262">
        <v>46203</v>
      </c>
      <c r="AF1428" s="263" t="s">
        <v>65</v>
      </c>
      <c r="AG1428" s="270">
        <v>2026</v>
      </c>
      <c r="AH1428" s="296">
        <f t="shared" si="49"/>
        <v>0</v>
      </c>
      <c r="AI1428" s="296"/>
      <c r="AJ1428" s="296"/>
      <c r="AK1428" s="260" t="s">
        <v>43</v>
      </c>
      <c r="AL1428" s="259" t="s">
        <v>41</v>
      </c>
      <c r="AM1428" s="266">
        <v>0</v>
      </c>
      <c r="AN1428" s="67"/>
      <c r="AO1428" s="259"/>
      <c r="AP1428" s="277"/>
      <c r="AQ1428" s="165"/>
      <c r="AR1428" s="165"/>
      <c r="AS1428" s="165"/>
      <c r="AT1428" s="165"/>
      <c r="AU1428" s="165"/>
      <c r="AV1428" s="165"/>
      <c r="AW1428" s="165"/>
      <c r="AX1428" s="165"/>
      <c r="AY1428" s="165"/>
      <c r="AZ1428" s="165"/>
      <c r="BA1428" s="165"/>
      <c r="BB1428" s="165"/>
      <c r="BC1428" s="165"/>
      <c r="BD1428" s="165"/>
      <c r="BE1428" s="165"/>
      <c r="BF1428" s="165"/>
      <c r="BG1428" s="165"/>
      <c r="BH1428" s="165"/>
      <c r="BI1428" s="165"/>
      <c r="BJ1428" s="165"/>
      <c r="BK1428" s="165"/>
      <c r="BL1428" s="165"/>
      <c r="BM1428" s="165"/>
      <c r="BN1428" s="165"/>
      <c r="BO1428" s="165"/>
      <c r="BP1428" s="165"/>
      <c r="BQ1428" s="165"/>
      <c r="BR1428" s="165"/>
      <c r="BS1428" s="165"/>
      <c r="BT1428" s="165"/>
      <c r="BU1428" s="165"/>
      <c r="BV1428" s="165"/>
      <c r="BW1428" s="165"/>
      <c r="BX1428" s="165"/>
      <c r="BY1428" s="165"/>
      <c r="BZ1428" s="165"/>
      <c r="CA1428" s="315"/>
    </row>
    <row r="1429" spans="1:79" s="143" customFormat="1" ht="41.4" customHeight="1" x14ac:dyDescent="0.3">
      <c r="A1429" s="259" t="s">
        <v>1641</v>
      </c>
      <c r="B1429" s="243" t="s">
        <v>3222</v>
      </c>
      <c r="C1429" s="244" t="s">
        <v>3334</v>
      </c>
      <c r="D1429" s="259" t="s">
        <v>34</v>
      </c>
      <c r="E1429" s="259" t="s">
        <v>3224</v>
      </c>
      <c r="F1429" s="260" t="s">
        <v>35</v>
      </c>
      <c r="G1429" s="259">
        <v>100</v>
      </c>
      <c r="H1429" s="70">
        <v>2035000</v>
      </c>
      <c r="I1429" s="261" t="s">
        <v>36</v>
      </c>
      <c r="J1429" s="70">
        <v>2035000</v>
      </c>
      <c r="K1429" s="1696">
        <v>0</v>
      </c>
      <c r="L1429" s="1696">
        <v>0</v>
      </c>
      <c r="M1429" s="263" t="s">
        <v>59</v>
      </c>
      <c r="N1429" s="263" t="s">
        <v>3335</v>
      </c>
      <c r="O1429" s="355" t="s">
        <v>3336</v>
      </c>
      <c r="P1429" s="263" t="s">
        <v>41</v>
      </c>
      <c r="Q1429" s="262">
        <v>45073</v>
      </c>
      <c r="R1429" s="263" t="s">
        <v>3281</v>
      </c>
      <c r="S1429" s="262" t="s">
        <v>3282</v>
      </c>
      <c r="T1429" s="263" t="s">
        <v>40</v>
      </c>
      <c r="U1429" s="262"/>
      <c r="V1429" s="263" t="s">
        <v>40</v>
      </c>
      <c r="W1429" s="262"/>
      <c r="X1429" s="263" t="s">
        <v>40</v>
      </c>
      <c r="Y1429" s="262"/>
      <c r="Z1429" s="263" t="s">
        <v>40</v>
      </c>
      <c r="AA1429" s="262"/>
      <c r="AB1429" s="263" t="s">
        <v>40</v>
      </c>
      <c r="AC1429" s="262"/>
      <c r="AD1429" s="262"/>
      <c r="AE1429" s="262">
        <v>46203</v>
      </c>
      <c r="AF1429" s="263" t="s">
        <v>65</v>
      </c>
      <c r="AG1429" s="270">
        <v>2026</v>
      </c>
      <c r="AH1429" s="296">
        <f t="shared" si="49"/>
        <v>0</v>
      </c>
      <c r="AI1429" s="296"/>
      <c r="AJ1429" s="296"/>
      <c r="AK1429" s="260" t="s">
        <v>43</v>
      </c>
      <c r="AL1429" s="259" t="s">
        <v>41</v>
      </c>
      <c r="AM1429" s="266">
        <v>0</v>
      </c>
      <c r="AN1429" s="67"/>
      <c r="AO1429" s="259"/>
      <c r="AP1429" s="277"/>
      <c r="AQ1429" s="165"/>
      <c r="AR1429" s="165"/>
      <c r="AS1429" s="165"/>
      <c r="AT1429" s="165"/>
      <c r="AU1429" s="165"/>
      <c r="AV1429" s="165"/>
      <c r="AW1429" s="165"/>
      <c r="AX1429" s="165"/>
      <c r="AY1429" s="165"/>
      <c r="AZ1429" s="165"/>
      <c r="BA1429" s="165"/>
      <c r="BB1429" s="165"/>
      <c r="BC1429" s="165"/>
      <c r="BD1429" s="165"/>
      <c r="BE1429" s="165"/>
      <c r="BF1429" s="165"/>
      <c r="BG1429" s="165"/>
      <c r="BH1429" s="165"/>
      <c r="BI1429" s="165"/>
      <c r="BJ1429" s="165"/>
      <c r="BK1429" s="165"/>
      <c r="BL1429" s="165"/>
      <c r="BM1429" s="165"/>
      <c r="BN1429" s="165"/>
      <c r="BO1429" s="165"/>
      <c r="BP1429" s="165"/>
      <c r="BQ1429" s="165"/>
      <c r="BR1429" s="165"/>
      <c r="BS1429" s="165"/>
      <c r="BT1429" s="165"/>
      <c r="BU1429" s="165"/>
      <c r="BV1429" s="165"/>
      <c r="BW1429" s="165"/>
      <c r="BX1429" s="165"/>
      <c r="BY1429" s="165"/>
      <c r="BZ1429" s="165"/>
      <c r="CA1429" s="315"/>
    </row>
    <row r="1430" spans="1:79" s="143" customFormat="1" ht="41.25" customHeight="1" x14ac:dyDescent="0.3">
      <c r="A1430" s="259" t="s">
        <v>1641</v>
      </c>
      <c r="B1430" s="243" t="s">
        <v>3222</v>
      </c>
      <c r="C1430" s="244" t="s">
        <v>3337</v>
      </c>
      <c r="D1430" s="259" t="s">
        <v>34</v>
      </c>
      <c r="E1430" s="259" t="s">
        <v>3224</v>
      </c>
      <c r="F1430" s="260" t="s">
        <v>35</v>
      </c>
      <c r="G1430" s="259">
        <v>25</v>
      </c>
      <c r="H1430" s="70">
        <v>380000</v>
      </c>
      <c r="I1430" s="261" t="s">
        <v>36</v>
      </c>
      <c r="J1430" s="70">
        <v>380000</v>
      </c>
      <c r="K1430" s="1696">
        <v>0</v>
      </c>
      <c r="L1430" s="1696">
        <v>0</v>
      </c>
      <c r="M1430" s="263" t="s">
        <v>183</v>
      </c>
      <c r="N1430" s="263" t="s">
        <v>2340</v>
      </c>
      <c r="O1430" s="355" t="s">
        <v>3338</v>
      </c>
      <c r="P1430" s="263" t="s">
        <v>40</v>
      </c>
      <c r="Q1430" s="262"/>
      <c r="R1430" s="263" t="s">
        <v>40</v>
      </c>
      <c r="S1430" s="262"/>
      <c r="T1430" s="263" t="s">
        <v>40</v>
      </c>
      <c r="U1430" s="262"/>
      <c r="V1430" s="263" t="s">
        <v>40</v>
      </c>
      <c r="W1430" s="262"/>
      <c r="X1430" s="263" t="s">
        <v>40</v>
      </c>
      <c r="Y1430" s="262"/>
      <c r="Z1430" s="263" t="s">
        <v>40</v>
      </c>
      <c r="AA1430" s="262"/>
      <c r="AB1430" s="263" t="s">
        <v>40</v>
      </c>
      <c r="AC1430" s="262"/>
      <c r="AD1430" s="262"/>
      <c r="AE1430" s="262">
        <v>46203</v>
      </c>
      <c r="AF1430" s="263" t="s">
        <v>65</v>
      </c>
      <c r="AG1430" s="270">
        <v>2026</v>
      </c>
      <c r="AH1430" s="296">
        <f t="shared" si="49"/>
        <v>0</v>
      </c>
      <c r="AI1430" s="296"/>
      <c r="AJ1430" s="296"/>
      <c r="AK1430" s="260" t="s">
        <v>43</v>
      </c>
      <c r="AL1430" s="259" t="s">
        <v>41</v>
      </c>
      <c r="AM1430" s="266">
        <v>0</v>
      </c>
      <c r="AN1430" s="67"/>
      <c r="AO1430" s="259"/>
      <c r="AP1430" s="277"/>
      <c r="AQ1430" s="165"/>
      <c r="AR1430" s="165"/>
      <c r="AS1430" s="165"/>
      <c r="AT1430" s="165"/>
      <c r="AU1430" s="165"/>
      <c r="AV1430" s="165"/>
      <c r="AW1430" s="165"/>
      <c r="AX1430" s="165"/>
      <c r="AY1430" s="165"/>
      <c r="AZ1430" s="165"/>
      <c r="BA1430" s="165"/>
      <c r="BB1430" s="165"/>
      <c r="BC1430" s="165"/>
      <c r="BD1430" s="165"/>
      <c r="BE1430" s="165"/>
      <c r="BF1430" s="165"/>
      <c r="BG1430" s="165"/>
      <c r="BH1430" s="165"/>
      <c r="BI1430" s="165"/>
      <c r="BJ1430" s="165"/>
      <c r="BK1430" s="165"/>
      <c r="BL1430" s="165"/>
      <c r="BM1430" s="165"/>
      <c r="BN1430" s="165"/>
      <c r="BO1430" s="165"/>
      <c r="BP1430" s="165"/>
      <c r="BQ1430" s="165"/>
      <c r="BR1430" s="165"/>
      <c r="BS1430" s="165"/>
      <c r="BT1430" s="165"/>
      <c r="BU1430" s="165"/>
      <c r="BV1430" s="165"/>
      <c r="BW1430" s="165"/>
      <c r="BX1430" s="165"/>
      <c r="BY1430" s="165"/>
      <c r="BZ1430" s="165"/>
      <c r="CA1430" s="315"/>
    </row>
    <row r="1431" spans="1:79" s="143" customFormat="1" ht="41.4" customHeight="1" x14ac:dyDescent="0.3">
      <c r="A1431" s="259" t="s">
        <v>1641</v>
      </c>
      <c r="B1431" s="243" t="s">
        <v>3222</v>
      </c>
      <c r="C1431" s="244" t="s">
        <v>3339</v>
      </c>
      <c r="D1431" s="259" t="s">
        <v>34</v>
      </c>
      <c r="E1431" s="259" t="s">
        <v>3224</v>
      </c>
      <c r="F1431" s="260" t="s">
        <v>35</v>
      </c>
      <c r="G1431" s="259">
        <v>5</v>
      </c>
      <c r="H1431" s="70">
        <v>70000</v>
      </c>
      <c r="I1431" s="261" t="s">
        <v>36</v>
      </c>
      <c r="J1431" s="70">
        <v>70000</v>
      </c>
      <c r="K1431" s="1696">
        <v>0</v>
      </c>
      <c r="L1431" s="1696">
        <v>0</v>
      </c>
      <c r="M1431" s="263" t="s">
        <v>76</v>
      </c>
      <c r="N1431" s="263" t="s">
        <v>1628</v>
      </c>
      <c r="O1431" s="355" t="s">
        <v>3340</v>
      </c>
      <c r="P1431" s="263" t="s">
        <v>40</v>
      </c>
      <c r="Q1431" s="262"/>
      <c r="R1431" s="263" t="s">
        <v>40</v>
      </c>
      <c r="S1431" s="262"/>
      <c r="T1431" s="263" t="s">
        <v>40</v>
      </c>
      <c r="U1431" s="262"/>
      <c r="V1431" s="263" t="s">
        <v>40</v>
      </c>
      <c r="W1431" s="262"/>
      <c r="X1431" s="263" t="s">
        <v>40</v>
      </c>
      <c r="Y1431" s="262"/>
      <c r="Z1431" s="263" t="s">
        <v>40</v>
      </c>
      <c r="AA1431" s="262"/>
      <c r="AB1431" s="263" t="s">
        <v>40</v>
      </c>
      <c r="AC1431" s="262"/>
      <c r="AD1431" s="262"/>
      <c r="AE1431" s="262">
        <v>46203</v>
      </c>
      <c r="AF1431" s="263" t="s">
        <v>65</v>
      </c>
      <c r="AG1431" s="270">
        <v>2026</v>
      </c>
      <c r="AH1431" s="296">
        <f t="shared" si="49"/>
        <v>0</v>
      </c>
      <c r="AI1431" s="296"/>
      <c r="AJ1431" s="296"/>
      <c r="AK1431" s="260" t="s">
        <v>43</v>
      </c>
      <c r="AL1431" s="259" t="s">
        <v>41</v>
      </c>
      <c r="AM1431" s="266">
        <v>0</v>
      </c>
      <c r="AN1431" s="67"/>
      <c r="AO1431" s="259"/>
      <c r="AP1431" s="277"/>
      <c r="AQ1431" s="165"/>
      <c r="AR1431" s="165"/>
      <c r="AS1431" s="165"/>
      <c r="AT1431" s="165"/>
      <c r="AU1431" s="165"/>
      <c r="AV1431" s="165"/>
      <c r="AW1431" s="165"/>
      <c r="AX1431" s="165"/>
      <c r="AY1431" s="165"/>
      <c r="AZ1431" s="165"/>
      <c r="BA1431" s="165"/>
      <c r="BB1431" s="165"/>
      <c r="BC1431" s="165"/>
      <c r="BD1431" s="165"/>
      <c r="BE1431" s="165"/>
      <c r="BF1431" s="165"/>
      <c r="BG1431" s="165"/>
      <c r="BH1431" s="165"/>
      <c r="BI1431" s="165"/>
      <c r="BJ1431" s="165"/>
      <c r="BK1431" s="165"/>
      <c r="BL1431" s="165"/>
      <c r="BM1431" s="165"/>
      <c r="BN1431" s="165"/>
      <c r="BO1431" s="165"/>
      <c r="BP1431" s="165"/>
      <c r="BQ1431" s="165"/>
      <c r="BR1431" s="165"/>
      <c r="BS1431" s="165"/>
      <c r="BT1431" s="165"/>
      <c r="BU1431" s="165"/>
      <c r="BV1431" s="165"/>
      <c r="BW1431" s="165"/>
      <c r="BX1431" s="165"/>
      <c r="BY1431" s="165"/>
      <c r="BZ1431" s="165"/>
      <c r="CA1431" s="315"/>
    </row>
    <row r="1432" spans="1:79" s="143" customFormat="1" ht="41.4" customHeight="1" x14ac:dyDescent="0.3">
      <c r="A1432" s="259" t="s">
        <v>1641</v>
      </c>
      <c r="B1432" s="243" t="s">
        <v>3222</v>
      </c>
      <c r="C1432" s="244" t="s">
        <v>3341</v>
      </c>
      <c r="D1432" s="259" t="s">
        <v>34</v>
      </c>
      <c r="E1432" s="259" t="s">
        <v>3224</v>
      </c>
      <c r="F1432" s="260" t="s">
        <v>35</v>
      </c>
      <c r="G1432" s="259">
        <v>49</v>
      </c>
      <c r="H1432" s="70">
        <v>686000</v>
      </c>
      <c r="I1432" s="261" t="s">
        <v>36</v>
      </c>
      <c r="J1432" s="70">
        <v>686000</v>
      </c>
      <c r="K1432" s="1696">
        <v>0</v>
      </c>
      <c r="L1432" s="1696">
        <v>0</v>
      </c>
      <c r="M1432" s="354" t="s">
        <v>49</v>
      </c>
      <c r="N1432" s="263" t="s">
        <v>2078</v>
      </c>
      <c r="O1432" s="355" t="s">
        <v>3342</v>
      </c>
      <c r="P1432" s="263" t="s">
        <v>40</v>
      </c>
      <c r="Q1432" s="262"/>
      <c r="R1432" s="263" t="s">
        <v>40</v>
      </c>
      <c r="S1432" s="262"/>
      <c r="T1432" s="263" t="s">
        <v>40</v>
      </c>
      <c r="U1432" s="262"/>
      <c r="V1432" s="263" t="s">
        <v>40</v>
      </c>
      <c r="W1432" s="262"/>
      <c r="X1432" s="263" t="s">
        <v>40</v>
      </c>
      <c r="Y1432" s="262"/>
      <c r="Z1432" s="263" t="s">
        <v>40</v>
      </c>
      <c r="AA1432" s="262"/>
      <c r="AB1432" s="263" t="s">
        <v>40</v>
      </c>
      <c r="AC1432" s="262"/>
      <c r="AD1432" s="262"/>
      <c r="AE1432" s="262">
        <v>46203</v>
      </c>
      <c r="AF1432" s="263" t="s">
        <v>65</v>
      </c>
      <c r="AG1432" s="270">
        <v>2026</v>
      </c>
      <c r="AH1432" s="296">
        <f t="shared" si="49"/>
        <v>0</v>
      </c>
      <c r="AI1432" s="296"/>
      <c r="AJ1432" s="296"/>
      <c r="AK1432" s="260" t="s">
        <v>43</v>
      </c>
      <c r="AL1432" s="259" t="s">
        <v>41</v>
      </c>
      <c r="AM1432" s="266">
        <v>0</v>
      </c>
      <c r="AN1432" s="67"/>
      <c r="AO1432" s="259"/>
      <c r="AP1432" s="277"/>
      <c r="AQ1432" s="165"/>
      <c r="AR1432" s="165"/>
      <c r="AS1432" s="165"/>
      <c r="AT1432" s="165"/>
      <c r="AU1432" s="165"/>
      <c r="AV1432" s="165"/>
      <c r="AW1432" s="165"/>
      <c r="AX1432" s="165"/>
      <c r="AY1432" s="165"/>
      <c r="AZ1432" s="165"/>
      <c r="BA1432" s="165"/>
      <c r="BB1432" s="165"/>
      <c r="BC1432" s="165"/>
      <c r="BD1432" s="165"/>
      <c r="BE1432" s="165"/>
      <c r="BF1432" s="165"/>
      <c r="BG1432" s="165"/>
      <c r="BH1432" s="165"/>
      <c r="BI1432" s="165"/>
      <c r="BJ1432" s="165"/>
      <c r="BK1432" s="165"/>
      <c r="BL1432" s="165"/>
      <c r="BM1432" s="165"/>
      <c r="BN1432" s="165"/>
      <c r="BO1432" s="165"/>
      <c r="BP1432" s="165"/>
      <c r="BQ1432" s="165"/>
      <c r="BR1432" s="165"/>
      <c r="BS1432" s="165"/>
      <c r="BT1432" s="165"/>
      <c r="BU1432" s="165"/>
      <c r="BV1432" s="165"/>
      <c r="BW1432" s="165"/>
      <c r="BX1432" s="165"/>
      <c r="BY1432" s="165"/>
      <c r="BZ1432" s="165"/>
      <c r="CA1432" s="315"/>
    </row>
    <row r="1433" spans="1:79" s="143" customFormat="1" ht="41.4" customHeight="1" x14ac:dyDescent="0.3">
      <c r="A1433" s="259" t="s">
        <v>1641</v>
      </c>
      <c r="B1433" s="243" t="s">
        <v>3222</v>
      </c>
      <c r="C1433" s="244" t="s">
        <v>3343</v>
      </c>
      <c r="D1433" s="259" t="s">
        <v>34</v>
      </c>
      <c r="E1433" s="259" t="s">
        <v>3224</v>
      </c>
      <c r="F1433" s="260" t="s">
        <v>35</v>
      </c>
      <c r="G1433" s="259">
        <v>50</v>
      </c>
      <c r="H1433" s="70">
        <v>700000</v>
      </c>
      <c r="I1433" s="261" t="s">
        <v>36</v>
      </c>
      <c r="J1433" s="70">
        <v>700000</v>
      </c>
      <c r="K1433" s="1696">
        <v>0</v>
      </c>
      <c r="L1433" s="1696">
        <v>0</v>
      </c>
      <c r="M1433" s="354" t="s">
        <v>55</v>
      </c>
      <c r="N1433" s="354" t="s">
        <v>1897</v>
      </c>
      <c r="O1433" s="355" t="s">
        <v>1898</v>
      </c>
      <c r="P1433" s="263" t="s">
        <v>40</v>
      </c>
      <c r="Q1433" s="262"/>
      <c r="R1433" s="263" t="s">
        <v>40</v>
      </c>
      <c r="S1433" s="262"/>
      <c r="T1433" s="263" t="s">
        <v>40</v>
      </c>
      <c r="U1433" s="262"/>
      <c r="V1433" s="263" t="s">
        <v>40</v>
      </c>
      <c r="W1433" s="262"/>
      <c r="X1433" s="263" t="s">
        <v>40</v>
      </c>
      <c r="Y1433" s="262"/>
      <c r="Z1433" s="263" t="s">
        <v>40</v>
      </c>
      <c r="AA1433" s="262"/>
      <c r="AB1433" s="263" t="s">
        <v>40</v>
      </c>
      <c r="AC1433" s="262"/>
      <c r="AD1433" s="262"/>
      <c r="AE1433" s="262">
        <v>46203</v>
      </c>
      <c r="AF1433" s="263" t="s">
        <v>65</v>
      </c>
      <c r="AG1433" s="270">
        <v>2026</v>
      </c>
      <c r="AH1433" s="296">
        <f t="shared" si="49"/>
        <v>0</v>
      </c>
      <c r="AI1433" s="296"/>
      <c r="AJ1433" s="296"/>
      <c r="AK1433" s="260" t="s">
        <v>43</v>
      </c>
      <c r="AL1433" s="259" t="s">
        <v>41</v>
      </c>
      <c r="AM1433" s="266">
        <v>0</v>
      </c>
      <c r="AN1433" s="67"/>
      <c r="AO1433" s="259"/>
      <c r="AP1433" s="277"/>
      <c r="AQ1433" s="165"/>
      <c r="AR1433" s="165"/>
      <c r="AS1433" s="165"/>
      <c r="AT1433" s="165"/>
      <c r="AU1433" s="165"/>
      <c r="AV1433" s="165"/>
      <c r="AW1433" s="165"/>
      <c r="AX1433" s="165"/>
      <c r="AY1433" s="165"/>
      <c r="AZ1433" s="165"/>
      <c r="BA1433" s="165"/>
      <c r="BB1433" s="165"/>
      <c r="BC1433" s="165"/>
      <c r="BD1433" s="165"/>
      <c r="BE1433" s="165"/>
      <c r="BF1433" s="165"/>
      <c r="BG1433" s="165"/>
      <c r="BH1433" s="165"/>
      <c r="BI1433" s="165"/>
      <c r="BJ1433" s="165"/>
      <c r="BK1433" s="165"/>
      <c r="BL1433" s="165"/>
      <c r="BM1433" s="165"/>
      <c r="BN1433" s="165"/>
      <c r="BO1433" s="165"/>
      <c r="BP1433" s="165"/>
      <c r="BQ1433" s="165"/>
      <c r="BR1433" s="165"/>
      <c r="BS1433" s="165"/>
      <c r="BT1433" s="165"/>
      <c r="BU1433" s="165"/>
      <c r="BV1433" s="165"/>
      <c r="BW1433" s="165"/>
      <c r="BX1433" s="165"/>
      <c r="BY1433" s="165"/>
      <c r="BZ1433" s="165"/>
      <c r="CA1433" s="315"/>
    </row>
    <row r="1434" spans="1:79" s="143" customFormat="1" ht="41.4" customHeight="1" x14ac:dyDescent="0.3">
      <c r="A1434" s="259" t="s">
        <v>1641</v>
      </c>
      <c r="B1434" s="243" t="s">
        <v>3222</v>
      </c>
      <c r="C1434" s="244" t="s">
        <v>3344</v>
      </c>
      <c r="D1434" s="259" t="s">
        <v>34</v>
      </c>
      <c r="E1434" s="259" t="s">
        <v>3224</v>
      </c>
      <c r="F1434" s="260" t="s">
        <v>35</v>
      </c>
      <c r="G1434" s="259">
        <v>93</v>
      </c>
      <c r="H1434" s="70">
        <v>1527000</v>
      </c>
      <c r="I1434" s="261" t="s">
        <v>36</v>
      </c>
      <c r="J1434" s="70">
        <v>1527000</v>
      </c>
      <c r="K1434" s="1696">
        <v>0</v>
      </c>
      <c r="L1434" s="1696">
        <v>0</v>
      </c>
      <c r="M1434" s="263" t="s">
        <v>1208</v>
      </c>
      <c r="N1434" s="263" t="s">
        <v>3345</v>
      </c>
      <c r="O1434" s="355" t="s">
        <v>1829</v>
      </c>
      <c r="P1434" s="263" t="s">
        <v>40</v>
      </c>
      <c r="Q1434" s="262"/>
      <c r="R1434" s="263" t="s">
        <v>40</v>
      </c>
      <c r="S1434" s="262"/>
      <c r="T1434" s="263" t="s">
        <v>40</v>
      </c>
      <c r="U1434" s="262"/>
      <c r="V1434" s="263" t="s">
        <v>40</v>
      </c>
      <c r="W1434" s="262"/>
      <c r="X1434" s="263" t="s">
        <v>40</v>
      </c>
      <c r="Y1434" s="262"/>
      <c r="Z1434" s="263" t="s">
        <v>40</v>
      </c>
      <c r="AA1434" s="262"/>
      <c r="AB1434" s="263" t="s">
        <v>40</v>
      </c>
      <c r="AC1434" s="262"/>
      <c r="AD1434" s="262"/>
      <c r="AE1434" s="262">
        <v>46203</v>
      </c>
      <c r="AF1434" s="263" t="s">
        <v>65</v>
      </c>
      <c r="AG1434" s="270">
        <v>2026</v>
      </c>
      <c r="AH1434" s="296">
        <f t="shared" si="49"/>
        <v>0</v>
      </c>
      <c r="AI1434" s="296"/>
      <c r="AJ1434" s="296"/>
      <c r="AK1434" s="260" t="s">
        <v>43</v>
      </c>
      <c r="AL1434" s="259" t="s">
        <v>41</v>
      </c>
      <c r="AM1434" s="266">
        <v>0</v>
      </c>
      <c r="AN1434" s="67"/>
      <c r="AO1434" s="259"/>
      <c r="AP1434" s="277"/>
      <c r="AQ1434" s="165"/>
      <c r="AR1434" s="165"/>
      <c r="AS1434" s="165"/>
      <c r="AT1434" s="165"/>
      <c r="AU1434" s="165"/>
      <c r="AV1434" s="165"/>
      <c r="AW1434" s="165"/>
      <c r="AX1434" s="165"/>
      <c r="AY1434" s="165"/>
      <c r="AZ1434" s="165"/>
      <c r="BA1434" s="165"/>
      <c r="BB1434" s="165"/>
      <c r="BC1434" s="165"/>
      <c r="BD1434" s="165"/>
      <c r="BE1434" s="165"/>
      <c r="BF1434" s="165"/>
      <c r="BG1434" s="165"/>
      <c r="BH1434" s="165"/>
      <c r="BI1434" s="165"/>
      <c r="BJ1434" s="165"/>
      <c r="BK1434" s="165"/>
      <c r="BL1434" s="165"/>
      <c r="BM1434" s="165"/>
      <c r="BN1434" s="165"/>
      <c r="BO1434" s="165"/>
      <c r="BP1434" s="165"/>
      <c r="BQ1434" s="165"/>
      <c r="BR1434" s="165"/>
      <c r="BS1434" s="165"/>
      <c r="BT1434" s="165"/>
      <c r="BU1434" s="165"/>
      <c r="BV1434" s="165"/>
      <c r="BW1434" s="165"/>
      <c r="BX1434" s="165"/>
      <c r="BY1434" s="165"/>
      <c r="BZ1434" s="165"/>
      <c r="CA1434" s="315"/>
    </row>
    <row r="1435" spans="1:79" s="143" customFormat="1" ht="40.5" customHeight="1" x14ac:dyDescent="0.3">
      <c r="A1435" s="259" t="s">
        <v>1641</v>
      </c>
      <c r="B1435" s="243" t="s">
        <v>3222</v>
      </c>
      <c r="C1435" s="244" t="s">
        <v>3346</v>
      </c>
      <c r="D1435" s="259" t="s">
        <v>34</v>
      </c>
      <c r="E1435" s="259" t="s">
        <v>3224</v>
      </c>
      <c r="F1435" s="260" t="s">
        <v>35</v>
      </c>
      <c r="G1435" s="259">
        <v>27</v>
      </c>
      <c r="H1435" s="70">
        <v>513000.1</v>
      </c>
      <c r="I1435" s="261" t="s">
        <v>36</v>
      </c>
      <c r="J1435" s="70">
        <v>513000.1</v>
      </c>
      <c r="K1435" s="1696">
        <v>0</v>
      </c>
      <c r="L1435" s="1696">
        <v>0</v>
      </c>
      <c r="M1435" s="263" t="s">
        <v>1208</v>
      </c>
      <c r="N1435" s="263" t="s">
        <v>1865</v>
      </c>
      <c r="O1435" s="355" t="s">
        <v>3347</v>
      </c>
      <c r="P1435" s="263" t="s">
        <v>40</v>
      </c>
      <c r="Q1435" s="262"/>
      <c r="R1435" s="263" t="s">
        <v>40</v>
      </c>
      <c r="S1435" s="262"/>
      <c r="T1435" s="263" t="s">
        <v>40</v>
      </c>
      <c r="U1435" s="262"/>
      <c r="V1435" s="263" t="s">
        <v>40</v>
      </c>
      <c r="W1435" s="262"/>
      <c r="X1435" s="263" t="s">
        <v>40</v>
      </c>
      <c r="Y1435" s="262"/>
      <c r="Z1435" s="263" t="s">
        <v>40</v>
      </c>
      <c r="AA1435" s="262"/>
      <c r="AB1435" s="263" t="s">
        <v>40</v>
      </c>
      <c r="AC1435" s="262"/>
      <c r="AD1435" s="262"/>
      <c r="AE1435" s="262">
        <v>46203</v>
      </c>
      <c r="AF1435" s="263" t="s">
        <v>65</v>
      </c>
      <c r="AG1435" s="270">
        <v>2026</v>
      </c>
      <c r="AH1435" s="296">
        <f t="shared" si="49"/>
        <v>0</v>
      </c>
      <c r="AI1435" s="296"/>
      <c r="AJ1435" s="296"/>
      <c r="AK1435" s="260" t="s">
        <v>43</v>
      </c>
      <c r="AL1435" s="259" t="s">
        <v>41</v>
      </c>
      <c r="AM1435" s="266">
        <v>0</v>
      </c>
      <c r="AN1435" s="67"/>
      <c r="AO1435" s="259"/>
      <c r="AP1435" s="277"/>
      <c r="AQ1435" s="165"/>
      <c r="AR1435" s="165"/>
      <c r="AS1435" s="165"/>
      <c r="AT1435" s="165"/>
      <c r="AU1435" s="165"/>
      <c r="AV1435" s="165"/>
      <c r="AW1435" s="165"/>
      <c r="AX1435" s="165"/>
      <c r="AY1435" s="165"/>
      <c r="AZ1435" s="165"/>
      <c r="BA1435" s="165"/>
      <c r="BB1435" s="165"/>
      <c r="BC1435" s="165"/>
      <c r="BD1435" s="165"/>
      <c r="BE1435" s="165"/>
      <c r="BF1435" s="165"/>
      <c r="BG1435" s="165"/>
      <c r="BH1435" s="165"/>
      <c r="BI1435" s="165"/>
      <c r="BJ1435" s="165"/>
      <c r="BK1435" s="165"/>
      <c r="BL1435" s="165"/>
      <c r="BM1435" s="165"/>
      <c r="BN1435" s="165"/>
      <c r="BO1435" s="165"/>
      <c r="BP1435" s="165"/>
      <c r="BQ1435" s="165"/>
      <c r="BR1435" s="165"/>
      <c r="BS1435" s="165"/>
      <c r="BT1435" s="165"/>
      <c r="BU1435" s="165"/>
      <c r="BV1435" s="165"/>
      <c r="BW1435" s="165"/>
      <c r="BX1435" s="165"/>
      <c r="BY1435" s="165"/>
      <c r="BZ1435" s="165"/>
      <c r="CA1435" s="315"/>
    </row>
    <row r="1436" spans="1:79" s="143" customFormat="1" ht="41.4" customHeight="1" x14ac:dyDescent="0.3">
      <c r="A1436" s="259" t="s">
        <v>1641</v>
      </c>
      <c r="B1436" s="243" t="s">
        <v>3222</v>
      </c>
      <c r="C1436" s="244" t="s">
        <v>3348</v>
      </c>
      <c r="D1436" s="259" t="s">
        <v>34</v>
      </c>
      <c r="E1436" s="259" t="s">
        <v>3224</v>
      </c>
      <c r="F1436" s="260" t="s">
        <v>35</v>
      </c>
      <c r="G1436" s="259">
        <v>50</v>
      </c>
      <c r="H1436" s="70">
        <v>700000</v>
      </c>
      <c r="I1436" s="261" t="s">
        <v>36</v>
      </c>
      <c r="J1436" s="70">
        <v>700000</v>
      </c>
      <c r="K1436" s="1696">
        <v>0</v>
      </c>
      <c r="L1436" s="1696">
        <v>0</v>
      </c>
      <c r="M1436" s="263" t="s">
        <v>62</v>
      </c>
      <c r="N1436" s="263" t="s">
        <v>2009</v>
      </c>
      <c r="O1436" s="355" t="s">
        <v>3349</v>
      </c>
      <c r="P1436" s="263" t="s">
        <v>40</v>
      </c>
      <c r="Q1436" s="262"/>
      <c r="R1436" s="263" t="s">
        <v>40</v>
      </c>
      <c r="S1436" s="262"/>
      <c r="T1436" s="263" t="s">
        <v>40</v>
      </c>
      <c r="U1436" s="262"/>
      <c r="V1436" s="263" t="s">
        <v>40</v>
      </c>
      <c r="W1436" s="262"/>
      <c r="X1436" s="263" t="s">
        <v>40</v>
      </c>
      <c r="Y1436" s="262"/>
      <c r="Z1436" s="263" t="s">
        <v>40</v>
      </c>
      <c r="AA1436" s="262"/>
      <c r="AB1436" s="263" t="s">
        <v>40</v>
      </c>
      <c r="AC1436" s="262"/>
      <c r="AD1436" s="262"/>
      <c r="AE1436" s="262">
        <v>46203</v>
      </c>
      <c r="AF1436" s="263" t="s">
        <v>65</v>
      </c>
      <c r="AG1436" s="270">
        <v>2026</v>
      </c>
      <c r="AH1436" s="296">
        <f t="shared" si="49"/>
        <v>0</v>
      </c>
      <c r="AI1436" s="296"/>
      <c r="AJ1436" s="296"/>
      <c r="AK1436" s="260" t="s">
        <v>43</v>
      </c>
      <c r="AL1436" s="259" t="s">
        <v>41</v>
      </c>
      <c r="AM1436" s="266">
        <v>0</v>
      </c>
      <c r="AN1436" s="67"/>
      <c r="AO1436" s="259"/>
      <c r="AP1436" s="277"/>
      <c r="AQ1436" s="165"/>
      <c r="AR1436" s="165"/>
      <c r="AS1436" s="165"/>
      <c r="AT1436" s="165"/>
      <c r="AU1436" s="165"/>
      <c r="AV1436" s="165"/>
      <c r="AW1436" s="165"/>
      <c r="AX1436" s="165"/>
      <c r="AY1436" s="165"/>
      <c r="AZ1436" s="165"/>
      <c r="BA1436" s="165"/>
      <c r="BB1436" s="165"/>
      <c r="BC1436" s="165"/>
      <c r="BD1436" s="165"/>
      <c r="BE1436" s="165"/>
      <c r="BF1436" s="165"/>
      <c r="BG1436" s="165"/>
      <c r="BH1436" s="165"/>
      <c r="BI1436" s="165"/>
      <c r="BJ1436" s="165"/>
      <c r="BK1436" s="165"/>
      <c r="BL1436" s="165"/>
      <c r="BM1436" s="165"/>
      <c r="BN1436" s="165"/>
      <c r="BO1436" s="165"/>
      <c r="BP1436" s="165"/>
      <c r="BQ1436" s="165"/>
      <c r="BR1436" s="165"/>
      <c r="BS1436" s="165"/>
      <c r="BT1436" s="165"/>
      <c r="BU1436" s="165"/>
      <c r="BV1436" s="165"/>
      <c r="BW1436" s="165"/>
      <c r="BX1436" s="165"/>
      <c r="BY1436" s="165"/>
      <c r="BZ1436" s="165"/>
      <c r="CA1436" s="315"/>
    </row>
    <row r="1437" spans="1:79" s="143" customFormat="1" ht="41.4" customHeight="1" x14ac:dyDescent="0.3">
      <c r="A1437" s="259" t="s">
        <v>1641</v>
      </c>
      <c r="B1437" s="243" t="s">
        <v>3222</v>
      </c>
      <c r="C1437" s="244" t="s">
        <v>3350</v>
      </c>
      <c r="D1437" s="259" t="s">
        <v>34</v>
      </c>
      <c r="E1437" s="259" t="s">
        <v>3224</v>
      </c>
      <c r="F1437" s="260" t="s">
        <v>35</v>
      </c>
      <c r="G1437" s="259">
        <v>50</v>
      </c>
      <c r="H1437" s="70">
        <v>700000</v>
      </c>
      <c r="I1437" s="261" t="s">
        <v>36</v>
      </c>
      <c r="J1437" s="70">
        <v>700000</v>
      </c>
      <c r="K1437" s="1696">
        <v>0</v>
      </c>
      <c r="L1437" s="1696">
        <v>0</v>
      </c>
      <c r="M1437" s="263" t="s">
        <v>49</v>
      </c>
      <c r="N1437" s="263" t="s">
        <v>2920</v>
      </c>
      <c r="O1437" s="355" t="s">
        <v>3351</v>
      </c>
      <c r="P1437" s="263" t="s">
        <v>40</v>
      </c>
      <c r="Q1437" s="262"/>
      <c r="R1437" s="263" t="s">
        <v>40</v>
      </c>
      <c r="S1437" s="262"/>
      <c r="T1437" s="263" t="s">
        <v>40</v>
      </c>
      <c r="U1437" s="262"/>
      <c r="V1437" s="263" t="s">
        <v>40</v>
      </c>
      <c r="W1437" s="262"/>
      <c r="X1437" s="263" t="s">
        <v>40</v>
      </c>
      <c r="Y1437" s="262"/>
      <c r="Z1437" s="263" t="s">
        <v>40</v>
      </c>
      <c r="AA1437" s="262"/>
      <c r="AB1437" s="263" t="s">
        <v>40</v>
      </c>
      <c r="AC1437" s="262"/>
      <c r="AD1437" s="262"/>
      <c r="AE1437" s="262">
        <v>46203</v>
      </c>
      <c r="AF1437" s="263" t="s">
        <v>65</v>
      </c>
      <c r="AG1437" s="270">
        <v>2026</v>
      </c>
      <c r="AH1437" s="296">
        <f t="shared" si="49"/>
        <v>0</v>
      </c>
      <c r="AI1437" s="296"/>
      <c r="AJ1437" s="296"/>
      <c r="AK1437" s="260" t="s">
        <v>43</v>
      </c>
      <c r="AL1437" s="259" t="s">
        <v>41</v>
      </c>
      <c r="AM1437" s="266">
        <v>0</v>
      </c>
      <c r="AN1437" s="67"/>
      <c r="AO1437" s="259"/>
      <c r="AP1437" s="277"/>
      <c r="AQ1437" s="165"/>
      <c r="AR1437" s="165"/>
      <c r="AS1437" s="165"/>
      <c r="AT1437" s="165"/>
      <c r="AU1437" s="165"/>
      <c r="AV1437" s="165"/>
      <c r="AW1437" s="165"/>
      <c r="AX1437" s="165"/>
      <c r="AY1437" s="165"/>
      <c r="AZ1437" s="165"/>
      <c r="BA1437" s="165"/>
      <c r="BB1437" s="165"/>
      <c r="BC1437" s="165"/>
      <c r="BD1437" s="165"/>
      <c r="BE1437" s="165"/>
      <c r="BF1437" s="165"/>
      <c r="BG1437" s="165"/>
      <c r="BH1437" s="165"/>
      <c r="BI1437" s="165"/>
      <c r="BJ1437" s="165"/>
      <c r="BK1437" s="165"/>
      <c r="BL1437" s="165"/>
      <c r="BM1437" s="165"/>
      <c r="BN1437" s="165"/>
      <c r="BO1437" s="165"/>
      <c r="BP1437" s="165"/>
      <c r="BQ1437" s="165"/>
      <c r="BR1437" s="165"/>
      <c r="BS1437" s="165"/>
      <c r="BT1437" s="165"/>
      <c r="BU1437" s="165"/>
      <c r="BV1437" s="165"/>
      <c r="BW1437" s="165"/>
      <c r="BX1437" s="165"/>
      <c r="BY1437" s="165"/>
      <c r="BZ1437" s="165"/>
      <c r="CA1437" s="315"/>
    </row>
    <row r="1438" spans="1:79" s="143" customFormat="1" ht="41.4" customHeight="1" x14ac:dyDescent="0.3">
      <c r="A1438" s="259" t="s">
        <v>1641</v>
      </c>
      <c r="B1438" s="243" t="s">
        <v>3222</v>
      </c>
      <c r="C1438" s="244" t="s">
        <v>3352</v>
      </c>
      <c r="D1438" s="259" t="s">
        <v>34</v>
      </c>
      <c r="E1438" s="259" t="s">
        <v>3224</v>
      </c>
      <c r="F1438" s="260" t="s">
        <v>35</v>
      </c>
      <c r="G1438" s="259">
        <v>50</v>
      </c>
      <c r="H1438" s="70">
        <v>835000</v>
      </c>
      <c r="I1438" s="261" t="s">
        <v>36</v>
      </c>
      <c r="J1438" s="70">
        <v>835000</v>
      </c>
      <c r="K1438" s="1696">
        <v>0</v>
      </c>
      <c r="L1438" s="1696">
        <v>0</v>
      </c>
      <c r="M1438" s="263" t="s">
        <v>868</v>
      </c>
      <c r="N1438" s="263" t="s">
        <v>2660</v>
      </c>
      <c r="O1438" s="355" t="s">
        <v>3353</v>
      </c>
      <c r="P1438" s="263" t="s">
        <v>40</v>
      </c>
      <c r="Q1438" s="262"/>
      <c r="R1438" s="263" t="s">
        <v>40</v>
      </c>
      <c r="S1438" s="262"/>
      <c r="T1438" s="263" t="s">
        <v>40</v>
      </c>
      <c r="U1438" s="262"/>
      <c r="V1438" s="263" t="s">
        <v>40</v>
      </c>
      <c r="W1438" s="262"/>
      <c r="X1438" s="263" t="s">
        <v>40</v>
      </c>
      <c r="Y1438" s="262"/>
      <c r="Z1438" s="263" t="s">
        <v>40</v>
      </c>
      <c r="AA1438" s="262"/>
      <c r="AB1438" s="263" t="s">
        <v>40</v>
      </c>
      <c r="AC1438" s="262"/>
      <c r="AD1438" s="262"/>
      <c r="AE1438" s="262">
        <v>46203</v>
      </c>
      <c r="AF1438" s="263" t="s">
        <v>65</v>
      </c>
      <c r="AG1438" s="270">
        <v>2026</v>
      </c>
      <c r="AH1438" s="296">
        <f t="shared" si="49"/>
        <v>0</v>
      </c>
      <c r="AI1438" s="296"/>
      <c r="AJ1438" s="296"/>
      <c r="AK1438" s="260" t="s">
        <v>43</v>
      </c>
      <c r="AL1438" s="259" t="s">
        <v>41</v>
      </c>
      <c r="AM1438" s="266">
        <v>0</v>
      </c>
      <c r="AN1438" s="67"/>
      <c r="AO1438" s="259"/>
      <c r="AP1438" s="277"/>
      <c r="AQ1438" s="165"/>
      <c r="AR1438" s="165"/>
      <c r="AS1438" s="165"/>
      <c r="AT1438" s="165"/>
      <c r="AU1438" s="165"/>
      <c r="AV1438" s="165"/>
      <c r="AW1438" s="165"/>
      <c r="AX1438" s="165"/>
      <c r="AY1438" s="165"/>
      <c r="AZ1438" s="165"/>
      <c r="BA1438" s="165"/>
      <c r="BB1438" s="165"/>
      <c r="BC1438" s="165"/>
      <c r="BD1438" s="165"/>
      <c r="BE1438" s="165"/>
      <c r="BF1438" s="165"/>
      <c r="BG1438" s="165"/>
      <c r="BH1438" s="165"/>
      <c r="BI1438" s="165"/>
      <c r="BJ1438" s="165"/>
      <c r="BK1438" s="165"/>
      <c r="BL1438" s="165"/>
      <c r="BM1438" s="165"/>
      <c r="BN1438" s="165"/>
      <c r="BO1438" s="165"/>
      <c r="BP1438" s="165"/>
      <c r="BQ1438" s="165"/>
      <c r="BR1438" s="165"/>
      <c r="BS1438" s="165"/>
      <c r="BT1438" s="165"/>
      <c r="BU1438" s="165"/>
      <c r="BV1438" s="165"/>
      <c r="BW1438" s="165"/>
      <c r="BX1438" s="165"/>
      <c r="BY1438" s="165"/>
      <c r="BZ1438" s="165"/>
      <c r="CA1438" s="315"/>
    </row>
    <row r="1439" spans="1:79" s="143" customFormat="1" ht="41.4" customHeight="1" x14ac:dyDescent="0.3">
      <c r="A1439" s="259" t="s">
        <v>1641</v>
      </c>
      <c r="B1439" s="243" t="s">
        <v>3222</v>
      </c>
      <c r="C1439" s="244" t="s">
        <v>3354</v>
      </c>
      <c r="D1439" s="259" t="s">
        <v>34</v>
      </c>
      <c r="E1439" s="259" t="s">
        <v>3224</v>
      </c>
      <c r="F1439" s="260" t="s">
        <v>35</v>
      </c>
      <c r="G1439" s="259">
        <v>16</v>
      </c>
      <c r="H1439" s="70">
        <v>224000</v>
      </c>
      <c r="I1439" s="261" t="s">
        <v>36</v>
      </c>
      <c r="J1439" s="70">
        <v>224000</v>
      </c>
      <c r="K1439" s="1696">
        <v>0</v>
      </c>
      <c r="L1439" s="1696">
        <v>0</v>
      </c>
      <c r="M1439" s="263" t="s">
        <v>50</v>
      </c>
      <c r="N1439" s="263" t="s">
        <v>2827</v>
      </c>
      <c r="O1439" s="355" t="s">
        <v>3355</v>
      </c>
      <c r="P1439" s="263" t="s">
        <v>40</v>
      </c>
      <c r="Q1439" s="262"/>
      <c r="R1439" s="263" t="s">
        <v>40</v>
      </c>
      <c r="S1439" s="262"/>
      <c r="T1439" s="263" t="s">
        <v>40</v>
      </c>
      <c r="U1439" s="262"/>
      <c r="V1439" s="263" t="s">
        <v>40</v>
      </c>
      <c r="W1439" s="262"/>
      <c r="X1439" s="263" t="s">
        <v>40</v>
      </c>
      <c r="Y1439" s="262"/>
      <c r="Z1439" s="263" t="s">
        <v>40</v>
      </c>
      <c r="AA1439" s="262"/>
      <c r="AB1439" s="263" t="s">
        <v>40</v>
      </c>
      <c r="AC1439" s="262"/>
      <c r="AD1439" s="262"/>
      <c r="AE1439" s="262">
        <v>46203</v>
      </c>
      <c r="AF1439" s="263" t="s">
        <v>65</v>
      </c>
      <c r="AG1439" s="270">
        <v>2026</v>
      </c>
      <c r="AH1439" s="296">
        <f t="shared" si="49"/>
        <v>0</v>
      </c>
      <c r="AI1439" s="296"/>
      <c r="AJ1439" s="296"/>
      <c r="AK1439" s="260" t="s">
        <v>43</v>
      </c>
      <c r="AL1439" s="259" t="s">
        <v>41</v>
      </c>
      <c r="AM1439" s="266">
        <v>0</v>
      </c>
      <c r="AN1439" s="67"/>
      <c r="AO1439" s="259"/>
      <c r="AP1439" s="277"/>
      <c r="AQ1439" s="165"/>
      <c r="AR1439" s="165"/>
      <c r="AS1439" s="165"/>
      <c r="AT1439" s="165"/>
      <c r="AU1439" s="165"/>
      <c r="AV1439" s="165"/>
      <c r="AW1439" s="165"/>
      <c r="AX1439" s="165"/>
      <c r="AY1439" s="165"/>
      <c r="AZ1439" s="165"/>
      <c r="BA1439" s="165"/>
      <c r="BB1439" s="165"/>
      <c r="BC1439" s="165"/>
      <c r="BD1439" s="165"/>
      <c r="BE1439" s="165"/>
      <c r="BF1439" s="165"/>
      <c r="BG1439" s="165"/>
      <c r="BH1439" s="165"/>
      <c r="BI1439" s="165"/>
      <c r="BJ1439" s="165"/>
      <c r="BK1439" s="165"/>
      <c r="BL1439" s="165"/>
      <c r="BM1439" s="165"/>
      <c r="BN1439" s="165"/>
      <c r="BO1439" s="165"/>
      <c r="BP1439" s="165"/>
      <c r="BQ1439" s="165"/>
      <c r="BR1439" s="165"/>
      <c r="BS1439" s="165"/>
      <c r="BT1439" s="165"/>
      <c r="BU1439" s="165"/>
      <c r="BV1439" s="165"/>
      <c r="BW1439" s="165"/>
      <c r="BX1439" s="165"/>
      <c r="BY1439" s="165"/>
      <c r="BZ1439" s="165"/>
      <c r="CA1439" s="315"/>
    </row>
    <row r="1440" spans="1:79" s="143" customFormat="1" ht="41.4" customHeight="1" x14ac:dyDescent="0.3">
      <c r="A1440" s="259" t="s">
        <v>1641</v>
      </c>
      <c r="B1440" s="243" t="s">
        <v>3222</v>
      </c>
      <c r="C1440" s="244" t="s">
        <v>3356</v>
      </c>
      <c r="D1440" s="259" t="s">
        <v>34</v>
      </c>
      <c r="E1440" s="259" t="s">
        <v>3224</v>
      </c>
      <c r="F1440" s="260" t="s">
        <v>35</v>
      </c>
      <c r="G1440" s="259">
        <v>7</v>
      </c>
      <c r="H1440" s="70">
        <v>98000</v>
      </c>
      <c r="I1440" s="261" t="s">
        <v>36</v>
      </c>
      <c r="J1440" s="70">
        <v>98000</v>
      </c>
      <c r="K1440" s="1696">
        <v>0</v>
      </c>
      <c r="L1440" s="1696">
        <v>0</v>
      </c>
      <c r="M1440" s="263" t="s">
        <v>60</v>
      </c>
      <c r="N1440" s="263" t="s">
        <v>3357</v>
      </c>
      <c r="O1440" s="263" t="s">
        <v>3357</v>
      </c>
      <c r="P1440" s="263" t="s">
        <v>40</v>
      </c>
      <c r="Q1440" s="262"/>
      <c r="R1440" s="263" t="s">
        <v>40</v>
      </c>
      <c r="S1440" s="262"/>
      <c r="T1440" s="263" t="s">
        <v>40</v>
      </c>
      <c r="U1440" s="262"/>
      <c r="V1440" s="263" t="s">
        <v>40</v>
      </c>
      <c r="W1440" s="262"/>
      <c r="X1440" s="263" t="s">
        <v>40</v>
      </c>
      <c r="Y1440" s="262"/>
      <c r="Z1440" s="263" t="s">
        <v>40</v>
      </c>
      <c r="AA1440" s="262"/>
      <c r="AB1440" s="263" t="s">
        <v>40</v>
      </c>
      <c r="AC1440" s="262"/>
      <c r="AD1440" s="262"/>
      <c r="AE1440" s="262">
        <v>46203</v>
      </c>
      <c r="AF1440" s="263" t="s">
        <v>65</v>
      </c>
      <c r="AG1440" s="270">
        <v>2026</v>
      </c>
      <c r="AH1440" s="296">
        <f t="shared" si="49"/>
        <v>0</v>
      </c>
      <c r="AI1440" s="296"/>
      <c r="AJ1440" s="296"/>
      <c r="AK1440" s="260" t="s">
        <v>43</v>
      </c>
      <c r="AL1440" s="259" t="s">
        <v>41</v>
      </c>
      <c r="AM1440" s="266">
        <v>0</v>
      </c>
      <c r="AN1440" s="67"/>
      <c r="AO1440" s="259"/>
      <c r="AP1440" s="277"/>
      <c r="AQ1440" s="165"/>
      <c r="AR1440" s="165"/>
      <c r="AS1440" s="165"/>
      <c r="AT1440" s="165"/>
      <c r="AU1440" s="165"/>
      <c r="AV1440" s="165"/>
      <c r="AW1440" s="165"/>
      <c r="AX1440" s="165"/>
      <c r="AY1440" s="165"/>
      <c r="AZ1440" s="165"/>
      <c r="BA1440" s="165"/>
      <c r="BB1440" s="165"/>
      <c r="BC1440" s="165"/>
      <c r="BD1440" s="165"/>
      <c r="BE1440" s="165"/>
      <c r="BF1440" s="165"/>
      <c r="BG1440" s="165"/>
      <c r="BH1440" s="165"/>
      <c r="BI1440" s="165"/>
      <c r="BJ1440" s="165"/>
      <c r="BK1440" s="165"/>
      <c r="BL1440" s="165"/>
      <c r="BM1440" s="165"/>
      <c r="BN1440" s="165"/>
      <c r="BO1440" s="165"/>
      <c r="BP1440" s="165"/>
      <c r="BQ1440" s="165"/>
      <c r="BR1440" s="165"/>
      <c r="BS1440" s="165"/>
      <c r="BT1440" s="165"/>
      <c r="BU1440" s="165"/>
      <c r="BV1440" s="165"/>
      <c r="BW1440" s="165"/>
      <c r="BX1440" s="165"/>
      <c r="BY1440" s="165"/>
      <c r="BZ1440" s="165"/>
      <c r="CA1440" s="315"/>
    </row>
    <row r="1441" spans="1:79" s="143" customFormat="1" ht="41.4" customHeight="1" x14ac:dyDescent="0.3">
      <c r="A1441" s="259" t="s">
        <v>1641</v>
      </c>
      <c r="B1441" s="243" t="s">
        <v>3222</v>
      </c>
      <c r="C1441" s="244" t="s">
        <v>3358</v>
      </c>
      <c r="D1441" s="259" t="s">
        <v>34</v>
      </c>
      <c r="E1441" s="259" t="s">
        <v>3224</v>
      </c>
      <c r="F1441" s="260" t="s">
        <v>35</v>
      </c>
      <c r="G1441" s="259">
        <v>27</v>
      </c>
      <c r="H1441" s="70">
        <v>513000</v>
      </c>
      <c r="I1441" s="261" t="s">
        <v>36</v>
      </c>
      <c r="J1441" s="70">
        <v>513000</v>
      </c>
      <c r="K1441" s="1696">
        <v>0</v>
      </c>
      <c r="L1441" s="1696">
        <v>0</v>
      </c>
      <c r="M1441" s="263" t="s">
        <v>868</v>
      </c>
      <c r="N1441" s="263" t="s">
        <v>3359</v>
      </c>
      <c r="O1441" s="263" t="s">
        <v>3359</v>
      </c>
      <c r="P1441" s="263" t="s">
        <v>40</v>
      </c>
      <c r="Q1441" s="262"/>
      <c r="R1441" s="263" t="s">
        <v>40</v>
      </c>
      <c r="S1441" s="262"/>
      <c r="T1441" s="263" t="s">
        <v>40</v>
      </c>
      <c r="U1441" s="262"/>
      <c r="V1441" s="263" t="s">
        <v>40</v>
      </c>
      <c r="W1441" s="262"/>
      <c r="X1441" s="263" t="s">
        <v>40</v>
      </c>
      <c r="Y1441" s="262"/>
      <c r="Z1441" s="263" t="s">
        <v>40</v>
      </c>
      <c r="AA1441" s="262"/>
      <c r="AB1441" s="263" t="s">
        <v>40</v>
      </c>
      <c r="AC1441" s="262"/>
      <c r="AD1441" s="262"/>
      <c r="AE1441" s="262">
        <v>46203</v>
      </c>
      <c r="AF1441" s="263" t="s">
        <v>65</v>
      </c>
      <c r="AG1441" s="270">
        <v>2026</v>
      </c>
      <c r="AH1441" s="296">
        <f t="shared" si="49"/>
        <v>0</v>
      </c>
      <c r="AI1441" s="296"/>
      <c r="AJ1441" s="296"/>
      <c r="AK1441" s="260" t="s">
        <v>43</v>
      </c>
      <c r="AL1441" s="259" t="s">
        <v>41</v>
      </c>
      <c r="AM1441" s="266">
        <v>0</v>
      </c>
      <c r="AN1441" s="67"/>
      <c r="AO1441" s="259"/>
      <c r="AP1441" s="277"/>
      <c r="AQ1441" s="165"/>
      <c r="AR1441" s="165"/>
      <c r="AS1441" s="165"/>
      <c r="AT1441" s="165"/>
      <c r="AU1441" s="165"/>
      <c r="AV1441" s="165"/>
      <c r="AW1441" s="165"/>
      <c r="AX1441" s="165"/>
      <c r="AY1441" s="165"/>
      <c r="AZ1441" s="165"/>
      <c r="BA1441" s="165"/>
      <c r="BB1441" s="165"/>
      <c r="BC1441" s="165"/>
      <c r="BD1441" s="165"/>
      <c r="BE1441" s="165"/>
      <c r="BF1441" s="165"/>
      <c r="BG1441" s="165"/>
      <c r="BH1441" s="165"/>
      <c r="BI1441" s="165"/>
      <c r="BJ1441" s="165"/>
      <c r="BK1441" s="165"/>
      <c r="BL1441" s="165"/>
      <c r="BM1441" s="165"/>
      <c r="BN1441" s="165"/>
      <c r="BO1441" s="165"/>
      <c r="BP1441" s="165"/>
      <c r="BQ1441" s="165"/>
      <c r="BR1441" s="165"/>
      <c r="BS1441" s="165"/>
      <c r="BT1441" s="165"/>
      <c r="BU1441" s="165"/>
      <c r="BV1441" s="165"/>
      <c r="BW1441" s="165"/>
      <c r="BX1441" s="165"/>
      <c r="BY1441" s="165"/>
      <c r="BZ1441" s="165"/>
      <c r="CA1441" s="315"/>
    </row>
    <row r="1442" spans="1:79" s="143" customFormat="1" ht="41.4" customHeight="1" x14ac:dyDescent="0.3">
      <c r="A1442" s="259" t="s">
        <v>1641</v>
      </c>
      <c r="B1442" s="243" t="s">
        <v>3222</v>
      </c>
      <c r="C1442" s="244" t="s">
        <v>3360</v>
      </c>
      <c r="D1442" s="259" t="s">
        <v>34</v>
      </c>
      <c r="E1442" s="259" t="s">
        <v>3224</v>
      </c>
      <c r="F1442" s="260" t="s">
        <v>35</v>
      </c>
      <c r="G1442" s="259">
        <v>8</v>
      </c>
      <c r="H1442" s="70">
        <v>112000</v>
      </c>
      <c r="I1442" s="261" t="s">
        <v>36</v>
      </c>
      <c r="J1442" s="70">
        <v>112000</v>
      </c>
      <c r="K1442" s="1696">
        <v>0</v>
      </c>
      <c r="L1442" s="1696">
        <v>0</v>
      </c>
      <c r="M1442" s="263" t="s">
        <v>79</v>
      </c>
      <c r="N1442" s="263" t="s">
        <v>3361</v>
      </c>
      <c r="O1442" s="263" t="s">
        <v>3362</v>
      </c>
      <c r="P1442" s="263" t="s">
        <v>40</v>
      </c>
      <c r="Q1442" s="262"/>
      <c r="R1442" s="263" t="s">
        <v>40</v>
      </c>
      <c r="S1442" s="262"/>
      <c r="T1442" s="263" t="s">
        <v>40</v>
      </c>
      <c r="U1442" s="262"/>
      <c r="V1442" s="263" t="s">
        <v>40</v>
      </c>
      <c r="W1442" s="262"/>
      <c r="X1442" s="263" t="s">
        <v>40</v>
      </c>
      <c r="Y1442" s="262"/>
      <c r="Z1442" s="263" t="s">
        <v>40</v>
      </c>
      <c r="AA1442" s="262"/>
      <c r="AB1442" s="263" t="s">
        <v>40</v>
      </c>
      <c r="AC1442" s="262"/>
      <c r="AD1442" s="262"/>
      <c r="AE1442" s="262">
        <v>46203</v>
      </c>
      <c r="AF1442" s="263" t="s">
        <v>65</v>
      </c>
      <c r="AG1442" s="270">
        <v>2026</v>
      </c>
      <c r="AH1442" s="296">
        <f t="shared" si="49"/>
        <v>0</v>
      </c>
      <c r="AI1442" s="296"/>
      <c r="AJ1442" s="296"/>
      <c r="AK1442" s="260" t="s">
        <v>43</v>
      </c>
      <c r="AL1442" s="259" t="s">
        <v>41</v>
      </c>
      <c r="AM1442" s="266">
        <v>0</v>
      </c>
      <c r="AN1442" s="67"/>
      <c r="AO1442" s="259"/>
      <c r="AP1442" s="277"/>
      <c r="AQ1442" s="165"/>
      <c r="AR1442" s="165"/>
      <c r="AS1442" s="165"/>
      <c r="AT1442" s="165"/>
      <c r="AU1442" s="165"/>
      <c r="AV1442" s="165"/>
      <c r="AW1442" s="165"/>
      <c r="AX1442" s="165"/>
      <c r="AY1442" s="165"/>
      <c r="AZ1442" s="165"/>
      <c r="BA1442" s="165"/>
      <c r="BB1442" s="165"/>
      <c r="BC1442" s="165"/>
      <c r="BD1442" s="165"/>
      <c r="BE1442" s="165"/>
      <c r="BF1442" s="165"/>
      <c r="BG1442" s="165"/>
      <c r="BH1442" s="165"/>
      <c r="BI1442" s="165"/>
      <c r="BJ1442" s="165"/>
      <c r="BK1442" s="165"/>
      <c r="BL1442" s="165"/>
      <c r="BM1442" s="165"/>
      <c r="BN1442" s="165"/>
      <c r="BO1442" s="165"/>
      <c r="BP1442" s="165"/>
      <c r="BQ1442" s="165"/>
      <c r="BR1442" s="165"/>
      <c r="BS1442" s="165"/>
      <c r="BT1442" s="165"/>
      <c r="BU1442" s="165"/>
      <c r="BV1442" s="165"/>
      <c r="BW1442" s="165"/>
      <c r="BX1442" s="165"/>
      <c r="BY1442" s="165"/>
      <c r="BZ1442" s="165"/>
      <c r="CA1442" s="315"/>
    </row>
    <row r="1443" spans="1:79" s="143" customFormat="1" ht="41.4" customHeight="1" x14ac:dyDescent="0.3">
      <c r="A1443" s="259" t="s">
        <v>1641</v>
      </c>
      <c r="B1443" s="243" t="s">
        <v>3222</v>
      </c>
      <c r="C1443" s="244" t="s">
        <v>3363</v>
      </c>
      <c r="D1443" s="259" t="s">
        <v>34</v>
      </c>
      <c r="E1443" s="259" t="s">
        <v>3224</v>
      </c>
      <c r="F1443" s="260" t="s">
        <v>35</v>
      </c>
      <c r="G1443" s="259">
        <v>25</v>
      </c>
      <c r="H1443" s="70">
        <v>487000</v>
      </c>
      <c r="I1443" s="261" t="s">
        <v>36</v>
      </c>
      <c r="J1443" s="70">
        <v>487000</v>
      </c>
      <c r="K1443" s="1696">
        <v>0</v>
      </c>
      <c r="L1443" s="1696">
        <v>0</v>
      </c>
      <c r="M1443" s="263" t="s">
        <v>412</v>
      </c>
      <c r="N1443" s="263" t="s">
        <v>2946</v>
      </c>
      <c r="O1443" s="355" t="s">
        <v>3364</v>
      </c>
      <c r="P1443" s="263" t="s">
        <v>41</v>
      </c>
      <c r="Q1443" s="262">
        <v>45078</v>
      </c>
      <c r="R1443" s="263" t="s">
        <v>3281</v>
      </c>
      <c r="S1443" s="262">
        <v>45078</v>
      </c>
      <c r="T1443" s="263" t="s">
        <v>40</v>
      </c>
      <c r="U1443" s="262"/>
      <c r="V1443" s="263" t="s">
        <v>40</v>
      </c>
      <c r="W1443" s="262"/>
      <c r="X1443" s="263" t="s">
        <v>40</v>
      </c>
      <c r="Y1443" s="262"/>
      <c r="Z1443" s="263" t="s">
        <v>40</v>
      </c>
      <c r="AA1443" s="262"/>
      <c r="AB1443" s="263" t="s">
        <v>40</v>
      </c>
      <c r="AC1443" s="262"/>
      <c r="AD1443" s="262"/>
      <c r="AE1443" s="262">
        <v>46203</v>
      </c>
      <c r="AF1443" s="263" t="s">
        <v>65</v>
      </c>
      <c r="AG1443" s="270">
        <v>2026</v>
      </c>
      <c r="AH1443" s="296">
        <f t="shared" si="49"/>
        <v>0</v>
      </c>
      <c r="AI1443" s="296"/>
      <c r="AJ1443" s="296"/>
      <c r="AK1443" s="260" t="s">
        <v>43</v>
      </c>
      <c r="AL1443" s="259" t="s">
        <v>41</v>
      </c>
      <c r="AM1443" s="266">
        <v>0</v>
      </c>
      <c r="AN1443" s="67"/>
      <c r="AO1443" s="259"/>
      <c r="AP1443" s="277"/>
      <c r="AQ1443" s="165"/>
      <c r="AR1443" s="165"/>
      <c r="AS1443" s="165"/>
      <c r="AT1443" s="165"/>
      <c r="AU1443" s="165"/>
      <c r="AV1443" s="165"/>
      <c r="AW1443" s="165"/>
      <c r="AX1443" s="165"/>
      <c r="AY1443" s="165"/>
      <c r="AZ1443" s="165"/>
      <c r="BA1443" s="165"/>
      <c r="BB1443" s="165"/>
      <c r="BC1443" s="165"/>
      <c r="BD1443" s="165"/>
      <c r="BE1443" s="165"/>
      <c r="BF1443" s="165"/>
      <c r="BG1443" s="165"/>
      <c r="BH1443" s="165"/>
      <c r="BI1443" s="165"/>
      <c r="BJ1443" s="165"/>
      <c r="BK1443" s="165"/>
      <c r="BL1443" s="165"/>
      <c r="BM1443" s="165"/>
      <c r="BN1443" s="165"/>
      <c r="BO1443" s="165"/>
      <c r="BP1443" s="165"/>
      <c r="BQ1443" s="165"/>
      <c r="BR1443" s="165"/>
      <c r="BS1443" s="165"/>
      <c r="BT1443" s="165"/>
      <c r="BU1443" s="165"/>
      <c r="BV1443" s="165"/>
      <c r="BW1443" s="165"/>
      <c r="BX1443" s="165"/>
      <c r="BY1443" s="165"/>
      <c r="BZ1443" s="165"/>
      <c r="CA1443" s="315"/>
    </row>
    <row r="1444" spans="1:79" s="143" customFormat="1" ht="41.4" customHeight="1" x14ac:dyDescent="0.3">
      <c r="A1444" s="259" t="s">
        <v>1641</v>
      </c>
      <c r="B1444" s="243" t="s">
        <v>3222</v>
      </c>
      <c r="C1444" s="244" t="s">
        <v>3365</v>
      </c>
      <c r="D1444" s="259" t="s">
        <v>34</v>
      </c>
      <c r="E1444" s="259" t="s">
        <v>3224</v>
      </c>
      <c r="F1444" s="260" t="s">
        <v>35</v>
      </c>
      <c r="G1444" s="259">
        <v>150</v>
      </c>
      <c r="H1444" s="70">
        <v>2850000</v>
      </c>
      <c r="I1444" s="261" t="s">
        <v>36</v>
      </c>
      <c r="J1444" s="70">
        <v>2850000</v>
      </c>
      <c r="K1444" s="1696">
        <v>0</v>
      </c>
      <c r="L1444" s="1696">
        <v>0</v>
      </c>
      <c r="M1444" s="263" t="s">
        <v>84</v>
      </c>
      <c r="N1444" s="263" t="s">
        <v>3366</v>
      </c>
      <c r="O1444" s="355" t="s">
        <v>3367</v>
      </c>
      <c r="P1444" s="263" t="s">
        <v>40</v>
      </c>
      <c r="Q1444" s="262"/>
      <c r="R1444" s="263" t="s">
        <v>40</v>
      </c>
      <c r="S1444" s="262"/>
      <c r="T1444" s="263" t="s">
        <v>40</v>
      </c>
      <c r="U1444" s="262"/>
      <c r="V1444" s="263" t="s">
        <v>40</v>
      </c>
      <c r="W1444" s="262"/>
      <c r="X1444" s="263" t="s">
        <v>40</v>
      </c>
      <c r="Y1444" s="262"/>
      <c r="Z1444" s="263" t="s">
        <v>40</v>
      </c>
      <c r="AA1444" s="262"/>
      <c r="AB1444" s="263" t="s">
        <v>40</v>
      </c>
      <c r="AC1444" s="262"/>
      <c r="AD1444" s="262"/>
      <c r="AE1444" s="262">
        <v>46203</v>
      </c>
      <c r="AF1444" s="263" t="s">
        <v>65</v>
      </c>
      <c r="AG1444" s="270">
        <v>2026</v>
      </c>
      <c r="AH1444" s="296">
        <f t="shared" si="49"/>
        <v>0</v>
      </c>
      <c r="AI1444" s="296"/>
      <c r="AJ1444" s="296"/>
      <c r="AK1444" s="260" t="s">
        <v>43</v>
      </c>
      <c r="AL1444" s="259" t="s">
        <v>41</v>
      </c>
      <c r="AM1444" s="266">
        <v>0</v>
      </c>
      <c r="AN1444" s="67"/>
      <c r="AO1444" s="259"/>
      <c r="AP1444" s="277"/>
      <c r="AQ1444" s="165"/>
      <c r="AR1444" s="165"/>
      <c r="AS1444" s="165"/>
      <c r="AT1444" s="165"/>
      <c r="AU1444" s="165"/>
      <c r="AV1444" s="165"/>
      <c r="AW1444" s="165"/>
      <c r="AX1444" s="165"/>
      <c r="AY1444" s="165"/>
      <c r="AZ1444" s="165"/>
      <c r="BA1444" s="165"/>
      <c r="BB1444" s="165"/>
      <c r="BC1444" s="165"/>
      <c r="BD1444" s="165"/>
      <c r="BE1444" s="165"/>
      <c r="BF1444" s="165"/>
      <c r="BG1444" s="165"/>
      <c r="BH1444" s="165"/>
      <c r="BI1444" s="165"/>
      <c r="BJ1444" s="165"/>
      <c r="BK1444" s="165"/>
      <c r="BL1444" s="165"/>
      <c r="BM1444" s="165"/>
      <c r="BN1444" s="165"/>
      <c r="BO1444" s="165"/>
      <c r="BP1444" s="165"/>
      <c r="BQ1444" s="165"/>
      <c r="BR1444" s="165"/>
      <c r="BS1444" s="165"/>
      <c r="BT1444" s="165"/>
      <c r="BU1444" s="165"/>
      <c r="BV1444" s="165"/>
      <c r="BW1444" s="165"/>
      <c r="BX1444" s="165"/>
      <c r="BY1444" s="165"/>
      <c r="BZ1444" s="165"/>
      <c r="CA1444" s="315"/>
    </row>
    <row r="1445" spans="1:79" s="143" customFormat="1" ht="41.4" customHeight="1" x14ac:dyDescent="0.3">
      <c r="A1445" s="259" t="s">
        <v>1641</v>
      </c>
      <c r="B1445" s="243" t="s">
        <v>3222</v>
      </c>
      <c r="C1445" s="244" t="s">
        <v>3368</v>
      </c>
      <c r="D1445" s="259" t="s">
        <v>34</v>
      </c>
      <c r="E1445" s="259" t="s">
        <v>3224</v>
      </c>
      <c r="F1445" s="260" t="s">
        <v>35</v>
      </c>
      <c r="G1445" s="259">
        <v>200</v>
      </c>
      <c r="H1445" s="70">
        <v>2800000</v>
      </c>
      <c r="I1445" s="261" t="s">
        <v>36</v>
      </c>
      <c r="J1445" s="70">
        <v>2800000</v>
      </c>
      <c r="K1445" s="1696">
        <v>0</v>
      </c>
      <c r="L1445" s="1696">
        <v>0</v>
      </c>
      <c r="M1445" s="263" t="s">
        <v>183</v>
      </c>
      <c r="N1445" s="263" t="s">
        <v>183</v>
      </c>
      <c r="O1445" s="355" t="s">
        <v>3369</v>
      </c>
      <c r="P1445" s="263" t="s">
        <v>40</v>
      </c>
      <c r="Q1445" s="262"/>
      <c r="R1445" s="263" t="s">
        <v>40</v>
      </c>
      <c r="S1445" s="262"/>
      <c r="T1445" s="263" t="s">
        <v>40</v>
      </c>
      <c r="U1445" s="262"/>
      <c r="V1445" s="263" t="s">
        <v>40</v>
      </c>
      <c r="W1445" s="262"/>
      <c r="X1445" s="263" t="s">
        <v>40</v>
      </c>
      <c r="Y1445" s="262"/>
      <c r="Z1445" s="263" t="s">
        <v>40</v>
      </c>
      <c r="AA1445" s="262"/>
      <c r="AB1445" s="263" t="s">
        <v>40</v>
      </c>
      <c r="AC1445" s="262"/>
      <c r="AD1445" s="262"/>
      <c r="AE1445" s="262">
        <v>46203</v>
      </c>
      <c r="AF1445" s="263" t="s">
        <v>65</v>
      </c>
      <c r="AG1445" s="270">
        <v>2026</v>
      </c>
      <c r="AH1445" s="296">
        <f t="shared" si="49"/>
        <v>0</v>
      </c>
      <c r="AI1445" s="296"/>
      <c r="AJ1445" s="296"/>
      <c r="AK1445" s="260" t="s">
        <v>43</v>
      </c>
      <c r="AL1445" s="259" t="s">
        <v>41</v>
      </c>
      <c r="AM1445" s="266">
        <v>0</v>
      </c>
      <c r="AN1445" s="67"/>
      <c r="AO1445" s="259"/>
      <c r="AP1445" s="277"/>
      <c r="AQ1445" s="165"/>
      <c r="AR1445" s="165"/>
      <c r="AS1445" s="165"/>
      <c r="AT1445" s="165"/>
      <c r="AU1445" s="165"/>
      <c r="AV1445" s="165"/>
      <c r="AW1445" s="165"/>
      <c r="AX1445" s="165"/>
      <c r="AY1445" s="165"/>
      <c r="AZ1445" s="165"/>
      <c r="BA1445" s="165"/>
      <c r="BB1445" s="165"/>
      <c r="BC1445" s="165"/>
      <c r="BD1445" s="165"/>
      <c r="BE1445" s="165"/>
      <c r="BF1445" s="165"/>
      <c r="BG1445" s="165"/>
      <c r="BH1445" s="165"/>
      <c r="BI1445" s="165"/>
      <c r="BJ1445" s="165"/>
      <c r="BK1445" s="165"/>
      <c r="BL1445" s="165"/>
      <c r="BM1445" s="165"/>
      <c r="BN1445" s="165"/>
      <c r="BO1445" s="165"/>
      <c r="BP1445" s="165"/>
      <c r="BQ1445" s="165"/>
      <c r="BR1445" s="165"/>
      <c r="BS1445" s="165"/>
      <c r="BT1445" s="165"/>
      <c r="BU1445" s="165"/>
      <c r="BV1445" s="165"/>
      <c r="BW1445" s="165"/>
      <c r="BX1445" s="165"/>
      <c r="BY1445" s="165"/>
      <c r="BZ1445" s="165"/>
      <c r="CA1445" s="315"/>
    </row>
    <row r="1446" spans="1:79" s="143" customFormat="1" ht="41.4" customHeight="1" x14ac:dyDescent="0.3">
      <c r="A1446" s="259" t="s">
        <v>1641</v>
      </c>
      <c r="B1446" s="243" t="s">
        <v>3222</v>
      </c>
      <c r="C1446" s="244" t="s">
        <v>3370</v>
      </c>
      <c r="D1446" s="259" t="s">
        <v>34</v>
      </c>
      <c r="E1446" s="259" t="s">
        <v>3224</v>
      </c>
      <c r="F1446" s="260" t="s">
        <v>35</v>
      </c>
      <c r="G1446" s="259">
        <v>198</v>
      </c>
      <c r="H1446" s="70">
        <v>2772000</v>
      </c>
      <c r="I1446" s="261" t="s">
        <v>36</v>
      </c>
      <c r="J1446" s="70">
        <v>2772000</v>
      </c>
      <c r="K1446" s="1696">
        <v>0</v>
      </c>
      <c r="L1446" s="1696">
        <v>0</v>
      </c>
      <c r="M1446" s="263" t="s">
        <v>62</v>
      </c>
      <c r="N1446" s="263" t="s">
        <v>3371</v>
      </c>
      <c r="O1446" s="355" t="s">
        <v>3372</v>
      </c>
      <c r="P1446" s="263" t="s">
        <v>40</v>
      </c>
      <c r="Q1446" s="262"/>
      <c r="R1446" s="263" t="s">
        <v>40</v>
      </c>
      <c r="S1446" s="262"/>
      <c r="T1446" s="263" t="s">
        <v>40</v>
      </c>
      <c r="U1446" s="262"/>
      <c r="V1446" s="263" t="s">
        <v>40</v>
      </c>
      <c r="W1446" s="262"/>
      <c r="X1446" s="263" t="s">
        <v>40</v>
      </c>
      <c r="Y1446" s="262"/>
      <c r="Z1446" s="263" t="s">
        <v>40</v>
      </c>
      <c r="AA1446" s="262"/>
      <c r="AB1446" s="263" t="s">
        <v>40</v>
      </c>
      <c r="AC1446" s="262"/>
      <c r="AD1446" s="262"/>
      <c r="AE1446" s="262">
        <v>46203</v>
      </c>
      <c r="AF1446" s="263" t="s">
        <v>65</v>
      </c>
      <c r="AG1446" s="270">
        <v>2026</v>
      </c>
      <c r="AH1446" s="296">
        <f t="shared" si="49"/>
        <v>0</v>
      </c>
      <c r="AI1446" s="296"/>
      <c r="AJ1446" s="296"/>
      <c r="AK1446" s="260" t="s">
        <v>43</v>
      </c>
      <c r="AL1446" s="259" t="s">
        <v>41</v>
      </c>
      <c r="AM1446" s="266">
        <v>0</v>
      </c>
      <c r="AN1446" s="67"/>
      <c r="AO1446" s="259"/>
      <c r="AP1446" s="277"/>
      <c r="AQ1446" s="165"/>
      <c r="AR1446" s="165"/>
      <c r="AS1446" s="165"/>
      <c r="AT1446" s="165"/>
      <c r="AU1446" s="165"/>
      <c r="AV1446" s="165"/>
      <c r="AW1446" s="165"/>
      <c r="AX1446" s="165"/>
      <c r="AY1446" s="165"/>
      <c r="AZ1446" s="165"/>
      <c r="BA1446" s="165"/>
      <c r="BB1446" s="165"/>
      <c r="BC1446" s="165"/>
      <c r="BD1446" s="165"/>
      <c r="BE1446" s="165"/>
      <c r="BF1446" s="165"/>
      <c r="BG1446" s="165"/>
      <c r="BH1446" s="165"/>
      <c r="BI1446" s="165"/>
      <c r="BJ1446" s="165"/>
      <c r="BK1446" s="165"/>
      <c r="BL1446" s="165"/>
      <c r="BM1446" s="165"/>
      <c r="BN1446" s="165"/>
      <c r="BO1446" s="165"/>
      <c r="BP1446" s="165"/>
      <c r="BQ1446" s="165"/>
      <c r="BR1446" s="165"/>
      <c r="BS1446" s="165"/>
      <c r="BT1446" s="165"/>
      <c r="BU1446" s="165"/>
      <c r="BV1446" s="165"/>
      <c r="BW1446" s="165"/>
      <c r="BX1446" s="165"/>
      <c r="BY1446" s="165"/>
      <c r="BZ1446" s="165"/>
      <c r="CA1446" s="315"/>
    </row>
    <row r="1447" spans="1:79" s="143" customFormat="1" ht="41.4" customHeight="1" x14ac:dyDescent="0.3">
      <c r="A1447" s="259" t="s">
        <v>1641</v>
      </c>
      <c r="B1447" s="243" t="s">
        <v>3222</v>
      </c>
      <c r="C1447" s="244" t="s">
        <v>3373</v>
      </c>
      <c r="D1447" s="259" t="s">
        <v>34</v>
      </c>
      <c r="E1447" s="259" t="s">
        <v>3224</v>
      </c>
      <c r="F1447" s="260" t="s">
        <v>35</v>
      </c>
      <c r="G1447" s="259">
        <v>34</v>
      </c>
      <c r="H1447" s="70">
        <v>476000</v>
      </c>
      <c r="I1447" s="261" t="s">
        <v>36</v>
      </c>
      <c r="J1447" s="70">
        <v>476000</v>
      </c>
      <c r="K1447" s="1696">
        <v>0</v>
      </c>
      <c r="L1447" s="1696">
        <v>0</v>
      </c>
      <c r="M1447" s="263" t="s">
        <v>1208</v>
      </c>
      <c r="N1447" s="263" t="s">
        <v>2108</v>
      </c>
      <c r="O1447" s="355" t="s">
        <v>3374</v>
      </c>
      <c r="P1447" s="263" t="s">
        <v>40</v>
      </c>
      <c r="Q1447" s="262"/>
      <c r="R1447" s="263" t="s">
        <v>40</v>
      </c>
      <c r="S1447" s="262"/>
      <c r="T1447" s="263" t="s">
        <v>40</v>
      </c>
      <c r="U1447" s="262"/>
      <c r="V1447" s="263" t="s">
        <v>40</v>
      </c>
      <c r="W1447" s="262"/>
      <c r="X1447" s="263" t="s">
        <v>40</v>
      </c>
      <c r="Y1447" s="262"/>
      <c r="Z1447" s="263" t="s">
        <v>40</v>
      </c>
      <c r="AA1447" s="262"/>
      <c r="AB1447" s="263" t="s">
        <v>40</v>
      </c>
      <c r="AC1447" s="262"/>
      <c r="AD1447" s="262"/>
      <c r="AE1447" s="262">
        <v>46203</v>
      </c>
      <c r="AF1447" s="263" t="s">
        <v>65</v>
      </c>
      <c r="AG1447" s="270">
        <v>2026</v>
      </c>
      <c r="AH1447" s="296">
        <f t="shared" ref="AH1447:AH1510" si="50">K1447*4.9195</f>
        <v>0</v>
      </c>
      <c r="AI1447" s="296"/>
      <c r="AJ1447" s="296"/>
      <c r="AK1447" s="260" t="s">
        <v>43</v>
      </c>
      <c r="AL1447" s="259" t="s">
        <v>41</v>
      </c>
      <c r="AM1447" s="266">
        <v>0</v>
      </c>
      <c r="AN1447" s="67"/>
      <c r="AO1447" s="259"/>
      <c r="AP1447" s="277"/>
      <c r="AQ1447" s="165"/>
      <c r="AR1447" s="165"/>
      <c r="AS1447" s="165"/>
      <c r="AT1447" s="165"/>
      <c r="AU1447" s="165"/>
      <c r="AV1447" s="165"/>
      <c r="AW1447" s="165"/>
      <c r="AX1447" s="165"/>
      <c r="AY1447" s="165"/>
      <c r="AZ1447" s="165"/>
      <c r="BA1447" s="165"/>
      <c r="BB1447" s="165"/>
      <c r="BC1447" s="165"/>
      <c r="BD1447" s="165"/>
      <c r="BE1447" s="165"/>
      <c r="BF1447" s="165"/>
      <c r="BG1447" s="165"/>
      <c r="BH1447" s="165"/>
      <c r="BI1447" s="165"/>
      <c r="BJ1447" s="165"/>
      <c r="BK1447" s="165"/>
      <c r="BL1447" s="165"/>
      <c r="BM1447" s="165"/>
      <c r="BN1447" s="165"/>
      <c r="BO1447" s="165"/>
      <c r="BP1447" s="165"/>
      <c r="BQ1447" s="165"/>
      <c r="BR1447" s="165"/>
      <c r="BS1447" s="165"/>
      <c r="BT1447" s="165"/>
      <c r="BU1447" s="165"/>
      <c r="BV1447" s="165"/>
      <c r="BW1447" s="165"/>
      <c r="BX1447" s="165"/>
      <c r="BY1447" s="165"/>
      <c r="BZ1447" s="165"/>
      <c r="CA1447" s="315"/>
    </row>
    <row r="1448" spans="1:79" s="143" customFormat="1" ht="41.4" customHeight="1" x14ac:dyDescent="0.3">
      <c r="A1448" s="259" t="s">
        <v>1641</v>
      </c>
      <c r="B1448" s="243" t="s">
        <v>3222</v>
      </c>
      <c r="C1448" s="244" t="s">
        <v>3375</v>
      </c>
      <c r="D1448" s="259" t="s">
        <v>34</v>
      </c>
      <c r="E1448" s="259" t="s">
        <v>3224</v>
      </c>
      <c r="F1448" s="260" t="s">
        <v>35</v>
      </c>
      <c r="G1448" s="259">
        <v>50</v>
      </c>
      <c r="H1448" s="70">
        <v>700000</v>
      </c>
      <c r="I1448" s="261" t="s">
        <v>36</v>
      </c>
      <c r="J1448" s="70">
        <v>700000</v>
      </c>
      <c r="K1448" s="1696">
        <f>1235.9</f>
        <v>1235.9000000000001</v>
      </c>
      <c r="L1448" s="1696">
        <f>K1448</f>
        <v>1235.9000000000001</v>
      </c>
      <c r="M1448" s="263" t="s">
        <v>1208</v>
      </c>
      <c r="N1448" s="263" t="s">
        <v>2314</v>
      </c>
      <c r="O1448" s="355" t="s">
        <v>3376</v>
      </c>
      <c r="P1448" s="263" t="s">
        <v>40</v>
      </c>
      <c r="Q1448" s="262"/>
      <c r="R1448" s="263" t="s">
        <v>40</v>
      </c>
      <c r="S1448" s="262"/>
      <c r="T1448" s="263" t="s">
        <v>40</v>
      </c>
      <c r="U1448" s="262"/>
      <c r="V1448" s="263" t="s">
        <v>40</v>
      </c>
      <c r="W1448" s="262"/>
      <c r="X1448" s="263" t="s">
        <v>40</v>
      </c>
      <c r="Y1448" s="262"/>
      <c r="Z1448" s="263" t="s">
        <v>40</v>
      </c>
      <c r="AA1448" s="262"/>
      <c r="AB1448" s="263" t="s">
        <v>40</v>
      </c>
      <c r="AC1448" s="262"/>
      <c r="AD1448" s="262"/>
      <c r="AE1448" s="262">
        <v>46203</v>
      </c>
      <c r="AF1448" s="263" t="s">
        <v>65</v>
      </c>
      <c r="AG1448" s="270">
        <v>2026</v>
      </c>
      <c r="AH1448" s="296">
        <f t="shared" si="50"/>
        <v>6080.0100500000008</v>
      </c>
      <c r="AI1448" s="296"/>
      <c r="AJ1448" s="296"/>
      <c r="AK1448" s="260" t="s">
        <v>43</v>
      </c>
      <c r="AL1448" s="259" t="s">
        <v>41</v>
      </c>
      <c r="AM1448" s="266">
        <v>0</v>
      </c>
      <c r="AN1448" s="67"/>
      <c r="AO1448" s="259"/>
      <c r="AP1448" s="277"/>
      <c r="AQ1448" s="165"/>
      <c r="AR1448" s="165"/>
      <c r="AS1448" s="165"/>
      <c r="AT1448" s="165"/>
      <c r="AU1448" s="165"/>
      <c r="AV1448" s="165"/>
      <c r="AW1448" s="165"/>
      <c r="AX1448" s="165"/>
      <c r="AY1448" s="165"/>
      <c r="AZ1448" s="165"/>
      <c r="BA1448" s="165"/>
      <c r="BB1448" s="165"/>
      <c r="BC1448" s="165"/>
      <c r="BD1448" s="165"/>
      <c r="BE1448" s="165"/>
      <c r="BF1448" s="165"/>
      <c r="BG1448" s="165"/>
      <c r="BH1448" s="165"/>
      <c r="BI1448" s="165"/>
      <c r="BJ1448" s="165"/>
      <c r="BK1448" s="165"/>
      <c r="BL1448" s="165"/>
      <c r="BM1448" s="165"/>
      <c r="BN1448" s="165"/>
      <c r="BO1448" s="165"/>
      <c r="BP1448" s="165"/>
      <c r="BQ1448" s="165"/>
      <c r="BR1448" s="165"/>
      <c r="BS1448" s="165"/>
      <c r="BT1448" s="165"/>
      <c r="BU1448" s="165"/>
      <c r="BV1448" s="165"/>
      <c r="BW1448" s="165"/>
      <c r="BX1448" s="165"/>
      <c r="BY1448" s="165"/>
      <c r="BZ1448" s="165"/>
      <c r="CA1448" s="315"/>
    </row>
    <row r="1449" spans="1:79" s="143" customFormat="1" ht="41.4" customHeight="1" x14ac:dyDescent="0.3">
      <c r="A1449" s="259" t="s">
        <v>1641</v>
      </c>
      <c r="B1449" s="243" t="s">
        <v>3222</v>
      </c>
      <c r="C1449" s="244" t="s">
        <v>3377</v>
      </c>
      <c r="D1449" s="259" t="s">
        <v>34</v>
      </c>
      <c r="E1449" s="259" t="s">
        <v>3224</v>
      </c>
      <c r="F1449" s="260" t="s">
        <v>35</v>
      </c>
      <c r="G1449" s="259">
        <v>100</v>
      </c>
      <c r="H1449" s="70">
        <v>1400000</v>
      </c>
      <c r="I1449" s="261" t="s">
        <v>36</v>
      </c>
      <c r="J1449" s="70">
        <v>1400000</v>
      </c>
      <c r="K1449" s="1696">
        <v>0</v>
      </c>
      <c r="L1449" s="1696">
        <v>0</v>
      </c>
      <c r="M1449" s="263" t="s">
        <v>50</v>
      </c>
      <c r="N1449" s="263" t="s">
        <v>3378</v>
      </c>
      <c r="O1449" s="355" t="s">
        <v>1872</v>
      </c>
      <c r="P1449" s="263" t="s">
        <v>40</v>
      </c>
      <c r="Q1449" s="262"/>
      <c r="R1449" s="263" t="s">
        <v>40</v>
      </c>
      <c r="S1449" s="262"/>
      <c r="T1449" s="263" t="s">
        <v>40</v>
      </c>
      <c r="U1449" s="262"/>
      <c r="V1449" s="263" t="s">
        <v>40</v>
      </c>
      <c r="W1449" s="262"/>
      <c r="X1449" s="263" t="s">
        <v>40</v>
      </c>
      <c r="Y1449" s="262"/>
      <c r="Z1449" s="263" t="s">
        <v>40</v>
      </c>
      <c r="AA1449" s="262"/>
      <c r="AB1449" s="263" t="s">
        <v>40</v>
      </c>
      <c r="AC1449" s="262"/>
      <c r="AD1449" s="262"/>
      <c r="AE1449" s="262">
        <v>46203</v>
      </c>
      <c r="AF1449" s="263" t="s">
        <v>65</v>
      </c>
      <c r="AG1449" s="270">
        <v>2026</v>
      </c>
      <c r="AH1449" s="296">
        <f t="shared" si="50"/>
        <v>0</v>
      </c>
      <c r="AI1449" s="296"/>
      <c r="AJ1449" s="296"/>
      <c r="AK1449" s="260" t="s">
        <v>43</v>
      </c>
      <c r="AL1449" s="259" t="s">
        <v>41</v>
      </c>
      <c r="AM1449" s="266">
        <v>0</v>
      </c>
      <c r="AN1449" s="67"/>
      <c r="AO1449" s="259"/>
      <c r="AP1449" s="277"/>
      <c r="AQ1449" s="165"/>
      <c r="AR1449" s="165"/>
      <c r="AS1449" s="165"/>
      <c r="AT1449" s="165"/>
      <c r="AU1449" s="165"/>
      <c r="AV1449" s="165"/>
      <c r="AW1449" s="165"/>
      <c r="AX1449" s="165"/>
      <c r="AY1449" s="165"/>
      <c r="AZ1449" s="165"/>
      <c r="BA1449" s="165"/>
      <c r="BB1449" s="165"/>
      <c r="BC1449" s="165"/>
      <c r="BD1449" s="165"/>
      <c r="BE1449" s="165"/>
      <c r="BF1449" s="165"/>
      <c r="BG1449" s="165"/>
      <c r="BH1449" s="165"/>
      <c r="BI1449" s="165"/>
      <c r="BJ1449" s="165"/>
      <c r="BK1449" s="165"/>
      <c r="BL1449" s="165"/>
      <c r="BM1449" s="165"/>
      <c r="BN1449" s="165"/>
      <c r="BO1449" s="165"/>
      <c r="BP1449" s="165"/>
      <c r="BQ1449" s="165"/>
      <c r="BR1449" s="165"/>
      <c r="BS1449" s="165"/>
      <c r="BT1449" s="165"/>
      <c r="BU1449" s="165"/>
      <c r="BV1449" s="165"/>
      <c r="BW1449" s="165"/>
      <c r="BX1449" s="165"/>
      <c r="BY1449" s="165"/>
      <c r="BZ1449" s="165"/>
      <c r="CA1449" s="315"/>
    </row>
    <row r="1450" spans="1:79" s="143" customFormat="1" ht="41.4" customHeight="1" x14ac:dyDescent="0.3">
      <c r="A1450" s="259" t="s">
        <v>1641</v>
      </c>
      <c r="B1450" s="243" t="s">
        <v>3222</v>
      </c>
      <c r="C1450" s="244" t="s">
        <v>3379</v>
      </c>
      <c r="D1450" s="259" t="s">
        <v>34</v>
      </c>
      <c r="E1450" s="259" t="s">
        <v>3224</v>
      </c>
      <c r="F1450" s="260" t="s">
        <v>35</v>
      </c>
      <c r="G1450" s="259">
        <v>25</v>
      </c>
      <c r="H1450" s="70">
        <v>350000</v>
      </c>
      <c r="I1450" s="261" t="s">
        <v>36</v>
      </c>
      <c r="J1450" s="70">
        <v>350000</v>
      </c>
      <c r="K1450" s="1696">
        <v>0</v>
      </c>
      <c r="L1450" s="1696">
        <v>0</v>
      </c>
      <c r="M1450" s="263" t="s">
        <v>67</v>
      </c>
      <c r="N1450" s="263" t="s">
        <v>2242</v>
      </c>
      <c r="O1450" s="355" t="s">
        <v>3380</v>
      </c>
      <c r="P1450" s="263" t="s">
        <v>40</v>
      </c>
      <c r="Q1450" s="262"/>
      <c r="R1450" s="263" t="s">
        <v>40</v>
      </c>
      <c r="S1450" s="262"/>
      <c r="T1450" s="263" t="s">
        <v>40</v>
      </c>
      <c r="U1450" s="262"/>
      <c r="V1450" s="263" t="s">
        <v>40</v>
      </c>
      <c r="W1450" s="262"/>
      <c r="X1450" s="263" t="s">
        <v>40</v>
      </c>
      <c r="Y1450" s="262"/>
      <c r="Z1450" s="263" t="s">
        <v>40</v>
      </c>
      <c r="AA1450" s="262"/>
      <c r="AB1450" s="263" t="s">
        <v>40</v>
      </c>
      <c r="AC1450" s="262"/>
      <c r="AD1450" s="262"/>
      <c r="AE1450" s="262">
        <v>46203</v>
      </c>
      <c r="AF1450" s="263" t="s">
        <v>65</v>
      </c>
      <c r="AG1450" s="270">
        <v>2026</v>
      </c>
      <c r="AH1450" s="296">
        <f t="shared" si="50"/>
        <v>0</v>
      </c>
      <c r="AI1450" s="296"/>
      <c r="AJ1450" s="296"/>
      <c r="AK1450" s="260" t="s">
        <v>43</v>
      </c>
      <c r="AL1450" s="259" t="s">
        <v>41</v>
      </c>
      <c r="AM1450" s="266">
        <v>0</v>
      </c>
      <c r="AN1450" s="67"/>
      <c r="AO1450" s="259"/>
      <c r="AP1450" s="277"/>
      <c r="AQ1450" s="165"/>
      <c r="AR1450" s="165"/>
      <c r="AS1450" s="165"/>
      <c r="AT1450" s="165"/>
      <c r="AU1450" s="165"/>
      <c r="AV1450" s="165"/>
      <c r="AW1450" s="165"/>
      <c r="AX1450" s="165"/>
      <c r="AY1450" s="165"/>
      <c r="AZ1450" s="165"/>
      <c r="BA1450" s="165"/>
      <c r="BB1450" s="165"/>
      <c r="BC1450" s="165"/>
      <c r="BD1450" s="165"/>
      <c r="BE1450" s="165"/>
      <c r="BF1450" s="165"/>
      <c r="BG1450" s="165"/>
      <c r="BH1450" s="165"/>
      <c r="BI1450" s="165"/>
      <c r="BJ1450" s="165"/>
      <c r="BK1450" s="165"/>
      <c r="BL1450" s="165"/>
      <c r="BM1450" s="165"/>
      <c r="BN1450" s="165"/>
      <c r="BO1450" s="165"/>
      <c r="BP1450" s="165"/>
      <c r="BQ1450" s="165"/>
      <c r="BR1450" s="165"/>
      <c r="BS1450" s="165"/>
      <c r="BT1450" s="165"/>
      <c r="BU1450" s="165"/>
      <c r="BV1450" s="165"/>
      <c r="BW1450" s="165"/>
      <c r="BX1450" s="165"/>
      <c r="BY1450" s="165"/>
      <c r="BZ1450" s="165"/>
      <c r="CA1450" s="315"/>
    </row>
    <row r="1451" spans="1:79" s="143" customFormat="1" ht="41.4" customHeight="1" x14ac:dyDescent="0.3">
      <c r="A1451" s="259" t="s">
        <v>1641</v>
      </c>
      <c r="B1451" s="243" t="s">
        <v>3222</v>
      </c>
      <c r="C1451" s="244" t="s">
        <v>3381</v>
      </c>
      <c r="D1451" s="259" t="s">
        <v>34</v>
      </c>
      <c r="E1451" s="259" t="s">
        <v>3224</v>
      </c>
      <c r="F1451" s="260" t="s">
        <v>35</v>
      </c>
      <c r="G1451" s="259">
        <v>14</v>
      </c>
      <c r="H1451" s="70">
        <v>266000</v>
      </c>
      <c r="I1451" s="261" t="s">
        <v>36</v>
      </c>
      <c r="J1451" s="70">
        <v>266000</v>
      </c>
      <c r="K1451" s="1696">
        <v>0</v>
      </c>
      <c r="L1451" s="1696">
        <v>0</v>
      </c>
      <c r="M1451" s="263" t="s">
        <v>71</v>
      </c>
      <c r="N1451" s="263" t="s">
        <v>1652</v>
      </c>
      <c r="O1451" s="355" t="s">
        <v>1653</v>
      </c>
      <c r="P1451" s="263" t="s">
        <v>40</v>
      </c>
      <c r="Q1451" s="262"/>
      <c r="R1451" s="263" t="s">
        <v>40</v>
      </c>
      <c r="S1451" s="262"/>
      <c r="T1451" s="263" t="s">
        <v>40</v>
      </c>
      <c r="U1451" s="262"/>
      <c r="V1451" s="263" t="s">
        <v>40</v>
      </c>
      <c r="W1451" s="262"/>
      <c r="X1451" s="263" t="s">
        <v>40</v>
      </c>
      <c r="Y1451" s="262"/>
      <c r="Z1451" s="263" t="s">
        <v>40</v>
      </c>
      <c r="AA1451" s="262"/>
      <c r="AB1451" s="263" t="s">
        <v>40</v>
      </c>
      <c r="AC1451" s="262"/>
      <c r="AD1451" s="262"/>
      <c r="AE1451" s="262">
        <v>46203</v>
      </c>
      <c r="AF1451" s="263" t="s">
        <v>65</v>
      </c>
      <c r="AG1451" s="270">
        <v>2026</v>
      </c>
      <c r="AH1451" s="296">
        <f t="shared" si="50"/>
        <v>0</v>
      </c>
      <c r="AI1451" s="296"/>
      <c r="AJ1451" s="296"/>
      <c r="AK1451" s="260" t="s">
        <v>43</v>
      </c>
      <c r="AL1451" s="259" t="s">
        <v>41</v>
      </c>
      <c r="AM1451" s="266">
        <v>0</v>
      </c>
      <c r="AN1451" s="67"/>
      <c r="AO1451" s="259"/>
      <c r="AP1451" s="277"/>
      <c r="AQ1451" s="165"/>
      <c r="AR1451" s="165"/>
      <c r="AS1451" s="165"/>
      <c r="AT1451" s="165"/>
      <c r="AU1451" s="165"/>
      <c r="AV1451" s="165"/>
      <c r="AW1451" s="165"/>
      <c r="AX1451" s="165"/>
      <c r="AY1451" s="165"/>
      <c r="AZ1451" s="165"/>
      <c r="BA1451" s="165"/>
      <c r="BB1451" s="165"/>
      <c r="BC1451" s="165"/>
      <c r="BD1451" s="165"/>
      <c r="BE1451" s="165"/>
      <c r="BF1451" s="165"/>
      <c r="BG1451" s="165"/>
      <c r="BH1451" s="165"/>
      <c r="BI1451" s="165"/>
      <c r="BJ1451" s="165"/>
      <c r="BK1451" s="165"/>
      <c r="BL1451" s="165"/>
      <c r="BM1451" s="165"/>
      <c r="BN1451" s="165"/>
      <c r="BO1451" s="165"/>
      <c r="BP1451" s="165"/>
      <c r="BQ1451" s="165"/>
      <c r="BR1451" s="165"/>
      <c r="BS1451" s="165"/>
      <c r="BT1451" s="165"/>
      <c r="BU1451" s="165"/>
      <c r="BV1451" s="165"/>
      <c r="BW1451" s="165"/>
      <c r="BX1451" s="165"/>
      <c r="BY1451" s="165"/>
      <c r="BZ1451" s="165"/>
      <c r="CA1451" s="315"/>
    </row>
    <row r="1452" spans="1:79" s="143" customFormat="1" ht="41.4" customHeight="1" x14ac:dyDescent="0.3">
      <c r="A1452" s="259" t="s">
        <v>1641</v>
      </c>
      <c r="B1452" s="243" t="s">
        <v>3222</v>
      </c>
      <c r="C1452" s="244" t="s">
        <v>3382</v>
      </c>
      <c r="D1452" s="259" t="s">
        <v>34</v>
      </c>
      <c r="E1452" s="259" t="s">
        <v>3224</v>
      </c>
      <c r="F1452" s="260" t="s">
        <v>35</v>
      </c>
      <c r="G1452" s="259">
        <v>6</v>
      </c>
      <c r="H1452" s="70">
        <v>84000</v>
      </c>
      <c r="I1452" s="261" t="s">
        <v>36</v>
      </c>
      <c r="J1452" s="70">
        <v>84000</v>
      </c>
      <c r="K1452" s="1696">
        <v>0</v>
      </c>
      <c r="L1452" s="1696">
        <v>0</v>
      </c>
      <c r="M1452" s="263" t="s">
        <v>412</v>
      </c>
      <c r="N1452" s="263" t="s">
        <v>3383</v>
      </c>
      <c r="O1452" s="355" t="s">
        <v>3384</v>
      </c>
      <c r="P1452" s="263" t="s">
        <v>40</v>
      </c>
      <c r="Q1452" s="262"/>
      <c r="R1452" s="263" t="s">
        <v>40</v>
      </c>
      <c r="S1452" s="262"/>
      <c r="T1452" s="263" t="s">
        <v>40</v>
      </c>
      <c r="U1452" s="262"/>
      <c r="V1452" s="263" t="s">
        <v>40</v>
      </c>
      <c r="W1452" s="262"/>
      <c r="X1452" s="263" t="s">
        <v>40</v>
      </c>
      <c r="Y1452" s="262"/>
      <c r="Z1452" s="263" t="s">
        <v>40</v>
      </c>
      <c r="AA1452" s="262"/>
      <c r="AB1452" s="263" t="s">
        <v>40</v>
      </c>
      <c r="AC1452" s="262"/>
      <c r="AD1452" s="262"/>
      <c r="AE1452" s="262">
        <v>46203</v>
      </c>
      <c r="AF1452" s="263" t="s">
        <v>65</v>
      </c>
      <c r="AG1452" s="270">
        <v>2026</v>
      </c>
      <c r="AH1452" s="296">
        <f t="shared" si="50"/>
        <v>0</v>
      </c>
      <c r="AI1452" s="296"/>
      <c r="AJ1452" s="296"/>
      <c r="AK1452" s="260" t="s">
        <v>43</v>
      </c>
      <c r="AL1452" s="259" t="s">
        <v>41</v>
      </c>
      <c r="AM1452" s="266">
        <v>0</v>
      </c>
      <c r="AN1452" s="67"/>
      <c r="AO1452" s="259"/>
      <c r="AP1452" s="277"/>
      <c r="AQ1452" s="165"/>
      <c r="AR1452" s="165"/>
      <c r="AS1452" s="165"/>
      <c r="AT1452" s="165"/>
      <c r="AU1452" s="165"/>
      <c r="AV1452" s="165"/>
      <c r="AW1452" s="165"/>
      <c r="AX1452" s="165"/>
      <c r="AY1452" s="165"/>
      <c r="AZ1452" s="165"/>
      <c r="BA1452" s="165"/>
      <c r="BB1452" s="165"/>
      <c r="BC1452" s="165"/>
      <c r="BD1452" s="165"/>
      <c r="BE1452" s="165"/>
      <c r="BF1452" s="165"/>
      <c r="BG1452" s="165"/>
      <c r="BH1452" s="165"/>
      <c r="BI1452" s="165"/>
      <c r="BJ1452" s="165"/>
      <c r="BK1452" s="165"/>
      <c r="BL1452" s="165"/>
      <c r="BM1452" s="165"/>
      <c r="BN1452" s="165"/>
      <c r="BO1452" s="165"/>
      <c r="BP1452" s="165"/>
      <c r="BQ1452" s="165"/>
      <c r="BR1452" s="165"/>
      <c r="BS1452" s="165"/>
      <c r="BT1452" s="165"/>
      <c r="BU1452" s="165"/>
      <c r="BV1452" s="165"/>
      <c r="BW1452" s="165"/>
      <c r="BX1452" s="165"/>
      <c r="BY1452" s="165"/>
      <c r="BZ1452" s="165"/>
      <c r="CA1452" s="315"/>
    </row>
    <row r="1453" spans="1:79" s="143" customFormat="1" ht="41.4" customHeight="1" x14ac:dyDescent="0.3">
      <c r="A1453" s="259" t="s">
        <v>1641</v>
      </c>
      <c r="B1453" s="243" t="s">
        <v>3222</v>
      </c>
      <c r="C1453" s="244" t="s">
        <v>3385</v>
      </c>
      <c r="D1453" s="259" t="s">
        <v>34</v>
      </c>
      <c r="E1453" s="259" t="s">
        <v>3224</v>
      </c>
      <c r="F1453" s="260" t="s">
        <v>35</v>
      </c>
      <c r="G1453" s="259">
        <v>15</v>
      </c>
      <c r="H1453" s="70">
        <v>347000</v>
      </c>
      <c r="I1453" s="261" t="s">
        <v>36</v>
      </c>
      <c r="J1453" s="70">
        <v>347000</v>
      </c>
      <c r="K1453" s="1696">
        <v>0</v>
      </c>
      <c r="L1453" s="1696">
        <v>0</v>
      </c>
      <c r="M1453" s="356" t="s">
        <v>57</v>
      </c>
      <c r="N1453" s="356" t="s">
        <v>3386</v>
      </c>
      <c r="O1453" s="355" t="s">
        <v>3387</v>
      </c>
      <c r="P1453" s="263" t="s">
        <v>41</v>
      </c>
      <c r="Q1453" s="262">
        <v>45083</v>
      </c>
      <c r="R1453" s="263" t="s">
        <v>3281</v>
      </c>
      <c r="S1453" s="262">
        <v>45083</v>
      </c>
      <c r="T1453" s="263" t="s">
        <v>40</v>
      </c>
      <c r="U1453" s="262"/>
      <c r="V1453" s="263" t="s">
        <v>40</v>
      </c>
      <c r="W1453" s="262"/>
      <c r="X1453" s="263" t="s">
        <v>40</v>
      </c>
      <c r="Y1453" s="262"/>
      <c r="Z1453" s="263" t="s">
        <v>40</v>
      </c>
      <c r="AA1453" s="262"/>
      <c r="AB1453" s="263" t="s">
        <v>40</v>
      </c>
      <c r="AC1453" s="262"/>
      <c r="AD1453" s="262"/>
      <c r="AE1453" s="262">
        <v>46203</v>
      </c>
      <c r="AF1453" s="263" t="s">
        <v>65</v>
      </c>
      <c r="AG1453" s="270">
        <v>2026</v>
      </c>
      <c r="AH1453" s="296">
        <f t="shared" si="50"/>
        <v>0</v>
      </c>
      <c r="AI1453" s="296"/>
      <c r="AJ1453" s="296"/>
      <c r="AK1453" s="260" t="s">
        <v>43</v>
      </c>
      <c r="AL1453" s="259" t="s">
        <v>41</v>
      </c>
      <c r="AM1453" s="266">
        <v>0</v>
      </c>
      <c r="AN1453" s="67"/>
      <c r="AO1453" s="259"/>
      <c r="AP1453" s="277"/>
      <c r="AQ1453" s="165"/>
      <c r="AR1453" s="165"/>
      <c r="AS1453" s="165"/>
      <c r="AT1453" s="165"/>
      <c r="AU1453" s="165"/>
      <c r="AV1453" s="165"/>
      <c r="AW1453" s="165"/>
      <c r="AX1453" s="165"/>
      <c r="AY1453" s="165"/>
      <c r="AZ1453" s="165"/>
      <c r="BA1453" s="165"/>
      <c r="BB1453" s="165"/>
      <c r="BC1453" s="165"/>
      <c r="BD1453" s="165"/>
      <c r="BE1453" s="165"/>
      <c r="BF1453" s="165"/>
      <c r="BG1453" s="165"/>
      <c r="BH1453" s="165"/>
      <c r="BI1453" s="165"/>
      <c r="BJ1453" s="165"/>
      <c r="BK1453" s="165"/>
      <c r="BL1453" s="165"/>
      <c r="BM1453" s="165"/>
      <c r="BN1453" s="165"/>
      <c r="BO1453" s="165"/>
      <c r="BP1453" s="165"/>
      <c r="BQ1453" s="165"/>
      <c r="BR1453" s="165"/>
      <c r="BS1453" s="165"/>
      <c r="BT1453" s="165"/>
      <c r="BU1453" s="165"/>
      <c r="BV1453" s="165"/>
      <c r="BW1453" s="165"/>
      <c r="BX1453" s="165"/>
      <c r="BY1453" s="165"/>
      <c r="BZ1453" s="165"/>
      <c r="CA1453" s="315"/>
    </row>
    <row r="1454" spans="1:79" s="143" customFormat="1" ht="41.4" customHeight="1" x14ac:dyDescent="0.3">
      <c r="A1454" s="259" t="s">
        <v>1641</v>
      </c>
      <c r="B1454" s="243" t="s">
        <v>3222</v>
      </c>
      <c r="C1454" s="244" t="s">
        <v>3388</v>
      </c>
      <c r="D1454" s="259" t="s">
        <v>34</v>
      </c>
      <c r="E1454" s="259" t="s">
        <v>3224</v>
      </c>
      <c r="F1454" s="260" t="s">
        <v>35</v>
      </c>
      <c r="G1454" s="259">
        <v>25</v>
      </c>
      <c r="H1454" s="70">
        <v>360000</v>
      </c>
      <c r="I1454" s="261" t="s">
        <v>36</v>
      </c>
      <c r="J1454" s="70">
        <v>360000</v>
      </c>
      <c r="K1454" s="1696">
        <v>0</v>
      </c>
      <c r="L1454" s="1696">
        <v>0</v>
      </c>
      <c r="M1454" s="356" t="s">
        <v>72</v>
      </c>
      <c r="N1454" s="356" t="s">
        <v>2302</v>
      </c>
      <c r="O1454" s="355" t="s">
        <v>3389</v>
      </c>
      <c r="P1454" s="263" t="s">
        <v>40</v>
      </c>
      <c r="Q1454" s="262"/>
      <c r="R1454" s="263" t="s">
        <v>40</v>
      </c>
      <c r="S1454" s="262"/>
      <c r="T1454" s="263" t="s">
        <v>40</v>
      </c>
      <c r="U1454" s="262"/>
      <c r="V1454" s="263" t="s">
        <v>40</v>
      </c>
      <c r="W1454" s="262"/>
      <c r="X1454" s="263" t="s">
        <v>40</v>
      </c>
      <c r="Y1454" s="262"/>
      <c r="Z1454" s="263" t="s">
        <v>40</v>
      </c>
      <c r="AA1454" s="262"/>
      <c r="AB1454" s="263" t="s">
        <v>40</v>
      </c>
      <c r="AC1454" s="262"/>
      <c r="AD1454" s="262"/>
      <c r="AE1454" s="262">
        <v>46203</v>
      </c>
      <c r="AF1454" s="263" t="s">
        <v>65</v>
      </c>
      <c r="AG1454" s="270">
        <v>2026</v>
      </c>
      <c r="AH1454" s="296">
        <f t="shared" si="50"/>
        <v>0</v>
      </c>
      <c r="AI1454" s="296"/>
      <c r="AJ1454" s="296"/>
      <c r="AK1454" s="260" t="s">
        <v>43</v>
      </c>
      <c r="AL1454" s="259" t="s">
        <v>41</v>
      </c>
      <c r="AM1454" s="266">
        <v>0</v>
      </c>
      <c r="AN1454" s="67"/>
      <c r="AO1454" s="259"/>
      <c r="AP1454" s="277"/>
      <c r="AQ1454" s="165"/>
      <c r="AR1454" s="165"/>
      <c r="AS1454" s="165"/>
      <c r="AT1454" s="165"/>
      <c r="AU1454" s="165"/>
      <c r="AV1454" s="165"/>
      <c r="AW1454" s="165"/>
      <c r="AX1454" s="165"/>
      <c r="AY1454" s="165"/>
      <c r="AZ1454" s="165"/>
      <c r="BA1454" s="165"/>
      <c r="BB1454" s="165"/>
      <c r="BC1454" s="165"/>
      <c r="BD1454" s="165"/>
      <c r="BE1454" s="165"/>
      <c r="BF1454" s="165"/>
      <c r="BG1454" s="165"/>
      <c r="BH1454" s="165"/>
      <c r="BI1454" s="165"/>
      <c r="BJ1454" s="165"/>
      <c r="BK1454" s="165"/>
      <c r="BL1454" s="165"/>
      <c r="BM1454" s="165"/>
      <c r="BN1454" s="165"/>
      <c r="BO1454" s="165"/>
      <c r="BP1454" s="165"/>
      <c r="BQ1454" s="165"/>
      <c r="BR1454" s="165"/>
      <c r="BS1454" s="165"/>
      <c r="BT1454" s="165"/>
      <c r="BU1454" s="165"/>
      <c r="BV1454" s="165"/>
      <c r="BW1454" s="165"/>
      <c r="BX1454" s="165"/>
      <c r="BY1454" s="165"/>
      <c r="BZ1454" s="165"/>
      <c r="CA1454" s="315"/>
    </row>
    <row r="1455" spans="1:79" s="143" customFormat="1" ht="41.4" customHeight="1" x14ac:dyDescent="0.3">
      <c r="A1455" s="259" t="s">
        <v>1641</v>
      </c>
      <c r="B1455" s="243" t="s">
        <v>3222</v>
      </c>
      <c r="C1455" s="244" t="s">
        <v>3390</v>
      </c>
      <c r="D1455" s="259" t="s">
        <v>34</v>
      </c>
      <c r="E1455" s="259" t="s">
        <v>3224</v>
      </c>
      <c r="F1455" s="260" t="s">
        <v>35</v>
      </c>
      <c r="G1455" s="259">
        <v>25</v>
      </c>
      <c r="H1455" s="70">
        <v>422000</v>
      </c>
      <c r="I1455" s="261" t="s">
        <v>36</v>
      </c>
      <c r="J1455" s="70">
        <v>422000</v>
      </c>
      <c r="K1455" s="1696">
        <v>0</v>
      </c>
      <c r="L1455" s="1696">
        <v>0</v>
      </c>
      <c r="M1455" s="263" t="s">
        <v>62</v>
      </c>
      <c r="N1455" s="263" t="s">
        <v>1568</v>
      </c>
      <c r="O1455" s="355" t="s">
        <v>3391</v>
      </c>
      <c r="P1455" s="263" t="s">
        <v>41</v>
      </c>
      <c r="Q1455" s="262">
        <v>45083</v>
      </c>
      <c r="R1455" s="263" t="s">
        <v>3281</v>
      </c>
      <c r="S1455" s="262">
        <v>45083</v>
      </c>
      <c r="T1455" s="263" t="s">
        <v>40</v>
      </c>
      <c r="U1455" s="262"/>
      <c r="V1455" s="263" t="s">
        <v>40</v>
      </c>
      <c r="W1455" s="262"/>
      <c r="X1455" s="263" t="s">
        <v>40</v>
      </c>
      <c r="Y1455" s="262"/>
      <c r="Z1455" s="263" t="s">
        <v>40</v>
      </c>
      <c r="AA1455" s="262"/>
      <c r="AB1455" s="263" t="s">
        <v>40</v>
      </c>
      <c r="AC1455" s="262"/>
      <c r="AD1455" s="262"/>
      <c r="AE1455" s="262">
        <v>46203</v>
      </c>
      <c r="AF1455" s="263" t="s">
        <v>65</v>
      </c>
      <c r="AG1455" s="270">
        <v>2026</v>
      </c>
      <c r="AH1455" s="296">
        <f t="shared" si="50"/>
        <v>0</v>
      </c>
      <c r="AI1455" s="296"/>
      <c r="AJ1455" s="296"/>
      <c r="AK1455" s="260" t="s">
        <v>43</v>
      </c>
      <c r="AL1455" s="259" t="s">
        <v>41</v>
      </c>
      <c r="AM1455" s="266">
        <v>0</v>
      </c>
      <c r="AN1455" s="67"/>
      <c r="AO1455" s="259"/>
      <c r="AP1455" s="277"/>
      <c r="AQ1455" s="165"/>
      <c r="AR1455" s="165"/>
      <c r="AS1455" s="165"/>
      <c r="AT1455" s="165"/>
      <c r="AU1455" s="165"/>
      <c r="AV1455" s="165"/>
      <c r="AW1455" s="165"/>
      <c r="AX1455" s="165"/>
      <c r="AY1455" s="165"/>
      <c r="AZ1455" s="165"/>
      <c r="BA1455" s="165"/>
      <c r="BB1455" s="165"/>
      <c r="BC1455" s="165"/>
      <c r="BD1455" s="165"/>
      <c r="BE1455" s="165"/>
      <c r="BF1455" s="165"/>
      <c r="BG1455" s="165"/>
      <c r="BH1455" s="165"/>
      <c r="BI1455" s="165"/>
      <c r="BJ1455" s="165"/>
      <c r="BK1455" s="165"/>
      <c r="BL1455" s="165"/>
      <c r="BM1455" s="165"/>
      <c r="BN1455" s="165"/>
      <c r="BO1455" s="165"/>
      <c r="BP1455" s="165"/>
      <c r="BQ1455" s="165"/>
      <c r="BR1455" s="165"/>
      <c r="BS1455" s="165"/>
      <c r="BT1455" s="165"/>
      <c r="BU1455" s="165"/>
      <c r="BV1455" s="165"/>
      <c r="BW1455" s="165"/>
      <c r="BX1455" s="165"/>
      <c r="BY1455" s="165"/>
      <c r="BZ1455" s="165"/>
      <c r="CA1455" s="315"/>
    </row>
    <row r="1456" spans="1:79" s="143" customFormat="1" ht="41.4" customHeight="1" x14ac:dyDescent="0.3">
      <c r="A1456" s="259" t="s">
        <v>1641</v>
      </c>
      <c r="B1456" s="243" t="s">
        <v>3222</v>
      </c>
      <c r="C1456" s="244" t="s">
        <v>3392</v>
      </c>
      <c r="D1456" s="259" t="s">
        <v>34</v>
      </c>
      <c r="E1456" s="259" t="s">
        <v>3224</v>
      </c>
      <c r="F1456" s="260" t="s">
        <v>35</v>
      </c>
      <c r="G1456" s="259">
        <v>5</v>
      </c>
      <c r="H1456" s="70">
        <v>70000</v>
      </c>
      <c r="I1456" s="261" t="s">
        <v>36</v>
      </c>
      <c r="J1456" s="70">
        <v>70000</v>
      </c>
      <c r="K1456" s="1696">
        <v>0</v>
      </c>
      <c r="L1456" s="1696">
        <v>0</v>
      </c>
      <c r="M1456" s="263" t="s">
        <v>73</v>
      </c>
      <c r="N1456" s="263" t="s">
        <v>3393</v>
      </c>
      <c r="O1456" s="355" t="s">
        <v>3394</v>
      </c>
      <c r="P1456" s="263" t="s">
        <v>40</v>
      </c>
      <c r="Q1456" s="262"/>
      <c r="R1456" s="263" t="s">
        <v>40</v>
      </c>
      <c r="S1456" s="262"/>
      <c r="T1456" s="263" t="s">
        <v>40</v>
      </c>
      <c r="U1456" s="262"/>
      <c r="V1456" s="263" t="s">
        <v>40</v>
      </c>
      <c r="W1456" s="262"/>
      <c r="X1456" s="263" t="s">
        <v>40</v>
      </c>
      <c r="Y1456" s="262"/>
      <c r="Z1456" s="263" t="s">
        <v>40</v>
      </c>
      <c r="AA1456" s="262"/>
      <c r="AB1456" s="263" t="s">
        <v>40</v>
      </c>
      <c r="AC1456" s="262"/>
      <c r="AD1456" s="262"/>
      <c r="AE1456" s="262">
        <v>46203</v>
      </c>
      <c r="AF1456" s="263" t="s">
        <v>65</v>
      </c>
      <c r="AG1456" s="270">
        <v>2026</v>
      </c>
      <c r="AH1456" s="296">
        <f t="shared" si="50"/>
        <v>0</v>
      </c>
      <c r="AI1456" s="296"/>
      <c r="AJ1456" s="296"/>
      <c r="AK1456" s="260" t="s">
        <v>43</v>
      </c>
      <c r="AL1456" s="259" t="s">
        <v>41</v>
      </c>
      <c r="AM1456" s="266">
        <v>0</v>
      </c>
      <c r="AN1456" s="67"/>
      <c r="AO1456" s="259"/>
      <c r="AP1456" s="277"/>
      <c r="AQ1456" s="165"/>
      <c r="AR1456" s="165"/>
      <c r="AS1456" s="165"/>
      <c r="AT1456" s="165"/>
      <c r="AU1456" s="165"/>
      <c r="AV1456" s="165"/>
      <c r="AW1456" s="165"/>
      <c r="AX1456" s="165"/>
      <c r="AY1456" s="165"/>
      <c r="AZ1456" s="165"/>
      <c r="BA1456" s="165"/>
      <c r="BB1456" s="165"/>
      <c r="BC1456" s="165"/>
      <c r="BD1456" s="165"/>
      <c r="BE1456" s="165"/>
      <c r="BF1456" s="165"/>
      <c r="BG1456" s="165"/>
      <c r="BH1456" s="165"/>
      <c r="BI1456" s="165"/>
      <c r="BJ1456" s="165"/>
      <c r="BK1456" s="165"/>
      <c r="BL1456" s="165"/>
      <c r="BM1456" s="165"/>
      <c r="BN1456" s="165"/>
      <c r="BO1456" s="165"/>
      <c r="BP1456" s="165"/>
      <c r="BQ1456" s="165"/>
      <c r="BR1456" s="165"/>
      <c r="BS1456" s="165"/>
      <c r="BT1456" s="165"/>
      <c r="BU1456" s="165"/>
      <c r="BV1456" s="165"/>
      <c r="BW1456" s="165"/>
      <c r="BX1456" s="165"/>
      <c r="BY1456" s="165"/>
      <c r="BZ1456" s="165"/>
      <c r="CA1456" s="315"/>
    </row>
    <row r="1457" spans="1:79" s="143" customFormat="1" ht="41.4" customHeight="1" x14ac:dyDescent="0.3">
      <c r="A1457" s="259" t="s">
        <v>1641</v>
      </c>
      <c r="B1457" s="243" t="s">
        <v>3222</v>
      </c>
      <c r="C1457" s="244" t="s">
        <v>3395</v>
      </c>
      <c r="D1457" s="259" t="s">
        <v>34</v>
      </c>
      <c r="E1457" s="259" t="s">
        <v>3224</v>
      </c>
      <c r="F1457" s="260" t="s">
        <v>35</v>
      </c>
      <c r="G1457" s="259">
        <v>145</v>
      </c>
      <c r="H1457" s="70">
        <v>4180000</v>
      </c>
      <c r="I1457" s="261" t="s">
        <v>36</v>
      </c>
      <c r="J1457" s="70">
        <v>4180000</v>
      </c>
      <c r="K1457" s="1696">
        <v>0</v>
      </c>
      <c r="L1457" s="1696">
        <v>0</v>
      </c>
      <c r="M1457" s="263" t="s">
        <v>58</v>
      </c>
      <c r="N1457" s="263" t="s">
        <v>2003</v>
      </c>
      <c r="O1457" s="355" t="s">
        <v>3255</v>
      </c>
      <c r="P1457" s="263" t="s">
        <v>40</v>
      </c>
      <c r="Q1457" s="262"/>
      <c r="R1457" s="263" t="s">
        <v>40</v>
      </c>
      <c r="S1457" s="262"/>
      <c r="T1457" s="263" t="s">
        <v>40</v>
      </c>
      <c r="U1457" s="262"/>
      <c r="V1457" s="263" t="s">
        <v>40</v>
      </c>
      <c r="W1457" s="262"/>
      <c r="X1457" s="263" t="s">
        <v>40</v>
      </c>
      <c r="Y1457" s="262"/>
      <c r="Z1457" s="263" t="s">
        <v>40</v>
      </c>
      <c r="AA1457" s="262"/>
      <c r="AB1457" s="263" t="s">
        <v>40</v>
      </c>
      <c r="AC1457" s="262"/>
      <c r="AD1457" s="262"/>
      <c r="AE1457" s="262">
        <v>46203</v>
      </c>
      <c r="AF1457" s="263" t="s">
        <v>65</v>
      </c>
      <c r="AG1457" s="270">
        <v>2026</v>
      </c>
      <c r="AH1457" s="296">
        <f t="shared" si="50"/>
        <v>0</v>
      </c>
      <c r="AI1457" s="296"/>
      <c r="AJ1457" s="296"/>
      <c r="AK1457" s="260" t="s">
        <v>43</v>
      </c>
      <c r="AL1457" s="259" t="s">
        <v>41</v>
      </c>
      <c r="AM1457" s="266">
        <v>0</v>
      </c>
      <c r="AN1457" s="67"/>
      <c r="AO1457" s="259"/>
      <c r="AP1457" s="277"/>
      <c r="AQ1457" s="165"/>
      <c r="AR1457" s="165"/>
      <c r="AS1457" s="165"/>
      <c r="AT1457" s="165"/>
      <c r="AU1457" s="165"/>
      <c r="AV1457" s="165"/>
      <c r="AW1457" s="165"/>
      <c r="AX1457" s="165"/>
      <c r="AY1457" s="165"/>
      <c r="AZ1457" s="165"/>
      <c r="BA1457" s="165"/>
      <c r="BB1457" s="165"/>
      <c r="BC1457" s="165"/>
      <c r="BD1457" s="165"/>
      <c r="BE1457" s="165"/>
      <c r="BF1457" s="165"/>
      <c r="BG1457" s="165"/>
      <c r="BH1457" s="165"/>
      <c r="BI1457" s="165"/>
      <c r="BJ1457" s="165"/>
      <c r="BK1457" s="165"/>
      <c r="BL1457" s="165"/>
      <c r="BM1457" s="165"/>
      <c r="BN1457" s="165"/>
      <c r="BO1457" s="165"/>
      <c r="BP1457" s="165"/>
      <c r="BQ1457" s="165"/>
      <c r="BR1457" s="165"/>
      <c r="BS1457" s="165"/>
      <c r="BT1457" s="165"/>
      <c r="BU1457" s="165"/>
      <c r="BV1457" s="165"/>
      <c r="BW1457" s="165"/>
      <c r="BX1457" s="165"/>
      <c r="BY1457" s="165"/>
      <c r="BZ1457" s="165"/>
      <c r="CA1457" s="315"/>
    </row>
    <row r="1458" spans="1:79" s="143" customFormat="1" ht="41.4" customHeight="1" x14ac:dyDescent="0.3">
      <c r="A1458" s="259" t="s">
        <v>1641</v>
      </c>
      <c r="B1458" s="243" t="s">
        <v>3222</v>
      </c>
      <c r="C1458" s="244" t="s">
        <v>3396</v>
      </c>
      <c r="D1458" s="259" t="s">
        <v>34</v>
      </c>
      <c r="E1458" s="259" t="s">
        <v>3224</v>
      </c>
      <c r="F1458" s="260" t="s">
        <v>35</v>
      </c>
      <c r="G1458" s="259">
        <v>100</v>
      </c>
      <c r="H1458" s="70">
        <v>1400000</v>
      </c>
      <c r="I1458" s="261" t="s">
        <v>36</v>
      </c>
      <c r="J1458" s="70">
        <v>1400000</v>
      </c>
      <c r="K1458" s="1696">
        <v>0</v>
      </c>
      <c r="L1458" s="1696">
        <v>0</v>
      </c>
      <c r="M1458" s="263" t="s">
        <v>200</v>
      </c>
      <c r="N1458" s="263" t="s">
        <v>200</v>
      </c>
      <c r="O1458" s="355" t="s">
        <v>3397</v>
      </c>
      <c r="P1458" s="263" t="s">
        <v>40</v>
      </c>
      <c r="Q1458" s="262"/>
      <c r="R1458" s="263" t="s">
        <v>40</v>
      </c>
      <c r="S1458" s="262"/>
      <c r="T1458" s="263" t="s">
        <v>40</v>
      </c>
      <c r="U1458" s="262"/>
      <c r="V1458" s="263" t="s">
        <v>40</v>
      </c>
      <c r="W1458" s="262"/>
      <c r="X1458" s="263" t="s">
        <v>40</v>
      </c>
      <c r="Y1458" s="262"/>
      <c r="Z1458" s="263" t="s">
        <v>40</v>
      </c>
      <c r="AA1458" s="262"/>
      <c r="AB1458" s="263" t="s">
        <v>40</v>
      </c>
      <c r="AC1458" s="262"/>
      <c r="AD1458" s="262"/>
      <c r="AE1458" s="262">
        <v>46203</v>
      </c>
      <c r="AF1458" s="263" t="s">
        <v>65</v>
      </c>
      <c r="AG1458" s="270">
        <v>2026</v>
      </c>
      <c r="AH1458" s="296">
        <f t="shared" si="50"/>
        <v>0</v>
      </c>
      <c r="AI1458" s="296"/>
      <c r="AJ1458" s="296"/>
      <c r="AK1458" s="260" t="s">
        <v>43</v>
      </c>
      <c r="AL1458" s="259" t="s">
        <v>41</v>
      </c>
      <c r="AM1458" s="266">
        <v>0</v>
      </c>
      <c r="AN1458" s="67"/>
      <c r="AO1458" s="259"/>
      <c r="AP1458" s="277"/>
      <c r="AQ1458" s="165"/>
      <c r="AR1458" s="165"/>
      <c r="AS1458" s="165"/>
      <c r="AT1458" s="165"/>
      <c r="AU1458" s="165"/>
      <c r="AV1458" s="165"/>
      <c r="AW1458" s="165"/>
      <c r="AX1458" s="165"/>
      <c r="AY1458" s="165"/>
      <c r="AZ1458" s="165"/>
      <c r="BA1458" s="165"/>
      <c r="BB1458" s="165"/>
      <c r="BC1458" s="165"/>
      <c r="BD1458" s="165"/>
      <c r="BE1458" s="165"/>
      <c r="BF1458" s="165"/>
      <c r="BG1458" s="165"/>
      <c r="BH1458" s="165"/>
      <c r="BI1458" s="165"/>
      <c r="BJ1458" s="165"/>
      <c r="BK1458" s="165"/>
      <c r="BL1458" s="165"/>
      <c r="BM1458" s="165"/>
      <c r="BN1458" s="165"/>
      <c r="BO1458" s="165"/>
      <c r="BP1458" s="165"/>
      <c r="BQ1458" s="165"/>
      <c r="BR1458" s="165"/>
      <c r="BS1458" s="165"/>
      <c r="BT1458" s="165"/>
      <c r="BU1458" s="165"/>
      <c r="BV1458" s="165"/>
      <c r="BW1458" s="165"/>
      <c r="BX1458" s="165"/>
      <c r="BY1458" s="165"/>
      <c r="BZ1458" s="165"/>
      <c r="CA1458" s="315"/>
    </row>
    <row r="1459" spans="1:79" s="143" customFormat="1" ht="41.4" customHeight="1" x14ac:dyDescent="0.3">
      <c r="A1459" s="259" t="s">
        <v>1641</v>
      </c>
      <c r="B1459" s="243" t="s">
        <v>3222</v>
      </c>
      <c r="C1459" s="244" t="s">
        <v>3398</v>
      </c>
      <c r="D1459" s="259" t="s">
        <v>34</v>
      </c>
      <c r="E1459" s="259" t="s">
        <v>3224</v>
      </c>
      <c r="F1459" s="260" t="s">
        <v>35</v>
      </c>
      <c r="G1459" s="259">
        <v>49</v>
      </c>
      <c r="H1459" s="70">
        <v>686000</v>
      </c>
      <c r="I1459" s="261" t="s">
        <v>36</v>
      </c>
      <c r="J1459" s="70">
        <v>686000</v>
      </c>
      <c r="K1459" s="1696">
        <v>0</v>
      </c>
      <c r="L1459" s="1696">
        <v>0</v>
      </c>
      <c r="M1459" s="263" t="s">
        <v>133</v>
      </c>
      <c r="N1459" s="263" t="s">
        <v>1196</v>
      </c>
      <c r="O1459" s="355" t="s">
        <v>3399</v>
      </c>
      <c r="P1459" s="263" t="s">
        <v>40</v>
      </c>
      <c r="Q1459" s="262"/>
      <c r="R1459" s="263" t="s">
        <v>40</v>
      </c>
      <c r="S1459" s="262"/>
      <c r="T1459" s="263" t="s">
        <v>40</v>
      </c>
      <c r="U1459" s="262"/>
      <c r="V1459" s="263" t="s">
        <v>40</v>
      </c>
      <c r="W1459" s="262"/>
      <c r="X1459" s="263" t="s">
        <v>40</v>
      </c>
      <c r="Y1459" s="262"/>
      <c r="Z1459" s="263" t="s">
        <v>40</v>
      </c>
      <c r="AA1459" s="262"/>
      <c r="AB1459" s="263" t="s">
        <v>40</v>
      </c>
      <c r="AC1459" s="262"/>
      <c r="AD1459" s="262"/>
      <c r="AE1459" s="262">
        <v>46203</v>
      </c>
      <c r="AF1459" s="263" t="s">
        <v>65</v>
      </c>
      <c r="AG1459" s="270">
        <v>2026</v>
      </c>
      <c r="AH1459" s="296">
        <f t="shared" si="50"/>
        <v>0</v>
      </c>
      <c r="AI1459" s="296"/>
      <c r="AJ1459" s="296"/>
      <c r="AK1459" s="260" t="s">
        <v>43</v>
      </c>
      <c r="AL1459" s="259" t="s">
        <v>41</v>
      </c>
      <c r="AM1459" s="266">
        <v>0</v>
      </c>
      <c r="AN1459" s="67"/>
      <c r="AO1459" s="259"/>
      <c r="AP1459" s="277"/>
      <c r="AQ1459" s="165"/>
      <c r="AR1459" s="165"/>
      <c r="AS1459" s="165"/>
      <c r="AT1459" s="165"/>
      <c r="AU1459" s="165"/>
      <c r="AV1459" s="165"/>
      <c r="AW1459" s="165"/>
      <c r="AX1459" s="165"/>
      <c r="AY1459" s="165"/>
      <c r="AZ1459" s="165"/>
      <c r="BA1459" s="165"/>
      <c r="BB1459" s="165"/>
      <c r="BC1459" s="165"/>
      <c r="BD1459" s="165"/>
      <c r="BE1459" s="165"/>
      <c r="BF1459" s="165"/>
      <c r="BG1459" s="165"/>
      <c r="BH1459" s="165"/>
      <c r="BI1459" s="165"/>
      <c r="BJ1459" s="165"/>
      <c r="BK1459" s="165"/>
      <c r="BL1459" s="165"/>
      <c r="BM1459" s="165"/>
      <c r="BN1459" s="165"/>
      <c r="BO1459" s="165"/>
      <c r="BP1459" s="165"/>
      <c r="BQ1459" s="165"/>
      <c r="BR1459" s="165"/>
      <c r="BS1459" s="165"/>
      <c r="BT1459" s="165"/>
      <c r="BU1459" s="165"/>
      <c r="BV1459" s="165"/>
      <c r="BW1459" s="165"/>
      <c r="BX1459" s="165"/>
      <c r="BY1459" s="165"/>
      <c r="BZ1459" s="165"/>
      <c r="CA1459" s="315"/>
    </row>
    <row r="1460" spans="1:79" s="143" customFormat="1" ht="41.4" customHeight="1" x14ac:dyDescent="0.3">
      <c r="A1460" s="259" t="s">
        <v>1641</v>
      </c>
      <c r="B1460" s="243" t="s">
        <v>3222</v>
      </c>
      <c r="C1460" s="244" t="s">
        <v>3400</v>
      </c>
      <c r="D1460" s="259" t="s">
        <v>34</v>
      </c>
      <c r="E1460" s="259" t="s">
        <v>3224</v>
      </c>
      <c r="F1460" s="260" t="s">
        <v>35</v>
      </c>
      <c r="G1460" s="259">
        <v>14</v>
      </c>
      <c r="H1460" s="70">
        <v>266000</v>
      </c>
      <c r="I1460" s="261" t="s">
        <v>36</v>
      </c>
      <c r="J1460" s="70">
        <v>266000</v>
      </c>
      <c r="K1460" s="1696">
        <v>0</v>
      </c>
      <c r="L1460" s="1696">
        <v>0</v>
      </c>
      <c r="M1460" s="263" t="s">
        <v>50</v>
      </c>
      <c r="N1460" s="263" t="s">
        <v>1822</v>
      </c>
      <c r="O1460" s="355" t="s">
        <v>3401</v>
      </c>
      <c r="P1460" s="263" t="s">
        <v>40</v>
      </c>
      <c r="Q1460" s="262"/>
      <c r="R1460" s="263" t="s">
        <v>40</v>
      </c>
      <c r="S1460" s="262"/>
      <c r="T1460" s="263" t="s">
        <v>40</v>
      </c>
      <c r="U1460" s="262"/>
      <c r="V1460" s="263" t="s">
        <v>40</v>
      </c>
      <c r="W1460" s="262"/>
      <c r="X1460" s="263" t="s">
        <v>40</v>
      </c>
      <c r="Y1460" s="262"/>
      <c r="Z1460" s="263" t="s">
        <v>40</v>
      </c>
      <c r="AA1460" s="262"/>
      <c r="AB1460" s="263" t="s">
        <v>40</v>
      </c>
      <c r="AC1460" s="262"/>
      <c r="AD1460" s="262"/>
      <c r="AE1460" s="262">
        <v>46203</v>
      </c>
      <c r="AF1460" s="263" t="s">
        <v>65</v>
      </c>
      <c r="AG1460" s="270">
        <v>2026</v>
      </c>
      <c r="AH1460" s="296">
        <f t="shared" si="50"/>
        <v>0</v>
      </c>
      <c r="AI1460" s="296"/>
      <c r="AJ1460" s="296"/>
      <c r="AK1460" s="260" t="s">
        <v>43</v>
      </c>
      <c r="AL1460" s="259" t="s">
        <v>41</v>
      </c>
      <c r="AM1460" s="266">
        <v>0</v>
      </c>
      <c r="AN1460" s="67"/>
      <c r="AO1460" s="259"/>
      <c r="AP1460" s="277"/>
      <c r="AQ1460" s="165"/>
      <c r="AR1460" s="165"/>
      <c r="AS1460" s="165"/>
      <c r="AT1460" s="165"/>
      <c r="AU1460" s="165"/>
      <c r="AV1460" s="165"/>
      <c r="AW1460" s="165"/>
      <c r="AX1460" s="165"/>
      <c r="AY1460" s="165"/>
      <c r="AZ1460" s="165"/>
      <c r="BA1460" s="165"/>
      <c r="BB1460" s="165"/>
      <c r="BC1460" s="165"/>
      <c r="BD1460" s="165"/>
      <c r="BE1460" s="165"/>
      <c r="BF1460" s="165"/>
      <c r="BG1460" s="165"/>
      <c r="BH1460" s="165"/>
      <c r="BI1460" s="165"/>
      <c r="BJ1460" s="165"/>
      <c r="BK1460" s="165"/>
      <c r="BL1460" s="165"/>
      <c r="BM1460" s="165"/>
      <c r="BN1460" s="165"/>
      <c r="BO1460" s="165"/>
      <c r="BP1460" s="165"/>
      <c r="BQ1460" s="165"/>
      <c r="BR1460" s="165"/>
      <c r="BS1460" s="165"/>
      <c r="BT1460" s="165"/>
      <c r="BU1460" s="165"/>
      <c r="BV1460" s="165"/>
      <c r="BW1460" s="165"/>
      <c r="BX1460" s="165"/>
      <c r="BY1460" s="165"/>
      <c r="BZ1460" s="165"/>
      <c r="CA1460" s="315"/>
    </row>
    <row r="1461" spans="1:79" s="143" customFormat="1" ht="41.4" customHeight="1" x14ac:dyDescent="0.3">
      <c r="A1461" s="259" t="s">
        <v>1641</v>
      </c>
      <c r="B1461" s="243" t="s">
        <v>3222</v>
      </c>
      <c r="C1461" s="244" t="s">
        <v>3402</v>
      </c>
      <c r="D1461" s="259" t="s">
        <v>34</v>
      </c>
      <c r="E1461" s="259" t="s">
        <v>3224</v>
      </c>
      <c r="F1461" s="260" t="s">
        <v>35</v>
      </c>
      <c r="G1461" s="259">
        <v>23</v>
      </c>
      <c r="H1461" s="70">
        <v>322000</v>
      </c>
      <c r="I1461" s="261" t="s">
        <v>36</v>
      </c>
      <c r="J1461" s="70">
        <v>322000</v>
      </c>
      <c r="K1461" s="1696">
        <v>0</v>
      </c>
      <c r="L1461" s="1696">
        <v>0</v>
      </c>
      <c r="M1461" s="263" t="s">
        <v>82</v>
      </c>
      <c r="N1461" s="263" t="s">
        <v>2209</v>
      </c>
      <c r="O1461" s="355" t="s">
        <v>3403</v>
      </c>
      <c r="P1461" s="263" t="s">
        <v>40</v>
      </c>
      <c r="Q1461" s="262"/>
      <c r="R1461" s="263" t="s">
        <v>40</v>
      </c>
      <c r="S1461" s="262"/>
      <c r="T1461" s="263" t="s">
        <v>40</v>
      </c>
      <c r="U1461" s="262"/>
      <c r="V1461" s="263" t="s">
        <v>40</v>
      </c>
      <c r="W1461" s="262"/>
      <c r="X1461" s="263" t="s">
        <v>40</v>
      </c>
      <c r="Y1461" s="262"/>
      <c r="Z1461" s="263" t="s">
        <v>40</v>
      </c>
      <c r="AA1461" s="262"/>
      <c r="AB1461" s="263" t="s">
        <v>40</v>
      </c>
      <c r="AC1461" s="262"/>
      <c r="AD1461" s="262"/>
      <c r="AE1461" s="262">
        <v>46203</v>
      </c>
      <c r="AF1461" s="263" t="s">
        <v>65</v>
      </c>
      <c r="AG1461" s="270">
        <v>2026</v>
      </c>
      <c r="AH1461" s="296">
        <f t="shared" si="50"/>
        <v>0</v>
      </c>
      <c r="AI1461" s="296"/>
      <c r="AJ1461" s="296"/>
      <c r="AK1461" s="260" t="s">
        <v>43</v>
      </c>
      <c r="AL1461" s="259" t="s">
        <v>41</v>
      </c>
      <c r="AM1461" s="266">
        <v>0</v>
      </c>
      <c r="AN1461" s="67"/>
      <c r="AO1461" s="259"/>
      <c r="AP1461" s="277"/>
      <c r="AQ1461" s="165"/>
      <c r="AR1461" s="165"/>
      <c r="AS1461" s="165"/>
      <c r="AT1461" s="165"/>
      <c r="AU1461" s="165"/>
      <c r="AV1461" s="165"/>
      <c r="AW1461" s="165"/>
      <c r="AX1461" s="165"/>
      <c r="AY1461" s="165"/>
      <c r="AZ1461" s="165"/>
      <c r="BA1461" s="165"/>
      <c r="BB1461" s="165"/>
      <c r="BC1461" s="165"/>
      <c r="BD1461" s="165"/>
      <c r="BE1461" s="165"/>
      <c r="BF1461" s="165"/>
      <c r="BG1461" s="165"/>
      <c r="BH1461" s="165"/>
      <c r="BI1461" s="165"/>
      <c r="BJ1461" s="165"/>
      <c r="BK1461" s="165"/>
      <c r="BL1461" s="165"/>
      <c r="BM1461" s="165"/>
      <c r="BN1461" s="165"/>
      <c r="BO1461" s="165"/>
      <c r="BP1461" s="165"/>
      <c r="BQ1461" s="165"/>
      <c r="BR1461" s="165"/>
      <c r="BS1461" s="165"/>
      <c r="BT1461" s="165"/>
      <c r="BU1461" s="165"/>
      <c r="BV1461" s="165"/>
      <c r="BW1461" s="165"/>
      <c r="BX1461" s="165"/>
      <c r="BY1461" s="165"/>
      <c r="BZ1461" s="165"/>
      <c r="CA1461" s="315"/>
    </row>
    <row r="1462" spans="1:79" s="143" customFormat="1" ht="41.4" customHeight="1" x14ac:dyDescent="0.3">
      <c r="A1462" s="259" t="s">
        <v>1641</v>
      </c>
      <c r="B1462" s="243" t="s">
        <v>3222</v>
      </c>
      <c r="C1462" s="244" t="s">
        <v>3404</v>
      </c>
      <c r="D1462" s="259" t="s">
        <v>34</v>
      </c>
      <c r="E1462" s="259" t="s">
        <v>3224</v>
      </c>
      <c r="F1462" s="260" t="s">
        <v>35</v>
      </c>
      <c r="G1462" s="259">
        <v>50</v>
      </c>
      <c r="H1462" s="70">
        <v>835000</v>
      </c>
      <c r="I1462" s="261" t="s">
        <v>36</v>
      </c>
      <c r="J1462" s="70">
        <v>835000</v>
      </c>
      <c r="K1462" s="1696">
        <v>0</v>
      </c>
      <c r="L1462" s="1696">
        <v>0</v>
      </c>
      <c r="M1462" s="263" t="s">
        <v>79</v>
      </c>
      <c r="N1462" s="263" t="s">
        <v>1724</v>
      </c>
      <c r="O1462" s="263" t="s">
        <v>3405</v>
      </c>
      <c r="P1462" s="263" t="s">
        <v>40</v>
      </c>
      <c r="Q1462" s="262"/>
      <c r="R1462" s="263" t="s">
        <v>40</v>
      </c>
      <c r="S1462" s="262"/>
      <c r="T1462" s="263" t="s">
        <v>40</v>
      </c>
      <c r="U1462" s="262"/>
      <c r="V1462" s="263" t="s">
        <v>40</v>
      </c>
      <c r="W1462" s="262"/>
      <c r="X1462" s="263" t="s">
        <v>40</v>
      </c>
      <c r="Y1462" s="262"/>
      <c r="Z1462" s="263" t="s">
        <v>40</v>
      </c>
      <c r="AA1462" s="262"/>
      <c r="AB1462" s="263" t="s">
        <v>40</v>
      </c>
      <c r="AC1462" s="262"/>
      <c r="AD1462" s="262"/>
      <c r="AE1462" s="262">
        <v>46203</v>
      </c>
      <c r="AF1462" s="263" t="s">
        <v>65</v>
      </c>
      <c r="AG1462" s="270">
        <v>2026</v>
      </c>
      <c r="AH1462" s="296">
        <f t="shared" si="50"/>
        <v>0</v>
      </c>
      <c r="AI1462" s="296"/>
      <c r="AJ1462" s="296"/>
      <c r="AK1462" s="260" t="s">
        <v>43</v>
      </c>
      <c r="AL1462" s="259" t="s">
        <v>41</v>
      </c>
      <c r="AM1462" s="266">
        <v>0</v>
      </c>
      <c r="AN1462" s="67"/>
      <c r="AO1462" s="259"/>
      <c r="AP1462" s="277"/>
      <c r="AQ1462" s="165"/>
      <c r="AR1462" s="165"/>
      <c r="AS1462" s="165"/>
      <c r="AT1462" s="165"/>
      <c r="AU1462" s="165"/>
      <c r="AV1462" s="165"/>
      <c r="AW1462" s="165"/>
      <c r="AX1462" s="165"/>
      <c r="AY1462" s="165"/>
      <c r="AZ1462" s="165"/>
      <c r="BA1462" s="165"/>
      <c r="BB1462" s="165"/>
      <c r="BC1462" s="165"/>
      <c r="BD1462" s="165"/>
      <c r="BE1462" s="165"/>
      <c r="BF1462" s="165"/>
      <c r="BG1462" s="165"/>
      <c r="BH1462" s="165"/>
      <c r="BI1462" s="165"/>
      <c r="BJ1462" s="165"/>
      <c r="BK1462" s="165"/>
      <c r="BL1462" s="165"/>
      <c r="BM1462" s="165"/>
      <c r="BN1462" s="165"/>
      <c r="BO1462" s="165"/>
      <c r="BP1462" s="165"/>
      <c r="BQ1462" s="165"/>
      <c r="BR1462" s="165"/>
      <c r="BS1462" s="165"/>
      <c r="BT1462" s="165"/>
      <c r="BU1462" s="165"/>
      <c r="BV1462" s="165"/>
      <c r="BW1462" s="165"/>
      <c r="BX1462" s="165"/>
      <c r="BY1462" s="165"/>
      <c r="BZ1462" s="165"/>
      <c r="CA1462" s="315"/>
    </row>
    <row r="1463" spans="1:79" s="143" customFormat="1" ht="41.4" customHeight="1" x14ac:dyDescent="0.3">
      <c r="A1463" s="259" t="s">
        <v>1641</v>
      </c>
      <c r="B1463" s="243" t="s">
        <v>3222</v>
      </c>
      <c r="C1463" s="244" t="s">
        <v>3406</v>
      </c>
      <c r="D1463" s="259" t="s">
        <v>34</v>
      </c>
      <c r="E1463" s="259" t="s">
        <v>3224</v>
      </c>
      <c r="F1463" s="260" t="s">
        <v>35</v>
      </c>
      <c r="G1463" s="259">
        <v>25</v>
      </c>
      <c r="H1463" s="70">
        <v>350000</v>
      </c>
      <c r="I1463" s="261" t="s">
        <v>36</v>
      </c>
      <c r="J1463" s="70">
        <v>350000</v>
      </c>
      <c r="K1463" s="1696">
        <v>0</v>
      </c>
      <c r="L1463" s="1696">
        <v>0</v>
      </c>
      <c r="M1463" s="263" t="s">
        <v>73</v>
      </c>
      <c r="N1463" s="263" t="s">
        <v>3407</v>
      </c>
      <c r="O1463" s="355" t="s">
        <v>3408</v>
      </c>
      <c r="P1463" s="263" t="s">
        <v>40</v>
      </c>
      <c r="Q1463" s="262"/>
      <c r="R1463" s="263" t="s">
        <v>40</v>
      </c>
      <c r="S1463" s="262"/>
      <c r="T1463" s="263" t="s">
        <v>40</v>
      </c>
      <c r="U1463" s="262"/>
      <c r="V1463" s="263" t="s">
        <v>40</v>
      </c>
      <c r="W1463" s="262"/>
      <c r="X1463" s="263" t="s">
        <v>40</v>
      </c>
      <c r="Y1463" s="262"/>
      <c r="Z1463" s="263" t="s">
        <v>40</v>
      </c>
      <c r="AA1463" s="262"/>
      <c r="AB1463" s="263" t="s">
        <v>40</v>
      </c>
      <c r="AC1463" s="262"/>
      <c r="AD1463" s="262"/>
      <c r="AE1463" s="262">
        <v>46203</v>
      </c>
      <c r="AF1463" s="263" t="s">
        <v>65</v>
      </c>
      <c r="AG1463" s="270">
        <v>2026</v>
      </c>
      <c r="AH1463" s="296">
        <f t="shared" si="50"/>
        <v>0</v>
      </c>
      <c r="AI1463" s="296"/>
      <c r="AJ1463" s="296"/>
      <c r="AK1463" s="260" t="s">
        <v>43</v>
      </c>
      <c r="AL1463" s="259" t="s">
        <v>41</v>
      </c>
      <c r="AM1463" s="266">
        <v>0</v>
      </c>
      <c r="AN1463" s="67"/>
      <c r="AO1463" s="259"/>
      <c r="AP1463" s="277"/>
      <c r="AQ1463" s="165"/>
      <c r="AR1463" s="165"/>
      <c r="AS1463" s="165"/>
      <c r="AT1463" s="165"/>
      <c r="AU1463" s="165"/>
      <c r="AV1463" s="165"/>
      <c r="AW1463" s="165"/>
      <c r="AX1463" s="165"/>
      <c r="AY1463" s="165"/>
      <c r="AZ1463" s="165"/>
      <c r="BA1463" s="165"/>
      <c r="BB1463" s="165"/>
      <c r="BC1463" s="165"/>
      <c r="BD1463" s="165"/>
      <c r="BE1463" s="165"/>
      <c r="BF1463" s="165"/>
      <c r="BG1463" s="165"/>
      <c r="BH1463" s="165"/>
      <c r="BI1463" s="165"/>
      <c r="BJ1463" s="165"/>
      <c r="BK1463" s="165"/>
      <c r="BL1463" s="165"/>
      <c r="BM1463" s="165"/>
      <c r="BN1463" s="165"/>
      <c r="BO1463" s="165"/>
      <c r="BP1463" s="165"/>
      <c r="BQ1463" s="165"/>
      <c r="BR1463" s="165"/>
      <c r="BS1463" s="165"/>
      <c r="BT1463" s="165"/>
      <c r="BU1463" s="165"/>
      <c r="BV1463" s="165"/>
      <c r="BW1463" s="165"/>
      <c r="BX1463" s="165"/>
      <c r="BY1463" s="165"/>
      <c r="BZ1463" s="165"/>
      <c r="CA1463" s="315"/>
    </row>
    <row r="1464" spans="1:79" s="143" customFormat="1" ht="41.4" customHeight="1" x14ac:dyDescent="0.3">
      <c r="A1464" s="259" t="s">
        <v>1641</v>
      </c>
      <c r="B1464" s="243" t="s">
        <v>3222</v>
      </c>
      <c r="C1464" s="244" t="s">
        <v>3409</v>
      </c>
      <c r="D1464" s="259" t="s">
        <v>34</v>
      </c>
      <c r="E1464" s="259" t="s">
        <v>3224</v>
      </c>
      <c r="F1464" s="260" t="s">
        <v>35</v>
      </c>
      <c r="G1464" s="259">
        <v>22</v>
      </c>
      <c r="H1464" s="70">
        <v>418000</v>
      </c>
      <c r="I1464" s="261" t="s">
        <v>36</v>
      </c>
      <c r="J1464" s="70">
        <v>418000</v>
      </c>
      <c r="K1464" s="1696">
        <v>0</v>
      </c>
      <c r="L1464" s="1696">
        <v>0</v>
      </c>
      <c r="M1464" s="263" t="s">
        <v>151</v>
      </c>
      <c r="N1464" s="263" t="s">
        <v>3410</v>
      </c>
      <c r="O1464" s="355" t="s">
        <v>3411</v>
      </c>
      <c r="P1464" s="263" t="s">
        <v>40</v>
      </c>
      <c r="Q1464" s="262"/>
      <c r="R1464" s="263" t="s">
        <v>40</v>
      </c>
      <c r="S1464" s="262"/>
      <c r="T1464" s="263" t="s">
        <v>40</v>
      </c>
      <c r="U1464" s="262"/>
      <c r="V1464" s="263" t="s">
        <v>40</v>
      </c>
      <c r="W1464" s="262"/>
      <c r="X1464" s="263" t="s">
        <v>40</v>
      </c>
      <c r="Y1464" s="262"/>
      <c r="Z1464" s="263" t="s">
        <v>40</v>
      </c>
      <c r="AA1464" s="262"/>
      <c r="AB1464" s="263" t="s">
        <v>40</v>
      </c>
      <c r="AC1464" s="262"/>
      <c r="AD1464" s="262"/>
      <c r="AE1464" s="262">
        <v>46203</v>
      </c>
      <c r="AF1464" s="263" t="s">
        <v>65</v>
      </c>
      <c r="AG1464" s="270">
        <v>2026</v>
      </c>
      <c r="AH1464" s="296">
        <f t="shared" si="50"/>
        <v>0</v>
      </c>
      <c r="AI1464" s="296"/>
      <c r="AJ1464" s="296"/>
      <c r="AK1464" s="260" t="s">
        <v>43</v>
      </c>
      <c r="AL1464" s="259" t="s">
        <v>41</v>
      </c>
      <c r="AM1464" s="266">
        <v>0</v>
      </c>
      <c r="AN1464" s="67"/>
      <c r="AO1464" s="259"/>
      <c r="AP1464" s="277"/>
      <c r="AQ1464" s="165"/>
      <c r="AR1464" s="165"/>
      <c r="AS1464" s="165"/>
      <c r="AT1464" s="165"/>
      <c r="AU1464" s="165"/>
      <c r="AV1464" s="165"/>
      <c r="AW1464" s="165"/>
      <c r="AX1464" s="165"/>
      <c r="AY1464" s="165"/>
      <c r="AZ1464" s="165"/>
      <c r="BA1464" s="165"/>
      <c r="BB1464" s="165"/>
      <c r="BC1464" s="165"/>
      <c r="BD1464" s="165"/>
      <c r="BE1464" s="165"/>
      <c r="BF1464" s="165"/>
      <c r="BG1464" s="165"/>
      <c r="BH1464" s="165"/>
      <c r="BI1464" s="165"/>
      <c r="BJ1464" s="165"/>
      <c r="BK1464" s="165"/>
      <c r="BL1464" s="165"/>
      <c r="BM1464" s="165"/>
      <c r="BN1464" s="165"/>
      <c r="BO1464" s="165"/>
      <c r="BP1464" s="165"/>
      <c r="BQ1464" s="165"/>
      <c r="BR1464" s="165"/>
      <c r="BS1464" s="165"/>
      <c r="BT1464" s="165"/>
      <c r="BU1464" s="165"/>
      <c r="BV1464" s="165"/>
      <c r="BW1464" s="165"/>
      <c r="BX1464" s="165"/>
      <c r="BY1464" s="165"/>
      <c r="BZ1464" s="165"/>
      <c r="CA1464" s="315"/>
    </row>
    <row r="1465" spans="1:79" s="143" customFormat="1" ht="41.4" customHeight="1" x14ac:dyDescent="0.3">
      <c r="A1465" s="259" t="s">
        <v>1641</v>
      </c>
      <c r="B1465" s="243" t="s">
        <v>3222</v>
      </c>
      <c r="C1465" s="244" t="s">
        <v>3412</v>
      </c>
      <c r="D1465" s="259" t="s">
        <v>34</v>
      </c>
      <c r="E1465" s="259" t="s">
        <v>3224</v>
      </c>
      <c r="F1465" s="260" t="s">
        <v>35</v>
      </c>
      <c r="G1465" s="259">
        <v>71</v>
      </c>
      <c r="H1465" s="70">
        <v>994000</v>
      </c>
      <c r="I1465" s="261" t="s">
        <v>36</v>
      </c>
      <c r="J1465" s="70">
        <v>994000</v>
      </c>
      <c r="K1465" s="1696">
        <f>476.28</f>
        <v>476.28</v>
      </c>
      <c r="L1465" s="1696">
        <f>K1465</f>
        <v>476.28</v>
      </c>
      <c r="M1465" s="263" t="s">
        <v>71</v>
      </c>
      <c r="N1465" s="263" t="s">
        <v>1767</v>
      </c>
      <c r="O1465" s="355" t="s">
        <v>1768</v>
      </c>
      <c r="P1465" s="263" t="s">
        <v>40</v>
      </c>
      <c r="Q1465" s="262"/>
      <c r="R1465" s="263" t="s">
        <v>40</v>
      </c>
      <c r="S1465" s="262"/>
      <c r="T1465" s="263" t="s">
        <v>40</v>
      </c>
      <c r="U1465" s="262"/>
      <c r="V1465" s="263" t="s">
        <v>40</v>
      </c>
      <c r="W1465" s="262"/>
      <c r="X1465" s="263" t="s">
        <v>40</v>
      </c>
      <c r="Y1465" s="262"/>
      <c r="Z1465" s="263" t="s">
        <v>40</v>
      </c>
      <c r="AA1465" s="262"/>
      <c r="AB1465" s="263" t="s">
        <v>40</v>
      </c>
      <c r="AC1465" s="262"/>
      <c r="AD1465" s="262"/>
      <c r="AE1465" s="262">
        <v>46203</v>
      </c>
      <c r="AF1465" s="263" t="s">
        <v>65</v>
      </c>
      <c r="AG1465" s="270">
        <v>2026</v>
      </c>
      <c r="AH1465" s="296">
        <f t="shared" si="50"/>
        <v>2343.0594599999999</v>
      </c>
      <c r="AI1465" s="296"/>
      <c r="AJ1465" s="296"/>
      <c r="AK1465" s="260" t="s">
        <v>43</v>
      </c>
      <c r="AL1465" s="259" t="s">
        <v>41</v>
      </c>
      <c r="AM1465" s="266">
        <v>0</v>
      </c>
      <c r="AN1465" s="67"/>
      <c r="AO1465" s="259"/>
      <c r="AP1465" s="277"/>
      <c r="AQ1465" s="165"/>
      <c r="AR1465" s="165"/>
      <c r="AS1465" s="165"/>
      <c r="AT1465" s="165"/>
      <c r="AU1465" s="165"/>
      <c r="AV1465" s="165"/>
      <c r="AW1465" s="165"/>
      <c r="AX1465" s="165"/>
      <c r="AY1465" s="165"/>
      <c r="AZ1465" s="165"/>
      <c r="BA1465" s="165"/>
      <c r="BB1465" s="165"/>
      <c r="BC1465" s="165"/>
      <c r="BD1465" s="165"/>
      <c r="BE1465" s="165"/>
      <c r="BF1465" s="165"/>
      <c r="BG1465" s="165"/>
      <c r="BH1465" s="165"/>
      <c r="BI1465" s="165"/>
      <c r="BJ1465" s="165"/>
      <c r="BK1465" s="165"/>
      <c r="BL1465" s="165"/>
      <c r="BM1465" s="165"/>
      <c r="BN1465" s="165"/>
      <c r="BO1465" s="165"/>
      <c r="BP1465" s="165"/>
      <c r="BQ1465" s="165"/>
      <c r="BR1465" s="165"/>
      <c r="BS1465" s="165"/>
      <c r="BT1465" s="165"/>
      <c r="BU1465" s="165"/>
      <c r="BV1465" s="165"/>
      <c r="BW1465" s="165"/>
      <c r="BX1465" s="165"/>
      <c r="BY1465" s="165"/>
      <c r="BZ1465" s="165"/>
      <c r="CA1465" s="315"/>
    </row>
    <row r="1466" spans="1:79" s="143" customFormat="1" ht="41.4" customHeight="1" x14ac:dyDescent="0.3">
      <c r="A1466" s="259" t="s">
        <v>1641</v>
      </c>
      <c r="B1466" s="243" t="s">
        <v>3222</v>
      </c>
      <c r="C1466" s="244" t="s">
        <v>3413</v>
      </c>
      <c r="D1466" s="259" t="s">
        <v>34</v>
      </c>
      <c r="E1466" s="259" t="s">
        <v>3224</v>
      </c>
      <c r="F1466" s="260" t="s">
        <v>35</v>
      </c>
      <c r="G1466" s="259">
        <v>25</v>
      </c>
      <c r="H1466" s="70">
        <v>350000</v>
      </c>
      <c r="I1466" s="261" t="s">
        <v>36</v>
      </c>
      <c r="J1466" s="70">
        <v>350000</v>
      </c>
      <c r="K1466" s="1696">
        <v>0</v>
      </c>
      <c r="L1466" s="1696">
        <v>0</v>
      </c>
      <c r="M1466" s="263" t="s">
        <v>63</v>
      </c>
      <c r="N1466" s="263" t="s">
        <v>2801</v>
      </c>
      <c r="O1466" s="355" t="s">
        <v>3414</v>
      </c>
      <c r="P1466" s="263" t="s">
        <v>40</v>
      </c>
      <c r="Q1466" s="262"/>
      <c r="R1466" s="263" t="s">
        <v>40</v>
      </c>
      <c r="S1466" s="262"/>
      <c r="T1466" s="263" t="s">
        <v>40</v>
      </c>
      <c r="U1466" s="262"/>
      <c r="V1466" s="263" t="s">
        <v>40</v>
      </c>
      <c r="W1466" s="262"/>
      <c r="X1466" s="263" t="s">
        <v>40</v>
      </c>
      <c r="Y1466" s="262"/>
      <c r="Z1466" s="263" t="s">
        <v>40</v>
      </c>
      <c r="AA1466" s="262"/>
      <c r="AB1466" s="263" t="s">
        <v>40</v>
      </c>
      <c r="AC1466" s="262"/>
      <c r="AD1466" s="262"/>
      <c r="AE1466" s="262">
        <v>46203</v>
      </c>
      <c r="AF1466" s="263" t="s">
        <v>65</v>
      </c>
      <c r="AG1466" s="270">
        <v>2026</v>
      </c>
      <c r="AH1466" s="296">
        <f t="shared" si="50"/>
        <v>0</v>
      </c>
      <c r="AI1466" s="296"/>
      <c r="AJ1466" s="296"/>
      <c r="AK1466" s="260" t="s">
        <v>43</v>
      </c>
      <c r="AL1466" s="259" t="s">
        <v>41</v>
      </c>
      <c r="AM1466" s="266">
        <v>0</v>
      </c>
      <c r="AN1466" s="67"/>
      <c r="AO1466" s="259"/>
      <c r="AP1466" s="277"/>
      <c r="AQ1466" s="165"/>
      <c r="AR1466" s="165"/>
      <c r="AS1466" s="165"/>
      <c r="AT1466" s="165"/>
      <c r="AU1466" s="165"/>
      <c r="AV1466" s="165"/>
      <c r="AW1466" s="165"/>
      <c r="AX1466" s="165"/>
      <c r="AY1466" s="165"/>
      <c r="AZ1466" s="165"/>
      <c r="BA1466" s="165"/>
      <c r="BB1466" s="165"/>
      <c r="BC1466" s="165"/>
      <c r="BD1466" s="165"/>
      <c r="BE1466" s="165"/>
      <c r="BF1466" s="165"/>
      <c r="BG1466" s="165"/>
      <c r="BH1466" s="165"/>
      <c r="BI1466" s="165"/>
      <c r="BJ1466" s="165"/>
      <c r="BK1466" s="165"/>
      <c r="BL1466" s="165"/>
      <c r="BM1466" s="165"/>
      <c r="BN1466" s="165"/>
      <c r="BO1466" s="165"/>
      <c r="BP1466" s="165"/>
      <c r="BQ1466" s="165"/>
      <c r="BR1466" s="165"/>
      <c r="BS1466" s="165"/>
      <c r="BT1466" s="165"/>
      <c r="BU1466" s="165"/>
      <c r="BV1466" s="165"/>
      <c r="BW1466" s="165"/>
      <c r="BX1466" s="165"/>
      <c r="BY1466" s="165"/>
      <c r="BZ1466" s="165"/>
      <c r="CA1466" s="315"/>
    </row>
    <row r="1467" spans="1:79" s="143" customFormat="1" ht="41.4" customHeight="1" x14ac:dyDescent="0.3">
      <c r="A1467" s="259" t="s">
        <v>1641</v>
      </c>
      <c r="B1467" s="243" t="s">
        <v>3222</v>
      </c>
      <c r="C1467" s="244" t="s">
        <v>3415</v>
      </c>
      <c r="D1467" s="259" t="s">
        <v>34</v>
      </c>
      <c r="E1467" s="259" t="s">
        <v>3224</v>
      </c>
      <c r="F1467" s="260" t="s">
        <v>35</v>
      </c>
      <c r="G1467" s="259">
        <v>2</v>
      </c>
      <c r="H1467" s="70">
        <v>28000</v>
      </c>
      <c r="I1467" s="261" t="s">
        <v>36</v>
      </c>
      <c r="J1467" s="70">
        <v>28000</v>
      </c>
      <c r="K1467" s="1696">
        <v>0</v>
      </c>
      <c r="L1467" s="1696">
        <v>0</v>
      </c>
      <c r="M1467" s="263" t="s">
        <v>76</v>
      </c>
      <c r="N1467" s="263" t="s">
        <v>3416</v>
      </c>
      <c r="O1467" s="355" t="s">
        <v>3417</v>
      </c>
      <c r="P1467" s="263" t="s">
        <v>40</v>
      </c>
      <c r="Q1467" s="262"/>
      <c r="R1467" s="263" t="s">
        <v>40</v>
      </c>
      <c r="S1467" s="262"/>
      <c r="T1467" s="263" t="s">
        <v>40</v>
      </c>
      <c r="U1467" s="262"/>
      <c r="V1467" s="263" t="s">
        <v>40</v>
      </c>
      <c r="W1467" s="262"/>
      <c r="X1467" s="263" t="s">
        <v>40</v>
      </c>
      <c r="Y1467" s="262"/>
      <c r="Z1467" s="263" t="s">
        <v>40</v>
      </c>
      <c r="AA1467" s="262"/>
      <c r="AB1467" s="263" t="s">
        <v>40</v>
      </c>
      <c r="AC1467" s="262"/>
      <c r="AD1467" s="262"/>
      <c r="AE1467" s="262">
        <v>46203</v>
      </c>
      <c r="AF1467" s="263" t="s">
        <v>65</v>
      </c>
      <c r="AG1467" s="270">
        <v>2026</v>
      </c>
      <c r="AH1467" s="296">
        <f t="shared" si="50"/>
        <v>0</v>
      </c>
      <c r="AI1467" s="296"/>
      <c r="AJ1467" s="296"/>
      <c r="AK1467" s="260" t="s">
        <v>43</v>
      </c>
      <c r="AL1467" s="259" t="s">
        <v>41</v>
      </c>
      <c r="AM1467" s="266">
        <v>0</v>
      </c>
      <c r="AN1467" s="67"/>
      <c r="AO1467" s="259"/>
      <c r="AP1467" s="277"/>
      <c r="AQ1467" s="165"/>
      <c r="AR1467" s="165"/>
      <c r="AS1467" s="165"/>
      <c r="AT1467" s="165"/>
      <c r="AU1467" s="165"/>
      <c r="AV1467" s="165"/>
      <c r="AW1467" s="165"/>
      <c r="AX1467" s="165"/>
      <c r="AY1467" s="165"/>
      <c r="AZ1467" s="165"/>
      <c r="BA1467" s="165"/>
      <c r="BB1467" s="165"/>
      <c r="BC1467" s="165"/>
      <c r="BD1467" s="165"/>
      <c r="BE1467" s="165"/>
      <c r="BF1467" s="165"/>
      <c r="BG1467" s="165"/>
      <c r="BH1467" s="165"/>
      <c r="BI1467" s="165"/>
      <c r="BJ1467" s="165"/>
      <c r="BK1467" s="165"/>
      <c r="BL1467" s="165"/>
      <c r="BM1467" s="165"/>
      <c r="BN1467" s="165"/>
      <c r="BO1467" s="165"/>
      <c r="BP1467" s="165"/>
      <c r="BQ1467" s="165"/>
      <c r="BR1467" s="165"/>
      <c r="BS1467" s="165"/>
      <c r="BT1467" s="165"/>
      <c r="BU1467" s="165"/>
      <c r="BV1467" s="165"/>
      <c r="BW1467" s="165"/>
      <c r="BX1467" s="165"/>
      <c r="BY1467" s="165"/>
      <c r="BZ1467" s="165"/>
      <c r="CA1467" s="315"/>
    </row>
    <row r="1468" spans="1:79" s="143" customFormat="1" ht="41.4" customHeight="1" x14ac:dyDescent="0.3">
      <c r="A1468" s="259" t="s">
        <v>1641</v>
      </c>
      <c r="B1468" s="243" t="s">
        <v>3222</v>
      </c>
      <c r="C1468" s="244" t="s">
        <v>3418</v>
      </c>
      <c r="D1468" s="259" t="s">
        <v>34</v>
      </c>
      <c r="E1468" s="259" t="s">
        <v>3224</v>
      </c>
      <c r="F1468" s="260" t="s">
        <v>35</v>
      </c>
      <c r="G1468" s="259">
        <v>20</v>
      </c>
      <c r="H1468" s="70">
        <v>280000</v>
      </c>
      <c r="I1468" s="261" t="s">
        <v>36</v>
      </c>
      <c r="J1468" s="70">
        <v>280000</v>
      </c>
      <c r="K1468" s="1696">
        <v>0</v>
      </c>
      <c r="L1468" s="1696">
        <v>0</v>
      </c>
      <c r="M1468" s="263" t="s">
        <v>50</v>
      </c>
      <c r="N1468" s="263" t="s">
        <v>3419</v>
      </c>
      <c r="O1468" s="355" t="s">
        <v>3420</v>
      </c>
      <c r="P1468" s="263" t="s">
        <v>40</v>
      </c>
      <c r="Q1468" s="262"/>
      <c r="R1468" s="263" t="s">
        <v>40</v>
      </c>
      <c r="S1468" s="262"/>
      <c r="T1468" s="263" t="s">
        <v>40</v>
      </c>
      <c r="U1468" s="262"/>
      <c r="V1468" s="263" t="s">
        <v>40</v>
      </c>
      <c r="W1468" s="262"/>
      <c r="X1468" s="263" t="s">
        <v>40</v>
      </c>
      <c r="Y1468" s="262"/>
      <c r="Z1468" s="263" t="s">
        <v>40</v>
      </c>
      <c r="AA1468" s="262"/>
      <c r="AB1468" s="263" t="s">
        <v>40</v>
      </c>
      <c r="AC1468" s="262"/>
      <c r="AD1468" s="262"/>
      <c r="AE1468" s="262">
        <v>46203</v>
      </c>
      <c r="AF1468" s="263" t="s">
        <v>65</v>
      </c>
      <c r="AG1468" s="270">
        <v>2026</v>
      </c>
      <c r="AH1468" s="296">
        <f t="shared" si="50"/>
        <v>0</v>
      </c>
      <c r="AI1468" s="296"/>
      <c r="AJ1468" s="296"/>
      <c r="AK1468" s="260" t="s">
        <v>43</v>
      </c>
      <c r="AL1468" s="259" t="s">
        <v>41</v>
      </c>
      <c r="AM1468" s="266">
        <v>0</v>
      </c>
      <c r="AN1468" s="67"/>
      <c r="AO1468" s="259"/>
      <c r="AP1468" s="277"/>
      <c r="AQ1468" s="165"/>
      <c r="AR1468" s="165"/>
      <c r="AS1468" s="165"/>
      <c r="AT1468" s="165"/>
      <c r="AU1468" s="165"/>
      <c r="AV1468" s="165"/>
      <c r="AW1468" s="165"/>
      <c r="AX1468" s="165"/>
      <c r="AY1468" s="165"/>
      <c r="AZ1468" s="165"/>
      <c r="BA1468" s="165"/>
      <c r="BB1468" s="165"/>
      <c r="BC1468" s="165"/>
      <c r="BD1468" s="165"/>
      <c r="BE1468" s="165"/>
      <c r="BF1468" s="165"/>
      <c r="BG1468" s="165"/>
      <c r="BH1468" s="165"/>
      <c r="BI1468" s="165"/>
      <c r="BJ1468" s="165"/>
      <c r="BK1468" s="165"/>
      <c r="BL1468" s="165"/>
      <c r="BM1468" s="165"/>
      <c r="BN1468" s="165"/>
      <c r="BO1468" s="165"/>
      <c r="BP1468" s="165"/>
      <c r="BQ1468" s="165"/>
      <c r="BR1468" s="165"/>
      <c r="BS1468" s="165"/>
      <c r="BT1468" s="165"/>
      <c r="BU1468" s="165"/>
      <c r="BV1468" s="165"/>
      <c r="BW1468" s="165"/>
      <c r="BX1468" s="165"/>
      <c r="BY1468" s="165"/>
      <c r="BZ1468" s="165"/>
      <c r="CA1468" s="315"/>
    </row>
    <row r="1469" spans="1:79" s="143" customFormat="1" ht="41.4" customHeight="1" x14ac:dyDescent="0.3">
      <c r="A1469" s="259" t="s">
        <v>1641</v>
      </c>
      <c r="B1469" s="243" t="s">
        <v>3222</v>
      </c>
      <c r="C1469" s="244" t="s">
        <v>3421</v>
      </c>
      <c r="D1469" s="259" t="s">
        <v>34</v>
      </c>
      <c r="E1469" s="259" t="s">
        <v>3224</v>
      </c>
      <c r="F1469" s="260" t="s">
        <v>35</v>
      </c>
      <c r="G1469" s="259">
        <v>14</v>
      </c>
      <c r="H1469" s="70">
        <v>268000</v>
      </c>
      <c r="I1469" s="261" t="s">
        <v>36</v>
      </c>
      <c r="J1469" s="70">
        <v>268000</v>
      </c>
      <c r="K1469" s="1696">
        <v>0</v>
      </c>
      <c r="L1469" s="1696">
        <v>0</v>
      </c>
      <c r="M1469" s="263" t="s">
        <v>54</v>
      </c>
      <c r="N1469" s="263" t="s">
        <v>3018</v>
      </c>
      <c r="O1469" s="355" t="s">
        <v>3422</v>
      </c>
      <c r="P1469" s="263" t="s">
        <v>41</v>
      </c>
      <c r="Q1469" s="262">
        <v>45086</v>
      </c>
      <c r="R1469" s="263" t="s">
        <v>3281</v>
      </c>
      <c r="S1469" s="262">
        <v>45086</v>
      </c>
      <c r="T1469" s="263" t="s">
        <v>40</v>
      </c>
      <c r="U1469" s="262"/>
      <c r="V1469" s="263" t="s">
        <v>40</v>
      </c>
      <c r="W1469" s="262"/>
      <c r="X1469" s="263" t="s">
        <v>40</v>
      </c>
      <c r="Y1469" s="262"/>
      <c r="Z1469" s="263" t="s">
        <v>40</v>
      </c>
      <c r="AA1469" s="262"/>
      <c r="AB1469" s="263" t="s">
        <v>40</v>
      </c>
      <c r="AC1469" s="262"/>
      <c r="AD1469" s="262"/>
      <c r="AE1469" s="262">
        <v>46203</v>
      </c>
      <c r="AF1469" s="263" t="s">
        <v>65</v>
      </c>
      <c r="AG1469" s="270">
        <v>2026</v>
      </c>
      <c r="AH1469" s="296">
        <f t="shared" si="50"/>
        <v>0</v>
      </c>
      <c r="AI1469" s="296"/>
      <c r="AJ1469" s="296"/>
      <c r="AK1469" s="260" t="s">
        <v>43</v>
      </c>
      <c r="AL1469" s="259" t="s">
        <v>41</v>
      </c>
      <c r="AM1469" s="266">
        <v>0</v>
      </c>
      <c r="AN1469" s="67"/>
      <c r="AO1469" s="259"/>
      <c r="AP1469" s="277"/>
      <c r="AQ1469" s="165"/>
      <c r="AR1469" s="165"/>
      <c r="AS1469" s="165"/>
      <c r="AT1469" s="165"/>
      <c r="AU1469" s="165"/>
      <c r="AV1469" s="165"/>
      <c r="AW1469" s="165"/>
      <c r="AX1469" s="165"/>
      <c r="AY1469" s="165"/>
      <c r="AZ1469" s="165"/>
      <c r="BA1469" s="165"/>
      <c r="BB1469" s="165"/>
      <c r="BC1469" s="165"/>
      <c r="BD1469" s="165"/>
      <c r="BE1469" s="165"/>
      <c r="BF1469" s="165"/>
      <c r="BG1469" s="165"/>
      <c r="BH1469" s="165"/>
      <c r="BI1469" s="165"/>
      <c r="BJ1469" s="165"/>
      <c r="BK1469" s="165"/>
      <c r="BL1469" s="165"/>
      <c r="BM1469" s="165"/>
      <c r="BN1469" s="165"/>
      <c r="BO1469" s="165"/>
      <c r="BP1469" s="165"/>
      <c r="BQ1469" s="165"/>
      <c r="BR1469" s="165"/>
      <c r="BS1469" s="165"/>
      <c r="BT1469" s="165"/>
      <c r="BU1469" s="165"/>
      <c r="BV1469" s="165"/>
      <c r="BW1469" s="165"/>
      <c r="BX1469" s="165"/>
      <c r="BY1469" s="165"/>
      <c r="BZ1469" s="165"/>
      <c r="CA1469" s="315"/>
    </row>
    <row r="1470" spans="1:79" s="143" customFormat="1" ht="41.4" customHeight="1" x14ac:dyDescent="0.3">
      <c r="A1470" s="259" t="s">
        <v>1641</v>
      </c>
      <c r="B1470" s="243" t="s">
        <v>3222</v>
      </c>
      <c r="C1470" s="244" t="s">
        <v>3423</v>
      </c>
      <c r="D1470" s="259" t="s">
        <v>34</v>
      </c>
      <c r="E1470" s="259" t="s">
        <v>3224</v>
      </c>
      <c r="F1470" s="260" t="s">
        <v>35</v>
      </c>
      <c r="G1470" s="259">
        <v>25</v>
      </c>
      <c r="H1470" s="70">
        <v>410000</v>
      </c>
      <c r="I1470" s="261" t="s">
        <v>36</v>
      </c>
      <c r="J1470" s="70">
        <v>410000</v>
      </c>
      <c r="K1470" s="1696">
        <v>0</v>
      </c>
      <c r="L1470" s="1696">
        <v>0</v>
      </c>
      <c r="M1470" s="263" t="s">
        <v>303</v>
      </c>
      <c r="N1470" s="263" t="s">
        <v>1668</v>
      </c>
      <c r="O1470" s="355" t="s">
        <v>3424</v>
      </c>
      <c r="P1470" s="263" t="s">
        <v>40</v>
      </c>
      <c r="Q1470" s="262"/>
      <c r="R1470" s="263" t="s">
        <v>40</v>
      </c>
      <c r="S1470" s="262"/>
      <c r="T1470" s="263" t="s">
        <v>40</v>
      </c>
      <c r="U1470" s="262"/>
      <c r="V1470" s="263" t="s">
        <v>40</v>
      </c>
      <c r="W1470" s="262"/>
      <c r="X1470" s="263" t="s">
        <v>40</v>
      </c>
      <c r="Y1470" s="262"/>
      <c r="Z1470" s="263" t="s">
        <v>40</v>
      </c>
      <c r="AA1470" s="262"/>
      <c r="AB1470" s="263" t="s">
        <v>40</v>
      </c>
      <c r="AC1470" s="262"/>
      <c r="AD1470" s="262"/>
      <c r="AE1470" s="262">
        <v>46203</v>
      </c>
      <c r="AF1470" s="263" t="s">
        <v>65</v>
      </c>
      <c r="AG1470" s="270">
        <v>2026</v>
      </c>
      <c r="AH1470" s="296">
        <f t="shared" si="50"/>
        <v>0</v>
      </c>
      <c r="AI1470" s="296"/>
      <c r="AJ1470" s="296"/>
      <c r="AK1470" s="260" t="s">
        <v>43</v>
      </c>
      <c r="AL1470" s="259" t="s">
        <v>41</v>
      </c>
      <c r="AM1470" s="266">
        <v>0</v>
      </c>
      <c r="AN1470" s="67"/>
      <c r="AO1470" s="259"/>
      <c r="AP1470" s="277"/>
      <c r="AQ1470" s="165"/>
      <c r="AR1470" s="165"/>
      <c r="AS1470" s="165"/>
      <c r="AT1470" s="165"/>
      <c r="AU1470" s="165"/>
      <c r="AV1470" s="165"/>
      <c r="AW1470" s="165"/>
      <c r="AX1470" s="165"/>
      <c r="AY1470" s="165"/>
      <c r="AZ1470" s="165"/>
      <c r="BA1470" s="165"/>
      <c r="BB1470" s="165"/>
      <c r="BC1470" s="165"/>
      <c r="BD1470" s="165"/>
      <c r="BE1470" s="165"/>
      <c r="BF1470" s="165"/>
      <c r="BG1470" s="165"/>
      <c r="BH1470" s="165"/>
      <c r="BI1470" s="165"/>
      <c r="BJ1470" s="165"/>
      <c r="BK1470" s="165"/>
      <c r="BL1470" s="165"/>
      <c r="BM1470" s="165"/>
      <c r="BN1470" s="165"/>
      <c r="BO1470" s="165"/>
      <c r="BP1470" s="165"/>
      <c r="BQ1470" s="165"/>
      <c r="BR1470" s="165"/>
      <c r="BS1470" s="165"/>
      <c r="BT1470" s="165"/>
      <c r="BU1470" s="165"/>
      <c r="BV1470" s="165"/>
      <c r="BW1470" s="165"/>
      <c r="BX1470" s="165"/>
      <c r="BY1470" s="165"/>
      <c r="BZ1470" s="165"/>
      <c r="CA1470" s="315"/>
    </row>
    <row r="1471" spans="1:79" s="143" customFormat="1" ht="41.4" customHeight="1" x14ac:dyDescent="0.3">
      <c r="A1471" s="259" t="s">
        <v>1641</v>
      </c>
      <c r="B1471" s="243" t="s">
        <v>3222</v>
      </c>
      <c r="C1471" s="244" t="s">
        <v>3425</v>
      </c>
      <c r="D1471" s="259" t="s">
        <v>34</v>
      </c>
      <c r="E1471" s="259" t="s">
        <v>3224</v>
      </c>
      <c r="F1471" s="260" t="s">
        <v>35</v>
      </c>
      <c r="G1471" s="259">
        <v>11</v>
      </c>
      <c r="H1471" s="70">
        <v>209000</v>
      </c>
      <c r="I1471" s="261" t="s">
        <v>36</v>
      </c>
      <c r="J1471" s="70">
        <v>209000</v>
      </c>
      <c r="K1471" s="1696">
        <v>0</v>
      </c>
      <c r="L1471" s="1696">
        <v>0</v>
      </c>
      <c r="M1471" s="263" t="s">
        <v>1208</v>
      </c>
      <c r="N1471" s="263" t="s">
        <v>3426</v>
      </c>
      <c r="O1471" s="355" t="s">
        <v>3427</v>
      </c>
      <c r="P1471" s="263" t="s">
        <v>40</v>
      </c>
      <c r="Q1471" s="262"/>
      <c r="R1471" s="263" t="s">
        <v>40</v>
      </c>
      <c r="S1471" s="262"/>
      <c r="T1471" s="263" t="s">
        <v>40</v>
      </c>
      <c r="U1471" s="262"/>
      <c r="V1471" s="263" t="s">
        <v>40</v>
      </c>
      <c r="W1471" s="262"/>
      <c r="X1471" s="263" t="s">
        <v>40</v>
      </c>
      <c r="Y1471" s="262"/>
      <c r="Z1471" s="263" t="s">
        <v>40</v>
      </c>
      <c r="AA1471" s="262"/>
      <c r="AB1471" s="263" t="s">
        <v>40</v>
      </c>
      <c r="AC1471" s="262"/>
      <c r="AD1471" s="262"/>
      <c r="AE1471" s="262">
        <v>46203</v>
      </c>
      <c r="AF1471" s="263" t="s">
        <v>65</v>
      </c>
      <c r="AG1471" s="270">
        <v>2026</v>
      </c>
      <c r="AH1471" s="261">
        <f t="shared" si="50"/>
        <v>0</v>
      </c>
      <c r="AI1471" s="261"/>
      <c r="AJ1471" s="261"/>
      <c r="AK1471" s="260" t="s">
        <v>43</v>
      </c>
      <c r="AL1471" s="259" t="s">
        <v>41</v>
      </c>
      <c r="AM1471" s="266">
        <v>0</v>
      </c>
      <c r="AN1471" s="67"/>
      <c r="AO1471" s="259"/>
      <c r="AP1471" s="277"/>
      <c r="AQ1471" s="165"/>
      <c r="AR1471" s="165"/>
      <c r="AS1471" s="165"/>
      <c r="AT1471" s="165"/>
      <c r="AU1471" s="165"/>
      <c r="AV1471" s="165"/>
      <c r="AW1471" s="165"/>
      <c r="AX1471" s="165"/>
      <c r="AY1471" s="165"/>
      <c r="AZ1471" s="165"/>
      <c r="BA1471" s="165"/>
      <c r="BB1471" s="165"/>
      <c r="BC1471" s="165"/>
      <c r="BD1471" s="165"/>
      <c r="BE1471" s="165"/>
      <c r="BF1471" s="165"/>
      <c r="BG1471" s="165"/>
      <c r="BH1471" s="165"/>
      <c r="BI1471" s="165"/>
      <c r="BJ1471" s="165"/>
      <c r="BK1471" s="165"/>
      <c r="BL1471" s="165"/>
      <c r="BM1471" s="165"/>
      <c r="BN1471" s="165"/>
      <c r="BO1471" s="165"/>
      <c r="BP1471" s="165"/>
      <c r="BQ1471" s="165"/>
      <c r="BR1471" s="165"/>
      <c r="BS1471" s="165"/>
      <c r="BT1471" s="165"/>
      <c r="BU1471" s="165"/>
      <c r="BV1471" s="165"/>
      <c r="BW1471" s="165"/>
      <c r="BX1471" s="165"/>
      <c r="BY1471" s="165"/>
      <c r="BZ1471" s="165"/>
      <c r="CA1471" s="315"/>
    </row>
    <row r="1472" spans="1:79" s="143" customFormat="1" ht="61.2" customHeight="1" x14ac:dyDescent="0.3">
      <c r="A1472" s="259" t="s">
        <v>1641</v>
      </c>
      <c r="B1472" s="243" t="s">
        <v>3222</v>
      </c>
      <c r="C1472" s="244" t="s">
        <v>3428</v>
      </c>
      <c r="D1472" s="259" t="s">
        <v>34</v>
      </c>
      <c r="E1472" s="259" t="s">
        <v>3224</v>
      </c>
      <c r="F1472" s="260" t="s">
        <v>35</v>
      </c>
      <c r="G1472" s="259">
        <v>7</v>
      </c>
      <c r="H1472" s="70">
        <v>98000</v>
      </c>
      <c r="I1472" s="261" t="s">
        <v>36</v>
      </c>
      <c r="J1472" s="70">
        <v>98000</v>
      </c>
      <c r="K1472" s="1696">
        <v>0</v>
      </c>
      <c r="L1472" s="1696">
        <v>0</v>
      </c>
      <c r="M1472" s="263" t="s">
        <v>412</v>
      </c>
      <c r="N1472" s="263" t="s">
        <v>1743</v>
      </c>
      <c r="O1472" s="355" t="s">
        <v>3429</v>
      </c>
      <c r="P1472" s="263" t="s">
        <v>40</v>
      </c>
      <c r="Q1472" s="262"/>
      <c r="R1472" s="263" t="s">
        <v>40</v>
      </c>
      <c r="S1472" s="262"/>
      <c r="T1472" s="263" t="s">
        <v>40</v>
      </c>
      <c r="U1472" s="262"/>
      <c r="V1472" s="263" t="s">
        <v>40</v>
      </c>
      <c r="W1472" s="262"/>
      <c r="X1472" s="263" t="s">
        <v>40</v>
      </c>
      <c r="Y1472" s="262"/>
      <c r="Z1472" s="263" t="s">
        <v>40</v>
      </c>
      <c r="AA1472" s="262"/>
      <c r="AB1472" s="263" t="s">
        <v>40</v>
      </c>
      <c r="AC1472" s="262"/>
      <c r="AD1472" s="262"/>
      <c r="AE1472" s="262">
        <v>46203</v>
      </c>
      <c r="AF1472" s="263" t="s">
        <v>65</v>
      </c>
      <c r="AG1472" s="270">
        <v>2026</v>
      </c>
      <c r="AH1472" s="261">
        <f t="shared" si="50"/>
        <v>0</v>
      </c>
      <c r="AI1472" s="261"/>
      <c r="AJ1472" s="261"/>
      <c r="AK1472" s="260" t="s">
        <v>43</v>
      </c>
      <c r="AL1472" s="259" t="s">
        <v>41</v>
      </c>
      <c r="AM1472" s="266">
        <v>0</v>
      </c>
      <c r="AN1472" s="67"/>
      <c r="AO1472" s="259"/>
      <c r="AP1472" s="277"/>
      <c r="AQ1472" s="165"/>
      <c r="AR1472" s="165"/>
      <c r="AS1472" s="165"/>
      <c r="AT1472" s="165"/>
      <c r="AU1472" s="165"/>
      <c r="AV1472" s="165"/>
      <c r="AW1472" s="165"/>
      <c r="AX1472" s="165"/>
      <c r="AY1472" s="165"/>
      <c r="AZ1472" s="165"/>
      <c r="BA1472" s="165"/>
      <c r="BB1472" s="165"/>
      <c r="BC1472" s="165"/>
      <c r="BD1472" s="165"/>
      <c r="BE1472" s="165"/>
      <c r="BF1472" s="165"/>
      <c r="BG1472" s="165"/>
      <c r="BH1472" s="165"/>
      <c r="BI1472" s="165"/>
      <c r="BJ1472" s="165"/>
      <c r="BK1472" s="165"/>
      <c r="BL1472" s="165"/>
      <c r="BM1472" s="165"/>
      <c r="BN1472" s="165"/>
      <c r="BO1472" s="165"/>
      <c r="BP1472" s="165"/>
      <c r="BQ1472" s="165"/>
      <c r="BR1472" s="165"/>
      <c r="BS1472" s="165"/>
      <c r="BT1472" s="165"/>
      <c r="BU1472" s="165"/>
      <c r="BV1472" s="165"/>
      <c r="BW1472" s="165"/>
      <c r="BX1472" s="165"/>
      <c r="BY1472" s="165"/>
      <c r="BZ1472" s="165"/>
      <c r="CA1472" s="315"/>
    </row>
    <row r="1473" spans="1:79" s="143" customFormat="1" ht="41.4" customHeight="1" x14ac:dyDescent="0.3">
      <c r="A1473" s="259" t="s">
        <v>1641</v>
      </c>
      <c r="B1473" s="243" t="s">
        <v>3222</v>
      </c>
      <c r="C1473" s="244" t="s">
        <v>3430</v>
      </c>
      <c r="D1473" s="259" t="s">
        <v>34</v>
      </c>
      <c r="E1473" s="259" t="s">
        <v>3224</v>
      </c>
      <c r="F1473" s="260" t="s">
        <v>35</v>
      </c>
      <c r="G1473" s="259">
        <v>50</v>
      </c>
      <c r="H1473" s="70">
        <v>700000</v>
      </c>
      <c r="I1473" s="261" t="s">
        <v>36</v>
      </c>
      <c r="J1473" s="70">
        <v>700000</v>
      </c>
      <c r="K1473" s="1696">
        <v>0</v>
      </c>
      <c r="L1473" s="1696">
        <v>0</v>
      </c>
      <c r="M1473" s="263" t="s">
        <v>50</v>
      </c>
      <c r="N1473" s="263" t="s">
        <v>2121</v>
      </c>
      <c r="O1473" s="355" t="s">
        <v>3431</v>
      </c>
      <c r="P1473" s="263" t="s">
        <v>40</v>
      </c>
      <c r="Q1473" s="262"/>
      <c r="R1473" s="263" t="s">
        <v>40</v>
      </c>
      <c r="S1473" s="262"/>
      <c r="T1473" s="263" t="s">
        <v>40</v>
      </c>
      <c r="U1473" s="262"/>
      <c r="V1473" s="263" t="s">
        <v>40</v>
      </c>
      <c r="W1473" s="262"/>
      <c r="X1473" s="263" t="s">
        <v>40</v>
      </c>
      <c r="Y1473" s="262"/>
      <c r="Z1473" s="263" t="s">
        <v>40</v>
      </c>
      <c r="AA1473" s="262"/>
      <c r="AB1473" s="263" t="s">
        <v>40</v>
      </c>
      <c r="AC1473" s="262"/>
      <c r="AD1473" s="262"/>
      <c r="AE1473" s="262">
        <v>46203</v>
      </c>
      <c r="AF1473" s="263" t="s">
        <v>65</v>
      </c>
      <c r="AG1473" s="270">
        <v>2026</v>
      </c>
      <c r="AH1473" s="261">
        <f t="shared" si="50"/>
        <v>0</v>
      </c>
      <c r="AI1473" s="261"/>
      <c r="AJ1473" s="261"/>
      <c r="AK1473" s="260" t="s">
        <v>43</v>
      </c>
      <c r="AL1473" s="259" t="s">
        <v>41</v>
      </c>
      <c r="AM1473" s="266">
        <v>0</v>
      </c>
      <c r="AN1473" s="67"/>
      <c r="AO1473" s="259"/>
      <c r="AP1473" s="277"/>
      <c r="AQ1473" s="165"/>
      <c r="AR1473" s="165"/>
      <c r="AS1473" s="165"/>
      <c r="AT1473" s="165"/>
      <c r="AU1473" s="165"/>
      <c r="AV1473" s="165"/>
      <c r="AW1473" s="165"/>
      <c r="AX1473" s="165"/>
      <c r="AY1473" s="165"/>
      <c r="AZ1473" s="165"/>
      <c r="BA1473" s="165"/>
      <c r="BB1473" s="165"/>
      <c r="BC1473" s="165"/>
      <c r="BD1473" s="165"/>
      <c r="BE1473" s="165"/>
      <c r="BF1473" s="165"/>
      <c r="BG1473" s="165"/>
      <c r="BH1473" s="165"/>
      <c r="BI1473" s="165"/>
      <c r="BJ1473" s="165"/>
      <c r="BK1473" s="165"/>
      <c r="BL1473" s="165"/>
      <c r="BM1473" s="165"/>
      <c r="BN1473" s="165"/>
      <c r="BO1473" s="165"/>
      <c r="BP1473" s="165"/>
      <c r="BQ1473" s="165"/>
      <c r="BR1473" s="165"/>
      <c r="BS1473" s="165"/>
      <c r="BT1473" s="165"/>
      <c r="BU1473" s="165"/>
      <c r="BV1473" s="165"/>
      <c r="BW1473" s="165"/>
      <c r="BX1473" s="165"/>
      <c r="BY1473" s="165"/>
      <c r="BZ1473" s="165"/>
      <c r="CA1473" s="315"/>
    </row>
    <row r="1474" spans="1:79" s="143" customFormat="1" ht="41.4" customHeight="1" x14ac:dyDescent="0.3">
      <c r="A1474" s="259" t="s">
        <v>1641</v>
      </c>
      <c r="B1474" s="243" t="s">
        <v>3222</v>
      </c>
      <c r="C1474" s="244" t="s">
        <v>3432</v>
      </c>
      <c r="D1474" s="259" t="s">
        <v>34</v>
      </c>
      <c r="E1474" s="259" t="s">
        <v>3224</v>
      </c>
      <c r="F1474" s="260" t="s">
        <v>35</v>
      </c>
      <c r="G1474" s="259">
        <v>14</v>
      </c>
      <c r="H1474" s="70">
        <v>196000</v>
      </c>
      <c r="I1474" s="261" t="s">
        <v>36</v>
      </c>
      <c r="J1474" s="70">
        <v>196000</v>
      </c>
      <c r="K1474" s="1696">
        <v>0</v>
      </c>
      <c r="L1474" s="1696">
        <v>0</v>
      </c>
      <c r="M1474" s="263" t="s">
        <v>151</v>
      </c>
      <c r="N1474" s="263" t="s">
        <v>3433</v>
      </c>
      <c r="O1474" s="355" t="s">
        <v>3434</v>
      </c>
      <c r="P1474" s="263" t="s">
        <v>40</v>
      </c>
      <c r="Q1474" s="262"/>
      <c r="R1474" s="263" t="s">
        <v>40</v>
      </c>
      <c r="S1474" s="262"/>
      <c r="T1474" s="263" t="s">
        <v>40</v>
      </c>
      <c r="U1474" s="262"/>
      <c r="V1474" s="263" t="s">
        <v>40</v>
      </c>
      <c r="W1474" s="262"/>
      <c r="X1474" s="263" t="s">
        <v>40</v>
      </c>
      <c r="Y1474" s="262"/>
      <c r="Z1474" s="263" t="s">
        <v>40</v>
      </c>
      <c r="AA1474" s="262"/>
      <c r="AB1474" s="263" t="s">
        <v>40</v>
      </c>
      <c r="AC1474" s="262"/>
      <c r="AD1474" s="262"/>
      <c r="AE1474" s="262">
        <v>46203</v>
      </c>
      <c r="AF1474" s="263" t="s">
        <v>65</v>
      </c>
      <c r="AG1474" s="270">
        <v>2026</v>
      </c>
      <c r="AH1474" s="261">
        <f t="shared" si="50"/>
        <v>0</v>
      </c>
      <c r="AI1474" s="261"/>
      <c r="AJ1474" s="261"/>
      <c r="AK1474" s="260" t="s">
        <v>43</v>
      </c>
      <c r="AL1474" s="259" t="s">
        <v>41</v>
      </c>
      <c r="AM1474" s="266">
        <v>0</v>
      </c>
      <c r="AN1474" s="67"/>
      <c r="AO1474" s="259"/>
      <c r="AP1474" s="277"/>
      <c r="AQ1474" s="165"/>
      <c r="AR1474" s="165"/>
      <c r="AS1474" s="165"/>
      <c r="AT1474" s="165"/>
      <c r="AU1474" s="165"/>
      <c r="AV1474" s="165"/>
      <c r="AW1474" s="165"/>
      <c r="AX1474" s="165"/>
      <c r="AY1474" s="165"/>
      <c r="AZ1474" s="165"/>
      <c r="BA1474" s="165"/>
      <c r="BB1474" s="165"/>
      <c r="BC1474" s="165"/>
      <c r="BD1474" s="165"/>
      <c r="BE1474" s="165"/>
      <c r="BF1474" s="165"/>
      <c r="BG1474" s="165"/>
      <c r="BH1474" s="165"/>
      <c r="BI1474" s="165"/>
      <c r="BJ1474" s="165"/>
      <c r="BK1474" s="165"/>
      <c r="BL1474" s="165"/>
      <c r="BM1474" s="165"/>
      <c r="BN1474" s="165"/>
      <c r="BO1474" s="165"/>
      <c r="BP1474" s="165"/>
      <c r="BQ1474" s="165"/>
      <c r="BR1474" s="165"/>
      <c r="BS1474" s="165"/>
      <c r="BT1474" s="165"/>
      <c r="BU1474" s="165"/>
      <c r="BV1474" s="165"/>
      <c r="BW1474" s="165"/>
      <c r="BX1474" s="165"/>
      <c r="BY1474" s="165"/>
      <c r="BZ1474" s="165"/>
      <c r="CA1474" s="315"/>
    </row>
    <row r="1475" spans="1:79" s="143" customFormat="1" ht="41.4" customHeight="1" x14ac:dyDescent="0.3">
      <c r="A1475" s="259" t="s">
        <v>1641</v>
      </c>
      <c r="B1475" s="243" t="s">
        <v>3222</v>
      </c>
      <c r="C1475" s="244" t="s">
        <v>3435</v>
      </c>
      <c r="D1475" s="259" t="s">
        <v>34</v>
      </c>
      <c r="E1475" s="259" t="s">
        <v>3224</v>
      </c>
      <c r="F1475" s="260" t="s">
        <v>35</v>
      </c>
      <c r="G1475" s="259">
        <v>7</v>
      </c>
      <c r="H1475" s="70">
        <v>133000</v>
      </c>
      <c r="I1475" s="261" t="s">
        <v>36</v>
      </c>
      <c r="J1475" s="70">
        <v>133000</v>
      </c>
      <c r="K1475" s="1696">
        <v>0</v>
      </c>
      <c r="L1475" s="1696">
        <v>0</v>
      </c>
      <c r="M1475" s="263" t="s">
        <v>79</v>
      </c>
      <c r="N1475" s="263" t="s">
        <v>2328</v>
      </c>
      <c r="O1475" s="355" t="s">
        <v>3436</v>
      </c>
      <c r="P1475" s="263" t="s">
        <v>40</v>
      </c>
      <c r="Q1475" s="262"/>
      <c r="R1475" s="263" t="s">
        <v>40</v>
      </c>
      <c r="S1475" s="262"/>
      <c r="T1475" s="263" t="s">
        <v>40</v>
      </c>
      <c r="U1475" s="262"/>
      <c r="V1475" s="263" t="s">
        <v>40</v>
      </c>
      <c r="W1475" s="262"/>
      <c r="X1475" s="263" t="s">
        <v>40</v>
      </c>
      <c r="Y1475" s="262"/>
      <c r="Z1475" s="263" t="s">
        <v>40</v>
      </c>
      <c r="AA1475" s="262"/>
      <c r="AB1475" s="263" t="s">
        <v>40</v>
      </c>
      <c r="AC1475" s="262"/>
      <c r="AD1475" s="262"/>
      <c r="AE1475" s="262">
        <v>46203</v>
      </c>
      <c r="AF1475" s="263" t="s">
        <v>65</v>
      </c>
      <c r="AG1475" s="270">
        <v>2026</v>
      </c>
      <c r="AH1475" s="261">
        <f t="shared" si="50"/>
        <v>0</v>
      </c>
      <c r="AI1475" s="261"/>
      <c r="AJ1475" s="261"/>
      <c r="AK1475" s="260" t="s">
        <v>43</v>
      </c>
      <c r="AL1475" s="259" t="s">
        <v>41</v>
      </c>
      <c r="AM1475" s="266">
        <v>0</v>
      </c>
      <c r="AN1475" s="67"/>
      <c r="AO1475" s="259"/>
      <c r="AP1475" s="277"/>
      <c r="AQ1475" s="165"/>
      <c r="AR1475" s="165"/>
      <c r="AS1475" s="165"/>
      <c r="AT1475" s="165"/>
      <c r="AU1475" s="165"/>
      <c r="AV1475" s="165"/>
      <c r="AW1475" s="165"/>
      <c r="AX1475" s="165"/>
      <c r="AY1475" s="165"/>
      <c r="AZ1475" s="165"/>
      <c r="BA1475" s="165"/>
      <c r="BB1475" s="165"/>
      <c r="BC1475" s="165"/>
      <c r="BD1475" s="165"/>
      <c r="BE1475" s="165"/>
      <c r="BF1475" s="165"/>
      <c r="BG1475" s="165"/>
      <c r="BH1475" s="165"/>
      <c r="BI1475" s="165"/>
      <c r="BJ1475" s="165"/>
      <c r="BK1475" s="165"/>
      <c r="BL1475" s="165"/>
      <c r="BM1475" s="165"/>
      <c r="BN1475" s="165"/>
      <c r="BO1475" s="165"/>
      <c r="BP1475" s="165"/>
      <c r="BQ1475" s="165"/>
      <c r="BR1475" s="165"/>
      <c r="BS1475" s="165"/>
      <c r="BT1475" s="165"/>
      <c r="BU1475" s="165"/>
      <c r="BV1475" s="165"/>
      <c r="BW1475" s="165"/>
      <c r="BX1475" s="165"/>
      <c r="BY1475" s="165"/>
      <c r="BZ1475" s="165"/>
      <c r="CA1475" s="315"/>
    </row>
    <row r="1476" spans="1:79" s="143" customFormat="1" ht="41.4" customHeight="1" x14ac:dyDescent="0.3">
      <c r="A1476" s="259" t="s">
        <v>1641</v>
      </c>
      <c r="B1476" s="243" t="s">
        <v>3222</v>
      </c>
      <c r="C1476" s="244" t="s">
        <v>3437</v>
      </c>
      <c r="D1476" s="259" t="s">
        <v>34</v>
      </c>
      <c r="E1476" s="259" t="s">
        <v>3224</v>
      </c>
      <c r="F1476" s="260" t="s">
        <v>35</v>
      </c>
      <c r="G1476" s="259">
        <v>3</v>
      </c>
      <c r="H1476" s="70">
        <v>57000</v>
      </c>
      <c r="I1476" s="261" t="s">
        <v>36</v>
      </c>
      <c r="J1476" s="70">
        <v>57000</v>
      </c>
      <c r="K1476" s="1696">
        <v>0</v>
      </c>
      <c r="L1476" s="1696">
        <v>0</v>
      </c>
      <c r="M1476" s="263" t="s">
        <v>71</v>
      </c>
      <c r="N1476" s="263" t="s">
        <v>3438</v>
      </c>
      <c r="O1476" s="355" t="s">
        <v>3439</v>
      </c>
      <c r="P1476" s="263" t="s">
        <v>40</v>
      </c>
      <c r="Q1476" s="262"/>
      <c r="R1476" s="263" t="s">
        <v>40</v>
      </c>
      <c r="S1476" s="262"/>
      <c r="T1476" s="263" t="s">
        <v>40</v>
      </c>
      <c r="U1476" s="262"/>
      <c r="V1476" s="263" t="s">
        <v>40</v>
      </c>
      <c r="W1476" s="262"/>
      <c r="X1476" s="263" t="s">
        <v>40</v>
      </c>
      <c r="Y1476" s="262"/>
      <c r="Z1476" s="263" t="s">
        <v>40</v>
      </c>
      <c r="AA1476" s="262"/>
      <c r="AB1476" s="263" t="s">
        <v>40</v>
      </c>
      <c r="AC1476" s="262"/>
      <c r="AD1476" s="262"/>
      <c r="AE1476" s="262">
        <v>46203</v>
      </c>
      <c r="AF1476" s="263" t="s">
        <v>65</v>
      </c>
      <c r="AG1476" s="270">
        <v>2026</v>
      </c>
      <c r="AH1476" s="261">
        <f t="shared" si="50"/>
        <v>0</v>
      </c>
      <c r="AI1476" s="261"/>
      <c r="AJ1476" s="261"/>
      <c r="AK1476" s="260" t="s">
        <v>43</v>
      </c>
      <c r="AL1476" s="259" t="s">
        <v>41</v>
      </c>
      <c r="AM1476" s="266">
        <v>0</v>
      </c>
      <c r="AN1476" s="67"/>
      <c r="AO1476" s="259"/>
      <c r="AP1476" s="277"/>
      <c r="AQ1476" s="165"/>
      <c r="AR1476" s="165"/>
      <c r="AS1476" s="165"/>
      <c r="AT1476" s="165"/>
      <c r="AU1476" s="165"/>
      <c r="AV1476" s="165"/>
      <c r="AW1476" s="165"/>
      <c r="AX1476" s="165"/>
      <c r="AY1476" s="165"/>
      <c r="AZ1476" s="165"/>
      <c r="BA1476" s="165"/>
      <c r="BB1476" s="165"/>
      <c r="BC1476" s="165"/>
      <c r="BD1476" s="165"/>
      <c r="BE1476" s="165"/>
      <c r="BF1476" s="165"/>
      <c r="BG1476" s="165"/>
      <c r="BH1476" s="165"/>
      <c r="BI1476" s="165"/>
      <c r="BJ1476" s="165"/>
      <c r="BK1476" s="165"/>
      <c r="BL1476" s="165"/>
      <c r="BM1476" s="165"/>
      <c r="BN1476" s="165"/>
      <c r="BO1476" s="165"/>
      <c r="BP1476" s="165"/>
      <c r="BQ1476" s="165"/>
      <c r="BR1476" s="165"/>
      <c r="BS1476" s="165"/>
      <c r="BT1476" s="165"/>
      <c r="BU1476" s="165"/>
      <c r="BV1476" s="165"/>
      <c r="BW1476" s="165"/>
      <c r="BX1476" s="165"/>
      <c r="BY1476" s="165"/>
      <c r="BZ1476" s="165"/>
      <c r="CA1476" s="315"/>
    </row>
    <row r="1477" spans="1:79" s="143" customFormat="1" ht="41.4" customHeight="1" x14ac:dyDescent="0.3">
      <c r="A1477" s="259" t="s">
        <v>1641</v>
      </c>
      <c r="B1477" s="243" t="s">
        <v>3222</v>
      </c>
      <c r="C1477" s="244" t="s">
        <v>3440</v>
      </c>
      <c r="D1477" s="259" t="s">
        <v>34</v>
      </c>
      <c r="E1477" s="259" t="s">
        <v>3224</v>
      </c>
      <c r="F1477" s="260" t="s">
        <v>35</v>
      </c>
      <c r="G1477" s="259">
        <v>6</v>
      </c>
      <c r="H1477" s="70">
        <v>84000</v>
      </c>
      <c r="I1477" s="261" t="s">
        <v>36</v>
      </c>
      <c r="J1477" s="70">
        <v>84000</v>
      </c>
      <c r="K1477" s="1696">
        <v>0</v>
      </c>
      <c r="L1477" s="1696">
        <v>0</v>
      </c>
      <c r="M1477" s="263" t="s">
        <v>351</v>
      </c>
      <c r="N1477" s="263" t="s">
        <v>3007</v>
      </c>
      <c r="O1477" s="355" t="s">
        <v>3441</v>
      </c>
      <c r="P1477" s="263" t="s">
        <v>40</v>
      </c>
      <c r="Q1477" s="262"/>
      <c r="R1477" s="263" t="s">
        <v>40</v>
      </c>
      <c r="S1477" s="262"/>
      <c r="T1477" s="263" t="s">
        <v>40</v>
      </c>
      <c r="U1477" s="262"/>
      <c r="V1477" s="263" t="s">
        <v>40</v>
      </c>
      <c r="W1477" s="262"/>
      <c r="X1477" s="263" t="s">
        <v>40</v>
      </c>
      <c r="Y1477" s="262"/>
      <c r="Z1477" s="263" t="s">
        <v>40</v>
      </c>
      <c r="AA1477" s="262"/>
      <c r="AB1477" s="263" t="s">
        <v>40</v>
      </c>
      <c r="AC1477" s="262"/>
      <c r="AD1477" s="262"/>
      <c r="AE1477" s="262">
        <v>46203</v>
      </c>
      <c r="AF1477" s="263" t="s">
        <v>65</v>
      </c>
      <c r="AG1477" s="270">
        <v>2026</v>
      </c>
      <c r="AH1477" s="261">
        <f t="shared" si="50"/>
        <v>0</v>
      </c>
      <c r="AI1477" s="261"/>
      <c r="AJ1477" s="261"/>
      <c r="AK1477" s="260" t="s">
        <v>43</v>
      </c>
      <c r="AL1477" s="259" t="s">
        <v>41</v>
      </c>
      <c r="AM1477" s="266">
        <v>0</v>
      </c>
      <c r="AN1477" s="67"/>
      <c r="AO1477" s="259"/>
      <c r="AP1477" s="277"/>
      <c r="AQ1477" s="165"/>
      <c r="AR1477" s="165"/>
      <c r="AS1477" s="165"/>
      <c r="AT1477" s="165"/>
      <c r="AU1477" s="165"/>
      <c r="AV1477" s="165"/>
      <c r="AW1477" s="165"/>
      <c r="AX1477" s="165"/>
      <c r="AY1477" s="165"/>
      <c r="AZ1477" s="165"/>
      <c r="BA1477" s="165"/>
      <c r="BB1477" s="165"/>
      <c r="BC1477" s="165"/>
      <c r="BD1477" s="165"/>
      <c r="BE1477" s="165"/>
      <c r="BF1477" s="165"/>
      <c r="BG1477" s="165"/>
      <c r="BH1477" s="165"/>
      <c r="BI1477" s="165"/>
      <c r="BJ1477" s="165"/>
      <c r="BK1477" s="165"/>
      <c r="BL1477" s="165"/>
      <c r="BM1477" s="165"/>
      <c r="BN1477" s="165"/>
      <c r="BO1477" s="165"/>
      <c r="BP1477" s="165"/>
      <c r="BQ1477" s="165"/>
      <c r="BR1477" s="165"/>
      <c r="BS1477" s="165"/>
      <c r="BT1477" s="165"/>
      <c r="BU1477" s="165"/>
      <c r="BV1477" s="165"/>
      <c r="BW1477" s="165"/>
      <c r="BX1477" s="165"/>
      <c r="BY1477" s="165"/>
      <c r="BZ1477" s="165"/>
      <c r="CA1477" s="315"/>
    </row>
    <row r="1478" spans="1:79" s="143" customFormat="1" ht="41.4" customHeight="1" x14ac:dyDescent="0.3">
      <c r="A1478" s="259" t="s">
        <v>1641</v>
      </c>
      <c r="B1478" s="243" t="s">
        <v>3222</v>
      </c>
      <c r="C1478" s="244" t="s">
        <v>3442</v>
      </c>
      <c r="D1478" s="259" t="s">
        <v>34</v>
      </c>
      <c r="E1478" s="259" t="s">
        <v>3224</v>
      </c>
      <c r="F1478" s="260" t="s">
        <v>35</v>
      </c>
      <c r="G1478" s="259">
        <v>5</v>
      </c>
      <c r="H1478" s="70">
        <v>70000</v>
      </c>
      <c r="I1478" s="261" t="s">
        <v>36</v>
      </c>
      <c r="J1478" s="70">
        <v>70000</v>
      </c>
      <c r="K1478" s="1696">
        <v>0</v>
      </c>
      <c r="L1478" s="1696">
        <v>0</v>
      </c>
      <c r="M1478" s="356" t="s">
        <v>68</v>
      </c>
      <c r="N1478" s="356" t="s">
        <v>3443</v>
      </c>
      <c r="O1478" s="355" t="s">
        <v>3444</v>
      </c>
      <c r="P1478" s="263" t="s">
        <v>40</v>
      </c>
      <c r="Q1478" s="262"/>
      <c r="R1478" s="263" t="s">
        <v>40</v>
      </c>
      <c r="S1478" s="262"/>
      <c r="T1478" s="263" t="s">
        <v>40</v>
      </c>
      <c r="U1478" s="262"/>
      <c r="V1478" s="263" t="s">
        <v>40</v>
      </c>
      <c r="W1478" s="262"/>
      <c r="X1478" s="263" t="s">
        <v>40</v>
      </c>
      <c r="Y1478" s="262"/>
      <c r="Z1478" s="263" t="s">
        <v>40</v>
      </c>
      <c r="AA1478" s="262"/>
      <c r="AB1478" s="263" t="s">
        <v>40</v>
      </c>
      <c r="AC1478" s="262"/>
      <c r="AD1478" s="262"/>
      <c r="AE1478" s="262">
        <v>46203</v>
      </c>
      <c r="AF1478" s="263" t="s">
        <v>65</v>
      </c>
      <c r="AG1478" s="270">
        <v>2026</v>
      </c>
      <c r="AH1478" s="261">
        <f t="shared" si="50"/>
        <v>0</v>
      </c>
      <c r="AI1478" s="261"/>
      <c r="AJ1478" s="261"/>
      <c r="AK1478" s="260" t="s">
        <v>43</v>
      </c>
      <c r="AL1478" s="259" t="s">
        <v>41</v>
      </c>
      <c r="AM1478" s="266">
        <v>0</v>
      </c>
      <c r="AN1478" s="67"/>
      <c r="AO1478" s="259"/>
      <c r="AP1478" s="277"/>
      <c r="AQ1478" s="165"/>
      <c r="AR1478" s="165"/>
      <c r="AS1478" s="165"/>
      <c r="AT1478" s="165"/>
      <c r="AU1478" s="165"/>
      <c r="AV1478" s="165"/>
      <c r="AW1478" s="165"/>
      <c r="AX1478" s="165"/>
      <c r="AY1478" s="165"/>
      <c r="AZ1478" s="165"/>
      <c r="BA1478" s="165"/>
      <c r="BB1478" s="165"/>
      <c r="BC1478" s="165"/>
      <c r="BD1478" s="165"/>
      <c r="BE1478" s="165"/>
      <c r="BF1478" s="165"/>
      <c r="BG1478" s="165"/>
      <c r="BH1478" s="165"/>
      <c r="BI1478" s="165"/>
      <c r="BJ1478" s="165"/>
      <c r="BK1478" s="165"/>
      <c r="BL1478" s="165"/>
      <c r="BM1478" s="165"/>
      <c r="BN1478" s="165"/>
      <c r="BO1478" s="165"/>
      <c r="BP1478" s="165"/>
      <c r="BQ1478" s="165"/>
      <c r="BR1478" s="165"/>
      <c r="BS1478" s="165"/>
      <c r="BT1478" s="165"/>
      <c r="BU1478" s="165"/>
      <c r="BV1478" s="165"/>
      <c r="BW1478" s="165"/>
      <c r="BX1478" s="165"/>
      <c r="BY1478" s="165"/>
      <c r="BZ1478" s="165"/>
      <c r="CA1478" s="315"/>
    </row>
    <row r="1479" spans="1:79" s="143" customFormat="1" ht="41.4" customHeight="1" x14ac:dyDescent="0.3">
      <c r="A1479" s="259" t="s">
        <v>1641</v>
      </c>
      <c r="B1479" s="243" t="s">
        <v>3222</v>
      </c>
      <c r="C1479" s="244" t="s">
        <v>3445</v>
      </c>
      <c r="D1479" s="259" t="s">
        <v>34</v>
      </c>
      <c r="E1479" s="259" t="s">
        <v>3224</v>
      </c>
      <c r="F1479" s="260" t="s">
        <v>35</v>
      </c>
      <c r="G1479" s="259">
        <v>1</v>
      </c>
      <c r="H1479" s="70">
        <v>14000</v>
      </c>
      <c r="I1479" s="261" t="s">
        <v>36</v>
      </c>
      <c r="J1479" s="70">
        <v>14000</v>
      </c>
      <c r="K1479" s="1696">
        <v>0</v>
      </c>
      <c r="L1479" s="1696">
        <v>0</v>
      </c>
      <c r="M1479" s="263" t="s">
        <v>73</v>
      </c>
      <c r="N1479" s="263" t="s">
        <v>3446</v>
      </c>
      <c r="O1479" s="355" t="s">
        <v>3447</v>
      </c>
      <c r="P1479" s="263" t="s">
        <v>40</v>
      </c>
      <c r="Q1479" s="262"/>
      <c r="R1479" s="263" t="s">
        <v>40</v>
      </c>
      <c r="S1479" s="262"/>
      <c r="T1479" s="263" t="s">
        <v>40</v>
      </c>
      <c r="U1479" s="262"/>
      <c r="V1479" s="263" t="s">
        <v>40</v>
      </c>
      <c r="W1479" s="262"/>
      <c r="X1479" s="263" t="s">
        <v>40</v>
      </c>
      <c r="Y1479" s="262"/>
      <c r="Z1479" s="263" t="s">
        <v>40</v>
      </c>
      <c r="AA1479" s="262"/>
      <c r="AB1479" s="263" t="s">
        <v>40</v>
      </c>
      <c r="AC1479" s="262"/>
      <c r="AD1479" s="262"/>
      <c r="AE1479" s="262">
        <v>46203</v>
      </c>
      <c r="AF1479" s="263" t="s">
        <v>65</v>
      </c>
      <c r="AG1479" s="270">
        <v>2026</v>
      </c>
      <c r="AH1479" s="261">
        <f t="shared" si="50"/>
        <v>0</v>
      </c>
      <c r="AI1479" s="261"/>
      <c r="AJ1479" s="261"/>
      <c r="AK1479" s="260" t="s">
        <v>43</v>
      </c>
      <c r="AL1479" s="259" t="s">
        <v>41</v>
      </c>
      <c r="AM1479" s="266">
        <v>0</v>
      </c>
      <c r="AN1479" s="67"/>
      <c r="AO1479" s="259"/>
      <c r="AP1479" s="277"/>
      <c r="AQ1479" s="165"/>
      <c r="AR1479" s="165"/>
      <c r="AS1479" s="165"/>
      <c r="AT1479" s="165"/>
      <c r="AU1479" s="165"/>
      <c r="AV1479" s="165"/>
      <c r="AW1479" s="165"/>
      <c r="AX1479" s="165"/>
      <c r="AY1479" s="165"/>
      <c r="AZ1479" s="165"/>
      <c r="BA1479" s="165"/>
      <c r="BB1479" s="165"/>
      <c r="BC1479" s="165"/>
      <c r="BD1479" s="165"/>
      <c r="BE1479" s="165"/>
      <c r="BF1479" s="165"/>
      <c r="BG1479" s="165"/>
      <c r="BH1479" s="165"/>
      <c r="BI1479" s="165"/>
      <c r="BJ1479" s="165"/>
      <c r="BK1479" s="165"/>
      <c r="BL1479" s="165"/>
      <c r="BM1479" s="165"/>
      <c r="BN1479" s="165"/>
      <c r="BO1479" s="165"/>
      <c r="BP1479" s="165"/>
      <c r="BQ1479" s="165"/>
      <c r="BR1479" s="165"/>
      <c r="BS1479" s="165"/>
      <c r="BT1479" s="165"/>
      <c r="BU1479" s="165"/>
      <c r="BV1479" s="165"/>
      <c r="BW1479" s="165"/>
      <c r="BX1479" s="165"/>
      <c r="BY1479" s="165"/>
      <c r="BZ1479" s="165"/>
      <c r="CA1479" s="315"/>
    </row>
    <row r="1480" spans="1:79" s="143" customFormat="1" ht="41.4" customHeight="1" x14ac:dyDescent="0.3">
      <c r="A1480" s="259" t="s">
        <v>1641</v>
      </c>
      <c r="B1480" s="243" t="s">
        <v>3222</v>
      </c>
      <c r="C1480" s="244" t="s">
        <v>3448</v>
      </c>
      <c r="D1480" s="259" t="s">
        <v>34</v>
      </c>
      <c r="E1480" s="259" t="s">
        <v>3224</v>
      </c>
      <c r="F1480" s="260" t="s">
        <v>35</v>
      </c>
      <c r="G1480" s="259">
        <v>175</v>
      </c>
      <c r="H1480" s="70">
        <v>4100000</v>
      </c>
      <c r="I1480" s="261" t="s">
        <v>36</v>
      </c>
      <c r="J1480" s="70">
        <v>4100000</v>
      </c>
      <c r="K1480" s="1696">
        <v>0</v>
      </c>
      <c r="L1480" s="1696">
        <v>0</v>
      </c>
      <c r="M1480" s="263" t="s">
        <v>55</v>
      </c>
      <c r="N1480" s="263" t="s">
        <v>55</v>
      </c>
      <c r="O1480" s="355" t="s">
        <v>3449</v>
      </c>
      <c r="P1480" s="263" t="s">
        <v>41</v>
      </c>
      <c r="Q1480" s="262">
        <v>45090</v>
      </c>
      <c r="R1480" s="263" t="s">
        <v>3281</v>
      </c>
      <c r="S1480" s="262">
        <v>45090</v>
      </c>
      <c r="T1480" s="263" t="s">
        <v>40</v>
      </c>
      <c r="U1480" s="262"/>
      <c r="V1480" s="263" t="s">
        <v>40</v>
      </c>
      <c r="W1480" s="262"/>
      <c r="X1480" s="263" t="s">
        <v>40</v>
      </c>
      <c r="Y1480" s="262"/>
      <c r="Z1480" s="263" t="s">
        <v>40</v>
      </c>
      <c r="AA1480" s="262"/>
      <c r="AB1480" s="263" t="s">
        <v>40</v>
      </c>
      <c r="AC1480" s="262"/>
      <c r="AD1480" s="262"/>
      <c r="AE1480" s="262">
        <v>46203</v>
      </c>
      <c r="AF1480" s="263" t="s">
        <v>65</v>
      </c>
      <c r="AG1480" s="270">
        <v>2026</v>
      </c>
      <c r="AH1480" s="261">
        <f t="shared" si="50"/>
        <v>0</v>
      </c>
      <c r="AI1480" s="261"/>
      <c r="AJ1480" s="261"/>
      <c r="AK1480" s="260" t="s">
        <v>43</v>
      </c>
      <c r="AL1480" s="259" t="s">
        <v>41</v>
      </c>
      <c r="AM1480" s="266">
        <v>0</v>
      </c>
      <c r="AN1480" s="67"/>
      <c r="AO1480" s="259"/>
      <c r="AP1480" s="277"/>
      <c r="AQ1480" s="165"/>
      <c r="AR1480" s="165"/>
      <c r="AS1480" s="165"/>
      <c r="AT1480" s="165"/>
      <c r="AU1480" s="165"/>
      <c r="AV1480" s="165"/>
      <c r="AW1480" s="165"/>
      <c r="AX1480" s="165"/>
      <c r="AY1480" s="165"/>
      <c r="AZ1480" s="165"/>
      <c r="BA1480" s="165"/>
      <c r="BB1480" s="165"/>
      <c r="BC1480" s="165"/>
      <c r="BD1480" s="165"/>
      <c r="BE1480" s="165"/>
      <c r="BF1480" s="165"/>
      <c r="BG1480" s="165"/>
      <c r="BH1480" s="165"/>
      <c r="BI1480" s="165"/>
      <c r="BJ1480" s="165"/>
      <c r="BK1480" s="165"/>
      <c r="BL1480" s="165"/>
      <c r="BM1480" s="165"/>
      <c r="BN1480" s="165"/>
      <c r="BO1480" s="165"/>
      <c r="BP1480" s="165"/>
      <c r="BQ1480" s="165"/>
      <c r="BR1480" s="165"/>
      <c r="BS1480" s="165"/>
      <c r="BT1480" s="165"/>
      <c r="BU1480" s="165"/>
      <c r="BV1480" s="165"/>
      <c r="BW1480" s="165"/>
      <c r="BX1480" s="165"/>
      <c r="BY1480" s="165"/>
      <c r="BZ1480" s="165"/>
      <c r="CA1480" s="315"/>
    </row>
    <row r="1481" spans="1:79" s="143" customFormat="1" ht="41.4" customHeight="1" x14ac:dyDescent="0.3">
      <c r="A1481" s="259" t="s">
        <v>1641</v>
      </c>
      <c r="B1481" s="243" t="s">
        <v>3222</v>
      </c>
      <c r="C1481" s="244" t="s">
        <v>3450</v>
      </c>
      <c r="D1481" s="259" t="s">
        <v>34</v>
      </c>
      <c r="E1481" s="259" t="s">
        <v>3224</v>
      </c>
      <c r="F1481" s="260" t="s">
        <v>35</v>
      </c>
      <c r="G1481" s="259">
        <v>33</v>
      </c>
      <c r="H1481" s="70">
        <v>597000</v>
      </c>
      <c r="I1481" s="261" t="s">
        <v>36</v>
      </c>
      <c r="J1481" s="70">
        <v>597000</v>
      </c>
      <c r="K1481" s="1696">
        <v>0</v>
      </c>
      <c r="L1481" s="1696">
        <v>0</v>
      </c>
      <c r="M1481" s="263" t="s">
        <v>322</v>
      </c>
      <c r="N1481" s="263" t="s">
        <v>1200</v>
      </c>
      <c r="O1481" s="355" t="s">
        <v>1889</v>
      </c>
      <c r="P1481" s="263" t="s">
        <v>40</v>
      </c>
      <c r="Q1481" s="262"/>
      <c r="R1481" s="263" t="s">
        <v>40</v>
      </c>
      <c r="S1481" s="262"/>
      <c r="T1481" s="263" t="s">
        <v>40</v>
      </c>
      <c r="U1481" s="262"/>
      <c r="V1481" s="263" t="s">
        <v>40</v>
      </c>
      <c r="W1481" s="262"/>
      <c r="X1481" s="263" t="s">
        <v>40</v>
      </c>
      <c r="Y1481" s="262"/>
      <c r="Z1481" s="263" t="s">
        <v>40</v>
      </c>
      <c r="AA1481" s="262"/>
      <c r="AB1481" s="263" t="s">
        <v>40</v>
      </c>
      <c r="AC1481" s="262"/>
      <c r="AD1481" s="262"/>
      <c r="AE1481" s="262">
        <v>46203</v>
      </c>
      <c r="AF1481" s="263" t="s">
        <v>65</v>
      </c>
      <c r="AG1481" s="270">
        <v>2026</v>
      </c>
      <c r="AH1481" s="261">
        <f t="shared" si="50"/>
        <v>0</v>
      </c>
      <c r="AI1481" s="261"/>
      <c r="AJ1481" s="261"/>
      <c r="AK1481" s="260" t="s">
        <v>43</v>
      </c>
      <c r="AL1481" s="259" t="s">
        <v>41</v>
      </c>
      <c r="AM1481" s="266">
        <v>0</v>
      </c>
      <c r="AN1481" s="67"/>
      <c r="AO1481" s="259"/>
      <c r="AP1481" s="277"/>
      <c r="AQ1481" s="165"/>
      <c r="AR1481" s="165"/>
      <c r="AS1481" s="165"/>
      <c r="AT1481" s="165"/>
      <c r="AU1481" s="165"/>
      <c r="AV1481" s="165"/>
      <c r="AW1481" s="165"/>
      <c r="AX1481" s="165"/>
      <c r="AY1481" s="165"/>
      <c r="AZ1481" s="165"/>
      <c r="BA1481" s="165"/>
      <c r="BB1481" s="165"/>
      <c r="BC1481" s="165"/>
      <c r="BD1481" s="165"/>
      <c r="BE1481" s="165"/>
      <c r="BF1481" s="165"/>
      <c r="BG1481" s="165"/>
      <c r="BH1481" s="165"/>
      <c r="BI1481" s="165"/>
      <c r="BJ1481" s="165"/>
      <c r="BK1481" s="165"/>
      <c r="BL1481" s="165"/>
      <c r="BM1481" s="165"/>
      <c r="BN1481" s="165"/>
      <c r="BO1481" s="165"/>
      <c r="BP1481" s="165"/>
      <c r="BQ1481" s="165"/>
      <c r="BR1481" s="165"/>
      <c r="BS1481" s="165"/>
      <c r="BT1481" s="165"/>
      <c r="BU1481" s="165"/>
      <c r="BV1481" s="165"/>
      <c r="BW1481" s="165"/>
      <c r="BX1481" s="165"/>
      <c r="BY1481" s="165"/>
      <c r="BZ1481" s="165"/>
      <c r="CA1481" s="315"/>
    </row>
    <row r="1482" spans="1:79" s="143" customFormat="1" ht="41.4" customHeight="1" x14ac:dyDescent="0.3">
      <c r="A1482" s="259" t="s">
        <v>1641</v>
      </c>
      <c r="B1482" s="243" t="s">
        <v>3222</v>
      </c>
      <c r="C1482" s="244" t="s">
        <v>3451</v>
      </c>
      <c r="D1482" s="259" t="s">
        <v>34</v>
      </c>
      <c r="E1482" s="259" t="s">
        <v>3224</v>
      </c>
      <c r="F1482" s="260" t="s">
        <v>35</v>
      </c>
      <c r="G1482" s="259">
        <v>43</v>
      </c>
      <c r="H1482" s="53">
        <v>602000</v>
      </c>
      <c r="I1482" s="261" t="s">
        <v>36</v>
      </c>
      <c r="J1482" s="53">
        <v>602000</v>
      </c>
      <c r="K1482" s="1696">
        <v>0</v>
      </c>
      <c r="L1482" s="1696">
        <v>0</v>
      </c>
      <c r="M1482" s="263" t="s">
        <v>60</v>
      </c>
      <c r="N1482" s="263" t="s">
        <v>1680</v>
      </c>
      <c r="O1482" s="355" t="s">
        <v>3452</v>
      </c>
      <c r="P1482" s="263" t="s">
        <v>40</v>
      </c>
      <c r="Q1482" s="262"/>
      <c r="R1482" s="263" t="s">
        <v>40</v>
      </c>
      <c r="S1482" s="262"/>
      <c r="T1482" s="263" t="s">
        <v>40</v>
      </c>
      <c r="U1482" s="262"/>
      <c r="V1482" s="263" t="s">
        <v>40</v>
      </c>
      <c r="W1482" s="262"/>
      <c r="X1482" s="263" t="s">
        <v>40</v>
      </c>
      <c r="Y1482" s="262"/>
      <c r="Z1482" s="263" t="s">
        <v>40</v>
      </c>
      <c r="AA1482" s="262"/>
      <c r="AB1482" s="263" t="s">
        <v>40</v>
      </c>
      <c r="AC1482" s="262"/>
      <c r="AD1482" s="262"/>
      <c r="AE1482" s="262">
        <v>46203</v>
      </c>
      <c r="AF1482" s="263" t="s">
        <v>65</v>
      </c>
      <c r="AG1482" s="270">
        <v>2026</v>
      </c>
      <c r="AH1482" s="261">
        <f t="shared" si="50"/>
        <v>0</v>
      </c>
      <c r="AI1482" s="261"/>
      <c r="AJ1482" s="261"/>
      <c r="AK1482" s="260" t="s">
        <v>43</v>
      </c>
      <c r="AL1482" s="259" t="s">
        <v>41</v>
      </c>
      <c r="AM1482" s="266">
        <v>0</v>
      </c>
      <c r="AN1482" s="67"/>
      <c r="AO1482" s="259"/>
      <c r="AP1482" s="277"/>
      <c r="AQ1482" s="165"/>
      <c r="AR1482" s="165"/>
      <c r="AS1482" s="165"/>
      <c r="AT1482" s="165"/>
      <c r="AU1482" s="165"/>
      <c r="AV1482" s="165"/>
      <c r="AW1482" s="165"/>
      <c r="AX1482" s="165"/>
      <c r="AY1482" s="165"/>
      <c r="AZ1482" s="165"/>
      <c r="BA1482" s="165"/>
      <c r="BB1482" s="165"/>
      <c r="BC1482" s="165"/>
      <c r="BD1482" s="165"/>
      <c r="BE1482" s="165"/>
      <c r="BF1482" s="165"/>
      <c r="BG1482" s="165"/>
      <c r="BH1482" s="165"/>
      <c r="BI1482" s="165"/>
      <c r="BJ1482" s="165"/>
      <c r="BK1482" s="165"/>
      <c r="BL1482" s="165"/>
      <c r="BM1482" s="165"/>
      <c r="BN1482" s="165"/>
      <c r="BO1482" s="165"/>
      <c r="BP1482" s="165"/>
      <c r="BQ1482" s="165"/>
      <c r="BR1482" s="165"/>
      <c r="BS1482" s="165"/>
      <c r="BT1482" s="165"/>
      <c r="BU1482" s="165"/>
      <c r="BV1482" s="165"/>
      <c r="BW1482" s="165"/>
      <c r="BX1482" s="165"/>
      <c r="BY1482" s="165"/>
      <c r="BZ1482" s="165"/>
      <c r="CA1482" s="315"/>
    </row>
    <row r="1483" spans="1:79" s="143" customFormat="1" ht="41.4" customHeight="1" x14ac:dyDescent="0.3">
      <c r="A1483" s="259" t="s">
        <v>1641</v>
      </c>
      <c r="B1483" s="243" t="s">
        <v>3222</v>
      </c>
      <c r="C1483" s="244" t="s">
        <v>3453</v>
      </c>
      <c r="D1483" s="259" t="s">
        <v>34</v>
      </c>
      <c r="E1483" s="259" t="s">
        <v>3224</v>
      </c>
      <c r="F1483" s="260" t="s">
        <v>35</v>
      </c>
      <c r="G1483" s="259">
        <v>100</v>
      </c>
      <c r="H1483" s="53">
        <v>1860000</v>
      </c>
      <c r="I1483" s="261" t="s">
        <v>36</v>
      </c>
      <c r="J1483" s="53">
        <v>1860000</v>
      </c>
      <c r="K1483" s="1696">
        <v>0</v>
      </c>
      <c r="L1483" s="1696">
        <v>0</v>
      </c>
      <c r="M1483" s="263" t="s">
        <v>351</v>
      </c>
      <c r="N1483" s="263" t="s">
        <v>351</v>
      </c>
      <c r="O1483" s="355" t="s">
        <v>3454</v>
      </c>
      <c r="P1483" s="263" t="s">
        <v>41</v>
      </c>
      <c r="Q1483" s="262">
        <v>45090</v>
      </c>
      <c r="R1483" s="263" t="s">
        <v>3281</v>
      </c>
      <c r="S1483" s="262">
        <v>45090</v>
      </c>
      <c r="T1483" s="263" t="s">
        <v>40</v>
      </c>
      <c r="U1483" s="262"/>
      <c r="V1483" s="263" t="s">
        <v>40</v>
      </c>
      <c r="W1483" s="262"/>
      <c r="X1483" s="263" t="s">
        <v>40</v>
      </c>
      <c r="Y1483" s="262"/>
      <c r="Z1483" s="263" t="s">
        <v>40</v>
      </c>
      <c r="AA1483" s="262"/>
      <c r="AB1483" s="263" t="s">
        <v>40</v>
      </c>
      <c r="AC1483" s="262"/>
      <c r="AD1483" s="262"/>
      <c r="AE1483" s="262">
        <v>46203</v>
      </c>
      <c r="AF1483" s="263" t="s">
        <v>65</v>
      </c>
      <c r="AG1483" s="270">
        <v>2026</v>
      </c>
      <c r="AH1483" s="261">
        <f t="shared" si="50"/>
        <v>0</v>
      </c>
      <c r="AI1483" s="261"/>
      <c r="AJ1483" s="261"/>
      <c r="AK1483" s="260" t="s">
        <v>43</v>
      </c>
      <c r="AL1483" s="259" t="s">
        <v>41</v>
      </c>
      <c r="AM1483" s="266">
        <v>0</v>
      </c>
      <c r="AN1483" s="67"/>
      <c r="AO1483" s="259"/>
      <c r="AP1483" s="277"/>
      <c r="AQ1483" s="165"/>
      <c r="AR1483" s="165"/>
      <c r="AS1483" s="165"/>
      <c r="AT1483" s="165"/>
      <c r="AU1483" s="165"/>
      <c r="AV1483" s="165"/>
      <c r="AW1483" s="165"/>
      <c r="AX1483" s="165"/>
      <c r="AY1483" s="165"/>
      <c r="AZ1483" s="165"/>
      <c r="BA1483" s="165"/>
      <c r="BB1483" s="165"/>
      <c r="BC1483" s="165"/>
      <c r="BD1483" s="165"/>
      <c r="BE1483" s="165"/>
      <c r="BF1483" s="165"/>
      <c r="BG1483" s="165"/>
      <c r="BH1483" s="165"/>
      <c r="BI1483" s="165"/>
      <c r="BJ1483" s="165"/>
      <c r="BK1483" s="165"/>
      <c r="BL1483" s="165"/>
      <c r="BM1483" s="165"/>
      <c r="BN1483" s="165"/>
      <c r="BO1483" s="165"/>
      <c r="BP1483" s="165"/>
      <c r="BQ1483" s="165"/>
      <c r="BR1483" s="165"/>
      <c r="BS1483" s="165"/>
      <c r="BT1483" s="165"/>
      <c r="BU1483" s="165"/>
      <c r="BV1483" s="165"/>
      <c r="BW1483" s="165"/>
      <c r="BX1483" s="165"/>
      <c r="BY1483" s="165"/>
      <c r="BZ1483" s="165"/>
      <c r="CA1483" s="315"/>
    </row>
    <row r="1484" spans="1:79" s="143" customFormat="1" ht="41.4" customHeight="1" x14ac:dyDescent="0.3">
      <c r="A1484" s="259" t="s">
        <v>1641</v>
      </c>
      <c r="B1484" s="243" t="s">
        <v>3222</v>
      </c>
      <c r="C1484" s="244" t="s">
        <v>3455</v>
      </c>
      <c r="D1484" s="259" t="s">
        <v>34</v>
      </c>
      <c r="E1484" s="259" t="s">
        <v>3224</v>
      </c>
      <c r="F1484" s="260" t="s">
        <v>35</v>
      </c>
      <c r="G1484" s="259">
        <v>25</v>
      </c>
      <c r="H1484" s="53">
        <v>350000</v>
      </c>
      <c r="I1484" s="261" t="s">
        <v>36</v>
      </c>
      <c r="J1484" s="53">
        <v>350000</v>
      </c>
      <c r="K1484" s="1696">
        <v>0</v>
      </c>
      <c r="L1484" s="1696">
        <v>0</v>
      </c>
      <c r="M1484" s="263" t="s">
        <v>49</v>
      </c>
      <c r="N1484" s="263" t="s">
        <v>3456</v>
      </c>
      <c r="O1484" s="355" t="s">
        <v>3457</v>
      </c>
      <c r="P1484" s="263" t="s">
        <v>40</v>
      </c>
      <c r="Q1484" s="262"/>
      <c r="R1484" s="263" t="s">
        <v>40</v>
      </c>
      <c r="S1484" s="262"/>
      <c r="T1484" s="263" t="s">
        <v>40</v>
      </c>
      <c r="U1484" s="262"/>
      <c r="V1484" s="263" t="s">
        <v>40</v>
      </c>
      <c r="W1484" s="262"/>
      <c r="X1484" s="263" t="s">
        <v>40</v>
      </c>
      <c r="Y1484" s="262"/>
      <c r="Z1484" s="263" t="s">
        <v>40</v>
      </c>
      <c r="AA1484" s="262"/>
      <c r="AB1484" s="263" t="s">
        <v>40</v>
      </c>
      <c r="AC1484" s="262"/>
      <c r="AD1484" s="262"/>
      <c r="AE1484" s="262">
        <v>46203</v>
      </c>
      <c r="AF1484" s="263" t="s">
        <v>65</v>
      </c>
      <c r="AG1484" s="270">
        <v>2026</v>
      </c>
      <c r="AH1484" s="261">
        <f t="shared" si="50"/>
        <v>0</v>
      </c>
      <c r="AI1484" s="261"/>
      <c r="AJ1484" s="261"/>
      <c r="AK1484" s="260" t="s">
        <v>43</v>
      </c>
      <c r="AL1484" s="259" t="s">
        <v>41</v>
      </c>
      <c r="AM1484" s="266">
        <v>0</v>
      </c>
      <c r="AN1484" s="67"/>
      <c r="AO1484" s="259"/>
      <c r="AP1484" s="277"/>
      <c r="AQ1484" s="165"/>
      <c r="AR1484" s="165"/>
      <c r="AS1484" s="165"/>
      <c r="AT1484" s="165"/>
      <c r="AU1484" s="165"/>
      <c r="AV1484" s="165"/>
      <c r="AW1484" s="165"/>
      <c r="AX1484" s="165"/>
      <c r="AY1484" s="165"/>
      <c r="AZ1484" s="165"/>
      <c r="BA1484" s="165"/>
      <c r="BB1484" s="165"/>
      <c r="BC1484" s="165"/>
      <c r="BD1484" s="165"/>
      <c r="BE1484" s="165"/>
      <c r="BF1484" s="165"/>
      <c r="BG1484" s="165"/>
      <c r="BH1484" s="165"/>
      <c r="BI1484" s="165"/>
      <c r="BJ1484" s="165"/>
      <c r="BK1484" s="165"/>
      <c r="BL1484" s="165"/>
      <c r="BM1484" s="165"/>
      <c r="BN1484" s="165"/>
      <c r="BO1484" s="165"/>
      <c r="BP1484" s="165"/>
      <c r="BQ1484" s="165"/>
      <c r="BR1484" s="165"/>
      <c r="BS1484" s="165"/>
      <c r="BT1484" s="165"/>
      <c r="BU1484" s="165"/>
      <c r="BV1484" s="165"/>
      <c r="BW1484" s="165"/>
      <c r="BX1484" s="165"/>
      <c r="BY1484" s="165"/>
      <c r="BZ1484" s="165"/>
      <c r="CA1484" s="315"/>
    </row>
    <row r="1485" spans="1:79" s="143" customFormat="1" ht="41.4" customHeight="1" x14ac:dyDescent="0.3">
      <c r="A1485" s="259" t="s">
        <v>1641</v>
      </c>
      <c r="B1485" s="243" t="s">
        <v>3222</v>
      </c>
      <c r="C1485" s="244" t="s">
        <v>3458</v>
      </c>
      <c r="D1485" s="259" t="s">
        <v>34</v>
      </c>
      <c r="E1485" s="259" t="s">
        <v>3224</v>
      </c>
      <c r="F1485" s="260" t="s">
        <v>35</v>
      </c>
      <c r="G1485" s="259">
        <v>32</v>
      </c>
      <c r="H1485" s="53">
        <v>448000</v>
      </c>
      <c r="I1485" s="261" t="s">
        <v>36</v>
      </c>
      <c r="J1485" s="53">
        <v>448000</v>
      </c>
      <c r="K1485" s="1696">
        <v>0</v>
      </c>
      <c r="L1485" s="1696">
        <v>0</v>
      </c>
      <c r="M1485" s="263" t="s">
        <v>183</v>
      </c>
      <c r="N1485" s="263" t="s">
        <v>2320</v>
      </c>
      <c r="O1485" s="355" t="s">
        <v>3459</v>
      </c>
      <c r="P1485" s="263" t="s">
        <v>40</v>
      </c>
      <c r="Q1485" s="262"/>
      <c r="R1485" s="263" t="s">
        <v>40</v>
      </c>
      <c r="S1485" s="262"/>
      <c r="T1485" s="263" t="s">
        <v>40</v>
      </c>
      <c r="U1485" s="262"/>
      <c r="V1485" s="263" t="s">
        <v>40</v>
      </c>
      <c r="W1485" s="262"/>
      <c r="X1485" s="263" t="s">
        <v>40</v>
      </c>
      <c r="Y1485" s="262"/>
      <c r="Z1485" s="263" t="s">
        <v>40</v>
      </c>
      <c r="AA1485" s="262"/>
      <c r="AB1485" s="263" t="s">
        <v>40</v>
      </c>
      <c r="AC1485" s="262"/>
      <c r="AD1485" s="262"/>
      <c r="AE1485" s="262">
        <v>46203</v>
      </c>
      <c r="AF1485" s="263" t="s">
        <v>65</v>
      </c>
      <c r="AG1485" s="270">
        <v>2026</v>
      </c>
      <c r="AH1485" s="261">
        <f t="shared" si="50"/>
        <v>0</v>
      </c>
      <c r="AI1485" s="261"/>
      <c r="AJ1485" s="261"/>
      <c r="AK1485" s="260" t="s">
        <v>43</v>
      </c>
      <c r="AL1485" s="259" t="s">
        <v>41</v>
      </c>
      <c r="AM1485" s="266">
        <v>0</v>
      </c>
      <c r="AN1485" s="67"/>
      <c r="AO1485" s="259"/>
      <c r="AP1485" s="277"/>
      <c r="AQ1485" s="165"/>
      <c r="AR1485" s="165"/>
      <c r="AS1485" s="165"/>
      <c r="AT1485" s="165"/>
      <c r="AU1485" s="165"/>
      <c r="AV1485" s="165"/>
      <c r="AW1485" s="165"/>
      <c r="AX1485" s="165"/>
      <c r="AY1485" s="165"/>
      <c r="AZ1485" s="165"/>
      <c r="BA1485" s="165"/>
      <c r="BB1485" s="165"/>
      <c r="BC1485" s="165"/>
      <c r="BD1485" s="165"/>
      <c r="BE1485" s="165"/>
      <c r="BF1485" s="165"/>
      <c r="BG1485" s="165"/>
      <c r="BH1485" s="165"/>
      <c r="BI1485" s="165"/>
      <c r="BJ1485" s="165"/>
      <c r="BK1485" s="165"/>
      <c r="BL1485" s="165"/>
      <c r="BM1485" s="165"/>
      <c r="BN1485" s="165"/>
      <c r="BO1485" s="165"/>
      <c r="BP1485" s="165"/>
      <c r="BQ1485" s="165"/>
      <c r="BR1485" s="165"/>
      <c r="BS1485" s="165"/>
      <c r="BT1485" s="165"/>
      <c r="BU1485" s="165"/>
      <c r="BV1485" s="165"/>
      <c r="BW1485" s="165"/>
      <c r="BX1485" s="165"/>
      <c r="BY1485" s="165"/>
      <c r="BZ1485" s="165"/>
      <c r="CA1485" s="315"/>
    </row>
    <row r="1486" spans="1:79" s="143" customFormat="1" ht="41.4" customHeight="1" x14ac:dyDescent="0.3">
      <c r="A1486" s="259" t="s">
        <v>1641</v>
      </c>
      <c r="B1486" s="243" t="s">
        <v>3222</v>
      </c>
      <c r="C1486" s="244" t="s">
        <v>3460</v>
      </c>
      <c r="D1486" s="259" t="s">
        <v>34</v>
      </c>
      <c r="E1486" s="259" t="s">
        <v>3224</v>
      </c>
      <c r="F1486" s="260" t="s">
        <v>35</v>
      </c>
      <c r="G1486" s="259">
        <v>32</v>
      </c>
      <c r="H1486" s="53">
        <v>763000</v>
      </c>
      <c r="I1486" s="261" t="s">
        <v>36</v>
      </c>
      <c r="J1486" s="53">
        <v>763000</v>
      </c>
      <c r="K1486" s="1696">
        <v>0</v>
      </c>
      <c r="L1486" s="1696">
        <v>0</v>
      </c>
      <c r="M1486" s="263" t="s">
        <v>59</v>
      </c>
      <c r="N1486" s="263" t="s">
        <v>3461</v>
      </c>
      <c r="O1486" s="355" t="s">
        <v>3462</v>
      </c>
      <c r="P1486" s="263" t="s">
        <v>41</v>
      </c>
      <c r="Q1486" s="262">
        <v>45090</v>
      </c>
      <c r="R1486" s="263" t="s">
        <v>3281</v>
      </c>
      <c r="S1486" s="262">
        <v>45090</v>
      </c>
      <c r="T1486" s="263" t="s">
        <v>40</v>
      </c>
      <c r="U1486" s="262"/>
      <c r="V1486" s="263" t="s">
        <v>40</v>
      </c>
      <c r="W1486" s="262"/>
      <c r="X1486" s="263" t="s">
        <v>40</v>
      </c>
      <c r="Y1486" s="262"/>
      <c r="Z1486" s="263" t="s">
        <v>40</v>
      </c>
      <c r="AA1486" s="262"/>
      <c r="AB1486" s="263" t="s">
        <v>40</v>
      </c>
      <c r="AC1486" s="262"/>
      <c r="AD1486" s="262"/>
      <c r="AE1486" s="262">
        <v>46203</v>
      </c>
      <c r="AF1486" s="263" t="s">
        <v>65</v>
      </c>
      <c r="AG1486" s="270">
        <v>2026</v>
      </c>
      <c r="AH1486" s="261">
        <f t="shared" si="50"/>
        <v>0</v>
      </c>
      <c r="AI1486" s="261"/>
      <c r="AJ1486" s="261"/>
      <c r="AK1486" s="260" t="s">
        <v>43</v>
      </c>
      <c r="AL1486" s="259" t="s">
        <v>41</v>
      </c>
      <c r="AM1486" s="266">
        <v>0</v>
      </c>
      <c r="AN1486" s="67"/>
      <c r="AO1486" s="259"/>
      <c r="AP1486" s="277"/>
      <c r="AQ1486" s="165"/>
      <c r="AR1486" s="165"/>
      <c r="AS1486" s="165"/>
      <c r="AT1486" s="165"/>
      <c r="AU1486" s="165"/>
      <c r="AV1486" s="165"/>
      <c r="AW1486" s="165"/>
      <c r="AX1486" s="165"/>
      <c r="AY1486" s="165"/>
      <c r="AZ1486" s="165"/>
      <c r="BA1486" s="165"/>
      <c r="BB1486" s="165"/>
      <c r="BC1486" s="165"/>
      <c r="BD1486" s="165"/>
      <c r="BE1486" s="165"/>
      <c r="BF1486" s="165"/>
      <c r="BG1486" s="165"/>
      <c r="BH1486" s="165"/>
      <c r="BI1486" s="165"/>
      <c r="BJ1486" s="165"/>
      <c r="BK1486" s="165"/>
      <c r="BL1486" s="165"/>
      <c r="BM1486" s="165"/>
      <c r="BN1486" s="165"/>
      <c r="BO1486" s="165"/>
      <c r="BP1486" s="165"/>
      <c r="BQ1486" s="165"/>
      <c r="BR1486" s="165"/>
      <c r="BS1486" s="165"/>
      <c r="BT1486" s="165"/>
      <c r="BU1486" s="165"/>
      <c r="BV1486" s="165"/>
      <c r="BW1486" s="165"/>
      <c r="BX1486" s="165"/>
      <c r="BY1486" s="165"/>
      <c r="BZ1486" s="165"/>
      <c r="CA1486" s="315"/>
    </row>
    <row r="1487" spans="1:79" s="143" customFormat="1" ht="41.4" customHeight="1" x14ac:dyDescent="0.3">
      <c r="A1487" s="259" t="s">
        <v>1641</v>
      </c>
      <c r="B1487" s="243" t="s">
        <v>3222</v>
      </c>
      <c r="C1487" s="244" t="s">
        <v>3463</v>
      </c>
      <c r="D1487" s="259" t="s">
        <v>34</v>
      </c>
      <c r="E1487" s="259" t="s">
        <v>3224</v>
      </c>
      <c r="F1487" s="260" t="s">
        <v>35</v>
      </c>
      <c r="G1487" s="259">
        <v>275</v>
      </c>
      <c r="H1487" s="53">
        <v>3850000</v>
      </c>
      <c r="I1487" s="261" t="s">
        <v>36</v>
      </c>
      <c r="J1487" s="53">
        <v>3850000</v>
      </c>
      <c r="K1487" s="1696">
        <v>0</v>
      </c>
      <c r="L1487" s="1696">
        <v>0</v>
      </c>
      <c r="M1487" s="263" t="s">
        <v>73</v>
      </c>
      <c r="N1487" s="263" t="s">
        <v>3464</v>
      </c>
      <c r="O1487" s="355" t="s">
        <v>3465</v>
      </c>
      <c r="P1487" s="263" t="s">
        <v>40</v>
      </c>
      <c r="Q1487" s="262"/>
      <c r="R1487" s="263" t="s">
        <v>40</v>
      </c>
      <c r="S1487" s="262"/>
      <c r="T1487" s="263" t="s">
        <v>40</v>
      </c>
      <c r="U1487" s="262"/>
      <c r="V1487" s="263" t="s">
        <v>40</v>
      </c>
      <c r="W1487" s="262"/>
      <c r="X1487" s="263" t="s">
        <v>40</v>
      </c>
      <c r="Y1487" s="262"/>
      <c r="Z1487" s="263" t="s">
        <v>40</v>
      </c>
      <c r="AA1487" s="262"/>
      <c r="AB1487" s="263" t="s">
        <v>40</v>
      </c>
      <c r="AC1487" s="262"/>
      <c r="AD1487" s="262"/>
      <c r="AE1487" s="262">
        <v>46203</v>
      </c>
      <c r="AF1487" s="263" t="s">
        <v>65</v>
      </c>
      <c r="AG1487" s="270">
        <v>2026</v>
      </c>
      <c r="AH1487" s="261">
        <f t="shared" si="50"/>
        <v>0</v>
      </c>
      <c r="AI1487" s="261"/>
      <c r="AJ1487" s="261"/>
      <c r="AK1487" s="260" t="s">
        <v>43</v>
      </c>
      <c r="AL1487" s="259" t="s">
        <v>41</v>
      </c>
      <c r="AM1487" s="266">
        <v>0</v>
      </c>
      <c r="AN1487" s="67"/>
      <c r="AO1487" s="259"/>
      <c r="AP1487" s="277"/>
      <c r="AQ1487" s="165"/>
      <c r="AR1487" s="165"/>
      <c r="AS1487" s="165"/>
      <c r="AT1487" s="165"/>
      <c r="AU1487" s="165"/>
      <c r="AV1487" s="165"/>
      <c r="AW1487" s="165"/>
      <c r="AX1487" s="165"/>
      <c r="AY1487" s="165"/>
      <c r="AZ1487" s="165"/>
      <c r="BA1487" s="165"/>
      <c r="BB1487" s="165"/>
      <c r="BC1487" s="165"/>
      <c r="BD1487" s="165"/>
      <c r="BE1487" s="165"/>
      <c r="BF1487" s="165"/>
      <c r="BG1487" s="165"/>
      <c r="BH1487" s="165"/>
      <c r="BI1487" s="165"/>
      <c r="BJ1487" s="165"/>
      <c r="BK1487" s="165"/>
      <c r="BL1487" s="165"/>
      <c r="BM1487" s="165"/>
      <c r="BN1487" s="165"/>
      <c r="BO1487" s="165"/>
      <c r="BP1487" s="165"/>
      <c r="BQ1487" s="165"/>
      <c r="BR1487" s="165"/>
      <c r="BS1487" s="165"/>
      <c r="BT1487" s="165"/>
      <c r="BU1487" s="165"/>
      <c r="BV1487" s="165"/>
      <c r="BW1487" s="165"/>
      <c r="BX1487" s="165"/>
      <c r="BY1487" s="165"/>
      <c r="BZ1487" s="165"/>
      <c r="CA1487" s="315"/>
    </row>
    <row r="1488" spans="1:79" s="143" customFormat="1" ht="41.4" customHeight="1" x14ac:dyDescent="0.3">
      <c r="A1488" s="259" t="s">
        <v>1641</v>
      </c>
      <c r="B1488" s="243" t="s">
        <v>3222</v>
      </c>
      <c r="C1488" s="244" t="s">
        <v>3466</v>
      </c>
      <c r="D1488" s="259" t="s">
        <v>34</v>
      </c>
      <c r="E1488" s="259" t="s">
        <v>3224</v>
      </c>
      <c r="F1488" s="260" t="s">
        <v>35</v>
      </c>
      <c r="G1488" s="259">
        <v>50</v>
      </c>
      <c r="H1488" s="53">
        <v>700000</v>
      </c>
      <c r="I1488" s="261" t="s">
        <v>36</v>
      </c>
      <c r="J1488" s="53">
        <v>700000</v>
      </c>
      <c r="K1488" s="1696">
        <v>0</v>
      </c>
      <c r="L1488" s="1696">
        <v>0</v>
      </c>
      <c r="M1488" s="263" t="s">
        <v>53</v>
      </c>
      <c r="N1488" s="263" t="s">
        <v>3467</v>
      </c>
      <c r="O1488" s="355" t="s">
        <v>3468</v>
      </c>
      <c r="P1488" s="263" t="s">
        <v>40</v>
      </c>
      <c r="Q1488" s="262"/>
      <c r="R1488" s="263" t="s">
        <v>40</v>
      </c>
      <c r="S1488" s="262"/>
      <c r="T1488" s="263" t="s">
        <v>40</v>
      </c>
      <c r="U1488" s="262"/>
      <c r="V1488" s="263" t="s">
        <v>40</v>
      </c>
      <c r="W1488" s="262"/>
      <c r="X1488" s="263" t="s">
        <v>40</v>
      </c>
      <c r="Y1488" s="262"/>
      <c r="Z1488" s="263" t="s">
        <v>40</v>
      </c>
      <c r="AA1488" s="262"/>
      <c r="AB1488" s="263" t="s">
        <v>40</v>
      </c>
      <c r="AC1488" s="262"/>
      <c r="AD1488" s="262"/>
      <c r="AE1488" s="262">
        <v>46203</v>
      </c>
      <c r="AF1488" s="263" t="s">
        <v>65</v>
      </c>
      <c r="AG1488" s="270">
        <v>2026</v>
      </c>
      <c r="AH1488" s="261">
        <f t="shared" si="50"/>
        <v>0</v>
      </c>
      <c r="AI1488" s="261"/>
      <c r="AJ1488" s="261"/>
      <c r="AK1488" s="260" t="s">
        <v>43</v>
      </c>
      <c r="AL1488" s="259" t="s">
        <v>41</v>
      </c>
      <c r="AM1488" s="266">
        <v>0</v>
      </c>
      <c r="AN1488" s="67"/>
      <c r="AO1488" s="259"/>
      <c r="AP1488" s="277"/>
      <c r="AQ1488" s="165"/>
      <c r="AR1488" s="165"/>
      <c r="AS1488" s="165"/>
      <c r="AT1488" s="165"/>
      <c r="AU1488" s="165"/>
      <c r="AV1488" s="165"/>
      <c r="AW1488" s="165"/>
      <c r="AX1488" s="165"/>
      <c r="AY1488" s="165"/>
      <c r="AZ1488" s="165"/>
      <c r="BA1488" s="165"/>
      <c r="BB1488" s="165"/>
      <c r="BC1488" s="165"/>
      <c r="BD1488" s="165"/>
      <c r="BE1488" s="165"/>
      <c r="BF1488" s="165"/>
      <c r="BG1488" s="165"/>
      <c r="BH1488" s="165"/>
      <c r="BI1488" s="165"/>
      <c r="BJ1488" s="165"/>
      <c r="BK1488" s="165"/>
      <c r="BL1488" s="165"/>
      <c r="BM1488" s="165"/>
      <c r="BN1488" s="165"/>
      <c r="BO1488" s="165"/>
      <c r="BP1488" s="165"/>
      <c r="BQ1488" s="165"/>
      <c r="BR1488" s="165"/>
      <c r="BS1488" s="165"/>
      <c r="BT1488" s="165"/>
      <c r="BU1488" s="165"/>
      <c r="BV1488" s="165"/>
      <c r="BW1488" s="165"/>
      <c r="BX1488" s="165"/>
      <c r="BY1488" s="165"/>
      <c r="BZ1488" s="165"/>
      <c r="CA1488" s="315"/>
    </row>
    <row r="1489" spans="1:79" s="143" customFormat="1" ht="41.4" customHeight="1" x14ac:dyDescent="0.3">
      <c r="A1489" s="259" t="s">
        <v>1641</v>
      </c>
      <c r="B1489" s="243" t="s">
        <v>3222</v>
      </c>
      <c r="C1489" s="244" t="s">
        <v>3469</v>
      </c>
      <c r="D1489" s="259" t="s">
        <v>34</v>
      </c>
      <c r="E1489" s="259" t="s">
        <v>3224</v>
      </c>
      <c r="F1489" s="260" t="s">
        <v>35</v>
      </c>
      <c r="G1489" s="259">
        <v>100</v>
      </c>
      <c r="H1489" s="53">
        <v>1400000</v>
      </c>
      <c r="I1489" s="261" t="s">
        <v>36</v>
      </c>
      <c r="J1489" s="53">
        <v>1400000</v>
      </c>
      <c r="K1489" s="1696">
        <v>0</v>
      </c>
      <c r="L1489" s="1696">
        <v>0</v>
      </c>
      <c r="M1489" s="263" t="s">
        <v>838</v>
      </c>
      <c r="N1489" s="263" t="s">
        <v>2710</v>
      </c>
      <c r="O1489" s="355" t="s">
        <v>3470</v>
      </c>
      <c r="P1489" s="263" t="s">
        <v>40</v>
      </c>
      <c r="Q1489" s="262"/>
      <c r="R1489" s="263" t="s">
        <v>40</v>
      </c>
      <c r="S1489" s="262"/>
      <c r="T1489" s="263" t="s">
        <v>40</v>
      </c>
      <c r="U1489" s="262"/>
      <c r="V1489" s="263" t="s">
        <v>40</v>
      </c>
      <c r="W1489" s="262"/>
      <c r="X1489" s="263" t="s">
        <v>40</v>
      </c>
      <c r="Y1489" s="262"/>
      <c r="Z1489" s="263" t="s">
        <v>40</v>
      </c>
      <c r="AA1489" s="262"/>
      <c r="AB1489" s="263" t="s">
        <v>40</v>
      </c>
      <c r="AC1489" s="262"/>
      <c r="AD1489" s="262"/>
      <c r="AE1489" s="262">
        <v>46203</v>
      </c>
      <c r="AF1489" s="263" t="s">
        <v>65</v>
      </c>
      <c r="AG1489" s="270">
        <v>2026</v>
      </c>
      <c r="AH1489" s="261">
        <f t="shared" si="50"/>
        <v>0</v>
      </c>
      <c r="AI1489" s="261"/>
      <c r="AJ1489" s="261"/>
      <c r="AK1489" s="260" t="s">
        <v>43</v>
      </c>
      <c r="AL1489" s="259" t="s">
        <v>41</v>
      </c>
      <c r="AM1489" s="266">
        <v>0</v>
      </c>
      <c r="AN1489" s="67"/>
      <c r="AO1489" s="259"/>
      <c r="AP1489" s="277"/>
      <c r="AQ1489" s="165"/>
      <c r="AR1489" s="165"/>
      <c r="AS1489" s="165"/>
      <c r="AT1489" s="165"/>
      <c r="AU1489" s="165"/>
      <c r="AV1489" s="165"/>
      <c r="AW1489" s="165"/>
      <c r="AX1489" s="165"/>
      <c r="AY1489" s="165"/>
      <c r="AZ1489" s="165"/>
      <c r="BA1489" s="165"/>
      <c r="BB1489" s="165"/>
      <c r="BC1489" s="165"/>
      <c r="BD1489" s="165"/>
      <c r="BE1489" s="165"/>
      <c r="BF1489" s="165"/>
      <c r="BG1489" s="165"/>
      <c r="BH1489" s="165"/>
      <c r="BI1489" s="165"/>
      <c r="BJ1489" s="165"/>
      <c r="BK1489" s="165"/>
      <c r="BL1489" s="165"/>
      <c r="BM1489" s="165"/>
      <c r="BN1489" s="165"/>
      <c r="BO1489" s="165"/>
      <c r="BP1489" s="165"/>
      <c r="BQ1489" s="165"/>
      <c r="BR1489" s="165"/>
      <c r="BS1489" s="165"/>
      <c r="BT1489" s="165"/>
      <c r="BU1489" s="165"/>
      <c r="BV1489" s="165"/>
      <c r="BW1489" s="165"/>
      <c r="BX1489" s="165"/>
      <c r="BY1489" s="165"/>
      <c r="BZ1489" s="165"/>
      <c r="CA1489" s="315"/>
    </row>
    <row r="1490" spans="1:79" s="143" customFormat="1" ht="41.4" customHeight="1" x14ac:dyDescent="0.3">
      <c r="A1490" s="259" t="s">
        <v>1641</v>
      </c>
      <c r="B1490" s="243" t="s">
        <v>3222</v>
      </c>
      <c r="C1490" s="244" t="s">
        <v>3471</v>
      </c>
      <c r="D1490" s="259" t="s">
        <v>34</v>
      </c>
      <c r="E1490" s="259" t="s">
        <v>3224</v>
      </c>
      <c r="F1490" s="260" t="s">
        <v>35</v>
      </c>
      <c r="G1490" s="259">
        <v>50</v>
      </c>
      <c r="H1490" s="53">
        <v>835000</v>
      </c>
      <c r="I1490" s="261" t="s">
        <v>36</v>
      </c>
      <c r="J1490" s="53">
        <v>835000</v>
      </c>
      <c r="K1490" s="1696">
        <v>0</v>
      </c>
      <c r="L1490" s="1696">
        <v>0</v>
      </c>
      <c r="M1490" s="263" t="s">
        <v>412</v>
      </c>
      <c r="N1490" s="263" t="s">
        <v>3472</v>
      </c>
      <c r="O1490" s="355" t="s">
        <v>3473</v>
      </c>
      <c r="P1490" s="263" t="s">
        <v>40</v>
      </c>
      <c r="Q1490" s="262"/>
      <c r="R1490" s="263" t="s">
        <v>40</v>
      </c>
      <c r="S1490" s="262"/>
      <c r="T1490" s="263" t="s">
        <v>40</v>
      </c>
      <c r="U1490" s="262"/>
      <c r="V1490" s="263" t="s">
        <v>40</v>
      </c>
      <c r="W1490" s="262"/>
      <c r="X1490" s="263" t="s">
        <v>40</v>
      </c>
      <c r="Y1490" s="262"/>
      <c r="Z1490" s="263" t="s">
        <v>40</v>
      </c>
      <c r="AA1490" s="262"/>
      <c r="AB1490" s="263" t="s">
        <v>40</v>
      </c>
      <c r="AC1490" s="262"/>
      <c r="AD1490" s="262"/>
      <c r="AE1490" s="262">
        <v>46203</v>
      </c>
      <c r="AF1490" s="263" t="s">
        <v>65</v>
      </c>
      <c r="AG1490" s="270">
        <v>2026</v>
      </c>
      <c r="AH1490" s="261">
        <f t="shared" si="50"/>
        <v>0</v>
      </c>
      <c r="AI1490" s="261"/>
      <c r="AJ1490" s="261"/>
      <c r="AK1490" s="260" t="s">
        <v>43</v>
      </c>
      <c r="AL1490" s="259" t="s">
        <v>41</v>
      </c>
      <c r="AM1490" s="266">
        <v>0</v>
      </c>
      <c r="AN1490" s="67"/>
      <c r="AO1490" s="259"/>
      <c r="AP1490" s="277"/>
      <c r="AQ1490" s="165"/>
      <c r="AR1490" s="165"/>
      <c r="AS1490" s="165"/>
      <c r="AT1490" s="165"/>
      <c r="AU1490" s="165"/>
      <c r="AV1490" s="165"/>
      <c r="AW1490" s="165"/>
      <c r="AX1490" s="165"/>
      <c r="AY1490" s="165"/>
      <c r="AZ1490" s="165"/>
      <c r="BA1490" s="165"/>
      <c r="BB1490" s="165"/>
      <c r="BC1490" s="165"/>
      <c r="BD1490" s="165"/>
      <c r="BE1490" s="165"/>
      <c r="BF1490" s="165"/>
      <c r="BG1490" s="165"/>
      <c r="BH1490" s="165"/>
      <c r="BI1490" s="165"/>
      <c r="BJ1490" s="165"/>
      <c r="BK1490" s="165"/>
      <c r="BL1490" s="165"/>
      <c r="BM1490" s="165"/>
      <c r="BN1490" s="165"/>
      <c r="BO1490" s="165"/>
      <c r="BP1490" s="165"/>
      <c r="BQ1490" s="165"/>
      <c r="BR1490" s="165"/>
      <c r="BS1490" s="165"/>
      <c r="BT1490" s="165"/>
      <c r="BU1490" s="165"/>
      <c r="BV1490" s="165"/>
      <c r="BW1490" s="165"/>
      <c r="BX1490" s="165"/>
      <c r="BY1490" s="165"/>
      <c r="BZ1490" s="165"/>
      <c r="CA1490" s="315"/>
    </row>
    <row r="1491" spans="1:79" s="143" customFormat="1" ht="41.4" customHeight="1" x14ac:dyDescent="0.3">
      <c r="A1491" s="259" t="s">
        <v>1641</v>
      </c>
      <c r="B1491" s="243" t="s">
        <v>3222</v>
      </c>
      <c r="C1491" s="244" t="s">
        <v>3474</v>
      </c>
      <c r="D1491" s="259" t="s">
        <v>34</v>
      </c>
      <c r="E1491" s="259" t="s">
        <v>3224</v>
      </c>
      <c r="F1491" s="260" t="s">
        <v>35</v>
      </c>
      <c r="G1491" s="259">
        <v>18</v>
      </c>
      <c r="H1491" s="53">
        <v>252000</v>
      </c>
      <c r="I1491" s="261" t="s">
        <v>36</v>
      </c>
      <c r="J1491" s="53">
        <v>252000</v>
      </c>
      <c r="K1491" s="1696">
        <v>0</v>
      </c>
      <c r="L1491" s="1696">
        <v>0</v>
      </c>
      <c r="M1491" s="263" t="s">
        <v>50</v>
      </c>
      <c r="N1491" s="263" t="s">
        <v>2188</v>
      </c>
      <c r="O1491" s="355" t="s">
        <v>3475</v>
      </c>
      <c r="P1491" s="263" t="s">
        <v>40</v>
      </c>
      <c r="Q1491" s="262"/>
      <c r="R1491" s="263" t="s">
        <v>40</v>
      </c>
      <c r="S1491" s="262"/>
      <c r="T1491" s="263" t="s">
        <v>40</v>
      </c>
      <c r="U1491" s="262"/>
      <c r="V1491" s="263" t="s">
        <v>40</v>
      </c>
      <c r="W1491" s="262"/>
      <c r="X1491" s="263" t="s">
        <v>40</v>
      </c>
      <c r="Y1491" s="262"/>
      <c r="Z1491" s="263" t="s">
        <v>40</v>
      </c>
      <c r="AA1491" s="262"/>
      <c r="AB1491" s="263" t="s">
        <v>40</v>
      </c>
      <c r="AC1491" s="262"/>
      <c r="AD1491" s="262"/>
      <c r="AE1491" s="262">
        <v>46203</v>
      </c>
      <c r="AF1491" s="263" t="s">
        <v>65</v>
      </c>
      <c r="AG1491" s="270">
        <v>2026</v>
      </c>
      <c r="AH1491" s="261">
        <f t="shared" si="50"/>
        <v>0</v>
      </c>
      <c r="AI1491" s="261"/>
      <c r="AJ1491" s="261"/>
      <c r="AK1491" s="260" t="s">
        <v>43</v>
      </c>
      <c r="AL1491" s="259" t="s">
        <v>41</v>
      </c>
      <c r="AM1491" s="266">
        <v>0</v>
      </c>
      <c r="AN1491" s="67"/>
      <c r="AO1491" s="259"/>
      <c r="AP1491" s="277"/>
      <c r="AQ1491" s="165"/>
      <c r="AR1491" s="165"/>
      <c r="AS1491" s="165"/>
      <c r="AT1491" s="165"/>
      <c r="AU1491" s="165"/>
      <c r="AV1491" s="165"/>
      <c r="AW1491" s="165"/>
      <c r="AX1491" s="165"/>
      <c r="AY1491" s="165"/>
      <c r="AZ1491" s="165"/>
      <c r="BA1491" s="165"/>
      <c r="BB1491" s="165"/>
      <c r="BC1491" s="165"/>
      <c r="BD1491" s="165"/>
      <c r="BE1491" s="165"/>
      <c r="BF1491" s="165"/>
      <c r="BG1491" s="165"/>
      <c r="BH1491" s="165"/>
      <c r="BI1491" s="165"/>
      <c r="BJ1491" s="165"/>
      <c r="BK1491" s="165"/>
      <c r="BL1491" s="165"/>
      <c r="BM1491" s="165"/>
      <c r="BN1491" s="165"/>
      <c r="BO1491" s="165"/>
      <c r="BP1491" s="165"/>
      <c r="BQ1491" s="165"/>
      <c r="BR1491" s="165"/>
      <c r="BS1491" s="165"/>
      <c r="BT1491" s="165"/>
      <c r="BU1491" s="165"/>
      <c r="BV1491" s="165"/>
      <c r="BW1491" s="165"/>
      <c r="BX1491" s="165"/>
      <c r="BY1491" s="165"/>
      <c r="BZ1491" s="165"/>
      <c r="CA1491" s="315"/>
    </row>
    <row r="1492" spans="1:79" s="143" customFormat="1" ht="41.4" customHeight="1" x14ac:dyDescent="0.3">
      <c r="A1492" s="259" t="s">
        <v>1641</v>
      </c>
      <c r="B1492" s="243" t="s">
        <v>3222</v>
      </c>
      <c r="C1492" s="244" t="s">
        <v>3476</v>
      </c>
      <c r="D1492" s="259" t="s">
        <v>34</v>
      </c>
      <c r="E1492" s="259" t="s">
        <v>3224</v>
      </c>
      <c r="F1492" s="260" t="s">
        <v>35</v>
      </c>
      <c r="G1492" s="259">
        <v>50</v>
      </c>
      <c r="H1492" s="53">
        <v>750000</v>
      </c>
      <c r="I1492" s="261" t="s">
        <v>36</v>
      </c>
      <c r="J1492" s="53">
        <v>750000</v>
      </c>
      <c r="K1492" s="1696">
        <v>0</v>
      </c>
      <c r="L1492" s="1696">
        <v>0</v>
      </c>
      <c r="M1492" s="263" t="s">
        <v>82</v>
      </c>
      <c r="N1492" s="263" t="s">
        <v>3477</v>
      </c>
      <c r="O1492" s="355" t="s">
        <v>3478</v>
      </c>
      <c r="P1492" s="263" t="s">
        <v>40</v>
      </c>
      <c r="Q1492" s="262"/>
      <c r="R1492" s="263" t="s">
        <v>40</v>
      </c>
      <c r="S1492" s="262"/>
      <c r="T1492" s="263" t="s">
        <v>40</v>
      </c>
      <c r="U1492" s="262"/>
      <c r="V1492" s="263" t="s">
        <v>40</v>
      </c>
      <c r="W1492" s="262"/>
      <c r="X1492" s="263" t="s">
        <v>40</v>
      </c>
      <c r="Y1492" s="262"/>
      <c r="Z1492" s="263" t="s">
        <v>40</v>
      </c>
      <c r="AA1492" s="262"/>
      <c r="AB1492" s="263" t="s">
        <v>40</v>
      </c>
      <c r="AC1492" s="262"/>
      <c r="AD1492" s="262"/>
      <c r="AE1492" s="262">
        <v>46203</v>
      </c>
      <c r="AF1492" s="263" t="s">
        <v>65</v>
      </c>
      <c r="AG1492" s="270">
        <v>2026</v>
      </c>
      <c r="AH1492" s="261">
        <f t="shared" si="50"/>
        <v>0</v>
      </c>
      <c r="AI1492" s="261"/>
      <c r="AJ1492" s="261"/>
      <c r="AK1492" s="260" t="s">
        <v>43</v>
      </c>
      <c r="AL1492" s="259" t="s">
        <v>41</v>
      </c>
      <c r="AM1492" s="266">
        <v>0</v>
      </c>
      <c r="AN1492" s="67"/>
      <c r="AO1492" s="259"/>
      <c r="AP1492" s="277"/>
      <c r="AQ1492" s="165"/>
      <c r="AR1492" s="165"/>
      <c r="AS1492" s="165"/>
      <c r="AT1492" s="165"/>
      <c r="AU1492" s="165"/>
      <c r="AV1492" s="165"/>
      <c r="AW1492" s="165"/>
      <c r="AX1492" s="165"/>
      <c r="AY1492" s="165"/>
      <c r="AZ1492" s="165"/>
      <c r="BA1492" s="165"/>
      <c r="BB1492" s="165"/>
      <c r="BC1492" s="165"/>
      <c r="BD1492" s="165"/>
      <c r="BE1492" s="165"/>
      <c r="BF1492" s="165"/>
      <c r="BG1492" s="165"/>
      <c r="BH1492" s="165"/>
      <c r="BI1492" s="165"/>
      <c r="BJ1492" s="165"/>
      <c r="BK1492" s="165"/>
      <c r="BL1492" s="165"/>
      <c r="BM1492" s="165"/>
      <c r="BN1492" s="165"/>
      <c r="BO1492" s="165"/>
      <c r="BP1492" s="165"/>
      <c r="BQ1492" s="165"/>
      <c r="BR1492" s="165"/>
      <c r="BS1492" s="165"/>
      <c r="BT1492" s="165"/>
      <c r="BU1492" s="165"/>
      <c r="BV1492" s="165"/>
      <c r="BW1492" s="165"/>
      <c r="BX1492" s="165"/>
      <c r="BY1492" s="165"/>
      <c r="BZ1492" s="165"/>
      <c r="CA1492" s="315"/>
    </row>
    <row r="1493" spans="1:79" s="143" customFormat="1" ht="41.4" customHeight="1" x14ac:dyDescent="0.3">
      <c r="A1493" s="259" t="s">
        <v>1641</v>
      </c>
      <c r="B1493" s="243" t="s">
        <v>3222</v>
      </c>
      <c r="C1493" s="244" t="s">
        <v>3479</v>
      </c>
      <c r="D1493" s="259" t="s">
        <v>34</v>
      </c>
      <c r="E1493" s="259" t="s">
        <v>3224</v>
      </c>
      <c r="F1493" s="260" t="s">
        <v>35</v>
      </c>
      <c r="G1493" s="259">
        <v>25</v>
      </c>
      <c r="H1493" s="53">
        <v>350000</v>
      </c>
      <c r="I1493" s="261" t="s">
        <v>36</v>
      </c>
      <c r="J1493" s="53">
        <v>350000</v>
      </c>
      <c r="K1493" s="1696">
        <v>0</v>
      </c>
      <c r="L1493" s="1696">
        <v>0</v>
      </c>
      <c r="M1493" s="263" t="s">
        <v>838</v>
      </c>
      <c r="N1493" s="263" t="s">
        <v>3480</v>
      </c>
      <c r="O1493" s="355" t="s">
        <v>3481</v>
      </c>
      <c r="P1493" s="263" t="s">
        <v>40</v>
      </c>
      <c r="Q1493" s="262"/>
      <c r="R1493" s="263" t="s">
        <v>40</v>
      </c>
      <c r="S1493" s="262"/>
      <c r="T1493" s="263" t="s">
        <v>40</v>
      </c>
      <c r="U1493" s="262"/>
      <c r="V1493" s="263" t="s">
        <v>40</v>
      </c>
      <c r="W1493" s="262"/>
      <c r="X1493" s="263" t="s">
        <v>40</v>
      </c>
      <c r="Y1493" s="262"/>
      <c r="Z1493" s="263" t="s">
        <v>40</v>
      </c>
      <c r="AA1493" s="262"/>
      <c r="AB1493" s="263" t="s">
        <v>40</v>
      </c>
      <c r="AC1493" s="262"/>
      <c r="AD1493" s="262"/>
      <c r="AE1493" s="262">
        <v>46203</v>
      </c>
      <c r="AF1493" s="263" t="s">
        <v>65</v>
      </c>
      <c r="AG1493" s="270">
        <v>2026</v>
      </c>
      <c r="AH1493" s="261">
        <f t="shared" si="50"/>
        <v>0</v>
      </c>
      <c r="AI1493" s="261"/>
      <c r="AJ1493" s="261"/>
      <c r="AK1493" s="260" t="s">
        <v>43</v>
      </c>
      <c r="AL1493" s="259" t="s">
        <v>41</v>
      </c>
      <c r="AM1493" s="266">
        <v>0</v>
      </c>
      <c r="AN1493" s="67"/>
      <c r="AO1493" s="259"/>
      <c r="AP1493" s="277"/>
      <c r="AQ1493" s="165"/>
      <c r="AR1493" s="165"/>
      <c r="AS1493" s="165"/>
      <c r="AT1493" s="165"/>
      <c r="AU1493" s="165"/>
      <c r="AV1493" s="165"/>
      <c r="AW1493" s="165"/>
      <c r="AX1493" s="165"/>
      <c r="AY1493" s="165"/>
      <c r="AZ1493" s="165"/>
      <c r="BA1493" s="165"/>
      <c r="BB1493" s="165"/>
      <c r="BC1493" s="165"/>
      <c r="BD1493" s="165"/>
      <c r="BE1493" s="165"/>
      <c r="BF1493" s="165"/>
      <c r="BG1493" s="165"/>
      <c r="BH1493" s="165"/>
      <c r="BI1493" s="165"/>
      <c r="BJ1493" s="165"/>
      <c r="BK1493" s="165"/>
      <c r="BL1493" s="165"/>
      <c r="BM1493" s="165"/>
      <c r="BN1493" s="165"/>
      <c r="BO1493" s="165"/>
      <c r="BP1493" s="165"/>
      <c r="BQ1493" s="165"/>
      <c r="BR1493" s="165"/>
      <c r="BS1493" s="165"/>
      <c r="BT1493" s="165"/>
      <c r="BU1493" s="165"/>
      <c r="BV1493" s="165"/>
      <c r="BW1493" s="165"/>
      <c r="BX1493" s="165"/>
      <c r="BY1493" s="165"/>
      <c r="BZ1493" s="165"/>
      <c r="CA1493" s="315"/>
    </row>
    <row r="1494" spans="1:79" s="143" customFormat="1" ht="41.4" customHeight="1" x14ac:dyDescent="0.3">
      <c r="A1494" s="259" t="s">
        <v>1641</v>
      </c>
      <c r="B1494" s="243" t="s">
        <v>3222</v>
      </c>
      <c r="C1494" s="244" t="s">
        <v>3482</v>
      </c>
      <c r="D1494" s="259" t="s">
        <v>34</v>
      </c>
      <c r="E1494" s="259" t="s">
        <v>3224</v>
      </c>
      <c r="F1494" s="260" t="s">
        <v>35</v>
      </c>
      <c r="G1494" s="259">
        <v>1</v>
      </c>
      <c r="H1494" s="53">
        <v>14000</v>
      </c>
      <c r="I1494" s="261" t="s">
        <v>36</v>
      </c>
      <c r="J1494" s="53">
        <v>14000</v>
      </c>
      <c r="K1494" s="1696">
        <v>0</v>
      </c>
      <c r="L1494" s="1696">
        <v>0</v>
      </c>
      <c r="M1494" s="263" t="s">
        <v>60</v>
      </c>
      <c r="N1494" s="263" t="s">
        <v>3483</v>
      </c>
      <c r="O1494" s="355" t="s">
        <v>3484</v>
      </c>
      <c r="P1494" s="263" t="s">
        <v>40</v>
      </c>
      <c r="Q1494" s="262"/>
      <c r="R1494" s="263" t="s">
        <v>40</v>
      </c>
      <c r="S1494" s="262"/>
      <c r="T1494" s="263" t="s">
        <v>40</v>
      </c>
      <c r="U1494" s="262"/>
      <c r="V1494" s="263" t="s">
        <v>40</v>
      </c>
      <c r="W1494" s="262"/>
      <c r="X1494" s="263" t="s">
        <v>40</v>
      </c>
      <c r="Y1494" s="262"/>
      <c r="Z1494" s="263" t="s">
        <v>40</v>
      </c>
      <c r="AA1494" s="262"/>
      <c r="AB1494" s="263" t="s">
        <v>40</v>
      </c>
      <c r="AC1494" s="262"/>
      <c r="AD1494" s="262"/>
      <c r="AE1494" s="262">
        <v>46203</v>
      </c>
      <c r="AF1494" s="263" t="s">
        <v>65</v>
      </c>
      <c r="AG1494" s="270">
        <v>2026</v>
      </c>
      <c r="AH1494" s="261">
        <f t="shared" si="50"/>
        <v>0</v>
      </c>
      <c r="AI1494" s="261"/>
      <c r="AJ1494" s="261"/>
      <c r="AK1494" s="260" t="s">
        <v>43</v>
      </c>
      <c r="AL1494" s="259" t="s">
        <v>41</v>
      </c>
      <c r="AM1494" s="266">
        <v>0</v>
      </c>
      <c r="AN1494" s="67"/>
      <c r="AO1494" s="259"/>
      <c r="AP1494" s="277"/>
      <c r="AQ1494" s="165"/>
      <c r="AR1494" s="165"/>
      <c r="AS1494" s="165"/>
      <c r="AT1494" s="165"/>
      <c r="AU1494" s="165"/>
      <c r="AV1494" s="165"/>
      <c r="AW1494" s="165"/>
      <c r="AX1494" s="165"/>
      <c r="AY1494" s="165"/>
      <c r="AZ1494" s="165"/>
      <c r="BA1494" s="165"/>
      <c r="BB1494" s="165"/>
      <c r="BC1494" s="165"/>
      <c r="BD1494" s="165"/>
      <c r="BE1494" s="165"/>
      <c r="BF1494" s="165"/>
      <c r="BG1494" s="165"/>
      <c r="BH1494" s="165"/>
      <c r="BI1494" s="165"/>
      <c r="BJ1494" s="165"/>
      <c r="BK1494" s="165"/>
      <c r="BL1494" s="165"/>
      <c r="BM1494" s="165"/>
      <c r="BN1494" s="165"/>
      <c r="BO1494" s="165"/>
      <c r="BP1494" s="165"/>
      <c r="BQ1494" s="165"/>
      <c r="BR1494" s="165"/>
      <c r="BS1494" s="165"/>
      <c r="BT1494" s="165"/>
      <c r="BU1494" s="165"/>
      <c r="BV1494" s="165"/>
      <c r="BW1494" s="165"/>
      <c r="BX1494" s="165"/>
      <c r="BY1494" s="165"/>
      <c r="BZ1494" s="165"/>
      <c r="CA1494" s="315"/>
    </row>
    <row r="1495" spans="1:79" s="143" customFormat="1" ht="41.4" customHeight="1" x14ac:dyDescent="0.3">
      <c r="A1495" s="259" t="s">
        <v>1641</v>
      </c>
      <c r="B1495" s="243" t="s">
        <v>3222</v>
      </c>
      <c r="C1495" s="244" t="s">
        <v>3485</v>
      </c>
      <c r="D1495" s="259" t="s">
        <v>34</v>
      </c>
      <c r="E1495" s="259" t="s">
        <v>3224</v>
      </c>
      <c r="F1495" s="260" t="s">
        <v>35</v>
      </c>
      <c r="G1495" s="259">
        <v>9</v>
      </c>
      <c r="H1495" s="53">
        <v>126000</v>
      </c>
      <c r="I1495" s="261" t="s">
        <v>36</v>
      </c>
      <c r="J1495" s="53">
        <v>126000</v>
      </c>
      <c r="K1495" s="1696">
        <v>0</v>
      </c>
      <c r="L1495" s="1696">
        <v>0</v>
      </c>
      <c r="M1495" s="263" t="s">
        <v>82</v>
      </c>
      <c r="N1495" s="263" t="s">
        <v>83</v>
      </c>
      <c r="O1495" s="355" t="s">
        <v>3486</v>
      </c>
      <c r="P1495" s="263" t="s">
        <v>40</v>
      </c>
      <c r="Q1495" s="262"/>
      <c r="R1495" s="263" t="s">
        <v>40</v>
      </c>
      <c r="S1495" s="262"/>
      <c r="T1495" s="263" t="s">
        <v>40</v>
      </c>
      <c r="U1495" s="262"/>
      <c r="V1495" s="263" t="s">
        <v>40</v>
      </c>
      <c r="W1495" s="262"/>
      <c r="X1495" s="263" t="s">
        <v>40</v>
      </c>
      <c r="Y1495" s="262"/>
      <c r="Z1495" s="263" t="s">
        <v>40</v>
      </c>
      <c r="AA1495" s="262"/>
      <c r="AB1495" s="263" t="s">
        <v>40</v>
      </c>
      <c r="AC1495" s="262"/>
      <c r="AD1495" s="262"/>
      <c r="AE1495" s="262">
        <v>46203</v>
      </c>
      <c r="AF1495" s="263" t="s">
        <v>65</v>
      </c>
      <c r="AG1495" s="270">
        <v>2026</v>
      </c>
      <c r="AH1495" s="261">
        <f t="shared" si="50"/>
        <v>0</v>
      </c>
      <c r="AI1495" s="261"/>
      <c r="AJ1495" s="261"/>
      <c r="AK1495" s="260" t="s">
        <v>43</v>
      </c>
      <c r="AL1495" s="259" t="s">
        <v>41</v>
      </c>
      <c r="AM1495" s="266">
        <v>0</v>
      </c>
      <c r="AN1495" s="67"/>
      <c r="AO1495" s="259"/>
      <c r="AP1495" s="277"/>
      <c r="AQ1495" s="165"/>
      <c r="AR1495" s="165"/>
      <c r="AS1495" s="165"/>
      <c r="AT1495" s="165"/>
      <c r="AU1495" s="165"/>
      <c r="AV1495" s="165"/>
      <c r="AW1495" s="165"/>
      <c r="AX1495" s="165"/>
      <c r="AY1495" s="165"/>
      <c r="AZ1495" s="165"/>
      <c r="BA1495" s="165"/>
      <c r="BB1495" s="165"/>
      <c r="BC1495" s="165"/>
      <c r="BD1495" s="165"/>
      <c r="BE1495" s="165"/>
      <c r="BF1495" s="165"/>
      <c r="BG1495" s="165"/>
      <c r="BH1495" s="165"/>
      <c r="BI1495" s="165"/>
      <c r="BJ1495" s="165"/>
      <c r="BK1495" s="165"/>
      <c r="BL1495" s="165"/>
      <c r="BM1495" s="165"/>
      <c r="BN1495" s="165"/>
      <c r="BO1495" s="165"/>
      <c r="BP1495" s="165"/>
      <c r="BQ1495" s="165"/>
      <c r="BR1495" s="165"/>
      <c r="BS1495" s="165"/>
      <c r="BT1495" s="165"/>
      <c r="BU1495" s="165"/>
      <c r="BV1495" s="165"/>
      <c r="BW1495" s="165"/>
      <c r="BX1495" s="165"/>
      <c r="BY1495" s="165"/>
      <c r="BZ1495" s="165"/>
      <c r="CA1495" s="315"/>
    </row>
    <row r="1496" spans="1:79" s="143" customFormat="1" ht="41.4" customHeight="1" x14ac:dyDescent="0.3">
      <c r="A1496" s="259" t="s">
        <v>1641</v>
      </c>
      <c r="B1496" s="243" t="s">
        <v>3222</v>
      </c>
      <c r="C1496" s="244" t="s">
        <v>3487</v>
      </c>
      <c r="D1496" s="259" t="s">
        <v>34</v>
      </c>
      <c r="E1496" s="259" t="s">
        <v>3224</v>
      </c>
      <c r="F1496" s="260" t="s">
        <v>35</v>
      </c>
      <c r="G1496" s="259">
        <v>9</v>
      </c>
      <c r="H1496" s="53">
        <v>126000</v>
      </c>
      <c r="I1496" s="261" t="s">
        <v>36</v>
      </c>
      <c r="J1496" s="53">
        <v>126000</v>
      </c>
      <c r="K1496" s="1696">
        <v>0</v>
      </c>
      <c r="L1496" s="1696">
        <v>0</v>
      </c>
      <c r="M1496" s="263" t="s">
        <v>868</v>
      </c>
      <c r="N1496" s="263" t="s">
        <v>1326</v>
      </c>
      <c r="O1496" s="355" t="s">
        <v>3488</v>
      </c>
      <c r="P1496" s="263" t="s">
        <v>40</v>
      </c>
      <c r="Q1496" s="262"/>
      <c r="R1496" s="263" t="s">
        <v>40</v>
      </c>
      <c r="S1496" s="262"/>
      <c r="T1496" s="263" t="s">
        <v>40</v>
      </c>
      <c r="U1496" s="262"/>
      <c r="V1496" s="263" t="s">
        <v>40</v>
      </c>
      <c r="W1496" s="262"/>
      <c r="X1496" s="263" t="s">
        <v>40</v>
      </c>
      <c r="Y1496" s="262"/>
      <c r="Z1496" s="263" t="s">
        <v>40</v>
      </c>
      <c r="AA1496" s="262"/>
      <c r="AB1496" s="263" t="s">
        <v>40</v>
      </c>
      <c r="AC1496" s="262"/>
      <c r="AD1496" s="262"/>
      <c r="AE1496" s="262">
        <v>46203</v>
      </c>
      <c r="AF1496" s="263" t="s">
        <v>65</v>
      </c>
      <c r="AG1496" s="270">
        <v>2026</v>
      </c>
      <c r="AH1496" s="261">
        <f t="shared" si="50"/>
        <v>0</v>
      </c>
      <c r="AI1496" s="261"/>
      <c r="AJ1496" s="261"/>
      <c r="AK1496" s="260" t="s">
        <v>43</v>
      </c>
      <c r="AL1496" s="259" t="s">
        <v>41</v>
      </c>
      <c r="AM1496" s="266">
        <v>0</v>
      </c>
      <c r="AN1496" s="67"/>
      <c r="AO1496" s="259"/>
      <c r="AP1496" s="277"/>
      <c r="AQ1496" s="165"/>
      <c r="AR1496" s="165"/>
      <c r="AS1496" s="165"/>
      <c r="AT1496" s="165"/>
      <c r="AU1496" s="165"/>
      <c r="AV1496" s="165"/>
      <c r="AW1496" s="165"/>
      <c r="AX1496" s="165"/>
      <c r="AY1496" s="165"/>
      <c r="AZ1496" s="165"/>
      <c r="BA1496" s="165"/>
      <c r="BB1496" s="165"/>
      <c r="BC1496" s="165"/>
      <c r="BD1496" s="165"/>
      <c r="BE1496" s="165"/>
      <c r="BF1496" s="165"/>
      <c r="BG1496" s="165"/>
      <c r="BH1496" s="165"/>
      <c r="BI1496" s="165"/>
      <c r="BJ1496" s="165"/>
      <c r="BK1496" s="165"/>
      <c r="BL1496" s="165"/>
      <c r="BM1496" s="165"/>
      <c r="BN1496" s="165"/>
      <c r="BO1496" s="165"/>
      <c r="BP1496" s="165"/>
      <c r="BQ1496" s="165"/>
      <c r="BR1496" s="165"/>
      <c r="BS1496" s="165"/>
      <c r="BT1496" s="165"/>
      <c r="BU1496" s="165"/>
      <c r="BV1496" s="165"/>
      <c r="BW1496" s="165"/>
      <c r="BX1496" s="165"/>
      <c r="BY1496" s="165"/>
      <c r="BZ1496" s="165"/>
      <c r="CA1496" s="315"/>
    </row>
    <row r="1497" spans="1:79" s="143" customFormat="1" ht="41.4" customHeight="1" x14ac:dyDescent="0.3">
      <c r="A1497" s="259" t="s">
        <v>1641</v>
      </c>
      <c r="B1497" s="243" t="s">
        <v>3222</v>
      </c>
      <c r="C1497" s="244" t="s">
        <v>3489</v>
      </c>
      <c r="D1497" s="259" t="s">
        <v>34</v>
      </c>
      <c r="E1497" s="259" t="s">
        <v>3224</v>
      </c>
      <c r="F1497" s="260" t="s">
        <v>35</v>
      </c>
      <c r="G1497" s="259">
        <v>18</v>
      </c>
      <c r="H1497" s="53">
        <v>497000.10163634497</v>
      </c>
      <c r="I1497" s="261" t="s">
        <v>36</v>
      </c>
      <c r="J1497" s="53">
        <v>497000.10163634497</v>
      </c>
      <c r="K1497" s="1696">
        <v>0</v>
      </c>
      <c r="L1497" s="1696">
        <v>0</v>
      </c>
      <c r="M1497" s="263" t="s">
        <v>72</v>
      </c>
      <c r="N1497" s="263" t="s">
        <v>3490</v>
      </c>
      <c r="O1497" s="355" t="s">
        <v>3491</v>
      </c>
      <c r="P1497" s="263" t="s">
        <v>41</v>
      </c>
      <c r="Q1497" s="262">
        <v>45090</v>
      </c>
      <c r="R1497" s="263" t="s">
        <v>3281</v>
      </c>
      <c r="S1497" s="262">
        <v>45090</v>
      </c>
      <c r="T1497" s="263" t="s">
        <v>40</v>
      </c>
      <c r="U1497" s="262"/>
      <c r="V1497" s="263" t="s">
        <v>40</v>
      </c>
      <c r="W1497" s="262"/>
      <c r="X1497" s="263" t="s">
        <v>40</v>
      </c>
      <c r="Y1497" s="262"/>
      <c r="Z1497" s="263" t="s">
        <v>40</v>
      </c>
      <c r="AA1497" s="262"/>
      <c r="AB1497" s="263" t="s">
        <v>40</v>
      </c>
      <c r="AC1497" s="262"/>
      <c r="AD1497" s="262"/>
      <c r="AE1497" s="262">
        <v>46203</v>
      </c>
      <c r="AF1497" s="263" t="s">
        <v>65</v>
      </c>
      <c r="AG1497" s="270">
        <v>2026</v>
      </c>
      <c r="AH1497" s="261">
        <f t="shared" si="50"/>
        <v>0</v>
      </c>
      <c r="AI1497" s="261"/>
      <c r="AJ1497" s="261"/>
      <c r="AK1497" s="260" t="s">
        <v>43</v>
      </c>
      <c r="AL1497" s="259" t="s">
        <v>41</v>
      </c>
      <c r="AM1497" s="266">
        <v>0</v>
      </c>
      <c r="AN1497" s="67"/>
      <c r="AO1497" s="259"/>
      <c r="AP1497" s="277"/>
      <c r="AQ1497" s="165"/>
      <c r="AR1497" s="165"/>
      <c r="AS1497" s="165"/>
      <c r="AT1497" s="165"/>
      <c r="AU1497" s="165"/>
      <c r="AV1497" s="165"/>
      <c r="AW1497" s="165"/>
      <c r="AX1497" s="165"/>
      <c r="AY1497" s="165"/>
      <c r="AZ1497" s="165"/>
      <c r="BA1497" s="165"/>
      <c r="BB1497" s="165"/>
      <c r="BC1497" s="165"/>
      <c r="BD1497" s="165"/>
      <c r="BE1497" s="165"/>
      <c r="BF1497" s="165"/>
      <c r="BG1497" s="165"/>
      <c r="BH1497" s="165"/>
      <c r="BI1497" s="165"/>
      <c r="BJ1497" s="165"/>
      <c r="BK1497" s="165"/>
      <c r="BL1497" s="165"/>
      <c r="BM1497" s="165"/>
      <c r="BN1497" s="165"/>
      <c r="BO1497" s="165"/>
      <c r="BP1497" s="165"/>
      <c r="BQ1497" s="165"/>
      <c r="BR1497" s="165"/>
      <c r="BS1497" s="165"/>
      <c r="BT1497" s="165"/>
      <c r="BU1497" s="165"/>
      <c r="BV1497" s="165"/>
      <c r="BW1497" s="165"/>
      <c r="BX1497" s="165"/>
      <c r="BY1497" s="165"/>
      <c r="BZ1497" s="165"/>
      <c r="CA1497" s="315"/>
    </row>
    <row r="1498" spans="1:79" s="143" customFormat="1" ht="41.4" customHeight="1" x14ac:dyDescent="0.3">
      <c r="A1498" s="259" t="s">
        <v>1641</v>
      </c>
      <c r="B1498" s="243" t="s">
        <v>3222</v>
      </c>
      <c r="C1498" s="244" t="s">
        <v>3492</v>
      </c>
      <c r="D1498" s="259" t="s">
        <v>34</v>
      </c>
      <c r="E1498" s="259" t="s">
        <v>3224</v>
      </c>
      <c r="F1498" s="260" t="s">
        <v>35</v>
      </c>
      <c r="G1498" s="259">
        <v>22</v>
      </c>
      <c r="H1498" s="53">
        <v>240000</v>
      </c>
      <c r="I1498" s="261" t="s">
        <v>36</v>
      </c>
      <c r="J1498" s="53">
        <v>240000</v>
      </c>
      <c r="K1498" s="1696">
        <v>0</v>
      </c>
      <c r="L1498" s="1696">
        <v>0</v>
      </c>
      <c r="M1498" s="263" t="s">
        <v>76</v>
      </c>
      <c r="N1498" s="263" t="s">
        <v>3493</v>
      </c>
      <c r="O1498" s="355" t="s">
        <v>3494</v>
      </c>
      <c r="P1498" s="263" t="s">
        <v>41</v>
      </c>
      <c r="Q1498" s="262">
        <v>45090</v>
      </c>
      <c r="R1498" s="263" t="s">
        <v>3281</v>
      </c>
      <c r="S1498" s="262">
        <v>45090</v>
      </c>
      <c r="T1498" s="263" t="s">
        <v>40</v>
      </c>
      <c r="U1498" s="262"/>
      <c r="V1498" s="263" t="s">
        <v>40</v>
      </c>
      <c r="W1498" s="262"/>
      <c r="X1498" s="263" t="s">
        <v>40</v>
      </c>
      <c r="Y1498" s="262"/>
      <c r="Z1498" s="263" t="s">
        <v>40</v>
      </c>
      <c r="AA1498" s="262"/>
      <c r="AB1498" s="263" t="s">
        <v>40</v>
      </c>
      <c r="AC1498" s="262"/>
      <c r="AD1498" s="262"/>
      <c r="AE1498" s="262">
        <v>46203</v>
      </c>
      <c r="AF1498" s="263" t="s">
        <v>65</v>
      </c>
      <c r="AG1498" s="270">
        <v>2026</v>
      </c>
      <c r="AH1498" s="261">
        <f t="shared" si="50"/>
        <v>0</v>
      </c>
      <c r="AI1498" s="261"/>
      <c r="AJ1498" s="261"/>
      <c r="AK1498" s="260" t="s">
        <v>43</v>
      </c>
      <c r="AL1498" s="259" t="s">
        <v>41</v>
      </c>
      <c r="AM1498" s="266">
        <v>0</v>
      </c>
      <c r="AN1498" s="67"/>
      <c r="AO1498" s="259"/>
      <c r="AP1498" s="277"/>
      <c r="AQ1498" s="165"/>
      <c r="AR1498" s="165"/>
      <c r="AS1498" s="165"/>
      <c r="AT1498" s="165"/>
      <c r="AU1498" s="165"/>
      <c r="AV1498" s="165"/>
      <c r="AW1498" s="165"/>
      <c r="AX1498" s="165"/>
      <c r="AY1498" s="165"/>
      <c r="AZ1498" s="165"/>
      <c r="BA1498" s="165"/>
      <c r="BB1498" s="165"/>
      <c r="BC1498" s="165"/>
      <c r="BD1498" s="165"/>
      <c r="BE1498" s="165"/>
      <c r="BF1498" s="165"/>
      <c r="BG1498" s="165"/>
      <c r="BH1498" s="165"/>
      <c r="BI1498" s="165"/>
      <c r="BJ1498" s="165"/>
      <c r="BK1498" s="165"/>
      <c r="BL1498" s="165"/>
      <c r="BM1498" s="165"/>
      <c r="BN1498" s="165"/>
      <c r="BO1498" s="165"/>
      <c r="BP1498" s="165"/>
      <c r="BQ1498" s="165"/>
      <c r="BR1498" s="165"/>
      <c r="BS1498" s="165"/>
      <c r="BT1498" s="165"/>
      <c r="BU1498" s="165"/>
      <c r="BV1498" s="165"/>
      <c r="BW1498" s="165"/>
      <c r="BX1498" s="165"/>
      <c r="BY1498" s="165"/>
      <c r="BZ1498" s="165"/>
      <c r="CA1498" s="315"/>
    </row>
    <row r="1499" spans="1:79" s="143" customFormat="1" ht="41.4" customHeight="1" x14ac:dyDescent="0.3">
      <c r="A1499" s="259" t="s">
        <v>1641</v>
      </c>
      <c r="B1499" s="243" t="s">
        <v>3222</v>
      </c>
      <c r="C1499" s="244" t="s">
        <v>3495</v>
      </c>
      <c r="D1499" s="259" t="s">
        <v>34</v>
      </c>
      <c r="E1499" s="259" t="s">
        <v>3224</v>
      </c>
      <c r="F1499" s="260" t="s">
        <v>35</v>
      </c>
      <c r="G1499" s="259">
        <v>22</v>
      </c>
      <c r="H1499" s="53">
        <v>363000</v>
      </c>
      <c r="I1499" s="261" t="s">
        <v>36</v>
      </c>
      <c r="J1499" s="53">
        <v>363000</v>
      </c>
      <c r="K1499" s="1696">
        <v>0</v>
      </c>
      <c r="L1499" s="1696">
        <v>0</v>
      </c>
      <c r="M1499" s="263" t="s">
        <v>1208</v>
      </c>
      <c r="N1499" s="263" t="s">
        <v>3496</v>
      </c>
      <c r="O1499" s="355" t="s">
        <v>3497</v>
      </c>
      <c r="P1499" s="263" t="s">
        <v>40</v>
      </c>
      <c r="Q1499" s="262"/>
      <c r="R1499" s="263" t="s">
        <v>40</v>
      </c>
      <c r="S1499" s="262"/>
      <c r="T1499" s="263" t="s">
        <v>40</v>
      </c>
      <c r="U1499" s="262"/>
      <c r="V1499" s="263" t="s">
        <v>40</v>
      </c>
      <c r="W1499" s="262"/>
      <c r="X1499" s="263" t="s">
        <v>40</v>
      </c>
      <c r="Y1499" s="262"/>
      <c r="Z1499" s="263" t="s">
        <v>40</v>
      </c>
      <c r="AA1499" s="262"/>
      <c r="AB1499" s="263" t="s">
        <v>40</v>
      </c>
      <c r="AC1499" s="262"/>
      <c r="AD1499" s="262"/>
      <c r="AE1499" s="262">
        <v>46203</v>
      </c>
      <c r="AF1499" s="263" t="s">
        <v>65</v>
      </c>
      <c r="AG1499" s="270">
        <v>2026</v>
      </c>
      <c r="AH1499" s="296">
        <f t="shared" si="50"/>
        <v>0</v>
      </c>
      <c r="AI1499" s="296"/>
      <c r="AJ1499" s="296"/>
      <c r="AK1499" s="260" t="s">
        <v>43</v>
      </c>
      <c r="AL1499" s="259" t="s">
        <v>41</v>
      </c>
      <c r="AM1499" s="266">
        <v>0</v>
      </c>
      <c r="AN1499" s="67"/>
      <c r="AO1499" s="259"/>
      <c r="AP1499" s="277"/>
      <c r="AQ1499" s="165"/>
      <c r="AR1499" s="165"/>
      <c r="AS1499" s="165"/>
      <c r="AT1499" s="165"/>
      <c r="AU1499" s="165"/>
      <c r="AV1499" s="165"/>
      <c r="AW1499" s="165"/>
      <c r="AX1499" s="165"/>
      <c r="AY1499" s="165"/>
      <c r="AZ1499" s="165"/>
      <c r="BA1499" s="165"/>
      <c r="BB1499" s="165"/>
      <c r="BC1499" s="165"/>
      <c r="BD1499" s="165"/>
      <c r="BE1499" s="165"/>
      <c r="BF1499" s="165"/>
      <c r="BG1499" s="165"/>
      <c r="BH1499" s="165"/>
      <c r="BI1499" s="165"/>
      <c r="BJ1499" s="165"/>
      <c r="BK1499" s="165"/>
      <c r="BL1499" s="165"/>
      <c r="BM1499" s="165"/>
      <c r="BN1499" s="165"/>
      <c r="BO1499" s="165"/>
      <c r="BP1499" s="165"/>
      <c r="BQ1499" s="165"/>
      <c r="BR1499" s="165"/>
      <c r="BS1499" s="165"/>
      <c r="BT1499" s="165"/>
      <c r="BU1499" s="165"/>
      <c r="BV1499" s="165"/>
      <c r="BW1499" s="165"/>
      <c r="BX1499" s="165"/>
      <c r="BY1499" s="165"/>
      <c r="BZ1499" s="165"/>
      <c r="CA1499" s="315"/>
    </row>
    <row r="1500" spans="1:79" s="143" customFormat="1" ht="41.4" customHeight="1" x14ac:dyDescent="0.3">
      <c r="A1500" s="259" t="s">
        <v>1641</v>
      </c>
      <c r="B1500" s="243" t="s">
        <v>3222</v>
      </c>
      <c r="C1500" s="244" t="s">
        <v>3498</v>
      </c>
      <c r="D1500" s="259" t="s">
        <v>34</v>
      </c>
      <c r="E1500" s="259" t="s">
        <v>3224</v>
      </c>
      <c r="F1500" s="260" t="s">
        <v>35</v>
      </c>
      <c r="G1500" s="259">
        <v>6</v>
      </c>
      <c r="H1500" s="53">
        <v>84000</v>
      </c>
      <c r="I1500" s="261" t="s">
        <v>36</v>
      </c>
      <c r="J1500" s="53">
        <v>84000</v>
      </c>
      <c r="K1500" s="1696">
        <v>0</v>
      </c>
      <c r="L1500" s="1696">
        <v>0</v>
      </c>
      <c r="M1500" s="263" t="s">
        <v>60</v>
      </c>
      <c r="N1500" s="263" t="s">
        <v>1656</v>
      </c>
      <c r="O1500" s="355" t="s">
        <v>3314</v>
      </c>
      <c r="P1500" s="263" t="s">
        <v>40</v>
      </c>
      <c r="Q1500" s="262"/>
      <c r="R1500" s="263" t="s">
        <v>40</v>
      </c>
      <c r="S1500" s="262"/>
      <c r="T1500" s="263" t="s">
        <v>40</v>
      </c>
      <c r="U1500" s="262"/>
      <c r="V1500" s="263" t="s">
        <v>40</v>
      </c>
      <c r="W1500" s="262"/>
      <c r="X1500" s="263" t="s">
        <v>40</v>
      </c>
      <c r="Y1500" s="262"/>
      <c r="Z1500" s="263" t="s">
        <v>40</v>
      </c>
      <c r="AA1500" s="262"/>
      <c r="AB1500" s="263" t="s">
        <v>40</v>
      </c>
      <c r="AC1500" s="262"/>
      <c r="AD1500" s="262"/>
      <c r="AE1500" s="262">
        <v>46203</v>
      </c>
      <c r="AF1500" s="263" t="s">
        <v>65</v>
      </c>
      <c r="AG1500" s="270">
        <v>2026</v>
      </c>
      <c r="AH1500" s="261">
        <f t="shared" si="50"/>
        <v>0</v>
      </c>
      <c r="AI1500" s="261"/>
      <c r="AJ1500" s="261"/>
      <c r="AK1500" s="260" t="s">
        <v>43</v>
      </c>
      <c r="AL1500" s="259" t="s">
        <v>41</v>
      </c>
      <c r="AM1500" s="266">
        <v>0</v>
      </c>
      <c r="AN1500" s="67"/>
      <c r="AO1500" s="259"/>
      <c r="AP1500" s="277"/>
      <c r="AQ1500" s="165"/>
      <c r="AR1500" s="165"/>
      <c r="AS1500" s="165"/>
      <c r="AT1500" s="165"/>
      <c r="AU1500" s="165"/>
      <c r="AV1500" s="165"/>
      <c r="AW1500" s="165"/>
      <c r="AX1500" s="165"/>
      <c r="AY1500" s="165"/>
      <c r="AZ1500" s="165"/>
      <c r="BA1500" s="165"/>
      <c r="BB1500" s="165"/>
      <c r="BC1500" s="165"/>
      <c r="BD1500" s="165"/>
      <c r="BE1500" s="165"/>
      <c r="BF1500" s="165"/>
      <c r="BG1500" s="165"/>
      <c r="BH1500" s="165"/>
      <c r="BI1500" s="165"/>
      <c r="BJ1500" s="165"/>
      <c r="BK1500" s="165"/>
      <c r="BL1500" s="165"/>
      <c r="BM1500" s="165"/>
      <c r="BN1500" s="165"/>
      <c r="BO1500" s="165"/>
      <c r="BP1500" s="165"/>
      <c r="BQ1500" s="165"/>
      <c r="BR1500" s="165"/>
      <c r="BS1500" s="165"/>
      <c r="BT1500" s="165"/>
      <c r="BU1500" s="165"/>
      <c r="BV1500" s="165"/>
      <c r="BW1500" s="165"/>
      <c r="BX1500" s="165"/>
      <c r="BY1500" s="165"/>
      <c r="BZ1500" s="165"/>
      <c r="CA1500" s="315"/>
    </row>
    <row r="1501" spans="1:79" s="143" customFormat="1" ht="41.4" customHeight="1" x14ac:dyDescent="0.3">
      <c r="A1501" s="259" t="s">
        <v>1641</v>
      </c>
      <c r="B1501" s="243" t="s">
        <v>3222</v>
      </c>
      <c r="C1501" s="244" t="s">
        <v>3499</v>
      </c>
      <c r="D1501" s="259" t="s">
        <v>34</v>
      </c>
      <c r="E1501" s="259" t="s">
        <v>3224</v>
      </c>
      <c r="F1501" s="260" t="s">
        <v>35</v>
      </c>
      <c r="G1501" s="259">
        <v>25</v>
      </c>
      <c r="H1501" s="53">
        <v>487000</v>
      </c>
      <c r="I1501" s="261" t="s">
        <v>36</v>
      </c>
      <c r="J1501" s="53">
        <v>487000</v>
      </c>
      <c r="K1501" s="1696">
        <v>0</v>
      </c>
      <c r="L1501" s="1696">
        <v>0</v>
      </c>
      <c r="M1501" s="263" t="s">
        <v>60</v>
      </c>
      <c r="N1501" s="263" t="s">
        <v>1740</v>
      </c>
      <c r="O1501" s="355" t="s">
        <v>3500</v>
      </c>
      <c r="P1501" s="263" t="s">
        <v>41</v>
      </c>
      <c r="Q1501" s="262">
        <v>45090</v>
      </c>
      <c r="R1501" s="263" t="s">
        <v>3281</v>
      </c>
      <c r="S1501" s="262">
        <v>45090</v>
      </c>
      <c r="T1501" s="263" t="s">
        <v>40</v>
      </c>
      <c r="U1501" s="262"/>
      <c r="V1501" s="263" t="s">
        <v>40</v>
      </c>
      <c r="W1501" s="262"/>
      <c r="X1501" s="263" t="s">
        <v>40</v>
      </c>
      <c r="Y1501" s="262"/>
      <c r="Z1501" s="263" t="s">
        <v>40</v>
      </c>
      <c r="AA1501" s="262"/>
      <c r="AB1501" s="263" t="s">
        <v>40</v>
      </c>
      <c r="AC1501" s="262"/>
      <c r="AD1501" s="262"/>
      <c r="AE1501" s="262">
        <v>46203</v>
      </c>
      <c r="AF1501" s="263" t="s">
        <v>65</v>
      </c>
      <c r="AG1501" s="270">
        <v>2026</v>
      </c>
      <c r="AH1501" s="261">
        <f t="shared" si="50"/>
        <v>0</v>
      </c>
      <c r="AI1501" s="261"/>
      <c r="AJ1501" s="261"/>
      <c r="AK1501" s="260" t="s">
        <v>43</v>
      </c>
      <c r="AL1501" s="259" t="s">
        <v>41</v>
      </c>
      <c r="AM1501" s="266">
        <v>0</v>
      </c>
      <c r="AN1501" s="67"/>
      <c r="AO1501" s="259"/>
      <c r="AP1501" s="277"/>
      <c r="AQ1501" s="165"/>
      <c r="AR1501" s="165"/>
      <c r="AS1501" s="165"/>
      <c r="AT1501" s="165"/>
      <c r="AU1501" s="165"/>
      <c r="AV1501" s="165"/>
      <c r="AW1501" s="165"/>
      <c r="AX1501" s="165"/>
      <c r="AY1501" s="165"/>
      <c r="AZ1501" s="165"/>
      <c r="BA1501" s="165"/>
      <c r="BB1501" s="165"/>
      <c r="BC1501" s="165"/>
      <c r="BD1501" s="165"/>
      <c r="BE1501" s="165"/>
      <c r="BF1501" s="165"/>
      <c r="BG1501" s="165"/>
      <c r="BH1501" s="165"/>
      <c r="BI1501" s="165"/>
      <c r="BJ1501" s="165"/>
      <c r="BK1501" s="165"/>
      <c r="BL1501" s="165"/>
      <c r="BM1501" s="165"/>
      <c r="BN1501" s="165"/>
      <c r="BO1501" s="165"/>
      <c r="BP1501" s="165"/>
      <c r="BQ1501" s="165"/>
      <c r="BR1501" s="165"/>
      <c r="BS1501" s="165"/>
      <c r="BT1501" s="165"/>
      <c r="BU1501" s="165"/>
      <c r="BV1501" s="165"/>
      <c r="BW1501" s="165"/>
      <c r="BX1501" s="165"/>
      <c r="BY1501" s="165"/>
      <c r="BZ1501" s="165"/>
      <c r="CA1501" s="315"/>
    </row>
    <row r="1502" spans="1:79" s="143" customFormat="1" ht="41.4" customHeight="1" x14ac:dyDescent="0.3">
      <c r="A1502" s="259" t="s">
        <v>1641</v>
      </c>
      <c r="B1502" s="243" t="s">
        <v>3222</v>
      </c>
      <c r="C1502" s="244" t="s">
        <v>3501</v>
      </c>
      <c r="D1502" s="259" t="s">
        <v>34</v>
      </c>
      <c r="E1502" s="259" t="s">
        <v>3224</v>
      </c>
      <c r="F1502" s="260" t="s">
        <v>35</v>
      </c>
      <c r="G1502" s="259">
        <v>15</v>
      </c>
      <c r="H1502" s="53">
        <v>210000</v>
      </c>
      <c r="I1502" s="261" t="s">
        <v>36</v>
      </c>
      <c r="J1502" s="53">
        <v>210000</v>
      </c>
      <c r="K1502" s="1696">
        <v>0</v>
      </c>
      <c r="L1502" s="1696">
        <v>0</v>
      </c>
      <c r="M1502" s="263" t="s">
        <v>68</v>
      </c>
      <c r="N1502" s="263" t="s">
        <v>3502</v>
      </c>
      <c r="O1502" s="355" t="s">
        <v>3503</v>
      </c>
      <c r="P1502" s="263" t="s">
        <v>40</v>
      </c>
      <c r="Q1502" s="262"/>
      <c r="R1502" s="263" t="s">
        <v>40</v>
      </c>
      <c r="S1502" s="262"/>
      <c r="T1502" s="263" t="s">
        <v>40</v>
      </c>
      <c r="U1502" s="262"/>
      <c r="V1502" s="263" t="s">
        <v>40</v>
      </c>
      <c r="W1502" s="262"/>
      <c r="X1502" s="263" t="s">
        <v>40</v>
      </c>
      <c r="Y1502" s="262"/>
      <c r="Z1502" s="263" t="s">
        <v>40</v>
      </c>
      <c r="AA1502" s="262"/>
      <c r="AB1502" s="263" t="s">
        <v>40</v>
      </c>
      <c r="AC1502" s="262"/>
      <c r="AD1502" s="262"/>
      <c r="AE1502" s="262">
        <v>46203</v>
      </c>
      <c r="AF1502" s="263" t="s">
        <v>65</v>
      </c>
      <c r="AG1502" s="270">
        <v>2026</v>
      </c>
      <c r="AH1502" s="261">
        <f t="shared" si="50"/>
        <v>0</v>
      </c>
      <c r="AI1502" s="261"/>
      <c r="AJ1502" s="261"/>
      <c r="AK1502" s="260" t="s">
        <v>43</v>
      </c>
      <c r="AL1502" s="259" t="s">
        <v>41</v>
      </c>
      <c r="AM1502" s="266">
        <v>0</v>
      </c>
      <c r="AN1502" s="67"/>
      <c r="AO1502" s="259"/>
      <c r="AP1502" s="277"/>
      <c r="AQ1502" s="165"/>
      <c r="AR1502" s="165"/>
      <c r="AS1502" s="165"/>
      <c r="AT1502" s="165"/>
      <c r="AU1502" s="165"/>
      <c r="AV1502" s="165"/>
      <c r="AW1502" s="165"/>
      <c r="AX1502" s="165"/>
      <c r="AY1502" s="165"/>
      <c r="AZ1502" s="165"/>
      <c r="BA1502" s="165"/>
      <c r="BB1502" s="165"/>
      <c r="BC1502" s="165"/>
      <c r="BD1502" s="165"/>
      <c r="BE1502" s="165"/>
      <c r="BF1502" s="165"/>
      <c r="BG1502" s="165"/>
      <c r="BH1502" s="165"/>
      <c r="BI1502" s="165"/>
      <c r="BJ1502" s="165"/>
      <c r="BK1502" s="165"/>
      <c r="BL1502" s="165"/>
      <c r="BM1502" s="165"/>
      <c r="BN1502" s="165"/>
      <c r="BO1502" s="165"/>
      <c r="BP1502" s="165"/>
      <c r="BQ1502" s="165"/>
      <c r="BR1502" s="165"/>
      <c r="BS1502" s="165"/>
      <c r="BT1502" s="165"/>
      <c r="BU1502" s="165"/>
      <c r="BV1502" s="165"/>
      <c r="BW1502" s="165"/>
      <c r="BX1502" s="165"/>
      <c r="BY1502" s="165"/>
      <c r="BZ1502" s="165"/>
      <c r="CA1502" s="315"/>
    </row>
    <row r="1503" spans="1:79" s="143" customFormat="1" ht="41.4" customHeight="1" x14ac:dyDescent="0.3">
      <c r="A1503" s="259" t="s">
        <v>1641</v>
      </c>
      <c r="B1503" s="243" t="s">
        <v>3222</v>
      </c>
      <c r="C1503" s="244" t="s">
        <v>3504</v>
      </c>
      <c r="D1503" s="259" t="s">
        <v>34</v>
      </c>
      <c r="E1503" s="259" t="s">
        <v>3224</v>
      </c>
      <c r="F1503" s="260" t="s">
        <v>35</v>
      </c>
      <c r="G1503" s="259">
        <v>2</v>
      </c>
      <c r="H1503" s="53">
        <v>38000</v>
      </c>
      <c r="I1503" s="261" t="s">
        <v>36</v>
      </c>
      <c r="J1503" s="53">
        <v>38000</v>
      </c>
      <c r="K1503" s="1696">
        <v>0</v>
      </c>
      <c r="L1503" s="1696">
        <v>0</v>
      </c>
      <c r="M1503" s="263" t="s">
        <v>2654</v>
      </c>
      <c r="N1503" s="263" t="s">
        <v>3505</v>
      </c>
      <c r="O1503" s="263" t="s">
        <v>3506</v>
      </c>
      <c r="P1503" s="263" t="s">
        <v>40</v>
      </c>
      <c r="Q1503" s="262"/>
      <c r="R1503" s="263" t="s">
        <v>40</v>
      </c>
      <c r="S1503" s="262"/>
      <c r="T1503" s="263" t="s">
        <v>40</v>
      </c>
      <c r="U1503" s="262"/>
      <c r="V1503" s="263" t="s">
        <v>40</v>
      </c>
      <c r="W1503" s="262"/>
      <c r="X1503" s="263" t="s">
        <v>40</v>
      </c>
      <c r="Y1503" s="262"/>
      <c r="Z1503" s="263" t="s">
        <v>40</v>
      </c>
      <c r="AA1503" s="262"/>
      <c r="AB1503" s="263" t="s">
        <v>40</v>
      </c>
      <c r="AC1503" s="262"/>
      <c r="AD1503" s="262"/>
      <c r="AE1503" s="262">
        <v>46203</v>
      </c>
      <c r="AF1503" s="263" t="s">
        <v>65</v>
      </c>
      <c r="AG1503" s="270">
        <v>2026</v>
      </c>
      <c r="AH1503" s="261">
        <f t="shared" si="50"/>
        <v>0</v>
      </c>
      <c r="AI1503" s="261"/>
      <c r="AJ1503" s="261"/>
      <c r="AK1503" s="260" t="s">
        <v>43</v>
      </c>
      <c r="AL1503" s="259" t="s">
        <v>41</v>
      </c>
      <c r="AM1503" s="266">
        <v>0</v>
      </c>
      <c r="AN1503" s="67"/>
      <c r="AO1503" s="259"/>
      <c r="AP1503" s="277"/>
      <c r="AQ1503" s="165"/>
      <c r="AR1503" s="165"/>
      <c r="AS1503" s="165"/>
      <c r="AT1503" s="165"/>
      <c r="AU1503" s="165"/>
      <c r="AV1503" s="165"/>
      <c r="AW1503" s="165"/>
      <c r="AX1503" s="165"/>
      <c r="AY1503" s="165"/>
      <c r="AZ1503" s="165"/>
      <c r="BA1503" s="165"/>
      <c r="BB1503" s="165"/>
      <c r="BC1503" s="165"/>
      <c r="BD1503" s="165"/>
      <c r="BE1503" s="165"/>
      <c r="BF1503" s="165"/>
      <c r="BG1503" s="165"/>
      <c r="BH1503" s="165"/>
      <c r="BI1503" s="165"/>
      <c r="BJ1503" s="165"/>
      <c r="BK1503" s="165"/>
      <c r="BL1503" s="165"/>
      <c r="BM1503" s="165"/>
      <c r="BN1503" s="165"/>
      <c r="BO1503" s="165"/>
      <c r="BP1503" s="165"/>
      <c r="BQ1503" s="165"/>
      <c r="BR1503" s="165"/>
      <c r="BS1503" s="165"/>
      <c r="BT1503" s="165"/>
      <c r="BU1503" s="165"/>
      <c r="BV1503" s="165"/>
      <c r="BW1503" s="165"/>
      <c r="BX1503" s="165"/>
      <c r="BY1503" s="165"/>
      <c r="BZ1503" s="165"/>
      <c r="CA1503" s="315"/>
    </row>
    <row r="1504" spans="1:79" s="143" customFormat="1" ht="41.4" customHeight="1" x14ac:dyDescent="0.3">
      <c r="A1504" s="259" t="s">
        <v>1641</v>
      </c>
      <c r="B1504" s="243" t="s">
        <v>3222</v>
      </c>
      <c r="C1504" s="244" t="s">
        <v>3507</v>
      </c>
      <c r="D1504" s="259" t="s">
        <v>34</v>
      </c>
      <c r="E1504" s="259" t="s">
        <v>3224</v>
      </c>
      <c r="F1504" s="260" t="s">
        <v>35</v>
      </c>
      <c r="G1504" s="259">
        <v>15</v>
      </c>
      <c r="H1504" s="53">
        <v>210000</v>
      </c>
      <c r="I1504" s="261" t="s">
        <v>36</v>
      </c>
      <c r="J1504" s="53">
        <v>210000</v>
      </c>
      <c r="K1504" s="1696">
        <v>0</v>
      </c>
      <c r="L1504" s="1696">
        <v>0</v>
      </c>
      <c r="M1504" s="263" t="s">
        <v>62</v>
      </c>
      <c r="N1504" s="263" t="s">
        <v>3508</v>
      </c>
      <c r="O1504" s="263" t="s">
        <v>3509</v>
      </c>
      <c r="P1504" s="263" t="s">
        <v>40</v>
      </c>
      <c r="Q1504" s="262"/>
      <c r="R1504" s="263" t="s">
        <v>40</v>
      </c>
      <c r="S1504" s="262"/>
      <c r="T1504" s="263" t="s">
        <v>40</v>
      </c>
      <c r="U1504" s="262"/>
      <c r="V1504" s="263" t="s">
        <v>40</v>
      </c>
      <c r="W1504" s="262"/>
      <c r="X1504" s="263" t="s">
        <v>40</v>
      </c>
      <c r="Y1504" s="262"/>
      <c r="Z1504" s="263" t="s">
        <v>40</v>
      </c>
      <c r="AA1504" s="262"/>
      <c r="AB1504" s="263" t="s">
        <v>40</v>
      </c>
      <c r="AC1504" s="262"/>
      <c r="AD1504" s="262"/>
      <c r="AE1504" s="262">
        <v>46203</v>
      </c>
      <c r="AF1504" s="263" t="s">
        <v>65</v>
      </c>
      <c r="AG1504" s="270">
        <v>2026</v>
      </c>
      <c r="AH1504" s="261">
        <f t="shared" si="50"/>
        <v>0</v>
      </c>
      <c r="AI1504" s="261"/>
      <c r="AJ1504" s="261"/>
      <c r="AK1504" s="260" t="s">
        <v>43</v>
      </c>
      <c r="AL1504" s="259" t="s">
        <v>41</v>
      </c>
      <c r="AM1504" s="266">
        <v>0</v>
      </c>
      <c r="AN1504" s="67"/>
      <c r="AO1504" s="259"/>
      <c r="AP1504" s="277"/>
      <c r="AQ1504" s="165"/>
      <c r="AR1504" s="165"/>
      <c r="AS1504" s="165"/>
      <c r="AT1504" s="165"/>
      <c r="AU1504" s="165"/>
      <c r="AV1504" s="165"/>
      <c r="AW1504" s="165"/>
      <c r="AX1504" s="165"/>
      <c r="AY1504" s="165"/>
      <c r="AZ1504" s="165"/>
      <c r="BA1504" s="165"/>
      <c r="BB1504" s="165"/>
      <c r="BC1504" s="165"/>
      <c r="BD1504" s="165"/>
      <c r="BE1504" s="165"/>
      <c r="BF1504" s="165"/>
      <c r="BG1504" s="165"/>
      <c r="BH1504" s="165"/>
      <c r="BI1504" s="165"/>
      <c r="BJ1504" s="165"/>
      <c r="BK1504" s="165"/>
      <c r="BL1504" s="165"/>
      <c r="BM1504" s="165"/>
      <c r="BN1504" s="165"/>
      <c r="BO1504" s="165"/>
      <c r="BP1504" s="165"/>
      <c r="BQ1504" s="165"/>
      <c r="BR1504" s="165"/>
      <c r="BS1504" s="165"/>
      <c r="BT1504" s="165"/>
      <c r="BU1504" s="165"/>
      <c r="BV1504" s="165"/>
      <c r="BW1504" s="165"/>
      <c r="BX1504" s="165"/>
      <c r="BY1504" s="165"/>
      <c r="BZ1504" s="165"/>
      <c r="CA1504" s="315"/>
    </row>
    <row r="1505" spans="1:79" s="143" customFormat="1" ht="55.2" customHeight="1" x14ac:dyDescent="0.3">
      <c r="A1505" s="259" t="s">
        <v>1641</v>
      </c>
      <c r="B1505" s="243" t="s">
        <v>3222</v>
      </c>
      <c r="C1505" s="244" t="s">
        <v>3510</v>
      </c>
      <c r="D1505" s="259" t="s">
        <v>34</v>
      </c>
      <c r="E1505" s="259" t="s">
        <v>3224</v>
      </c>
      <c r="F1505" s="260" t="s">
        <v>35</v>
      </c>
      <c r="G1505" s="259">
        <v>5</v>
      </c>
      <c r="H1505" s="53">
        <v>70000</v>
      </c>
      <c r="I1505" s="261" t="s">
        <v>36</v>
      </c>
      <c r="J1505" s="53">
        <v>70000</v>
      </c>
      <c r="K1505" s="1696">
        <f>10976.73</f>
        <v>10976.73</v>
      </c>
      <c r="L1505" s="1696">
        <f>K1505</f>
        <v>10976.73</v>
      </c>
      <c r="M1505" s="263" t="s">
        <v>183</v>
      </c>
      <c r="N1505" s="263" t="s">
        <v>2090</v>
      </c>
      <c r="O1505" s="263" t="s">
        <v>3511</v>
      </c>
      <c r="P1505" s="263" t="s">
        <v>40</v>
      </c>
      <c r="Q1505" s="262"/>
      <c r="R1505" s="263" t="s">
        <v>40</v>
      </c>
      <c r="S1505" s="262"/>
      <c r="T1505" s="263" t="s">
        <v>40</v>
      </c>
      <c r="U1505" s="262"/>
      <c r="V1505" s="263" t="s">
        <v>40</v>
      </c>
      <c r="W1505" s="262"/>
      <c r="X1505" s="263" t="s">
        <v>40</v>
      </c>
      <c r="Y1505" s="262"/>
      <c r="Z1505" s="263" t="s">
        <v>40</v>
      </c>
      <c r="AA1505" s="262"/>
      <c r="AB1505" s="263" t="s">
        <v>40</v>
      </c>
      <c r="AC1505" s="262"/>
      <c r="AD1505" s="262"/>
      <c r="AE1505" s="262">
        <v>46203</v>
      </c>
      <c r="AF1505" s="263" t="s">
        <v>65</v>
      </c>
      <c r="AG1505" s="270">
        <v>2026</v>
      </c>
      <c r="AH1505" s="261">
        <f t="shared" si="50"/>
        <v>54000.023235000001</v>
      </c>
      <c r="AI1505" s="261"/>
      <c r="AJ1505" s="261"/>
      <c r="AK1505" s="260" t="s">
        <v>43</v>
      </c>
      <c r="AL1505" s="259" t="s">
        <v>41</v>
      </c>
      <c r="AM1505" s="266">
        <v>0</v>
      </c>
      <c r="AN1505" s="67"/>
      <c r="AO1505" s="259"/>
      <c r="AP1505" s="277"/>
      <c r="AQ1505" s="165"/>
      <c r="AR1505" s="165"/>
      <c r="AS1505" s="165"/>
      <c r="AT1505" s="165"/>
      <c r="AU1505" s="165"/>
      <c r="AV1505" s="165"/>
      <c r="AW1505" s="165"/>
      <c r="AX1505" s="165"/>
      <c r="AY1505" s="165"/>
      <c r="AZ1505" s="165"/>
      <c r="BA1505" s="165"/>
      <c r="BB1505" s="165"/>
      <c r="BC1505" s="165"/>
      <c r="BD1505" s="165"/>
      <c r="BE1505" s="165"/>
      <c r="BF1505" s="165"/>
      <c r="BG1505" s="165"/>
      <c r="BH1505" s="165"/>
      <c r="BI1505" s="165"/>
      <c r="BJ1505" s="165"/>
      <c r="BK1505" s="165"/>
      <c r="BL1505" s="165"/>
      <c r="BM1505" s="165"/>
      <c r="BN1505" s="165"/>
      <c r="BO1505" s="165"/>
      <c r="BP1505" s="165"/>
      <c r="BQ1505" s="165"/>
      <c r="BR1505" s="165"/>
      <c r="BS1505" s="165"/>
      <c r="BT1505" s="165"/>
      <c r="BU1505" s="165"/>
      <c r="BV1505" s="165"/>
      <c r="BW1505" s="165"/>
      <c r="BX1505" s="165"/>
      <c r="BY1505" s="165"/>
      <c r="BZ1505" s="165"/>
      <c r="CA1505" s="315"/>
    </row>
    <row r="1506" spans="1:79" s="143" customFormat="1" ht="41.4" customHeight="1" x14ac:dyDescent="0.3">
      <c r="A1506" s="259" t="s">
        <v>1641</v>
      </c>
      <c r="B1506" s="243" t="s">
        <v>3222</v>
      </c>
      <c r="C1506" s="244" t="s">
        <v>3512</v>
      </c>
      <c r="D1506" s="259" t="s">
        <v>34</v>
      </c>
      <c r="E1506" s="259" t="s">
        <v>3224</v>
      </c>
      <c r="F1506" s="260" t="s">
        <v>35</v>
      </c>
      <c r="G1506" s="259">
        <v>25</v>
      </c>
      <c r="H1506" s="53">
        <v>350000</v>
      </c>
      <c r="I1506" s="261" t="s">
        <v>36</v>
      </c>
      <c r="J1506" s="53">
        <v>350000</v>
      </c>
      <c r="K1506" s="1696">
        <v>0</v>
      </c>
      <c r="L1506" s="1696">
        <v>0</v>
      </c>
      <c r="M1506" s="263" t="s">
        <v>838</v>
      </c>
      <c r="N1506" s="263" t="s">
        <v>838</v>
      </c>
      <c r="O1506" s="263" t="s">
        <v>3513</v>
      </c>
      <c r="P1506" s="263" t="s">
        <v>40</v>
      </c>
      <c r="Q1506" s="262"/>
      <c r="R1506" s="263" t="s">
        <v>40</v>
      </c>
      <c r="S1506" s="262"/>
      <c r="T1506" s="263" t="s">
        <v>40</v>
      </c>
      <c r="U1506" s="262"/>
      <c r="V1506" s="263" t="s">
        <v>40</v>
      </c>
      <c r="W1506" s="262"/>
      <c r="X1506" s="263" t="s">
        <v>40</v>
      </c>
      <c r="Y1506" s="262"/>
      <c r="Z1506" s="263" t="s">
        <v>40</v>
      </c>
      <c r="AA1506" s="262"/>
      <c r="AB1506" s="263" t="s">
        <v>40</v>
      </c>
      <c r="AC1506" s="262"/>
      <c r="AD1506" s="262"/>
      <c r="AE1506" s="262">
        <v>46203</v>
      </c>
      <c r="AF1506" s="263" t="s">
        <v>65</v>
      </c>
      <c r="AG1506" s="270">
        <v>2026</v>
      </c>
      <c r="AH1506" s="261">
        <f t="shared" si="50"/>
        <v>0</v>
      </c>
      <c r="AI1506" s="261"/>
      <c r="AJ1506" s="261"/>
      <c r="AK1506" s="260" t="s">
        <v>43</v>
      </c>
      <c r="AL1506" s="259" t="s">
        <v>41</v>
      </c>
      <c r="AM1506" s="266">
        <v>0</v>
      </c>
      <c r="AN1506" s="67"/>
      <c r="AO1506" s="259"/>
      <c r="AP1506" s="277"/>
      <c r="AQ1506" s="165"/>
      <c r="AR1506" s="165"/>
      <c r="AS1506" s="165"/>
      <c r="AT1506" s="165"/>
      <c r="AU1506" s="165"/>
      <c r="AV1506" s="165"/>
      <c r="AW1506" s="165"/>
      <c r="AX1506" s="165"/>
      <c r="AY1506" s="165"/>
      <c r="AZ1506" s="165"/>
      <c r="BA1506" s="165"/>
      <c r="BB1506" s="165"/>
      <c r="BC1506" s="165"/>
      <c r="BD1506" s="165"/>
      <c r="BE1506" s="165"/>
      <c r="BF1506" s="165"/>
      <c r="BG1506" s="165"/>
      <c r="BH1506" s="165"/>
      <c r="BI1506" s="165"/>
      <c r="BJ1506" s="165"/>
      <c r="BK1506" s="165"/>
      <c r="BL1506" s="165"/>
      <c r="BM1506" s="165"/>
      <c r="BN1506" s="165"/>
      <c r="BO1506" s="165"/>
      <c r="BP1506" s="165"/>
      <c r="BQ1506" s="165"/>
      <c r="BR1506" s="165"/>
      <c r="BS1506" s="165"/>
      <c r="BT1506" s="165"/>
      <c r="BU1506" s="165"/>
      <c r="BV1506" s="165"/>
      <c r="BW1506" s="165"/>
      <c r="BX1506" s="165"/>
      <c r="BY1506" s="165"/>
      <c r="BZ1506" s="165"/>
      <c r="CA1506" s="315"/>
    </row>
    <row r="1507" spans="1:79" s="143" customFormat="1" ht="41.4" customHeight="1" x14ac:dyDescent="0.3">
      <c r="A1507" s="259" t="s">
        <v>1641</v>
      </c>
      <c r="B1507" s="243" t="s">
        <v>3222</v>
      </c>
      <c r="C1507" s="244" t="s">
        <v>3514</v>
      </c>
      <c r="D1507" s="259" t="s">
        <v>34</v>
      </c>
      <c r="E1507" s="259" t="s">
        <v>3224</v>
      </c>
      <c r="F1507" s="260" t="s">
        <v>35</v>
      </c>
      <c r="G1507" s="259">
        <v>50</v>
      </c>
      <c r="H1507" s="53">
        <v>700000</v>
      </c>
      <c r="I1507" s="261" t="s">
        <v>36</v>
      </c>
      <c r="J1507" s="53">
        <v>700000</v>
      </c>
      <c r="K1507" s="1696">
        <v>0</v>
      </c>
      <c r="L1507" s="1696">
        <v>0</v>
      </c>
      <c r="M1507" s="263" t="s">
        <v>53</v>
      </c>
      <c r="N1507" s="263" t="s">
        <v>3515</v>
      </c>
      <c r="O1507" s="263" t="s">
        <v>3516</v>
      </c>
      <c r="P1507" s="263" t="s">
        <v>40</v>
      </c>
      <c r="Q1507" s="262"/>
      <c r="R1507" s="263" t="s">
        <v>40</v>
      </c>
      <c r="S1507" s="262"/>
      <c r="T1507" s="263" t="s">
        <v>40</v>
      </c>
      <c r="U1507" s="262"/>
      <c r="V1507" s="263" t="s">
        <v>40</v>
      </c>
      <c r="W1507" s="262"/>
      <c r="X1507" s="263" t="s">
        <v>40</v>
      </c>
      <c r="Y1507" s="262"/>
      <c r="Z1507" s="263" t="s">
        <v>40</v>
      </c>
      <c r="AA1507" s="262"/>
      <c r="AB1507" s="263" t="s">
        <v>40</v>
      </c>
      <c r="AC1507" s="262"/>
      <c r="AD1507" s="262"/>
      <c r="AE1507" s="262">
        <v>46203</v>
      </c>
      <c r="AF1507" s="263" t="s">
        <v>65</v>
      </c>
      <c r="AG1507" s="270">
        <v>2026</v>
      </c>
      <c r="AH1507" s="261">
        <f t="shared" si="50"/>
        <v>0</v>
      </c>
      <c r="AI1507" s="261"/>
      <c r="AJ1507" s="261"/>
      <c r="AK1507" s="260" t="s">
        <v>43</v>
      </c>
      <c r="AL1507" s="259" t="s">
        <v>41</v>
      </c>
      <c r="AM1507" s="266">
        <v>0</v>
      </c>
      <c r="AN1507" s="67"/>
      <c r="AO1507" s="259"/>
      <c r="AP1507" s="277"/>
      <c r="AQ1507" s="165"/>
      <c r="AR1507" s="165"/>
      <c r="AS1507" s="165"/>
      <c r="AT1507" s="165"/>
      <c r="AU1507" s="165"/>
      <c r="AV1507" s="165"/>
      <c r="AW1507" s="165"/>
      <c r="AX1507" s="165"/>
      <c r="AY1507" s="165"/>
      <c r="AZ1507" s="165"/>
      <c r="BA1507" s="165"/>
      <c r="BB1507" s="165"/>
      <c r="BC1507" s="165"/>
      <c r="BD1507" s="165"/>
      <c r="BE1507" s="165"/>
      <c r="BF1507" s="165"/>
      <c r="BG1507" s="165"/>
      <c r="BH1507" s="165"/>
      <c r="BI1507" s="165"/>
      <c r="BJ1507" s="165"/>
      <c r="BK1507" s="165"/>
      <c r="BL1507" s="165"/>
      <c r="BM1507" s="165"/>
      <c r="BN1507" s="165"/>
      <c r="BO1507" s="165"/>
      <c r="BP1507" s="165"/>
      <c r="BQ1507" s="165"/>
      <c r="BR1507" s="165"/>
      <c r="BS1507" s="165"/>
      <c r="BT1507" s="165"/>
      <c r="BU1507" s="165"/>
      <c r="BV1507" s="165"/>
      <c r="BW1507" s="165"/>
      <c r="BX1507" s="165"/>
      <c r="BY1507" s="165"/>
      <c r="BZ1507" s="165"/>
      <c r="CA1507" s="315"/>
    </row>
    <row r="1508" spans="1:79" s="143" customFormat="1" ht="53.4" customHeight="1" x14ac:dyDescent="0.3">
      <c r="A1508" s="259" t="s">
        <v>1641</v>
      </c>
      <c r="B1508" s="243" t="s">
        <v>3222</v>
      </c>
      <c r="C1508" s="244" t="s">
        <v>3517</v>
      </c>
      <c r="D1508" s="259" t="s">
        <v>34</v>
      </c>
      <c r="E1508" s="259" t="s">
        <v>3224</v>
      </c>
      <c r="F1508" s="260" t="s">
        <v>35</v>
      </c>
      <c r="G1508" s="259">
        <v>100</v>
      </c>
      <c r="H1508" s="53">
        <v>2035000</v>
      </c>
      <c r="I1508" s="261" t="s">
        <v>36</v>
      </c>
      <c r="J1508" s="53">
        <v>2035000</v>
      </c>
      <c r="K1508" s="1696">
        <v>0</v>
      </c>
      <c r="L1508" s="1696">
        <v>0</v>
      </c>
      <c r="M1508" s="263" t="s">
        <v>140</v>
      </c>
      <c r="N1508" s="263" t="s">
        <v>1927</v>
      </c>
      <c r="O1508" s="263" t="s">
        <v>3518</v>
      </c>
      <c r="P1508" s="263" t="s">
        <v>41</v>
      </c>
      <c r="Q1508" s="262">
        <v>45090</v>
      </c>
      <c r="R1508" s="263" t="s">
        <v>3281</v>
      </c>
      <c r="S1508" s="262">
        <v>45090</v>
      </c>
      <c r="T1508" s="263" t="s">
        <v>40</v>
      </c>
      <c r="U1508" s="262"/>
      <c r="V1508" s="263" t="s">
        <v>40</v>
      </c>
      <c r="W1508" s="262"/>
      <c r="X1508" s="263" t="s">
        <v>40</v>
      </c>
      <c r="Y1508" s="262"/>
      <c r="Z1508" s="263" t="s">
        <v>40</v>
      </c>
      <c r="AA1508" s="262"/>
      <c r="AB1508" s="263" t="s">
        <v>40</v>
      </c>
      <c r="AC1508" s="262"/>
      <c r="AD1508" s="262"/>
      <c r="AE1508" s="262">
        <v>46203</v>
      </c>
      <c r="AF1508" s="263" t="s">
        <v>65</v>
      </c>
      <c r="AG1508" s="270">
        <v>2026</v>
      </c>
      <c r="AH1508" s="261">
        <f t="shared" si="50"/>
        <v>0</v>
      </c>
      <c r="AI1508" s="261"/>
      <c r="AJ1508" s="261"/>
      <c r="AK1508" s="260" t="s">
        <v>43</v>
      </c>
      <c r="AL1508" s="259" t="s">
        <v>41</v>
      </c>
      <c r="AM1508" s="266">
        <v>0</v>
      </c>
      <c r="AN1508" s="67"/>
      <c r="AO1508" s="259"/>
      <c r="AP1508" s="277"/>
      <c r="AQ1508" s="165"/>
      <c r="AR1508" s="165"/>
      <c r="AS1508" s="165"/>
      <c r="AT1508" s="165"/>
      <c r="AU1508" s="165"/>
      <c r="AV1508" s="165"/>
      <c r="AW1508" s="165"/>
      <c r="AX1508" s="165"/>
      <c r="AY1508" s="165"/>
      <c r="AZ1508" s="165"/>
      <c r="BA1508" s="165"/>
      <c r="BB1508" s="165"/>
      <c r="BC1508" s="165"/>
      <c r="BD1508" s="165"/>
      <c r="BE1508" s="165"/>
      <c r="BF1508" s="165"/>
      <c r="BG1508" s="165"/>
      <c r="BH1508" s="165"/>
      <c r="BI1508" s="165"/>
      <c r="BJ1508" s="165"/>
      <c r="BK1508" s="165"/>
      <c r="BL1508" s="165"/>
      <c r="BM1508" s="165"/>
      <c r="BN1508" s="165"/>
      <c r="BO1508" s="165"/>
      <c r="BP1508" s="165"/>
      <c r="BQ1508" s="165"/>
      <c r="BR1508" s="165"/>
      <c r="BS1508" s="165"/>
      <c r="BT1508" s="165"/>
      <c r="BU1508" s="165"/>
      <c r="BV1508" s="165"/>
      <c r="BW1508" s="165"/>
      <c r="BX1508" s="165"/>
      <c r="BY1508" s="165"/>
      <c r="BZ1508" s="165"/>
      <c r="CA1508" s="315"/>
    </row>
    <row r="1509" spans="1:79" s="143" customFormat="1" ht="41.4" customHeight="1" x14ac:dyDescent="0.3">
      <c r="A1509" s="259" t="s">
        <v>1641</v>
      </c>
      <c r="B1509" s="243" t="s">
        <v>3222</v>
      </c>
      <c r="C1509" s="244" t="s">
        <v>3519</v>
      </c>
      <c r="D1509" s="259" t="s">
        <v>34</v>
      </c>
      <c r="E1509" s="259" t="s">
        <v>3224</v>
      </c>
      <c r="F1509" s="260" t="s">
        <v>35</v>
      </c>
      <c r="G1509" s="259">
        <v>125</v>
      </c>
      <c r="H1509" s="53">
        <v>4600000</v>
      </c>
      <c r="I1509" s="261" t="s">
        <v>36</v>
      </c>
      <c r="J1509" s="53">
        <v>4600000</v>
      </c>
      <c r="K1509" s="1696">
        <v>0</v>
      </c>
      <c r="L1509" s="1696">
        <v>0</v>
      </c>
      <c r="M1509" s="263" t="s">
        <v>322</v>
      </c>
      <c r="N1509" s="263" t="s">
        <v>322</v>
      </c>
      <c r="O1509" s="355" t="s">
        <v>3520</v>
      </c>
      <c r="P1509" s="263" t="s">
        <v>40</v>
      </c>
      <c r="Q1509" s="262"/>
      <c r="R1509" s="263" t="s">
        <v>40</v>
      </c>
      <c r="S1509" s="262"/>
      <c r="T1509" s="263" t="s">
        <v>40</v>
      </c>
      <c r="U1509" s="262"/>
      <c r="V1509" s="263" t="s">
        <v>40</v>
      </c>
      <c r="W1509" s="262"/>
      <c r="X1509" s="263" t="s">
        <v>40</v>
      </c>
      <c r="Y1509" s="262"/>
      <c r="Z1509" s="263" t="s">
        <v>40</v>
      </c>
      <c r="AA1509" s="262"/>
      <c r="AB1509" s="263" t="s">
        <v>40</v>
      </c>
      <c r="AC1509" s="262"/>
      <c r="AD1509" s="262"/>
      <c r="AE1509" s="262">
        <v>46203</v>
      </c>
      <c r="AF1509" s="263" t="s">
        <v>65</v>
      </c>
      <c r="AG1509" s="270">
        <v>2026</v>
      </c>
      <c r="AH1509" s="261">
        <f t="shared" si="50"/>
        <v>0</v>
      </c>
      <c r="AI1509" s="261"/>
      <c r="AJ1509" s="261"/>
      <c r="AK1509" s="260" t="s">
        <v>43</v>
      </c>
      <c r="AL1509" s="259" t="s">
        <v>41</v>
      </c>
      <c r="AM1509" s="266">
        <v>0</v>
      </c>
      <c r="AN1509" s="67"/>
      <c r="AO1509" s="259"/>
      <c r="AP1509" s="277"/>
      <c r="AQ1509" s="165"/>
      <c r="AR1509" s="165"/>
      <c r="AS1509" s="165"/>
      <c r="AT1509" s="165"/>
      <c r="AU1509" s="165"/>
      <c r="AV1509" s="165"/>
      <c r="AW1509" s="165"/>
      <c r="AX1509" s="165"/>
      <c r="AY1509" s="165"/>
      <c r="AZ1509" s="165"/>
      <c r="BA1509" s="165"/>
      <c r="BB1509" s="165"/>
      <c r="BC1509" s="165"/>
      <c r="BD1509" s="165"/>
      <c r="BE1509" s="165"/>
      <c r="BF1509" s="165"/>
      <c r="BG1509" s="165"/>
      <c r="BH1509" s="165"/>
      <c r="BI1509" s="165"/>
      <c r="BJ1509" s="165"/>
      <c r="BK1509" s="165"/>
      <c r="BL1509" s="165"/>
      <c r="BM1509" s="165"/>
      <c r="BN1509" s="165"/>
      <c r="BO1509" s="165"/>
      <c r="BP1509" s="165"/>
      <c r="BQ1509" s="165"/>
      <c r="BR1509" s="165"/>
      <c r="BS1509" s="165"/>
      <c r="BT1509" s="165"/>
      <c r="BU1509" s="165"/>
      <c r="BV1509" s="165"/>
      <c r="BW1509" s="165"/>
      <c r="BX1509" s="165"/>
      <c r="BY1509" s="165"/>
      <c r="BZ1509" s="165"/>
      <c r="CA1509" s="315"/>
    </row>
    <row r="1510" spans="1:79" s="143" customFormat="1" ht="41.4" customHeight="1" x14ac:dyDescent="0.3">
      <c r="A1510" s="259" t="s">
        <v>1641</v>
      </c>
      <c r="B1510" s="243" t="s">
        <v>3222</v>
      </c>
      <c r="C1510" s="244" t="s">
        <v>3521</v>
      </c>
      <c r="D1510" s="259" t="s">
        <v>34</v>
      </c>
      <c r="E1510" s="259" t="s">
        <v>3224</v>
      </c>
      <c r="F1510" s="260" t="s">
        <v>35</v>
      </c>
      <c r="G1510" s="259">
        <v>100</v>
      </c>
      <c r="H1510" s="53">
        <v>1400000</v>
      </c>
      <c r="I1510" s="261" t="s">
        <v>36</v>
      </c>
      <c r="J1510" s="53">
        <v>1400000</v>
      </c>
      <c r="K1510" s="1696">
        <v>0</v>
      </c>
      <c r="L1510" s="1696">
        <v>0</v>
      </c>
      <c r="M1510" s="263" t="s">
        <v>133</v>
      </c>
      <c r="N1510" s="263" t="s">
        <v>602</v>
      </c>
      <c r="O1510" s="355" t="s">
        <v>3522</v>
      </c>
      <c r="P1510" s="263" t="s">
        <v>40</v>
      </c>
      <c r="Q1510" s="262"/>
      <c r="R1510" s="263" t="s">
        <v>40</v>
      </c>
      <c r="S1510" s="262"/>
      <c r="T1510" s="263" t="s">
        <v>40</v>
      </c>
      <c r="U1510" s="262"/>
      <c r="V1510" s="263" t="s">
        <v>40</v>
      </c>
      <c r="W1510" s="262"/>
      <c r="X1510" s="263" t="s">
        <v>40</v>
      </c>
      <c r="Y1510" s="262"/>
      <c r="Z1510" s="263" t="s">
        <v>40</v>
      </c>
      <c r="AA1510" s="262"/>
      <c r="AB1510" s="263" t="s">
        <v>40</v>
      </c>
      <c r="AC1510" s="262"/>
      <c r="AD1510" s="262"/>
      <c r="AE1510" s="262">
        <v>46203</v>
      </c>
      <c r="AF1510" s="263" t="s">
        <v>65</v>
      </c>
      <c r="AG1510" s="270">
        <v>2026</v>
      </c>
      <c r="AH1510" s="261">
        <f t="shared" si="50"/>
        <v>0</v>
      </c>
      <c r="AI1510" s="261"/>
      <c r="AJ1510" s="261"/>
      <c r="AK1510" s="260" t="s">
        <v>43</v>
      </c>
      <c r="AL1510" s="259" t="s">
        <v>41</v>
      </c>
      <c r="AM1510" s="266">
        <v>0</v>
      </c>
      <c r="AN1510" s="67"/>
      <c r="AO1510" s="259"/>
      <c r="AP1510" s="277"/>
      <c r="AQ1510" s="165"/>
      <c r="AR1510" s="165"/>
      <c r="AS1510" s="165"/>
      <c r="AT1510" s="165"/>
      <c r="AU1510" s="165"/>
      <c r="AV1510" s="165"/>
      <c r="AW1510" s="165"/>
      <c r="AX1510" s="165"/>
      <c r="AY1510" s="165"/>
      <c r="AZ1510" s="165"/>
      <c r="BA1510" s="165"/>
      <c r="BB1510" s="165"/>
      <c r="BC1510" s="165"/>
      <c r="BD1510" s="165"/>
      <c r="BE1510" s="165"/>
      <c r="BF1510" s="165"/>
      <c r="BG1510" s="165"/>
      <c r="BH1510" s="165"/>
      <c r="BI1510" s="165"/>
      <c r="BJ1510" s="165"/>
      <c r="BK1510" s="165"/>
      <c r="BL1510" s="165"/>
      <c r="BM1510" s="165"/>
      <c r="BN1510" s="165"/>
      <c r="BO1510" s="165"/>
      <c r="BP1510" s="165"/>
      <c r="BQ1510" s="165"/>
      <c r="BR1510" s="165"/>
      <c r="BS1510" s="165"/>
      <c r="BT1510" s="165"/>
      <c r="BU1510" s="165"/>
      <c r="BV1510" s="165"/>
      <c r="BW1510" s="165"/>
      <c r="BX1510" s="165"/>
      <c r="BY1510" s="165"/>
      <c r="BZ1510" s="165"/>
      <c r="CA1510" s="315"/>
    </row>
    <row r="1511" spans="1:79" s="143" customFormat="1" ht="41.4" customHeight="1" x14ac:dyDescent="0.3">
      <c r="A1511" s="259" t="s">
        <v>1641</v>
      </c>
      <c r="B1511" s="243" t="s">
        <v>3222</v>
      </c>
      <c r="C1511" s="244" t="s">
        <v>3523</v>
      </c>
      <c r="D1511" s="259" t="s">
        <v>34</v>
      </c>
      <c r="E1511" s="259" t="s">
        <v>3224</v>
      </c>
      <c r="F1511" s="260" t="s">
        <v>35</v>
      </c>
      <c r="G1511" s="259">
        <v>100</v>
      </c>
      <c r="H1511" s="53">
        <v>2035000</v>
      </c>
      <c r="I1511" s="261" t="s">
        <v>36</v>
      </c>
      <c r="J1511" s="53">
        <v>2035000</v>
      </c>
      <c r="K1511" s="1696">
        <v>0</v>
      </c>
      <c r="L1511" s="1696">
        <v>0</v>
      </c>
      <c r="M1511" s="263" t="s">
        <v>80</v>
      </c>
      <c r="N1511" s="263" t="s">
        <v>2248</v>
      </c>
      <c r="O1511" s="355" t="s">
        <v>3524</v>
      </c>
      <c r="P1511" s="263" t="s">
        <v>41</v>
      </c>
      <c r="Q1511" s="262">
        <v>45091</v>
      </c>
      <c r="R1511" s="263" t="s">
        <v>41</v>
      </c>
      <c r="S1511" s="262">
        <v>45078</v>
      </c>
      <c r="T1511" s="263" t="s">
        <v>40</v>
      </c>
      <c r="U1511" s="262"/>
      <c r="V1511" s="263" t="s">
        <v>40</v>
      </c>
      <c r="W1511" s="262"/>
      <c r="X1511" s="263" t="s">
        <v>40</v>
      </c>
      <c r="Y1511" s="262"/>
      <c r="Z1511" s="263" t="s">
        <v>40</v>
      </c>
      <c r="AA1511" s="262"/>
      <c r="AB1511" s="263" t="s">
        <v>40</v>
      </c>
      <c r="AC1511" s="262"/>
      <c r="AD1511" s="262"/>
      <c r="AE1511" s="262">
        <v>46203</v>
      </c>
      <c r="AF1511" s="263" t="s">
        <v>65</v>
      </c>
      <c r="AG1511" s="270">
        <v>2026</v>
      </c>
      <c r="AH1511" s="261">
        <f t="shared" ref="AH1511:AH1532" si="51">K1511*4.9195</f>
        <v>0</v>
      </c>
      <c r="AI1511" s="261"/>
      <c r="AJ1511" s="261"/>
      <c r="AK1511" s="260" t="s">
        <v>43</v>
      </c>
      <c r="AL1511" s="259" t="s">
        <v>41</v>
      </c>
      <c r="AM1511" s="266">
        <v>0</v>
      </c>
      <c r="AN1511" s="67"/>
      <c r="AO1511" s="259"/>
      <c r="AP1511" s="277"/>
      <c r="AQ1511" s="165"/>
      <c r="AR1511" s="165"/>
      <c r="AS1511" s="165"/>
      <c r="AT1511" s="165"/>
      <c r="AU1511" s="165"/>
      <c r="AV1511" s="165"/>
      <c r="AW1511" s="165"/>
      <c r="AX1511" s="165"/>
      <c r="AY1511" s="165"/>
      <c r="AZ1511" s="165"/>
      <c r="BA1511" s="165"/>
      <c r="BB1511" s="165"/>
      <c r="BC1511" s="165"/>
      <c r="BD1511" s="165"/>
      <c r="BE1511" s="165"/>
      <c r="BF1511" s="165"/>
      <c r="BG1511" s="165"/>
      <c r="BH1511" s="165"/>
      <c r="BI1511" s="165"/>
      <c r="BJ1511" s="165"/>
      <c r="BK1511" s="165"/>
      <c r="BL1511" s="165"/>
      <c r="BM1511" s="165"/>
      <c r="BN1511" s="165"/>
      <c r="BO1511" s="165"/>
      <c r="BP1511" s="165"/>
      <c r="BQ1511" s="165"/>
      <c r="BR1511" s="165"/>
      <c r="BS1511" s="165"/>
      <c r="BT1511" s="165"/>
      <c r="BU1511" s="165"/>
      <c r="BV1511" s="165"/>
      <c r="BW1511" s="165"/>
      <c r="BX1511" s="165"/>
      <c r="BY1511" s="165"/>
      <c r="BZ1511" s="165"/>
      <c r="CA1511" s="315"/>
    </row>
    <row r="1512" spans="1:79" s="143" customFormat="1" ht="41.4" customHeight="1" x14ac:dyDescent="0.3">
      <c r="A1512" s="259" t="s">
        <v>1641</v>
      </c>
      <c r="B1512" s="243" t="s">
        <v>3222</v>
      </c>
      <c r="C1512" s="244" t="s">
        <v>3525</v>
      </c>
      <c r="D1512" s="259" t="s">
        <v>34</v>
      </c>
      <c r="E1512" s="259" t="s">
        <v>3224</v>
      </c>
      <c r="F1512" s="260" t="s">
        <v>35</v>
      </c>
      <c r="G1512" s="259">
        <v>100</v>
      </c>
      <c r="H1512" s="53">
        <v>1400000</v>
      </c>
      <c r="I1512" s="261" t="s">
        <v>36</v>
      </c>
      <c r="J1512" s="53">
        <v>1400000</v>
      </c>
      <c r="K1512" s="1696">
        <v>0</v>
      </c>
      <c r="L1512" s="1696">
        <v>0</v>
      </c>
      <c r="M1512" s="263" t="s">
        <v>58</v>
      </c>
      <c r="N1512" s="263" t="s">
        <v>1182</v>
      </c>
      <c r="O1512" s="355" t="s">
        <v>3526</v>
      </c>
      <c r="P1512" s="263" t="s">
        <v>40</v>
      </c>
      <c r="Q1512" s="262"/>
      <c r="R1512" s="263" t="s">
        <v>40</v>
      </c>
      <c r="S1512" s="262"/>
      <c r="T1512" s="263" t="s">
        <v>40</v>
      </c>
      <c r="U1512" s="262"/>
      <c r="V1512" s="263" t="s">
        <v>40</v>
      </c>
      <c r="W1512" s="262"/>
      <c r="X1512" s="263" t="s">
        <v>40</v>
      </c>
      <c r="Y1512" s="262"/>
      <c r="Z1512" s="263" t="s">
        <v>40</v>
      </c>
      <c r="AA1512" s="262"/>
      <c r="AB1512" s="263" t="s">
        <v>40</v>
      </c>
      <c r="AC1512" s="262"/>
      <c r="AD1512" s="262"/>
      <c r="AE1512" s="262">
        <v>46203</v>
      </c>
      <c r="AF1512" s="263" t="s">
        <v>65</v>
      </c>
      <c r="AG1512" s="270">
        <v>2026</v>
      </c>
      <c r="AH1512" s="261">
        <f t="shared" si="51"/>
        <v>0</v>
      </c>
      <c r="AI1512" s="261"/>
      <c r="AJ1512" s="261"/>
      <c r="AK1512" s="260" t="s">
        <v>43</v>
      </c>
      <c r="AL1512" s="259" t="s">
        <v>41</v>
      </c>
      <c r="AM1512" s="266">
        <v>0</v>
      </c>
      <c r="AN1512" s="67"/>
      <c r="AO1512" s="259"/>
      <c r="AP1512" s="277"/>
      <c r="AQ1512" s="165"/>
      <c r="AR1512" s="165"/>
      <c r="AS1512" s="165"/>
      <c r="AT1512" s="165"/>
      <c r="AU1512" s="165"/>
      <c r="AV1512" s="165"/>
      <c r="AW1512" s="165"/>
      <c r="AX1512" s="165"/>
      <c r="AY1512" s="165"/>
      <c r="AZ1512" s="165"/>
      <c r="BA1512" s="165"/>
      <c r="BB1512" s="165"/>
      <c r="BC1512" s="165"/>
      <c r="BD1512" s="165"/>
      <c r="BE1512" s="165"/>
      <c r="BF1512" s="165"/>
      <c r="BG1512" s="165"/>
      <c r="BH1512" s="165"/>
      <c r="BI1512" s="165"/>
      <c r="BJ1512" s="165"/>
      <c r="BK1512" s="165"/>
      <c r="BL1512" s="165"/>
      <c r="BM1512" s="165"/>
      <c r="BN1512" s="165"/>
      <c r="BO1512" s="165"/>
      <c r="BP1512" s="165"/>
      <c r="BQ1512" s="165"/>
      <c r="BR1512" s="165"/>
      <c r="BS1512" s="165"/>
      <c r="BT1512" s="165"/>
      <c r="BU1512" s="165"/>
      <c r="BV1512" s="165"/>
      <c r="BW1512" s="165"/>
      <c r="BX1512" s="165"/>
      <c r="BY1512" s="165"/>
      <c r="BZ1512" s="165"/>
      <c r="CA1512" s="315"/>
    </row>
    <row r="1513" spans="1:79" s="143" customFormat="1" ht="41.4" customHeight="1" x14ac:dyDescent="0.3">
      <c r="A1513" s="259" t="s">
        <v>1641</v>
      </c>
      <c r="B1513" s="243" t="s">
        <v>3222</v>
      </c>
      <c r="C1513" s="244" t="s">
        <v>3527</v>
      </c>
      <c r="D1513" s="259" t="s">
        <v>34</v>
      </c>
      <c r="E1513" s="259" t="s">
        <v>3224</v>
      </c>
      <c r="F1513" s="260" t="s">
        <v>35</v>
      </c>
      <c r="G1513" s="259">
        <v>80</v>
      </c>
      <c r="H1513" s="53">
        <v>1120000</v>
      </c>
      <c r="I1513" s="261" t="s">
        <v>36</v>
      </c>
      <c r="J1513" s="53">
        <v>1120000</v>
      </c>
      <c r="K1513" s="1696">
        <v>0</v>
      </c>
      <c r="L1513" s="1696">
        <v>0</v>
      </c>
      <c r="M1513" s="263" t="s">
        <v>51</v>
      </c>
      <c r="N1513" s="263" t="s">
        <v>51</v>
      </c>
      <c r="O1513" s="355" t="s">
        <v>3528</v>
      </c>
      <c r="P1513" s="263" t="s">
        <v>40</v>
      </c>
      <c r="Q1513" s="262"/>
      <c r="R1513" s="263" t="s">
        <v>40</v>
      </c>
      <c r="S1513" s="262"/>
      <c r="T1513" s="263" t="s">
        <v>40</v>
      </c>
      <c r="U1513" s="262"/>
      <c r="V1513" s="263" t="s">
        <v>40</v>
      </c>
      <c r="W1513" s="262"/>
      <c r="X1513" s="263" t="s">
        <v>40</v>
      </c>
      <c r="Y1513" s="262"/>
      <c r="Z1513" s="263" t="s">
        <v>40</v>
      </c>
      <c r="AA1513" s="262"/>
      <c r="AB1513" s="263" t="s">
        <v>40</v>
      </c>
      <c r="AC1513" s="262"/>
      <c r="AD1513" s="262"/>
      <c r="AE1513" s="262">
        <v>46203</v>
      </c>
      <c r="AF1513" s="263" t="s">
        <v>65</v>
      </c>
      <c r="AG1513" s="270">
        <v>2026</v>
      </c>
      <c r="AH1513" s="261">
        <f t="shared" si="51"/>
        <v>0</v>
      </c>
      <c r="AI1513" s="261"/>
      <c r="AJ1513" s="261"/>
      <c r="AK1513" s="260" t="s">
        <v>43</v>
      </c>
      <c r="AL1513" s="259" t="s">
        <v>41</v>
      </c>
      <c r="AM1513" s="266">
        <v>0</v>
      </c>
      <c r="AN1513" s="67"/>
      <c r="AO1513" s="259"/>
      <c r="AP1513" s="277"/>
      <c r="AQ1513" s="165"/>
      <c r="AR1513" s="165"/>
      <c r="AS1513" s="165"/>
      <c r="AT1513" s="165"/>
      <c r="AU1513" s="165"/>
      <c r="AV1513" s="165"/>
      <c r="AW1513" s="165"/>
      <c r="AX1513" s="165"/>
      <c r="AY1513" s="165"/>
      <c r="AZ1513" s="165"/>
      <c r="BA1513" s="165"/>
      <c r="BB1513" s="165"/>
      <c r="BC1513" s="165"/>
      <c r="BD1513" s="165"/>
      <c r="BE1513" s="165"/>
      <c r="BF1513" s="165"/>
      <c r="BG1513" s="165"/>
      <c r="BH1513" s="165"/>
      <c r="BI1513" s="165"/>
      <c r="BJ1513" s="165"/>
      <c r="BK1513" s="165"/>
      <c r="BL1513" s="165"/>
      <c r="BM1513" s="165"/>
      <c r="BN1513" s="165"/>
      <c r="BO1513" s="165"/>
      <c r="BP1513" s="165"/>
      <c r="BQ1513" s="165"/>
      <c r="BR1513" s="165"/>
      <c r="BS1513" s="165"/>
      <c r="BT1513" s="165"/>
      <c r="BU1513" s="165"/>
      <c r="BV1513" s="165"/>
      <c r="BW1513" s="165"/>
      <c r="BX1513" s="165"/>
      <c r="BY1513" s="165"/>
      <c r="BZ1513" s="165"/>
      <c r="CA1513" s="315"/>
    </row>
    <row r="1514" spans="1:79" s="143" customFormat="1" ht="41.4" customHeight="1" x14ac:dyDescent="0.3">
      <c r="A1514" s="259" t="s">
        <v>1641</v>
      </c>
      <c r="B1514" s="243" t="s">
        <v>3222</v>
      </c>
      <c r="C1514" s="244" t="s">
        <v>3529</v>
      </c>
      <c r="D1514" s="259" t="s">
        <v>34</v>
      </c>
      <c r="E1514" s="259" t="s">
        <v>3224</v>
      </c>
      <c r="F1514" s="260" t="s">
        <v>35</v>
      </c>
      <c r="G1514" s="259">
        <v>9</v>
      </c>
      <c r="H1514" s="70">
        <v>126000</v>
      </c>
      <c r="I1514" s="261" t="s">
        <v>36</v>
      </c>
      <c r="J1514" s="70">
        <v>126000</v>
      </c>
      <c r="K1514" s="1696">
        <v>0</v>
      </c>
      <c r="L1514" s="1696">
        <v>0</v>
      </c>
      <c r="M1514" s="263" t="s">
        <v>62</v>
      </c>
      <c r="N1514" s="263" t="s">
        <v>2033</v>
      </c>
      <c r="O1514" s="355" t="s">
        <v>3530</v>
      </c>
      <c r="P1514" s="263" t="s">
        <v>40</v>
      </c>
      <c r="Q1514" s="262"/>
      <c r="R1514" s="263" t="s">
        <v>40</v>
      </c>
      <c r="S1514" s="262"/>
      <c r="T1514" s="263" t="s">
        <v>40</v>
      </c>
      <c r="U1514" s="262"/>
      <c r="V1514" s="263" t="s">
        <v>40</v>
      </c>
      <c r="W1514" s="262"/>
      <c r="X1514" s="263" t="s">
        <v>40</v>
      </c>
      <c r="Y1514" s="262"/>
      <c r="Z1514" s="263" t="s">
        <v>40</v>
      </c>
      <c r="AA1514" s="262"/>
      <c r="AB1514" s="263" t="s">
        <v>40</v>
      </c>
      <c r="AC1514" s="262"/>
      <c r="AD1514" s="262"/>
      <c r="AE1514" s="262">
        <v>46203</v>
      </c>
      <c r="AF1514" s="263" t="s">
        <v>65</v>
      </c>
      <c r="AG1514" s="270">
        <v>2026</v>
      </c>
      <c r="AH1514" s="261">
        <f t="shared" si="51"/>
        <v>0</v>
      </c>
      <c r="AI1514" s="261"/>
      <c r="AJ1514" s="261"/>
      <c r="AK1514" s="260" t="s">
        <v>43</v>
      </c>
      <c r="AL1514" s="259" t="s">
        <v>41</v>
      </c>
      <c r="AM1514" s="266">
        <v>0</v>
      </c>
      <c r="AN1514" s="67"/>
      <c r="AO1514" s="259"/>
      <c r="AP1514" s="277"/>
      <c r="AQ1514" s="165"/>
      <c r="AR1514" s="165"/>
      <c r="AS1514" s="165"/>
      <c r="AT1514" s="165"/>
      <c r="AU1514" s="165"/>
      <c r="AV1514" s="165"/>
      <c r="AW1514" s="165"/>
      <c r="AX1514" s="165"/>
      <c r="AY1514" s="165"/>
      <c r="AZ1514" s="165"/>
      <c r="BA1514" s="165"/>
      <c r="BB1514" s="165"/>
      <c r="BC1514" s="165"/>
      <c r="BD1514" s="165"/>
      <c r="BE1514" s="165"/>
      <c r="BF1514" s="165"/>
      <c r="BG1514" s="165"/>
      <c r="BH1514" s="165"/>
      <c r="BI1514" s="165"/>
      <c r="BJ1514" s="165"/>
      <c r="BK1514" s="165"/>
      <c r="BL1514" s="165"/>
      <c r="BM1514" s="165"/>
      <c r="BN1514" s="165"/>
      <c r="BO1514" s="165"/>
      <c r="BP1514" s="165"/>
      <c r="BQ1514" s="165"/>
      <c r="BR1514" s="165"/>
      <c r="BS1514" s="165"/>
      <c r="BT1514" s="165"/>
      <c r="BU1514" s="165"/>
      <c r="BV1514" s="165"/>
      <c r="BW1514" s="165"/>
      <c r="BX1514" s="165"/>
      <c r="BY1514" s="165"/>
      <c r="BZ1514" s="165"/>
      <c r="CA1514" s="315"/>
    </row>
    <row r="1515" spans="1:79" s="143" customFormat="1" ht="41.4" customHeight="1" x14ac:dyDescent="0.3">
      <c r="A1515" s="259" t="s">
        <v>1641</v>
      </c>
      <c r="B1515" s="243" t="s">
        <v>3222</v>
      </c>
      <c r="C1515" s="244" t="s">
        <v>3531</v>
      </c>
      <c r="D1515" s="259" t="s">
        <v>34</v>
      </c>
      <c r="E1515" s="259" t="s">
        <v>3224</v>
      </c>
      <c r="F1515" s="260" t="s">
        <v>35</v>
      </c>
      <c r="G1515" s="259">
        <v>110</v>
      </c>
      <c r="H1515" s="70">
        <v>2090000</v>
      </c>
      <c r="I1515" s="261" t="s">
        <v>36</v>
      </c>
      <c r="J1515" s="70">
        <v>2090000</v>
      </c>
      <c r="K1515" s="1696">
        <v>0</v>
      </c>
      <c r="L1515" s="1696">
        <v>0</v>
      </c>
      <c r="M1515" s="263" t="s">
        <v>868</v>
      </c>
      <c r="N1515" s="263" t="s">
        <v>868</v>
      </c>
      <c r="O1515" s="355" t="s">
        <v>3532</v>
      </c>
      <c r="P1515" s="263" t="s">
        <v>40</v>
      </c>
      <c r="Q1515" s="262"/>
      <c r="R1515" s="263" t="s">
        <v>40</v>
      </c>
      <c r="S1515" s="262"/>
      <c r="T1515" s="263" t="s">
        <v>40</v>
      </c>
      <c r="U1515" s="262"/>
      <c r="V1515" s="263" t="s">
        <v>40</v>
      </c>
      <c r="W1515" s="262"/>
      <c r="X1515" s="263" t="s">
        <v>40</v>
      </c>
      <c r="Y1515" s="262"/>
      <c r="Z1515" s="263" t="s">
        <v>40</v>
      </c>
      <c r="AA1515" s="262"/>
      <c r="AB1515" s="263" t="s">
        <v>40</v>
      </c>
      <c r="AC1515" s="262"/>
      <c r="AD1515" s="262"/>
      <c r="AE1515" s="262">
        <v>46203</v>
      </c>
      <c r="AF1515" s="263" t="s">
        <v>65</v>
      </c>
      <c r="AG1515" s="270">
        <v>2026</v>
      </c>
      <c r="AH1515" s="261">
        <f t="shared" si="51"/>
        <v>0</v>
      </c>
      <c r="AI1515" s="261"/>
      <c r="AJ1515" s="261"/>
      <c r="AK1515" s="260" t="s">
        <v>43</v>
      </c>
      <c r="AL1515" s="259" t="s">
        <v>41</v>
      </c>
      <c r="AM1515" s="266">
        <v>0</v>
      </c>
      <c r="AN1515" s="67"/>
      <c r="AO1515" s="259"/>
      <c r="AP1515" s="277"/>
      <c r="AQ1515" s="165"/>
      <c r="AR1515" s="165"/>
      <c r="AS1515" s="165"/>
      <c r="AT1515" s="165"/>
      <c r="AU1515" s="165"/>
      <c r="AV1515" s="165"/>
      <c r="AW1515" s="165"/>
      <c r="AX1515" s="165"/>
      <c r="AY1515" s="165"/>
      <c r="AZ1515" s="165"/>
      <c r="BA1515" s="165"/>
      <c r="BB1515" s="165"/>
      <c r="BC1515" s="165"/>
      <c r="BD1515" s="165"/>
      <c r="BE1515" s="165"/>
      <c r="BF1515" s="165"/>
      <c r="BG1515" s="165"/>
      <c r="BH1515" s="165"/>
      <c r="BI1515" s="165"/>
      <c r="BJ1515" s="165"/>
      <c r="BK1515" s="165"/>
      <c r="BL1515" s="165"/>
      <c r="BM1515" s="165"/>
      <c r="BN1515" s="165"/>
      <c r="BO1515" s="165"/>
      <c r="BP1515" s="165"/>
      <c r="BQ1515" s="165"/>
      <c r="BR1515" s="165"/>
      <c r="BS1515" s="165"/>
      <c r="BT1515" s="165"/>
      <c r="BU1515" s="165"/>
      <c r="BV1515" s="165"/>
      <c r="BW1515" s="165"/>
      <c r="BX1515" s="165"/>
      <c r="BY1515" s="165"/>
      <c r="BZ1515" s="165"/>
      <c r="CA1515" s="315"/>
    </row>
    <row r="1516" spans="1:79" s="143" customFormat="1" ht="41.4" customHeight="1" x14ac:dyDescent="0.3">
      <c r="A1516" s="259" t="s">
        <v>1641</v>
      </c>
      <c r="B1516" s="243" t="s">
        <v>3222</v>
      </c>
      <c r="C1516" s="244" t="s">
        <v>3533</v>
      </c>
      <c r="D1516" s="259" t="s">
        <v>34</v>
      </c>
      <c r="E1516" s="259" t="s">
        <v>3224</v>
      </c>
      <c r="F1516" s="260" t="s">
        <v>35</v>
      </c>
      <c r="G1516" s="259">
        <v>50</v>
      </c>
      <c r="H1516" s="70">
        <v>700000</v>
      </c>
      <c r="I1516" s="261" t="s">
        <v>36</v>
      </c>
      <c r="J1516" s="70">
        <v>700000</v>
      </c>
      <c r="K1516" s="1696">
        <v>0</v>
      </c>
      <c r="L1516" s="1696">
        <v>0</v>
      </c>
      <c r="M1516" s="263" t="s">
        <v>412</v>
      </c>
      <c r="N1516" s="263" t="s">
        <v>3534</v>
      </c>
      <c r="O1516" s="355" t="s">
        <v>3535</v>
      </c>
      <c r="P1516" s="263" t="s">
        <v>40</v>
      </c>
      <c r="Q1516" s="262"/>
      <c r="R1516" s="263" t="s">
        <v>40</v>
      </c>
      <c r="S1516" s="262"/>
      <c r="T1516" s="263" t="s">
        <v>40</v>
      </c>
      <c r="U1516" s="262"/>
      <c r="V1516" s="263" t="s">
        <v>40</v>
      </c>
      <c r="W1516" s="262"/>
      <c r="X1516" s="263" t="s">
        <v>40</v>
      </c>
      <c r="Y1516" s="262"/>
      <c r="Z1516" s="263" t="s">
        <v>40</v>
      </c>
      <c r="AA1516" s="262"/>
      <c r="AB1516" s="263" t="s">
        <v>40</v>
      </c>
      <c r="AC1516" s="262"/>
      <c r="AD1516" s="262"/>
      <c r="AE1516" s="262">
        <v>46203</v>
      </c>
      <c r="AF1516" s="263" t="s">
        <v>65</v>
      </c>
      <c r="AG1516" s="270">
        <v>2026</v>
      </c>
      <c r="AH1516" s="261">
        <f t="shared" si="51"/>
        <v>0</v>
      </c>
      <c r="AI1516" s="261"/>
      <c r="AJ1516" s="261"/>
      <c r="AK1516" s="260" t="s">
        <v>43</v>
      </c>
      <c r="AL1516" s="259" t="s">
        <v>41</v>
      </c>
      <c r="AM1516" s="266">
        <v>0</v>
      </c>
      <c r="AN1516" s="67"/>
      <c r="AO1516" s="259"/>
      <c r="AP1516" s="277"/>
      <c r="AQ1516" s="165"/>
      <c r="AR1516" s="165"/>
      <c r="AS1516" s="165"/>
      <c r="AT1516" s="165"/>
      <c r="AU1516" s="165"/>
      <c r="AV1516" s="165"/>
      <c r="AW1516" s="165"/>
      <c r="AX1516" s="165"/>
      <c r="AY1516" s="165"/>
      <c r="AZ1516" s="165"/>
      <c r="BA1516" s="165"/>
      <c r="BB1516" s="165"/>
      <c r="BC1516" s="165"/>
      <c r="BD1516" s="165"/>
      <c r="BE1516" s="165"/>
      <c r="BF1516" s="165"/>
      <c r="BG1516" s="165"/>
      <c r="BH1516" s="165"/>
      <c r="BI1516" s="165"/>
      <c r="BJ1516" s="165"/>
      <c r="BK1516" s="165"/>
      <c r="BL1516" s="165"/>
      <c r="BM1516" s="165"/>
      <c r="BN1516" s="165"/>
      <c r="BO1516" s="165"/>
      <c r="BP1516" s="165"/>
      <c r="BQ1516" s="165"/>
      <c r="BR1516" s="165"/>
      <c r="BS1516" s="165"/>
      <c r="BT1516" s="165"/>
      <c r="BU1516" s="165"/>
      <c r="BV1516" s="165"/>
      <c r="BW1516" s="165"/>
      <c r="BX1516" s="165"/>
      <c r="BY1516" s="165"/>
      <c r="BZ1516" s="165"/>
      <c r="CA1516" s="315"/>
    </row>
    <row r="1517" spans="1:79" s="143" customFormat="1" ht="41.4" customHeight="1" x14ac:dyDescent="0.3">
      <c r="A1517" s="259" t="s">
        <v>1641</v>
      </c>
      <c r="B1517" s="243" t="s">
        <v>3222</v>
      </c>
      <c r="C1517" s="244" t="s">
        <v>3536</v>
      </c>
      <c r="D1517" s="259" t="s">
        <v>34</v>
      </c>
      <c r="E1517" s="259" t="s">
        <v>3224</v>
      </c>
      <c r="F1517" s="260" t="s">
        <v>35</v>
      </c>
      <c r="G1517" s="259">
        <v>10</v>
      </c>
      <c r="H1517" s="70">
        <v>140000</v>
      </c>
      <c r="I1517" s="261" t="s">
        <v>36</v>
      </c>
      <c r="J1517" s="70">
        <v>140000</v>
      </c>
      <c r="K1517" s="1696">
        <v>0</v>
      </c>
      <c r="L1517" s="1696">
        <v>0</v>
      </c>
      <c r="M1517" s="263" t="s">
        <v>636</v>
      </c>
      <c r="N1517" s="263" t="s">
        <v>2779</v>
      </c>
      <c r="O1517" s="355" t="s">
        <v>3537</v>
      </c>
      <c r="P1517" s="263" t="s">
        <v>40</v>
      </c>
      <c r="Q1517" s="262"/>
      <c r="R1517" s="263" t="s">
        <v>40</v>
      </c>
      <c r="S1517" s="262"/>
      <c r="T1517" s="263" t="s">
        <v>40</v>
      </c>
      <c r="U1517" s="262"/>
      <c r="V1517" s="263" t="s">
        <v>40</v>
      </c>
      <c r="W1517" s="262"/>
      <c r="X1517" s="263" t="s">
        <v>40</v>
      </c>
      <c r="Y1517" s="262"/>
      <c r="Z1517" s="263" t="s">
        <v>40</v>
      </c>
      <c r="AA1517" s="262"/>
      <c r="AB1517" s="263" t="s">
        <v>40</v>
      </c>
      <c r="AC1517" s="262"/>
      <c r="AD1517" s="262"/>
      <c r="AE1517" s="262">
        <v>46203</v>
      </c>
      <c r="AF1517" s="263" t="s">
        <v>65</v>
      </c>
      <c r="AG1517" s="270">
        <v>2026</v>
      </c>
      <c r="AH1517" s="261">
        <f t="shared" si="51"/>
        <v>0</v>
      </c>
      <c r="AI1517" s="261"/>
      <c r="AJ1517" s="261"/>
      <c r="AK1517" s="260" t="s">
        <v>43</v>
      </c>
      <c r="AL1517" s="259" t="s">
        <v>41</v>
      </c>
      <c r="AM1517" s="266">
        <v>0</v>
      </c>
      <c r="AN1517" s="67"/>
      <c r="AO1517" s="259"/>
      <c r="AP1517" s="277"/>
      <c r="AQ1517" s="165"/>
      <c r="AR1517" s="165"/>
      <c r="AS1517" s="165"/>
      <c r="AT1517" s="165"/>
      <c r="AU1517" s="165"/>
      <c r="AV1517" s="165"/>
      <c r="AW1517" s="165"/>
      <c r="AX1517" s="165"/>
      <c r="AY1517" s="165"/>
      <c r="AZ1517" s="165"/>
      <c r="BA1517" s="165"/>
      <c r="BB1517" s="165"/>
      <c r="BC1517" s="165"/>
      <c r="BD1517" s="165"/>
      <c r="BE1517" s="165"/>
      <c r="BF1517" s="165"/>
      <c r="BG1517" s="165"/>
      <c r="BH1517" s="165"/>
      <c r="BI1517" s="165"/>
      <c r="BJ1517" s="165"/>
      <c r="BK1517" s="165"/>
      <c r="BL1517" s="165"/>
      <c r="BM1517" s="165"/>
      <c r="BN1517" s="165"/>
      <c r="BO1517" s="165"/>
      <c r="BP1517" s="165"/>
      <c r="BQ1517" s="165"/>
      <c r="BR1517" s="165"/>
      <c r="BS1517" s="165"/>
      <c r="BT1517" s="165"/>
      <c r="BU1517" s="165"/>
      <c r="BV1517" s="165"/>
      <c r="BW1517" s="165"/>
      <c r="BX1517" s="165"/>
      <c r="BY1517" s="165"/>
      <c r="BZ1517" s="165"/>
      <c r="CA1517" s="315"/>
    </row>
    <row r="1518" spans="1:79" s="143" customFormat="1" ht="41.4" customHeight="1" x14ac:dyDescent="0.3">
      <c r="A1518" s="259" t="s">
        <v>1641</v>
      </c>
      <c r="B1518" s="243" t="s">
        <v>3222</v>
      </c>
      <c r="C1518" s="244" t="s">
        <v>3538</v>
      </c>
      <c r="D1518" s="259" t="s">
        <v>34</v>
      </c>
      <c r="E1518" s="259" t="s">
        <v>3224</v>
      </c>
      <c r="F1518" s="260" t="s">
        <v>35</v>
      </c>
      <c r="G1518" s="259">
        <v>9</v>
      </c>
      <c r="H1518" s="70">
        <v>126000</v>
      </c>
      <c r="I1518" s="261" t="s">
        <v>36</v>
      </c>
      <c r="J1518" s="70">
        <v>126000</v>
      </c>
      <c r="K1518" s="1696">
        <v>0</v>
      </c>
      <c r="L1518" s="1696">
        <v>0</v>
      </c>
      <c r="M1518" s="263" t="s">
        <v>412</v>
      </c>
      <c r="N1518" s="263" t="s">
        <v>2727</v>
      </c>
      <c r="O1518" s="263" t="s">
        <v>3539</v>
      </c>
      <c r="P1518" s="263" t="s">
        <v>40</v>
      </c>
      <c r="Q1518" s="262"/>
      <c r="R1518" s="263" t="s">
        <v>40</v>
      </c>
      <c r="S1518" s="262"/>
      <c r="T1518" s="263" t="s">
        <v>40</v>
      </c>
      <c r="U1518" s="262"/>
      <c r="V1518" s="263" t="s">
        <v>40</v>
      </c>
      <c r="W1518" s="262"/>
      <c r="X1518" s="263" t="s">
        <v>40</v>
      </c>
      <c r="Y1518" s="262"/>
      <c r="Z1518" s="263" t="s">
        <v>40</v>
      </c>
      <c r="AA1518" s="262"/>
      <c r="AB1518" s="263" t="s">
        <v>40</v>
      </c>
      <c r="AC1518" s="262"/>
      <c r="AD1518" s="262"/>
      <c r="AE1518" s="262">
        <v>46203</v>
      </c>
      <c r="AF1518" s="263" t="s">
        <v>65</v>
      </c>
      <c r="AG1518" s="270">
        <v>2026</v>
      </c>
      <c r="AH1518" s="261">
        <f t="shared" si="51"/>
        <v>0</v>
      </c>
      <c r="AI1518" s="261"/>
      <c r="AJ1518" s="261"/>
      <c r="AK1518" s="260" t="s">
        <v>43</v>
      </c>
      <c r="AL1518" s="259" t="s">
        <v>41</v>
      </c>
      <c r="AM1518" s="266">
        <v>0</v>
      </c>
      <c r="AN1518" s="67"/>
      <c r="AO1518" s="259"/>
      <c r="AP1518" s="277"/>
      <c r="AQ1518" s="165"/>
      <c r="AR1518" s="165"/>
      <c r="AS1518" s="165"/>
      <c r="AT1518" s="165"/>
      <c r="AU1518" s="165"/>
      <c r="AV1518" s="165"/>
      <c r="AW1518" s="165"/>
      <c r="AX1518" s="165"/>
      <c r="AY1518" s="165"/>
      <c r="AZ1518" s="165"/>
      <c r="BA1518" s="165"/>
      <c r="BB1518" s="165"/>
      <c r="BC1518" s="165"/>
      <c r="BD1518" s="165"/>
      <c r="BE1518" s="165"/>
      <c r="BF1518" s="165"/>
      <c r="BG1518" s="165"/>
      <c r="BH1518" s="165"/>
      <c r="BI1518" s="165"/>
      <c r="BJ1518" s="165"/>
      <c r="BK1518" s="165"/>
      <c r="BL1518" s="165"/>
      <c r="BM1518" s="165"/>
      <c r="BN1518" s="165"/>
      <c r="BO1518" s="165"/>
      <c r="BP1518" s="165"/>
      <c r="BQ1518" s="165"/>
      <c r="BR1518" s="165"/>
      <c r="BS1518" s="165"/>
      <c r="BT1518" s="165"/>
      <c r="BU1518" s="165"/>
      <c r="BV1518" s="165"/>
      <c r="BW1518" s="165"/>
      <c r="BX1518" s="165"/>
      <c r="BY1518" s="165"/>
      <c r="BZ1518" s="165"/>
      <c r="CA1518" s="315"/>
    </row>
    <row r="1519" spans="1:79" s="143" customFormat="1" ht="41.4" customHeight="1" x14ac:dyDescent="0.3">
      <c r="A1519" s="259" t="s">
        <v>1641</v>
      </c>
      <c r="B1519" s="243" t="s">
        <v>3222</v>
      </c>
      <c r="C1519" s="244" t="s">
        <v>3540</v>
      </c>
      <c r="D1519" s="259" t="s">
        <v>34</v>
      </c>
      <c r="E1519" s="259" t="s">
        <v>3224</v>
      </c>
      <c r="F1519" s="260" t="s">
        <v>35</v>
      </c>
      <c r="G1519" s="259">
        <v>3</v>
      </c>
      <c r="H1519" s="70">
        <v>42000</v>
      </c>
      <c r="I1519" s="261" t="s">
        <v>36</v>
      </c>
      <c r="J1519" s="70">
        <v>42000</v>
      </c>
      <c r="K1519" s="1696">
        <v>0</v>
      </c>
      <c r="L1519" s="1696">
        <v>0</v>
      </c>
      <c r="M1519" s="263" t="s">
        <v>63</v>
      </c>
      <c r="N1519" s="263" t="s">
        <v>2179</v>
      </c>
      <c r="O1519" s="355" t="s">
        <v>3541</v>
      </c>
      <c r="P1519" s="263" t="s">
        <v>40</v>
      </c>
      <c r="Q1519" s="262"/>
      <c r="R1519" s="263" t="s">
        <v>40</v>
      </c>
      <c r="S1519" s="262"/>
      <c r="T1519" s="263" t="s">
        <v>40</v>
      </c>
      <c r="U1519" s="262"/>
      <c r="V1519" s="263" t="s">
        <v>40</v>
      </c>
      <c r="W1519" s="262"/>
      <c r="X1519" s="263" t="s">
        <v>40</v>
      </c>
      <c r="Y1519" s="262"/>
      <c r="Z1519" s="263" t="s">
        <v>40</v>
      </c>
      <c r="AA1519" s="262"/>
      <c r="AB1519" s="263" t="s">
        <v>40</v>
      </c>
      <c r="AC1519" s="262"/>
      <c r="AD1519" s="262"/>
      <c r="AE1519" s="262">
        <v>46203</v>
      </c>
      <c r="AF1519" s="263" t="s">
        <v>65</v>
      </c>
      <c r="AG1519" s="270">
        <v>2026</v>
      </c>
      <c r="AH1519" s="261">
        <f t="shared" si="51"/>
        <v>0</v>
      </c>
      <c r="AI1519" s="261"/>
      <c r="AJ1519" s="261"/>
      <c r="AK1519" s="260" t="s">
        <v>43</v>
      </c>
      <c r="AL1519" s="259" t="s">
        <v>41</v>
      </c>
      <c r="AM1519" s="266">
        <v>0</v>
      </c>
      <c r="AN1519" s="67"/>
      <c r="AO1519" s="259"/>
      <c r="AP1519" s="277"/>
      <c r="AQ1519" s="165"/>
      <c r="AR1519" s="165"/>
      <c r="AS1519" s="165"/>
      <c r="AT1519" s="165"/>
      <c r="AU1519" s="165"/>
      <c r="AV1519" s="165"/>
      <c r="AW1519" s="165"/>
      <c r="AX1519" s="165"/>
      <c r="AY1519" s="165"/>
      <c r="AZ1519" s="165"/>
      <c r="BA1519" s="165"/>
      <c r="BB1519" s="165"/>
      <c r="BC1519" s="165"/>
      <c r="BD1519" s="165"/>
      <c r="BE1519" s="165"/>
      <c r="BF1519" s="165"/>
      <c r="BG1519" s="165"/>
      <c r="BH1519" s="165"/>
      <c r="BI1519" s="165"/>
      <c r="BJ1519" s="165"/>
      <c r="BK1519" s="165"/>
      <c r="BL1519" s="165"/>
      <c r="BM1519" s="165"/>
      <c r="BN1519" s="165"/>
      <c r="BO1519" s="165"/>
      <c r="BP1519" s="165"/>
      <c r="BQ1519" s="165"/>
      <c r="BR1519" s="165"/>
      <c r="BS1519" s="165"/>
      <c r="BT1519" s="165"/>
      <c r="BU1519" s="165"/>
      <c r="BV1519" s="165"/>
      <c r="BW1519" s="165"/>
      <c r="BX1519" s="165"/>
      <c r="BY1519" s="165"/>
      <c r="BZ1519" s="165"/>
      <c r="CA1519" s="315"/>
    </row>
    <row r="1520" spans="1:79" s="143" customFormat="1" ht="41.4" customHeight="1" x14ac:dyDescent="0.3">
      <c r="A1520" s="259" t="s">
        <v>1641</v>
      </c>
      <c r="B1520" s="243" t="s">
        <v>3222</v>
      </c>
      <c r="C1520" s="244" t="s">
        <v>3542</v>
      </c>
      <c r="D1520" s="259" t="s">
        <v>34</v>
      </c>
      <c r="E1520" s="259" t="s">
        <v>3224</v>
      </c>
      <c r="F1520" s="260" t="s">
        <v>35</v>
      </c>
      <c r="G1520" s="259">
        <v>28</v>
      </c>
      <c r="H1520" s="70">
        <v>687000</v>
      </c>
      <c r="I1520" s="261" t="s">
        <v>36</v>
      </c>
      <c r="J1520" s="70">
        <v>687000</v>
      </c>
      <c r="K1520" s="1696">
        <v>0</v>
      </c>
      <c r="L1520" s="1696">
        <v>0</v>
      </c>
      <c r="M1520" s="263" t="s">
        <v>2654</v>
      </c>
      <c r="N1520" s="263" t="s">
        <v>3543</v>
      </c>
      <c r="O1520" s="263" t="s">
        <v>3544</v>
      </c>
      <c r="P1520" s="263" t="s">
        <v>41</v>
      </c>
      <c r="Q1520" s="262">
        <v>45091</v>
      </c>
      <c r="R1520" s="263" t="s">
        <v>41</v>
      </c>
      <c r="S1520" s="262">
        <v>45091</v>
      </c>
      <c r="T1520" s="263" t="s">
        <v>40</v>
      </c>
      <c r="U1520" s="262"/>
      <c r="V1520" s="263" t="s">
        <v>40</v>
      </c>
      <c r="W1520" s="262"/>
      <c r="X1520" s="263" t="s">
        <v>40</v>
      </c>
      <c r="Y1520" s="262"/>
      <c r="Z1520" s="263" t="s">
        <v>40</v>
      </c>
      <c r="AA1520" s="262"/>
      <c r="AB1520" s="263" t="s">
        <v>40</v>
      </c>
      <c r="AC1520" s="262"/>
      <c r="AD1520" s="262"/>
      <c r="AE1520" s="262">
        <v>46203</v>
      </c>
      <c r="AF1520" s="263" t="s">
        <v>65</v>
      </c>
      <c r="AG1520" s="270">
        <v>2026</v>
      </c>
      <c r="AH1520" s="261">
        <f t="shared" si="51"/>
        <v>0</v>
      </c>
      <c r="AI1520" s="261"/>
      <c r="AJ1520" s="261"/>
      <c r="AK1520" s="260" t="s">
        <v>43</v>
      </c>
      <c r="AL1520" s="259" t="s">
        <v>41</v>
      </c>
      <c r="AM1520" s="266">
        <v>0</v>
      </c>
      <c r="AN1520" s="67"/>
      <c r="AO1520" s="259"/>
      <c r="AP1520" s="277"/>
      <c r="AQ1520" s="165"/>
      <c r="AR1520" s="165"/>
      <c r="AS1520" s="165"/>
      <c r="AT1520" s="165"/>
      <c r="AU1520" s="165"/>
      <c r="AV1520" s="165"/>
      <c r="AW1520" s="165"/>
      <c r="AX1520" s="165"/>
      <c r="AY1520" s="165"/>
      <c r="AZ1520" s="165"/>
      <c r="BA1520" s="165"/>
      <c r="BB1520" s="165"/>
      <c r="BC1520" s="165"/>
      <c r="BD1520" s="165"/>
      <c r="BE1520" s="165"/>
      <c r="BF1520" s="165"/>
      <c r="BG1520" s="165"/>
      <c r="BH1520" s="165"/>
      <c r="BI1520" s="165"/>
      <c r="BJ1520" s="165"/>
      <c r="BK1520" s="165"/>
      <c r="BL1520" s="165"/>
      <c r="BM1520" s="165"/>
      <c r="BN1520" s="165"/>
      <c r="BO1520" s="165"/>
      <c r="BP1520" s="165"/>
      <c r="BQ1520" s="165"/>
      <c r="BR1520" s="165"/>
      <c r="BS1520" s="165"/>
      <c r="BT1520" s="165"/>
      <c r="BU1520" s="165"/>
      <c r="BV1520" s="165"/>
      <c r="BW1520" s="165"/>
      <c r="BX1520" s="165"/>
      <c r="BY1520" s="165"/>
      <c r="BZ1520" s="165"/>
      <c r="CA1520" s="315"/>
    </row>
    <row r="1521" spans="1:79" s="143" customFormat="1" ht="41.4" customHeight="1" x14ac:dyDescent="0.3">
      <c r="A1521" s="259" t="s">
        <v>1641</v>
      </c>
      <c r="B1521" s="243" t="s">
        <v>3222</v>
      </c>
      <c r="C1521" s="244" t="s">
        <v>3545</v>
      </c>
      <c r="D1521" s="259" t="s">
        <v>34</v>
      </c>
      <c r="E1521" s="259" t="s">
        <v>3224</v>
      </c>
      <c r="F1521" s="260" t="s">
        <v>35</v>
      </c>
      <c r="G1521" s="259">
        <v>150</v>
      </c>
      <c r="H1521" s="70">
        <v>2100000</v>
      </c>
      <c r="I1521" s="261" t="s">
        <v>36</v>
      </c>
      <c r="J1521" s="70">
        <v>2100000</v>
      </c>
      <c r="K1521" s="1696">
        <v>0</v>
      </c>
      <c r="L1521" s="1696">
        <v>0</v>
      </c>
      <c r="M1521" s="263" t="s">
        <v>76</v>
      </c>
      <c r="N1521" s="263" t="s">
        <v>3546</v>
      </c>
      <c r="O1521" s="355" t="s">
        <v>3547</v>
      </c>
      <c r="P1521" s="263" t="s">
        <v>40</v>
      </c>
      <c r="Q1521" s="262"/>
      <c r="R1521" s="263" t="s">
        <v>40</v>
      </c>
      <c r="S1521" s="262"/>
      <c r="T1521" s="263" t="s">
        <v>40</v>
      </c>
      <c r="U1521" s="262"/>
      <c r="V1521" s="263" t="s">
        <v>40</v>
      </c>
      <c r="W1521" s="262"/>
      <c r="X1521" s="263" t="s">
        <v>40</v>
      </c>
      <c r="Y1521" s="262"/>
      <c r="Z1521" s="263" t="s">
        <v>40</v>
      </c>
      <c r="AA1521" s="262"/>
      <c r="AB1521" s="263" t="s">
        <v>40</v>
      </c>
      <c r="AC1521" s="262"/>
      <c r="AD1521" s="262"/>
      <c r="AE1521" s="262">
        <v>46203</v>
      </c>
      <c r="AF1521" s="263" t="s">
        <v>65</v>
      </c>
      <c r="AG1521" s="270">
        <v>2026</v>
      </c>
      <c r="AH1521" s="261">
        <f t="shared" si="51"/>
        <v>0</v>
      </c>
      <c r="AI1521" s="261"/>
      <c r="AJ1521" s="261"/>
      <c r="AK1521" s="260" t="s">
        <v>43</v>
      </c>
      <c r="AL1521" s="259" t="s">
        <v>41</v>
      </c>
      <c r="AM1521" s="266">
        <v>0</v>
      </c>
      <c r="AN1521" s="67"/>
      <c r="AO1521" s="259"/>
      <c r="AP1521" s="277"/>
      <c r="AQ1521" s="165"/>
      <c r="AR1521" s="165"/>
      <c r="AS1521" s="165"/>
      <c r="AT1521" s="165"/>
      <c r="AU1521" s="165"/>
      <c r="AV1521" s="165"/>
      <c r="AW1521" s="165"/>
      <c r="AX1521" s="165"/>
      <c r="AY1521" s="165"/>
      <c r="AZ1521" s="165"/>
      <c r="BA1521" s="165"/>
      <c r="BB1521" s="165"/>
      <c r="BC1521" s="165"/>
      <c r="BD1521" s="165"/>
      <c r="BE1521" s="165"/>
      <c r="BF1521" s="165"/>
      <c r="BG1521" s="165"/>
      <c r="BH1521" s="165"/>
      <c r="BI1521" s="165"/>
      <c r="BJ1521" s="165"/>
      <c r="BK1521" s="165"/>
      <c r="BL1521" s="165"/>
      <c r="BM1521" s="165"/>
      <c r="BN1521" s="165"/>
      <c r="BO1521" s="165"/>
      <c r="BP1521" s="165"/>
      <c r="BQ1521" s="165"/>
      <c r="BR1521" s="165"/>
      <c r="BS1521" s="165"/>
      <c r="BT1521" s="165"/>
      <c r="BU1521" s="165"/>
      <c r="BV1521" s="165"/>
      <c r="BW1521" s="165"/>
      <c r="BX1521" s="165"/>
      <c r="BY1521" s="165"/>
      <c r="BZ1521" s="165"/>
      <c r="CA1521" s="315"/>
    </row>
    <row r="1522" spans="1:79" s="143" customFormat="1" ht="41.4" customHeight="1" x14ac:dyDescent="0.3">
      <c r="A1522" s="259" t="s">
        <v>1641</v>
      </c>
      <c r="B1522" s="243" t="s">
        <v>3222</v>
      </c>
      <c r="C1522" s="244" t="s">
        <v>3548</v>
      </c>
      <c r="D1522" s="259" t="s">
        <v>34</v>
      </c>
      <c r="E1522" s="259" t="s">
        <v>3224</v>
      </c>
      <c r="F1522" s="260" t="s">
        <v>35</v>
      </c>
      <c r="G1522" s="259">
        <v>265</v>
      </c>
      <c r="H1522" s="70">
        <v>3710000</v>
      </c>
      <c r="I1522" s="261" t="s">
        <v>36</v>
      </c>
      <c r="J1522" s="70">
        <v>3710000</v>
      </c>
      <c r="K1522" s="1696">
        <v>0</v>
      </c>
      <c r="L1522" s="1696">
        <v>0</v>
      </c>
      <c r="M1522" s="263" t="s">
        <v>38</v>
      </c>
      <c r="N1522" s="263" t="s">
        <v>3549</v>
      </c>
      <c r="O1522" s="263" t="s">
        <v>3550</v>
      </c>
      <c r="P1522" s="263" t="s">
        <v>40</v>
      </c>
      <c r="Q1522" s="262"/>
      <c r="R1522" s="263" t="s">
        <v>40</v>
      </c>
      <c r="S1522" s="262"/>
      <c r="T1522" s="263" t="s">
        <v>40</v>
      </c>
      <c r="U1522" s="262"/>
      <c r="V1522" s="263" t="s">
        <v>40</v>
      </c>
      <c r="W1522" s="262"/>
      <c r="X1522" s="263" t="s">
        <v>40</v>
      </c>
      <c r="Y1522" s="262"/>
      <c r="Z1522" s="263" t="s">
        <v>40</v>
      </c>
      <c r="AA1522" s="262"/>
      <c r="AB1522" s="263" t="s">
        <v>40</v>
      </c>
      <c r="AC1522" s="262"/>
      <c r="AD1522" s="262"/>
      <c r="AE1522" s="262">
        <v>46203</v>
      </c>
      <c r="AF1522" s="263" t="s">
        <v>65</v>
      </c>
      <c r="AG1522" s="270">
        <v>2026</v>
      </c>
      <c r="AH1522" s="261">
        <f t="shared" si="51"/>
        <v>0</v>
      </c>
      <c r="AI1522" s="261"/>
      <c r="AJ1522" s="261"/>
      <c r="AK1522" s="260" t="s">
        <v>43</v>
      </c>
      <c r="AL1522" s="259" t="s">
        <v>41</v>
      </c>
      <c r="AM1522" s="266">
        <v>0</v>
      </c>
      <c r="AN1522" s="67"/>
      <c r="AO1522" s="259"/>
      <c r="AP1522" s="277"/>
      <c r="AQ1522" s="165"/>
      <c r="AR1522" s="165"/>
      <c r="AS1522" s="165"/>
      <c r="AT1522" s="165"/>
      <c r="AU1522" s="165"/>
      <c r="AV1522" s="165"/>
      <c r="AW1522" s="165"/>
      <c r="AX1522" s="165"/>
      <c r="AY1522" s="165"/>
      <c r="AZ1522" s="165"/>
      <c r="BA1522" s="165"/>
      <c r="BB1522" s="165"/>
      <c r="BC1522" s="165"/>
      <c r="BD1522" s="165"/>
      <c r="BE1522" s="165"/>
      <c r="BF1522" s="165"/>
      <c r="BG1522" s="165"/>
      <c r="BH1522" s="165"/>
      <c r="BI1522" s="165"/>
      <c r="BJ1522" s="165"/>
      <c r="BK1522" s="165"/>
      <c r="BL1522" s="165"/>
      <c r="BM1522" s="165"/>
      <c r="BN1522" s="165"/>
      <c r="BO1522" s="165"/>
      <c r="BP1522" s="165"/>
      <c r="BQ1522" s="165"/>
      <c r="BR1522" s="165"/>
      <c r="BS1522" s="165"/>
      <c r="BT1522" s="165"/>
      <c r="BU1522" s="165"/>
      <c r="BV1522" s="165"/>
      <c r="BW1522" s="165"/>
      <c r="BX1522" s="165"/>
      <c r="BY1522" s="165"/>
      <c r="BZ1522" s="165"/>
      <c r="CA1522" s="315"/>
    </row>
    <row r="1523" spans="1:79" s="143" customFormat="1" ht="41.4" customHeight="1" x14ac:dyDescent="0.3">
      <c r="A1523" s="259" t="s">
        <v>1641</v>
      </c>
      <c r="B1523" s="243" t="s">
        <v>3222</v>
      </c>
      <c r="C1523" s="244" t="s">
        <v>3551</v>
      </c>
      <c r="D1523" s="259" t="s">
        <v>34</v>
      </c>
      <c r="E1523" s="259" t="s">
        <v>3224</v>
      </c>
      <c r="F1523" s="260" t="s">
        <v>35</v>
      </c>
      <c r="G1523" s="259">
        <v>22</v>
      </c>
      <c r="H1523" s="70">
        <v>308000</v>
      </c>
      <c r="I1523" s="261" t="s">
        <v>36</v>
      </c>
      <c r="J1523" s="70">
        <v>308000</v>
      </c>
      <c r="K1523" s="1696">
        <v>0</v>
      </c>
      <c r="L1523" s="1696">
        <v>0</v>
      </c>
      <c r="M1523" s="263" t="s">
        <v>1806</v>
      </c>
      <c r="N1523" s="263" t="s">
        <v>3552</v>
      </c>
      <c r="O1523" s="355" t="s">
        <v>3553</v>
      </c>
      <c r="P1523" s="263" t="s">
        <v>40</v>
      </c>
      <c r="Q1523" s="262"/>
      <c r="R1523" s="263" t="s">
        <v>40</v>
      </c>
      <c r="S1523" s="262"/>
      <c r="T1523" s="263" t="s">
        <v>40</v>
      </c>
      <c r="U1523" s="262"/>
      <c r="V1523" s="263" t="s">
        <v>40</v>
      </c>
      <c r="W1523" s="262"/>
      <c r="X1523" s="263" t="s">
        <v>40</v>
      </c>
      <c r="Y1523" s="262"/>
      <c r="Z1523" s="263" t="s">
        <v>40</v>
      </c>
      <c r="AA1523" s="262"/>
      <c r="AB1523" s="263" t="s">
        <v>40</v>
      </c>
      <c r="AC1523" s="262"/>
      <c r="AD1523" s="262"/>
      <c r="AE1523" s="262">
        <v>46203</v>
      </c>
      <c r="AF1523" s="263" t="s">
        <v>65</v>
      </c>
      <c r="AG1523" s="270">
        <v>2026</v>
      </c>
      <c r="AH1523" s="261">
        <f t="shared" si="51"/>
        <v>0</v>
      </c>
      <c r="AI1523" s="261"/>
      <c r="AJ1523" s="261"/>
      <c r="AK1523" s="260" t="s">
        <v>43</v>
      </c>
      <c r="AL1523" s="259" t="s">
        <v>41</v>
      </c>
      <c r="AM1523" s="266">
        <v>0</v>
      </c>
      <c r="AN1523" s="67"/>
      <c r="AO1523" s="259"/>
      <c r="AP1523" s="277"/>
      <c r="AQ1523" s="165"/>
      <c r="AR1523" s="165"/>
      <c r="AS1523" s="165"/>
      <c r="AT1523" s="165"/>
      <c r="AU1523" s="165"/>
      <c r="AV1523" s="165"/>
      <c r="AW1523" s="165"/>
      <c r="AX1523" s="165"/>
      <c r="AY1523" s="165"/>
      <c r="AZ1523" s="165"/>
      <c r="BA1523" s="165"/>
      <c r="BB1523" s="165"/>
      <c r="BC1523" s="165"/>
      <c r="BD1523" s="165"/>
      <c r="BE1523" s="165"/>
      <c r="BF1523" s="165"/>
      <c r="BG1523" s="165"/>
      <c r="BH1523" s="165"/>
      <c r="BI1523" s="165"/>
      <c r="BJ1523" s="165"/>
      <c r="BK1523" s="165"/>
      <c r="BL1523" s="165"/>
      <c r="BM1523" s="165"/>
      <c r="BN1523" s="165"/>
      <c r="BO1523" s="165"/>
      <c r="BP1523" s="165"/>
      <c r="BQ1523" s="165"/>
      <c r="BR1523" s="165"/>
      <c r="BS1523" s="165"/>
      <c r="BT1523" s="165"/>
      <c r="BU1523" s="165"/>
      <c r="BV1523" s="165"/>
      <c r="BW1523" s="165"/>
      <c r="BX1523" s="165"/>
      <c r="BY1523" s="165"/>
      <c r="BZ1523" s="165"/>
      <c r="CA1523" s="315"/>
    </row>
    <row r="1524" spans="1:79" s="143" customFormat="1" ht="41.4" customHeight="1" x14ac:dyDescent="0.3">
      <c r="A1524" s="259" t="s">
        <v>1641</v>
      </c>
      <c r="B1524" s="243" t="s">
        <v>3222</v>
      </c>
      <c r="C1524" s="244" t="s">
        <v>3554</v>
      </c>
      <c r="D1524" s="259" t="s">
        <v>34</v>
      </c>
      <c r="E1524" s="259" t="s">
        <v>3224</v>
      </c>
      <c r="F1524" s="260" t="s">
        <v>35</v>
      </c>
      <c r="G1524" s="259">
        <v>16</v>
      </c>
      <c r="H1524" s="70">
        <v>224000</v>
      </c>
      <c r="I1524" s="261" t="s">
        <v>36</v>
      </c>
      <c r="J1524" s="70">
        <v>224000</v>
      </c>
      <c r="K1524" s="1696">
        <v>0</v>
      </c>
      <c r="L1524" s="1696">
        <v>0</v>
      </c>
      <c r="M1524" s="263" t="s">
        <v>1208</v>
      </c>
      <c r="N1524" s="263" t="s">
        <v>3555</v>
      </c>
      <c r="O1524" s="355" t="s">
        <v>3556</v>
      </c>
      <c r="P1524" s="263" t="s">
        <v>40</v>
      </c>
      <c r="Q1524" s="262"/>
      <c r="R1524" s="263" t="s">
        <v>40</v>
      </c>
      <c r="S1524" s="262"/>
      <c r="T1524" s="263" t="s">
        <v>40</v>
      </c>
      <c r="U1524" s="262"/>
      <c r="V1524" s="263" t="s">
        <v>40</v>
      </c>
      <c r="W1524" s="262"/>
      <c r="X1524" s="263" t="s">
        <v>40</v>
      </c>
      <c r="Y1524" s="262"/>
      <c r="Z1524" s="263" t="s">
        <v>40</v>
      </c>
      <c r="AA1524" s="262"/>
      <c r="AB1524" s="263" t="s">
        <v>40</v>
      </c>
      <c r="AC1524" s="262"/>
      <c r="AD1524" s="262"/>
      <c r="AE1524" s="262">
        <v>46203</v>
      </c>
      <c r="AF1524" s="263" t="s">
        <v>65</v>
      </c>
      <c r="AG1524" s="270">
        <v>2026</v>
      </c>
      <c r="AH1524" s="261">
        <f t="shared" si="51"/>
        <v>0</v>
      </c>
      <c r="AI1524" s="261"/>
      <c r="AJ1524" s="261"/>
      <c r="AK1524" s="260" t="s">
        <v>43</v>
      </c>
      <c r="AL1524" s="259" t="s">
        <v>41</v>
      </c>
      <c r="AM1524" s="266">
        <v>0</v>
      </c>
      <c r="AN1524" s="67"/>
      <c r="AO1524" s="259"/>
      <c r="AP1524" s="277"/>
      <c r="AQ1524" s="165"/>
      <c r="AR1524" s="165"/>
      <c r="AS1524" s="165"/>
      <c r="AT1524" s="165"/>
      <c r="AU1524" s="165"/>
      <c r="AV1524" s="165"/>
      <c r="AW1524" s="165"/>
      <c r="AX1524" s="165"/>
      <c r="AY1524" s="165"/>
      <c r="AZ1524" s="165"/>
      <c r="BA1524" s="165"/>
      <c r="BB1524" s="165"/>
      <c r="BC1524" s="165"/>
      <c r="BD1524" s="165"/>
      <c r="BE1524" s="165"/>
      <c r="BF1524" s="165"/>
      <c r="BG1524" s="165"/>
      <c r="BH1524" s="165"/>
      <c r="BI1524" s="165"/>
      <c r="BJ1524" s="165"/>
      <c r="BK1524" s="165"/>
      <c r="BL1524" s="165"/>
      <c r="BM1524" s="165"/>
      <c r="BN1524" s="165"/>
      <c r="BO1524" s="165"/>
      <c r="BP1524" s="165"/>
      <c r="BQ1524" s="165"/>
      <c r="BR1524" s="165"/>
      <c r="BS1524" s="165"/>
      <c r="BT1524" s="165"/>
      <c r="BU1524" s="165"/>
      <c r="BV1524" s="165"/>
      <c r="BW1524" s="165"/>
      <c r="BX1524" s="165"/>
      <c r="BY1524" s="165"/>
      <c r="BZ1524" s="165"/>
      <c r="CA1524" s="315"/>
    </row>
    <row r="1525" spans="1:79" s="143" customFormat="1" ht="41.4" customHeight="1" x14ac:dyDescent="0.3">
      <c r="A1525" s="259" t="s">
        <v>1641</v>
      </c>
      <c r="B1525" s="243" t="s">
        <v>3222</v>
      </c>
      <c r="C1525" s="244" t="s">
        <v>3557</v>
      </c>
      <c r="D1525" s="259" t="s">
        <v>34</v>
      </c>
      <c r="E1525" s="259" t="s">
        <v>3224</v>
      </c>
      <c r="F1525" s="260" t="s">
        <v>35</v>
      </c>
      <c r="G1525" s="259">
        <v>5</v>
      </c>
      <c r="H1525" s="70">
        <v>250000</v>
      </c>
      <c r="I1525" s="261" t="s">
        <v>36</v>
      </c>
      <c r="J1525" s="70">
        <v>250000</v>
      </c>
      <c r="K1525" s="1696">
        <v>0</v>
      </c>
      <c r="L1525" s="1696">
        <v>0</v>
      </c>
      <c r="M1525" s="263" t="s">
        <v>50</v>
      </c>
      <c r="N1525" s="263" t="s">
        <v>1822</v>
      </c>
      <c r="O1525" s="263" t="s">
        <v>3401</v>
      </c>
      <c r="P1525" s="263" t="s">
        <v>41</v>
      </c>
      <c r="Q1525" s="262">
        <v>45091</v>
      </c>
      <c r="R1525" s="263" t="s">
        <v>41</v>
      </c>
      <c r="S1525" s="262">
        <v>45091</v>
      </c>
      <c r="T1525" s="263" t="s">
        <v>40</v>
      </c>
      <c r="U1525" s="262"/>
      <c r="V1525" s="263" t="s">
        <v>40</v>
      </c>
      <c r="W1525" s="262"/>
      <c r="X1525" s="263" t="s">
        <v>40</v>
      </c>
      <c r="Y1525" s="262"/>
      <c r="Z1525" s="263" t="s">
        <v>40</v>
      </c>
      <c r="AA1525" s="262"/>
      <c r="AB1525" s="263" t="s">
        <v>40</v>
      </c>
      <c r="AC1525" s="262"/>
      <c r="AD1525" s="262"/>
      <c r="AE1525" s="262">
        <v>46203</v>
      </c>
      <c r="AF1525" s="263" t="s">
        <v>65</v>
      </c>
      <c r="AG1525" s="270">
        <v>2026</v>
      </c>
      <c r="AH1525" s="261">
        <f t="shared" si="51"/>
        <v>0</v>
      </c>
      <c r="AI1525" s="261"/>
      <c r="AJ1525" s="261"/>
      <c r="AK1525" s="260" t="s">
        <v>43</v>
      </c>
      <c r="AL1525" s="259" t="s">
        <v>41</v>
      </c>
      <c r="AM1525" s="266">
        <v>0</v>
      </c>
      <c r="AN1525" s="67"/>
      <c r="AO1525" s="259"/>
      <c r="AP1525" s="277"/>
      <c r="AQ1525" s="165"/>
      <c r="AR1525" s="165"/>
      <c r="AS1525" s="165"/>
      <c r="AT1525" s="165"/>
      <c r="AU1525" s="165"/>
      <c r="AV1525" s="165"/>
      <c r="AW1525" s="165"/>
      <c r="AX1525" s="165"/>
      <c r="AY1525" s="165"/>
      <c r="AZ1525" s="165"/>
      <c r="BA1525" s="165"/>
      <c r="BB1525" s="165"/>
      <c r="BC1525" s="165"/>
      <c r="BD1525" s="165"/>
      <c r="BE1525" s="165"/>
      <c r="BF1525" s="165"/>
      <c r="BG1525" s="165"/>
      <c r="BH1525" s="165"/>
      <c r="BI1525" s="165"/>
      <c r="BJ1525" s="165"/>
      <c r="BK1525" s="165"/>
      <c r="BL1525" s="165"/>
      <c r="BM1525" s="165"/>
      <c r="BN1525" s="165"/>
      <c r="BO1525" s="165"/>
      <c r="BP1525" s="165"/>
      <c r="BQ1525" s="165"/>
      <c r="BR1525" s="165"/>
      <c r="BS1525" s="165"/>
      <c r="BT1525" s="165"/>
      <c r="BU1525" s="165"/>
      <c r="BV1525" s="165"/>
      <c r="BW1525" s="165"/>
      <c r="BX1525" s="165"/>
      <c r="BY1525" s="165"/>
      <c r="BZ1525" s="165"/>
      <c r="CA1525" s="315"/>
    </row>
    <row r="1526" spans="1:79" s="143" customFormat="1" ht="41.4" customHeight="1" x14ac:dyDescent="0.3">
      <c r="A1526" s="259" t="s">
        <v>1641</v>
      </c>
      <c r="B1526" s="243" t="s">
        <v>3222</v>
      </c>
      <c r="C1526" s="244" t="s">
        <v>3558</v>
      </c>
      <c r="D1526" s="259" t="s">
        <v>34</v>
      </c>
      <c r="E1526" s="259" t="s">
        <v>3224</v>
      </c>
      <c r="F1526" s="260" t="s">
        <v>35</v>
      </c>
      <c r="G1526" s="259">
        <v>13</v>
      </c>
      <c r="H1526" s="70">
        <v>247000</v>
      </c>
      <c r="I1526" s="261" t="s">
        <v>36</v>
      </c>
      <c r="J1526" s="70">
        <v>247000</v>
      </c>
      <c r="K1526" s="1696">
        <v>0</v>
      </c>
      <c r="L1526" s="1696">
        <v>0</v>
      </c>
      <c r="M1526" s="263" t="s">
        <v>66</v>
      </c>
      <c r="N1526" s="263" t="s">
        <v>3559</v>
      </c>
      <c r="O1526" s="355" t="s">
        <v>3560</v>
      </c>
      <c r="P1526" s="263" t="s">
        <v>40</v>
      </c>
      <c r="Q1526" s="262"/>
      <c r="R1526" s="263" t="s">
        <v>40</v>
      </c>
      <c r="S1526" s="262"/>
      <c r="T1526" s="263" t="s">
        <v>40</v>
      </c>
      <c r="U1526" s="262"/>
      <c r="V1526" s="263" t="s">
        <v>40</v>
      </c>
      <c r="W1526" s="262"/>
      <c r="X1526" s="263" t="s">
        <v>40</v>
      </c>
      <c r="Y1526" s="262"/>
      <c r="Z1526" s="263" t="s">
        <v>40</v>
      </c>
      <c r="AA1526" s="262"/>
      <c r="AB1526" s="263" t="s">
        <v>40</v>
      </c>
      <c r="AC1526" s="262"/>
      <c r="AD1526" s="262"/>
      <c r="AE1526" s="262">
        <v>46203</v>
      </c>
      <c r="AF1526" s="263" t="s">
        <v>65</v>
      </c>
      <c r="AG1526" s="270">
        <v>2026</v>
      </c>
      <c r="AH1526" s="261">
        <f t="shared" si="51"/>
        <v>0</v>
      </c>
      <c r="AI1526" s="261"/>
      <c r="AJ1526" s="261"/>
      <c r="AK1526" s="260" t="s">
        <v>43</v>
      </c>
      <c r="AL1526" s="259" t="s">
        <v>41</v>
      </c>
      <c r="AM1526" s="266">
        <v>0</v>
      </c>
      <c r="AN1526" s="67"/>
      <c r="AO1526" s="259"/>
      <c r="AP1526" s="277"/>
      <c r="AQ1526" s="165"/>
      <c r="AR1526" s="165"/>
      <c r="AS1526" s="165"/>
      <c r="AT1526" s="165"/>
      <c r="AU1526" s="165"/>
      <c r="AV1526" s="165"/>
      <c r="AW1526" s="165"/>
      <c r="AX1526" s="165"/>
      <c r="AY1526" s="165"/>
      <c r="AZ1526" s="165"/>
      <c r="BA1526" s="165"/>
      <c r="BB1526" s="165"/>
      <c r="BC1526" s="165"/>
      <c r="BD1526" s="165"/>
      <c r="BE1526" s="165"/>
      <c r="BF1526" s="165"/>
      <c r="BG1526" s="165"/>
      <c r="BH1526" s="165"/>
      <c r="BI1526" s="165"/>
      <c r="BJ1526" s="165"/>
      <c r="BK1526" s="165"/>
      <c r="BL1526" s="165"/>
      <c r="BM1526" s="165"/>
      <c r="BN1526" s="165"/>
      <c r="BO1526" s="165"/>
      <c r="BP1526" s="165"/>
      <c r="BQ1526" s="165"/>
      <c r="BR1526" s="165"/>
      <c r="BS1526" s="165"/>
      <c r="BT1526" s="165"/>
      <c r="BU1526" s="165"/>
      <c r="BV1526" s="165"/>
      <c r="BW1526" s="165"/>
      <c r="BX1526" s="165"/>
      <c r="BY1526" s="165"/>
      <c r="BZ1526" s="165"/>
      <c r="CA1526" s="315"/>
    </row>
    <row r="1527" spans="1:79" s="143" customFormat="1" ht="41.4" customHeight="1" x14ac:dyDescent="0.3">
      <c r="A1527" s="259" t="s">
        <v>1641</v>
      </c>
      <c r="B1527" s="243" t="s">
        <v>3222</v>
      </c>
      <c r="C1527" s="244" t="s">
        <v>3561</v>
      </c>
      <c r="D1527" s="259" t="s">
        <v>34</v>
      </c>
      <c r="E1527" s="259" t="s">
        <v>3224</v>
      </c>
      <c r="F1527" s="260" t="s">
        <v>35</v>
      </c>
      <c r="G1527" s="259">
        <v>44</v>
      </c>
      <c r="H1527" s="70">
        <v>616000</v>
      </c>
      <c r="I1527" s="261" t="s">
        <v>36</v>
      </c>
      <c r="J1527" s="70">
        <v>616000</v>
      </c>
      <c r="K1527" s="1696">
        <v>0</v>
      </c>
      <c r="L1527" s="1696">
        <v>0</v>
      </c>
      <c r="M1527" s="263" t="s">
        <v>58</v>
      </c>
      <c r="N1527" s="263" t="s">
        <v>3562</v>
      </c>
      <c r="O1527" s="355" t="s">
        <v>3563</v>
      </c>
      <c r="P1527" s="263" t="s">
        <v>40</v>
      </c>
      <c r="Q1527" s="262"/>
      <c r="R1527" s="263" t="s">
        <v>40</v>
      </c>
      <c r="S1527" s="262"/>
      <c r="T1527" s="263" t="s">
        <v>40</v>
      </c>
      <c r="U1527" s="262"/>
      <c r="V1527" s="263" t="s">
        <v>40</v>
      </c>
      <c r="W1527" s="262"/>
      <c r="X1527" s="263" t="s">
        <v>40</v>
      </c>
      <c r="Y1527" s="262"/>
      <c r="Z1527" s="263" t="s">
        <v>40</v>
      </c>
      <c r="AA1527" s="262"/>
      <c r="AB1527" s="263" t="s">
        <v>40</v>
      </c>
      <c r="AC1527" s="262"/>
      <c r="AD1527" s="262"/>
      <c r="AE1527" s="262">
        <v>46203</v>
      </c>
      <c r="AF1527" s="263" t="s">
        <v>65</v>
      </c>
      <c r="AG1527" s="270">
        <v>2026</v>
      </c>
      <c r="AH1527" s="261">
        <f t="shared" si="51"/>
        <v>0</v>
      </c>
      <c r="AI1527" s="261"/>
      <c r="AJ1527" s="261"/>
      <c r="AK1527" s="260" t="s">
        <v>43</v>
      </c>
      <c r="AL1527" s="259" t="s">
        <v>41</v>
      </c>
      <c r="AM1527" s="266">
        <v>0</v>
      </c>
      <c r="AN1527" s="67"/>
      <c r="AO1527" s="259"/>
      <c r="AP1527" s="277"/>
      <c r="AQ1527" s="165"/>
      <c r="AR1527" s="165"/>
      <c r="AS1527" s="165"/>
      <c r="AT1527" s="165"/>
      <c r="AU1527" s="165"/>
      <c r="AV1527" s="165"/>
      <c r="AW1527" s="165"/>
      <c r="AX1527" s="165"/>
      <c r="AY1527" s="165"/>
      <c r="AZ1527" s="165"/>
      <c r="BA1527" s="165"/>
      <c r="BB1527" s="165"/>
      <c r="BC1527" s="165"/>
      <c r="BD1527" s="165"/>
      <c r="BE1527" s="165"/>
      <c r="BF1527" s="165"/>
      <c r="BG1527" s="165"/>
      <c r="BH1527" s="165"/>
      <c r="BI1527" s="165"/>
      <c r="BJ1527" s="165"/>
      <c r="BK1527" s="165"/>
      <c r="BL1527" s="165"/>
      <c r="BM1527" s="165"/>
      <c r="BN1527" s="165"/>
      <c r="BO1527" s="165"/>
      <c r="BP1527" s="165"/>
      <c r="BQ1527" s="165"/>
      <c r="BR1527" s="165"/>
      <c r="BS1527" s="165"/>
      <c r="BT1527" s="165"/>
      <c r="BU1527" s="165"/>
      <c r="BV1527" s="165"/>
      <c r="BW1527" s="165"/>
      <c r="BX1527" s="165"/>
      <c r="BY1527" s="165"/>
      <c r="BZ1527" s="165"/>
      <c r="CA1527" s="315"/>
    </row>
    <row r="1528" spans="1:79" s="143" customFormat="1" ht="41.4" customHeight="1" x14ac:dyDescent="0.3">
      <c r="A1528" s="259" t="s">
        <v>1641</v>
      </c>
      <c r="B1528" s="243" t="s">
        <v>3222</v>
      </c>
      <c r="C1528" s="244" t="s">
        <v>3564</v>
      </c>
      <c r="D1528" s="259" t="s">
        <v>34</v>
      </c>
      <c r="E1528" s="259" t="s">
        <v>3224</v>
      </c>
      <c r="F1528" s="260" t="s">
        <v>35</v>
      </c>
      <c r="G1528" s="259">
        <v>25</v>
      </c>
      <c r="H1528" s="70">
        <v>350000</v>
      </c>
      <c r="I1528" s="261" t="s">
        <v>36</v>
      </c>
      <c r="J1528" s="70">
        <v>350000</v>
      </c>
      <c r="K1528" s="1696">
        <v>0</v>
      </c>
      <c r="L1528" s="1696">
        <v>0</v>
      </c>
      <c r="M1528" s="263" t="s">
        <v>80</v>
      </c>
      <c r="N1528" s="263" t="s">
        <v>1794</v>
      </c>
      <c r="O1528" s="355" t="s">
        <v>3565</v>
      </c>
      <c r="P1528" s="263" t="s">
        <v>40</v>
      </c>
      <c r="Q1528" s="262"/>
      <c r="R1528" s="263" t="s">
        <v>40</v>
      </c>
      <c r="S1528" s="262"/>
      <c r="T1528" s="263" t="s">
        <v>40</v>
      </c>
      <c r="U1528" s="262"/>
      <c r="V1528" s="263" t="s">
        <v>40</v>
      </c>
      <c r="W1528" s="262"/>
      <c r="X1528" s="263" t="s">
        <v>40</v>
      </c>
      <c r="Y1528" s="262"/>
      <c r="Z1528" s="263" t="s">
        <v>40</v>
      </c>
      <c r="AA1528" s="262"/>
      <c r="AB1528" s="263" t="s">
        <v>40</v>
      </c>
      <c r="AC1528" s="262"/>
      <c r="AD1528" s="262"/>
      <c r="AE1528" s="262">
        <v>46203</v>
      </c>
      <c r="AF1528" s="263" t="s">
        <v>65</v>
      </c>
      <c r="AG1528" s="270">
        <v>2026</v>
      </c>
      <c r="AH1528" s="261">
        <f t="shared" si="51"/>
        <v>0</v>
      </c>
      <c r="AI1528" s="261"/>
      <c r="AJ1528" s="261"/>
      <c r="AK1528" s="260" t="s">
        <v>43</v>
      </c>
      <c r="AL1528" s="259" t="s">
        <v>41</v>
      </c>
      <c r="AM1528" s="266">
        <v>0</v>
      </c>
      <c r="AN1528" s="67"/>
      <c r="AO1528" s="259"/>
      <c r="AP1528" s="277"/>
      <c r="AQ1528" s="165"/>
      <c r="AR1528" s="165"/>
      <c r="AS1528" s="165"/>
      <c r="AT1528" s="165"/>
      <c r="AU1528" s="165"/>
      <c r="AV1528" s="165"/>
      <c r="AW1528" s="165"/>
      <c r="AX1528" s="165"/>
      <c r="AY1528" s="165"/>
      <c r="AZ1528" s="165"/>
      <c r="BA1528" s="165"/>
      <c r="BB1528" s="165"/>
      <c r="BC1528" s="165"/>
      <c r="BD1528" s="165"/>
      <c r="BE1528" s="165"/>
      <c r="BF1528" s="165"/>
      <c r="BG1528" s="165"/>
      <c r="BH1528" s="165"/>
      <c r="BI1528" s="165"/>
      <c r="BJ1528" s="165"/>
      <c r="BK1528" s="165"/>
      <c r="BL1528" s="165"/>
      <c r="BM1528" s="165"/>
      <c r="BN1528" s="165"/>
      <c r="BO1528" s="165"/>
      <c r="BP1528" s="165"/>
      <c r="BQ1528" s="165"/>
      <c r="BR1528" s="165"/>
      <c r="BS1528" s="165"/>
      <c r="BT1528" s="165"/>
      <c r="BU1528" s="165"/>
      <c r="BV1528" s="165"/>
      <c r="BW1528" s="165"/>
      <c r="BX1528" s="165"/>
      <c r="BY1528" s="165"/>
      <c r="BZ1528" s="165"/>
      <c r="CA1528" s="315"/>
    </row>
    <row r="1529" spans="1:79" s="143" customFormat="1" ht="41.4" customHeight="1" x14ac:dyDescent="0.3">
      <c r="A1529" s="259" t="s">
        <v>1641</v>
      </c>
      <c r="B1529" s="243" t="s">
        <v>3222</v>
      </c>
      <c r="C1529" s="244" t="s">
        <v>3566</v>
      </c>
      <c r="D1529" s="259" t="s">
        <v>34</v>
      </c>
      <c r="E1529" s="259" t="s">
        <v>3224</v>
      </c>
      <c r="F1529" s="260" t="s">
        <v>35</v>
      </c>
      <c r="G1529" s="259">
        <v>40</v>
      </c>
      <c r="H1529" s="70">
        <v>830000</v>
      </c>
      <c r="I1529" s="261" t="s">
        <v>36</v>
      </c>
      <c r="J1529" s="70">
        <v>830000</v>
      </c>
      <c r="K1529" s="1696">
        <v>0</v>
      </c>
      <c r="L1529" s="1696">
        <v>0</v>
      </c>
      <c r="M1529" s="263" t="s">
        <v>58</v>
      </c>
      <c r="N1529" s="263" t="s">
        <v>2983</v>
      </c>
      <c r="O1529" s="355" t="s">
        <v>3567</v>
      </c>
      <c r="P1529" s="263" t="s">
        <v>41</v>
      </c>
      <c r="Q1529" s="262">
        <v>45091</v>
      </c>
      <c r="R1529" s="263" t="s">
        <v>41</v>
      </c>
      <c r="S1529" s="262">
        <v>45091</v>
      </c>
      <c r="T1529" s="263" t="s">
        <v>40</v>
      </c>
      <c r="U1529" s="262"/>
      <c r="V1529" s="263" t="s">
        <v>40</v>
      </c>
      <c r="W1529" s="262"/>
      <c r="X1529" s="263" t="s">
        <v>40</v>
      </c>
      <c r="Y1529" s="262"/>
      <c r="Z1529" s="263" t="s">
        <v>40</v>
      </c>
      <c r="AA1529" s="262"/>
      <c r="AB1529" s="263" t="s">
        <v>40</v>
      </c>
      <c r="AC1529" s="262"/>
      <c r="AD1529" s="262"/>
      <c r="AE1529" s="262">
        <v>46203</v>
      </c>
      <c r="AF1529" s="263" t="s">
        <v>65</v>
      </c>
      <c r="AG1529" s="270">
        <v>2026</v>
      </c>
      <c r="AH1529" s="261">
        <f t="shared" si="51"/>
        <v>0</v>
      </c>
      <c r="AI1529" s="261"/>
      <c r="AJ1529" s="261"/>
      <c r="AK1529" s="260" t="s">
        <v>43</v>
      </c>
      <c r="AL1529" s="259" t="s">
        <v>41</v>
      </c>
      <c r="AM1529" s="266">
        <v>0</v>
      </c>
      <c r="AN1529" s="67"/>
      <c r="AO1529" s="259"/>
      <c r="AP1529" s="277"/>
      <c r="AQ1529" s="165"/>
      <c r="AR1529" s="165"/>
      <c r="AS1529" s="165"/>
      <c r="AT1529" s="165"/>
      <c r="AU1529" s="165"/>
      <c r="AV1529" s="165"/>
      <c r="AW1529" s="165"/>
      <c r="AX1529" s="165"/>
      <c r="AY1529" s="165"/>
      <c r="AZ1529" s="165"/>
      <c r="BA1529" s="165"/>
      <c r="BB1529" s="165"/>
      <c r="BC1529" s="165"/>
      <c r="BD1529" s="165"/>
      <c r="BE1529" s="165"/>
      <c r="BF1529" s="165"/>
      <c r="BG1529" s="165"/>
      <c r="BH1529" s="165"/>
      <c r="BI1529" s="165"/>
      <c r="BJ1529" s="165"/>
      <c r="BK1529" s="165"/>
      <c r="BL1529" s="165"/>
      <c r="BM1529" s="165"/>
      <c r="BN1529" s="165"/>
      <c r="BO1529" s="165"/>
      <c r="BP1529" s="165"/>
      <c r="BQ1529" s="165"/>
      <c r="BR1529" s="165"/>
      <c r="BS1529" s="165"/>
      <c r="BT1529" s="165"/>
      <c r="BU1529" s="165"/>
      <c r="BV1529" s="165"/>
      <c r="BW1529" s="165"/>
      <c r="BX1529" s="165"/>
      <c r="BY1529" s="165"/>
      <c r="BZ1529" s="165"/>
      <c r="CA1529" s="315"/>
    </row>
    <row r="1530" spans="1:79" s="143" customFormat="1" ht="41.4" customHeight="1" x14ac:dyDescent="0.3">
      <c r="A1530" s="259" t="s">
        <v>1641</v>
      </c>
      <c r="B1530" s="243" t="s">
        <v>3222</v>
      </c>
      <c r="C1530" s="244" t="s">
        <v>3568</v>
      </c>
      <c r="D1530" s="259" t="s">
        <v>34</v>
      </c>
      <c r="E1530" s="259" t="s">
        <v>3224</v>
      </c>
      <c r="F1530" s="260" t="s">
        <v>35</v>
      </c>
      <c r="G1530" s="259">
        <v>200</v>
      </c>
      <c r="H1530" s="70">
        <v>4070000</v>
      </c>
      <c r="I1530" s="261" t="s">
        <v>36</v>
      </c>
      <c r="J1530" s="70">
        <v>4070000</v>
      </c>
      <c r="K1530" s="1696">
        <v>0</v>
      </c>
      <c r="L1530" s="1696">
        <v>0</v>
      </c>
      <c r="M1530" s="263" t="s">
        <v>636</v>
      </c>
      <c r="N1530" s="263" t="s">
        <v>636</v>
      </c>
      <c r="O1530" s="263" t="s">
        <v>3569</v>
      </c>
      <c r="P1530" s="263" t="s">
        <v>41</v>
      </c>
      <c r="Q1530" s="262">
        <v>45094</v>
      </c>
      <c r="R1530" s="263" t="s">
        <v>41</v>
      </c>
      <c r="S1530" s="262">
        <v>45094</v>
      </c>
      <c r="T1530" s="263" t="s">
        <v>40</v>
      </c>
      <c r="U1530" s="262"/>
      <c r="V1530" s="263" t="s">
        <v>40</v>
      </c>
      <c r="W1530" s="262"/>
      <c r="X1530" s="263" t="s">
        <v>40</v>
      </c>
      <c r="Y1530" s="262"/>
      <c r="Z1530" s="263" t="s">
        <v>40</v>
      </c>
      <c r="AA1530" s="262"/>
      <c r="AB1530" s="263" t="s">
        <v>40</v>
      </c>
      <c r="AC1530" s="262"/>
      <c r="AD1530" s="262"/>
      <c r="AE1530" s="262">
        <v>46203</v>
      </c>
      <c r="AF1530" s="263" t="s">
        <v>65</v>
      </c>
      <c r="AG1530" s="270">
        <v>2026</v>
      </c>
      <c r="AH1530" s="261">
        <f t="shared" si="51"/>
        <v>0</v>
      </c>
      <c r="AI1530" s="261"/>
      <c r="AJ1530" s="261"/>
      <c r="AK1530" s="260" t="s">
        <v>43</v>
      </c>
      <c r="AL1530" s="259" t="s">
        <v>41</v>
      </c>
      <c r="AM1530" s="266">
        <v>0</v>
      </c>
      <c r="AN1530" s="67"/>
      <c r="AO1530" s="259"/>
      <c r="AP1530" s="277"/>
      <c r="AQ1530" s="165"/>
      <c r="AR1530" s="165"/>
      <c r="AS1530" s="165"/>
      <c r="AT1530" s="165"/>
      <c r="AU1530" s="165"/>
      <c r="AV1530" s="165"/>
      <c r="AW1530" s="165"/>
      <c r="AX1530" s="165"/>
      <c r="AY1530" s="165"/>
      <c r="AZ1530" s="165"/>
      <c r="BA1530" s="165"/>
      <c r="BB1530" s="165"/>
      <c r="BC1530" s="165"/>
      <c r="BD1530" s="165"/>
      <c r="BE1530" s="165"/>
      <c r="BF1530" s="165"/>
      <c r="BG1530" s="165"/>
      <c r="BH1530" s="165"/>
      <c r="BI1530" s="165"/>
      <c r="BJ1530" s="165"/>
      <c r="BK1530" s="165"/>
      <c r="BL1530" s="165"/>
      <c r="BM1530" s="165"/>
      <c r="BN1530" s="165"/>
      <c r="BO1530" s="165"/>
      <c r="BP1530" s="165"/>
      <c r="BQ1530" s="165"/>
      <c r="BR1530" s="165"/>
      <c r="BS1530" s="165"/>
      <c r="BT1530" s="165"/>
      <c r="BU1530" s="165"/>
      <c r="BV1530" s="165"/>
      <c r="BW1530" s="165"/>
      <c r="BX1530" s="165"/>
      <c r="BY1530" s="165"/>
      <c r="BZ1530" s="165"/>
      <c r="CA1530" s="315"/>
    </row>
    <row r="1531" spans="1:79" s="143" customFormat="1" ht="41.4" customHeight="1" x14ac:dyDescent="0.3">
      <c r="A1531" s="259" t="s">
        <v>1641</v>
      </c>
      <c r="B1531" s="243" t="s">
        <v>3222</v>
      </c>
      <c r="C1531" s="244" t="s">
        <v>3570</v>
      </c>
      <c r="D1531" s="259" t="s">
        <v>34</v>
      </c>
      <c r="E1531" s="259" t="s">
        <v>3224</v>
      </c>
      <c r="F1531" s="260" t="s">
        <v>35</v>
      </c>
      <c r="G1531" s="259">
        <v>8</v>
      </c>
      <c r="H1531" s="70">
        <v>152000</v>
      </c>
      <c r="I1531" s="261" t="s">
        <v>36</v>
      </c>
      <c r="J1531" s="70">
        <v>152000</v>
      </c>
      <c r="K1531" s="1696">
        <v>0</v>
      </c>
      <c r="L1531" s="1696">
        <v>0</v>
      </c>
      <c r="M1531" s="263" t="s">
        <v>51</v>
      </c>
      <c r="N1531" s="263" t="s">
        <v>3571</v>
      </c>
      <c r="O1531" s="263" t="s">
        <v>3572</v>
      </c>
      <c r="P1531" s="263" t="s">
        <v>40</v>
      </c>
      <c r="Q1531" s="262"/>
      <c r="R1531" s="263" t="s">
        <v>40</v>
      </c>
      <c r="S1531" s="262"/>
      <c r="T1531" s="263" t="s">
        <v>40</v>
      </c>
      <c r="U1531" s="262"/>
      <c r="V1531" s="263" t="s">
        <v>40</v>
      </c>
      <c r="W1531" s="262"/>
      <c r="X1531" s="263" t="s">
        <v>40</v>
      </c>
      <c r="Y1531" s="262"/>
      <c r="Z1531" s="263" t="s">
        <v>40</v>
      </c>
      <c r="AA1531" s="262"/>
      <c r="AB1531" s="263" t="s">
        <v>40</v>
      </c>
      <c r="AC1531" s="262"/>
      <c r="AD1531" s="262"/>
      <c r="AE1531" s="262">
        <v>46203</v>
      </c>
      <c r="AF1531" s="263" t="s">
        <v>65</v>
      </c>
      <c r="AG1531" s="270">
        <v>2026</v>
      </c>
      <c r="AH1531" s="261">
        <f t="shared" si="51"/>
        <v>0</v>
      </c>
      <c r="AI1531" s="261"/>
      <c r="AJ1531" s="261"/>
      <c r="AK1531" s="260" t="s">
        <v>43</v>
      </c>
      <c r="AL1531" s="259" t="s">
        <v>41</v>
      </c>
      <c r="AM1531" s="266">
        <v>0</v>
      </c>
      <c r="AN1531" s="67"/>
      <c r="AO1531" s="259"/>
      <c r="AP1531" s="277"/>
      <c r="AQ1531" s="165"/>
      <c r="AR1531" s="165"/>
      <c r="AS1531" s="165"/>
      <c r="AT1531" s="165"/>
      <c r="AU1531" s="165"/>
      <c r="AV1531" s="165"/>
      <c r="AW1531" s="165"/>
      <c r="AX1531" s="165"/>
      <c r="AY1531" s="165"/>
      <c r="AZ1531" s="165"/>
      <c r="BA1531" s="165"/>
      <c r="BB1531" s="165"/>
      <c r="BC1531" s="165"/>
      <c r="BD1531" s="165"/>
      <c r="BE1531" s="165"/>
      <c r="BF1531" s="165"/>
      <c r="BG1531" s="165"/>
      <c r="BH1531" s="165"/>
      <c r="BI1531" s="165"/>
      <c r="BJ1531" s="165"/>
      <c r="BK1531" s="165"/>
      <c r="BL1531" s="165"/>
      <c r="BM1531" s="165"/>
      <c r="BN1531" s="165"/>
      <c r="BO1531" s="165"/>
      <c r="BP1531" s="165"/>
      <c r="BQ1531" s="165"/>
      <c r="BR1531" s="165"/>
      <c r="BS1531" s="165"/>
      <c r="BT1531" s="165"/>
      <c r="BU1531" s="165"/>
      <c r="BV1531" s="165"/>
      <c r="BW1531" s="165"/>
      <c r="BX1531" s="165"/>
      <c r="BY1531" s="165"/>
      <c r="BZ1531" s="165"/>
      <c r="CA1531" s="315"/>
    </row>
    <row r="1532" spans="1:79" s="143" customFormat="1" ht="41.4" customHeight="1" x14ac:dyDescent="0.3">
      <c r="A1532" s="259" t="s">
        <v>1641</v>
      </c>
      <c r="B1532" s="243" t="s">
        <v>3222</v>
      </c>
      <c r="C1532" s="244" t="s">
        <v>3573</v>
      </c>
      <c r="D1532" s="259" t="s">
        <v>34</v>
      </c>
      <c r="E1532" s="259" t="s">
        <v>3224</v>
      </c>
      <c r="F1532" s="260" t="s">
        <v>35</v>
      </c>
      <c r="G1532" s="259">
        <v>25</v>
      </c>
      <c r="H1532" s="70">
        <v>360000</v>
      </c>
      <c r="I1532" s="261" t="s">
        <v>36</v>
      </c>
      <c r="J1532" s="70">
        <v>360000</v>
      </c>
      <c r="K1532" s="1696">
        <v>0</v>
      </c>
      <c r="L1532" s="1696">
        <v>0</v>
      </c>
      <c r="M1532" s="263" t="s">
        <v>183</v>
      </c>
      <c r="N1532" s="263" t="s">
        <v>3574</v>
      </c>
      <c r="O1532" s="355" t="s">
        <v>3575</v>
      </c>
      <c r="P1532" s="263" t="s">
        <v>40</v>
      </c>
      <c r="Q1532" s="262"/>
      <c r="R1532" s="263" t="s">
        <v>40</v>
      </c>
      <c r="S1532" s="262"/>
      <c r="T1532" s="263" t="s">
        <v>40</v>
      </c>
      <c r="U1532" s="262"/>
      <c r="V1532" s="263" t="s">
        <v>40</v>
      </c>
      <c r="W1532" s="262"/>
      <c r="X1532" s="263" t="s">
        <v>40</v>
      </c>
      <c r="Y1532" s="262"/>
      <c r="Z1532" s="263" t="s">
        <v>40</v>
      </c>
      <c r="AA1532" s="262"/>
      <c r="AB1532" s="263" t="s">
        <v>40</v>
      </c>
      <c r="AC1532" s="262"/>
      <c r="AD1532" s="262"/>
      <c r="AE1532" s="262">
        <v>46203</v>
      </c>
      <c r="AF1532" s="263" t="s">
        <v>65</v>
      </c>
      <c r="AG1532" s="270">
        <v>2026</v>
      </c>
      <c r="AH1532" s="261">
        <f t="shared" si="51"/>
        <v>0</v>
      </c>
      <c r="AI1532" s="261"/>
      <c r="AJ1532" s="261"/>
      <c r="AK1532" s="260" t="s">
        <v>43</v>
      </c>
      <c r="AL1532" s="259" t="s">
        <v>41</v>
      </c>
      <c r="AM1532" s="266">
        <v>0</v>
      </c>
      <c r="AN1532" s="67"/>
      <c r="AO1532" s="259"/>
      <c r="AP1532" s="277"/>
      <c r="AQ1532" s="165"/>
      <c r="AR1532" s="165"/>
      <c r="AS1532" s="165"/>
      <c r="AT1532" s="165"/>
      <c r="AU1532" s="165"/>
      <c r="AV1532" s="165"/>
      <c r="AW1532" s="165"/>
      <c r="AX1532" s="165"/>
      <c r="AY1532" s="165"/>
      <c r="AZ1532" s="165"/>
      <c r="BA1532" s="165"/>
      <c r="BB1532" s="165"/>
      <c r="BC1532" s="165"/>
      <c r="BD1532" s="165"/>
      <c r="BE1532" s="165"/>
      <c r="BF1532" s="165"/>
      <c r="BG1532" s="165"/>
      <c r="BH1532" s="165"/>
      <c r="BI1532" s="165"/>
      <c r="BJ1532" s="165"/>
      <c r="BK1532" s="165"/>
      <c r="BL1532" s="165"/>
      <c r="BM1532" s="165"/>
      <c r="BN1532" s="165"/>
      <c r="BO1532" s="165"/>
      <c r="BP1532" s="165"/>
      <c r="BQ1532" s="165"/>
      <c r="BR1532" s="165"/>
      <c r="BS1532" s="165"/>
      <c r="BT1532" s="165"/>
      <c r="BU1532" s="165"/>
      <c r="BV1532" s="165"/>
      <c r="BW1532" s="165"/>
      <c r="BX1532" s="165"/>
      <c r="BY1532" s="165"/>
      <c r="BZ1532" s="165"/>
      <c r="CA1532" s="315"/>
    </row>
    <row r="1533" spans="1:79" s="143" customFormat="1" ht="62.4" customHeight="1" x14ac:dyDescent="0.3">
      <c r="A1533" s="259" t="s">
        <v>1641</v>
      </c>
      <c r="B1533" s="243" t="s">
        <v>3222</v>
      </c>
      <c r="C1533" s="244" t="s">
        <v>3576</v>
      </c>
      <c r="D1533" s="259" t="s">
        <v>34</v>
      </c>
      <c r="E1533" s="259" t="s">
        <v>3224</v>
      </c>
      <c r="F1533" s="260" t="s">
        <v>35</v>
      </c>
      <c r="G1533" s="259">
        <v>50</v>
      </c>
      <c r="H1533" s="70">
        <v>700000</v>
      </c>
      <c r="I1533" s="261" t="s">
        <v>36</v>
      </c>
      <c r="J1533" s="70">
        <v>700000</v>
      </c>
      <c r="K1533" s="1696">
        <v>2032.72</v>
      </c>
      <c r="L1533" s="1696">
        <v>2032.72</v>
      </c>
      <c r="M1533" s="263" t="s">
        <v>79</v>
      </c>
      <c r="N1533" s="263" t="s">
        <v>1949</v>
      </c>
      <c r="O1533" s="355" t="s">
        <v>1950</v>
      </c>
      <c r="P1533" s="263" t="s">
        <v>40</v>
      </c>
      <c r="Q1533" s="262"/>
      <c r="R1533" s="263" t="s">
        <v>40</v>
      </c>
      <c r="S1533" s="262"/>
      <c r="T1533" s="263" t="s">
        <v>40</v>
      </c>
      <c r="U1533" s="262"/>
      <c r="V1533" s="263" t="s">
        <v>40</v>
      </c>
      <c r="W1533" s="262"/>
      <c r="X1533" s="263" t="s">
        <v>40</v>
      </c>
      <c r="Y1533" s="262"/>
      <c r="Z1533" s="263" t="s">
        <v>40</v>
      </c>
      <c r="AA1533" s="262"/>
      <c r="AB1533" s="263" t="s">
        <v>40</v>
      </c>
      <c r="AC1533" s="262"/>
      <c r="AD1533" s="262"/>
      <c r="AE1533" s="262">
        <v>46203</v>
      </c>
      <c r="AF1533" s="263" t="s">
        <v>65</v>
      </c>
      <c r="AG1533" s="270">
        <v>2026</v>
      </c>
      <c r="AH1533" s="261">
        <f>L1533*5</f>
        <v>10163.6</v>
      </c>
      <c r="AI1533" s="261"/>
      <c r="AJ1533" s="261"/>
      <c r="AK1533" s="260" t="s">
        <v>43</v>
      </c>
      <c r="AL1533" s="259" t="s">
        <v>41</v>
      </c>
      <c r="AM1533" s="266">
        <v>0</v>
      </c>
      <c r="AN1533" s="67"/>
      <c r="AO1533" s="259"/>
      <c r="AP1533" s="277"/>
      <c r="AQ1533" s="165"/>
      <c r="AR1533" s="165"/>
      <c r="AS1533" s="165"/>
      <c r="AT1533" s="165"/>
      <c r="AU1533" s="165"/>
      <c r="AV1533" s="165"/>
      <c r="AW1533" s="165"/>
      <c r="AX1533" s="165"/>
      <c r="AY1533" s="165"/>
      <c r="AZ1533" s="165"/>
      <c r="BA1533" s="165"/>
      <c r="BB1533" s="165"/>
      <c r="BC1533" s="165"/>
      <c r="BD1533" s="165"/>
      <c r="BE1533" s="165"/>
      <c r="BF1533" s="165"/>
      <c r="BG1533" s="165"/>
      <c r="BH1533" s="165"/>
      <c r="BI1533" s="165"/>
      <c r="BJ1533" s="165"/>
      <c r="BK1533" s="165"/>
      <c r="BL1533" s="165"/>
      <c r="BM1533" s="165"/>
      <c r="BN1533" s="165"/>
      <c r="BO1533" s="165"/>
      <c r="BP1533" s="165"/>
      <c r="BQ1533" s="165"/>
      <c r="BR1533" s="165"/>
      <c r="BS1533" s="165"/>
      <c r="BT1533" s="165"/>
      <c r="BU1533" s="165"/>
      <c r="BV1533" s="165"/>
      <c r="BW1533" s="165"/>
      <c r="BX1533" s="165"/>
      <c r="BY1533" s="165"/>
      <c r="BZ1533" s="165"/>
      <c r="CA1533" s="315"/>
    </row>
    <row r="1534" spans="1:79" s="143" customFormat="1" ht="41.4" customHeight="1" x14ac:dyDescent="0.3">
      <c r="A1534" s="259" t="s">
        <v>1641</v>
      </c>
      <c r="B1534" s="243" t="s">
        <v>3222</v>
      </c>
      <c r="C1534" s="244" t="s">
        <v>3577</v>
      </c>
      <c r="D1534" s="259" t="s">
        <v>34</v>
      </c>
      <c r="E1534" s="259" t="s">
        <v>3224</v>
      </c>
      <c r="F1534" s="260" t="s">
        <v>35</v>
      </c>
      <c r="G1534" s="259">
        <v>50</v>
      </c>
      <c r="H1534" s="70">
        <v>835000</v>
      </c>
      <c r="I1534" s="261" t="s">
        <v>36</v>
      </c>
      <c r="J1534" s="70">
        <v>835000</v>
      </c>
      <c r="K1534" s="1696">
        <v>0</v>
      </c>
      <c r="L1534" s="1696">
        <v>0</v>
      </c>
      <c r="M1534" s="263" t="s">
        <v>183</v>
      </c>
      <c r="N1534" s="263" t="s">
        <v>1719</v>
      </c>
      <c r="O1534" s="355" t="s">
        <v>3578</v>
      </c>
      <c r="P1534" s="263" t="s">
        <v>40</v>
      </c>
      <c r="Q1534" s="262"/>
      <c r="R1534" s="263" t="s">
        <v>40</v>
      </c>
      <c r="S1534" s="262"/>
      <c r="T1534" s="263" t="s">
        <v>40</v>
      </c>
      <c r="U1534" s="262"/>
      <c r="V1534" s="263" t="s">
        <v>40</v>
      </c>
      <c r="W1534" s="262"/>
      <c r="X1534" s="263" t="s">
        <v>40</v>
      </c>
      <c r="Y1534" s="262"/>
      <c r="Z1534" s="263" t="s">
        <v>40</v>
      </c>
      <c r="AA1534" s="262"/>
      <c r="AB1534" s="263" t="s">
        <v>40</v>
      </c>
      <c r="AC1534" s="262"/>
      <c r="AD1534" s="262"/>
      <c r="AE1534" s="262">
        <v>46203</v>
      </c>
      <c r="AF1534" s="263" t="s">
        <v>65</v>
      </c>
      <c r="AG1534" s="270">
        <v>2026</v>
      </c>
      <c r="AH1534" s="261">
        <f t="shared" ref="AH1534:AH1549" si="52">K1534*4.9195</f>
        <v>0</v>
      </c>
      <c r="AI1534" s="261"/>
      <c r="AJ1534" s="261"/>
      <c r="AK1534" s="260" t="s">
        <v>43</v>
      </c>
      <c r="AL1534" s="259" t="s">
        <v>41</v>
      </c>
      <c r="AM1534" s="266">
        <v>0</v>
      </c>
      <c r="AN1534" s="67"/>
      <c r="AO1534" s="259"/>
      <c r="AP1534" s="277"/>
      <c r="AQ1534" s="165"/>
      <c r="AR1534" s="165"/>
      <c r="AS1534" s="165"/>
      <c r="AT1534" s="165"/>
      <c r="AU1534" s="165"/>
      <c r="AV1534" s="165"/>
      <c r="AW1534" s="165"/>
      <c r="AX1534" s="165"/>
      <c r="AY1534" s="165"/>
      <c r="AZ1534" s="165"/>
      <c r="BA1534" s="165"/>
      <c r="BB1534" s="165"/>
      <c r="BC1534" s="165"/>
      <c r="BD1534" s="165"/>
      <c r="BE1534" s="165"/>
      <c r="BF1534" s="165"/>
      <c r="BG1534" s="165"/>
      <c r="BH1534" s="165"/>
      <c r="BI1534" s="165"/>
      <c r="BJ1534" s="165"/>
      <c r="BK1534" s="165"/>
      <c r="BL1534" s="165"/>
      <c r="BM1534" s="165"/>
      <c r="BN1534" s="165"/>
      <c r="BO1534" s="165"/>
      <c r="BP1534" s="165"/>
      <c r="BQ1534" s="165"/>
      <c r="BR1534" s="165"/>
      <c r="BS1534" s="165"/>
      <c r="BT1534" s="165"/>
      <c r="BU1534" s="165"/>
      <c r="BV1534" s="165"/>
      <c r="BW1534" s="165"/>
      <c r="BX1534" s="165"/>
      <c r="BY1534" s="165"/>
      <c r="BZ1534" s="165"/>
      <c r="CA1534" s="315"/>
    </row>
    <row r="1535" spans="1:79" s="102" customFormat="1" ht="41.4" customHeight="1" x14ac:dyDescent="0.3">
      <c r="A1535" s="259" t="s">
        <v>1641</v>
      </c>
      <c r="B1535" s="243" t="s">
        <v>3222</v>
      </c>
      <c r="C1535" s="244" t="s">
        <v>3579</v>
      </c>
      <c r="D1535" s="259" t="s">
        <v>34</v>
      </c>
      <c r="E1535" s="259" t="s">
        <v>3224</v>
      </c>
      <c r="F1535" s="260" t="s">
        <v>35</v>
      </c>
      <c r="G1535" s="259">
        <v>200</v>
      </c>
      <c r="H1535" s="70">
        <v>4070000</v>
      </c>
      <c r="I1535" s="261" t="s">
        <v>36</v>
      </c>
      <c r="J1535" s="70">
        <v>4070000</v>
      </c>
      <c r="K1535" s="1696">
        <v>0</v>
      </c>
      <c r="L1535" s="1696">
        <v>0</v>
      </c>
      <c r="M1535" s="263" t="s">
        <v>60</v>
      </c>
      <c r="N1535" s="263" t="s">
        <v>3580</v>
      </c>
      <c r="O1535" s="355" t="s">
        <v>3581</v>
      </c>
      <c r="P1535" s="263" t="s">
        <v>41</v>
      </c>
      <c r="Q1535" s="262" t="s">
        <v>3582</v>
      </c>
      <c r="R1535" s="263" t="s">
        <v>41</v>
      </c>
      <c r="S1535" s="262" t="s">
        <v>3582</v>
      </c>
      <c r="T1535" s="263" t="s">
        <v>40</v>
      </c>
      <c r="U1535" s="262"/>
      <c r="V1535" s="263" t="s">
        <v>40</v>
      </c>
      <c r="W1535" s="262"/>
      <c r="X1535" s="263" t="s">
        <v>40</v>
      </c>
      <c r="Y1535" s="262"/>
      <c r="Z1535" s="263" t="s">
        <v>40</v>
      </c>
      <c r="AA1535" s="262"/>
      <c r="AB1535" s="263" t="s">
        <v>40</v>
      </c>
      <c r="AC1535" s="262"/>
      <c r="AD1535" s="262"/>
      <c r="AE1535" s="262">
        <v>46203</v>
      </c>
      <c r="AF1535" s="263" t="s">
        <v>65</v>
      </c>
      <c r="AG1535" s="270">
        <v>2026</v>
      </c>
      <c r="AH1535" s="261">
        <f t="shared" si="52"/>
        <v>0</v>
      </c>
      <c r="AI1535" s="261"/>
      <c r="AJ1535" s="261"/>
      <c r="AK1535" s="260" t="s">
        <v>43</v>
      </c>
      <c r="AL1535" s="259" t="s">
        <v>41</v>
      </c>
      <c r="AM1535" s="266">
        <v>0</v>
      </c>
      <c r="AN1535" s="67"/>
      <c r="AO1535" s="243"/>
      <c r="AP1535" s="357"/>
      <c r="AQ1535" s="104"/>
      <c r="AR1535" s="104"/>
      <c r="AS1535" s="104"/>
      <c r="AT1535" s="104"/>
      <c r="AU1535" s="104"/>
      <c r="AV1535" s="104"/>
      <c r="AW1535" s="104"/>
      <c r="AX1535" s="104"/>
      <c r="AY1535" s="104"/>
      <c r="AZ1535" s="104"/>
      <c r="BA1535" s="104"/>
      <c r="BB1535" s="104"/>
      <c r="BC1535" s="104"/>
      <c r="BD1535" s="104"/>
      <c r="BE1535" s="104"/>
      <c r="BF1535" s="104"/>
      <c r="BG1535" s="104"/>
      <c r="BH1535" s="104"/>
      <c r="BI1535" s="104"/>
      <c r="BJ1535" s="104"/>
      <c r="BK1535" s="104"/>
      <c r="BL1535" s="104"/>
      <c r="BM1535" s="104"/>
      <c r="BN1535" s="104"/>
      <c r="BO1535" s="104"/>
      <c r="BP1535" s="104"/>
      <c r="BQ1535" s="104"/>
      <c r="BR1535" s="104"/>
      <c r="BS1535" s="104"/>
      <c r="BT1535" s="104"/>
      <c r="BU1535" s="104"/>
      <c r="BV1535" s="104"/>
      <c r="BW1535" s="104"/>
      <c r="BX1535" s="104"/>
      <c r="BY1535" s="104"/>
      <c r="BZ1535" s="104"/>
      <c r="CA1535" s="358"/>
    </row>
    <row r="1536" spans="1:79" s="102" customFormat="1" ht="41.4" customHeight="1" x14ac:dyDescent="0.3">
      <c r="A1536" s="259" t="s">
        <v>1641</v>
      </c>
      <c r="B1536" s="243" t="s">
        <v>3222</v>
      </c>
      <c r="C1536" s="244" t="s">
        <v>3583</v>
      </c>
      <c r="D1536" s="259" t="s">
        <v>34</v>
      </c>
      <c r="E1536" s="259" t="s">
        <v>3224</v>
      </c>
      <c r="F1536" s="260" t="s">
        <v>35</v>
      </c>
      <c r="G1536" s="259">
        <v>9</v>
      </c>
      <c r="H1536" s="70">
        <v>182000</v>
      </c>
      <c r="I1536" s="261" t="s">
        <v>36</v>
      </c>
      <c r="J1536" s="70">
        <v>182000</v>
      </c>
      <c r="K1536" s="1696">
        <v>0</v>
      </c>
      <c r="L1536" s="1696">
        <v>0</v>
      </c>
      <c r="M1536" s="263" t="s">
        <v>84</v>
      </c>
      <c r="N1536" s="263" t="s">
        <v>55</v>
      </c>
      <c r="O1536" s="263" t="s">
        <v>3584</v>
      </c>
      <c r="P1536" s="263" t="s">
        <v>41</v>
      </c>
      <c r="Q1536" s="262" t="s">
        <v>3582</v>
      </c>
      <c r="R1536" s="263" t="s">
        <v>41</v>
      </c>
      <c r="S1536" s="262" t="s">
        <v>3582</v>
      </c>
      <c r="T1536" s="263" t="s">
        <v>40</v>
      </c>
      <c r="U1536" s="262"/>
      <c r="V1536" s="263" t="s">
        <v>40</v>
      </c>
      <c r="W1536" s="262"/>
      <c r="X1536" s="263" t="s">
        <v>40</v>
      </c>
      <c r="Y1536" s="262"/>
      <c r="Z1536" s="263" t="s">
        <v>40</v>
      </c>
      <c r="AA1536" s="262"/>
      <c r="AB1536" s="263" t="s">
        <v>40</v>
      </c>
      <c r="AC1536" s="262"/>
      <c r="AD1536" s="262"/>
      <c r="AE1536" s="262">
        <v>46203</v>
      </c>
      <c r="AF1536" s="263" t="s">
        <v>65</v>
      </c>
      <c r="AG1536" s="270">
        <v>2026</v>
      </c>
      <c r="AH1536" s="261">
        <f t="shared" si="52"/>
        <v>0</v>
      </c>
      <c r="AI1536" s="261"/>
      <c r="AJ1536" s="261"/>
      <c r="AK1536" s="260" t="s">
        <v>43</v>
      </c>
      <c r="AL1536" s="259" t="s">
        <v>41</v>
      </c>
      <c r="AM1536" s="266">
        <v>0</v>
      </c>
      <c r="AN1536" s="67"/>
      <c r="AO1536" s="243"/>
      <c r="AP1536" s="357"/>
      <c r="AQ1536" s="104"/>
      <c r="AR1536" s="104"/>
      <c r="AS1536" s="104"/>
      <c r="AT1536" s="104"/>
      <c r="AU1536" s="104"/>
      <c r="AV1536" s="104"/>
      <c r="AW1536" s="104"/>
      <c r="AX1536" s="104"/>
      <c r="AY1536" s="104"/>
      <c r="AZ1536" s="104"/>
      <c r="BA1536" s="104"/>
      <c r="BB1536" s="104"/>
      <c r="BC1536" s="104"/>
      <c r="BD1536" s="104"/>
      <c r="BE1536" s="104"/>
      <c r="BF1536" s="104"/>
      <c r="BG1536" s="104"/>
      <c r="BH1536" s="104"/>
      <c r="BI1536" s="104"/>
      <c r="BJ1536" s="104"/>
      <c r="BK1536" s="104"/>
      <c r="BL1536" s="104"/>
      <c r="BM1536" s="104"/>
      <c r="BN1536" s="104"/>
      <c r="BO1536" s="104"/>
      <c r="BP1536" s="104"/>
      <c r="BQ1536" s="104"/>
      <c r="BR1536" s="104"/>
      <c r="BS1536" s="104"/>
      <c r="BT1536" s="104"/>
      <c r="BU1536" s="104"/>
      <c r="BV1536" s="104"/>
      <c r="BW1536" s="104"/>
      <c r="BX1536" s="104"/>
      <c r="BY1536" s="104"/>
      <c r="BZ1536" s="104"/>
      <c r="CA1536" s="358"/>
    </row>
    <row r="1537" spans="1:129" s="102" customFormat="1" ht="41.4" customHeight="1" x14ac:dyDescent="0.3">
      <c r="A1537" s="243" t="s">
        <v>1641</v>
      </c>
      <c r="B1537" s="243" t="s">
        <v>3222</v>
      </c>
      <c r="C1537" s="244" t="s">
        <v>3585</v>
      </c>
      <c r="D1537" s="243" t="s">
        <v>34</v>
      </c>
      <c r="E1537" s="243" t="s">
        <v>3224</v>
      </c>
      <c r="F1537" s="252" t="s">
        <v>35</v>
      </c>
      <c r="G1537" s="243">
        <v>25</v>
      </c>
      <c r="H1537" s="245">
        <v>350000</v>
      </c>
      <c r="I1537" s="246" t="s">
        <v>36</v>
      </c>
      <c r="J1537" s="245">
        <v>350000</v>
      </c>
      <c r="K1537" s="1695">
        <v>0</v>
      </c>
      <c r="L1537" s="1695">
        <v>0</v>
      </c>
      <c r="M1537" s="247" t="s">
        <v>303</v>
      </c>
      <c r="N1537" s="247" t="s">
        <v>3073</v>
      </c>
      <c r="O1537" s="247" t="s">
        <v>3074</v>
      </c>
      <c r="P1537" s="247" t="s">
        <v>40</v>
      </c>
      <c r="Q1537" s="248"/>
      <c r="R1537" s="247" t="s">
        <v>40</v>
      </c>
      <c r="S1537" s="248"/>
      <c r="T1537" s="247" t="s">
        <v>40</v>
      </c>
      <c r="U1537" s="248"/>
      <c r="V1537" s="247" t="s">
        <v>40</v>
      </c>
      <c r="W1537" s="248"/>
      <c r="X1537" s="247" t="s">
        <v>40</v>
      </c>
      <c r="Y1537" s="248"/>
      <c r="Z1537" s="247" t="s">
        <v>40</v>
      </c>
      <c r="AA1537" s="248"/>
      <c r="AB1537" s="247" t="s">
        <v>40</v>
      </c>
      <c r="AC1537" s="248"/>
      <c r="AD1537" s="248"/>
      <c r="AE1537" s="248">
        <v>46203</v>
      </c>
      <c r="AF1537" s="247" t="s">
        <v>65</v>
      </c>
      <c r="AG1537" s="249">
        <v>2026</v>
      </c>
      <c r="AH1537" s="246">
        <f t="shared" si="52"/>
        <v>0</v>
      </c>
      <c r="AI1537" s="246"/>
      <c r="AJ1537" s="246"/>
      <c r="AK1537" s="252" t="s">
        <v>43</v>
      </c>
      <c r="AL1537" s="243" t="s">
        <v>41</v>
      </c>
      <c r="AM1537" s="250">
        <v>0</v>
      </c>
      <c r="AN1537" s="281"/>
      <c r="AO1537" s="243"/>
      <c r="AP1537" s="357"/>
      <c r="AQ1537" s="104"/>
      <c r="AR1537" s="104"/>
      <c r="AS1537" s="104"/>
      <c r="AT1537" s="104"/>
      <c r="AU1537" s="104"/>
      <c r="AV1537" s="104"/>
      <c r="AW1537" s="104"/>
      <c r="AX1537" s="104"/>
      <c r="AY1537" s="104"/>
      <c r="AZ1537" s="104"/>
      <c r="BA1537" s="104"/>
      <c r="BB1537" s="104"/>
      <c r="BC1537" s="104"/>
      <c r="BD1537" s="104"/>
      <c r="BE1537" s="104"/>
      <c r="BF1537" s="104"/>
      <c r="BG1537" s="104"/>
      <c r="BH1537" s="104"/>
      <c r="BI1537" s="104"/>
      <c r="BJ1537" s="104"/>
      <c r="BK1537" s="104"/>
      <c r="BL1537" s="104"/>
      <c r="BM1537" s="104"/>
      <c r="BN1537" s="104"/>
      <c r="BO1537" s="104"/>
      <c r="BP1537" s="104"/>
      <c r="BQ1537" s="104"/>
      <c r="BR1537" s="104"/>
      <c r="BS1537" s="104"/>
      <c r="BT1537" s="104"/>
      <c r="BU1537" s="104"/>
      <c r="BV1537" s="104"/>
      <c r="BW1537" s="104"/>
      <c r="BX1537" s="104"/>
      <c r="BY1537" s="104"/>
      <c r="BZ1537" s="104"/>
      <c r="CA1537" s="358"/>
    </row>
    <row r="1538" spans="1:129" s="102" customFormat="1" ht="41.4" customHeight="1" x14ac:dyDescent="0.3">
      <c r="A1538" s="243" t="s">
        <v>1641</v>
      </c>
      <c r="B1538" s="243" t="s">
        <v>3222</v>
      </c>
      <c r="C1538" s="244" t="s">
        <v>3586</v>
      </c>
      <c r="D1538" s="243" t="s">
        <v>34</v>
      </c>
      <c r="E1538" s="243" t="s">
        <v>3224</v>
      </c>
      <c r="F1538" s="252" t="s">
        <v>35</v>
      </c>
      <c r="G1538" s="243">
        <v>50</v>
      </c>
      <c r="H1538" s="245">
        <v>1015000</v>
      </c>
      <c r="I1538" s="246" t="s">
        <v>36</v>
      </c>
      <c r="J1538" s="245">
        <v>1015000</v>
      </c>
      <c r="K1538" s="1695">
        <v>0</v>
      </c>
      <c r="L1538" s="1695">
        <v>0</v>
      </c>
      <c r="M1538" s="247" t="s">
        <v>54</v>
      </c>
      <c r="N1538" s="247" t="s">
        <v>3587</v>
      </c>
      <c r="O1538" s="247" t="s">
        <v>3588</v>
      </c>
      <c r="P1538" s="247" t="s">
        <v>41</v>
      </c>
      <c r="Q1538" s="248" t="s">
        <v>3582</v>
      </c>
      <c r="R1538" s="247" t="s">
        <v>41</v>
      </c>
      <c r="S1538" s="248" t="s">
        <v>3582</v>
      </c>
      <c r="T1538" s="247" t="s">
        <v>40</v>
      </c>
      <c r="U1538" s="248"/>
      <c r="V1538" s="247" t="s">
        <v>40</v>
      </c>
      <c r="W1538" s="248"/>
      <c r="X1538" s="247" t="s">
        <v>40</v>
      </c>
      <c r="Y1538" s="248"/>
      <c r="Z1538" s="247" t="s">
        <v>40</v>
      </c>
      <c r="AA1538" s="248"/>
      <c r="AB1538" s="247" t="s">
        <v>40</v>
      </c>
      <c r="AC1538" s="248"/>
      <c r="AD1538" s="248"/>
      <c r="AE1538" s="248">
        <v>46203</v>
      </c>
      <c r="AF1538" s="247" t="s">
        <v>65</v>
      </c>
      <c r="AG1538" s="249">
        <v>2026</v>
      </c>
      <c r="AI1538" s="246"/>
      <c r="AJ1538" s="246"/>
      <c r="AK1538" s="252" t="s">
        <v>43</v>
      </c>
      <c r="AL1538" s="243" t="s">
        <v>41</v>
      </c>
      <c r="AM1538" s="250">
        <v>0</v>
      </c>
      <c r="AN1538" s="281"/>
      <c r="AO1538" s="243"/>
      <c r="AP1538" s="357"/>
      <c r="AQ1538" s="104"/>
      <c r="AR1538" s="104"/>
      <c r="AS1538" s="104"/>
      <c r="AT1538" s="104"/>
      <c r="AU1538" s="104"/>
      <c r="AV1538" s="104"/>
      <c r="AW1538" s="104"/>
      <c r="AX1538" s="104"/>
      <c r="AY1538" s="104"/>
      <c r="AZ1538" s="104"/>
      <c r="BA1538" s="104"/>
      <c r="BB1538" s="104"/>
      <c r="BC1538" s="104"/>
      <c r="BD1538" s="104"/>
      <c r="BE1538" s="104"/>
      <c r="BF1538" s="104"/>
      <c r="BG1538" s="104"/>
      <c r="BH1538" s="104"/>
      <c r="BI1538" s="104"/>
      <c r="BJ1538" s="104"/>
      <c r="BK1538" s="104"/>
      <c r="BL1538" s="104"/>
      <c r="BM1538" s="104"/>
      <c r="BN1538" s="104"/>
      <c r="BO1538" s="104"/>
      <c r="BP1538" s="104"/>
      <c r="BQ1538" s="104"/>
      <c r="BR1538" s="104"/>
      <c r="BS1538" s="104"/>
      <c r="BT1538" s="104"/>
      <c r="BU1538" s="104"/>
      <c r="BV1538" s="104"/>
      <c r="BW1538" s="104"/>
      <c r="BX1538" s="104"/>
      <c r="BY1538" s="104"/>
      <c r="BZ1538" s="104"/>
      <c r="CA1538" s="358"/>
    </row>
    <row r="1539" spans="1:129" s="102" customFormat="1" ht="41.4" customHeight="1" x14ac:dyDescent="0.3">
      <c r="A1539" s="243" t="s">
        <v>1641</v>
      </c>
      <c r="B1539" s="243" t="s">
        <v>3222</v>
      </c>
      <c r="C1539" s="244" t="s">
        <v>3589</v>
      </c>
      <c r="D1539" s="243" t="s">
        <v>34</v>
      </c>
      <c r="E1539" s="243" t="s">
        <v>3224</v>
      </c>
      <c r="F1539" s="252" t="s">
        <v>35</v>
      </c>
      <c r="G1539" s="243">
        <v>200</v>
      </c>
      <c r="H1539" s="245">
        <v>4070000</v>
      </c>
      <c r="I1539" s="246" t="s">
        <v>36</v>
      </c>
      <c r="J1539" s="245">
        <v>4070000</v>
      </c>
      <c r="K1539" s="1695">
        <v>0</v>
      </c>
      <c r="L1539" s="1695">
        <v>0</v>
      </c>
      <c r="M1539" s="247" t="s">
        <v>54</v>
      </c>
      <c r="N1539" s="247" t="s">
        <v>2012</v>
      </c>
      <c r="O1539" s="247" t="s">
        <v>3590</v>
      </c>
      <c r="P1539" s="247" t="s">
        <v>41</v>
      </c>
      <c r="Q1539" s="248" t="s">
        <v>3582</v>
      </c>
      <c r="R1539" s="247" t="s">
        <v>41</v>
      </c>
      <c r="S1539" s="248" t="s">
        <v>3582</v>
      </c>
      <c r="T1539" s="247" t="s">
        <v>40</v>
      </c>
      <c r="U1539" s="248"/>
      <c r="V1539" s="247" t="s">
        <v>40</v>
      </c>
      <c r="W1539" s="248"/>
      <c r="X1539" s="247" t="s">
        <v>40</v>
      </c>
      <c r="Y1539" s="248"/>
      <c r="Z1539" s="247" t="s">
        <v>40</v>
      </c>
      <c r="AA1539" s="248"/>
      <c r="AB1539" s="247" t="s">
        <v>40</v>
      </c>
      <c r="AC1539" s="248"/>
      <c r="AD1539" s="248"/>
      <c r="AE1539" s="248">
        <v>46203</v>
      </c>
      <c r="AF1539" s="247" t="s">
        <v>65</v>
      </c>
      <c r="AG1539" s="249">
        <v>2026</v>
      </c>
      <c r="AH1539" s="246">
        <f t="shared" si="52"/>
        <v>0</v>
      </c>
      <c r="AI1539" s="246"/>
      <c r="AJ1539" s="246"/>
      <c r="AK1539" s="252" t="s">
        <v>43</v>
      </c>
      <c r="AL1539" s="243" t="s">
        <v>41</v>
      </c>
      <c r="AM1539" s="250">
        <v>0</v>
      </c>
      <c r="AN1539" s="281"/>
      <c r="AO1539" s="243"/>
      <c r="AP1539" s="357"/>
      <c r="AQ1539" s="104"/>
      <c r="AR1539" s="104"/>
      <c r="AS1539" s="104"/>
      <c r="AT1539" s="104"/>
      <c r="AU1539" s="104"/>
      <c r="AV1539" s="104"/>
      <c r="AW1539" s="104"/>
      <c r="AX1539" s="104"/>
      <c r="AY1539" s="104"/>
      <c r="AZ1539" s="104"/>
      <c r="BA1539" s="104"/>
      <c r="BB1539" s="104"/>
      <c r="BC1539" s="104"/>
      <c r="BD1539" s="104"/>
      <c r="BE1539" s="104"/>
      <c r="BF1539" s="104"/>
      <c r="BG1539" s="104"/>
      <c r="BH1539" s="104"/>
      <c r="BI1539" s="104"/>
      <c r="BJ1539" s="104"/>
      <c r="BK1539" s="104"/>
      <c r="BL1539" s="104"/>
      <c r="BM1539" s="104"/>
      <c r="BN1539" s="104"/>
      <c r="BO1539" s="104"/>
      <c r="BP1539" s="104"/>
      <c r="BQ1539" s="104"/>
      <c r="BR1539" s="104"/>
      <c r="BS1539" s="104"/>
      <c r="BT1539" s="104"/>
      <c r="BU1539" s="104"/>
      <c r="BV1539" s="104"/>
      <c r="BW1539" s="104"/>
      <c r="BX1539" s="104"/>
      <c r="BY1539" s="104"/>
      <c r="BZ1539" s="104"/>
      <c r="CA1539" s="358"/>
    </row>
    <row r="1540" spans="1:129" s="102" customFormat="1" ht="41.4" customHeight="1" x14ac:dyDescent="0.3">
      <c r="A1540" s="243" t="s">
        <v>1641</v>
      </c>
      <c r="B1540" s="243" t="s">
        <v>3222</v>
      </c>
      <c r="C1540" s="244" t="s">
        <v>3591</v>
      </c>
      <c r="D1540" s="243" t="s">
        <v>34</v>
      </c>
      <c r="E1540" s="243" t="s">
        <v>3224</v>
      </c>
      <c r="F1540" s="243" t="s">
        <v>35</v>
      </c>
      <c r="G1540" s="243">
        <v>275</v>
      </c>
      <c r="H1540" s="245">
        <v>5500000</v>
      </c>
      <c r="I1540" s="246" t="s">
        <v>36</v>
      </c>
      <c r="J1540" s="245">
        <v>5500000</v>
      </c>
      <c r="K1540" s="1695">
        <v>0</v>
      </c>
      <c r="L1540" s="1695">
        <v>0</v>
      </c>
      <c r="M1540" s="247" t="s">
        <v>82</v>
      </c>
      <c r="N1540" s="247" t="s">
        <v>3592</v>
      </c>
      <c r="O1540" s="247" t="s">
        <v>3593</v>
      </c>
      <c r="P1540" s="247"/>
      <c r="Q1540" s="248"/>
      <c r="R1540" s="247"/>
      <c r="S1540" s="248"/>
      <c r="T1540" s="247"/>
      <c r="U1540" s="248"/>
      <c r="V1540" s="247"/>
      <c r="W1540" s="248"/>
      <c r="X1540" s="247"/>
      <c r="Y1540" s="248"/>
      <c r="Z1540" s="247"/>
      <c r="AA1540" s="248"/>
      <c r="AB1540" s="247"/>
      <c r="AC1540" s="248"/>
      <c r="AD1540" s="248"/>
      <c r="AE1540" s="248"/>
      <c r="AF1540" s="247"/>
      <c r="AG1540" s="249"/>
      <c r="AH1540" s="246">
        <f t="shared" si="52"/>
        <v>0</v>
      </c>
      <c r="AI1540" s="246"/>
      <c r="AJ1540" s="246"/>
      <c r="AK1540" s="243"/>
      <c r="AL1540" s="243"/>
      <c r="AM1540" s="250"/>
      <c r="AN1540" s="281"/>
      <c r="AO1540" s="243"/>
      <c r="AP1540" s="357"/>
      <c r="AQ1540" s="104"/>
      <c r="AR1540" s="104"/>
      <c r="AS1540" s="104"/>
      <c r="AT1540" s="104"/>
      <c r="AU1540" s="104"/>
      <c r="AV1540" s="104"/>
      <c r="AW1540" s="104"/>
      <c r="AX1540" s="104"/>
      <c r="AY1540" s="104"/>
      <c r="AZ1540" s="104"/>
      <c r="BA1540" s="104"/>
      <c r="BB1540" s="104"/>
      <c r="BC1540" s="104"/>
      <c r="BD1540" s="104"/>
      <c r="BE1540" s="104"/>
      <c r="BF1540" s="104"/>
      <c r="BG1540" s="104"/>
      <c r="BH1540" s="104"/>
      <c r="BI1540" s="104"/>
      <c r="BJ1540" s="104"/>
      <c r="BK1540" s="104"/>
      <c r="BL1540" s="104"/>
      <c r="BM1540" s="104"/>
      <c r="BN1540" s="104"/>
      <c r="BO1540" s="104"/>
      <c r="BP1540" s="104"/>
      <c r="BQ1540" s="104"/>
      <c r="BR1540" s="104"/>
      <c r="BS1540" s="104"/>
      <c r="BT1540" s="104"/>
      <c r="BU1540" s="104"/>
      <c r="BV1540" s="104"/>
      <c r="BW1540" s="104"/>
      <c r="BX1540" s="104"/>
      <c r="BY1540" s="104"/>
      <c r="BZ1540" s="104"/>
      <c r="CA1540" s="358"/>
    </row>
    <row r="1541" spans="1:129" s="102" customFormat="1" ht="41.4" customHeight="1" x14ac:dyDescent="0.3">
      <c r="A1541" s="243" t="s">
        <v>1641</v>
      </c>
      <c r="B1541" s="243" t="s">
        <v>3222</v>
      </c>
      <c r="C1541" s="244" t="s">
        <v>3594</v>
      </c>
      <c r="D1541" s="243" t="s">
        <v>34</v>
      </c>
      <c r="E1541" s="243" t="s">
        <v>3224</v>
      </c>
      <c r="F1541" s="243" t="s">
        <v>35</v>
      </c>
      <c r="G1541" s="243">
        <v>100</v>
      </c>
      <c r="H1541" s="245">
        <v>2035000</v>
      </c>
      <c r="I1541" s="246" t="s">
        <v>36</v>
      </c>
      <c r="J1541" s="245">
        <v>2035000</v>
      </c>
      <c r="K1541" s="1695">
        <v>0</v>
      </c>
      <c r="L1541" s="1695">
        <v>0</v>
      </c>
      <c r="M1541" s="247" t="s">
        <v>290</v>
      </c>
      <c r="N1541" s="247" t="s">
        <v>1727</v>
      </c>
      <c r="O1541" s="247" t="s">
        <v>3595</v>
      </c>
      <c r="P1541" s="247"/>
      <c r="Q1541" s="248"/>
      <c r="R1541" s="247"/>
      <c r="S1541" s="248"/>
      <c r="T1541" s="247"/>
      <c r="U1541" s="248"/>
      <c r="V1541" s="247"/>
      <c r="W1541" s="248"/>
      <c r="X1541" s="247"/>
      <c r="Y1541" s="248"/>
      <c r="Z1541" s="247"/>
      <c r="AA1541" s="248"/>
      <c r="AB1541" s="247"/>
      <c r="AC1541" s="248"/>
      <c r="AD1541" s="248"/>
      <c r="AE1541" s="248"/>
      <c r="AF1541" s="247"/>
      <c r="AG1541" s="249"/>
      <c r="AH1541" s="246">
        <f t="shared" si="52"/>
        <v>0</v>
      </c>
      <c r="AI1541" s="246"/>
      <c r="AJ1541" s="246"/>
      <c r="AK1541" s="243"/>
      <c r="AL1541" s="243"/>
      <c r="AM1541" s="250"/>
      <c r="AN1541" s="281"/>
      <c r="AO1541" s="243"/>
      <c r="AP1541" s="357"/>
      <c r="AQ1541" s="104"/>
      <c r="AR1541" s="104"/>
      <c r="AS1541" s="104"/>
      <c r="AT1541" s="104"/>
      <c r="AU1541" s="104"/>
      <c r="AV1541" s="104"/>
      <c r="AW1541" s="104"/>
      <c r="AX1541" s="104"/>
      <c r="AY1541" s="104"/>
      <c r="AZ1541" s="104"/>
      <c r="BA1541" s="104"/>
      <c r="BB1541" s="104"/>
      <c r="BC1541" s="104"/>
      <c r="BD1541" s="104"/>
      <c r="BE1541" s="104"/>
      <c r="BF1541" s="104"/>
      <c r="BG1541" s="104"/>
      <c r="BH1541" s="104"/>
      <c r="BI1541" s="104"/>
      <c r="BJ1541" s="104"/>
      <c r="BK1541" s="104"/>
      <c r="BL1541" s="104"/>
      <c r="BM1541" s="104"/>
      <c r="BN1541" s="104"/>
      <c r="BO1541" s="104"/>
      <c r="BP1541" s="104"/>
      <c r="BQ1541" s="104"/>
      <c r="BR1541" s="104"/>
      <c r="BS1541" s="104"/>
      <c r="BT1541" s="104"/>
      <c r="BU1541" s="104"/>
      <c r="BV1541" s="104"/>
      <c r="BW1541" s="104"/>
      <c r="BX1541" s="104"/>
      <c r="BY1541" s="104"/>
      <c r="BZ1541" s="104"/>
      <c r="CA1541" s="358"/>
    </row>
    <row r="1542" spans="1:129" s="102" customFormat="1" ht="41.4" customHeight="1" x14ac:dyDescent="0.3">
      <c r="A1542" s="243" t="s">
        <v>1641</v>
      </c>
      <c r="B1542" s="243" t="s">
        <v>3222</v>
      </c>
      <c r="C1542" s="244" t="s">
        <v>3596</v>
      </c>
      <c r="D1542" s="243" t="s">
        <v>34</v>
      </c>
      <c r="E1542" s="243" t="s">
        <v>3224</v>
      </c>
      <c r="F1542" s="243" t="s">
        <v>35</v>
      </c>
      <c r="G1542" s="243">
        <v>50</v>
      </c>
      <c r="H1542" s="245">
        <v>1015000</v>
      </c>
      <c r="I1542" s="246" t="s">
        <v>36</v>
      </c>
      <c r="J1542" s="245">
        <v>1015000</v>
      </c>
      <c r="K1542" s="1695">
        <v>0</v>
      </c>
      <c r="L1542" s="1695">
        <v>0</v>
      </c>
      <c r="M1542" s="247" t="s">
        <v>412</v>
      </c>
      <c r="N1542" s="247" t="s">
        <v>3597</v>
      </c>
      <c r="O1542" s="247" t="s">
        <v>3598</v>
      </c>
      <c r="P1542" s="247"/>
      <c r="Q1542" s="248"/>
      <c r="R1542" s="247"/>
      <c r="S1542" s="248"/>
      <c r="T1542" s="247"/>
      <c r="U1542" s="248"/>
      <c r="V1542" s="247"/>
      <c r="W1542" s="248"/>
      <c r="X1542" s="247"/>
      <c r="Y1542" s="248"/>
      <c r="Z1542" s="247"/>
      <c r="AA1542" s="248"/>
      <c r="AB1542" s="247"/>
      <c r="AC1542" s="248"/>
      <c r="AD1542" s="248"/>
      <c r="AE1542" s="248"/>
      <c r="AF1542" s="247"/>
      <c r="AG1542" s="249"/>
      <c r="AH1542" s="246">
        <f t="shared" si="52"/>
        <v>0</v>
      </c>
      <c r="AI1542" s="246"/>
      <c r="AJ1542" s="246"/>
      <c r="AK1542" s="243"/>
      <c r="AL1542" s="243"/>
      <c r="AM1542" s="250"/>
      <c r="AN1542" s="281"/>
      <c r="AO1542" s="243"/>
      <c r="AP1542" s="357"/>
      <c r="AQ1542" s="104"/>
      <c r="AR1542" s="104"/>
      <c r="AS1542" s="104"/>
      <c r="AT1542" s="104"/>
      <c r="AU1542" s="104"/>
      <c r="AV1542" s="104"/>
      <c r="AW1542" s="104"/>
      <c r="AX1542" s="104"/>
      <c r="AY1542" s="104"/>
      <c r="AZ1542" s="104"/>
      <c r="BA1542" s="104"/>
      <c r="BB1542" s="104"/>
      <c r="BC1542" s="104"/>
      <c r="BD1542" s="104"/>
      <c r="BE1542" s="104"/>
      <c r="BF1542" s="104"/>
      <c r="BG1542" s="104"/>
      <c r="BH1542" s="104"/>
      <c r="BI1542" s="104"/>
      <c r="BJ1542" s="104"/>
      <c r="BK1542" s="104"/>
      <c r="BL1542" s="104"/>
      <c r="BM1542" s="104"/>
      <c r="BN1542" s="104"/>
      <c r="BO1542" s="104"/>
      <c r="BP1542" s="104"/>
      <c r="BQ1542" s="104"/>
      <c r="BR1542" s="104"/>
      <c r="BS1542" s="104"/>
      <c r="BT1542" s="104"/>
      <c r="BU1542" s="104"/>
      <c r="BV1542" s="104"/>
      <c r="BW1542" s="104"/>
      <c r="BX1542" s="104"/>
      <c r="BY1542" s="104"/>
      <c r="BZ1542" s="104"/>
      <c r="CA1542" s="358"/>
    </row>
    <row r="1543" spans="1:129" s="102" customFormat="1" ht="41.4" customHeight="1" x14ac:dyDescent="0.3">
      <c r="A1543" s="243" t="s">
        <v>1641</v>
      </c>
      <c r="B1543" s="243" t="s">
        <v>3222</v>
      </c>
      <c r="C1543" s="244" t="s">
        <v>3599</v>
      </c>
      <c r="D1543" s="243" t="s">
        <v>34</v>
      </c>
      <c r="E1543" s="243" t="s">
        <v>3224</v>
      </c>
      <c r="F1543" s="243" t="s">
        <v>35</v>
      </c>
      <c r="G1543" s="243">
        <v>10</v>
      </c>
      <c r="H1543" s="245">
        <v>212000</v>
      </c>
      <c r="I1543" s="246" t="s">
        <v>36</v>
      </c>
      <c r="J1543" s="245">
        <v>212000</v>
      </c>
      <c r="K1543" s="1695">
        <v>0</v>
      </c>
      <c r="L1543" s="1695">
        <v>0</v>
      </c>
      <c r="M1543" s="247" t="s">
        <v>76</v>
      </c>
      <c r="N1543" s="247" t="s">
        <v>2006</v>
      </c>
      <c r="O1543" s="247" t="s">
        <v>3600</v>
      </c>
      <c r="P1543" s="247"/>
      <c r="Q1543" s="248"/>
      <c r="R1543" s="247"/>
      <c r="S1543" s="248"/>
      <c r="T1543" s="247"/>
      <c r="U1543" s="248"/>
      <c r="V1543" s="247"/>
      <c r="W1543" s="248"/>
      <c r="X1543" s="247"/>
      <c r="Y1543" s="248"/>
      <c r="Z1543" s="247"/>
      <c r="AA1543" s="248"/>
      <c r="AB1543" s="247"/>
      <c r="AC1543" s="248"/>
      <c r="AD1543" s="248"/>
      <c r="AE1543" s="248"/>
      <c r="AF1543" s="247"/>
      <c r="AG1543" s="249"/>
      <c r="AH1543" s="246">
        <f t="shared" si="52"/>
        <v>0</v>
      </c>
      <c r="AI1543" s="246"/>
      <c r="AJ1543" s="246"/>
      <c r="AK1543" s="243"/>
      <c r="AL1543" s="243"/>
      <c r="AM1543" s="250"/>
      <c r="AN1543" s="281"/>
      <c r="AO1543" s="243"/>
      <c r="AP1543" s="357"/>
      <c r="AQ1543" s="104"/>
      <c r="AR1543" s="104"/>
      <c r="AS1543" s="104"/>
      <c r="AT1543" s="104"/>
      <c r="AU1543" s="104"/>
      <c r="AV1543" s="104"/>
      <c r="AW1543" s="104"/>
      <c r="AX1543" s="104"/>
      <c r="AY1543" s="104"/>
      <c r="AZ1543" s="104"/>
      <c r="BA1543" s="104"/>
      <c r="BB1543" s="104"/>
      <c r="BC1543" s="104"/>
      <c r="BD1543" s="104"/>
      <c r="BE1543" s="104"/>
      <c r="BF1543" s="104"/>
      <c r="BG1543" s="104"/>
      <c r="BH1543" s="104"/>
      <c r="BI1543" s="104"/>
      <c r="BJ1543" s="104"/>
      <c r="BK1543" s="104"/>
      <c r="BL1543" s="104"/>
      <c r="BM1543" s="104"/>
      <c r="BN1543" s="104"/>
      <c r="BO1543" s="104"/>
      <c r="BP1543" s="104"/>
      <c r="BQ1543" s="104"/>
      <c r="BR1543" s="104"/>
      <c r="BS1543" s="104"/>
      <c r="BT1543" s="104"/>
      <c r="BU1543" s="104"/>
      <c r="BV1543" s="104"/>
      <c r="BW1543" s="104"/>
      <c r="BX1543" s="104"/>
      <c r="BY1543" s="104"/>
      <c r="BZ1543" s="104"/>
      <c r="CA1543" s="358"/>
    </row>
    <row r="1544" spans="1:129" s="102" customFormat="1" ht="41.4" customHeight="1" x14ac:dyDescent="0.3">
      <c r="A1544" s="243" t="s">
        <v>1641</v>
      </c>
      <c r="B1544" s="243" t="s">
        <v>3222</v>
      </c>
      <c r="C1544" s="244" t="s">
        <v>3601</v>
      </c>
      <c r="D1544" s="243" t="s">
        <v>34</v>
      </c>
      <c r="E1544" s="243" t="s">
        <v>3224</v>
      </c>
      <c r="F1544" s="243" t="s">
        <v>35</v>
      </c>
      <c r="G1544" s="243">
        <v>13</v>
      </c>
      <c r="H1544" s="245">
        <v>247000</v>
      </c>
      <c r="I1544" s="246" t="s">
        <v>36</v>
      </c>
      <c r="J1544" s="245">
        <v>247000</v>
      </c>
      <c r="K1544" s="1695">
        <v>0</v>
      </c>
      <c r="L1544" s="1695">
        <v>0</v>
      </c>
      <c r="M1544" s="247" t="s">
        <v>1208</v>
      </c>
      <c r="N1544" s="247" t="s">
        <v>2068</v>
      </c>
      <c r="O1544" s="247" t="s">
        <v>3602</v>
      </c>
      <c r="P1544" s="247"/>
      <c r="Q1544" s="248"/>
      <c r="R1544" s="247"/>
      <c r="S1544" s="248"/>
      <c r="T1544" s="247"/>
      <c r="U1544" s="248"/>
      <c r="V1544" s="247"/>
      <c r="W1544" s="248"/>
      <c r="X1544" s="247"/>
      <c r="Y1544" s="248"/>
      <c r="Z1544" s="247"/>
      <c r="AA1544" s="248"/>
      <c r="AB1544" s="247"/>
      <c r="AC1544" s="248"/>
      <c r="AD1544" s="248"/>
      <c r="AE1544" s="248"/>
      <c r="AF1544" s="247"/>
      <c r="AG1544" s="249"/>
      <c r="AH1544" s="246">
        <f t="shared" si="52"/>
        <v>0</v>
      </c>
      <c r="AI1544" s="246"/>
      <c r="AJ1544" s="246"/>
      <c r="AK1544" s="243"/>
      <c r="AL1544" s="243"/>
      <c r="AM1544" s="250"/>
      <c r="AN1544" s="281"/>
      <c r="AO1544" s="243"/>
      <c r="AP1544" s="357"/>
      <c r="AQ1544" s="104"/>
      <c r="AR1544" s="104"/>
      <c r="AS1544" s="104"/>
      <c r="AT1544" s="104"/>
      <c r="AU1544" s="104"/>
      <c r="AV1544" s="104"/>
      <c r="AW1544" s="104"/>
      <c r="AX1544" s="104"/>
      <c r="AY1544" s="104"/>
      <c r="AZ1544" s="104"/>
      <c r="BA1544" s="104"/>
      <c r="BB1544" s="104"/>
      <c r="BC1544" s="104"/>
      <c r="BD1544" s="104"/>
      <c r="BE1544" s="104"/>
      <c r="BF1544" s="104"/>
      <c r="BG1544" s="104"/>
      <c r="BH1544" s="104"/>
      <c r="BI1544" s="104"/>
      <c r="BJ1544" s="104"/>
      <c r="BK1544" s="104"/>
      <c r="BL1544" s="104"/>
      <c r="BM1544" s="104"/>
      <c r="BN1544" s="104"/>
      <c r="BO1544" s="104"/>
      <c r="BP1544" s="104"/>
      <c r="BQ1544" s="104"/>
      <c r="BR1544" s="104"/>
      <c r="BS1544" s="104"/>
      <c r="BT1544" s="104"/>
      <c r="BU1544" s="104"/>
      <c r="BV1544" s="104"/>
      <c r="BW1544" s="104"/>
      <c r="BX1544" s="104"/>
      <c r="BY1544" s="104"/>
      <c r="BZ1544" s="104"/>
      <c r="CA1544" s="358"/>
    </row>
    <row r="1545" spans="1:129" s="102" customFormat="1" ht="41.4" customHeight="1" x14ac:dyDescent="0.3">
      <c r="A1545" s="243" t="s">
        <v>1641</v>
      </c>
      <c r="B1545" s="243" t="s">
        <v>3222</v>
      </c>
      <c r="C1545" s="244" t="s">
        <v>3603</v>
      </c>
      <c r="D1545" s="243" t="s">
        <v>34</v>
      </c>
      <c r="E1545" s="243" t="s">
        <v>3224</v>
      </c>
      <c r="F1545" s="243" t="s">
        <v>35</v>
      </c>
      <c r="G1545" s="243">
        <v>116</v>
      </c>
      <c r="H1545" s="245">
        <v>2824000</v>
      </c>
      <c r="I1545" s="246" t="s">
        <v>36</v>
      </c>
      <c r="J1545" s="245">
        <v>2824000</v>
      </c>
      <c r="K1545" s="1695">
        <v>0</v>
      </c>
      <c r="L1545" s="1695">
        <v>0</v>
      </c>
      <c r="M1545" s="247" t="s">
        <v>151</v>
      </c>
      <c r="N1545" s="247" t="s">
        <v>2931</v>
      </c>
      <c r="O1545" s="247" t="s">
        <v>2932</v>
      </c>
      <c r="P1545" s="247"/>
      <c r="Q1545" s="248"/>
      <c r="R1545" s="247"/>
      <c r="S1545" s="248"/>
      <c r="T1545" s="247"/>
      <c r="U1545" s="248"/>
      <c r="V1545" s="247"/>
      <c r="W1545" s="248"/>
      <c r="X1545" s="247"/>
      <c r="Y1545" s="248"/>
      <c r="Z1545" s="247"/>
      <c r="AA1545" s="248"/>
      <c r="AB1545" s="247"/>
      <c r="AC1545" s="248"/>
      <c r="AD1545" s="248"/>
      <c r="AE1545" s="248"/>
      <c r="AF1545" s="247"/>
      <c r="AG1545" s="249"/>
      <c r="AH1545" s="246">
        <f t="shared" si="52"/>
        <v>0</v>
      </c>
      <c r="AI1545" s="246"/>
      <c r="AJ1545" s="246"/>
      <c r="AK1545" s="243"/>
      <c r="AL1545" s="243"/>
      <c r="AM1545" s="250"/>
      <c r="AN1545" s="281"/>
      <c r="AO1545" s="243"/>
      <c r="AP1545" s="357"/>
      <c r="AQ1545" s="104"/>
      <c r="AR1545" s="104"/>
      <c r="AS1545" s="104"/>
      <c r="AT1545" s="104"/>
      <c r="AU1545" s="104"/>
      <c r="AV1545" s="104"/>
      <c r="AW1545" s="104"/>
      <c r="AX1545" s="104"/>
      <c r="AY1545" s="104"/>
      <c r="AZ1545" s="104"/>
      <c r="BA1545" s="104"/>
      <c r="BB1545" s="104"/>
      <c r="BC1545" s="104"/>
      <c r="BD1545" s="104"/>
      <c r="BE1545" s="104"/>
      <c r="BF1545" s="104"/>
      <c r="BG1545" s="104"/>
      <c r="BH1545" s="104"/>
      <c r="BI1545" s="104"/>
      <c r="BJ1545" s="104"/>
      <c r="BK1545" s="104"/>
      <c r="BL1545" s="104"/>
      <c r="BM1545" s="104"/>
      <c r="BN1545" s="104"/>
      <c r="BO1545" s="104"/>
      <c r="BP1545" s="104"/>
      <c r="BQ1545" s="104"/>
      <c r="BR1545" s="104"/>
      <c r="BS1545" s="104"/>
      <c r="BT1545" s="104"/>
      <c r="BU1545" s="104"/>
      <c r="BV1545" s="104"/>
      <c r="BW1545" s="104"/>
      <c r="BX1545" s="104"/>
      <c r="BY1545" s="104"/>
      <c r="BZ1545" s="104"/>
      <c r="CA1545" s="358"/>
    </row>
    <row r="1546" spans="1:129" s="102" customFormat="1" ht="41.4" customHeight="1" x14ac:dyDescent="0.3">
      <c r="A1546" s="243" t="s">
        <v>1641</v>
      </c>
      <c r="B1546" s="243" t="s">
        <v>3222</v>
      </c>
      <c r="C1546" s="244" t="s">
        <v>3604</v>
      </c>
      <c r="D1546" s="243" t="s">
        <v>34</v>
      </c>
      <c r="E1546" s="243" t="s">
        <v>3224</v>
      </c>
      <c r="F1546" s="243" t="s">
        <v>35</v>
      </c>
      <c r="G1546" s="243">
        <v>15</v>
      </c>
      <c r="H1546" s="245">
        <v>210000</v>
      </c>
      <c r="I1546" s="246" t="s">
        <v>36</v>
      </c>
      <c r="J1546" s="245">
        <v>210000</v>
      </c>
      <c r="K1546" s="1695">
        <v>0</v>
      </c>
      <c r="L1546" s="1695">
        <v>0</v>
      </c>
      <c r="M1546" s="247" t="s">
        <v>57</v>
      </c>
      <c r="N1546" s="247" t="s">
        <v>3605</v>
      </c>
      <c r="O1546" s="247" t="s">
        <v>3606</v>
      </c>
      <c r="P1546" s="247"/>
      <c r="Q1546" s="248"/>
      <c r="R1546" s="247"/>
      <c r="S1546" s="248"/>
      <c r="T1546" s="247"/>
      <c r="U1546" s="248"/>
      <c r="V1546" s="247"/>
      <c r="W1546" s="248"/>
      <c r="X1546" s="247"/>
      <c r="Y1546" s="248"/>
      <c r="Z1546" s="247"/>
      <c r="AA1546" s="248"/>
      <c r="AB1546" s="247"/>
      <c r="AC1546" s="248"/>
      <c r="AD1546" s="248"/>
      <c r="AE1546" s="248"/>
      <c r="AF1546" s="247"/>
      <c r="AG1546" s="249"/>
      <c r="AH1546" s="246">
        <f t="shared" si="52"/>
        <v>0</v>
      </c>
      <c r="AI1546" s="246"/>
      <c r="AJ1546" s="246"/>
      <c r="AK1546" s="243"/>
      <c r="AL1546" s="243"/>
      <c r="AM1546" s="250"/>
      <c r="AN1546" s="281"/>
      <c r="AO1546" s="243"/>
      <c r="AP1546" s="357"/>
      <c r="AQ1546" s="104"/>
      <c r="AR1546" s="104"/>
      <c r="AS1546" s="104"/>
      <c r="AT1546" s="104"/>
      <c r="AU1546" s="104"/>
      <c r="AV1546" s="104"/>
      <c r="AW1546" s="104"/>
      <c r="AX1546" s="104"/>
      <c r="AY1546" s="104"/>
      <c r="AZ1546" s="104"/>
      <c r="BA1546" s="104"/>
      <c r="BB1546" s="104"/>
      <c r="BC1546" s="104"/>
      <c r="BD1546" s="104"/>
      <c r="BE1546" s="104"/>
      <c r="BF1546" s="104"/>
      <c r="BG1546" s="104"/>
      <c r="BH1546" s="104"/>
      <c r="BI1546" s="104"/>
      <c r="BJ1546" s="104"/>
      <c r="BK1546" s="104"/>
      <c r="BL1546" s="104"/>
      <c r="BM1546" s="104"/>
      <c r="BN1546" s="104"/>
      <c r="BO1546" s="104"/>
      <c r="BP1546" s="104"/>
      <c r="BQ1546" s="104"/>
      <c r="BR1546" s="104"/>
      <c r="BS1546" s="104"/>
      <c r="BT1546" s="104"/>
      <c r="BU1546" s="104"/>
      <c r="BV1546" s="104"/>
      <c r="BW1546" s="104"/>
      <c r="BX1546" s="104"/>
      <c r="BY1546" s="104"/>
      <c r="BZ1546" s="104"/>
      <c r="CA1546" s="358"/>
    </row>
    <row r="1547" spans="1:129" s="102" customFormat="1" ht="41.4" customHeight="1" x14ac:dyDescent="0.3">
      <c r="A1547" s="243" t="s">
        <v>1641</v>
      </c>
      <c r="B1547" s="243" t="s">
        <v>3222</v>
      </c>
      <c r="C1547" s="244" t="s">
        <v>3607</v>
      </c>
      <c r="D1547" s="243" t="s">
        <v>34</v>
      </c>
      <c r="E1547" s="243" t="s">
        <v>3224</v>
      </c>
      <c r="F1547" s="243" t="s">
        <v>35</v>
      </c>
      <c r="G1547" s="243">
        <v>27</v>
      </c>
      <c r="H1547" s="245">
        <v>575000</v>
      </c>
      <c r="I1547" s="246" t="s">
        <v>36</v>
      </c>
      <c r="J1547" s="245">
        <v>575000</v>
      </c>
      <c r="K1547" s="1695">
        <v>0</v>
      </c>
      <c r="L1547" s="1695">
        <v>0</v>
      </c>
      <c r="M1547" s="247" t="s">
        <v>60</v>
      </c>
      <c r="N1547" s="247" t="s">
        <v>3608</v>
      </c>
      <c r="O1547" s="247" t="s">
        <v>3609</v>
      </c>
      <c r="P1547" s="247"/>
      <c r="Q1547" s="248"/>
      <c r="R1547" s="247"/>
      <c r="S1547" s="248"/>
      <c r="T1547" s="247"/>
      <c r="U1547" s="248"/>
      <c r="V1547" s="247"/>
      <c r="W1547" s="248"/>
      <c r="X1547" s="247"/>
      <c r="Y1547" s="248"/>
      <c r="Z1547" s="247"/>
      <c r="AA1547" s="248"/>
      <c r="AB1547" s="247"/>
      <c r="AC1547" s="248"/>
      <c r="AD1547" s="248"/>
      <c r="AE1547" s="248"/>
      <c r="AF1547" s="247"/>
      <c r="AG1547" s="249"/>
      <c r="AH1547" s="246">
        <f t="shared" si="52"/>
        <v>0</v>
      </c>
      <c r="AI1547" s="246"/>
      <c r="AJ1547" s="246"/>
      <c r="AK1547" s="243"/>
      <c r="AL1547" s="243"/>
      <c r="AM1547" s="250"/>
      <c r="AN1547" s="281"/>
      <c r="AO1547" s="243"/>
      <c r="AP1547" s="357"/>
      <c r="AQ1547" s="104"/>
      <c r="AR1547" s="104"/>
      <c r="AS1547" s="104"/>
      <c r="AT1547" s="104"/>
      <c r="AU1547" s="104"/>
      <c r="AV1547" s="104"/>
      <c r="AW1547" s="104"/>
      <c r="AX1547" s="104"/>
      <c r="AY1547" s="104"/>
      <c r="AZ1547" s="104"/>
      <c r="BA1547" s="104"/>
      <c r="BB1547" s="104"/>
      <c r="BC1547" s="104"/>
      <c r="BD1547" s="104"/>
      <c r="BE1547" s="104"/>
      <c r="BF1547" s="104"/>
      <c r="BG1547" s="104"/>
      <c r="BH1547" s="104"/>
      <c r="BI1547" s="104"/>
      <c r="BJ1547" s="104"/>
      <c r="BK1547" s="104"/>
      <c r="BL1547" s="104"/>
      <c r="BM1547" s="104"/>
      <c r="BN1547" s="104"/>
      <c r="BO1547" s="104"/>
      <c r="BP1547" s="104"/>
      <c r="BQ1547" s="104"/>
      <c r="BR1547" s="104"/>
      <c r="BS1547" s="104"/>
      <c r="BT1547" s="104"/>
      <c r="BU1547" s="104"/>
      <c r="BV1547" s="104"/>
      <c r="BW1547" s="104"/>
      <c r="BX1547" s="104"/>
      <c r="BY1547" s="104"/>
      <c r="BZ1547" s="104"/>
      <c r="CA1547" s="358"/>
    </row>
    <row r="1548" spans="1:129" s="359" customFormat="1" ht="41.4" customHeight="1" x14ac:dyDescent="0.3">
      <c r="A1548" s="243" t="s">
        <v>1641</v>
      </c>
      <c r="B1548" s="243" t="s">
        <v>3222</v>
      </c>
      <c r="C1548" s="244" t="s">
        <v>3610</v>
      </c>
      <c r="D1548" s="243" t="s">
        <v>34</v>
      </c>
      <c r="E1548" s="243" t="s">
        <v>3224</v>
      </c>
      <c r="F1548" s="243" t="s">
        <v>35</v>
      </c>
      <c r="G1548" s="243">
        <v>6</v>
      </c>
      <c r="H1548" s="245">
        <v>114000</v>
      </c>
      <c r="I1548" s="246" t="s">
        <v>36</v>
      </c>
      <c r="J1548" s="245">
        <v>114000</v>
      </c>
      <c r="K1548" s="1695">
        <v>0</v>
      </c>
      <c r="L1548" s="1695">
        <v>0</v>
      </c>
      <c r="M1548" s="247" t="s">
        <v>636</v>
      </c>
      <c r="N1548" s="247" t="s">
        <v>3611</v>
      </c>
      <c r="O1548" s="247" t="s">
        <v>3612</v>
      </c>
      <c r="P1548" s="247"/>
      <c r="Q1548" s="248"/>
      <c r="R1548" s="247"/>
      <c r="S1548" s="248"/>
      <c r="T1548" s="247"/>
      <c r="U1548" s="248"/>
      <c r="V1548" s="247"/>
      <c r="W1548" s="248"/>
      <c r="X1548" s="247"/>
      <c r="Y1548" s="248"/>
      <c r="Z1548" s="247"/>
      <c r="AA1548" s="248"/>
      <c r="AB1548" s="247"/>
      <c r="AC1548" s="248"/>
      <c r="AD1548" s="248"/>
      <c r="AE1548" s="248"/>
      <c r="AF1548" s="247"/>
      <c r="AG1548" s="249"/>
      <c r="AH1548" s="246">
        <f t="shared" si="52"/>
        <v>0</v>
      </c>
      <c r="AI1548" s="246"/>
      <c r="AJ1548" s="246"/>
      <c r="AK1548" s="243"/>
      <c r="AL1548" s="243"/>
      <c r="AM1548" s="250"/>
      <c r="AN1548" s="281"/>
      <c r="AO1548" s="243"/>
      <c r="AP1548" s="357"/>
      <c r="AQ1548" s="104"/>
      <c r="AR1548" s="104"/>
      <c r="AS1548" s="104"/>
      <c r="AT1548" s="104"/>
      <c r="AU1548" s="104"/>
      <c r="AV1548" s="104"/>
      <c r="AW1548" s="104"/>
      <c r="AX1548" s="104"/>
      <c r="AY1548" s="104"/>
      <c r="AZ1548" s="104"/>
      <c r="BA1548" s="104"/>
      <c r="BB1548" s="104"/>
      <c r="BC1548" s="104"/>
      <c r="BD1548" s="104"/>
      <c r="BE1548" s="104"/>
      <c r="BF1548" s="104"/>
      <c r="BG1548" s="104"/>
      <c r="BH1548" s="104"/>
      <c r="BI1548" s="104"/>
      <c r="BJ1548" s="104"/>
      <c r="BK1548" s="104"/>
      <c r="BL1548" s="104"/>
      <c r="BM1548" s="104"/>
      <c r="BN1548" s="104"/>
      <c r="BO1548" s="104"/>
      <c r="BP1548" s="104"/>
      <c r="BQ1548" s="104"/>
      <c r="BR1548" s="104"/>
      <c r="BS1548" s="104"/>
      <c r="BT1548" s="104"/>
      <c r="BU1548" s="104"/>
      <c r="BV1548" s="104"/>
      <c r="BW1548" s="104"/>
      <c r="BX1548" s="104"/>
      <c r="BY1548" s="104"/>
      <c r="BZ1548" s="104"/>
      <c r="CA1548" s="358"/>
      <c r="CB1548" s="102"/>
      <c r="CC1548" s="102"/>
      <c r="CD1548" s="102"/>
      <c r="CE1548" s="102"/>
      <c r="CF1548" s="102"/>
      <c r="CG1548" s="102"/>
      <c r="CH1548" s="102"/>
      <c r="CI1548" s="102"/>
      <c r="CJ1548" s="102"/>
      <c r="CK1548" s="102"/>
      <c r="CL1548" s="102"/>
      <c r="CM1548" s="102"/>
      <c r="CN1548" s="102"/>
      <c r="CO1548" s="102"/>
      <c r="CP1548" s="102"/>
      <c r="CQ1548" s="102"/>
      <c r="CR1548" s="102"/>
      <c r="CS1548" s="102"/>
      <c r="CT1548" s="102"/>
      <c r="CU1548" s="102"/>
      <c r="CV1548" s="102"/>
      <c r="CW1548" s="102"/>
      <c r="CX1548" s="102"/>
      <c r="CY1548" s="102"/>
      <c r="CZ1548" s="102"/>
      <c r="DA1548" s="102"/>
      <c r="DB1548" s="102"/>
      <c r="DC1548" s="102"/>
      <c r="DD1548" s="102"/>
      <c r="DE1548" s="102"/>
      <c r="DF1548" s="102"/>
      <c r="DG1548" s="102"/>
      <c r="DH1548" s="102"/>
      <c r="DI1548" s="102"/>
      <c r="DJ1548" s="102"/>
      <c r="DK1548" s="102"/>
      <c r="DL1548" s="102"/>
      <c r="DM1548" s="102"/>
      <c r="DN1548" s="102"/>
      <c r="DO1548" s="102"/>
      <c r="DP1548" s="102"/>
      <c r="DQ1548" s="102"/>
      <c r="DR1548" s="102"/>
      <c r="DS1548" s="102"/>
      <c r="DT1548" s="102"/>
      <c r="DU1548" s="102"/>
      <c r="DV1548" s="102"/>
      <c r="DW1548" s="102"/>
      <c r="DX1548" s="102"/>
      <c r="DY1548" s="102"/>
    </row>
    <row r="1549" spans="1:129" s="365" customFormat="1" ht="41.4" customHeight="1" x14ac:dyDescent="0.3">
      <c r="A1549" s="243" t="s">
        <v>1641</v>
      </c>
      <c r="B1549" s="243" t="s">
        <v>3222</v>
      </c>
      <c r="C1549" s="244" t="s">
        <v>3613</v>
      </c>
      <c r="D1549" s="243" t="s">
        <v>34</v>
      </c>
      <c r="E1549" s="243" t="s">
        <v>3224</v>
      </c>
      <c r="F1549" s="243" t="s">
        <v>35</v>
      </c>
      <c r="G1549" s="243">
        <v>13</v>
      </c>
      <c r="H1549" s="245">
        <v>247000</v>
      </c>
      <c r="I1549" s="246" t="s">
        <v>36</v>
      </c>
      <c r="J1549" s="245">
        <v>247000</v>
      </c>
      <c r="K1549" s="1695">
        <v>0</v>
      </c>
      <c r="L1549" s="1695">
        <v>0</v>
      </c>
      <c r="M1549" s="247" t="s">
        <v>79</v>
      </c>
      <c r="N1549" s="247" t="s">
        <v>3614</v>
      </c>
      <c r="O1549" s="247" t="s">
        <v>3615</v>
      </c>
      <c r="P1549" s="247"/>
      <c r="Q1549" s="248"/>
      <c r="R1549" s="247"/>
      <c r="S1549" s="248"/>
      <c r="T1549" s="247"/>
      <c r="U1549" s="248"/>
      <c r="V1549" s="247"/>
      <c r="W1549" s="248"/>
      <c r="X1549" s="247"/>
      <c r="Y1549" s="248"/>
      <c r="Z1549" s="247"/>
      <c r="AA1549" s="248"/>
      <c r="AB1549" s="247"/>
      <c r="AC1549" s="248"/>
      <c r="AD1549" s="248"/>
      <c r="AE1549" s="248"/>
      <c r="AF1549" s="247"/>
      <c r="AG1549" s="249"/>
      <c r="AH1549" s="246">
        <f t="shared" si="52"/>
        <v>0</v>
      </c>
      <c r="AI1549" s="246"/>
      <c r="AJ1549" s="246"/>
      <c r="AK1549" s="243"/>
      <c r="AL1549" s="243"/>
      <c r="AM1549" s="250"/>
      <c r="AN1549" s="281"/>
      <c r="AO1549" s="243"/>
      <c r="AP1549" s="357"/>
      <c r="AQ1549" s="104"/>
      <c r="AR1549" s="104"/>
      <c r="AS1549" s="104"/>
      <c r="AT1549" s="104"/>
      <c r="AU1549" s="104"/>
      <c r="AV1549" s="104"/>
      <c r="AW1549" s="104"/>
      <c r="AX1549" s="104"/>
      <c r="AY1549" s="104"/>
      <c r="AZ1549" s="104"/>
      <c r="BA1549" s="104"/>
      <c r="BB1549" s="104"/>
      <c r="BC1549" s="104"/>
      <c r="BD1549" s="104"/>
      <c r="BE1549" s="104"/>
      <c r="BF1549" s="104"/>
      <c r="BG1549" s="104"/>
      <c r="BH1549" s="104"/>
      <c r="BI1549" s="104"/>
      <c r="BJ1549" s="104"/>
      <c r="BK1549" s="104"/>
      <c r="BL1549" s="104"/>
      <c r="BM1549" s="104"/>
      <c r="BN1549" s="104"/>
      <c r="BO1549" s="104"/>
      <c r="BP1549" s="104"/>
      <c r="BQ1549" s="104"/>
      <c r="BR1549" s="104"/>
      <c r="BS1549" s="104"/>
      <c r="BT1549" s="104"/>
      <c r="BU1549" s="104"/>
      <c r="BV1549" s="104"/>
      <c r="BW1549" s="104"/>
      <c r="BX1549" s="104"/>
      <c r="BY1549" s="104"/>
      <c r="BZ1549" s="104"/>
      <c r="CA1549" s="358"/>
      <c r="CB1549" s="102"/>
      <c r="CC1549" s="102"/>
      <c r="CD1549" s="102"/>
      <c r="CE1549" s="102"/>
      <c r="CF1549" s="102"/>
      <c r="CG1549" s="102"/>
      <c r="CH1549" s="102"/>
      <c r="CI1549" s="102"/>
      <c r="CJ1549" s="102"/>
      <c r="CK1549" s="102"/>
      <c r="CL1549" s="102"/>
      <c r="CM1549" s="102"/>
      <c r="CN1549" s="102"/>
      <c r="CO1549" s="102"/>
      <c r="CP1549" s="102"/>
      <c r="CQ1549" s="102"/>
      <c r="CR1549" s="102"/>
      <c r="CS1549" s="102"/>
      <c r="CT1549" s="102"/>
      <c r="CU1549" s="102"/>
      <c r="CV1549" s="102"/>
      <c r="CW1549" s="102"/>
      <c r="CX1549" s="102"/>
      <c r="CY1549" s="102"/>
      <c r="CZ1549" s="102"/>
      <c r="DA1549" s="102"/>
      <c r="DB1549" s="102"/>
      <c r="DC1549" s="102"/>
      <c r="DD1549" s="102"/>
      <c r="DE1549" s="102"/>
      <c r="DF1549" s="102"/>
      <c r="DG1549" s="102"/>
      <c r="DH1549" s="102"/>
      <c r="DI1549" s="102"/>
      <c r="DJ1549" s="102"/>
      <c r="DK1549" s="102"/>
      <c r="DL1549" s="102"/>
      <c r="DM1549" s="102"/>
      <c r="DN1549" s="102"/>
      <c r="DO1549" s="102"/>
      <c r="DP1549" s="102"/>
      <c r="DQ1549" s="102"/>
      <c r="DR1549" s="102"/>
      <c r="DS1549" s="102"/>
      <c r="DT1549" s="102"/>
      <c r="DU1549" s="102"/>
      <c r="DV1549" s="102"/>
      <c r="DW1549" s="102"/>
      <c r="DX1549" s="102"/>
      <c r="DY1549" s="102"/>
    </row>
    <row r="1550" spans="1:129" s="365" customFormat="1" ht="32.25" customHeight="1" x14ac:dyDescent="0.3">
      <c r="A1550" s="361" t="s">
        <v>1641</v>
      </c>
      <c r="B1550" s="361"/>
      <c r="C1550" s="1177" t="s">
        <v>74</v>
      </c>
      <c r="D1550" s="361"/>
      <c r="E1550" s="361"/>
      <c r="F1550" s="361"/>
      <c r="G1550" s="361"/>
      <c r="H1550" s="362">
        <f>H1381-H1382</f>
        <v>59995999.798363656</v>
      </c>
      <c r="I1550" s="361"/>
      <c r="J1550" s="362"/>
      <c r="K1550" s="1694"/>
      <c r="L1550" s="1694"/>
      <c r="M1550" s="376"/>
      <c r="N1550" s="376"/>
      <c r="O1550" s="376"/>
      <c r="P1550" s="376"/>
      <c r="Q1550" s="377"/>
      <c r="R1550" s="376"/>
      <c r="S1550" s="377"/>
      <c r="T1550" s="376"/>
      <c r="U1550" s="377"/>
      <c r="V1550" s="376"/>
      <c r="W1550" s="377"/>
      <c r="X1550" s="376"/>
      <c r="Y1550" s="377"/>
      <c r="Z1550" s="376"/>
      <c r="AA1550" s="377"/>
      <c r="AB1550" s="376"/>
      <c r="AC1550" s="377"/>
      <c r="AD1550" s="377"/>
      <c r="AE1550" s="377"/>
      <c r="AF1550" s="376"/>
      <c r="AG1550" s="1180"/>
      <c r="AH1550" s="1179"/>
      <c r="AI1550" s="1179"/>
      <c r="AJ1550" s="1179"/>
      <c r="AK1550" s="361"/>
      <c r="AL1550" s="361"/>
      <c r="AM1550" s="1181"/>
      <c r="AN1550" s="1211"/>
      <c r="AO1550" s="243"/>
      <c r="AP1550" s="357"/>
      <c r="AQ1550" s="104"/>
      <c r="AR1550" s="104"/>
      <c r="AS1550" s="104"/>
      <c r="AT1550" s="104"/>
      <c r="AU1550" s="104"/>
      <c r="AV1550" s="104"/>
      <c r="AW1550" s="104"/>
      <c r="AX1550" s="104"/>
      <c r="AY1550" s="104"/>
      <c r="AZ1550" s="104"/>
      <c r="BA1550" s="104"/>
      <c r="BB1550" s="104"/>
      <c r="BC1550" s="104"/>
      <c r="BD1550" s="104"/>
      <c r="BE1550" s="104"/>
      <c r="BF1550" s="104"/>
      <c r="BG1550" s="104"/>
      <c r="BH1550" s="104"/>
      <c r="BI1550" s="104"/>
      <c r="BJ1550" s="104"/>
      <c r="BK1550" s="104"/>
      <c r="BL1550" s="104"/>
      <c r="BM1550" s="104"/>
      <c r="BN1550" s="104"/>
      <c r="BO1550" s="104"/>
      <c r="BP1550" s="104"/>
      <c r="BQ1550" s="104"/>
      <c r="BR1550" s="104"/>
      <c r="BS1550" s="104"/>
      <c r="BT1550" s="104"/>
      <c r="BU1550" s="104"/>
      <c r="BV1550" s="104"/>
      <c r="BW1550" s="104"/>
      <c r="BX1550" s="104"/>
      <c r="BY1550" s="104"/>
      <c r="BZ1550" s="104"/>
      <c r="CA1550" s="358"/>
      <c r="CB1550" s="102"/>
      <c r="CC1550" s="102"/>
      <c r="CD1550" s="102"/>
      <c r="CE1550" s="102"/>
      <c r="CF1550" s="102"/>
      <c r="CG1550" s="102"/>
      <c r="CH1550" s="102"/>
      <c r="CI1550" s="102"/>
      <c r="CJ1550" s="102"/>
      <c r="CK1550" s="102"/>
      <c r="CL1550" s="102"/>
      <c r="CM1550" s="102"/>
      <c r="CN1550" s="102"/>
      <c r="CO1550" s="102"/>
      <c r="CP1550" s="102"/>
      <c r="CQ1550" s="102"/>
      <c r="CR1550" s="102"/>
      <c r="CS1550" s="102"/>
      <c r="CT1550" s="102"/>
      <c r="CU1550" s="102"/>
      <c r="CV1550" s="102"/>
      <c r="CW1550" s="102"/>
      <c r="CX1550" s="102"/>
      <c r="CY1550" s="102"/>
      <c r="CZ1550" s="102"/>
      <c r="DA1550" s="102"/>
      <c r="DB1550" s="102"/>
      <c r="DC1550" s="102"/>
      <c r="DD1550" s="102"/>
      <c r="DE1550" s="102"/>
      <c r="DF1550" s="102"/>
      <c r="DG1550" s="102"/>
      <c r="DH1550" s="102"/>
      <c r="DI1550" s="102"/>
      <c r="DJ1550" s="102"/>
      <c r="DK1550" s="102"/>
      <c r="DL1550" s="102"/>
      <c r="DM1550" s="102"/>
      <c r="DN1550" s="102"/>
      <c r="DO1550" s="102"/>
      <c r="DP1550" s="102"/>
      <c r="DQ1550" s="102"/>
      <c r="DR1550" s="102"/>
      <c r="DS1550" s="102"/>
      <c r="DT1550" s="102"/>
      <c r="DU1550" s="102"/>
      <c r="DV1550" s="102"/>
      <c r="DW1550" s="102"/>
      <c r="DX1550" s="102"/>
      <c r="DY1550" s="102"/>
    </row>
    <row r="1551" spans="1:129" s="102" customFormat="1" ht="39" customHeight="1" x14ac:dyDescent="0.3">
      <c r="A1551" s="360" t="s">
        <v>1641</v>
      </c>
      <c r="B1551" s="360" t="s">
        <v>3616</v>
      </c>
      <c r="C1551" s="1212" t="s">
        <v>3617</v>
      </c>
      <c r="D1551" s="360" t="s">
        <v>34</v>
      </c>
      <c r="E1551" s="360" t="s">
        <v>3618</v>
      </c>
      <c r="F1551" s="360" t="s">
        <v>35</v>
      </c>
      <c r="G1551" s="360" t="s">
        <v>3619</v>
      </c>
      <c r="H1551" s="366">
        <v>78120000</v>
      </c>
      <c r="I1551" s="360" t="s">
        <v>36</v>
      </c>
      <c r="J1551" s="366">
        <v>78120000</v>
      </c>
      <c r="K1551" s="1693">
        <f>K1552</f>
        <v>285477.995</v>
      </c>
      <c r="L1551" s="1693">
        <f>L1552</f>
        <v>285477.995</v>
      </c>
      <c r="M1551" s="237" t="s">
        <v>40</v>
      </c>
      <c r="N1551" s="237" t="s">
        <v>40</v>
      </c>
      <c r="O1551" s="237" t="s">
        <v>40</v>
      </c>
      <c r="P1551" s="237" t="s">
        <v>40</v>
      </c>
      <c r="Q1551" s="375"/>
      <c r="R1551" s="237" t="s">
        <v>40</v>
      </c>
      <c r="S1551" s="375"/>
      <c r="T1551" s="237" t="s">
        <v>40</v>
      </c>
      <c r="U1551" s="375"/>
      <c r="V1551" s="237" t="s">
        <v>40</v>
      </c>
      <c r="W1551" s="375"/>
      <c r="X1551" s="237" t="s">
        <v>40</v>
      </c>
      <c r="Y1551" s="375"/>
      <c r="Z1551" s="237" t="s">
        <v>64</v>
      </c>
      <c r="AA1551" s="375"/>
      <c r="AB1551" s="237" t="s">
        <v>41</v>
      </c>
      <c r="AC1551" s="375">
        <v>45046</v>
      </c>
      <c r="AD1551" s="375"/>
      <c r="AE1551" s="375">
        <v>46203</v>
      </c>
      <c r="AF1551" s="237" t="s">
        <v>255</v>
      </c>
      <c r="AG1551" s="238" t="s">
        <v>47</v>
      </c>
      <c r="AH1551" s="1174">
        <f>AH1552</f>
        <v>1404408.9964025</v>
      </c>
      <c r="AI1551" s="1174"/>
      <c r="AJ1551" s="1174"/>
      <c r="AK1551" s="360" t="s">
        <v>43</v>
      </c>
      <c r="AL1551" s="360" t="s">
        <v>41</v>
      </c>
      <c r="AM1551" s="1175">
        <v>0</v>
      </c>
      <c r="AN1551" s="1176" t="s">
        <v>3620</v>
      </c>
      <c r="AO1551" s="243"/>
      <c r="AP1551" s="357"/>
      <c r="AQ1551" s="104"/>
      <c r="AR1551" s="104"/>
      <c r="AS1551" s="104"/>
      <c r="AT1551" s="104"/>
      <c r="AU1551" s="104"/>
      <c r="AV1551" s="104"/>
      <c r="AW1551" s="104"/>
      <c r="AX1551" s="104"/>
      <c r="AY1551" s="104"/>
      <c r="AZ1551" s="104"/>
      <c r="BA1551" s="104"/>
      <c r="BB1551" s="104"/>
      <c r="BC1551" s="104"/>
      <c r="BD1551" s="104"/>
      <c r="BE1551" s="104"/>
      <c r="BF1551" s="104"/>
      <c r="BG1551" s="104"/>
      <c r="BH1551" s="104"/>
      <c r="BI1551" s="104"/>
      <c r="BJ1551" s="104"/>
      <c r="BK1551" s="104"/>
      <c r="BL1551" s="104"/>
      <c r="BM1551" s="104"/>
      <c r="BN1551" s="104"/>
      <c r="BO1551" s="104"/>
      <c r="BP1551" s="104"/>
      <c r="BQ1551" s="104"/>
      <c r="BR1551" s="104"/>
      <c r="BS1551" s="104"/>
      <c r="BT1551" s="104"/>
      <c r="BU1551" s="104"/>
      <c r="BV1551" s="104"/>
      <c r="BW1551" s="104"/>
      <c r="BX1551" s="104"/>
      <c r="BY1551" s="104"/>
      <c r="BZ1551" s="104"/>
      <c r="CA1551" s="358"/>
    </row>
    <row r="1552" spans="1:129" s="102" customFormat="1" ht="39" customHeight="1" x14ac:dyDescent="0.3">
      <c r="A1552" s="361" t="s">
        <v>1641</v>
      </c>
      <c r="B1552" s="361" t="s">
        <v>3616</v>
      </c>
      <c r="C1552" s="1177" t="s">
        <v>3621</v>
      </c>
      <c r="D1552" s="361" t="s">
        <v>34</v>
      </c>
      <c r="E1552" s="361" t="s">
        <v>3618</v>
      </c>
      <c r="F1552" s="361" t="s">
        <v>35</v>
      </c>
      <c r="G1552" s="361" t="s">
        <v>3622</v>
      </c>
      <c r="H1552" s="362">
        <f>SUM(H1553:H1565)</f>
        <v>72540000</v>
      </c>
      <c r="I1552" s="361"/>
      <c r="J1552" s="362">
        <f>SUM(J1553:J1565)</f>
        <v>72540000</v>
      </c>
      <c r="K1552" s="1694">
        <f>SUM(K1553:K1565)</f>
        <v>285477.995</v>
      </c>
      <c r="L1552" s="1694">
        <f>SUM(L1553:L1565)</f>
        <v>285477.995</v>
      </c>
      <c r="M1552" s="376"/>
      <c r="N1552" s="376"/>
      <c r="O1552" s="376"/>
      <c r="P1552" s="376"/>
      <c r="Q1552" s="377"/>
      <c r="R1552" s="376"/>
      <c r="S1552" s="377"/>
      <c r="T1552" s="376"/>
      <c r="U1552" s="377"/>
      <c r="V1552" s="376"/>
      <c r="W1552" s="377"/>
      <c r="X1552" s="376"/>
      <c r="Y1552" s="377"/>
      <c r="Z1552" s="376"/>
      <c r="AA1552" s="377"/>
      <c r="AB1552" s="376"/>
      <c r="AC1552" s="377"/>
      <c r="AD1552" s="377"/>
      <c r="AE1552" s="377"/>
      <c r="AF1552" s="376"/>
      <c r="AG1552" s="1180"/>
      <c r="AH1552" s="1179">
        <f>SUM(AH1553:AH1565)</f>
        <v>1404408.9964025</v>
      </c>
      <c r="AI1552" s="1179"/>
      <c r="AJ1552" s="1179"/>
      <c r="AK1552" s="361"/>
      <c r="AL1552" s="361"/>
      <c r="AM1552" s="1181"/>
      <c r="AN1552" s="1211"/>
      <c r="AO1552" s="243"/>
      <c r="AP1552" s="357"/>
      <c r="AQ1552" s="104"/>
      <c r="AR1552" s="104"/>
      <c r="AS1552" s="104"/>
      <c r="AT1552" s="104"/>
      <c r="AU1552" s="104"/>
      <c r="AV1552" s="104"/>
      <c r="AW1552" s="104"/>
      <c r="AX1552" s="104"/>
      <c r="AY1552" s="104"/>
      <c r="AZ1552" s="104"/>
      <c r="BA1552" s="104"/>
      <c r="BB1552" s="104"/>
      <c r="BC1552" s="104"/>
      <c r="BD1552" s="104"/>
      <c r="BE1552" s="104"/>
      <c r="BF1552" s="104"/>
      <c r="BG1552" s="104"/>
      <c r="BH1552" s="104"/>
      <c r="BI1552" s="104"/>
      <c r="BJ1552" s="104"/>
      <c r="BK1552" s="104"/>
      <c r="BL1552" s="104"/>
      <c r="BM1552" s="104"/>
      <c r="BN1552" s="104"/>
      <c r="BO1552" s="104"/>
      <c r="BP1552" s="104"/>
      <c r="BQ1552" s="104"/>
      <c r="BR1552" s="104"/>
      <c r="BS1552" s="104"/>
      <c r="BT1552" s="104"/>
      <c r="BU1552" s="104"/>
      <c r="BV1552" s="104"/>
      <c r="BW1552" s="104"/>
      <c r="BX1552" s="104"/>
      <c r="BY1552" s="104"/>
      <c r="BZ1552" s="104"/>
      <c r="CA1552" s="358"/>
    </row>
    <row r="1553" spans="1:129" s="102" customFormat="1" ht="37.200000000000003" customHeight="1" x14ac:dyDescent="0.3">
      <c r="A1553" s="243" t="s">
        <v>1641</v>
      </c>
      <c r="B1553" s="243" t="s">
        <v>3616</v>
      </c>
      <c r="C1553" s="244" t="s">
        <v>3623</v>
      </c>
      <c r="D1553" s="243" t="s">
        <v>34</v>
      </c>
      <c r="E1553" s="363" t="s">
        <v>3618</v>
      </c>
      <c r="F1553" s="252" t="s">
        <v>35</v>
      </c>
      <c r="G1553" s="243">
        <v>1</v>
      </c>
      <c r="H1553" s="245">
        <v>5580000</v>
      </c>
      <c r="I1553" s="243" t="s">
        <v>36</v>
      </c>
      <c r="J1553" s="245">
        <v>5580000</v>
      </c>
      <c r="K1553" s="1695">
        <v>0</v>
      </c>
      <c r="L1553" s="1695">
        <v>0</v>
      </c>
      <c r="M1553" s="247" t="s">
        <v>3592</v>
      </c>
      <c r="N1553" s="247" t="s">
        <v>3592</v>
      </c>
      <c r="O1553" s="247" t="s">
        <v>3624</v>
      </c>
      <c r="P1553" s="247" t="s">
        <v>41</v>
      </c>
      <c r="Q1553" s="248">
        <v>45157</v>
      </c>
      <c r="R1553" s="247" t="s">
        <v>40</v>
      </c>
      <c r="S1553" s="248">
        <v>45157</v>
      </c>
      <c r="T1553" s="247" t="s">
        <v>40</v>
      </c>
      <c r="U1553" s="248"/>
      <c r="V1553" s="247" t="s">
        <v>40</v>
      </c>
      <c r="W1553" s="248"/>
      <c r="X1553" s="247" t="s">
        <v>40</v>
      </c>
      <c r="Y1553" s="248"/>
      <c r="Z1553" s="247" t="s">
        <v>64</v>
      </c>
      <c r="AA1553" s="248"/>
      <c r="AB1553" s="247" t="s">
        <v>41</v>
      </c>
      <c r="AC1553" s="248">
        <v>45046</v>
      </c>
      <c r="AD1553" s="248"/>
      <c r="AE1553" s="248">
        <v>45657</v>
      </c>
      <c r="AF1553" s="247" t="s">
        <v>65</v>
      </c>
      <c r="AG1553" s="249">
        <v>2026</v>
      </c>
      <c r="AH1553" s="246">
        <f t="shared" ref="AH1553:AH1565" si="53">K1553*4.9195</f>
        <v>0</v>
      </c>
      <c r="AI1553" s="246"/>
      <c r="AJ1553" s="246"/>
      <c r="AK1553" s="243" t="s">
        <v>43</v>
      </c>
      <c r="AL1553" s="243" t="s">
        <v>41</v>
      </c>
      <c r="AM1553" s="250">
        <v>0</v>
      </c>
      <c r="AN1553" s="281"/>
      <c r="AO1553" s="243"/>
      <c r="AP1553" s="357"/>
      <c r="AQ1553" s="104"/>
      <c r="AR1553" s="104"/>
      <c r="AS1553" s="104"/>
      <c r="AT1553" s="104"/>
      <c r="AU1553" s="104"/>
      <c r="AV1553" s="104"/>
      <c r="AW1553" s="104"/>
      <c r="AX1553" s="104"/>
      <c r="AY1553" s="104"/>
      <c r="AZ1553" s="104"/>
      <c r="BA1553" s="104"/>
      <c r="BB1553" s="104"/>
      <c r="BC1553" s="104"/>
      <c r="BD1553" s="104"/>
      <c r="BE1553" s="104"/>
      <c r="BF1553" s="104"/>
      <c r="BG1553" s="104"/>
      <c r="BH1553" s="104"/>
      <c r="BI1553" s="104"/>
      <c r="BJ1553" s="104"/>
      <c r="BK1553" s="104"/>
      <c r="BL1553" s="104"/>
      <c r="BM1553" s="104"/>
      <c r="BN1553" s="104"/>
      <c r="BO1553" s="104"/>
      <c r="BP1553" s="104"/>
      <c r="BQ1553" s="104"/>
      <c r="BR1553" s="104"/>
      <c r="BS1553" s="104"/>
      <c r="BT1553" s="104"/>
      <c r="BU1553" s="104"/>
      <c r="BV1553" s="104"/>
      <c r="BW1553" s="104"/>
      <c r="BX1553" s="104"/>
      <c r="BY1553" s="104"/>
      <c r="BZ1553" s="104"/>
      <c r="CA1553" s="358"/>
    </row>
    <row r="1554" spans="1:129" s="102" customFormat="1" ht="42" customHeight="1" x14ac:dyDescent="0.3">
      <c r="A1554" s="243" t="s">
        <v>1641</v>
      </c>
      <c r="B1554" s="243" t="s">
        <v>3616</v>
      </c>
      <c r="C1554" s="244" t="s">
        <v>3625</v>
      </c>
      <c r="D1554" s="243" t="s">
        <v>34</v>
      </c>
      <c r="E1554" s="363" t="s">
        <v>3626</v>
      </c>
      <c r="F1554" s="252" t="s">
        <v>35</v>
      </c>
      <c r="G1554" s="243">
        <v>1</v>
      </c>
      <c r="H1554" s="245">
        <v>5580000</v>
      </c>
      <c r="I1554" s="243" t="s">
        <v>36</v>
      </c>
      <c r="J1554" s="245">
        <v>5580000</v>
      </c>
      <c r="K1554" s="1695">
        <v>0</v>
      </c>
      <c r="L1554" s="1695">
        <v>0</v>
      </c>
      <c r="M1554" s="247" t="s">
        <v>322</v>
      </c>
      <c r="N1554" s="247" t="s">
        <v>322</v>
      </c>
      <c r="O1554" s="247" t="s">
        <v>3059</v>
      </c>
      <c r="P1554" s="247" t="s">
        <v>41</v>
      </c>
      <c r="Q1554" s="248">
        <v>45161</v>
      </c>
      <c r="R1554" s="247" t="s">
        <v>41</v>
      </c>
      <c r="S1554" s="248">
        <v>45161</v>
      </c>
      <c r="T1554" s="247"/>
      <c r="U1554" s="248"/>
      <c r="V1554" s="247"/>
      <c r="W1554" s="248"/>
      <c r="X1554" s="247"/>
      <c r="Y1554" s="248"/>
      <c r="Z1554" s="247"/>
      <c r="AA1554" s="248"/>
      <c r="AB1554" s="247"/>
      <c r="AC1554" s="248"/>
      <c r="AD1554" s="248"/>
      <c r="AE1554" s="248">
        <v>45657</v>
      </c>
      <c r="AF1554" s="247" t="s">
        <v>65</v>
      </c>
      <c r="AG1554" s="249">
        <v>2026</v>
      </c>
      <c r="AH1554" s="246">
        <f t="shared" si="53"/>
        <v>0</v>
      </c>
      <c r="AI1554" s="246"/>
      <c r="AJ1554" s="246"/>
      <c r="AK1554" s="243" t="s">
        <v>43</v>
      </c>
      <c r="AL1554" s="243" t="s">
        <v>41</v>
      </c>
      <c r="AM1554" s="250">
        <v>0</v>
      </c>
      <c r="AN1554" s="281"/>
      <c r="AO1554" s="243"/>
      <c r="AP1554" s="357"/>
      <c r="AQ1554" s="104"/>
      <c r="AR1554" s="104"/>
      <c r="AS1554" s="104"/>
      <c r="AT1554" s="104"/>
      <c r="AU1554" s="104"/>
      <c r="AV1554" s="104"/>
      <c r="AW1554" s="104"/>
      <c r="AX1554" s="104"/>
      <c r="AY1554" s="104"/>
      <c r="AZ1554" s="104"/>
      <c r="BA1554" s="104"/>
      <c r="BB1554" s="104"/>
      <c r="BC1554" s="104"/>
      <c r="BD1554" s="104"/>
      <c r="BE1554" s="104"/>
      <c r="BF1554" s="104"/>
      <c r="BG1554" s="104"/>
      <c r="BH1554" s="104"/>
      <c r="BI1554" s="104"/>
      <c r="BJ1554" s="104"/>
      <c r="BK1554" s="104"/>
      <c r="BL1554" s="104"/>
      <c r="BM1554" s="104"/>
      <c r="BN1554" s="104"/>
      <c r="BO1554" s="104"/>
      <c r="BP1554" s="104"/>
      <c r="BQ1554" s="104"/>
      <c r="BR1554" s="104"/>
      <c r="BS1554" s="104"/>
      <c r="BT1554" s="104"/>
      <c r="BU1554" s="104"/>
      <c r="BV1554" s="104"/>
      <c r="BW1554" s="104"/>
      <c r="BX1554" s="104"/>
      <c r="BY1554" s="104"/>
      <c r="BZ1554" s="104"/>
      <c r="CA1554" s="358"/>
    </row>
    <row r="1555" spans="1:129" s="102" customFormat="1" ht="38.4" customHeight="1" x14ac:dyDescent="0.3">
      <c r="A1555" s="243" t="s">
        <v>1641</v>
      </c>
      <c r="B1555" s="243" t="s">
        <v>3616</v>
      </c>
      <c r="C1555" s="244" t="s">
        <v>3627</v>
      </c>
      <c r="D1555" s="243" t="s">
        <v>34</v>
      </c>
      <c r="E1555" s="363" t="s">
        <v>3626</v>
      </c>
      <c r="F1555" s="252" t="s">
        <v>35</v>
      </c>
      <c r="G1555" s="243">
        <v>1</v>
      </c>
      <c r="H1555" s="245">
        <v>5580000</v>
      </c>
      <c r="I1555" s="243" t="s">
        <v>36</v>
      </c>
      <c r="J1555" s="245">
        <v>5580000</v>
      </c>
      <c r="K1555" s="1695">
        <v>0</v>
      </c>
      <c r="L1555" s="1695">
        <v>0</v>
      </c>
      <c r="M1555" s="247" t="s">
        <v>62</v>
      </c>
      <c r="N1555" s="247" t="s">
        <v>3628</v>
      </c>
      <c r="O1555" s="247" t="s">
        <v>3629</v>
      </c>
      <c r="P1555" s="247" t="s">
        <v>41</v>
      </c>
      <c r="Q1555" s="248">
        <v>45157</v>
      </c>
      <c r="R1555" s="247" t="s">
        <v>41</v>
      </c>
      <c r="S1555" s="248">
        <v>45157</v>
      </c>
      <c r="T1555" s="247"/>
      <c r="U1555" s="248"/>
      <c r="V1555" s="247"/>
      <c r="W1555" s="248"/>
      <c r="X1555" s="247"/>
      <c r="Y1555" s="248"/>
      <c r="Z1555" s="247"/>
      <c r="AA1555" s="248"/>
      <c r="AB1555" s="247"/>
      <c r="AC1555" s="248"/>
      <c r="AD1555" s="248"/>
      <c r="AE1555" s="248">
        <v>45657</v>
      </c>
      <c r="AF1555" s="247" t="s">
        <v>65</v>
      </c>
      <c r="AG1555" s="249">
        <v>2026</v>
      </c>
      <c r="AH1555" s="246">
        <f t="shared" si="53"/>
        <v>0</v>
      </c>
      <c r="AI1555" s="246"/>
      <c r="AJ1555" s="246"/>
      <c r="AK1555" s="243" t="s">
        <v>43</v>
      </c>
      <c r="AL1555" s="243" t="s">
        <v>41</v>
      </c>
      <c r="AM1555" s="250">
        <v>0</v>
      </c>
      <c r="AN1555" s="281"/>
      <c r="AO1555" s="243"/>
      <c r="AP1555" s="357"/>
      <c r="AQ1555" s="104"/>
      <c r="AR1555" s="104"/>
      <c r="AS1555" s="104"/>
      <c r="AT1555" s="104"/>
      <c r="AU1555" s="104"/>
      <c r="AV1555" s="104"/>
      <c r="AW1555" s="104"/>
      <c r="AX1555" s="104"/>
      <c r="AY1555" s="104"/>
      <c r="AZ1555" s="104"/>
      <c r="BA1555" s="104"/>
      <c r="BB1555" s="104"/>
      <c r="BC1555" s="104"/>
      <c r="BD1555" s="104"/>
      <c r="BE1555" s="104"/>
      <c r="BF1555" s="104"/>
      <c r="BG1555" s="104"/>
      <c r="BH1555" s="104"/>
      <c r="BI1555" s="104"/>
      <c r="BJ1555" s="104"/>
      <c r="BK1555" s="104"/>
      <c r="BL1555" s="104"/>
      <c r="BM1555" s="104"/>
      <c r="BN1555" s="104"/>
      <c r="BO1555" s="104"/>
      <c r="BP1555" s="104"/>
      <c r="BQ1555" s="104"/>
      <c r="BR1555" s="104"/>
      <c r="BS1555" s="104"/>
      <c r="BT1555" s="104"/>
      <c r="BU1555" s="104"/>
      <c r="BV1555" s="104"/>
      <c r="BW1555" s="104"/>
      <c r="BX1555" s="104"/>
      <c r="BY1555" s="104"/>
      <c r="BZ1555" s="104"/>
      <c r="CA1555" s="358"/>
    </row>
    <row r="1556" spans="1:129" s="102" customFormat="1" ht="43.95" customHeight="1" x14ac:dyDescent="0.3">
      <c r="A1556" s="243" t="s">
        <v>1641</v>
      </c>
      <c r="B1556" s="243" t="s">
        <v>3616</v>
      </c>
      <c r="C1556" s="244" t="s">
        <v>3630</v>
      </c>
      <c r="D1556" s="243" t="s">
        <v>34</v>
      </c>
      <c r="E1556" s="363" t="s">
        <v>3618</v>
      </c>
      <c r="F1556" s="243" t="s">
        <v>35</v>
      </c>
      <c r="G1556" s="243">
        <v>1</v>
      </c>
      <c r="H1556" s="245">
        <v>5580000</v>
      </c>
      <c r="I1556" s="243" t="s">
        <v>36</v>
      </c>
      <c r="J1556" s="245">
        <v>5580000</v>
      </c>
      <c r="K1556" s="1696">
        <f>54883.62</f>
        <v>54883.62</v>
      </c>
      <c r="L1556" s="1696">
        <f>54883.62</f>
        <v>54883.62</v>
      </c>
      <c r="M1556" s="428" t="s">
        <v>69</v>
      </c>
      <c r="N1556" s="428" t="s">
        <v>69</v>
      </c>
      <c r="O1556" s="247" t="s">
        <v>3631</v>
      </c>
      <c r="P1556" s="247" t="s">
        <v>41</v>
      </c>
      <c r="Q1556" s="248">
        <v>45157</v>
      </c>
      <c r="R1556" s="247" t="s">
        <v>41</v>
      </c>
      <c r="S1556" s="248">
        <v>45157</v>
      </c>
      <c r="T1556" s="247"/>
      <c r="U1556" s="248"/>
      <c r="V1556" s="247"/>
      <c r="W1556" s="248"/>
      <c r="X1556" s="247"/>
      <c r="Y1556" s="248"/>
      <c r="Z1556" s="247"/>
      <c r="AA1556" s="248"/>
      <c r="AB1556" s="247"/>
      <c r="AC1556" s="248"/>
      <c r="AD1556" s="248"/>
      <c r="AE1556" s="248">
        <v>45657</v>
      </c>
      <c r="AF1556" s="247" t="s">
        <v>65</v>
      </c>
      <c r="AG1556" s="249">
        <v>2026</v>
      </c>
      <c r="AH1556" s="246">
        <f t="shared" si="53"/>
        <v>269999.96859</v>
      </c>
      <c r="AI1556" s="246"/>
      <c r="AJ1556" s="246"/>
      <c r="AK1556" s="243" t="s">
        <v>43</v>
      </c>
      <c r="AL1556" s="243" t="s">
        <v>41</v>
      </c>
      <c r="AM1556" s="250">
        <v>0</v>
      </c>
      <c r="AN1556" s="281"/>
      <c r="AO1556" s="243"/>
      <c r="AP1556" s="357"/>
      <c r="AQ1556" s="104"/>
      <c r="AR1556" s="104"/>
      <c r="AS1556" s="104"/>
      <c r="AT1556" s="104"/>
      <c r="AU1556" s="104"/>
      <c r="AV1556" s="104"/>
      <c r="AW1556" s="104"/>
      <c r="AX1556" s="104"/>
      <c r="AY1556" s="104"/>
      <c r="AZ1556" s="104"/>
      <c r="BA1556" s="104"/>
      <c r="BB1556" s="104"/>
      <c r="BC1556" s="104"/>
      <c r="BD1556" s="104"/>
      <c r="BE1556" s="104"/>
      <c r="BF1556" s="104"/>
      <c r="BG1556" s="104"/>
      <c r="BH1556" s="104"/>
      <c r="BI1556" s="104"/>
      <c r="BJ1556" s="104"/>
      <c r="BK1556" s="104"/>
      <c r="BL1556" s="104"/>
      <c r="BM1556" s="104"/>
      <c r="BN1556" s="104"/>
      <c r="BO1556" s="104"/>
      <c r="BP1556" s="104"/>
      <c r="BQ1556" s="104"/>
      <c r="BR1556" s="104"/>
      <c r="BS1556" s="104"/>
      <c r="BT1556" s="104"/>
      <c r="BU1556" s="104"/>
      <c r="BV1556" s="104"/>
      <c r="BW1556" s="104"/>
      <c r="BX1556" s="104"/>
      <c r="BY1556" s="104"/>
      <c r="BZ1556" s="104"/>
      <c r="CA1556" s="358"/>
    </row>
    <row r="1557" spans="1:129" s="102" customFormat="1" ht="44.4" customHeight="1" x14ac:dyDescent="0.3">
      <c r="A1557" s="243" t="s">
        <v>1641</v>
      </c>
      <c r="B1557" s="243" t="s">
        <v>3616</v>
      </c>
      <c r="C1557" s="244" t="s">
        <v>3632</v>
      </c>
      <c r="D1557" s="243" t="s">
        <v>34</v>
      </c>
      <c r="E1557" s="363" t="s">
        <v>3618</v>
      </c>
      <c r="F1557" s="252" t="s">
        <v>35</v>
      </c>
      <c r="G1557" s="243">
        <v>1</v>
      </c>
      <c r="H1557" s="245">
        <v>5580000</v>
      </c>
      <c r="I1557" s="243" t="s">
        <v>36</v>
      </c>
      <c r="J1557" s="245">
        <v>5580000</v>
      </c>
      <c r="K1557" s="1695">
        <f>11434.088</f>
        <v>11434.088</v>
      </c>
      <c r="L1557" s="1695">
        <f>11434.088</f>
        <v>11434.088</v>
      </c>
      <c r="M1557" s="247" t="s">
        <v>55</v>
      </c>
      <c r="N1557" s="247" t="s">
        <v>55</v>
      </c>
      <c r="O1557" s="247" t="s">
        <v>3633</v>
      </c>
      <c r="P1557" s="247" t="s">
        <v>41</v>
      </c>
      <c r="Q1557" s="248">
        <v>45157</v>
      </c>
      <c r="R1557" s="247" t="s">
        <v>41</v>
      </c>
      <c r="S1557" s="248">
        <v>45157</v>
      </c>
      <c r="T1557" s="247"/>
      <c r="U1557" s="248"/>
      <c r="V1557" s="247"/>
      <c r="W1557" s="248"/>
      <c r="X1557" s="247"/>
      <c r="Y1557" s="248"/>
      <c r="Z1557" s="247"/>
      <c r="AA1557" s="248"/>
      <c r="AB1557" s="247"/>
      <c r="AC1557" s="248"/>
      <c r="AD1557" s="248"/>
      <c r="AE1557" s="248">
        <v>45657</v>
      </c>
      <c r="AF1557" s="247" t="s">
        <v>65</v>
      </c>
      <c r="AG1557" s="249">
        <v>2026</v>
      </c>
      <c r="AH1557" s="246">
        <f t="shared" si="53"/>
        <v>56249.995916</v>
      </c>
      <c r="AI1557" s="246"/>
      <c r="AJ1557" s="246"/>
      <c r="AK1557" s="243" t="s">
        <v>43</v>
      </c>
      <c r="AL1557" s="243" t="s">
        <v>41</v>
      </c>
      <c r="AM1557" s="250">
        <v>0</v>
      </c>
      <c r="AN1557" s="281"/>
      <c r="AO1557" s="243"/>
      <c r="AP1557" s="357"/>
      <c r="AQ1557" s="104"/>
      <c r="AR1557" s="104"/>
      <c r="AS1557" s="104"/>
      <c r="AT1557" s="104"/>
      <c r="AU1557" s="104"/>
      <c r="AV1557" s="104"/>
      <c r="AW1557" s="104"/>
      <c r="AX1557" s="104"/>
      <c r="AY1557" s="104"/>
      <c r="AZ1557" s="104"/>
      <c r="BA1557" s="104"/>
      <c r="BB1557" s="104"/>
      <c r="BC1557" s="104"/>
      <c r="BD1557" s="104"/>
      <c r="BE1557" s="104"/>
      <c r="BF1557" s="104"/>
      <c r="BG1557" s="104"/>
      <c r="BH1557" s="104"/>
      <c r="BI1557" s="104"/>
      <c r="BJ1557" s="104"/>
      <c r="BK1557" s="104"/>
      <c r="BL1557" s="104"/>
      <c r="BM1557" s="104"/>
      <c r="BN1557" s="104"/>
      <c r="BO1557" s="104"/>
      <c r="BP1557" s="104"/>
      <c r="BQ1557" s="104"/>
      <c r="BR1557" s="104"/>
      <c r="BS1557" s="104"/>
      <c r="BT1557" s="104"/>
      <c r="BU1557" s="104"/>
      <c r="BV1557" s="104"/>
      <c r="BW1557" s="104"/>
      <c r="BX1557" s="104"/>
      <c r="BY1557" s="104"/>
      <c r="BZ1557" s="104"/>
      <c r="CA1557" s="358"/>
    </row>
    <row r="1558" spans="1:129" s="102" customFormat="1" ht="39" customHeight="1" x14ac:dyDescent="0.3">
      <c r="A1558" s="243" t="s">
        <v>1641</v>
      </c>
      <c r="B1558" s="243" t="s">
        <v>3616</v>
      </c>
      <c r="C1558" s="244" t="s">
        <v>3634</v>
      </c>
      <c r="D1558" s="243" t="s">
        <v>34</v>
      </c>
      <c r="E1558" s="363" t="s">
        <v>3618</v>
      </c>
      <c r="F1558" s="252" t="s">
        <v>35</v>
      </c>
      <c r="G1558" s="243">
        <v>1</v>
      </c>
      <c r="H1558" s="245">
        <v>5580000</v>
      </c>
      <c r="I1558" s="243" t="s">
        <v>36</v>
      </c>
      <c r="J1558" s="245">
        <v>5580000</v>
      </c>
      <c r="K1558" s="1695">
        <f>17278.178+53867.26</f>
        <v>71145.437999999995</v>
      </c>
      <c r="L1558" s="1695">
        <f>17278.178+53867.26</f>
        <v>71145.437999999995</v>
      </c>
      <c r="M1558" s="247" t="s">
        <v>868</v>
      </c>
      <c r="N1558" s="247" t="s">
        <v>868</v>
      </c>
      <c r="O1558" s="247" t="s">
        <v>3635</v>
      </c>
      <c r="P1558" s="247" t="s">
        <v>41</v>
      </c>
      <c r="Q1558" s="248">
        <v>45157</v>
      </c>
      <c r="R1558" s="247" t="s">
        <v>41</v>
      </c>
      <c r="S1558" s="248">
        <v>45157</v>
      </c>
      <c r="T1558" s="247"/>
      <c r="U1558" s="248"/>
      <c r="V1558" s="247"/>
      <c r="W1558" s="248"/>
      <c r="X1558" s="247"/>
      <c r="Y1558" s="248"/>
      <c r="Z1558" s="247"/>
      <c r="AA1558" s="248"/>
      <c r="AB1558" s="247"/>
      <c r="AC1558" s="248"/>
      <c r="AD1558" s="248"/>
      <c r="AE1558" s="248">
        <v>45657</v>
      </c>
      <c r="AF1558" s="247" t="s">
        <v>65</v>
      </c>
      <c r="AG1558" s="249">
        <v>2026</v>
      </c>
      <c r="AH1558" s="246">
        <f t="shared" si="53"/>
        <v>349999.98224099999</v>
      </c>
      <c r="AI1558" s="246"/>
      <c r="AJ1558" s="246"/>
      <c r="AK1558" s="243" t="s">
        <v>43</v>
      </c>
      <c r="AL1558" s="243" t="s">
        <v>41</v>
      </c>
      <c r="AM1558" s="250">
        <v>0</v>
      </c>
      <c r="AN1558" s="281"/>
      <c r="AO1558" s="243"/>
      <c r="AP1558" s="357"/>
      <c r="AQ1558" s="104"/>
      <c r="AR1558" s="104"/>
      <c r="AS1558" s="104"/>
      <c r="AT1558" s="104"/>
      <c r="AU1558" s="104"/>
      <c r="AV1558" s="104"/>
      <c r="AW1558" s="104"/>
      <c r="AX1558" s="104"/>
      <c r="AY1558" s="104"/>
      <c r="AZ1558" s="104"/>
      <c r="BA1558" s="104"/>
      <c r="BB1558" s="104"/>
      <c r="BC1558" s="104"/>
      <c r="BD1558" s="104"/>
      <c r="BE1558" s="104"/>
      <c r="BF1558" s="104"/>
      <c r="BG1558" s="104"/>
      <c r="BH1558" s="104"/>
      <c r="BI1558" s="104"/>
      <c r="BJ1558" s="104"/>
      <c r="BK1558" s="104"/>
      <c r="BL1558" s="104"/>
      <c r="BM1558" s="104"/>
      <c r="BN1558" s="104"/>
      <c r="BO1558" s="104"/>
      <c r="BP1558" s="104"/>
      <c r="BQ1558" s="104"/>
      <c r="BR1558" s="104"/>
      <c r="BS1558" s="104"/>
      <c r="BT1558" s="104"/>
      <c r="BU1558" s="104"/>
      <c r="BV1558" s="104"/>
      <c r="BW1558" s="104"/>
      <c r="BX1558" s="104"/>
      <c r="BY1558" s="104"/>
      <c r="BZ1558" s="104"/>
      <c r="CA1558" s="358"/>
    </row>
    <row r="1559" spans="1:129" s="102" customFormat="1" ht="39" customHeight="1" x14ac:dyDescent="0.3">
      <c r="A1559" s="243" t="s">
        <v>1641</v>
      </c>
      <c r="B1559" s="243" t="s">
        <v>3616</v>
      </c>
      <c r="C1559" s="244" t="s">
        <v>3636</v>
      </c>
      <c r="D1559" s="243" t="s">
        <v>34</v>
      </c>
      <c r="E1559" s="363" t="s">
        <v>3618</v>
      </c>
      <c r="F1559" s="252" t="s">
        <v>35</v>
      </c>
      <c r="G1559" s="243">
        <v>1</v>
      </c>
      <c r="H1559" s="245">
        <v>5580000</v>
      </c>
      <c r="I1559" s="243" t="s">
        <v>36</v>
      </c>
      <c r="J1559" s="245">
        <v>5580000</v>
      </c>
      <c r="K1559" s="1695">
        <v>0</v>
      </c>
      <c r="L1559" s="1695">
        <v>0</v>
      </c>
      <c r="M1559" s="247" t="s">
        <v>133</v>
      </c>
      <c r="N1559" s="247" t="s">
        <v>602</v>
      </c>
      <c r="O1559" s="247" t="s">
        <v>3064</v>
      </c>
      <c r="P1559" s="247" t="s">
        <v>41</v>
      </c>
      <c r="Q1559" s="248">
        <v>45157</v>
      </c>
      <c r="R1559" s="247" t="s">
        <v>41</v>
      </c>
      <c r="S1559" s="248">
        <v>45157</v>
      </c>
      <c r="T1559" s="247"/>
      <c r="U1559" s="248"/>
      <c r="V1559" s="247"/>
      <c r="W1559" s="248"/>
      <c r="X1559" s="247"/>
      <c r="Y1559" s="248"/>
      <c r="Z1559" s="247"/>
      <c r="AA1559" s="248"/>
      <c r="AB1559" s="247"/>
      <c r="AC1559" s="248"/>
      <c r="AD1559" s="248"/>
      <c r="AE1559" s="248">
        <v>45657</v>
      </c>
      <c r="AF1559" s="247" t="s">
        <v>65</v>
      </c>
      <c r="AG1559" s="249">
        <v>2026</v>
      </c>
      <c r="AH1559" s="246">
        <f t="shared" si="53"/>
        <v>0</v>
      </c>
      <c r="AI1559" s="246"/>
      <c r="AJ1559" s="246"/>
      <c r="AK1559" s="243" t="s">
        <v>43</v>
      </c>
      <c r="AL1559" s="243" t="s">
        <v>41</v>
      </c>
      <c r="AM1559" s="250">
        <v>0</v>
      </c>
      <c r="AN1559" s="281"/>
      <c r="AO1559" s="243"/>
      <c r="AP1559" s="357"/>
      <c r="AQ1559" s="104"/>
      <c r="AR1559" s="104"/>
      <c r="AS1559" s="104"/>
      <c r="AT1559" s="104"/>
      <c r="AU1559" s="104"/>
      <c r="AV1559" s="104"/>
      <c r="AW1559" s="104"/>
      <c r="AX1559" s="104"/>
      <c r="AY1559" s="104"/>
      <c r="AZ1559" s="104"/>
      <c r="BA1559" s="104"/>
      <c r="BB1559" s="104"/>
      <c r="BC1559" s="104"/>
      <c r="BD1559" s="104"/>
      <c r="BE1559" s="104"/>
      <c r="BF1559" s="104"/>
      <c r="BG1559" s="104"/>
      <c r="BH1559" s="104"/>
      <c r="BI1559" s="104"/>
      <c r="BJ1559" s="104"/>
      <c r="BK1559" s="104"/>
      <c r="BL1559" s="104"/>
      <c r="BM1559" s="104"/>
      <c r="BN1559" s="104"/>
      <c r="BO1559" s="104"/>
      <c r="BP1559" s="104"/>
      <c r="BQ1559" s="104"/>
      <c r="BR1559" s="104"/>
      <c r="BS1559" s="104"/>
      <c r="BT1559" s="104"/>
      <c r="BU1559" s="104"/>
      <c r="BV1559" s="104"/>
      <c r="BW1559" s="104"/>
      <c r="BX1559" s="104"/>
      <c r="BY1559" s="104"/>
      <c r="BZ1559" s="104"/>
      <c r="CA1559" s="358"/>
    </row>
    <row r="1560" spans="1:129" s="102" customFormat="1" ht="40.200000000000003" customHeight="1" x14ac:dyDescent="0.3">
      <c r="A1560" s="243" t="s">
        <v>1641</v>
      </c>
      <c r="B1560" s="243" t="s">
        <v>3616</v>
      </c>
      <c r="C1560" s="244" t="s">
        <v>3637</v>
      </c>
      <c r="D1560" s="243" t="s">
        <v>34</v>
      </c>
      <c r="E1560" s="363" t="s">
        <v>3618</v>
      </c>
      <c r="F1560" s="252" t="s">
        <v>35</v>
      </c>
      <c r="G1560" s="243">
        <v>1</v>
      </c>
      <c r="H1560" s="245">
        <v>5580000</v>
      </c>
      <c r="I1560" s="243" t="s">
        <v>36</v>
      </c>
      <c r="J1560" s="245">
        <v>5580000</v>
      </c>
      <c r="K1560" s="1435">
        <f>54118.2+33946.53</f>
        <v>88064.73</v>
      </c>
      <c r="L1560" s="1435">
        <f>54118.2+33946.53</f>
        <v>88064.73</v>
      </c>
      <c r="M1560" s="247" t="s">
        <v>58</v>
      </c>
      <c r="N1560" s="247" t="s">
        <v>58</v>
      </c>
      <c r="O1560" s="247" t="s">
        <v>3638</v>
      </c>
      <c r="P1560" s="247" t="s">
        <v>41</v>
      </c>
      <c r="Q1560" s="248">
        <v>45157</v>
      </c>
      <c r="R1560" s="247" t="s">
        <v>41</v>
      </c>
      <c r="S1560" s="248">
        <v>45157</v>
      </c>
      <c r="T1560" s="247"/>
      <c r="U1560" s="248"/>
      <c r="V1560" s="247"/>
      <c r="W1560" s="248"/>
      <c r="X1560" s="247"/>
      <c r="Y1560" s="248"/>
      <c r="Z1560" s="247"/>
      <c r="AA1560" s="248"/>
      <c r="AB1560" s="247"/>
      <c r="AC1560" s="248"/>
      <c r="AD1560" s="248"/>
      <c r="AE1560" s="248">
        <v>45657</v>
      </c>
      <c r="AF1560" s="247" t="s">
        <v>65</v>
      </c>
      <c r="AG1560" s="249">
        <v>2026</v>
      </c>
      <c r="AH1560" s="246">
        <f t="shared" si="53"/>
        <v>433234.439235</v>
      </c>
      <c r="AI1560" s="246"/>
      <c r="AJ1560" s="246"/>
      <c r="AK1560" s="243" t="s">
        <v>43</v>
      </c>
      <c r="AL1560" s="243" t="s">
        <v>41</v>
      </c>
      <c r="AM1560" s="250">
        <v>0</v>
      </c>
      <c r="AN1560" s="281"/>
      <c r="AO1560" s="243"/>
      <c r="AP1560" s="357"/>
      <c r="AQ1560" s="104"/>
      <c r="AR1560" s="104"/>
      <c r="AS1560" s="104"/>
      <c r="AT1560" s="104"/>
      <c r="AU1560" s="104"/>
      <c r="AV1560" s="104"/>
      <c r="AW1560" s="104"/>
      <c r="AX1560" s="104"/>
      <c r="AY1560" s="104"/>
      <c r="AZ1560" s="104"/>
      <c r="BA1560" s="104"/>
      <c r="BB1560" s="104"/>
      <c r="BC1560" s="104"/>
      <c r="BD1560" s="104"/>
      <c r="BE1560" s="104"/>
      <c r="BF1560" s="104"/>
      <c r="BG1560" s="104"/>
      <c r="BH1560" s="104"/>
      <c r="BI1560" s="104"/>
      <c r="BJ1560" s="104"/>
      <c r="BK1560" s="104"/>
      <c r="BL1560" s="104"/>
      <c r="BM1560" s="104"/>
      <c r="BN1560" s="104"/>
      <c r="BO1560" s="104"/>
      <c r="BP1560" s="104"/>
      <c r="BQ1560" s="104"/>
      <c r="BR1560" s="104"/>
      <c r="BS1560" s="104"/>
      <c r="BT1560" s="104"/>
      <c r="BU1560" s="104"/>
      <c r="BV1560" s="104"/>
      <c r="BW1560" s="104"/>
      <c r="BX1560" s="104"/>
      <c r="BY1560" s="104"/>
      <c r="BZ1560" s="104"/>
      <c r="CA1560" s="358"/>
    </row>
    <row r="1561" spans="1:129" s="102" customFormat="1" ht="37.200000000000003" customHeight="1" x14ac:dyDescent="0.3">
      <c r="A1561" s="243" t="s">
        <v>1641</v>
      </c>
      <c r="B1561" s="243" t="s">
        <v>3616</v>
      </c>
      <c r="C1561" s="244" t="s">
        <v>3639</v>
      </c>
      <c r="D1561" s="243" t="s">
        <v>34</v>
      </c>
      <c r="E1561" s="363" t="s">
        <v>3618</v>
      </c>
      <c r="F1561" s="252" t="s">
        <v>35</v>
      </c>
      <c r="G1561" s="243">
        <v>1</v>
      </c>
      <c r="H1561" s="245">
        <v>5580000</v>
      </c>
      <c r="I1561" s="243" t="s">
        <v>36</v>
      </c>
      <c r="J1561" s="245">
        <v>5580000</v>
      </c>
      <c r="K1561" s="1695">
        <v>0</v>
      </c>
      <c r="L1561" s="1695">
        <v>0</v>
      </c>
      <c r="M1561" s="247" t="s">
        <v>54</v>
      </c>
      <c r="N1561" s="247" t="s">
        <v>2012</v>
      </c>
      <c r="O1561" s="247" t="s">
        <v>3640</v>
      </c>
      <c r="P1561" s="247" t="s">
        <v>41</v>
      </c>
      <c r="Q1561" s="248">
        <v>45157</v>
      </c>
      <c r="R1561" s="247" t="s">
        <v>41</v>
      </c>
      <c r="S1561" s="248">
        <v>45157</v>
      </c>
      <c r="T1561" s="247"/>
      <c r="U1561" s="248"/>
      <c r="V1561" s="247"/>
      <c r="W1561" s="248"/>
      <c r="X1561" s="247"/>
      <c r="Y1561" s="248"/>
      <c r="Z1561" s="247"/>
      <c r="AA1561" s="248"/>
      <c r="AB1561" s="247"/>
      <c r="AC1561" s="248"/>
      <c r="AD1561" s="248"/>
      <c r="AE1561" s="248">
        <v>45657</v>
      </c>
      <c r="AF1561" s="247" t="s">
        <v>65</v>
      </c>
      <c r="AG1561" s="249">
        <v>2026</v>
      </c>
      <c r="AH1561" s="246">
        <f t="shared" si="53"/>
        <v>0</v>
      </c>
      <c r="AI1561" s="246"/>
      <c r="AJ1561" s="246"/>
      <c r="AK1561" s="243" t="s">
        <v>43</v>
      </c>
      <c r="AL1561" s="243" t="s">
        <v>41</v>
      </c>
      <c r="AM1561" s="250">
        <v>0</v>
      </c>
      <c r="AN1561" s="281"/>
      <c r="AO1561" s="243"/>
      <c r="AP1561" s="357"/>
      <c r="AQ1561" s="104"/>
      <c r="AR1561" s="104"/>
      <c r="AS1561" s="104"/>
      <c r="AT1561" s="104"/>
      <c r="AU1561" s="104"/>
      <c r="AV1561" s="104"/>
      <c r="AW1561" s="104"/>
      <c r="AX1561" s="104"/>
      <c r="AY1561" s="104"/>
      <c r="AZ1561" s="104"/>
      <c r="BA1561" s="104"/>
      <c r="BB1561" s="104"/>
      <c r="BC1561" s="104"/>
      <c r="BD1561" s="104"/>
      <c r="BE1561" s="104"/>
      <c r="BF1561" s="104"/>
      <c r="BG1561" s="104"/>
      <c r="BH1561" s="104"/>
      <c r="BI1561" s="104"/>
      <c r="BJ1561" s="104"/>
      <c r="BK1561" s="104"/>
      <c r="BL1561" s="104"/>
      <c r="BM1561" s="104"/>
      <c r="BN1561" s="104"/>
      <c r="BO1561" s="104"/>
      <c r="BP1561" s="104"/>
      <c r="BQ1561" s="104"/>
      <c r="BR1561" s="104"/>
      <c r="BS1561" s="104"/>
      <c r="BT1561" s="104"/>
      <c r="BU1561" s="104"/>
      <c r="BV1561" s="104"/>
      <c r="BW1561" s="104"/>
      <c r="BX1561" s="104"/>
      <c r="BY1561" s="104"/>
      <c r="BZ1561" s="104"/>
      <c r="CA1561" s="358"/>
    </row>
    <row r="1562" spans="1:129" s="102" customFormat="1" ht="41.4" customHeight="1" x14ac:dyDescent="0.3">
      <c r="A1562" s="243" t="s">
        <v>1641</v>
      </c>
      <c r="B1562" s="243" t="s">
        <v>3616</v>
      </c>
      <c r="C1562" s="244" t="s">
        <v>3641</v>
      </c>
      <c r="D1562" s="243" t="s">
        <v>34</v>
      </c>
      <c r="E1562" s="363" t="s">
        <v>3618</v>
      </c>
      <c r="F1562" s="252" t="s">
        <v>35</v>
      </c>
      <c r="G1562" s="243">
        <v>1</v>
      </c>
      <c r="H1562" s="245">
        <v>5580000</v>
      </c>
      <c r="I1562" s="243" t="s">
        <v>36</v>
      </c>
      <c r="J1562" s="245">
        <v>5580000</v>
      </c>
      <c r="K1562" s="1435">
        <f>304.909+35877.62</f>
        <v>36182.529000000002</v>
      </c>
      <c r="L1562" s="1435">
        <f>304.909+35877.62</f>
        <v>36182.529000000002</v>
      </c>
      <c r="M1562" s="247" t="s">
        <v>412</v>
      </c>
      <c r="N1562" s="247" t="s">
        <v>412</v>
      </c>
      <c r="O1562" s="247" t="s">
        <v>3642</v>
      </c>
      <c r="P1562" s="247" t="s">
        <v>41</v>
      </c>
      <c r="Q1562" s="248">
        <v>45161</v>
      </c>
      <c r="R1562" s="247" t="s">
        <v>41</v>
      </c>
      <c r="S1562" s="248">
        <v>45161</v>
      </c>
      <c r="T1562" s="247"/>
      <c r="U1562" s="248"/>
      <c r="V1562" s="247"/>
      <c r="W1562" s="248"/>
      <c r="X1562" s="247"/>
      <c r="Y1562" s="248"/>
      <c r="Z1562" s="247"/>
      <c r="AA1562" s="248"/>
      <c r="AB1562" s="247"/>
      <c r="AC1562" s="248"/>
      <c r="AD1562" s="248"/>
      <c r="AE1562" s="248">
        <v>45657</v>
      </c>
      <c r="AF1562" s="247" t="s">
        <v>65</v>
      </c>
      <c r="AG1562" s="249">
        <v>2026</v>
      </c>
      <c r="AH1562" s="246">
        <f t="shared" si="53"/>
        <v>177999.95141550002</v>
      </c>
      <c r="AI1562" s="246"/>
      <c r="AJ1562" s="246"/>
      <c r="AK1562" s="243" t="s">
        <v>43</v>
      </c>
      <c r="AL1562" s="243" t="s">
        <v>41</v>
      </c>
      <c r="AM1562" s="250">
        <v>0</v>
      </c>
      <c r="AN1562" s="281"/>
      <c r="AO1562" s="243"/>
      <c r="AP1562" s="357"/>
      <c r="AQ1562" s="104"/>
      <c r="AR1562" s="104"/>
      <c r="AS1562" s="104"/>
      <c r="AT1562" s="104"/>
      <c r="AU1562" s="104"/>
      <c r="AV1562" s="104"/>
      <c r="AW1562" s="104"/>
      <c r="AX1562" s="104"/>
      <c r="AY1562" s="104"/>
      <c r="AZ1562" s="104"/>
      <c r="BA1562" s="104"/>
      <c r="BB1562" s="104"/>
      <c r="BC1562" s="104"/>
      <c r="BD1562" s="104"/>
      <c r="BE1562" s="104"/>
      <c r="BF1562" s="104"/>
      <c r="BG1562" s="104"/>
      <c r="BH1562" s="104"/>
      <c r="BI1562" s="104"/>
      <c r="BJ1562" s="104"/>
      <c r="BK1562" s="104"/>
      <c r="BL1562" s="104"/>
      <c r="BM1562" s="104"/>
      <c r="BN1562" s="104"/>
      <c r="BO1562" s="104"/>
      <c r="BP1562" s="104"/>
      <c r="BQ1562" s="104"/>
      <c r="BR1562" s="104"/>
      <c r="BS1562" s="104"/>
      <c r="BT1562" s="104"/>
      <c r="BU1562" s="104"/>
      <c r="BV1562" s="104"/>
      <c r="BW1562" s="104"/>
      <c r="BX1562" s="104"/>
      <c r="BY1562" s="104"/>
      <c r="BZ1562" s="104"/>
      <c r="CA1562" s="358"/>
    </row>
    <row r="1563" spans="1:129" s="1215" customFormat="1" ht="38.4" customHeight="1" x14ac:dyDescent="0.3">
      <c r="A1563" s="243" t="s">
        <v>1641</v>
      </c>
      <c r="B1563" s="243" t="s">
        <v>3616</v>
      </c>
      <c r="C1563" s="244" t="s">
        <v>3643</v>
      </c>
      <c r="D1563" s="243" t="s">
        <v>34</v>
      </c>
      <c r="E1563" s="363" t="s">
        <v>3618</v>
      </c>
      <c r="F1563" s="252" t="s">
        <v>35</v>
      </c>
      <c r="G1563" s="243">
        <v>1</v>
      </c>
      <c r="H1563" s="245">
        <v>5580000</v>
      </c>
      <c r="I1563" s="243" t="s">
        <v>36</v>
      </c>
      <c r="J1563" s="245">
        <v>5580000</v>
      </c>
      <c r="K1563" s="1695">
        <v>0</v>
      </c>
      <c r="L1563" s="1695">
        <v>0</v>
      </c>
      <c r="M1563" s="247" t="s">
        <v>60</v>
      </c>
      <c r="N1563" s="247" t="s">
        <v>3580</v>
      </c>
      <c r="O1563" s="247" t="s">
        <v>3644</v>
      </c>
      <c r="P1563" s="247" t="s">
        <v>41</v>
      </c>
      <c r="Q1563" s="248">
        <v>45157</v>
      </c>
      <c r="R1563" s="247" t="s">
        <v>41</v>
      </c>
      <c r="S1563" s="248">
        <v>45157</v>
      </c>
      <c r="T1563" s="247"/>
      <c r="U1563" s="248"/>
      <c r="V1563" s="247"/>
      <c r="W1563" s="248"/>
      <c r="X1563" s="247"/>
      <c r="Y1563" s="248"/>
      <c r="Z1563" s="247"/>
      <c r="AA1563" s="248"/>
      <c r="AB1563" s="247"/>
      <c r="AC1563" s="248"/>
      <c r="AD1563" s="248"/>
      <c r="AE1563" s="248">
        <v>45657</v>
      </c>
      <c r="AF1563" s="247" t="s">
        <v>65</v>
      </c>
      <c r="AG1563" s="249">
        <v>2026</v>
      </c>
      <c r="AH1563" s="246">
        <f t="shared" si="53"/>
        <v>0</v>
      </c>
      <c r="AI1563" s="246"/>
      <c r="AJ1563" s="246"/>
      <c r="AK1563" s="243" t="s">
        <v>43</v>
      </c>
      <c r="AL1563" s="243" t="s">
        <v>41</v>
      </c>
      <c r="AM1563" s="250">
        <v>0</v>
      </c>
      <c r="AN1563" s="281"/>
      <c r="AO1563" s="1213"/>
      <c r="AP1563" s="1214"/>
    </row>
    <row r="1564" spans="1:129" s="102" customFormat="1" ht="28.8" x14ac:dyDescent="0.3">
      <c r="A1564" s="243" t="s">
        <v>1641</v>
      </c>
      <c r="B1564" s="243" t="s">
        <v>3616</v>
      </c>
      <c r="C1564" s="244" t="s">
        <v>3645</v>
      </c>
      <c r="D1564" s="243" t="s">
        <v>34</v>
      </c>
      <c r="E1564" s="363" t="s">
        <v>3618</v>
      </c>
      <c r="F1564" s="252" t="s">
        <v>35</v>
      </c>
      <c r="G1564" s="243">
        <v>1</v>
      </c>
      <c r="H1564" s="245">
        <v>5580000</v>
      </c>
      <c r="I1564" s="243" t="s">
        <v>36</v>
      </c>
      <c r="J1564" s="245">
        <v>5580000</v>
      </c>
      <c r="K1564" s="1695">
        <f>3440.32+20327.27</f>
        <v>23767.59</v>
      </c>
      <c r="L1564" s="1695">
        <f>K1564</f>
        <v>23767.59</v>
      </c>
      <c r="M1564" s="247" t="s">
        <v>84</v>
      </c>
      <c r="N1564" s="247" t="s">
        <v>3366</v>
      </c>
      <c r="O1564" s="247" t="s">
        <v>3646</v>
      </c>
      <c r="P1564" s="247" t="s">
        <v>41</v>
      </c>
      <c r="Q1564" s="248">
        <v>45161</v>
      </c>
      <c r="R1564" s="247" t="s">
        <v>41</v>
      </c>
      <c r="S1564" s="248">
        <v>45161</v>
      </c>
      <c r="T1564" s="247"/>
      <c r="U1564" s="248"/>
      <c r="V1564" s="247"/>
      <c r="W1564" s="248"/>
      <c r="X1564" s="247"/>
      <c r="Y1564" s="248"/>
      <c r="Z1564" s="247"/>
      <c r="AA1564" s="248"/>
      <c r="AB1564" s="247"/>
      <c r="AC1564" s="248"/>
      <c r="AD1564" s="248"/>
      <c r="AE1564" s="248">
        <v>45657</v>
      </c>
      <c r="AF1564" s="247" t="s">
        <v>65</v>
      </c>
      <c r="AG1564" s="249">
        <v>2026</v>
      </c>
      <c r="AH1564" s="246">
        <f t="shared" si="53"/>
        <v>116924.65900500001</v>
      </c>
      <c r="AI1564" s="246"/>
      <c r="AJ1564" s="246"/>
      <c r="AK1564" s="243" t="s">
        <v>43</v>
      </c>
      <c r="AL1564" s="243" t="s">
        <v>41</v>
      </c>
      <c r="AM1564" s="250">
        <v>0</v>
      </c>
      <c r="AN1564" s="281"/>
      <c r="AO1564" s="243"/>
      <c r="AP1564" s="357"/>
      <c r="AQ1564" s="104"/>
      <c r="AR1564" s="104"/>
      <c r="AS1564" s="104"/>
      <c r="AT1564" s="104"/>
      <c r="AU1564" s="104"/>
      <c r="AV1564" s="104"/>
      <c r="AW1564" s="104"/>
      <c r="AX1564" s="104"/>
      <c r="AY1564" s="104"/>
      <c r="AZ1564" s="104"/>
      <c r="BA1564" s="104"/>
      <c r="BB1564" s="104"/>
      <c r="BC1564" s="104"/>
      <c r="BD1564" s="104"/>
      <c r="BE1564" s="104"/>
      <c r="BF1564" s="104"/>
      <c r="BG1564" s="104"/>
      <c r="BH1564" s="104"/>
      <c r="BI1564" s="104"/>
      <c r="BJ1564" s="104"/>
      <c r="BK1564" s="104"/>
      <c r="BL1564" s="104"/>
      <c r="BM1564" s="104"/>
      <c r="BN1564" s="104"/>
      <c r="BO1564" s="104"/>
      <c r="BP1564" s="104"/>
      <c r="BQ1564" s="104"/>
      <c r="BR1564" s="104"/>
      <c r="BS1564" s="104"/>
      <c r="BT1564" s="104"/>
      <c r="BU1564" s="104"/>
      <c r="BV1564" s="104"/>
      <c r="BW1564" s="104"/>
      <c r="BX1564" s="104"/>
      <c r="BY1564" s="104"/>
      <c r="BZ1564" s="104"/>
      <c r="CA1564" s="358"/>
    </row>
    <row r="1565" spans="1:129" s="365" customFormat="1" ht="37.950000000000003" customHeight="1" x14ac:dyDescent="0.3">
      <c r="A1565" s="318" t="s">
        <v>1641</v>
      </c>
      <c r="B1565" s="243" t="s">
        <v>3616</v>
      </c>
      <c r="C1565" s="244" t="s">
        <v>3647</v>
      </c>
      <c r="D1565" s="322" t="s">
        <v>34</v>
      </c>
      <c r="E1565" s="322" t="s">
        <v>3648</v>
      </c>
      <c r="F1565" s="322" t="s">
        <v>35</v>
      </c>
      <c r="G1565" s="318">
        <v>1</v>
      </c>
      <c r="H1565" s="364">
        <v>5580000</v>
      </c>
      <c r="I1565" s="322" t="s">
        <v>36</v>
      </c>
      <c r="J1565" s="364">
        <v>5580000</v>
      </c>
      <c r="K1565" s="1699">
        <v>0</v>
      </c>
      <c r="L1565" s="1699">
        <v>0</v>
      </c>
      <c r="M1565" s="318" t="s">
        <v>3649</v>
      </c>
      <c r="N1565" s="324" t="s">
        <v>3649</v>
      </c>
      <c r="O1565" s="324" t="s">
        <v>3649</v>
      </c>
      <c r="P1565" s="318" t="s">
        <v>41</v>
      </c>
      <c r="Q1565" s="333"/>
      <c r="R1565" s="318" t="s">
        <v>41</v>
      </c>
      <c r="S1565" s="333"/>
      <c r="T1565" s="330"/>
      <c r="U1565" s="333"/>
      <c r="V1565" s="322" t="s">
        <v>41</v>
      </c>
      <c r="W1565" s="333"/>
      <c r="X1565" s="322" t="s">
        <v>41</v>
      </c>
      <c r="Y1565" s="333"/>
      <c r="Z1565" s="322" t="s">
        <v>40</v>
      </c>
      <c r="AA1565" s="326" t="s">
        <v>40</v>
      </c>
      <c r="AB1565" s="322" t="s">
        <v>40</v>
      </c>
      <c r="AC1565" s="326" t="s">
        <v>40</v>
      </c>
      <c r="AD1565" s="325"/>
      <c r="AE1565" s="325" t="s">
        <v>3150</v>
      </c>
      <c r="AF1565" s="324" t="s">
        <v>247</v>
      </c>
      <c r="AG1565" s="335" t="s">
        <v>247</v>
      </c>
      <c r="AH1565" s="606">
        <f t="shared" si="53"/>
        <v>0</v>
      </c>
      <c r="AI1565" s="606"/>
      <c r="AJ1565" s="606"/>
      <c r="AK1565" s="324" t="s">
        <v>43</v>
      </c>
      <c r="AL1565" s="324" t="s">
        <v>41</v>
      </c>
      <c r="AM1565" s="336">
        <v>0</v>
      </c>
      <c r="AN1565" s="1213"/>
      <c r="AO1565" s="243"/>
      <c r="AP1565" s="357"/>
      <c r="AQ1565" s="104"/>
      <c r="AR1565" s="104"/>
      <c r="AS1565" s="104"/>
      <c r="AT1565" s="104"/>
      <c r="AU1565" s="104"/>
      <c r="AV1565" s="104"/>
      <c r="AW1565" s="104"/>
      <c r="AX1565" s="104"/>
      <c r="AY1565" s="104"/>
      <c r="AZ1565" s="104"/>
      <c r="BA1565" s="104"/>
      <c r="BB1565" s="104"/>
      <c r="BC1565" s="104"/>
      <c r="BD1565" s="104"/>
      <c r="BE1565" s="104"/>
      <c r="BF1565" s="104"/>
      <c r="BG1565" s="104"/>
      <c r="BH1565" s="104"/>
      <c r="BI1565" s="104"/>
      <c r="BJ1565" s="104"/>
      <c r="BK1565" s="104"/>
      <c r="BL1565" s="104"/>
      <c r="BM1565" s="104"/>
      <c r="BN1565" s="104"/>
      <c r="BO1565" s="104"/>
      <c r="BP1565" s="104"/>
      <c r="BQ1565" s="104"/>
      <c r="BR1565" s="104"/>
      <c r="BS1565" s="104"/>
      <c r="BT1565" s="104"/>
      <c r="BU1565" s="104"/>
      <c r="BV1565" s="104"/>
      <c r="BW1565" s="104"/>
      <c r="BX1565" s="104"/>
      <c r="BY1565" s="104"/>
      <c r="BZ1565" s="104"/>
      <c r="CA1565" s="358"/>
      <c r="CB1565" s="102"/>
      <c r="CC1565" s="102"/>
      <c r="CD1565" s="102"/>
      <c r="CE1565" s="102"/>
      <c r="CF1565" s="102"/>
      <c r="CG1565" s="102"/>
      <c r="CH1565" s="102"/>
      <c r="CI1565" s="102"/>
      <c r="CJ1565" s="102"/>
      <c r="CK1565" s="102"/>
      <c r="CL1565" s="102"/>
      <c r="CM1565" s="102"/>
      <c r="CN1565" s="102"/>
      <c r="CO1565" s="102"/>
      <c r="CP1565" s="102"/>
      <c r="CQ1565" s="102"/>
      <c r="CR1565" s="102"/>
      <c r="CS1565" s="102"/>
      <c r="CT1565" s="102"/>
      <c r="CU1565" s="102"/>
      <c r="CV1565" s="102"/>
      <c r="CW1565" s="102"/>
      <c r="CX1565" s="102"/>
      <c r="CY1565" s="102"/>
      <c r="CZ1565" s="102"/>
      <c r="DA1565" s="102"/>
      <c r="DB1565" s="102"/>
      <c r="DC1565" s="102"/>
      <c r="DD1565" s="102"/>
      <c r="DE1565" s="102"/>
      <c r="DF1565" s="102"/>
      <c r="DG1565" s="102"/>
      <c r="DH1565" s="102"/>
      <c r="DI1565" s="102"/>
      <c r="DJ1565" s="102"/>
      <c r="DK1565" s="102"/>
      <c r="DL1565" s="102"/>
      <c r="DM1565" s="102"/>
      <c r="DN1565" s="102"/>
      <c r="DO1565" s="102"/>
      <c r="DP1565" s="102"/>
      <c r="DQ1565" s="102"/>
      <c r="DR1565" s="102"/>
      <c r="DS1565" s="102"/>
      <c r="DT1565" s="102"/>
      <c r="DU1565" s="102"/>
      <c r="DV1565" s="102"/>
      <c r="DW1565" s="102"/>
      <c r="DX1565" s="102"/>
      <c r="DY1565" s="102"/>
    </row>
    <row r="1566" spans="1:129" s="365" customFormat="1" ht="33.6" customHeight="1" x14ac:dyDescent="0.3">
      <c r="A1566" s="361" t="s">
        <v>1641</v>
      </c>
      <c r="B1566" s="361"/>
      <c r="C1566" s="1177" t="s">
        <v>74</v>
      </c>
      <c r="D1566" s="361"/>
      <c r="E1566" s="1216"/>
      <c r="F1566" s="361"/>
      <c r="G1566" s="361"/>
      <c r="H1566" s="362">
        <f>H1551-H1552</f>
        <v>5580000</v>
      </c>
      <c r="I1566" s="361"/>
      <c r="J1566" s="362"/>
      <c r="K1566" s="1694"/>
      <c r="L1566" s="1694"/>
      <c r="M1566" s="376"/>
      <c r="N1566" s="376"/>
      <c r="O1566" s="376"/>
      <c r="P1566" s="376"/>
      <c r="Q1566" s="377"/>
      <c r="R1566" s="376"/>
      <c r="S1566" s="377"/>
      <c r="T1566" s="376"/>
      <c r="U1566" s="377"/>
      <c r="V1566" s="376"/>
      <c r="W1566" s="377"/>
      <c r="X1566" s="376"/>
      <c r="Y1566" s="377"/>
      <c r="Z1566" s="376"/>
      <c r="AA1566" s="377"/>
      <c r="AB1566" s="376"/>
      <c r="AC1566" s="377"/>
      <c r="AD1566" s="377"/>
      <c r="AE1566" s="377"/>
      <c r="AF1566" s="376"/>
      <c r="AG1566" s="1180"/>
      <c r="AH1566" s="1179"/>
      <c r="AI1566" s="1179"/>
      <c r="AJ1566" s="1179"/>
      <c r="AK1566" s="361"/>
      <c r="AL1566" s="361"/>
      <c r="AM1566" s="1181"/>
      <c r="AN1566" s="1211"/>
      <c r="AO1566" s="243"/>
      <c r="AP1566" s="357"/>
      <c r="AQ1566" s="104"/>
      <c r="AR1566" s="104"/>
      <c r="AS1566" s="104"/>
      <c r="AT1566" s="104"/>
      <c r="AU1566" s="104"/>
      <c r="AV1566" s="104"/>
      <c r="AW1566" s="104"/>
      <c r="AX1566" s="104"/>
      <c r="AY1566" s="104"/>
      <c r="AZ1566" s="104"/>
      <c r="BA1566" s="104"/>
      <c r="BB1566" s="104"/>
      <c r="BC1566" s="104"/>
      <c r="BD1566" s="104"/>
      <c r="BE1566" s="104"/>
      <c r="BF1566" s="104"/>
      <c r="BG1566" s="104"/>
      <c r="BH1566" s="104"/>
      <c r="BI1566" s="104"/>
      <c r="BJ1566" s="104"/>
      <c r="BK1566" s="104"/>
      <c r="BL1566" s="104"/>
      <c r="BM1566" s="104"/>
      <c r="BN1566" s="104"/>
      <c r="BO1566" s="104"/>
      <c r="BP1566" s="104"/>
      <c r="BQ1566" s="104"/>
      <c r="BR1566" s="104"/>
      <c r="BS1566" s="104"/>
      <c r="BT1566" s="104"/>
      <c r="BU1566" s="104"/>
      <c r="BV1566" s="104"/>
      <c r="BW1566" s="104"/>
      <c r="BX1566" s="104"/>
      <c r="BY1566" s="104"/>
      <c r="BZ1566" s="104"/>
      <c r="CA1566" s="358"/>
      <c r="CB1566" s="102"/>
      <c r="CC1566" s="102"/>
      <c r="CD1566" s="102"/>
      <c r="CE1566" s="102"/>
      <c r="CF1566" s="102"/>
      <c r="CG1566" s="102"/>
      <c r="CH1566" s="102"/>
      <c r="CI1566" s="102"/>
      <c r="CJ1566" s="102"/>
      <c r="CK1566" s="102"/>
      <c r="CL1566" s="102"/>
      <c r="CM1566" s="102"/>
      <c r="CN1566" s="102"/>
      <c r="CO1566" s="102"/>
      <c r="CP1566" s="102"/>
      <c r="CQ1566" s="102"/>
      <c r="CR1566" s="102"/>
      <c r="CS1566" s="102"/>
      <c r="CT1566" s="102"/>
      <c r="CU1566" s="102"/>
      <c r="CV1566" s="102"/>
      <c r="CW1566" s="102"/>
      <c r="CX1566" s="102"/>
      <c r="CY1566" s="102"/>
      <c r="CZ1566" s="102"/>
      <c r="DA1566" s="102"/>
      <c r="DB1566" s="102"/>
      <c r="DC1566" s="102"/>
      <c r="DD1566" s="102"/>
      <c r="DE1566" s="102"/>
      <c r="DF1566" s="102"/>
      <c r="DG1566" s="102"/>
      <c r="DH1566" s="102"/>
      <c r="DI1566" s="102"/>
      <c r="DJ1566" s="102"/>
      <c r="DK1566" s="102"/>
      <c r="DL1566" s="102"/>
      <c r="DM1566" s="102"/>
      <c r="DN1566" s="102"/>
      <c r="DO1566" s="102"/>
      <c r="DP1566" s="102"/>
      <c r="DQ1566" s="102"/>
      <c r="DR1566" s="102"/>
      <c r="DS1566" s="102"/>
      <c r="DT1566" s="102"/>
      <c r="DU1566" s="102"/>
      <c r="DV1566" s="102"/>
      <c r="DW1566" s="102"/>
      <c r="DX1566" s="102"/>
      <c r="DY1566" s="102"/>
    </row>
    <row r="1567" spans="1:129" s="359" customFormat="1" ht="38.4" customHeight="1" x14ac:dyDescent="0.3">
      <c r="A1567" s="360" t="s">
        <v>1641</v>
      </c>
      <c r="B1567" s="360" t="s">
        <v>3650</v>
      </c>
      <c r="C1567" s="1212" t="s">
        <v>3651</v>
      </c>
      <c r="D1567" s="360" t="s">
        <v>34</v>
      </c>
      <c r="E1567" s="360">
        <v>54</v>
      </c>
      <c r="F1567" s="360" t="s">
        <v>35</v>
      </c>
      <c r="G1567" s="360">
        <v>26</v>
      </c>
      <c r="H1567" s="366">
        <v>220000000</v>
      </c>
      <c r="I1567" s="360" t="s">
        <v>36</v>
      </c>
      <c r="J1567" s="366">
        <v>220000000</v>
      </c>
      <c r="K1567" s="1693">
        <v>0</v>
      </c>
      <c r="L1567" s="1693">
        <v>0</v>
      </c>
      <c r="M1567" s="237" t="s">
        <v>40</v>
      </c>
      <c r="N1567" s="237" t="s">
        <v>40</v>
      </c>
      <c r="O1567" s="237" t="s">
        <v>40</v>
      </c>
      <c r="P1567" s="237" t="s">
        <v>40</v>
      </c>
      <c r="Q1567" s="375"/>
      <c r="R1567" s="237" t="s">
        <v>40</v>
      </c>
      <c r="S1567" s="375"/>
      <c r="T1567" s="237" t="s">
        <v>40</v>
      </c>
      <c r="U1567" s="375"/>
      <c r="V1567" s="237" t="s">
        <v>40</v>
      </c>
      <c r="W1567" s="375"/>
      <c r="X1567" s="237" t="s">
        <v>40</v>
      </c>
      <c r="Y1567" s="375"/>
      <c r="Z1567" s="237" t="s">
        <v>41</v>
      </c>
      <c r="AA1567" s="375">
        <v>45019</v>
      </c>
      <c r="AB1567" s="237" t="s">
        <v>41</v>
      </c>
      <c r="AC1567" s="375">
        <v>45201</v>
      </c>
      <c r="AD1567" s="375"/>
      <c r="AE1567" s="375">
        <v>46203</v>
      </c>
      <c r="AF1567" s="237" t="s">
        <v>65</v>
      </c>
      <c r="AG1567" s="238">
        <v>2026</v>
      </c>
      <c r="AH1567" s="1174">
        <v>0</v>
      </c>
      <c r="AI1567" s="1174"/>
      <c r="AJ1567" s="1174"/>
      <c r="AK1567" s="360" t="s">
        <v>43</v>
      </c>
      <c r="AL1567" s="360" t="s">
        <v>41</v>
      </c>
      <c r="AM1567" s="1175">
        <v>0</v>
      </c>
      <c r="AN1567" s="1176" t="s">
        <v>3652</v>
      </c>
      <c r="AO1567" s="243"/>
      <c r="AP1567" s="357"/>
      <c r="AQ1567" s="104"/>
      <c r="AR1567" s="104"/>
      <c r="AS1567" s="104"/>
      <c r="AT1567" s="104"/>
      <c r="AU1567" s="104"/>
      <c r="AV1567" s="104"/>
      <c r="AW1567" s="104"/>
      <c r="AX1567" s="104"/>
      <c r="AY1567" s="104"/>
      <c r="AZ1567" s="104"/>
      <c r="BA1567" s="104"/>
      <c r="BB1567" s="104"/>
      <c r="BC1567" s="104"/>
      <c r="BD1567" s="104"/>
      <c r="BE1567" s="104"/>
      <c r="BF1567" s="104"/>
      <c r="BG1567" s="104"/>
      <c r="BH1567" s="104"/>
      <c r="BI1567" s="104"/>
      <c r="BJ1567" s="104"/>
      <c r="BK1567" s="104"/>
      <c r="BL1567" s="104"/>
      <c r="BM1567" s="104"/>
      <c r="BN1567" s="104"/>
      <c r="BO1567" s="104"/>
      <c r="BP1567" s="104"/>
      <c r="BQ1567" s="104"/>
      <c r="BR1567" s="104"/>
      <c r="BS1567" s="104"/>
      <c r="BT1567" s="104"/>
      <c r="BU1567" s="104"/>
      <c r="BV1567" s="104"/>
      <c r="BW1567" s="104"/>
      <c r="BX1567" s="104"/>
      <c r="BY1567" s="104"/>
      <c r="BZ1567" s="104"/>
      <c r="CA1567" s="358"/>
      <c r="CB1567" s="102"/>
      <c r="CC1567" s="102"/>
      <c r="CD1567" s="102"/>
      <c r="CE1567" s="102"/>
      <c r="CF1567" s="102"/>
      <c r="CG1567" s="102"/>
      <c r="CH1567" s="102"/>
      <c r="CI1567" s="102"/>
      <c r="CJ1567" s="102"/>
      <c r="CK1567" s="102"/>
      <c r="CL1567" s="102"/>
      <c r="CM1567" s="102"/>
      <c r="CN1567" s="102"/>
      <c r="CO1567" s="102"/>
      <c r="CP1567" s="102"/>
      <c r="CQ1567" s="102"/>
      <c r="CR1567" s="102"/>
      <c r="CS1567" s="102"/>
      <c r="CT1567" s="102"/>
      <c r="CU1567" s="102"/>
      <c r="CV1567" s="102"/>
      <c r="CW1567" s="102"/>
      <c r="CX1567" s="102"/>
      <c r="CY1567" s="102"/>
      <c r="CZ1567" s="102"/>
      <c r="DA1567" s="102"/>
      <c r="DB1567" s="102"/>
      <c r="DC1567" s="102"/>
      <c r="DD1567" s="102"/>
      <c r="DE1567" s="102"/>
      <c r="DF1567" s="102"/>
      <c r="DG1567" s="102"/>
      <c r="DH1567" s="102"/>
      <c r="DI1567" s="102"/>
      <c r="DJ1567" s="102"/>
      <c r="DK1567" s="102"/>
      <c r="DL1567" s="102"/>
      <c r="DM1567" s="102"/>
      <c r="DN1567" s="102"/>
      <c r="DO1567" s="102"/>
      <c r="DP1567" s="102"/>
      <c r="DQ1567" s="102"/>
      <c r="DR1567" s="102"/>
      <c r="DS1567" s="102"/>
      <c r="DT1567" s="102"/>
      <c r="DU1567" s="102"/>
      <c r="DV1567" s="102"/>
      <c r="DW1567" s="102"/>
      <c r="DX1567" s="102"/>
      <c r="DY1567" s="102"/>
    </row>
    <row r="1568" spans="1:129" s="359" customFormat="1" ht="28.95" customHeight="1" x14ac:dyDescent="0.3">
      <c r="A1568" s="360" t="s">
        <v>1641</v>
      </c>
      <c r="B1568" s="360" t="s">
        <v>48</v>
      </c>
      <c r="C1568" s="1212" t="s">
        <v>3653</v>
      </c>
      <c r="D1568" s="360" t="s">
        <v>34</v>
      </c>
      <c r="E1568" s="360">
        <v>55</v>
      </c>
      <c r="F1568" s="360" t="s">
        <v>35</v>
      </c>
      <c r="G1568" s="360">
        <v>254</v>
      </c>
      <c r="H1568" s="366">
        <v>255000000</v>
      </c>
      <c r="I1568" s="360" t="s">
        <v>36</v>
      </c>
      <c r="J1568" s="366">
        <v>255000000</v>
      </c>
      <c r="K1568" s="1693">
        <v>0</v>
      </c>
      <c r="L1568" s="1693">
        <v>0</v>
      </c>
      <c r="M1568" s="237" t="s">
        <v>40</v>
      </c>
      <c r="N1568" s="237" t="s">
        <v>40</v>
      </c>
      <c r="O1568" s="237" t="s">
        <v>40</v>
      </c>
      <c r="P1568" s="237" t="s">
        <v>40</v>
      </c>
      <c r="Q1568" s="375"/>
      <c r="R1568" s="237" t="s">
        <v>40</v>
      </c>
      <c r="S1568" s="375"/>
      <c r="T1568" s="237" t="s">
        <v>40</v>
      </c>
      <c r="U1568" s="375"/>
      <c r="V1568" s="237" t="s">
        <v>40</v>
      </c>
      <c r="W1568" s="375"/>
      <c r="X1568" s="237" t="s">
        <v>40</v>
      </c>
      <c r="Y1568" s="375"/>
      <c r="Z1568" s="237" t="s">
        <v>41</v>
      </c>
      <c r="AA1568" s="375"/>
      <c r="AB1568" s="237"/>
      <c r="AC1568" s="375"/>
      <c r="AD1568" s="375"/>
      <c r="AE1568" s="375">
        <v>46203</v>
      </c>
      <c r="AF1568" s="237" t="s">
        <v>65</v>
      </c>
      <c r="AG1568" s="238">
        <v>2026</v>
      </c>
      <c r="AH1568" s="1174">
        <v>0</v>
      </c>
      <c r="AI1568" s="1174"/>
      <c r="AJ1568" s="1174"/>
      <c r="AK1568" s="360" t="s">
        <v>43</v>
      </c>
      <c r="AL1568" s="360" t="s">
        <v>41</v>
      </c>
      <c r="AM1568" s="1175">
        <v>0</v>
      </c>
      <c r="AN1568" s="1176"/>
      <c r="AO1568" s="243"/>
      <c r="AP1568" s="357"/>
      <c r="AQ1568" s="104"/>
      <c r="AR1568" s="104"/>
      <c r="AS1568" s="104"/>
      <c r="AT1568" s="104"/>
      <c r="AU1568" s="104"/>
      <c r="AV1568" s="104"/>
      <c r="AW1568" s="104"/>
      <c r="AX1568" s="104"/>
      <c r="AY1568" s="104"/>
      <c r="AZ1568" s="104"/>
      <c r="BA1568" s="104"/>
      <c r="BB1568" s="104"/>
      <c r="BC1568" s="104"/>
      <c r="BD1568" s="104"/>
      <c r="BE1568" s="104"/>
      <c r="BF1568" s="104"/>
      <c r="BG1568" s="104"/>
      <c r="BH1568" s="104"/>
      <c r="BI1568" s="104"/>
      <c r="BJ1568" s="104"/>
      <c r="BK1568" s="104"/>
      <c r="BL1568" s="104"/>
      <c r="BM1568" s="104"/>
      <c r="BN1568" s="104"/>
      <c r="BO1568" s="104"/>
      <c r="BP1568" s="104"/>
      <c r="BQ1568" s="104"/>
      <c r="BR1568" s="104"/>
      <c r="BS1568" s="104"/>
      <c r="BT1568" s="104"/>
      <c r="BU1568" s="104"/>
      <c r="BV1568" s="104"/>
      <c r="BW1568" s="104"/>
      <c r="BX1568" s="104"/>
      <c r="BY1568" s="104"/>
      <c r="BZ1568" s="104"/>
      <c r="CA1568" s="358"/>
      <c r="CB1568" s="102"/>
      <c r="CC1568" s="102"/>
      <c r="CD1568" s="102"/>
      <c r="CE1568" s="102"/>
      <c r="CF1568" s="102"/>
      <c r="CG1568" s="102"/>
      <c r="CH1568" s="102"/>
      <c r="CI1568" s="102"/>
      <c r="CJ1568" s="102"/>
      <c r="CK1568" s="102"/>
      <c r="CL1568" s="102"/>
      <c r="CM1568" s="102"/>
      <c r="CN1568" s="102"/>
      <c r="CO1568" s="102"/>
      <c r="CP1568" s="102"/>
      <c r="CQ1568" s="102"/>
      <c r="CR1568" s="102"/>
      <c r="CS1568" s="102"/>
      <c r="CT1568" s="102"/>
      <c r="CU1568" s="102"/>
      <c r="CV1568" s="102"/>
      <c r="CW1568" s="102"/>
      <c r="CX1568" s="102"/>
      <c r="CY1568" s="102"/>
      <c r="CZ1568" s="102"/>
      <c r="DA1568" s="102"/>
      <c r="DB1568" s="102"/>
      <c r="DC1568" s="102"/>
      <c r="DD1568" s="102"/>
      <c r="DE1568" s="102"/>
      <c r="DF1568" s="102"/>
      <c r="DG1568" s="102"/>
      <c r="DH1568" s="102"/>
      <c r="DI1568" s="102"/>
      <c r="DJ1568" s="102"/>
      <c r="DK1568" s="102"/>
      <c r="DL1568" s="102"/>
      <c r="DM1568" s="102"/>
      <c r="DN1568" s="102"/>
      <c r="DO1568" s="102"/>
      <c r="DP1568" s="102"/>
      <c r="DQ1568" s="102"/>
      <c r="DR1568" s="102"/>
      <c r="DS1568" s="102"/>
      <c r="DT1568" s="102"/>
      <c r="DU1568" s="102"/>
      <c r="DV1568" s="102"/>
      <c r="DW1568" s="102"/>
      <c r="DX1568" s="102"/>
      <c r="DY1568" s="102"/>
    </row>
    <row r="1569" spans="1:129" s="365" customFormat="1" ht="34.200000000000003" customHeight="1" x14ac:dyDescent="0.3">
      <c r="A1569" s="361" t="s">
        <v>1641</v>
      </c>
      <c r="B1569" s="361" t="s">
        <v>48</v>
      </c>
      <c r="C1569" s="1177" t="s">
        <v>3654</v>
      </c>
      <c r="D1569" s="361" t="s">
        <v>34</v>
      </c>
      <c r="E1569" s="361">
        <v>55</v>
      </c>
      <c r="F1569" s="361" t="s">
        <v>35</v>
      </c>
      <c r="G1569" s="361">
        <v>254</v>
      </c>
      <c r="H1569" s="362">
        <v>234221855</v>
      </c>
      <c r="I1569" s="361" t="s">
        <v>36</v>
      </c>
      <c r="J1569" s="362">
        <v>228221855</v>
      </c>
      <c r="K1569" s="1694">
        <v>0</v>
      </c>
      <c r="L1569" s="1694">
        <v>0</v>
      </c>
      <c r="M1569" s="376" t="s">
        <v>40</v>
      </c>
      <c r="N1569" s="376" t="s">
        <v>40</v>
      </c>
      <c r="O1569" s="376" t="s">
        <v>40</v>
      </c>
      <c r="P1569" s="376" t="s">
        <v>40</v>
      </c>
      <c r="Q1569" s="377"/>
      <c r="R1569" s="376" t="s">
        <v>40</v>
      </c>
      <c r="S1569" s="377"/>
      <c r="T1569" s="376" t="s">
        <v>40</v>
      </c>
      <c r="U1569" s="377"/>
      <c r="V1569" s="376" t="s">
        <v>40</v>
      </c>
      <c r="W1569" s="377"/>
      <c r="X1569" s="376" t="s">
        <v>40</v>
      </c>
      <c r="Y1569" s="377"/>
      <c r="Z1569" s="376" t="s">
        <v>41</v>
      </c>
      <c r="AA1569" s="377">
        <v>45078</v>
      </c>
      <c r="AB1569" s="376" t="s">
        <v>41</v>
      </c>
      <c r="AC1569" s="377">
        <v>45275</v>
      </c>
      <c r="AD1569" s="377"/>
      <c r="AE1569" s="377">
        <v>46203</v>
      </c>
      <c r="AF1569" s="376" t="s">
        <v>65</v>
      </c>
      <c r="AG1569" s="1180">
        <v>2026</v>
      </c>
      <c r="AH1569" s="1179">
        <v>0</v>
      </c>
      <c r="AI1569" s="1179"/>
      <c r="AJ1569" s="1179"/>
      <c r="AK1569" s="361" t="s">
        <v>43</v>
      </c>
      <c r="AL1569" s="361" t="s">
        <v>41</v>
      </c>
      <c r="AM1569" s="1181">
        <v>0</v>
      </c>
      <c r="AN1569" s="1211"/>
      <c r="AO1569" s="243"/>
      <c r="AP1569" s="357"/>
      <c r="AQ1569" s="104"/>
      <c r="AR1569" s="104"/>
      <c r="AS1569" s="104"/>
      <c r="AT1569" s="104"/>
      <c r="AU1569" s="104"/>
      <c r="AV1569" s="104"/>
      <c r="AW1569" s="104"/>
      <c r="AX1569" s="104"/>
      <c r="AY1569" s="104"/>
      <c r="AZ1569" s="104"/>
      <c r="BA1569" s="104"/>
      <c r="BB1569" s="104"/>
      <c r="BC1569" s="104"/>
      <c r="BD1569" s="104"/>
      <c r="BE1569" s="104"/>
      <c r="BF1569" s="104"/>
      <c r="BG1569" s="104"/>
      <c r="BH1569" s="104"/>
      <c r="BI1569" s="104"/>
      <c r="BJ1569" s="104"/>
      <c r="BK1569" s="104"/>
      <c r="BL1569" s="104"/>
      <c r="BM1569" s="104"/>
      <c r="BN1569" s="104"/>
      <c r="BO1569" s="104"/>
      <c r="BP1569" s="104"/>
      <c r="BQ1569" s="104"/>
      <c r="BR1569" s="104"/>
      <c r="BS1569" s="104"/>
      <c r="BT1569" s="104"/>
      <c r="BU1569" s="104"/>
      <c r="BV1569" s="104"/>
      <c r="BW1569" s="104"/>
      <c r="BX1569" s="104"/>
      <c r="BY1569" s="104"/>
      <c r="BZ1569" s="104"/>
      <c r="CA1569" s="358"/>
      <c r="CB1569" s="102"/>
      <c r="CC1569" s="102"/>
      <c r="CD1569" s="102"/>
      <c r="CE1569" s="102"/>
      <c r="CF1569" s="102"/>
      <c r="CG1569" s="102"/>
      <c r="CH1569" s="102"/>
      <c r="CI1569" s="102"/>
      <c r="CJ1569" s="102"/>
      <c r="CK1569" s="102"/>
      <c r="CL1569" s="102"/>
      <c r="CM1569" s="102"/>
      <c r="CN1569" s="102"/>
      <c r="CO1569" s="102"/>
      <c r="CP1569" s="102"/>
      <c r="CQ1569" s="102"/>
      <c r="CR1569" s="102"/>
      <c r="CS1569" s="102"/>
      <c r="CT1569" s="102"/>
      <c r="CU1569" s="102"/>
      <c r="CV1569" s="102"/>
      <c r="CW1569" s="102"/>
      <c r="CX1569" s="102"/>
      <c r="CY1569" s="102"/>
      <c r="CZ1569" s="102"/>
      <c r="DA1569" s="102"/>
      <c r="DB1569" s="102"/>
      <c r="DC1569" s="102"/>
      <c r="DD1569" s="102"/>
      <c r="DE1569" s="102"/>
      <c r="DF1569" s="102"/>
      <c r="DG1569" s="102"/>
      <c r="DH1569" s="102"/>
      <c r="DI1569" s="102"/>
      <c r="DJ1569" s="102"/>
      <c r="DK1569" s="102"/>
      <c r="DL1569" s="102"/>
      <c r="DM1569" s="102"/>
      <c r="DN1569" s="102"/>
      <c r="DO1569" s="102"/>
      <c r="DP1569" s="102"/>
      <c r="DQ1569" s="102"/>
      <c r="DR1569" s="102"/>
      <c r="DS1569" s="102"/>
      <c r="DT1569" s="102"/>
      <c r="DU1569" s="102"/>
      <c r="DV1569" s="102"/>
      <c r="DW1569" s="102"/>
      <c r="DX1569" s="102"/>
      <c r="DY1569" s="102"/>
    </row>
    <row r="1570" spans="1:129" s="359" customFormat="1" ht="41.4" customHeight="1" x14ac:dyDescent="0.3">
      <c r="A1570" s="361" t="s">
        <v>1641</v>
      </c>
      <c r="B1570" s="361" t="s">
        <v>48</v>
      </c>
      <c r="C1570" s="1177" t="s">
        <v>3655</v>
      </c>
      <c r="D1570" s="361" t="s">
        <v>34</v>
      </c>
      <c r="E1570" s="361">
        <v>55</v>
      </c>
      <c r="F1570" s="361" t="s">
        <v>35</v>
      </c>
      <c r="G1570" s="361">
        <v>5</v>
      </c>
      <c r="H1570" s="362">
        <v>20778145</v>
      </c>
      <c r="I1570" s="361" t="s">
        <v>36</v>
      </c>
      <c r="J1570" s="362">
        <v>20778145</v>
      </c>
      <c r="K1570" s="1694">
        <v>0</v>
      </c>
      <c r="L1570" s="1694">
        <v>0</v>
      </c>
      <c r="M1570" s="376" t="s">
        <v>40</v>
      </c>
      <c r="N1570" s="376" t="s">
        <v>40</v>
      </c>
      <c r="O1570" s="376" t="s">
        <v>40</v>
      </c>
      <c r="P1570" s="376" t="s">
        <v>40</v>
      </c>
      <c r="Q1570" s="377"/>
      <c r="R1570" s="376" t="s">
        <v>40</v>
      </c>
      <c r="S1570" s="377"/>
      <c r="T1570" s="376" t="s">
        <v>41</v>
      </c>
      <c r="U1570" s="377">
        <v>45015</v>
      </c>
      <c r="V1570" s="376" t="s">
        <v>40</v>
      </c>
      <c r="W1570" s="377"/>
      <c r="X1570" s="376" t="s">
        <v>40</v>
      </c>
      <c r="Y1570" s="377"/>
      <c r="Z1570" s="376" t="s">
        <v>41</v>
      </c>
      <c r="AA1570" s="377">
        <v>45078</v>
      </c>
      <c r="AB1570" s="376" t="s">
        <v>41</v>
      </c>
      <c r="AC1570" s="377">
        <v>45275</v>
      </c>
      <c r="AD1570" s="377"/>
      <c r="AE1570" s="377">
        <v>46203</v>
      </c>
      <c r="AF1570" s="376" t="s">
        <v>65</v>
      </c>
      <c r="AG1570" s="1180">
        <v>2026</v>
      </c>
      <c r="AH1570" s="1179">
        <v>0</v>
      </c>
      <c r="AI1570" s="1179"/>
      <c r="AJ1570" s="1179"/>
      <c r="AK1570" s="361" t="s">
        <v>43</v>
      </c>
      <c r="AL1570" s="361" t="s">
        <v>41</v>
      </c>
      <c r="AM1570" s="1181">
        <v>0</v>
      </c>
      <c r="AN1570" s="1211"/>
      <c r="AO1570" s="243"/>
      <c r="AP1570" s="357"/>
      <c r="AQ1570" s="104"/>
      <c r="AR1570" s="104"/>
      <c r="AS1570" s="104"/>
      <c r="AT1570" s="104"/>
      <c r="AU1570" s="104"/>
      <c r="AV1570" s="104"/>
      <c r="AW1570" s="104"/>
      <c r="AX1570" s="104"/>
      <c r="AY1570" s="104"/>
      <c r="AZ1570" s="104"/>
      <c r="BA1570" s="104"/>
      <c r="BB1570" s="104"/>
      <c r="BC1570" s="104"/>
      <c r="BD1570" s="104"/>
      <c r="BE1570" s="104"/>
      <c r="BF1570" s="104"/>
      <c r="BG1570" s="104"/>
      <c r="BH1570" s="104"/>
      <c r="BI1570" s="104"/>
      <c r="BJ1570" s="104"/>
      <c r="BK1570" s="104"/>
      <c r="BL1570" s="104"/>
      <c r="BM1570" s="104"/>
      <c r="BN1570" s="104"/>
      <c r="BO1570" s="104"/>
      <c r="BP1570" s="104"/>
      <c r="BQ1570" s="104"/>
      <c r="BR1570" s="104"/>
      <c r="BS1570" s="104"/>
      <c r="BT1570" s="104"/>
      <c r="BU1570" s="104"/>
      <c r="BV1570" s="104"/>
      <c r="BW1570" s="104"/>
      <c r="BX1570" s="104"/>
      <c r="BY1570" s="104"/>
      <c r="BZ1570" s="104"/>
      <c r="CA1570" s="358"/>
      <c r="CB1570" s="102"/>
      <c r="CC1570" s="102"/>
      <c r="CD1570" s="102"/>
      <c r="CE1570" s="102"/>
      <c r="CF1570" s="102"/>
      <c r="CG1570" s="102"/>
      <c r="CH1570" s="102"/>
      <c r="CI1570" s="102"/>
      <c r="CJ1570" s="102"/>
      <c r="CK1570" s="102"/>
      <c r="CL1570" s="102"/>
      <c r="CM1570" s="102"/>
      <c r="CN1570" s="102"/>
      <c r="CO1570" s="102"/>
      <c r="CP1570" s="102"/>
      <c r="CQ1570" s="102"/>
      <c r="CR1570" s="102"/>
      <c r="CS1570" s="102"/>
      <c r="CT1570" s="102"/>
      <c r="CU1570" s="102"/>
      <c r="CV1570" s="102"/>
      <c r="CW1570" s="102"/>
      <c r="CX1570" s="102"/>
      <c r="CY1570" s="102"/>
      <c r="CZ1570" s="102"/>
      <c r="DA1570" s="102"/>
      <c r="DB1570" s="102"/>
      <c r="DC1570" s="102"/>
      <c r="DD1570" s="102"/>
      <c r="DE1570" s="102"/>
      <c r="DF1570" s="102"/>
      <c r="DG1570" s="102"/>
      <c r="DH1570" s="102"/>
      <c r="DI1570" s="102"/>
      <c r="DJ1570" s="102"/>
      <c r="DK1570" s="102"/>
      <c r="DL1570" s="102"/>
      <c r="DM1570" s="102"/>
      <c r="DN1570" s="102"/>
      <c r="DO1570" s="102"/>
      <c r="DP1570" s="102"/>
      <c r="DQ1570" s="102"/>
      <c r="DR1570" s="102"/>
      <c r="DS1570" s="102"/>
      <c r="DT1570" s="102"/>
      <c r="DU1570" s="102"/>
      <c r="DV1570" s="102"/>
      <c r="DW1570" s="102"/>
      <c r="DX1570" s="102"/>
      <c r="DY1570" s="102"/>
    </row>
    <row r="1571" spans="1:129" s="138" customFormat="1" ht="45" customHeight="1" x14ac:dyDescent="0.3">
      <c r="A1571" s="360" t="s">
        <v>1641</v>
      </c>
      <c r="B1571" s="360" t="s">
        <v>3656</v>
      </c>
      <c r="C1571" s="1212" t="s">
        <v>3657</v>
      </c>
      <c r="D1571" s="360" t="s">
        <v>34</v>
      </c>
      <c r="E1571" s="360" t="s">
        <v>3658</v>
      </c>
      <c r="F1571" s="360" t="s">
        <v>35</v>
      </c>
      <c r="G1571" s="360" t="s">
        <v>3659</v>
      </c>
      <c r="H1571" s="366">
        <v>13000000</v>
      </c>
      <c r="I1571" s="360" t="s">
        <v>36</v>
      </c>
      <c r="J1571" s="366">
        <v>13000000</v>
      </c>
      <c r="K1571" s="1693">
        <v>0</v>
      </c>
      <c r="L1571" s="1693">
        <v>0</v>
      </c>
      <c r="M1571" s="1886" t="s">
        <v>3660</v>
      </c>
      <c r="N1571" s="1886"/>
      <c r="O1571" s="237" t="s">
        <v>3661</v>
      </c>
      <c r="P1571" s="237" t="s">
        <v>40</v>
      </c>
      <c r="Q1571" s="375"/>
      <c r="R1571" s="237" t="s">
        <v>40</v>
      </c>
      <c r="S1571" s="375"/>
      <c r="T1571" s="237" t="s">
        <v>40</v>
      </c>
      <c r="U1571" s="375"/>
      <c r="V1571" s="237" t="s">
        <v>41</v>
      </c>
      <c r="W1571" s="375">
        <v>45077</v>
      </c>
      <c r="X1571" s="237" t="s">
        <v>41</v>
      </c>
      <c r="Y1571" s="375">
        <v>45169</v>
      </c>
      <c r="Z1571" s="237" t="s">
        <v>40</v>
      </c>
      <c r="AA1571" s="375"/>
      <c r="AB1571" s="237" t="s">
        <v>40</v>
      </c>
      <c r="AC1571" s="375"/>
      <c r="AD1571" s="375"/>
      <c r="AE1571" s="375">
        <v>45930</v>
      </c>
      <c r="AF1571" s="237" t="s">
        <v>3662</v>
      </c>
      <c r="AG1571" s="238" t="s">
        <v>3663</v>
      </c>
      <c r="AH1571" s="1174">
        <v>0</v>
      </c>
      <c r="AI1571" s="1174"/>
      <c r="AJ1571" s="1174"/>
      <c r="AK1571" s="360" t="s">
        <v>43</v>
      </c>
      <c r="AL1571" s="360" t="s">
        <v>41</v>
      </c>
      <c r="AM1571" s="1175">
        <v>0</v>
      </c>
      <c r="AN1571" s="1176" t="s">
        <v>40</v>
      </c>
      <c r="AO1571" s="243"/>
      <c r="AP1571" s="357"/>
      <c r="AQ1571" s="104"/>
      <c r="AR1571" s="104"/>
      <c r="AS1571" s="104"/>
      <c r="AT1571" s="104"/>
      <c r="AU1571" s="104"/>
      <c r="AV1571" s="104"/>
      <c r="AW1571" s="104"/>
      <c r="AX1571" s="104"/>
      <c r="AY1571" s="104"/>
      <c r="AZ1571" s="104"/>
      <c r="BA1571" s="104"/>
      <c r="BB1571" s="104"/>
      <c r="BC1571" s="104"/>
      <c r="BD1571" s="104"/>
      <c r="BE1571" s="104"/>
      <c r="BF1571" s="104"/>
      <c r="BG1571" s="104"/>
      <c r="BH1571" s="104"/>
      <c r="BI1571" s="104"/>
      <c r="BJ1571" s="104"/>
      <c r="BK1571" s="104"/>
      <c r="BL1571" s="104"/>
      <c r="BM1571" s="104"/>
      <c r="BN1571" s="104"/>
      <c r="BO1571" s="104"/>
      <c r="BP1571" s="104"/>
      <c r="BQ1571" s="104"/>
      <c r="BR1571" s="104"/>
      <c r="BS1571" s="104"/>
      <c r="BT1571" s="104"/>
      <c r="BU1571" s="104"/>
      <c r="BV1571" s="104"/>
      <c r="BW1571" s="104"/>
      <c r="BX1571" s="104"/>
      <c r="BY1571" s="104"/>
      <c r="BZ1571" s="104"/>
      <c r="CA1571" s="358"/>
      <c r="CB1571" s="102"/>
      <c r="CC1571" s="102"/>
      <c r="CD1571" s="102"/>
      <c r="CE1571" s="102"/>
      <c r="CF1571" s="102"/>
      <c r="CG1571" s="102"/>
      <c r="CH1571" s="102"/>
      <c r="CI1571" s="102"/>
      <c r="CJ1571" s="102"/>
      <c r="CK1571" s="102"/>
      <c r="CL1571" s="102"/>
      <c r="CM1571" s="102"/>
      <c r="CN1571" s="102"/>
      <c r="CO1571" s="102"/>
      <c r="CP1571" s="102"/>
      <c r="CQ1571" s="102"/>
      <c r="CR1571" s="102"/>
      <c r="CS1571" s="102"/>
      <c r="CT1571" s="102"/>
      <c r="CU1571" s="102"/>
      <c r="CV1571" s="102"/>
      <c r="CW1571" s="102"/>
      <c r="CX1571" s="102"/>
      <c r="CY1571" s="102"/>
      <c r="CZ1571" s="102"/>
      <c r="DA1571" s="102"/>
      <c r="DB1571" s="102"/>
      <c r="DC1571" s="102"/>
      <c r="DD1571" s="102"/>
      <c r="DE1571" s="102"/>
      <c r="DF1571" s="102"/>
      <c r="DG1571" s="102"/>
      <c r="DH1571" s="102"/>
      <c r="DI1571" s="102"/>
      <c r="DJ1571" s="102"/>
      <c r="DK1571" s="102"/>
      <c r="DL1571" s="102"/>
      <c r="DM1571" s="102"/>
      <c r="DN1571" s="102"/>
      <c r="DO1571" s="102"/>
      <c r="DP1571" s="102"/>
      <c r="DQ1571" s="102"/>
      <c r="DR1571" s="102"/>
      <c r="DS1571" s="102"/>
      <c r="DT1571" s="102"/>
      <c r="DU1571" s="102"/>
      <c r="DV1571" s="102"/>
      <c r="DW1571" s="102"/>
      <c r="DX1571" s="102"/>
      <c r="DY1571" s="102"/>
    </row>
    <row r="1572" spans="1:129" s="138" customFormat="1" ht="45" customHeight="1" x14ac:dyDescent="0.3">
      <c r="A1572" s="361" t="s">
        <v>1641</v>
      </c>
      <c r="B1572" s="361" t="s">
        <v>3656</v>
      </c>
      <c r="C1572" s="1177" t="s">
        <v>3664</v>
      </c>
      <c r="D1572" s="361" t="s">
        <v>34</v>
      </c>
      <c r="E1572" s="361" t="s">
        <v>3658</v>
      </c>
      <c r="F1572" s="361" t="s">
        <v>35</v>
      </c>
      <c r="G1572" s="932" t="s">
        <v>3659</v>
      </c>
      <c r="H1572" s="362">
        <v>13000000</v>
      </c>
      <c r="I1572" s="361" t="s">
        <v>36</v>
      </c>
      <c r="J1572" s="362">
        <v>13000000</v>
      </c>
      <c r="K1572" s="1694">
        <v>0</v>
      </c>
      <c r="L1572" s="1694">
        <v>0</v>
      </c>
      <c r="M1572" s="1887" t="s">
        <v>3660</v>
      </c>
      <c r="N1572" s="1887"/>
      <c r="O1572" s="376" t="s">
        <v>3661</v>
      </c>
      <c r="P1572" s="376" t="s">
        <v>40</v>
      </c>
      <c r="Q1572" s="377"/>
      <c r="R1572" s="376" t="s">
        <v>40</v>
      </c>
      <c r="S1572" s="377"/>
      <c r="T1572" s="376" t="s">
        <v>40</v>
      </c>
      <c r="U1572" s="377"/>
      <c r="V1572" s="376" t="s">
        <v>41</v>
      </c>
      <c r="W1572" s="377">
        <v>45077</v>
      </c>
      <c r="X1572" s="376" t="s">
        <v>41</v>
      </c>
      <c r="Y1572" s="377">
        <v>45169</v>
      </c>
      <c r="Z1572" s="376" t="s">
        <v>40</v>
      </c>
      <c r="AA1572" s="377"/>
      <c r="AB1572" s="376" t="s">
        <v>40</v>
      </c>
      <c r="AC1572" s="377"/>
      <c r="AD1572" s="377"/>
      <c r="AE1572" s="377">
        <v>45930</v>
      </c>
      <c r="AF1572" s="376" t="s">
        <v>247</v>
      </c>
      <c r="AG1572" s="1180">
        <v>2024</v>
      </c>
      <c r="AH1572" s="1179">
        <v>0</v>
      </c>
      <c r="AI1572" s="1179"/>
      <c r="AJ1572" s="1179"/>
      <c r="AK1572" s="361" t="s">
        <v>43</v>
      </c>
      <c r="AL1572" s="361" t="s">
        <v>41</v>
      </c>
      <c r="AM1572" s="1181">
        <v>0</v>
      </c>
      <c r="AN1572" s="1211" t="s">
        <v>3665</v>
      </c>
      <c r="AO1572" s="243"/>
      <c r="AP1572" s="357"/>
      <c r="AQ1572" s="104"/>
      <c r="AR1572" s="104"/>
      <c r="AS1572" s="104"/>
      <c r="AT1572" s="104"/>
      <c r="AU1572" s="104"/>
      <c r="AV1572" s="104"/>
      <c r="AW1572" s="104"/>
      <c r="AX1572" s="104"/>
      <c r="AY1572" s="104"/>
      <c r="AZ1572" s="104"/>
      <c r="BA1572" s="104"/>
      <c r="BB1572" s="104"/>
      <c r="BC1572" s="104"/>
      <c r="BD1572" s="104"/>
      <c r="BE1572" s="104"/>
      <c r="BF1572" s="104"/>
      <c r="BG1572" s="104"/>
      <c r="BH1572" s="104"/>
      <c r="BI1572" s="104"/>
      <c r="BJ1572" s="104"/>
      <c r="BK1572" s="104"/>
      <c r="BL1572" s="104"/>
      <c r="BM1572" s="104"/>
      <c r="BN1572" s="104"/>
      <c r="BO1572" s="104"/>
      <c r="BP1572" s="104"/>
      <c r="BQ1572" s="104"/>
      <c r="BR1572" s="104"/>
      <c r="BS1572" s="104"/>
      <c r="BT1572" s="104"/>
      <c r="BU1572" s="104"/>
      <c r="BV1572" s="104"/>
      <c r="BW1572" s="104"/>
      <c r="BX1572" s="104"/>
      <c r="BY1572" s="104"/>
      <c r="BZ1572" s="104"/>
      <c r="CA1572" s="358"/>
      <c r="CB1572" s="102"/>
      <c r="CC1572" s="102"/>
      <c r="CD1572" s="102"/>
      <c r="CE1572" s="102"/>
      <c r="CF1572" s="102"/>
      <c r="CG1572" s="102"/>
      <c r="CH1572" s="102"/>
      <c r="CI1572" s="102"/>
      <c r="CJ1572" s="102"/>
      <c r="CK1572" s="102"/>
      <c r="CL1572" s="102"/>
      <c r="CM1572" s="102"/>
      <c r="CN1572" s="102"/>
      <c r="CO1572" s="102"/>
      <c r="CP1572" s="102"/>
      <c r="CQ1572" s="102"/>
      <c r="CR1572" s="102"/>
      <c r="CS1572" s="102"/>
      <c r="CT1572" s="102"/>
      <c r="CU1572" s="102"/>
      <c r="CV1572" s="102"/>
      <c r="CW1572" s="102"/>
      <c r="CX1572" s="102"/>
      <c r="CY1572" s="102"/>
      <c r="CZ1572" s="102"/>
      <c r="DA1572" s="102"/>
      <c r="DB1572" s="102"/>
      <c r="DC1572" s="102"/>
      <c r="DD1572" s="102"/>
      <c r="DE1572" s="102"/>
      <c r="DF1572" s="102"/>
      <c r="DG1572" s="102"/>
      <c r="DH1572" s="102"/>
      <c r="DI1572" s="102"/>
      <c r="DJ1572" s="102"/>
      <c r="DK1572" s="102"/>
      <c r="DL1572" s="102"/>
      <c r="DM1572" s="102"/>
      <c r="DN1572" s="102"/>
      <c r="DO1572" s="102"/>
      <c r="DP1572" s="102"/>
      <c r="DQ1572" s="102"/>
      <c r="DR1572" s="102"/>
      <c r="DS1572" s="102"/>
      <c r="DT1572" s="102"/>
      <c r="DU1572" s="102"/>
      <c r="DV1572" s="102"/>
      <c r="DW1572" s="102"/>
      <c r="DX1572" s="102"/>
      <c r="DY1572" s="102"/>
    </row>
    <row r="1573" spans="1:129" s="138" customFormat="1" ht="45" customHeight="1" x14ac:dyDescent="0.3">
      <c r="A1573" s="520" t="s">
        <v>1641</v>
      </c>
      <c r="B1573" s="368" t="s">
        <v>3656</v>
      </c>
      <c r="C1573" s="1217" t="s">
        <v>3666</v>
      </c>
      <c r="D1573" s="368" t="s">
        <v>34</v>
      </c>
      <c r="E1573" s="368" t="s">
        <v>3658</v>
      </c>
      <c r="F1573" s="368" t="s">
        <v>35</v>
      </c>
      <c r="G1573" s="368">
        <v>43</v>
      </c>
      <c r="H1573" s="367"/>
      <c r="I1573" s="368" t="s">
        <v>36</v>
      </c>
      <c r="J1573" s="367"/>
      <c r="K1573" s="1703">
        <f>SUM(K1574:K1587)</f>
        <v>5263.82</v>
      </c>
      <c r="L1573" s="1703">
        <f>SUM(L1574:L1587)</f>
        <v>5263.82</v>
      </c>
      <c r="M1573" s="1888" t="s">
        <v>3660</v>
      </c>
      <c r="N1573" s="1888"/>
      <c r="O1573" s="31" t="s">
        <v>3661</v>
      </c>
      <c r="P1573" s="1219" t="s">
        <v>40</v>
      </c>
      <c r="Q1573" s="1220"/>
      <c r="R1573" s="1219" t="s">
        <v>40</v>
      </c>
      <c r="S1573" s="1220"/>
      <c r="T1573" s="1219" t="s">
        <v>40</v>
      </c>
      <c r="U1573" s="1220"/>
      <c r="V1573" s="1219" t="s">
        <v>41</v>
      </c>
      <c r="W1573" s="1221">
        <v>45077</v>
      </c>
      <c r="X1573" s="31" t="s">
        <v>41</v>
      </c>
      <c r="Y1573" s="1221">
        <v>45169</v>
      </c>
      <c r="Z1573" s="1219" t="s">
        <v>40</v>
      </c>
      <c r="AA1573" s="1220"/>
      <c r="AB1573" s="1219" t="s">
        <v>40</v>
      </c>
      <c r="AC1573" s="1220"/>
      <c r="AD1573" s="1220"/>
      <c r="AE1573" s="1220">
        <v>45930</v>
      </c>
      <c r="AF1573" s="1219" t="s">
        <v>247</v>
      </c>
      <c r="AG1573" s="1222">
        <v>2024</v>
      </c>
      <c r="AH1573" s="1218">
        <v>0</v>
      </c>
      <c r="AI1573" s="1218"/>
      <c r="AJ1573" s="1218"/>
      <c r="AK1573" s="368" t="s">
        <v>43</v>
      </c>
      <c r="AL1573" s="368" t="s">
        <v>41</v>
      </c>
      <c r="AM1573" s="1223">
        <v>0</v>
      </c>
      <c r="AN1573" s="1224" t="s">
        <v>40</v>
      </c>
      <c r="AO1573" s="243"/>
      <c r="AP1573" s="357"/>
      <c r="AQ1573" s="104"/>
      <c r="AR1573" s="104"/>
      <c r="AS1573" s="104"/>
      <c r="AT1573" s="104"/>
      <c r="AU1573" s="104"/>
      <c r="AV1573" s="104"/>
      <c r="AW1573" s="104"/>
      <c r="AX1573" s="104"/>
      <c r="AY1573" s="104"/>
      <c r="AZ1573" s="104"/>
      <c r="BA1573" s="104"/>
      <c r="BB1573" s="104"/>
      <c r="BC1573" s="104"/>
      <c r="BD1573" s="104"/>
      <c r="BE1573" s="104"/>
      <c r="BF1573" s="104"/>
      <c r="BG1573" s="104"/>
      <c r="BH1573" s="104"/>
      <c r="BI1573" s="104"/>
      <c r="BJ1573" s="104"/>
      <c r="BK1573" s="104"/>
      <c r="BL1573" s="104"/>
      <c r="BM1573" s="104"/>
      <c r="BN1573" s="104"/>
      <c r="BO1573" s="104"/>
      <c r="BP1573" s="104"/>
      <c r="BQ1573" s="104"/>
      <c r="BR1573" s="104"/>
      <c r="BS1573" s="104"/>
      <c r="BT1573" s="104"/>
      <c r="BU1573" s="104"/>
      <c r="BV1573" s="104"/>
      <c r="BW1573" s="104"/>
      <c r="BX1573" s="104"/>
      <c r="BY1573" s="104"/>
      <c r="BZ1573" s="104"/>
      <c r="CA1573" s="358"/>
      <c r="CB1573" s="102"/>
      <c r="CC1573" s="102"/>
      <c r="CD1573" s="102"/>
      <c r="CE1573" s="102"/>
      <c r="CF1573" s="102"/>
      <c r="CG1573" s="102"/>
      <c r="CH1573" s="102"/>
      <c r="CI1573" s="102"/>
      <c r="CJ1573" s="102"/>
      <c r="CK1573" s="102"/>
      <c r="CL1573" s="102"/>
      <c r="CM1573" s="102"/>
      <c r="CN1573" s="102"/>
      <c r="CO1573" s="102"/>
      <c r="CP1573" s="102"/>
      <c r="CQ1573" s="102"/>
      <c r="CR1573" s="102"/>
      <c r="CS1573" s="102"/>
      <c r="CT1573" s="102"/>
      <c r="CU1573" s="102"/>
      <c r="CV1573" s="102"/>
      <c r="CW1573" s="102"/>
      <c r="CX1573" s="102"/>
      <c r="CY1573" s="102"/>
      <c r="CZ1573" s="102"/>
      <c r="DA1573" s="102"/>
      <c r="DB1573" s="102"/>
      <c r="DC1573" s="102"/>
      <c r="DD1573" s="102"/>
      <c r="DE1573" s="102"/>
      <c r="DF1573" s="102"/>
      <c r="DG1573" s="102"/>
      <c r="DH1573" s="102"/>
      <c r="DI1573" s="102"/>
      <c r="DJ1573" s="102"/>
      <c r="DK1573" s="102"/>
      <c r="DL1573" s="102"/>
      <c r="DM1573" s="102"/>
      <c r="DN1573" s="102"/>
      <c r="DO1573" s="102"/>
      <c r="DP1573" s="102"/>
      <c r="DQ1573" s="102"/>
      <c r="DR1573" s="102"/>
      <c r="DS1573" s="102"/>
      <c r="DT1573" s="102"/>
      <c r="DU1573" s="102"/>
      <c r="DV1573" s="102"/>
      <c r="DW1573" s="102"/>
      <c r="DX1573" s="102"/>
      <c r="DY1573" s="102"/>
    </row>
    <row r="1574" spans="1:129" s="138" customFormat="1" ht="45" customHeight="1" x14ac:dyDescent="0.3">
      <c r="A1574" s="243" t="s">
        <v>1641</v>
      </c>
      <c r="B1574" s="252" t="s">
        <v>3667</v>
      </c>
      <c r="C1574" s="287" t="s">
        <v>3668</v>
      </c>
      <c r="D1574" s="252" t="s">
        <v>34</v>
      </c>
      <c r="E1574" s="252" t="s">
        <v>3658</v>
      </c>
      <c r="F1574" s="252" t="s">
        <v>35</v>
      </c>
      <c r="G1574" s="252">
        <v>1</v>
      </c>
      <c r="H1574" s="245"/>
      <c r="I1574" s="252" t="s">
        <v>36</v>
      </c>
      <c r="J1574" s="245"/>
      <c r="K1574" s="1704">
        <v>0</v>
      </c>
      <c r="L1574" s="1704">
        <v>0</v>
      </c>
      <c r="M1574" s="1884" t="s">
        <v>3660</v>
      </c>
      <c r="N1574" s="1885"/>
      <c r="O1574" s="247" t="s">
        <v>3661</v>
      </c>
      <c r="P1574" s="253" t="s">
        <v>40</v>
      </c>
      <c r="Q1574" s="254"/>
      <c r="R1574" s="253" t="s">
        <v>40</v>
      </c>
      <c r="S1574" s="254"/>
      <c r="T1574" s="253" t="s">
        <v>40</v>
      </c>
      <c r="U1574" s="254"/>
      <c r="V1574" s="253" t="s">
        <v>41</v>
      </c>
      <c r="W1574" s="248"/>
      <c r="X1574" s="247" t="s">
        <v>40</v>
      </c>
      <c r="Y1574" s="248"/>
      <c r="Z1574" s="253" t="s">
        <v>40</v>
      </c>
      <c r="AA1574" s="254"/>
      <c r="AB1574" s="253" t="s">
        <v>40</v>
      </c>
      <c r="AC1574" s="254"/>
      <c r="AD1574" s="254"/>
      <c r="AE1574" s="254">
        <v>45930</v>
      </c>
      <c r="AF1574" s="253" t="s">
        <v>247</v>
      </c>
      <c r="AG1574" s="255">
        <v>2024</v>
      </c>
      <c r="AH1574" s="369">
        <v>0</v>
      </c>
      <c r="AI1574" s="369"/>
      <c r="AJ1574" s="369"/>
      <c r="AK1574" s="252" t="s">
        <v>43</v>
      </c>
      <c r="AL1574" s="252" t="s">
        <v>40</v>
      </c>
      <c r="AM1574" s="370">
        <v>0</v>
      </c>
      <c r="AN1574" s="371" t="s">
        <v>40</v>
      </c>
      <c r="AO1574" s="243"/>
      <c r="AP1574" s="357"/>
      <c r="AQ1574" s="104"/>
      <c r="AR1574" s="104"/>
      <c r="AS1574" s="104"/>
      <c r="AT1574" s="104"/>
      <c r="AU1574" s="104"/>
      <c r="AV1574" s="104"/>
      <c r="AW1574" s="104"/>
      <c r="AX1574" s="104"/>
      <c r="AY1574" s="104"/>
      <c r="AZ1574" s="104"/>
      <c r="BA1574" s="104"/>
      <c r="BB1574" s="104"/>
      <c r="BC1574" s="104"/>
      <c r="BD1574" s="104"/>
      <c r="BE1574" s="104"/>
      <c r="BF1574" s="104"/>
      <c r="BG1574" s="104"/>
      <c r="BH1574" s="104"/>
      <c r="BI1574" s="104"/>
      <c r="BJ1574" s="104"/>
      <c r="BK1574" s="104"/>
      <c r="BL1574" s="104"/>
      <c r="BM1574" s="104"/>
      <c r="BN1574" s="104"/>
      <c r="BO1574" s="104"/>
      <c r="BP1574" s="104"/>
      <c r="BQ1574" s="104"/>
      <c r="BR1574" s="104"/>
      <c r="BS1574" s="104"/>
      <c r="BT1574" s="104"/>
      <c r="BU1574" s="104"/>
      <c r="BV1574" s="104"/>
      <c r="BW1574" s="104"/>
      <c r="BX1574" s="104"/>
      <c r="BY1574" s="104"/>
      <c r="BZ1574" s="104"/>
      <c r="CA1574" s="358"/>
      <c r="CB1574" s="102"/>
      <c r="CC1574" s="102"/>
      <c r="CD1574" s="102"/>
      <c r="CE1574" s="102"/>
      <c r="CF1574" s="102"/>
      <c r="CG1574" s="102"/>
      <c r="CH1574" s="102"/>
      <c r="CI1574" s="102"/>
      <c r="CJ1574" s="102"/>
      <c r="CK1574" s="102"/>
      <c r="CL1574" s="102"/>
      <c r="CM1574" s="102"/>
      <c r="CN1574" s="102"/>
      <c r="CO1574" s="102"/>
      <c r="CP1574" s="102"/>
      <c r="CQ1574" s="102"/>
      <c r="CR1574" s="102"/>
      <c r="CS1574" s="102"/>
      <c r="CT1574" s="102"/>
      <c r="CU1574" s="102"/>
      <c r="CV1574" s="102"/>
      <c r="CW1574" s="102"/>
      <c r="CX1574" s="102"/>
      <c r="CY1574" s="102"/>
      <c r="CZ1574" s="102"/>
      <c r="DA1574" s="102"/>
      <c r="DB1574" s="102"/>
      <c r="DC1574" s="102"/>
      <c r="DD1574" s="102"/>
      <c r="DE1574" s="102"/>
      <c r="DF1574" s="102"/>
      <c r="DG1574" s="102"/>
      <c r="DH1574" s="102"/>
      <c r="DI1574" s="102"/>
      <c r="DJ1574" s="102"/>
      <c r="DK1574" s="102"/>
      <c r="DL1574" s="102"/>
      <c r="DM1574" s="102"/>
      <c r="DN1574" s="102"/>
      <c r="DO1574" s="102"/>
      <c r="DP1574" s="102"/>
      <c r="DQ1574" s="102"/>
      <c r="DR1574" s="102"/>
      <c r="DS1574" s="102"/>
      <c r="DT1574" s="102"/>
      <c r="DU1574" s="102"/>
      <c r="DV1574" s="102"/>
      <c r="DW1574" s="102"/>
      <c r="DX1574" s="102"/>
      <c r="DY1574" s="102"/>
    </row>
    <row r="1575" spans="1:129" s="1761" customFormat="1" ht="45" customHeight="1" x14ac:dyDescent="0.3">
      <c r="A1575" s="1358" t="s">
        <v>1641</v>
      </c>
      <c r="B1575" s="28" t="s">
        <v>3667</v>
      </c>
      <c r="C1575" s="1406" t="s">
        <v>3962</v>
      </c>
      <c r="D1575" s="28" t="s">
        <v>34</v>
      </c>
      <c r="E1575" s="28" t="s">
        <v>3658</v>
      </c>
      <c r="F1575" s="28" t="s">
        <v>35</v>
      </c>
      <c r="G1575" s="28">
        <v>16</v>
      </c>
      <c r="H1575" s="1435">
        <v>1328697.3799999999</v>
      </c>
      <c r="I1575" s="28" t="s">
        <v>36</v>
      </c>
      <c r="J1575" s="1435">
        <v>1328697.3799999999</v>
      </c>
      <c r="K1575" s="1753">
        <v>0</v>
      </c>
      <c r="L1575" s="1753">
        <v>0</v>
      </c>
      <c r="M1575" s="1889" t="s">
        <v>3660</v>
      </c>
      <c r="N1575" s="1890"/>
      <c r="O1575" s="1754" t="s">
        <v>3661</v>
      </c>
      <c r="P1575" s="26" t="s">
        <v>40</v>
      </c>
      <c r="Q1575" s="27"/>
      <c r="R1575" s="26" t="s">
        <v>40</v>
      </c>
      <c r="S1575" s="27"/>
      <c r="T1575" s="26" t="s">
        <v>40</v>
      </c>
      <c r="U1575" s="27"/>
      <c r="V1575" s="26" t="s">
        <v>40</v>
      </c>
      <c r="W1575" s="1755"/>
      <c r="X1575" s="26" t="s">
        <v>40</v>
      </c>
      <c r="Y1575" s="1755"/>
      <c r="Z1575" s="26" t="s">
        <v>40</v>
      </c>
      <c r="AA1575" s="27"/>
      <c r="AB1575" s="26" t="s">
        <v>40</v>
      </c>
      <c r="AC1575" s="27"/>
      <c r="AD1575" s="27" t="s">
        <v>1456</v>
      </c>
      <c r="AE1575" s="27" t="s">
        <v>3963</v>
      </c>
      <c r="AF1575" s="26"/>
      <c r="AG1575" s="1756"/>
      <c r="AH1575" s="1757">
        <v>6616912.96</v>
      </c>
      <c r="AI1575" s="28">
        <v>9255296</v>
      </c>
      <c r="AJ1575" s="1757" t="s">
        <v>3964</v>
      </c>
      <c r="AK1575" s="28" t="s">
        <v>3965</v>
      </c>
      <c r="AL1575" s="1404" t="s">
        <v>40</v>
      </c>
      <c r="AM1575" s="1758">
        <v>0</v>
      </c>
      <c r="AN1575" s="1759"/>
      <c r="AO1575" s="1358"/>
      <c r="AP1575" s="1760"/>
      <c r="AQ1575" s="1414"/>
      <c r="AR1575" s="1414"/>
      <c r="AS1575" s="1414"/>
      <c r="AT1575" s="1414"/>
      <c r="AU1575" s="1414"/>
      <c r="AV1575" s="1414"/>
      <c r="AW1575" s="1414"/>
      <c r="AX1575" s="1414"/>
      <c r="AY1575" s="1414"/>
      <c r="AZ1575" s="1414"/>
      <c r="BA1575" s="1414"/>
      <c r="BB1575" s="1414"/>
      <c r="BC1575" s="1414"/>
      <c r="BD1575" s="1414"/>
      <c r="BE1575" s="1414"/>
      <c r="BF1575" s="1414"/>
      <c r="BG1575" s="1414"/>
      <c r="BH1575" s="1414"/>
      <c r="BI1575" s="1414"/>
      <c r="BJ1575" s="1414"/>
      <c r="BK1575" s="1414"/>
      <c r="BL1575" s="1414"/>
      <c r="BM1575" s="1414"/>
      <c r="BN1575" s="1414"/>
      <c r="BO1575" s="1414"/>
      <c r="BP1575" s="1414"/>
      <c r="BQ1575" s="1414"/>
      <c r="BR1575" s="1414"/>
      <c r="BS1575" s="1414"/>
      <c r="BT1575" s="1414"/>
      <c r="BU1575" s="1414"/>
      <c r="BV1575" s="1414"/>
      <c r="BW1575" s="1414"/>
      <c r="BX1575" s="1414"/>
      <c r="BY1575" s="1414"/>
      <c r="BZ1575" s="1414"/>
      <c r="CA1575" s="1592"/>
      <c r="CB1575" s="1381"/>
      <c r="CC1575" s="1381"/>
      <c r="CD1575" s="1381"/>
      <c r="CE1575" s="1381"/>
      <c r="CF1575" s="1381"/>
      <c r="CG1575" s="1381"/>
      <c r="CH1575" s="1381"/>
      <c r="CI1575" s="1381"/>
      <c r="CJ1575" s="1381"/>
      <c r="CK1575" s="1381"/>
      <c r="CL1575" s="1381"/>
      <c r="CM1575" s="1381"/>
      <c r="CN1575" s="1381"/>
      <c r="CO1575" s="1381"/>
      <c r="CP1575" s="1381"/>
      <c r="CQ1575" s="1381"/>
      <c r="CR1575" s="1381"/>
      <c r="CS1575" s="1381"/>
      <c r="CT1575" s="1381"/>
      <c r="CU1575" s="1381"/>
      <c r="CV1575" s="1381"/>
      <c r="CW1575" s="1381"/>
      <c r="CX1575" s="1381"/>
      <c r="CY1575" s="1381"/>
      <c r="CZ1575" s="1381"/>
      <c r="DA1575" s="1381"/>
      <c r="DB1575" s="1381"/>
      <c r="DC1575" s="1381"/>
      <c r="DD1575" s="1381"/>
      <c r="DE1575" s="1381"/>
      <c r="DF1575" s="1381"/>
      <c r="DG1575" s="1381"/>
      <c r="DH1575" s="1381"/>
      <c r="DI1575" s="1381"/>
      <c r="DJ1575" s="1381"/>
      <c r="DK1575" s="1381"/>
      <c r="DL1575" s="1381"/>
      <c r="DM1575" s="1381"/>
      <c r="DN1575" s="1381"/>
      <c r="DO1575" s="1381"/>
      <c r="DP1575" s="1381"/>
      <c r="DQ1575" s="1381"/>
      <c r="DR1575" s="1381"/>
      <c r="DS1575" s="1381"/>
      <c r="DT1575" s="1381"/>
      <c r="DU1575" s="1381"/>
      <c r="DV1575" s="1381"/>
      <c r="DW1575" s="1381"/>
      <c r="DX1575" s="1381"/>
      <c r="DY1575" s="1381"/>
    </row>
    <row r="1576" spans="1:129" s="138" customFormat="1" ht="45" customHeight="1" x14ac:dyDescent="0.3">
      <c r="A1576" s="243" t="s">
        <v>1641</v>
      </c>
      <c r="B1576" s="252" t="s">
        <v>3667</v>
      </c>
      <c r="C1576" s="287" t="s">
        <v>3669</v>
      </c>
      <c r="D1576" s="252" t="s">
        <v>34</v>
      </c>
      <c r="E1576" s="252" t="s">
        <v>3658</v>
      </c>
      <c r="F1576" s="252" t="s">
        <v>35</v>
      </c>
      <c r="G1576" s="252">
        <v>8</v>
      </c>
      <c r="H1576" s="245"/>
      <c r="I1576" s="252" t="s">
        <v>36</v>
      </c>
      <c r="J1576" s="245"/>
      <c r="K1576" s="1704">
        <v>0</v>
      </c>
      <c r="L1576" s="1704">
        <v>0</v>
      </c>
      <c r="M1576" s="1884" t="s">
        <v>3660</v>
      </c>
      <c r="N1576" s="1885"/>
      <c r="O1576" s="247" t="s">
        <v>3661</v>
      </c>
      <c r="P1576" s="253" t="s">
        <v>40</v>
      </c>
      <c r="Q1576" s="254"/>
      <c r="R1576" s="253" t="s">
        <v>40</v>
      </c>
      <c r="S1576" s="254"/>
      <c r="T1576" s="253" t="s">
        <v>40</v>
      </c>
      <c r="U1576" s="254"/>
      <c r="V1576" s="253" t="s">
        <v>40</v>
      </c>
      <c r="W1576" s="248"/>
      <c r="X1576" s="253" t="s">
        <v>40</v>
      </c>
      <c r="Y1576" s="248"/>
      <c r="Z1576" s="253" t="s">
        <v>40</v>
      </c>
      <c r="AA1576" s="254"/>
      <c r="AB1576" s="253" t="s">
        <v>40</v>
      </c>
      <c r="AC1576" s="254"/>
      <c r="AD1576" s="254"/>
      <c r="AE1576" s="254">
        <v>45930</v>
      </c>
      <c r="AF1576" s="253"/>
      <c r="AG1576" s="255"/>
      <c r="AH1576" s="369"/>
      <c r="AI1576" s="369"/>
      <c r="AJ1576" s="369"/>
      <c r="AK1576" s="252" t="s">
        <v>43</v>
      </c>
      <c r="AL1576" s="111" t="s">
        <v>40</v>
      </c>
      <c r="AM1576" s="370">
        <v>0</v>
      </c>
      <c r="AN1576" s="371" t="s">
        <v>40</v>
      </c>
      <c r="AO1576" s="243"/>
      <c r="AP1576" s="357"/>
      <c r="AQ1576" s="104"/>
      <c r="AR1576" s="104"/>
      <c r="AS1576" s="104"/>
      <c r="AT1576" s="104"/>
      <c r="AU1576" s="104"/>
      <c r="AV1576" s="104"/>
      <c r="AW1576" s="104"/>
      <c r="AX1576" s="104"/>
      <c r="AY1576" s="104"/>
      <c r="AZ1576" s="104"/>
      <c r="BA1576" s="104"/>
      <c r="BB1576" s="104"/>
      <c r="BC1576" s="104"/>
      <c r="BD1576" s="104"/>
      <c r="BE1576" s="104"/>
      <c r="BF1576" s="104"/>
      <c r="BG1576" s="104"/>
      <c r="BH1576" s="104"/>
      <c r="BI1576" s="104"/>
      <c r="BJ1576" s="104"/>
      <c r="BK1576" s="104"/>
      <c r="BL1576" s="104"/>
      <c r="BM1576" s="104"/>
      <c r="BN1576" s="104"/>
      <c r="BO1576" s="104"/>
      <c r="BP1576" s="104"/>
      <c r="BQ1576" s="104"/>
      <c r="BR1576" s="104"/>
      <c r="BS1576" s="104"/>
      <c r="BT1576" s="104"/>
      <c r="BU1576" s="104"/>
      <c r="BV1576" s="104"/>
      <c r="BW1576" s="104"/>
      <c r="BX1576" s="104"/>
      <c r="BY1576" s="104"/>
      <c r="BZ1576" s="104"/>
      <c r="CA1576" s="358"/>
      <c r="CB1576" s="102"/>
      <c r="CC1576" s="102"/>
      <c r="CD1576" s="102"/>
      <c r="CE1576" s="102"/>
      <c r="CF1576" s="102"/>
      <c r="CG1576" s="102"/>
      <c r="CH1576" s="102"/>
      <c r="CI1576" s="102"/>
      <c r="CJ1576" s="102"/>
      <c r="CK1576" s="102"/>
      <c r="CL1576" s="102"/>
      <c r="CM1576" s="102"/>
      <c r="CN1576" s="102"/>
      <c r="CO1576" s="102"/>
      <c r="CP1576" s="102"/>
      <c r="CQ1576" s="102"/>
      <c r="CR1576" s="102"/>
      <c r="CS1576" s="102"/>
      <c r="CT1576" s="102"/>
      <c r="CU1576" s="102"/>
      <c r="CV1576" s="102"/>
      <c r="CW1576" s="102"/>
      <c r="CX1576" s="102"/>
      <c r="CY1576" s="102"/>
      <c r="CZ1576" s="102"/>
      <c r="DA1576" s="102"/>
      <c r="DB1576" s="102"/>
      <c r="DC1576" s="102"/>
      <c r="DD1576" s="102"/>
      <c r="DE1576" s="102"/>
      <c r="DF1576" s="102"/>
      <c r="DG1576" s="102"/>
      <c r="DH1576" s="102"/>
      <c r="DI1576" s="102"/>
      <c r="DJ1576" s="102"/>
      <c r="DK1576" s="102"/>
      <c r="DL1576" s="102"/>
      <c r="DM1576" s="102"/>
      <c r="DN1576" s="102"/>
      <c r="DO1576" s="102"/>
      <c r="DP1576" s="102"/>
      <c r="DQ1576" s="102"/>
      <c r="DR1576" s="102"/>
      <c r="DS1576" s="102"/>
      <c r="DT1576" s="102"/>
      <c r="DU1576" s="102"/>
      <c r="DV1576" s="102"/>
      <c r="DW1576" s="102"/>
      <c r="DX1576" s="102"/>
      <c r="DY1576" s="102"/>
    </row>
    <row r="1577" spans="1:129" s="138" customFormat="1" ht="45" customHeight="1" x14ac:dyDescent="0.3">
      <c r="A1577" s="243" t="s">
        <v>1641</v>
      </c>
      <c r="B1577" s="252" t="s">
        <v>3667</v>
      </c>
      <c r="C1577" s="287" t="s">
        <v>3670</v>
      </c>
      <c r="D1577" s="252" t="s">
        <v>34</v>
      </c>
      <c r="E1577" s="252" t="s">
        <v>3658</v>
      </c>
      <c r="F1577" s="252" t="s">
        <v>35</v>
      </c>
      <c r="G1577" s="28">
        <v>709</v>
      </c>
      <c r="H1577" s="245"/>
      <c r="I1577" s="252" t="s">
        <v>36</v>
      </c>
      <c r="J1577" s="245"/>
      <c r="K1577" s="1704">
        <v>0</v>
      </c>
      <c r="L1577" s="1704">
        <v>0</v>
      </c>
      <c r="M1577" s="1884" t="s">
        <v>3660</v>
      </c>
      <c r="N1577" s="1885"/>
      <c r="O1577" s="247" t="s">
        <v>3661</v>
      </c>
      <c r="P1577" s="253" t="s">
        <v>40</v>
      </c>
      <c r="Q1577" s="254"/>
      <c r="R1577" s="253" t="s">
        <v>40</v>
      </c>
      <c r="S1577" s="254"/>
      <c r="T1577" s="253" t="s">
        <v>40</v>
      </c>
      <c r="U1577" s="254"/>
      <c r="V1577" s="253" t="s">
        <v>40</v>
      </c>
      <c r="W1577" s="248"/>
      <c r="X1577" s="253" t="s">
        <v>40</v>
      </c>
      <c r="Y1577" s="248"/>
      <c r="Z1577" s="253" t="s">
        <v>40</v>
      </c>
      <c r="AA1577" s="254"/>
      <c r="AB1577" s="253" t="s">
        <v>40</v>
      </c>
      <c r="AC1577" s="254"/>
      <c r="AD1577" s="254"/>
      <c r="AE1577" s="254">
        <v>45930</v>
      </c>
      <c r="AF1577" s="253"/>
      <c r="AG1577" s="255"/>
      <c r="AH1577" s="369"/>
      <c r="AI1577" s="369"/>
      <c r="AJ1577" s="369"/>
      <c r="AK1577" s="252" t="s">
        <v>43</v>
      </c>
      <c r="AL1577" s="111" t="s">
        <v>40</v>
      </c>
      <c r="AM1577" s="370">
        <v>0</v>
      </c>
      <c r="AN1577" s="371" t="s">
        <v>40</v>
      </c>
      <c r="AO1577" s="243"/>
      <c r="AP1577" s="357"/>
      <c r="AQ1577" s="104"/>
      <c r="AR1577" s="104"/>
      <c r="AS1577" s="104"/>
      <c r="AT1577" s="104"/>
      <c r="AU1577" s="104"/>
      <c r="AV1577" s="104"/>
      <c r="AW1577" s="104"/>
      <c r="AX1577" s="104"/>
      <c r="AY1577" s="104"/>
      <c r="AZ1577" s="104"/>
      <c r="BA1577" s="104"/>
      <c r="BB1577" s="104"/>
      <c r="BC1577" s="104"/>
      <c r="BD1577" s="104"/>
      <c r="BE1577" s="104"/>
      <c r="BF1577" s="104"/>
      <c r="BG1577" s="104"/>
      <c r="BH1577" s="104"/>
      <c r="BI1577" s="104"/>
      <c r="BJ1577" s="104"/>
      <c r="BK1577" s="104"/>
      <c r="BL1577" s="104"/>
      <c r="BM1577" s="104"/>
      <c r="BN1577" s="104"/>
      <c r="BO1577" s="104"/>
      <c r="BP1577" s="104"/>
      <c r="BQ1577" s="104"/>
      <c r="BR1577" s="104"/>
      <c r="BS1577" s="104"/>
      <c r="BT1577" s="104"/>
      <c r="BU1577" s="104"/>
      <c r="BV1577" s="104"/>
      <c r="BW1577" s="104"/>
      <c r="BX1577" s="104"/>
      <c r="BY1577" s="104"/>
      <c r="BZ1577" s="104"/>
      <c r="CA1577" s="358"/>
      <c r="CB1577" s="102"/>
      <c r="CC1577" s="102"/>
      <c r="CD1577" s="102"/>
      <c r="CE1577" s="102"/>
      <c r="CF1577" s="102"/>
      <c r="CG1577" s="102"/>
      <c r="CH1577" s="102"/>
      <c r="CI1577" s="102"/>
      <c r="CJ1577" s="102"/>
      <c r="CK1577" s="102"/>
      <c r="CL1577" s="102"/>
      <c r="CM1577" s="102"/>
      <c r="CN1577" s="102"/>
      <c r="CO1577" s="102"/>
      <c r="CP1577" s="102"/>
      <c r="CQ1577" s="102"/>
      <c r="CR1577" s="102"/>
      <c r="CS1577" s="102"/>
      <c r="CT1577" s="102"/>
      <c r="CU1577" s="102"/>
      <c r="CV1577" s="102"/>
      <c r="CW1577" s="102"/>
      <c r="CX1577" s="102"/>
      <c r="CY1577" s="102"/>
      <c r="CZ1577" s="102"/>
      <c r="DA1577" s="102"/>
      <c r="DB1577" s="102"/>
      <c r="DC1577" s="102"/>
      <c r="DD1577" s="102"/>
      <c r="DE1577" s="102"/>
      <c r="DF1577" s="102"/>
      <c r="DG1577" s="102"/>
      <c r="DH1577" s="102"/>
      <c r="DI1577" s="102"/>
      <c r="DJ1577" s="102"/>
      <c r="DK1577" s="102"/>
      <c r="DL1577" s="102"/>
      <c r="DM1577" s="102"/>
      <c r="DN1577" s="102"/>
      <c r="DO1577" s="102"/>
      <c r="DP1577" s="102"/>
      <c r="DQ1577" s="102"/>
      <c r="DR1577" s="102"/>
      <c r="DS1577" s="102"/>
      <c r="DT1577" s="102"/>
      <c r="DU1577" s="102"/>
      <c r="DV1577" s="102"/>
      <c r="DW1577" s="102"/>
      <c r="DX1577" s="102"/>
      <c r="DY1577" s="102"/>
    </row>
    <row r="1578" spans="1:129" s="138" customFormat="1" ht="45" customHeight="1" x14ac:dyDescent="0.3">
      <c r="A1578" s="243" t="s">
        <v>1641</v>
      </c>
      <c r="B1578" s="252" t="s">
        <v>3667</v>
      </c>
      <c r="C1578" s="287" t="s">
        <v>3671</v>
      </c>
      <c r="D1578" s="252" t="s">
        <v>34</v>
      </c>
      <c r="E1578" s="252" t="s">
        <v>3658</v>
      </c>
      <c r="F1578" s="252" t="s">
        <v>35</v>
      </c>
      <c r="G1578" s="252"/>
      <c r="H1578" s="245"/>
      <c r="I1578" s="252" t="s">
        <v>36</v>
      </c>
      <c r="J1578" s="245"/>
      <c r="K1578" s="1704">
        <v>0</v>
      </c>
      <c r="L1578" s="1704">
        <v>0</v>
      </c>
      <c r="M1578" s="1884" t="s">
        <v>3660</v>
      </c>
      <c r="N1578" s="1885"/>
      <c r="O1578" s="247" t="s">
        <v>3661</v>
      </c>
      <c r="P1578" s="253" t="s">
        <v>40</v>
      </c>
      <c r="Q1578" s="254"/>
      <c r="R1578" s="253" t="s">
        <v>40</v>
      </c>
      <c r="S1578" s="254"/>
      <c r="T1578" s="253" t="s">
        <v>40</v>
      </c>
      <c r="U1578" s="254"/>
      <c r="V1578" s="253" t="s">
        <v>40</v>
      </c>
      <c r="W1578" s="248"/>
      <c r="X1578" s="253" t="s">
        <v>40</v>
      </c>
      <c r="Y1578" s="248"/>
      <c r="Z1578" s="253" t="s">
        <v>40</v>
      </c>
      <c r="AA1578" s="254"/>
      <c r="AB1578" s="253" t="s">
        <v>40</v>
      </c>
      <c r="AC1578" s="254"/>
      <c r="AD1578" s="254"/>
      <c r="AE1578" s="254">
        <v>45930</v>
      </c>
      <c r="AF1578" s="253"/>
      <c r="AG1578" s="255"/>
      <c r="AH1578" s="369"/>
      <c r="AI1578" s="369"/>
      <c r="AJ1578" s="369"/>
      <c r="AK1578" s="252" t="s">
        <v>43</v>
      </c>
      <c r="AL1578" s="111" t="s">
        <v>40</v>
      </c>
      <c r="AM1578" s="370">
        <v>0</v>
      </c>
      <c r="AN1578" s="371" t="s">
        <v>40</v>
      </c>
      <c r="AO1578" s="243"/>
      <c r="AP1578" s="357"/>
      <c r="AQ1578" s="104"/>
      <c r="AR1578" s="104"/>
      <c r="AS1578" s="104"/>
      <c r="AT1578" s="104"/>
      <c r="AU1578" s="104"/>
      <c r="AV1578" s="104"/>
      <c r="AW1578" s="104"/>
      <c r="AX1578" s="104"/>
      <c r="AY1578" s="104"/>
      <c r="AZ1578" s="104"/>
      <c r="BA1578" s="104"/>
      <c r="BB1578" s="104"/>
      <c r="BC1578" s="104"/>
      <c r="BD1578" s="104"/>
      <c r="BE1578" s="104"/>
      <c r="BF1578" s="104"/>
      <c r="BG1578" s="104"/>
      <c r="BH1578" s="104"/>
      <c r="BI1578" s="104"/>
      <c r="BJ1578" s="104"/>
      <c r="BK1578" s="104"/>
      <c r="BL1578" s="104"/>
      <c r="BM1578" s="104"/>
      <c r="BN1578" s="104"/>
      <c r="BO1578" s="104"/>
      <c r="BP1578" s="104"/>
      <c r="BQ1578" s="104"/>
      <c r="BR1578" s="104"/>
      <c r="BS1578" s="104"/>
      <c r="BT1578" s="104"/>
      <c r="BU1578" s="104"/>
      <c r="BV1578" s="104"/>
      <c r="BW1578" s="104"/>
      <c r="BX1578" s="104"/>
      <c r="BY1578" s="104"/>
      <c r="BZ1578" s="104"/>
      <c r="CA1578" s="358"/>
      <c r="CB1578" s="102"/>
      <c r="CC1578" s="102"/>
      <c r="CD1578" s="102"/>
      <c r="CE1578" s="102"/>
      <c r="CF1578" s="102"/>
      <c r="CG1578" s="102"/>
      <c r="CH1578" s="102"/>
      <c r="CI1578" s="102"/>
      <c r="CJ1578" s="102"/>
      <c r="CK1578" s="102"/>
      <c r="CL1578" s="102"/>
      <c r="CM1578" s="102"/>
      <c r="CN1578" s="102"/>
      <c r="CO1578" s="102"/>
      <c r="CP1578" s="102"/>
      <c r="CQ1578" s="102"/>
      <c r="CR1578" s="102"/>
      <c r="CS1578" s="102"/>
      <c r="CT1578" s="102"/>
      <c r="CU1578" s="102"/>
      <c r="CV1578" s="102"/>
      <c r="CW1578" s="102"/>
      <c r="CX1578" s="102"/>
      <c r="CY1578" s="102"/>
      <c r="CZ1578" s="102"/>
      <c r="DA1578" s="102"/>
      <c r="DB1578" s="102"/>
      <c r="DC1578" s="102"/>
      <c r="DD1578" s="102"/>
      <c r="DE1578" s="102"/>
      <c r="DF1578" s="102"/>
      <c r="DG1578" s="102"/>
      <c r="DH1578" s="102"/>
      <c r="DI1578" s="102"/>
      <c r="DJ1578" s="102"/>
      <c r="DK1578" s="102"/>
      <c r="DL1578" s="102"/>
      <c r="DM1578" s="102"/>
      <c r="DN1578" s="102"/>
      <c r="DO1578" s="102"/>
      <c r="DP1578" s="102"/>
      <c r="DQ1578" s="102"/>
      <c r="DR1578" s="102"/>
      <c r="DS1578" s="102"/>
      <c r="DT1578" s="102"/>
      <c r="DU1578" s="102"/>
      <c r="DV1578" s="102"/>
      <c r="DW1578" s="102"/>
      <c r="DX1578" s="102"/>
      <c r="DY1578" s="102"/>
    </row>
    <row r="1579" spans="1:129" s="138" customFormat="1" ht="45" customHeight="1" x14ac:dyDescent="0.3">
      <c r="A1579" s="243" t="s">
        <v>1641</v>
      </c>
      <c r="B1579" s="252" t="s">
        <v>3667</v>
      </c>
      <c r="C1579" s="1406" t="s">
        <v>3966</v>
      </c>
      <c r="D1579" s="28" t="s">
        <v>34</v>
      </c>
      <c r="E1579" s="28" t="s">
        <v>3658</v>
      </c>
      <c r="F1579" s="28" t="s">
        <v>35</v>
      </c>
      <c r="G1579" s="28" t="s">
        <v>3967</v>
      </c>
      <c r="H1579" s="1435">
        <v>506393.57</v>
      </c>
      <c r="I1579" s="252" t="s">
        <v>36</v>
      </c>
      <c r="J1579" s="1435">
        <v>506393.57</v>
      </c>
      <c r="K1579" s="1704">
        <v>0</v>
      </c>
      <c r="L1579" s="1704">
        <v>0</v>
      </c>
      <c r="M1579" s="1884" t="s">
        <v>3660</v>
      </c>
      <c r="N1579" s="1885"/>
      <c r="O1579" s="247" t="s">
        <v>3661</v>
      </c>
      <c r="P1579" s="253" t="s">
        <v>40</v>
      </c>
      <c r="Q1579" s="254"/>
      <c r="R1579" s="253" t="s">
        <v>40</v>
      </c>
      <c r="S1579" s="254"/>
      <c r="T1579" s="253" t="s">
        <v>40</v>
      </c>
      <c r="U1579" s="254"/>
      <c r="V1579" s="253" t="s">
        <v>40</v>
      </c>
      <c r="W1579" s="248"/>
      <c r="X1579" s="253" t="s">
        <v>40</v>
      </c>
      <c r="Y1579" s="248"/>
      <c r="Z1579" s="253" t="s">
        <v>40</v>
      </c>
      <c r="AA1579" s="254"/>
      <c r="AB1579" s="253" t="s">
        <v>40</v>
      </c>
      <c r="AC1579" s="254"/>
      <c r="AD1579" s="27" t="s">
        <v>3968</v>
      </c>
      <c r="AE1579" s="27" t="s">
        <v>3969</v>
      </c>
      <c r="AF1579" s="26"/>
      <c r="AG1579" s="1756"/>
      <c r="AH1579" s="1757">
        <v>2521840</v>
      </c>
      <c r="AI1579" s="1757"/>
      <c r="AJ1579" s="1757" t="s">
        <v>3970</v>
      </c>
      <c r="AK1579" s="28" t="s">
        <v>43</v>
      </c>
      <c r="AL1579" s="1404"/>
      <c r="AM1579" s="1758">
        <v>0</v>
      </c>
      <c r="AN1579" s="1759" t="s">
        <v>40</v>
      </c>
      <c r="AO1579" s="243"/>
      <c r="AP1579" s="357"/>
      <c r="AQ1579" s="104"/>
      <c r="AR1579" s="104"/>
      <c r="AS1579" s="104"/>
      <c r="AT1579" s="104"/>
      <c r="AU1579" s="104"/>
      <c r="AV1579" s="104"/>
      <c r="AW1579" s="104"/>
      <c r="AX1579" s="104"/>
      <c r="AY1579" s="104"/>
      <c r="AZ1579" s="104"/>
      <c r="BA1579" s="104"/>
      <c r="BB1579" s="104"/>
      <c r="BC1579" s="104"/>
      <c r="BD1579" s="104"/>
      <c r="BE1579" s="104"/>
      <c r="BF1579" s="104"/>
      <c r="BG1579" s="104"/>
      <c r="BH1579" s="104"/>
      <c r="BI1579" s="104"/>
      <c r="BJ1579" s="104"/>
      <c r="BK1579" s="104"/>
      <c r="BL1579" s="104"/>
      <c r="BM1579" s="104"/>
      <c r="BN1579" s="104"/>
      <c r="BO1579" s="104"/>
      <c r="BP1579" s="104"/>
      <c r="BQ1579" s="104"/>
      <c r="BR1579" s="104"/>
      <c r="BS1579" s="104"/>
      <c r="BT1579" s="104"/>
      <c r="BU1579" s="104"/>
      <c r="BV1579" s="104"/>
      <c r="BW1579" s="104"/>
      <c r="BX1579" s="104"/>
      <c r="BY1579" s="104"/>
      <c r="BZ1579" s="104"/>
      <c r="CA1579" s="358"/>
      <c r="CB1579" s="102"/>
      <c r="CC1579" s="102"/>
      <c r="CD1579" s="102"/>
      <c r="CE1579" s="102"/>
      <c r="CF1579" s="102"/>
      <c r="CG1579" s="102"/>
      <c r="CH1579" s="102"/>
      <c r="CI1579" s="102"/>
      <c r="CJ1579" s="102"/>
      <c r="CK1579" s="102"/>
      <c r="CL1579" s="102"/>
      <c r="CM1579" s="102"/>
      <c r="CN1579" s="102"/>
      <c r="CO1579" s="102"/>
      <c r="CP1579" s="102"/>
      <c r="CQ1579" s="102"/>
      <c r="CR1579" s="102"/>
      <c r="CS1579" s="102"/>
      <c r="CT1579" s="102"/>
      <c r="CU1579" s="102"/>
      <c r="CV1579" s="102"/>
      <c r="CW1579" s="102"/>
      <c r="CX1579" s="102"/>
      <c r="CY1579" s="102"/>
      <c r="CZ1579" s="102"/>
      <c r="DA1579" s="102"/>
      <c r="DB1579" s="102"/>
      <c r="DC1579" s="102"/>
      <c r="DD1579" s="102"/>
      <c r="DE1579" s="102"/>
      <c r="DF1579" s="102"/>
      <c r="DG1579" s="102"/>
      <c r="DH1579" s="102"/>
      <c r="DI1579" s="102"/>
      <c r="DJ1579" s="102"/>
      <c r="DK1579" s="102"/>
      <c r="DL1579" s="102"/>
      <c r="DM1579" s="102"/>
      <c r="DN1579" s="102"/>
      <c r="DO1579" s="102"/>
      <c r="DP1579" s="102"/>
      <c r="DQ1579" s="102"/>
      <c r="DR1579" s="102"/>
      <c r="DS1579" s="102"/>
      <c r="DT1579" s="102"/>
      <c r="DU1579" s="102"/>
      <c r="DV1579" s="102"/>
      <c r="DW1579" s="102"/>
      <c r="DX1579" s="102"/>
      <c r="DY1579" s="102"/>
    </row>
    <row r="1580" spans="1:129" s="138" customFormat="1" ht="45" customHeight="1" x14ac:dyDescent="0.3">
      <c r="A1580" s="243" t="s">
        <v>1641</v>
      </c>
      <c r="B1580" s="252" t="s">
        <v>3667</v>
      </c>
      <c r="C1580" s="287" t="s">
        <v>3672</v>
      </c>
      <c r="D1580" s="252" t="s">
        <v>34</v>
      </c>
      <c r="E1580" s="252" t="s">
        <v>3658</v>
      </c>
      <c r="F1580" s="252" t="s">
        <v>35</v>
      </c>
      <c r="G1580" s="252">
        <v>43</v>
      </c>
      <c r="H1580" s="245">
        <v>301.2</v>
      </c>
      <c r="I1580" s="252" t="s">
        <v>36</v>
      </c>
      <c r="J1580" s="245">
        <v>301.2</v>
      </c>
      <c r="K1580" s="1704">
        <v>100.4</v>
      </c>
      <c r="L1580" s="1704">
        <v>100.4</v>
      </c>
      <c r="M1580" s="1891" t="s">
        <v>3660</v>
      </c>
      <c r="N1580" s="1891"/>
      <c r="O1580" s="247" t="s">
        <v>3661</v>
      </c>
      <c r="P1580" s="253" t="s">
        <v>40</v>
      </c>
      <c r="Q1580" s="254"/>
      <c r="R1580" s="253" t="s">
        <v>40</v>
      </c>
      <c r="S1580" s="254"/>
      <c r="T1580" s="253" t="s">
        <v>40</v>
      </c>
      <c r="U1580" s="254"/>
      <c r="V1580" s="253" t="s">
        <v>40</v>
      </c>
      <c r="W1580" s="248"/>
      <c r="X1580" s="253" t="s">
        <v>40</v>
      </c>
      <c r="Y1580" s="248"/>
      <c r="Z1580" s="253" t="s">
        <v>40</v>
      </c>
      <c r="AA1580" s="254"/>
      <c r="AB1580" s="253" t="s">
        <v>40</v>
      </c>
      <c r="AC1580" s="254"/>
      <c r="AD1580" s="27" t="s">
        <v>3971</v>
      </c>
      <c r="AE1580" s="27" t="s">
        <v>3972</v>
      </c>
      <c r="AF1580" s="253"/>
      <c r="AG1580" s="255"/>
      <c r="AH1580" s="372">
        <v>1500</v>
      </c>
      <c r="AI1580" s="372"/>
      <c r="AJ1580" s="373" t="s">
        <v>3673</v>
      </c>
      <c r="AK1580" s="252" t="s">
        <v>43</v>
      </c>
      <c r="AL1580" s="111" t="s">
        <v>41</v>
      </c>
      <c r="AM1580" s="374"/>
      <c r="AN1580" s="371" t="s">
        <v>40</v>
      </c>
      <c r="AO1580" s="243"/>
      <c r="AP1580" s="357"/>
      <c r="AQ1580" s="104"/>
      <c r="AR1580" s="104"/>
      <c r="AS1580" s="104"/>
      <c r="AT1580" s="104"/>
      <c r="AU1580" s="104"/>
      <c r="AV1580" s="104"/>
      <c r="AW1580" s="104"/>
      <c r="AX1580" s="104"/>
      <c r="AY1580" s="104"/>
      <c r="AZ1580" s="104"/>
      <c r="BA1580" s="104"/>
      <c r="BB1580" s="104"/>
      <c r="BC1580" s="104"/>
      <c r="BD1580" s="104"/>
      <c r="BE1580" s="104"/>
      <c r="BF1580" s="104"/>
      <c r="BG1580" s="104"/>
      <c r="BH1580" s="104"/>
      <c r="BI1580" s="104"/>
      <c r="BJ1580" s="104"/>
      <c r="BK1580" s="104"/>
      <c r="BL1580" s="104"/>
      <c r="BM1580" s="104"/>
      <c r="BN1580" s="104"/>
      <c r="BO1580" s="104"/>
      <c r="BP1580" s="104"/>
      <c r="BQ1580" s="104"/>
      <c r="BR1580" s="104"/>
      <c r="BS1580" s="104"/>
      <c r="BT1580" s="104"/>
      <c r="BU1580" s="104"/>
      <c r="BV1580" s="104"/>
      <c r="BW1580" s="104"/>
      <c r="BX1580" s="104"/>
      <c r="BY1580" s="104"/>
      <c r="BZ1580" s="104"/>
      <c r="CA1580" s="358"/>
      <c r="CB1580" s="102"/>
      <c r="CC1580" s="102"/>
      <c r="CD1580" s="102"/>
      <c r="CE1580" s="102"/>
      <c r="CF1580" s="102"/>
      <c r="CG1580" s="102"/>
      <c r="CH1580" s="102"/>
      <c r="CI1580" s="102"/>
      <c r="CJ1580" s="102"/>
      <c r="CK1580" s="102"/>
      <c r="CL1580" s="102"/>
      <c r="CM1580" s="102"/>
      <c r="CN1580" s="102"/>
      <c r="CO1580" s="102"/>
      <c r="CP1580" s="102"/>
      <c r="CQ1580" s="102"/>
      <c r="CR1580" s="102"/>
      <c r="CS1580" s="102"/>
      <c r="CT1580" s="102"/>
      <c r="CU1580" s="102"/>
      <c r="CV1580" s="102"/>
      <c r="CW1580" s="102"/>
      <c r="CX1580" s="102"/>
      <c r="CY1580" s="102"/>
      <c r="CZ1580" s="102"/>
      <c r="DA1580" s="102"/>
      <c r="DB1580" s="102"/>
      <c r="DC1580" s="102"/>
      <c r="DD1580" s="102"/>
      <c r="DE1580" s="102"/>
      <c r="DF1580" s="102"/>
      <c r="DG1580" s="102"/>
      <c r="DH1580" s="102"/>
      <c r="DI1580" s="102"/>
      <c r="DJ1580" s="102"/>
      <c r="DK1580" s="102"/>
      <c r="DL1580" s="102"/>
      <c r="DM1580" s="102"/>
      <c r="DN1580" s="102"/>
      <c r="DO1580" s="102"/>
      <c r="DP1580" s="102"/>
      <c r="DQ1580" s="102"/>
      <c r="DR1580" s="102"/>
      <c r="DS1580" s="102"/>
      <c r="DT1580" s="102"/>
      <c r="DU1580" s="102"/>
      <c r="DV1580" s="102"/>
      <c r="DW1580" s="102"/>
      <c r="DX1580" s="102"/>
      <c r="DY1580" s="102"/>
    </row>
    <row r="1581" spans="1:129" s="138" customFormat="1" ht="45" customHeight="1" x14ac:dyDescent="0.3">
      <c r="A1581" s="243" t="s">
        <v>1641</v>
      </c>
      <c r="B1581" s="252" t="s">
        <v>3667</v>
      </c>
      <c r="C1581" s="287" t="s">
        <v>3674</v>
      </c>
      <c r="D1581" s="252" t="s">
        <v>34</v>
      </c>
      <c r="E1581" s="252" t="s">
        <v>3658</v>
      </c>
      <c r="F1581" s="252" t="s">
        <v>35</v>
      </c>
      <c r="G1581" s="252">
        <v>43</v>
      </c>
      <c r="H1581" s="245">
        <v>5170.68</v>
      </c>
      <c r="I1581" s="252" t="s">
        <v>36</v>
      </c>
      <c r="J1581" s="245">
        <v>5170.68</v>
      </c>
      <c r="K1581" s="1704">
        <v>5163.42</v>
      </c>
      <c r="L1581" s="1704">
        <v>5163.42</v>
      </c>
      <c r="M1581" s="1891" t="s">
        <v>3660</v>
      </c>
      <c r="N1581" s="1891"/>
      <c r="O1581" s="247" t="s">
        <v>3661</v>
      </c>
      <c r="P1581" s="253" t="s">
        <v>40</v>
      </c>
      <c r="Q1581" s="254"/>
      <c r="R1581" s="253" t="s">
        <v>40</v>
      </c>
      <c r="S1581" s="254"/>
      <c r="T1581" s="253" t="s">
        <v>40</v>
      </c>
      <c r="U1581" s="254"/>
      <c r="V1581" s="253" t="s">
        <v>40</v>
      </c>
      <c r="W1581" s="248"/>
      <c r="X1581" s="253" t="s">
        <v>40</v>
      </c>
      <c r="Y1581" s="248"/>
      <c r="Z1581" s="253" t="s">
        <v>40</v>
      </c>
      <c r="AA1581" s="254"/>
      <c r="AB1581" s="253" t="s">
        <v>40</v>
      </c>
      <c r="AC1581" s="254"/>
      <c r="AD1581" s="27" t="s">
        <v>3971</v>
      </c>
      <c r="AE1581" s="27" t="s">
        <v>3973</v>
      </c>
      <c r="AF1581" s="253"/>
      <c r="AG1581" s="255"/>
      <c r="AH1581" s="372">
        <v>25750</v>
      </c>
      <c r="AI1581" s="372"/>
      <c r="AJ1581" s="372" t="s">
        <v>3675</v>
      </c>
      <c r="AK1581" s="252" t="s">
        <v>43</v>
      </c>
      <c r="AL1581" s="111" t="s">
        <v>41</v>
      </c>
      <c r="AM1581" s="374"/>
      <c r="AN1581" s="371" t="s">
        <v>40</v>
      </c>
      <c r="AO1581" s="243"/>
      <c r="AP1581" s="357"/>
      <c r="AQ1581" s="104"/>
      <c r="AR1581" s="104"/>
      <c r="AS1581" s="104"/>
      <c r="AT1581" s="104"/>
      <c r="AU1581" s="104"/>
      <c r="AV1581" s="104"/>
      <c r="AW1581" s="104"/>
      <c r="AX1581" s="104"/>
      <c r="AY1581" s="104"/>
      <c r="AZ1581" s="104"/>
      <c r="BA1581" s="104"/>
      <c r="BB1581" s="104"/>
      <c r="BC1581" s="104"/>
      <c r="BD1581" s="104"/>
      <c r="BE1581" s="104"/>
      <c r="BF1581" s="104"/>
      <c r="BG1581" s="104"/>
      <c r="BH1581" s="104"/>
      <c r="BI1581" s="104"/>
      <c r="BJ1581" s="104"/>
      <c r="BK1581" s="104"/>
      <c r="BL1581" s="104"/>
      <c r="BM1581" s="104"/>
      <c r="BN1581" s="104"/>
      <c r="BO1581" s="104"/>
      <c r="BP1581" s="104"/>
      <c r="BQ1581" s="104"/>
      <c r="BR1581" s="104"/>
      <c r="BS1581" s="104"/>
      <c r="BT1581" s="104"/>
      <c r="BU1581" s="104"/>
      <c r="BV1581" s="104"/>
      <c r="BW1581" s="104"/>
      <c r="BX1581" s="104"/>
      <c r="BY1581" s="104"/>
      <c r="BZ1581" s="104"/>
      <c r="CA1581" s="358"/>
      <c r="CB1581" s="102"/>
      <c r="CC1581" s="102"/>
      <c r="CD1581" s="102"/>
      <c r="CE1581" s="102"/>
      <c r="CF1581" s="102"/>
      <c r="CG1581" s="102"/>
      <c r="CH1581" s="102"/>
      <c r="CI1581" s="102"/>
      <c r="CJ1581" s="102"/>
      <c r="CK1581" s="102"/>
      <c r="CL1581" s="102"/>
      <c r="CM1581" s="102"/>
      <c r="CN1581" s="102"/>
      <c r="CO1581" s="102"/>
      <c r="CP1581" s="102"/>
      <c r="CQ1581" s="102"/>
      <c r="CR1581" s="102"/>
      <c r="CS1581" s="102"/>
      <c r="CT1581" s="102"/>
      <c r="CU1581" s="102"/>
      <c r="CV1581" s="102"/>
      <c r="CW1581" s="102"/>
      <c r="CX1581" s="102"/>
      <c r="CY1581" s="102"/>
      <c r="CZ1581" s="102"/>
      <c r="DA1581" s="102"/>
      <c r="DB1581" s="102"/>
      <c r="DC1581" s="102"/>
      <c r="DD1581" s="102"/>
      <c r="DE1581" s="102"/>
      <c r="DF1581" s="102"/>
      <c r="DG1581" s="102"/>
      <c r="DH1581" s="102"/>
      <c r="DI1581" s="102"/>
      <c r="DJ1581" s="102"/>
      <c r="DK1581" s="102"/>
      <c r="DL1581" s="102"/>
      <c r="DM1581" s="102"/>
      <c r="DN1581" s="102"/>
      <c r="DO1581" s="102"/>
      <c r="DP1581" s="102"/>
      <c r="DQ1581" s="102"/>
      <c r="DR1581" s="102"/>
      <c r="DS1581" s="102"/>
      <c r="DT1581" s="102"/>
      <c r="DU1581" s="102"/>
      <c r="DV1581" s="102"/>
      <c r="DW1581" s="102"/>
      <c r="DX1581" s="102"/>
      <c r="DY1581" s="102"/>
    </row>
    <row r="1582" spans="1:129" s="138" customFormat="1" ht="45" customHeight="1" x14ac:dyDescent="0.3">
      <c r="A1582" s="243" t="s">
        <v>1641</v>
      </c>
      <c r="B1582" s="252" t="s">
        <v>3667</v>
      </c>
      <c r="C1582" s="287" t="s">
        <v>3676</v>
      </c>
      <c r="D1582" s="252" t="s">
        <v>34</v>
      </c>
      <c r="E1582" s="252" t="s">
        <v>3677</v>
      </c>
      <c r="F1582" s="252" t="s">
        <v>35</v>
      </c>
      <c r="G1582" s="252">
        <v>43</v>
      </c>
      <c r="H1582" s="245">
        <v>25903.61</v>
      </c>
      <c r="I1582" s="252" t="s">
        <v>36</v>
      </c>
      <c r="J1582" s="245">
        <v>26903.61</v>
      </c>
      <c r="K1582" s="1704">
        <v>0</v>
      </c>
      <c r="L1582" s="1704">
        <v>0</v>
      </c>
      <c r="M1582" s="1884" t="s">
        <v>3660</v>
      </c>
      <c r="N1582" s="1885"/>
      <c r="O1582" s="247" t="s">
        <v>3661</v>
      </c>
      <c r="P1582" s="253" t="s">
        <v>40</v>
      </c>
      <c r="Q1582" s="254"/>
      <c r="R1582" s="253" t="s">
        <v>40</v>
      </c>
      <c r="S1582" s="254"/>
      <c r="T1582" s="253" t="s">
        <v>40</v>
      </c>
      <c r="U1582" s="254"/>
      <c r="V1582" s="253" t="s">
        <v>40</v>
      </c>
      <c r="W1582" s="248"/>
      <c r="X1582" s="253" t="s">
        <v>40</v>
      </c>
      <c r="Y1582" s="248"/>
      <c r="Z1582" s="253" t="s">
        <v>40</v>
      </c>
      <c r="AA1582" s="254"/>
      <c r="AB1582" s="253" t="s">
        <v>40</v>
      </c>
      <c r="AC1582" s="254"/>
      <c r="AD1582" s="27" t="s">
        <v>3974</v>
      </c>
      <c r="AE1582" s="27" t="s">
        <v>3975</v>
      </c>
      <c r="AF1582" s="253"/>
      <c r="AG1582" s="255"/>
      <c r="AH1582" s="372">
        <v>129000</v>
      </c>
      <c r="AI1582" s="372"/>
      <c r="AJ1582" s="372" t="s">
        <v>3678</v>
      </c>
      <c r="AK1582" s="252" t="s">
        <v>43</v>
      </c>
      <c r="AL1582" s="111" t="s">
        <v>41</v>
      </c>
      <c r="AM1582" s="374"/>
      <c r="AN1582" s="371"/>
      <c r="AO1582" s="243"/>
      <c r="AP1582" s="357"/>
      <c r="AQ1582" s="104"/>
      <c r="AR1582" s="104"/>
      <c r="AS1582" s="104"/>
      <c r="AT1582" s="104"/>
      <c r="AU1582" s="104"/>
      <c r="AV1582" s="104"/>
      <c r="AW1582" s="104"/>
      <c r="AX1582" s="104"/>
      <c r="AY1582" s="104"/>
      <c r="AZ1582" s="104"/>
      <c r="BA1582" s="104"/>
      <c r="BB1582" s="104"/>
      <c r="BC1582" s="104"/>
      <c r="BD1582" s="104"/>
      <c r="BE1582" s="104"/>
      <c r="BF1582" s="104"/>
      <c r="BG1582" s="104"/>
      <c r="BH1582" s="104"/>
      <c r="BI1582" s="104"/>
      <c r="BJ1582" s="104"/>
      <c r="BK1582" s="104"/>
      <c r="BL1582" s="104"/>
      <c r="BM1582" s="104"/>
      <c r="BN1582" s="104"/>
      <c r="BO1582" s="104"/>
      <c r="BP1582" s="104"/>
      <c r="BQ1582" s="104"/>
      <c r="BR1582" s="104"/>
      <c r="BS1582" s="104"/>
      <c r="BT1582" s="104"/>
      <c r="BU1582" s="104"/>
      <c r="BV1582" s="104"/>
      <c r="BW1582" s="104"/>
      <c r="BX1582" s="104"/>
      <c r="BY1582" s="104"/>
      <c r="BZ1582" s="104"/>
      <c r="CA1582" s="358"/>
      <c r="CB1582" s="102"/>
      <c r="CC1582" s="102"/>
      <c r="CD1582" s="102"/>
      <c r="CE1582" s="102"/>
      <c r="CF1582" s="102"/>
      <c r="CG1582" s="102"/>
      <c r="CH1582" s="102"/>
      <c r="CI1582" s="102"/>
      <c r="CJ1582" s="102"/>
      <c r="CK1582" s="102"/>
      <c r="CL1582" s="102"/>
      <c r="CM1582" s="102"/>
      <c r="CN1582" s="102"/>
      <c r="CO1582" s="102"/>
      <c r="CP1582" s="102"/>
      <c r="CQ1582" s="102"/>
      <c r="CR1582" s="102"/>
      <c r="CS1582" s="102"/>
      <c r="CT1582" s="102"/>
      <c r="CU1582" s="102"/>
      <c r="CV1582" s="102"/>
      <c r="CW1582" s="102"/>
      <c r="CX1582" s="102"/>
      <c r="CY1582" s="102"/>
      <c r="CZ1582" s="102"/>
      <c r="DA1582" s="102"/>
      <c r="DB1582" s="102"/>
      <c r="DC1582" s="102"/>
      <c r="DD1582" s="102"/>
      <c r="DE1582" s="102"/>
      <c r="DF1582" s="102"/>
      <c r="DG1582" s="102"/>
      <c r="DH1582" s="102"/>
      <c r="DI1582" s="102"/>
      <c r="DJ1582" s="102"/>
      <c r="DK1582" s="102"/>
      <c r="DL1582" s="102"/>
      <c r="DM1582" s="102"/>
      <c r="DN1582" s="102"/>
      <c r="DO1582" s="102"/>
      <c r="DP1582" s="102"/>
      <c r="DQ1582" s="102"/>
      <c r="DR1582" s="102"/>
      <c r="DS1582" s="102"/>
      <c r="DT1582" s="102"/>
      <c r="DU1582" s="102"/>
      <c r="DV1582" s="102"/>
      <c r="DW1582" s="102"/>
      <c r="DX1582" s="102"/>
      <c r="DY1582" s="102"/>
    </row>
    <row r="1583" spans="1:129" s="138" customFormat="1" ht="45" customHeight="1" x14ac:dyDescent="0.3">
      <c r="A1583" s="243" t="s">
        <v>1641</v>
      </c>
      <c r="B1583" s="252" t="s">
        <v>3667</v>
      </c>
      <c r="C1583" s="287" t="s">
        <v>3679</v>
      </c>
      <c r="D1583" s="252" t="s">
        <v>34</v>
      </c>
      <c r="E1583" s="252" t="s">
        <v>3677</v>
      </c>
      <c r="F1583" s="252" t="s">
        <v>35</v>
      </c>
      <c r="G1583" s="252">
        <v>43</v>
      </c>
      <c r="H1583" s="245">
        <v>3745983.94</v>
      </c>
      <c r="I1583" s="252" t="s">
        <v>36</v>
      </c>
      <c r="J1583" s="245">
        <v>3745983.94</v>
      </c>
      <c r="K1583" s="1704">
        <v>0</v>
      </c>
      <c r="L1583" s="1704">
        <v>0</v>
      </c>
      <c r="M1583" s="1884" t="s">
        <v>3660</v>
      </c>
      <c r="N1583" s="1885"/>
      <c r="O1583" s="247" t="s">
        <v>3661</v>
      </c>
      <c r="P1583" s="253" t="s">
        <v>40</v>
      </c>
      <c r="Q1583" s="254"/>
      <c r="R1583" s="253" t="s">
        <v>40</v>
      </c>
      <c r="S1583" s="254"/>
      <c r="T1583" s="253" t="s">
        <v>40</v>
      </c>
      <c r="U1583" s="254"/>
      <c r="V1583" s="253" t="s">
        <v>40</v>
      </c>
      <c r="W1583" s="248"/>
      <c r="X1583" s="253" t="s">
        <v>40</v>
      </c>
      <c r="Y1583" s="248"/>
      <c r="Z1583" s="253" t="s">
        <v>40</v>
      </c>
      <c r="AA1583" s="254"/>
      <c r="AB1583" s="253" t="s">
        <v>40</v>
      </c>
      <c r="AC1583" s="254"/>
      <c r="AD1583" s="27" t="s">
        <v>3976</v>
      </c>
      <c r="AE1583" s="27" t="s">
        <v>3977</v>
      </c>
      <c r="AF1583" s="253"/>
      <c r="AG1583" s="255"/>
      <c r="AH1583" s="372">
        <v>18655000</v>
      </c>
      <c r="AI1583" s="372"/>
      <c r="AJ1583" s="1762" t="s">
        <v>3978</v>
      </c>
      <c r="AK1583" s="252" t="s">
        <v>43</v>
      </c>
      <c r="AL1583" s="111" t="s">
        <v>41</v>
      </c>
      <c r="AM1583" s="374"/>
      <c r="AN1583" s="371"/>
      <c r="AO1583" s="243"/>
      <c r="AP1583" s="357"/>
      <c r="AQ1583" s="104"/>
      <c r="AR1583" s="104"/>
      <c r="AS1583" s="104"/>
      <c r="AT1583" s="104"/>
      <c r="AU1583" s="104"/>
      <c r="AV1583" s="104"/>
      <c r="AW1583" s="104"/>
      <c r="AX1583" s="104"/>
      <c r="AY1583" s="104"/>
      <c r="AZ1583" s="104"/>
      <c r="BA1583" s="104"/>
      <c r="BB1583" s="104"/>
      <c r="BC1583" s="104"/>
      <c r="BD1583" s="104"/>
      <c r="BE1583" s="104"/>
      <c r="BF1583" s="104"/>
      <c r="BG1583" s="104"/>
      <c r="BH1583" s="104"/>
      <c r="BI1583" s="104"/>
      <c r="BJ1583" s="104"/>
      <c r="BK1583" s="104"/>
      <c r="BL1583" s="104"/>
      <c r="BM1583" s="104"/>
      <c r="BN1583" s="104"/>
      <c r="BO1583" s="104"/>
      <c r="BP1583" s="104"/>
      <c r="BQ1583" s="104"/>
      <c r="BR1583" s="104"/>
      <c r="BS1583" s="104"/>
      <c r="BT1583" s="104"/>
      <c r="BU1583" s="104"/>
      <c r="BV1583" s="104"/>
      <c r="BW1583" s="104"/>
      <c r="BX1583" s="104"/>
      <c r="BY1583" s="104"/>
      <c r="BZ1583" s="104"/>
      <c r="CA1583" s="358"/>
      <c r="CB1583" s="102"/>
      <c r="CC1583" s="102"/>
      <c r="CD1583" s="102"/>
      <c r="CE1583" s="102"/>
      <c r="CF1583" s="102"/>
      <c r="CG1583" s="102"/>
      <c r="CH1583" s="102"/>
      <c r="CI1583" s="102"/>
      <c r="CJ1583" s="102"/>
      <c r="CK1583" s="102"/>
      <c r="CL1583" s="102"/>
      <c r="CM1583" s="102"/>
      <c r="CN1583" s="102"/>
      <c r="CO1583" s="102"/>
      <c r="CP1583" s="102"/>
      <c r="CQ1583" s="102"/>
      <c r="CR1583" s="102"/>
      <c r="CS1583" s="102"/>
      <c r="CT1583" s="102"/>
      <c r="CU1583" s="102"/>
      <c r="CV1583" s="102"/>
      <c r="CW1583" s="102"/>
      <c r="CX1583" s="102"/>
      <c r="CY1583" s="102"/>
      <c r="CZ1583" s="102"/>
      <c r="DA1583" s="102"/>
      <c r="DB1583" s="102"/>
      <c r="DC1583" s="102"/>
      <c r="DD1583" s="102"/>
      <c r="DE1583" s="102"/>
      <c r="DF1583" s="102"/>
      <c r="DG1583" s="102"/>
      <c r="DH1583" s="102"/>
      <c r="DI1583" s="102"/>
      <c r="DJ1583" s="102"/>
      <c r="DK1583" s="102"/>
      <c r="DL1583" s="102"/>
      <c r="DM1583" s="102"/>
      <c r="DN1583" s="102"/>
      <c r="DO1583" s="102"/>
      <c r="DP1583" s="102"/>
      <c r="DQ1583" s="102"/>
      <c r="DR1583" s="102"/>
      <c r="DS1583" s="102"/>
      <c r="DT1583" s="102"/>
      <c r="DU1583" s="102"/>
      <c r="DV1583" s="102"/>
      <c r="DW1583" s="102"/>
      <c r="DX1583" s="102"/>
      <c r="DY1583" s="102"/>
    </row>
    <row r="1584" spans="1:129" s="138" customFormat="1" ht="45" customHeight="1" x14ac:dyDescent="0.3">
      <c r="A1584" s="243" t="s">
        <v>1641</v>
      </c>
      <c r="B1584" s="252" t="s">
        <v>3667</v>
      </c>
      <c r="C1584" s="287" t="s">
        <v>3680</v>
      </c>
      <c r="D1584" s="252" t="s">
        <v>34</v>
      </c>
      <c r="E1584" s="252" t="s">
        <v>3677</v>
      </c>
      <c r="F1584" s="252" t="s">
        <v>35</v>
      </c>
      <c r="G1584" s="28">
        <v>271</v>
      </c>
      <c r="H1584" s="245">
        <v>229479.32</v>
      </c>
      <c r="I1584" s="252" t="s">
        <v>36</v>
      </c>
      <c r="J1584" s="245">
        <v>229479.32</v>
      </c>
      <c r="K1584" s="1704">
        <v>0</v>
      </c>
      <c r="L1584" s="1704">
        <v>0</v>
      </c>
      <c r="M1584" s="1884" t="s">
        <v>3660</v>
      </c>
      <c r="N1584" s="1885"/>
      <c r="O1584" s="247" t="s">
        <v>3661</v>
      </c>
      <c r="P1584" s="253" t="s">
        <v>40</v>
      </c>
      <c r="Q1584" s="254"/>
      <c r="R1584" s="253" t="s">
        <v>40</v>
      </c>
      <c r="S1584" s="254"/>
      <c r="T1584" s="253" t="s">
        <v>40</v>
      </c>
      <c r="U1584" s="254"/>
      <c r="V1584" s="253" t="s">
        <v>40</v>
      </c>
      <c r="W1584" s="248"/>
      <c r="X1584" s="253" t="s">
        <v>40</v>
      </c>
      <c r="Y1584" s="248"/>
      <c r="Z1584" s="253" t="s">
        <v>40</v>
      </c>
      <c r="AA1584" s="254"/>
      <c r="AB1584" s="253" t="s">
        <v>40</v>
      </c>
      <c r="AC1584" s="254"/>
      <c r="AD1584" s="27" t="s">
        <v>1440</v>
      </c>
      <c r="AE1584" s="27" t="s">
        <v>3979</v>
      </c>
      <c r="AF1584" s="253"/>
      <c r="AG1584" s="255"/>
      <c r="AH1584" s="372">
        <v>1142807</v>
      </c>
      <c r="AI1584" s="372"/>
      <c r="AJ1584" s="1762" t="s">
        <v>3980</v>
      </c>
      <c r="AK1584" s="252" t="s">
        <v>43</v>
      </c>
      <c r="AL1584" s="111" t="s">
        <v>41</v>
      </c>
      <c r="AM1584" s="374"/>
      <c r="AN1584" s="371"/>
      <c r="AO1584" s="243"/>
      <c r="AP1584" s="357"/>
      <c r="AQ1584" s="104"/>
      <c r="AR1584" s="104"/>
      <c r="AS1584" s="104"/>
      <c r="AT1584" s="104"/>
      <c r="AU1584" s="104"/>
      <c r="AV1584" s="104"/>
      <c r="AW1584" s="104"/>
      <c r="AX1584" s="104"/>
      <c r="AY1584" s="104"/>
      <c r="AZ1584" s="104"/>
      <c r="BA1584" s="104"/>
      <c r="BB1584" s="104"/>
      <c r="BC1584" s="104"/>
      <c r="BD1584" s="104"/>
      <c r="BE1584" s="104"/>
      <c r="BF1584" s="104"/>
      <c r="BG1584" s="104"/>
      <c r="BH1584" s="104"/>
      <c r="BI1584" s="104"/>
      <c r="BJ1584" s="104"/>
      <c r="BK1584" s="104"/>
      <c r="BL1584" s="104"/>
      <c r="BM1584" s="104"/>
      <c r="BN1584" s="104"/>
      <c r="BO1584" s="104"/>
      <c r="BP1584" s="104"/>
      <c r="BQ1584" s="104"/>
      <c r="BR1584" s="104"/>
      <c r="BS1584" s="104"/>
      <c r="BT1584" s="104"/>
      <c r="BU1584" s="104"/>
      <c r="BV1584" s="104"/>
      <c r="BW1584" s="104"/>
      <c r="BX1584" s="104"/>
      <c r="BY1584" s="104"/>
      <c r="BZ1584" s="104"/>
      <c r="CA1584" s="358"/>
      <c r="CB1584" s="102"/>
      <c r="CC1584" s="102"/>
      <c r="CD1584" s="102"/>
      <c r="CE1584" s="102"/>
      <c r="CF1584" s="102"/>
      <c r="CG1584" s="102"/>
      <c r="CH1584" s="102"/>
      <c r="CI1584" s="102"/>
      <c r="CJ1584" s="102"/>
      <c r="CK1584" s="102"/>
      <c r="CL1584" s="102"/>
      <c r="CM1584" s="102"/>
      <c r="CN1584" s="102"/>
      <c r="CO1584" s="102"/>
      <c r="CP1584" s="102"/>
      <c r="CQ1584" s="102"/>
      <c r="CR1584" s="102"/>
      <c r="CS1584" s="102"/>
      <c r="CT1584" s="102"/>
      <c r="CU1584" s="102"/>
      <c r="CV1584" s="102"/>
      <c r="CW1584" s="102"/>
      <c r="CX1584" s="102"/>
      <c r="CY1584" s="102"/>
      <c r="CZ1584" s="102"/>
      <c r="DA1584" s="102"/>
      <c r="DB1584" s="102"/>
      <c r="DC1584" s="102"/>
      <c r="DD1584" s="102"/>
      <c r="DE1584" s="102"/>
      <c r="DF1584" s="102"/>
      <c r="DG1584" s="102"/>
      <c r="DH1584" s="102"/>
      <c r="DI1584" s="102"/>
      <c r="DJ1584" s="102"/>
      <c r="DK1584" s="102"/>
      <c r="DL1584" s="102"/>
      <c r="DM1584" s="102"/>
      <c r="DN1584" s="102"/>
      <c r="DO1584" s="102"/>
      <c r="DP1584" s="102"/>
      <c r="DQ1584" s="102"/>
      <c r="DR1584" s="102"/>
      <c r="DS1584" s="102"/>
      <c r="DT1584" s="102"/>
      <c r="DU1584" s="102"/>
      <c r="DV1584" s="102"/>
      <c r="DW1584" s="102"/>
      <c r="DX1584" s="102"/>
      <c r="DY1584" s="102"/>
    </row>
    <row r="1585" spans="1:129" s="138" customFormat="1" ht="45" customHeight="1" x14ac:dyDescent="0.3">
      <c r="A1585" s="243" t="s">
        <v>1641</v>
      </c>
      <c r="B1585" s="252" t="s">
        <v>3667</v>
      </c>
      <c r="C1585" s="287" t="s">
        <v>3681</v>
      </c>
      <c r="D1585" s="252" t="s">
        <v>34</v>
      </c>
      <c r="E1585" s="252" t="s">
        <v>3658</v>
      </c>
      <c r="F1585" s="252" t="s">
        <v>35</v>
      </c>
      <c r="G1585" s="252">
        <v>400</v>
      </c>
      <c r="H1585" s="245"/>
      <c r="I1585" s="252" t="s">
        <v>36</v>
      </c>
      <c r="J1585" s="245"/>
      <c r="K1585" s="1704">
        <v>0</v>
      </c>
      <c r="L1585" s="1704">
        <v>0</v>
      </c>
      <c r="M1585" s="1891" t="s">
        <v>3660</v>
      </c>
      <c r="N1585" s="1891"/>
      <c r="O1585" s="247" t="s">
        <v>3661</v>
      </c>
      <c r="P1585" s="253" t="s">
        <v>40</v>
      </c>
      <c r="Q1585" s="254"/>
      <c r="R1585" s="253" t="s">
        <v>40</v>
      </c>
      <c r="S1585" s="254"/>
      <c r="T1585" s="253" t="str">
        <f>$P$1581</f>
        <v>NA</v>
      </c>
      <c r="U1585" s="254"/>
      <c r="V1585" s="253" t="s">
        <v>40</v>
      </c>
      <c r="W1585" s="248"/>
      <c r="X1585" s="253" t="s">
        <v>40</v>
      </c>
      <c r="Y1585" s="248"/>
      <c r="Z1585" s="253" t="s">
        <v>40</v>
      </c>
      <c r="AA1585" s="254"/>
      <c r="AB1585" s="253" t="s">
        <v>40</v>
      </c>
      <c r="AC1585" s="254"/>
      <c r="AD1585" s="254"/>
      <c r="AE1585" s="254">
        <v>45930</v>
      </c>
      <c r="AF1585" s="253"/>
      <c r="AG1585" s="255"/>
      <c r="AH1585" s="369"/>
      <c r="AI1585" s="369"/>
      <c r="AJ1585" s="369"/>
      <c r="AK1585" s="252" t="s">
        <v>43</v>
      </c>
      <c r="AL1585" s="111"/>
      <c r="AM1585" s="370">
        <v>0</v>
      </c>
      <c r="AN1585" s="371" t="s">
        <v>40</v>
      </c>
      <c r="AO1585" s="243"/>
      <c r="AP1585" s="357"/>
      <c r="AQ1585" s="104"/>
      <c r="AR1585" s="104"/>
      <c r="AS1585" s="104"/>
      <c r="AT1585" s="104"/>
      <c r="AU1585" s="104"/>
      <c r="AV1585" s="104"/>
      <c r="AW1585" s="104"/>
      <c r="AX1585" s="104"/>
      <c r="AY1585" s="104"/>
      <c r="AZ1585" s="104"/>
      <c r="BA1585" s="104"/>
      <c r="BB1585" s="104"/>
      <c r="BC1585" s="104"/>
      <c r="BD1585" s="104"/>
      <c r="BE1585" s="104"/>
      <c r="BF1585" s="104"/>
      <c r="BG1585" s="104"/>
      <c r="BH1585" s="104"/>
      <c r="BI1585" s="104"/>
      <c r="BJ1585" s="104"/>
      <c r="BK1585" s="104"/>
      <c r="BL1585" s="104"/>
      <c r="BM1585" s="104"/>
      <c r="BN1585" s="104"/>
      <c r="BO1585" s="104"/>
      <c r="BP1585" s="104"/>
      <c r="BQ1585" s="104"/>
      <c r="BR1585" s="104"/>
      <c r="BS1585" s="104"/>
      <c r="BT1585" s="104"/>
      <c r="BU1585" s="104"/>
      <c r="BV1585" s="104"/>
      <c r="BW1585" s="104"/>
      <c r="BX1585" s="104"/>
      <c r="BY1585" s="104"/>
      <c r="BZ1585" s="104"/>
      <c r="CA1585" s="358"/>
      <c r="CB1585" s="102"/>
      <c r="CC1585" s="102"/>
      <c r="CD1585" s="102"/>
      <c r="CE1585" s="102"/>
      <c r="CF1585" s="102"/>
      <c r="CG1585" s="102"/>
      <c r="CH1585" s="102"/>
      <c r="CI1585" s="102"/>
      <c r="CJ1585" s="102"/>
      <c r="CK1585" s="102"/>
      <c r="CL1585" s="102"/>
      <c r="CM1585" s="102"/>
      <c r="CN1585" s="102"/>
      <c r="CO1585" s="102"/>
      <c r="CP1585" s="102"/>
      <c r="CQ1585" s="102"/>
      <c r="CR1585" s="102"/>
      <c r="CS1585" s="102"/>
      <c r="CT1585" s="102"/>
      <c r="CU1585" s="102"/>
      <c r="CV1585" s="102"/>
      <c r="CW1585" s="102"/>
      <c r="CX1585" s="102"/>
      <c r="CY1585" s="102"/>
      <c r="CZ1585" s="102"/>
      <c r="DA1585" s="102"/>
      <c r="DB1585" s="102"/>
      <c r="DC1585" s="102"/>
      <c r="DD1585" s="102"/>
      <c r="DE1585" s="102"/>
      <c r="DF1585" s="102"/>
      <c r="DG1585" s="102"/>
      <c r="DH1585" s="102"/>
      <c r="DI1585" s="102"/>
      <c r="DJ1585" s="102"/>
      <c r="DK1585" s="102"/>
      <c r="DL1585" s="102"/>
      <c r="DM1585" s="102"/>
      <c r="DN1585" s="102"/>
      <c r="DO1585" s="102"/>
      <c r="DP1585" s="102"/>
      <c r="DQ1585" s="102"/>
      <c r="DR1585" s="102"/>
      <c r="DS1585" s="102"/>
      <c r="DT1585" s="102"/>
      <c r="DU1585" s="102"/>
      <c r="DV1585" s="102"/>
      <c r="DW1585" s="102"/>
      <c r="DX1585" s="102"/>
      <c r="DY1585" s="102"/>
    </row>
    <row r="1586" spans="1:129" s="365" customFormat="1" ht="45" customHeight="1" x14ac:dyDescent="0.3">
      <c r="A1586" s="243" t="s">
        <v>1641</v>
      </c>
      <c r="B1586" s="252" t="s">
        <v>3667</v>
      </c>
      <c r="C1586" s="287" t="s">
        <v>3682</v>
      </c>
      <c r="D1586" s="252" t="s">
        <v>34</v>
      </c>
      <c r="E1586" s="252" t="s">
        <v>3658</v>
      </c>
      <c r="F1586" s="252" t="s">
        <v>35</v>
      </c>
      <c r="G1586" s="252">
        <v>400</v>
      </c>
      <c r="H1586" s="245"/>
      <c r="I1586" s="252" t="s">
        <v>36</v>
      </c>
      <c r="J1586" s="245"/>
      <c r="K1586" s="1704">
        <v>0</v>
      </c>
      <c r="L1586" s="1704">
        <v>0</v>
      </c>
      <c r="M1586" s="1891" t="s">
        <v>3660</v>
      </c>
      <c r="N1586" s="1891"/>
      <c r="O1586" s="247" t="s">
        <v>3661</v>
      </c>
      <c r="P1586" s="253" t="s">
        <v>40</v>
      </c>
      <c r="Q1586" s="254"/>
      <c r="R1586" s="253" t="s">
        <v>40</v>
      </c>
      <c r="S1586" s="254"/>
      <c r="T1586" s="253" t="s">
        <v>40</v>
      </c>
      <c r="U1586" s="254"/>
      <c r="V1586" s="253" t="s">
        <v>40</v>
      </c>
      <c r="W1586" s="248"/>
      <c r="X1586" s="253" t="s">
        <v>40</v>
      </c>
      <c r="Y1586" s="248"/>
      <c r="Z1586" s="253" t="s">
        <v>40</v>
      </c>
      <c r="AA1586" s="254"/>
      <c r="AB1586" s="253" t="s">
        <v>40</v>
      </c>
      <c r="AC1586" s="254"/>
      <c r="AD1586" s="254"/>
      <c r="AE1586" s="254">
        <v>45930</v>
      </c>
      <c r="AF1586" s="253"/>
      <c r="AG1586" s="255"/>
      <c r="AH1586" s="369"/>
      <c r="AI1586" s="369"/>
      <c r="AJ1586" s="369"/>
      <c r="AK1586" s="252" t="s">
        <v>43</v>
      </c>
      <c r="AL1586" s="111"/>
      <c r="AM1586" s="370">
        <v>0</v>
      </c>
      <c r="AN1586" s="371" t="s">
        <v>40</v>
      </c>
      <c r="AO1586" s="243"/>
      <c r="AP1586" s="357"/>
      <c r="AQ1586" s="104"/>
      <c r="AR1586" s="104"/>
      <c r="AS1586" s="104"/>
      <c r="AT1586" s="104"/>
      <c r="AU1586" s="104"/>
      <c r="AV1586" s="104"/>
      <c r="AW1586" s="104"/>
      <c r="AX1586" s="104"/>
      <c r="AY1586" s="104"/>
      <c r="AZ1586" s="104"/>
      <c r="BA1586" s="104"/>
      <c r="BB1586" s="104"/>
      <c r="BC1586" s="104"/>
      <c r="BD1586" s="104"/>
      <c r="BE1586" s="104"/>
      <c r="BF1586" s="104"/>
      <c r="BG1586" s="104"/>
      <c r="BH1586" s="104"/>
      <c r="BI1586" s="104"/>
      <c r="BJ1586" s="104"/>
      <c r="BK1586" s="104"/>
      <c r="BL1586" s="104"/>
      <c r="BM1586" s="104"/>
      <c r="BN1586" s="104"/>
      <c r="BO1586" s="104"/>
      <c r="BP1586" s="104"/>
      <c r="BQ1586" s="104"/>
      <c r="BR1586" s="104"/>
      <c r="BS1586" s="104"/>
      <c r="BT1586" s="104"/>
      <c r="BU1586" s="104"/>
      <c r="BV1586" s="104"/>
      <c r="BW1586" s="104"/>
      <c r="BX1586" s="104"/>
      <c r="BY1586" s="104"/>
      <c r="BZ1586" s="104"/>
      <c r="CA1586" s="358"/>
      <c r="CB1586" s="102"/>
      <c r="CC1586" s="102"/>
      <c r="CD1586" s="102"/>
      <c r="CE1586" s="102"/>
      <c r="CF1586" s="102"/>
      <c r="CG1586" s="102"/>
      <c r="CH1586" s="102"/>
      <c r="CI1586" s="102"/>
      <c r="CJ1586" s="102"/>
      <c r="CK1586" s="102"/>
      <c r="CL1586" s="102"/>
      <c r="CM1586" s="102"/>
      <c r="CN1586" s="102"/>
      <c r="CO1586" s="102"/>
      <c r="CP1586" s="102"/>
      <c r="CQ1586" s="102"/>
      <c r="CR1586" s="102"/>
      <c r="CS1586" s="102"/>
      <c r="CT1586" s="102"/>
      <c r="CU1586" s="102"/>
      <c r="CV1586" s="102"/>
      <c r="CW1586" s="102"/>
      <c r="CX1586" s="102"/>
      <c r="CY1586" s="102"/>
      <c r="CZ1586" s="102"/>
      <c r="DA1586" s="102"/>
      <c r="DB1586" s="102"/>
      <c r="DC1586" s="102"/>
      <c r="DD1586" s="102"/>
      <c r="DE1586" s="102"/>
      <c r="DF1586" s="102"/>
      <c r="DG1586" s="102"/>
      <c r="DH1586" s="102"/>
      <c r="DI1586" s="102"/>
      <c r="DJ1586" s="102"/>
      <c r="DK1586" s="102"/>
      <c r="DL1586" s="102"/>
      <c r="DM1586" s="102"/>
      <c r="DN1586" s="102"/>
      <c r="DO1586" s="102"/>
      <c r="DP1586" s="102"/>
      <c r="DQ1586" s="102"/>
      <c r="DR1586" s="102"/>
      <c r="DS1586" s="102"/>
      <c r="DT1586" s="102"/>
      <c r="DU1586" s="102"/>
      <c r="DV1586" s="102"/>
      <c r="DW1586" s="102"/>
      <c r="DX1586" s="102"/>
      <c r="DY1586" s="102"/>
    </row>
    <row r="1587" spans="1:129" s="359" customFormat="1" ht="45" customHeight="1" x14ac:dyDescent="0.3">
      <c r="A1587" s="243" t="s">
        <v>1641</v>
      </c>
      <c r="B1587" s="252" t="s">
        <v>3667</v>
      </c>
      <c r="C1587" s="287" t="s">
        <v>3683</v>
      </c>
      <c r="D1587" s="252" t="s">
        <v>34</v>
      </c>
      <c r="E1587" s="252" t="s">
        <v>3658</v>
      </c>
      <c r="F1587" s="252" t="s">
        <v>35</v>
      </c>
      <c r="G1587" s="252">
        <v>400</v>
      </c>
      <c r="H1587" s="245"/>
      <c r="I1587" s="252" t="s">
        <v>36</v>
      </c>
      <c r="J1587" s="245"/>
      <c r="K1587" s="1704">
        <v>0</v>
      </c>
      <c r="L1587" s="1704">
        <v>0</v>
      </c>
      <c r="M1587" s="1891" t="s">
        <v>3660</v>
      </c>
      <c r="N1587" s="1891"/>
      <c r="O1587" s="247" t="s">
        <v>3661</v>
      </c>
      <c r="P1587" s="253" t="s">
        <v>40</v>
      </c>
      <c r="Q1587" s="254"/>
      <c r="R1587" s="253" t="s">
        <v>40</v>
      </c>
      <c r="S1587" s="254"/>
      <c r="T1587" s="253" t="s">
        <v>40</v>
      </c>
      <c r="U1587" s="254"/>
      <c r="V1587" s="253" t="s">
        <v>40</v>
      </c>
      <c r="W1587" s="248"/>
      <c r="X1587" s="253" t="s">
        <v>40</v>
      </c>
      <c r="Y1587" s="248"/>
      <c r="Z1587" s="253" t="s">
        <v>40</v>
      </c>
      <c r="AA1587" s="254"/>
      <c r="AB1587" s="253" t="s">
        <v>40</v>
      </c>
      <c r="AC1587" s="254"/>
      <c r="AD1587" s="254"/>
      <c r="AE1587" s="254">
        <v>45930</v>
      </c>
      <c r="AF1587" s="253"/>
      <c r="AG1587" s="255"/>
      <c r="AH1587" s="369"/>
      <c r="AI1587" s="369"/>
      <c r="AJ1587" s="369"/>
      <c r="AK1587" s="252" t="s">
        <v>43</v>
      </c>
      <c r="AL1587" s="111"/>
      <c r="AM1587" s="370">
        <v>0</v>
      </c>
      <c r="AN1587" s="371" t="s">
        <v>40</v>
      </c>
      <c r="AO1587" s="243"/>
      <c r="AP1587" s="357"/>
      <c r="AQ1587" s="104"/>
      <c r="AR1587" s="104"/>
      <c r="AS1587" s="104"/>
      <c r="AT1587" s="104"/>
      <c r="AU1587" s="104"/>
      <c r="AV1587" s="104"/>
      <c r="AW1587" s="104"/>
      <c r="AX1587" s="104"/>
      <c r="AY1587" s="104"/>
      <c r="AZ1587" s="104"/>
      <c r="BA1587" s="104"/>
      <c r="BB1587" s="104"/>
      <c r="BC1587" s="104"/>
      <c r="BD1587" s="104"/>
      <c r="BE1587" s="104"/>
      <c r="BF1587" s="104"/>
      <c r="BG1587" s="104"/>
      <c r="BH1587" s="104"/>
      <c r="BI1587" s="104"/>
      <c r="BJ1587" s="104"/>
      <c r="BK1587" s="104"/>
      <c r="BL1587" s="104"/>
      <c r="BM1587" s="104"/>
      <c r="BN1587" s="104"/>
      <c r="BO1587" s="104"/>
      <c r="BP1587" s="104"/>
      <c r="BQ1587" s="104"/>
      <c r="BR1587" s="104"/>
      <c r="BS1587" s="104"/>
      <c r="BT1587" s="104"/>
      <c r="BU1587" s="104"/>
      <c r="BV1587" s="104"/>
      <c r="BW1587" s="104"/>
      <c r="BX1587" s="104"/>
      <c r="BY1587" s="104"/>
      <c r="BZ1587" s="104"/>
      <c r="CA1587" s="358"/>
      <c r="CB1587" s="102"/>
      <c r="CC1587" s="102"/>
      <c r="CD1587" s="102"/>
      <c r="CE1587" s="102"/>
      <c r="CF1587" s="102"/>
      <c r="CG1587" s="102"/>
      <c r="CH1587" s="102"/>
      <c r="CI1587" s="102"/>
      <c r="CJ1587" s="102"/>
      <c r="CK1587" s="102"/>
      <c r="CL1587" s="102"/>
      <c r="CM1587" s="102"/>
      <c r="CN1587" s="102"/>
      <c r="CO1587" s="102"/>
      <c r="CP1587" s="102"/>
      <c r="CQ1587" s="102"/>
      <c r="CR1587" s="102"/>
      <c r="CS1587" s="102"/>
      <c r="CT1587" s="102"/>
      <c r="CU1587" s="102"/>
      <c r="CV1587" s="102"/>
      <c r="CW1587" s="102"/>
      <c r="CX1587" s="102"/>
      <c r="CY1587" s="102"/>
      <c r="CZ1587" s="102"/>
      <c r="DA1587" s="102"/>
      <c r="DB1587" s="102"/>
      <c r="DC1587" s="102"/>
      <c r="DD1587" s="102"/>
      <c r="DE1587" s="102"/>
      <c r="DF1587" s="102"/>
      <c r="DG1587" s="102"/>
      <c r="DH1587" s="102"/>
      <c r="DI1587" s="102"/>
      <c r="DJ1587" s="102"/>
      <c r="DK1587" s="102"/>
      <c r="DL1587" s="102"/>
      <c r="DM1587" s="102"/>
      <c r="DN1587" s="102"/>
      <c r="DO1587" s="102"/>
      <c r="DP1587" s="102"/>
      <c r="DQ1587" s="102"/>
      <c r="DR1587" s="102"/>
      <c r="DS1587" s="102"/>
      <c r="DT1587" s="102"/>
      <c r="DU1587" s="102"/>
      <c r="DV1587" s="102"/>
      <c r="DW1587" s="102"/>
      <c r="DX1587" s="102"/>
      <c r="DY1587" s="102"/>
    </row>
    <row r="1588" spans="1:129" s="138" customFormat="1" ht="53.4" customHeight="1" x14ac:dyDescent="0.3">
      <c r="A1588" s="360" t="s">
        <v>1641</v>
      </c>
      <c r="B1588" s="360" t="s">
        <v>3684</v>
      </c>
      <c r="C1588" s="1212" t="s">
        <v>3685</v>
      </c>
      <c r="D1588" s="360" t="s">
        <v>34</v>
      </c>
      <c r="E1588" s="360">
        <v>58</v>
      </c>
      <c r="F1588" s="360" t="s">
        <v>35</v>
      </c>
      <c r="G1588" s="360">
        <v>384</v>
      </c>
      <c r="H1588" s="366">
        <v>15000000</v>
      </c>
      <c r="I1588" s="360" t="s">
        <v>36</v>
      </c>
      <c r="J1588" s="366">
        <v>15000000</v>
      </c>
      <c r="K1588" s="1693">
        <f>K1589</f>
        <v>46646.58</v>
      </c>
      <c r="L1588" s="1693">
        <f>L1589</f>
        <v>46646.38</v>
      </c>
      <c r="M1588" s="237" t="s">
        <v>40</v>
      </c>
      <c r="N1588" s="237" t="s">
        <v>40</v>
      </c>
      <c r="O1588" s="237" t="s">
        <v>3686</v>
      </c>
      <c r="P1588" s="237" t="s">
        <v>41</v>
      </c>
      <c r="Q1588" s="375">
        <v>45078</v>
      </c>
      <c r="R1588" s="237" t="s">
        <v>41</v>
      </c>
      <c r="S1588" s="375">
        <v>45078</v>
      </c>
      <c r="T1588" s="237" t="s">
        <v>40</v>
      </c>
      <c r="U1588" s="375"/>
      <c r="V1588" s="237" t="s">
        <v>64</v>
      </c>
      <c r="W1588" s="375">
        <v>45230</v>
      </c>
      <c r="X1588" s="237" t="s">
        <v>41</v>
      </c>
      <c r="Y1588" s="375">
        <v>45291</v>
      </c>
      <c r="Z1588" s="237" t="s">
        <v>40</v>
      </c>
      <c r="AA1588" s="375"/>
      <c r="AB1588" s="237" t="s">
        <v>40</v>
      </c>
      <c r="AC1588" s="375"/>
      <c r="AD1588" s="375"/>
      <c r="AE1588" s="375">
        <v>46112</v>
      </c>
      <c r="AF1588" s="237" t="s">
        <v>65</v>
      </c>
      <c r="AG1588" s="238">
        <v>2025</v>
      </c>
      <c r="AH1588" s="1174">
        <v>0</v>
      </c>
      <c r="AI1588" s="1174"/>
      <c r="AJ1588" s="1174"/>
      <c r="AK1588" s="360" t="s">
        <v>43</v>
      </c>
      <c r="AL1588" s="360" t="s">
        <v>41</v>
      </c>
      <c r="AM1588" s="1175">
        <v>0</v>
      </c>
      <c r="AN1588" s="1176" t="s">
        <v>40</v>
      </c>
      <c r="AO1588" s="243"/>
      <c r="AP1588" s="357"/>
      <c r="AQ1588" s="104"/>
      <c r="AR1588" s="104"/>
      <c r="AS1588" s="104"/>
      <c r="AT1588" s="104"/>
      <c r="AU1588" s="104"/>
      <c r="AV1588" s="104"/>
      <c r="AW1588" s="104"/>
      <c r="AX1588" s="104"/>
      <c r="AY1588" s="104"/>
      <c r="AZ1588" s="104"/>
      <c r="BA1588" s="104"/>
      <c r="BB1588" s="104"/>
      <c r="BC1588" s="104"/>
      <c r="BD1588" s="104"/>
      <c r="BE1588" s="104"/>
      <c r="BF1588" s="104"/>
      <c r="BG1588" s="104"/>
      <c r="BH1588" s="104"/>
      <c r="BI1588" s="104"/>
      <c r="BJ1588" s="104"/>
      <c r="BK1588" s="104"/>
      <c r="BL1588" s="104"/>
      <c r="BM1588" s="104"/>
      <c r="BN1588" s="104"/>
      <c r="BO1588" s="104"/>
      <c r="BP1588" s="104"/>
      <c r="BQ1588" s="104"/>
      <c r="BR1588" s="104"/>
      <c r="BS1588" s="104"/>
      <c r="BT1588" s="104"/>
      <c r="BU1588" s="104"/>
      <c r="BV1588" s="104"/>
      <c r="BW1588" s="104"/>
      <c r="BX1588" s="104"/>
      <c r="BY1588" s="104"/>
      <c r="BZ1588" s="104"/>
      <c r="CA1588" s="358"/>
      <c r="CB1588" s="102"/>
      <c r="CC1588" s="102"/>
      <c r="CD1588" s="102"/>
      <c r="CE1588" s="102"/>
      <c r="CF1588" s="102"/>
      <c r="CG1588" s="102"/>
      <c r="CH1588" s="102"/>
      <c r="CI1588" s="102"/>
      <c r="CJ1588" s="102"/>
      <c r="CK1588" s="102"/>
      <c r="CL1588" s="102"/>
      <c r="CM1588" s="102"/>
      <c r="CN1588" s="102"/>
      <c r="CO1588" s="102"/>
      <c r="CP1588" s="102"/>
      <c r="CQ1588" s="102"/>
      <c r="CR1588" s="102"/>
      <c r="CS1588" s="102"/>
      <c r="CT1588" s="102"/>
      <c r="CU1588" s="102"/>
      <c r="CV1588" s="102"/>
      <c r="CW1588" s="102"/>
      <c r="CX1588" s="102"/>
      <c r="CY1588" s="102"/>
      <c r="CZ1588" s="102"/>
      <c r="DA1588" s="102"/>
      <c r="DB1588" s="102"/>
      <c r="DC1588" s="102"/>
      <c r="DD1588" s="102"/>
      <c r="DE1588" s="102"/>
      <c r="DF1588" s="102"/>
      <c r="DG1588" s="102"/>
      <c r="DH1588" s="102"/>
      <c r="DI1588" s="102"/>
      <c r="DJ1588" s="102"/>
      <c r="DK1588" s="102"/>
      <c r="DL1588" s="102"/>
      <c r="DM1588" s="102"/>
      <c r="DN1588" s="102"/>
      <c r="DO1588" s="102"/>
      <c r="DP1588" s="102"/>
      <c r="DQ1588" s="102"/>
      <c r="DR1588" s="102"/>
      <c r="DS1588" s="102"/>
      <c r="DT1588" s="102"/>
      <c r="DU1588" s="102"/>
      <c r="DV1588" s="102"/>
      <c r="DW1588" s="102"/>
      <c r="DX1588" s="102"/>
      <c r="DY1588" s="102"/>
    </row>
    <row r="1589" spans="1:129" s="1227" customFormat="1" ht="40.950000000000003" customHeight="1" x14ac:dyDescent="0.3">
      <c r="A1589" s="361" t="s">
        <v>1641</v>
      </c>
      <c r="B1589" s="361" t="s">
        <v>3684</v>
      </c>
      <c r="C1589" s="1177" t="s">
        <v>3687</v>
      </c>
      <c r="D1589" s="361" t="s">
        <v>34</v>
      </c>
      <c r="E1589" s="361">
        <v>58</v>
      </c>
      <c r="F1589" s="361" t="s">
        <v>35</v>
      </c>
      <c r="G1589" s="361">
        <v>384</v>
      </c>
      <c r="H1589" s="362">
        <v>15000000</v>
      </c>
      <c r="I1589" s="361" t="s">
        <v>36</v>
      </c>
      <c r="J1589" s="362">
        <v>15000000</v>
      </c>
      <c r="K1589" s="1694">
        <f>SUM(K1590:K1592)</f>
        <v>46646.58</v>
      </c>
      <c r="L1589" s="1694">
        <f>SUM(L1590:L1592)</f>
        <v>46646.38</v>
      </c>
      <c r="M1589" s="376" t="s">
        <v>40</v>
      </c>
      <c r="N1589" s="376" t="s">
        <v>40</v>
      </c>
      <c r="O1589" s="376" t="s">
        <v>3686</v>
      </c>
      <c r="P1589" s="376" t="s">
        <v>41</v>
      </c>
      <c r="Q1589" s="377">
        <v>45078</v>
      </c>
      <c r="R1589" s="376" t="s">
        <v>41</v>
      </c>
      <c r="S1589" s="377">
        <v>45078</v>
      </c>
      <c r="T1589" s="376" t="s">
        <v>40</v>
      </c>
      <c r="U1589" s="377"/>
      <c r="V1589" s="376" t="s">
        <v>64</v>
      </c>
      <c r="W1589" s="377"/>
      <c r="X1589" s="376" t="s">
        <v>41</v>
      </c>
      <c r="Y1589" s="377">
        <v>45061</v>
      </c>
      <c r="Z1589" s="376" t="s">
        <v>40</v>
      </c>
      <c r="AA1589" s="377"/>
      <c r="AB1589" s="376" t="s">
        <v>40</v>
      </c>
      <c r="AC1589" s="377"/>
      <c r="AD1589" s="377"/>
      <c r="AE1589" s="377">
        <v>46112</v>
      </c>
      <c r="AF1589" s="376" t="s">
        <v>65</v>
      </c>
      <c r="AG1589" s="1180">
        <v>2025</v>
      </c>
      <c r="AH1589" s="1179">
        <v>0</v>
      </c>
      <c r="AI1589" s="1179"/>
      <c r="AJ1589" s="1179"/>
      <c r="AK1589" s="361" t="s">
        <v>43</v>
      </c>
      <c r="AL1589" s="361" t="s">
        <v>41</v>
      </c>
      <c r="AM1589" s="1181">
        <v>0</v>
      </c>
      <c r="AN1589" s="1211" t="s">
        <v>40</v>
      </c>
      <c r="AO1589" s="1225"/>
      <c r="AP1589" s="1225"/>
      <c r="AQ1589" s="1225"/>
      <c r="AR1589" s="1225"/>
      <c r="AS1589" s="1225"/>
      <c r="AT1589" s="1225"/>
      <c r="AU1589" s="1225"/>
      <c r="AV1589" s="1225"/>
      <c r="AW1589" s="1225"/>
      <c r="AX1589" s="1225"/>
      <c r="AY1589" s="1225"/>
      <c r="AZ1589" s="1225"/>
      <c r="BA1589" s="1225"/>
      <c r="BB1589" s="1225"/>
      <c r="BC1589" s="1225"/>
      <c r="BD1589" s="1225"/>
      <c r="BE1589" s="1225"/>
      <c r="BF1589" s="1225"/>
      <c r="BG1589" s="1225"/>
      <c r="BH1589" s="1225"/>
      <c r="BI1589" s="1225"/>
      <c r="BJ1589" s="1225"/>
      <c r="BK1589" s="1225"/>
      <c r="BL1589" s="1225"/>
      <c r="BM1589" s="1225"/>
      <c r="BN1589" s="1225"/>
      <c r="BO1589" s="1225"/>
      <c r="BP1589" s="1225"/>
      <c r="BQ1589" s="1225"/>
      <c r="BR1589" s="1225"/>
      <c r="BS1589" s="1225"/>
      <c r="BT1589" s="1225"/>
      <c r="BU1589" s="1225"/>
      <c r="BV1589" s="1225"/>
      <c r="BW1589" s="1225"/>
      <c r="BX1589" s="1225"/>
      <c r="BY1589" s="1225"/>
      <c r="BZ1589" s="1225"/>
      <c r="CA1589" s="1226"/>
      <c r="CB1589" s="1226"/>
      <c r="CC1589" s="1226"/>
      <c r="CD1589" s="1226"/>
      <c r="CE1589" s="1226"/>
      <c r="CF1589" s="1226"/>
      <c r="CG1589" s="1226"/>
      <c r="CH1589" s="1226"/>
      <c r="CI1589" s="1226"/>
      <c r="CJ1589" s="1226"/>
      <c r="CK1589" s="1226"/>
      <c r="CL1589" s="1226"/>
      <c r="CM1589" s="1226"/>
      <c r="CN1589" s="1226"/>
      <c r="CO1589" s="1226"/>
      <c r="CP1589" s="1226"/>
      <c r="CQ1589" s="1226"/>
      <c r="CR1589" s="1226"/>
      <c r="CS1589" s="1226"/>
      <c r="CT1589" s="1226"/>
      <c r="CU1589" s="1226"/>
      <c r="CV1589" s="1226"/>
      <c r="CW1589" s="1226"/>
      <c r="CX1589" s="1226"/>
      <c r="CY1589" s="1226"/>
      <c r="CZ1589" s="1226"/>
      <c r="DA1589" s="1226"/>
      <c r="DB1589" s="1226"/>
      <c r="DC1589" s="1226"/>
      <c r="DD1589" s="1226"/>
      <c r="DE1589" s="1226"/>
      <c r="DF1589" s="1226"/>
      <c r="DG1589" s="1226"/>
      <c r="DH1589" s="1226"/>
      <c r="DI1589" s="1226"/>
      <c r="DJ1589" s="1226"/>
      <c r="DK1589" s="1226"/>
      <c r="DL1589" s="1226"/>
      <c r="DM1589" s="1226"/>
      <c r="DN1589" s="1226"/>
      <c r="DO1589" s="1226"/>
      <c r="DP1589" s="1226"/>
      <c r="DQ1589" s="1226"/>
      <c r="DR1589" s="1226"/>
      <c r="DS1589" s="1226"/>
      <c r="DT1589" s="1226"/>
      <c r="DU1589" s="1226"/>
      <c r="DV1589" s="1226"/>
      <c r="DW1589" s="1226"/>
      <c r="DX1589" s="1226"/>
      <c r="DY1589" s="1226"/>
    </row>
    <row r="1590" spans="1:129" s="1772" customFormat="1" ht="49.95" customHeight="1" x14ac:dyDescent="0.3">
      <c r="A1590" s="103" t="s">
        <v>1641</v>
      </c>
      <c r="B1590" s="532" t="s">
        <v>3684</v>
      </c>
      <c r="C1590" s="1763" t="s">
        <v>3688</v>
      </c>
      <c r="D1590" s="532" t="s">
        <v>34</v>
      </c>
      <c r="E1590" s="532">
        <v>58</v>
      </c>
      <c r="F1590" s="532" t="s">
        <v>35</v>
      </c>
      <c r="G1590" s="532">
        <v>384</v>
      </c>
      <c r="H1590" s="1764">
        <v>15000000</v>
      </c>
      <c r="I1590" s="532" t="s">
        <v>36</v>
      </c>
      <c r="J1590" s="1764">
        <v>15000000</v>
      </c>
      <c r="K1590" s="1765">
        <v>50.2</v>
      </c>
      <c r="L1590" s="1765">
        <v>50</v>
      </c>
      <c r="M1590" s="530" t="s">
        <v>3689</v>
      </c>
      <c r="N1590" s="530" t="s">
        <v>3689</v>
      </c>
      <c r="O1590" s="1766" t="s">
        <v>3686</v>
      </c>
      <c r="P1590" s="530" t="s">
        <v>40</v>
      </c>
      <c r="Q1590" s="531"/>
      <c r="R1590" s="530" t="s">
        <v>41</v>
      </c>
      <c r="S1590" s="531">
        <v>45535</v>
      </c>
      <c r="T1590" s="530" t="s">
        <v>40</v>
      </c>
      <c r="U1590" s="531"/>
      <c r="V1590" s="530" t="s">
        <v>41</v>
      </c>
      <c r="W1590" s="531">
        <v>45596</v>
      </c>
      <c r="X1590" s="530" t="s">
        <v>41</v>
      </c>
      <c r="Y1590" s="665" t="s">
        <v>1436</v>
      </c>
      <c r="Z1590" s="530" t="s">
        <v>40</v>
      </c>
      <c r="AA1590" s="531"/>
      <c r="AB1590" s="530" t="s">
        <v>40</v>
      </c>
      <c r="AC1590" s="531"/>
      <c r="AD1590" s="531"/>
      <c r="AE1590" s="531">
        <v>46112</v>
      </c>
      <c r="AF1590" s="530" t="s">
        <v>65</v>
      </c>
      <c r="AG1590" s="1767">
        <v>2025</v>
      </c>
      <c r="AH1590" s="1768">
        <v>0</v>
      </c>
      <c r="AI1590" s="1768"/>
      <c r="AJ1590" s="1768"/>
      <c r="AK1590" s="532" t="s">
        <v>43</v>
      </c>
      <c r="AL1590" s="103" t="s">
        <v>41</v>
      </c>
      <c r="AM1590" s="1769">
        <v>5.8999999999999997E-2</v>
      </c>
      <c r="AN1590" s="1770" t="s">
        <v>40</v>
      </c>
      <c r="AO1590" s="1771"/>
      <c r="AP1590" s="1771"/>
      <c r="AQ1590" s="1771"/>
      <c r="AR1590" s="1771"/>
      <c r="AS1590" s="1771"/>
      <c r="AT1590" s="1771"/>
      <c r="AU1590" s="1771"/>
      <c r="AV1590" s="1771"/>
      <c r="AW1590" s="1771"/>
      <c r="AX1590" s="1771"/>
      <c r="AY1590" s="1771"/>
      <c r="AZ1590" s="1771"/>
      <c r="BA1590" s="1771"/>
      <c r="BB1590" s="1771"/>
      <c r="BC1590" s="1771"/>
      <c r="BD1590" s="1771"/>
      <c r="BE1590" s="1771"/>
      <c r="BF1590" s="1771"/>
      <c r="BG1590" s="1771"/>
      <c r="BH1590" s="1771"/>
      <c r="BI1590" s="1771"/>
      <c r="BJ1590" s="1771"/>
      <c r="BK1590" s="1771"/>
      <c r="BL1590" s="1771"/>
      <c r="BM1590" s="1771"/>
      <c r="BN1590" s="1771"/>
      <c r="BO1590" s="1771"/>
      <c r="BP1590" s="1771"/>
      <c r="BQ1590" s="1771"/>
      <c r="BR1590" s="1771"/>
      <c r="BS1590" s="1771"/>
      <c r="BT1590" s="1771"/>
      <c r="BU1590" s="1771"/>
      <c r="BV1590" s="1771"/>
      <c r="BW1590" s="1771"/>
      <c r="BX1590" s="1771"/>
      <c r="BY1590" s="1771"/>
      <c r="BZ1590" s="1771"/>
      <c r="CA1590" s="1771"/>
      <c r="CB1590" s="1771"/>
      <c r="CC1590" s="1771"/>
      <c r="CD1590" s="1771"/>
      <c r="CE1590" s="1771"/>
      <c r="CF1590" s="1771"/>
      <c r="CG1590" s="1771"/>
      <c r="CH1590" s="1771"/>
      <c r="CI1590" s="1771"/>
      <c r="CJ1590" s="1771"/>
      <c r="CK1590" s="1771"/>
      <c r="CL1590" s="1771"/>
      <c r="CM1590" s="1771"/>
      <c r="CN1590" s="1771"/>
      <c r="CO1590" s="1771"/>
      <c r="CP1590" s="1771"/>
      <c r="CQ1590" s="1771"/>
      <c r="CR1590" s="1771"/>
      <c r="CS1590" s="1771"/>
      <c r="CT1590" s="1771"/>
      <c r="CU1590" s="1771"/>
      <c r="CV1590" s="1771"/>
      <c r="CW1590" s="1771"/>
      <c r="CX1590" s="1771"/>
      <c r="CY1590" s="1771"/>
      <c r="CZ1590" s="1771"/>
      <c r="DA1590" s="1771"/>
      <c r="DB1590" s="1771"/>
      <c r="DC1590" s="1771"/>
      <c r="DD1590" s="1771"/>
      <c r="DE1590" s="1771"/>
      <c r="DF1590" s="1771"/>
      <c r="DG1590" s="1771"/>
      <c r="DH1590" s="1771"/>
      <c r="DI1590" s="1771"/>
      <c r="DJ1590" s="1771"/>
      <c r="DK1590" s="1771"/>
      <c r="DL1590" s="1771"/>
      <c r="DM1590" s="1771"/>
      <c r="DN1590" s="1771"/>
      <c r="DO1590" s="1771"/>
      <c r="DP1590" s="1771"/>
      <c r="DQ1590" s="1771"/>
      <c r="DR1590" s="1771"/>
      <c r="DS1590" s="1771"/>
      <c r="DT1590" s="1771"/>
      <c r="DU1590" s="1771"/>
      <c r="DV1590" s="1771"/>
      <c r="DW1590" s="1771"/>
      <c r="DX1590" s="1771"/>
      <c r="DY1590" s="1771"/>
    </row>
    <row r="1591" spans="1:129" s="1788" customFormat="1" ht="49.95" customHeight="1" x14ac:dyDescent="0.3">
      <c r="A1591" s="1774" t="s">
        <v>1641</v>
      </c>
      <c r="B1591" s="1775" t="s">
        <v>3684</v>
      </c>
      <c r="C1591" s="1776" t="s">
        <v>3981</v>
      </c>
      <c r="D1591" s="1775" t="s">
        <v>34</v>
      </c>
      <c r="E1591" s="1775">
        <v>58</v>
      </c>
      <c r="F1591" s="1775" t="s">
        <v>35</v>
      </c>
      <c r="G1591" s="1775"/>
      <c r="H1591" s="1777"/>
      <c r="I1591" s="1775" t="s">
        <v>36</v>
      </c>
      <c r="J1591" s="1777">
        <v>50.2</v>
      </c>
      <c r="K1591" s="1778">
        <v>50.2</v>
      </c>
      <c r="L1591" s="1778">
        <v>50.2</v>
      </c>
      <c r="M1591" s="1779"/>
      <c r="N1591" s="1779" t="s">
        <v>40</v>
      </c>
      <c r="O1591" s="1780" t="s">
        <v>3686</v>
      </c>
      <c r="P1591" s="1779" t="s">
        <v>40</v>
      </c>
      <c r="Q1591" s="1781"/>
      <c r="R1591" s="1779" t="s">
        <v>41</v>
      </c>
      <c r="S1591" s="1781"/>
      <c r="T1591" s="1779" t="s">
        <v>40</v>
      </c>
      <c r="U1591" s="1781"/>
      <c r="V1591" s="1779" t="s">
        <v>3982</v>
      </c>
      <c r="W1591" s="1781"/>
      <c r="X1591" s="1779" t="s">
        <v>64</v>
      </c>
      <c r="Y1591" s="1782"/>
      <c r="Z1591" s="1779" t="s">
        <v>40</v>
      </c>
      <c r="AA1591" s="1781"/>
      <c r="AB1591" s="1779" t="s">
        <v>40</v>
      </c>
      <c r="AC1591" s="1781"/>
      <c r="AD1591" s="1781" t="s">
        <v>3983</v>
      </c>
      <c r="AE1591" s="1781"/>
      <c r="AF1591" s="1779"/>
      <c r="AG1591" s="1783"/>
      <c r="AH1591" s="1784">
        <v>250</v>
      </c>
      <c r="AI1591" s="1784"/>
      <c r="AJ1591" s="1784" t="s">
        <v>3982</v>
      </c>
      <c r="AK1591" s="1775" t="s">
        <v>43</v>
      </c>
      <c r="AL1591" s="1774" t="s">
        <v>41</v>
      </c>
      <c r="AM1591" s="1785"/>
      <c r="AN1591" s="1786" t="s">
        <v>40</v>
      </c>
      <c r="AO1591" s="1787"/>
      <c r="AP1591" s="1787"/>
      <c r="AQ1591" s="1787"/>
      <c r="AR1591" s="1787"/>
      <c r="AS1591" s="1787"/>
      <c r="AT1591" s="1787"/>
      <c r="AU1591" s="1787"/>
      <c r="AV1591" s="1787"/>
      <c r="AW1591" s="1787"/>
      <c r="AX1591" s="1787"/>
      <c r="AY1591" s="1787"/>
      <c r="AZ1591" s="1787"/>
      <c r="BA1591" s="1787"/>
      <c r="BB1591" s="1787"/>
      <c r="BC1591" s="1787"/>
      <c r="BD1591" s="1787"/>
      <c r="BE1591" s="1787"/>
      <c r="BF1591" s="1787"/>
      <c r="BG1591" s="1787"/>
      <c r="BH1591" s="1787"/>
      <c r="BI1591" s="1787"/>
      <c r="BJ1591" s="1787"/>
      <c r="BK1591" s="1787"/>
      <c r="BL1591" s="1787"/>
      <c r="BM1591" s="1787"/>
      <c r="BN1591" s="1787"/>
      <c r="BO1591" s="1787"/>
      <c r="BP1591" s="1787"/>
      <c r="BQ1591" s="1787"/>
      <c r="BR1591" s="1787"/>
      <c r="BS1591" s="1787"/>
      <c r="BT1591" s="1787"/>
      <c r="BU1591" s="1787"/>
      <c r="BV1591" s="1787"/>
      <c r="BW1591" s="1787"/>
      <c r="BX1591" s="1787"/>
      <c r="BY1591" s="1787"/>
      <c r="BZ1591" s="1787"/>
      <c r="CA1591" s="1787"/>
      <c r="CB1591" s="1787"/>
      <c r="CC1591" s="1787"/>
      <c r="CD1591" s="1787"/>
      <c r="CE1591" s="1787"/>
      <c r="CF1591" s="1787"/>
      <c r="CG1591" s="1787"/>
      <c r="CH1591" s="1787"/>
      <c r="CI1591" s="1787"/>
      <c r="CJ1591" s="1787"/>
      <c r="CK1591" s="1787"/>
      <c r="CL1591" s="1787"/>
      <c r="CM1591" s="1787"/>
      <c r="CN1591" s="1787"/>
      <c r="CO1591" s="1787"/>
      <c r="CP1591" s="1787"/>
      <c r="CQ1591" s="1787"/>
      <c r="CR1591" s="1787"/>
      <c r="CS1591" s="1787"/>
      <c r="CT1591" s="1787"/>
      <c r="CU1591" s="1787"/>
      <c r="CV1591" s="1787"/>
      <c r="CW1591" s="1787"/>
      <c r="CX1591" s="1787"/>
      <c r="CY1591" s="1787"/>
      <c r="CZ1591" s="1787"/>
      <c r="DA1591" s="1787"/>
      <c r="DB1591" s="1787"/>
      <c r="DC1591" s="1787"/>
      <c r="DD1591" s="1787"/>
      <c r="DE1591" s="1787"/>
      <c r="DF1591" s="1787"/>
      <c r="DG1591" s="1787"/>
      <c r="DH1591" s="1787"/>
      <c r="DI1591" s="1787"/>
      <c r="DJ1591" s="1787"/>
      <c r="DK1591" s="1787"/>
      <c r="DL1591" s="1787"/>
      <c r="DM1591" s="1787"/>
      <c r="DN1591" s="1787"/>
      <c r="DO1591" s="1787"/>
      <c r="DP1591" s="1787"/>
      <c r="DQ1591" s="1787"/>
      <c r="DR1591" s="1787"/>
      <c r="DS1591" s="1787"/>
      <c r="DT1591" s="1787"/>
      <c r="DU1591" s="1787"/>
      <c r="DV1591" s="1787"/>
      <c r="DW1591" s="1787"/>
      <c r="DX1591" s="1787"/>
      <c r="DY1591" s="1787"/>
    </row>
    <row r="1592" spans="1:129" s="1793" customFormat="1" ht="49.95" customHeight="1" x14ac:dyDescent="0.3">
      <c r="A1592" s="1358" t="s">
        <v>1641</v>
      </c>
      <c r="B1592" s="28" t="s">
        <v>3684</v>
      </c>
      <c r="C1592" s="1789" t="s">
        <v>3984</v>
      </c>
      <c r="D1592" s="28" t="s">
        <v>34</v>
      </c>
      <c r="E1592" s="28">
        <v>58</v>
      </c>
      <c r="F1592" s="28" t="s">
        <v>35</v>
      </c>
      <c r="G1592" s="28"/>
      <c r="H1592" s="1435"/>
      <c r="I1592" s="28" t="s">
        <v>36</v>
      </c>
      <c r="J1592" s="1435">
        <v>90336.35</v>
      </c>
      <c r="K1592" s="1753">
        <v>46546.18</v>
      </c>
      <c r="L1592" s="1753">
        <v>46546.18</v>
      </c>
      <c r="M1592" s="26"/>
      <c r="N1592" s="26" t="s">
        <v>40</v>
      </c>
      <c r="O1592" s="1754" t="s">
        <v>3686</v>
      </c>
      <c r="P1592" s="26" t="s">
        <v>40</v>
      </c>
      <c r="Q1592" s="27"/>
      <c r="R1592" s="26" t="s">
        <v>41</v>
      </c>
      <c r="S1592" s="27"/>
      <c r="T1592" s="26" t="s">
        <v>40</v>
      </c>
      <c r="U1592" s="27"/>
      <c r="V1592" s="26" t="s">
        <v>3985</v>
      </c>
      <c r="W1592" s="27"/>
      <c r="X1592" s="26" t="s">
        <v>64</v>
      </c>
      <c r="Y1592" s="1790"/>
      <c r="Z1592" s="26" t="s">
        <v>40</v>
      </c>
      <c r="AA1592" s="27"/>
      <c r="AB1592" s="26" t="s">
        <v>40</v>
      </c>
      <c r="AC1592" s="27"/>
      <c r="AD1592" s="27" t="s">
        <v>3986</v>
      </c>
      <c r="AE1592" s="27"/>
      <c r="AF1592" s="26"/>
      <c r="AG1592" s="1756"/>
      <c r="AH1592" s="1791">
        <v>449875</v>
      </c>
      <c r="AI1592" s="1791"/>
      <c r="AJ1592" s="1791" t="s">
        <v>3987</v>
      </c>
      <c r="AK1592" s="28" t="s">
        <v>43</v>
      </c>
      <c r="AL1592" s="1358" t="s">
        <v>41</v>
      </c>
      <c r="AM1592" s="1758"/>
      <c r="AN1592" s="1759" t="s">
        <v>40</v>
      </c>
      <c r="AO1592" s="1792"/>
      <c r="AP1592" s="1792"/>
      <c r="AQ1592" s="1792"/>
      <c r="AR1592" s="1792"/>
      <c r="AS1592" s="1792"/>
      <c r="AT1592" s="1792"/>
      <c r="AU1592" s="1792"/>
      <c r="AV1592" s="1792"/>
      <c r="AW1592" s="1792"/>
      <c r="AX1592" s="1792"/>
      <c r="AY1592" s="1792"/>
      <c r="AZ1592" s="1792"/>
      <c r="BA1592" s="1792"/>
      <c r="BB1592" s="1792"/>
      <c r="BC1592" s="1792"/>
      <c r="BD1592" s="1792"/>
      <c r="BE1592" s="1792"/>
      <c r="BF1592" s="1792"/>
      <c r="BG1592" s="1792"/>
      <c r="BH1592" s="1792"/>
      <c r="BI1592" s="1792"/>
      <c r="BJ1592" s="1792"/>
      <c r="BK1592" s="1792"/>
      <c r="BL1592" s="1792"/>
      <c r="BM1592" s="1792"/>
      <c r="BN1592" s="1792"/>
      <c r="BO1592" s="1792"/>
      <c r="BP1592" s="1792"/>
      <c r="BQ1592" s="1792"/>
      <c r="BR1592" s="1792"/>
      <c r="BS1592" s="1792"/>
      <c r="BT1592" s="1792"/>
      <c r="BU1592" s="1792"/>
      <c r="BV1592" s="1792"/>
      <c r="BW1592" s="1792"/>
      <c r="BX1592" s="1792"/>
      <c r="BY1592" s="1792"/>
      <c r="BZ1592" s="1792"/>
      <c r="CA1592" s="1792"/>
      <c r="CB1592" s="1792"/>
      <c r="CC1592" s="1792"/>
      <c r="CD1592" s="1792"/>
      <c r="CE1592" s="1792"/>
      <c r="CF1592" s="1792"/>
      <c r="CG1592" s="1792"/>
      <c r="CH1592" s="1792"/>
      <c r="CI1592" s="1792"/>
      <c r="CJ1592" s="1792"/>
      <c r="CK1592" s="1792"/>
      <c r="CL1592" s="1792"/>
      <c r="CM1592" s="1792"/>
      <c r="CN1592" s="1792"/>
      <c r="CO1592" s="1792"/>
      <c r="CP1592" s="1792"/>
      <c r="CQ1592" s="1792"/>
      <c r="CR1592" s="1792"/>
      <c r="CS1592" s="1792"/>
      <c r="CT1592" s="1792"/>
      <c r="CU1592" s="1792"/>
      <c r="CV1592" s="1792"/>
      <c r="CW1592" s="1792"/>
      <c r="CX1592" s="1792"/>
      <c r="CY1592" s="1792"/>
      <c r="CZ1592" s="1792"/>
      <c r="DA1592" s="1792"/>
      <c r="DB1592" s="1792"/>
      <c r="DC1592" s="1792"/>
      <c r="DD1592" s="1792"/>
      <c r="DE1592" s="1792"/>
      <c r="DF1592" s="1792"/>
      <c r="DG1592" s="1792"/>
      <c r="DH1592" s="1792"/>
      <c r="DI1592" s="1792"/>
      <c r="DJ1592" s="1792"/>
      <c r="DK1592" s="1792"/>
      <c r="DL1592" s="1792"/>
      <c r="DM1592" s="1792"/>
      <c r="DN1592" s="1792"/>
      <c r="DO1592" s="1792"/>
      <c r="DP1592" s="1792"/>
      <c r="DQ1592" s="1792"/>
      <c r="DR1592" s="1792"/>
      <c r="DS1592" s="1792"/>
      <c r="DT1592" s="1792"/>
      <c r="DU1592" s="1792"/>
      <c r="DV1592" s="1792"/>
      <c r="DW1592" s="1792"/>
      <c r="DX1592" s="1792"/>
      <c r="DY1592" s="1792"/>
    </row>
    <row r="1593" spans="1:129" s="1773" customFormat="1" ht="14.4" x14ac:dyDescent="0.3">
      <c r="A1593" s="470" t="s">
        <v>3690</v>
      </c>
      <c r="B1593" s="471" t="s">
        <v>223</v>
      </c>
      <c r="C1593" s="1228" t="s">
        <v>3691</v>
      </c>
      <c r="D1593" s="470" t="s">
        <v>34</v>
      </c>
      <c r="E1593" s="470" t="s">
        <v>3692</v>
      </c>
      <c r="F1593" s="470" t="s">
        <v>35</v>
      </c>
      <c r="G1593" s="1386">
        <v>33</v>
      </c>
      <c r="H1593" s="473">
        <v>52000000</v>
      </c>
      <c r="I1593" s="474" t="s">
        <v>267</v>
      </c>
      <c r="J1593" s="473">
        <f>J1594+J1600</f>
        <v>52000000</v>
      </c>
      <c r="K1593" s="1648">
        <f>K1594+K1600</f>
        <v>89849.4</v>
      </c>
      <c r="L1593" s="1648">
        <f>L1594+L1600</f>
        <v>113142.05</v>
      </c>
      <c r="M1593" s="1229"/>
      <c r="N1593" s="1229"/>
      <c r="O1593" s="475"/>
      <c r="P1593" s="475"/>
      <c r="Q1593" s="476"/>
      <c r="R1593" s="475"/>
      <c r="S1593" s="476"/>
      <c r="T1593" s="475"/>
      <c r="U1593" s="476"/>
      <c r="V1593" s="475"/>
      <c r="W1593" s="476"/>
      <c r="X1593" s="475"/>
      <c r="Y1593" s="476"/>
      <c r="Z1593" s="475" t="s">
        <v>40</v>
      </c>
      <c r="AA1593" s="476"/>
      <c r="AB1593" s="475" t="s">
        <v>40</v>
      </c>
      <c r="AC1593" s="476"/>
      <c r="AD1593" s="476"/>
      <c r="AE1593" s="1230">
        <v>46112</v>
      </c>
      <c r="AF1593" s="475" t="s">
        <v>65</v>
      </c>
      <c r="AG1593" s="477">
        <v>2026</v>
      </c>
      <c r="AH1593" s="1">
        <f>AH1594+AH1600</f>
        <v>1463205.85</v>
      </c>
      <c r="AI1593" s="1231"/>
      <c r="AJ1593" s="1"/>
      <c r="AK1593" s="1232" t="s">
        <v>43</v>
      </c>
      <c r="AL1593" s="470" t="s">
        <v>41</v>
      </c>
      <c r="AM1593" s="478">
        <v>0</v>
      </c>
      <c r="AN1593" s="470" t="s">
        <v>40</v>
      </c>
      <c r="AO1593" s="1225"/>
      <c r="AP1593" s="1225"/>
      <c r="AQ1593" s="1225"/>
      <c r="AR1593" s="1225"/>
      <c r="AS1593" s="1225"/>
      <c r="AT1593" s="1225"/>
      <c r="AU1593" s="1225"/>
      <c r="AV1593" s="1225"/>
      <c r="AW1593" s="1225"/>
      <c r="AX1593" s="1225"/>
      <c r="AY1593" s="1225"/>
      <c r="AZ1593" s="1225"/>
      <c r="BA1593" s="1225"/>
      <c r="BB1593" s="1225"/>
      <c r="BC1593" s="1225"/>
      <c r="BD1593" s="1225"/>
      <c r="BE1593" s="1225"/>
      <c r="BF1593" s="1225"/>
      <c r="BG1593" s="1225"/>
      <c r="BH1593" s="1225"/>
      <c r="BI1593" s="1225"/>
      <c r="BJ1593" s="1225"/>
      <c r="BK1593" s="1225"/>
      <c r="BL1593" s="1225"/>
      <c r="BM1593" s="1225"/>
      <c r="BN1593" s="1225"/>
      <c r="BO1593" s="1225"/>
      <c r="BP1593" s="1225"/>
      <c r="BQ1593" s="1225"/>
      <c r="BR1593" s="1225"/>
      <c r="BS1593" s="1225"/>
      <c r="BT1593" s="1225"/>
      <c r="BU1593" s="1225"/>
      <c r="BV1593" s="1225"/>
      <c r="BW1593" s="1225"/>
      <c r="BX1593" s="1225"/>
      <c r="BY1593" s="1225"/>
      <c r="BZ1593" s="1225"/>
      <c r="CA1593" s="1225"/>
      <c r="CB1593" s="1225"/>
      <c r="CC1593" s="1225"/>
      <c r="CD1593" s="1225"/>
      <c r="CE1593" s="1225"/>
      <c r="CF1593" s="1225"/>
      <c r="CG1593" s="1225"/>
      <c r="CH1593" s="1225"/>
      <c r="CI1593" s="1225"/>
      <c r="CJ1593" s="1225"/>
      <c r="CK1593" s="1225"/>
      <c r="CL1593" s="1225"/>
      <c r="CM1593" s="1225"/>
      <c r="CN1593" s="1225"/>
      <c r="CO1593" s="1225"/>
      <c r="CP1593" s="1225"/>
      <c r="CQ1593" s="1225"/>
      <c r="CR1593" s="1225"/>
      <c r="CS1593" s="1225"/>
      <c r="CT1593" s="1225"/>
      <c r="CU1593" s="1225"/>
      <c r="CV1593" s="1225"/>
      <c r="CW1593" s="1225"/>
      <c r="CX1593" s="1225"/>
      <c r="CY1593" s="1225"/>
      <c r="CZ1593" s="1225"/>
      <c r="DA1593" s="1225"/>
      <c r="DB1593" s="1225"/>
      <c r="DC1593" s="1225"/>
      <c r="DD1593" s="1225"/>
      <c r="DE1593" s="1225"/>
      <c r="DF1593" s="1225"/>
      <c r="DG1593" s="1225"/>
      <c r="DH1593" s="1225"/>
      <c r="DI1593" s="1225"/>
      <c r="DJ1593" s="1225"/>
      <c r="DK1593" s="1225"/>
      <c r="DL1593" s="1225"/>
      <c r="DM1593" s="1225"/>
      <c r="DN1593" s="1225"/>
      <c r="DO1593" s="1225"/>
      <c r="DP1593" s="1225"/>
      <c r="DQ1593" s="1225"/>
      <c r="DR1593" s="1225"/>
      <c r="DS1593" s="1225"/>
      <c r="DT1593" s="1225"/>
      <c r="DU1593" s="1225"/>
      <c r="DV1593" s="1225"/>
      <c r="DW1593" s="1225"/>
      <c r="DX1593" s="1225"/>
      <c r="DY1593" s="1225"/>
    </row>
    <row r="1594" spans="1:129" s="1236" customFormat="1" ht="43.2" x14ac:dyDescent="0.3">
      <c r="A1594" s="359" t="s">
        <v>3690</v>
      </c>
      <c r="B1594" s="545" t="s">
        <v>223</v>
      </c>
      <c r="C1594" s="1233" t="s">
        <v>3693</v>
      </c>
      <c r="D1594" s="359" t="s">
        <v>34</v>
      </c>
      <c r="E1594" s="359">
        <v>167</v>
      </c>
      <c r="F1594" s="359" t="s">
        <v>35</v>
      </c>
      <c r="G1594" s="1387">
        <v>1</v>
      </c>
      <c r="H1594" s="547">
        <v>46000000</v>
      </c>
      <c r="I1594" s="548" t="s">
        <v>267</v>
      </c>
      <c r="J1594" s="547">
        <f>J1595</f>
        <v>46000000</v>
      </c>
      <c r="K1594" s="1689">
        <f>K1595</f>
        <v>56244.98</v>
      </c>
      <c r="L1594" s="1689">
        <f>L1595</f>
        <v>56244.98</v>
      </c>
      <c r="M1594" s="549" t="s">
        <v>40</v>
      </c>
      <c r="N1594" s="549" t="s">
        <v>40</v>
      </c>
      <c r="O1594" s="549" t="s">
        <v>34</v>
      </c>
      <c r="P1594" s="549" t="s">
        <v>40</v>
      </c>
      <c r="Q1594" s="550"/>
      <c r="R1594" s="549" t="s">
        <v>40</v>
      </c>
      <c r="S1594" s="550"/>
      <c r="T1594" s="549" t="s">
        <v>40</v>
      </c>
      <c r="U1594" s="550"/>
      <c r="V1594" s="549" t="s">
        <v>40</v>
      </c>
      <c r="W1594" s="550"/>
      <c r="X1594" s="549" t="s">
        <v>40</v>
      </c>
      <c r="Y1594" s="550"/>
      <c r="Z1594" s="549" t="s">
        <v>40</v>
      </c>
      <c r="AA1594" s="550"/>
      <c r="AB1594" s="549" t="s">
        <v>40</v>
      </c>
      <c r="AC1594" s="550"/>
      <c r="AD1594" s="550"/>
      <c r="AE1594" s="1234">
        <v>45647</v>
      </c>
      <c r="AF1594" s="549" t="s">
        <v>247</v>
      </c>
      <c r="AG1594" s="551">
        <v>2024</v>
      </c>
      <c r="AH1594" s="379">
        <f>AH1595</f>
        <v>308600</v>
      </c>
      <c r="AI1594" s="1235"/>
      <c r="AJ1594" s="379"/>
      <c r="AK1594" s="359" t="s">
        <v>43</v>
      </c>
      <c r="AL1594" s="359" t="s">
        <v>40</v>
      </c>
      <c r="AM1594" s="552">
        <v>0</v>
      </c>
      <c r="AN1594" s="359" t="s">
        <v>3694</v>
      </c>
      <c r="AO1594" s="1226"/>
      <c r="AP1594" s="1226"/>
      <c r="AQ1594" s="1226"/>
      <c r="AR1594" s="1226"/>
      <c r="AS1594" s="1226"/>
      <c r="AT1594" s="1226"/>
      <c r="AU1594" s="1226"/>
      <c r="AV1594" s="1226"/>
      <c r="AW1594" s="1226"/>
      <c r="AX1594" s="1226"/>
      <c r="AY1594" s="1226"/>
      <c r="AZ1594" s="1226"/>
      <c r="BA1594" s="1226"/>
      <c r="BB1594" s="1226"/>
      <c r="BC1594" s="1226"/>
      <c r="BD1594" s="1226"/>
      <c r="BE1594" s="1226"/>
      <c r="BF1594" s="1226"/>
      <c r="BG1594" s="1226"/>
      <c r="BH1594" s="1226"/>
      <c r="BI1594" s="1226"/>
      <c r="BJ1594" s="1226"/>
      <c r="BK1594" s="1226"/>
      <c r="BL1594" s="1226"/>
      <c r="BM1594" s="1226"/>
      <c r="BN1594" s="1226"/>
      <c r="BO1594" s="1226"/>
      <c r="BP1594" s="1226"/>
      <c r="BQ1594" s="1226"/>
      <c r="BR1594" s="1226"/>
      <c r="BS1594" s="1226"/>
      <c r="BT1594" s="1226"/>
      <c r="BU1594" s="1226"/>
      <c r="BV1594" s="1226"/>
      <c r="BW1594" s="1226"/>
      <c r="BX1594" s="1226"/>
      <c r="BY1594" s="1226"/>
      <c r="BZ1594" s="1226"/>
      <c r="CA1594" s="1226"/>
      <c r="CB1594" s="1226"/>
      <c r="CC1594" s="1226"/>
      <c r="CD1594" s="1226"/>
      <c r="CE1594" s="1226"/>
      <c r="CF1594" s="1226"/>
      <c r="CG1594" s="1226"/>
      <c r="CH1594" s="1226"/>
      <c r="CI1594" s="1226"/>
      <c r="CJ1594" s="1226"/>
      <c r="CK1594" s="1226"/>
      <c r="CL1594" s="1226"/>
      <c r="CM1594" s="1226"/>
      <c r="CN1594" s="1226"/>
      <c r="CO1594" s="1226"/>
      <c r="CP1594" s="1226"/>
      <c r="CQ1594" s="1226"/>
      <c r="CR1594" s="1226"/>
      <c r="CS1594" s="1226"/>
      <c r="CT1594" s="1226"/>
      <c r="CU1594" s="1226"/>
      <c r="CV1594" s="1226"/>
      <c r="CW1594" s="1226"/>
      <c r="CX1594" s="1226"/>
      <c r="CY1594" s="1226"/>
      <c r="CZ1594" s="1226"/>
      <c r="DA1594" s="1226"/>
      <c r="DB1594" s="1226"/>
      <c r="DC1594" s="1226"/>
      <c r="DD1594" s="1226"/>
      <c r="DE1594" s="1226"/>
      <c r="DF1594" s="1226"/>
      <c r="DG1594" s="1226"/>
      <c r="DH1594" s="1226"/>
      <c r="DI1594" s="1226"/>
      <c r="DJ1594" s="1226"/>
      <c r="DK1594" s="1226"/>
      <c r="DL1594" s="1226"/>
      <c r="DM1594" s="1226"/>
      <c r="DN1594" s="1226"/>
      <c r="DO1594" s="1226"/>
      <c r="DP1594" s="1226"/>
      <c r="DQ1594" s="1226"/>
      <c r="DR1594" s="1226"/>
      <c r="DS1594" s="1226"/>
      <c r="DT1594" s="1226"/>
      <c r="DU1594" s="1226"/>
      <c r="DV1594" s="1226"/>
      <c r="DW1594" s="1226"/>
      <c r="DX1594" s="1226"/>
      <c r="DY1594" s="1226"/>
    </row>
    <row r="1595" spans="1:129" s="1236" customFormat="1" ht="43.2" x14ac:dyDescent="0.3">
      <c r="A1595" s="590" t="s">
        <v>3690</v>
      </c>
      <c r="B1595" s="591" t="s">
        <v>223</v>
      </c>
      <c r="C1595" s="1237" t="s">
        <v>3695</v>
      </c>
      <c r="D1595" s="590" t="s">
        <v>34</v>
      </c>
      <c r="E1595" s="590">
        <v>167</v>
      </c>
      <c r="F1595" s="590" t="s">
        <v>35</v>
      </c>
      <c r="G1595" s="1388">
        <v>1</v>
      </c>
      <c r="H1595" s="594">
        <v>46000000</v>
      </c>
      <c r="I1595" s="595" t="s">
        <v>267</v>
      </c>
      <c r="J1595" s="594">
        <v>46000000</v>
      </c>
      <c r="K1595" s="1705">
        <f>SUM(K1596:K1599)</f>
        <v>56244.98</v>
      </c>
      <c r="L1595" s="1705">
        <f>SUM(L1596:L1599)</f>
        <v>56244.98</v>
      </c>
      <c r="M1595" s="1238" t="s">
        <v>40</v>
      </c>
      <c r="N1595" s="1238" t="s">
        <v>40</v>
      </c>
      <c r="O1595" s="597" t="s">
        <v>34</v>
      </c>
      <c r="P1595" s="597" t="s">
        <v>40</v>
      </c>
      <c r="Q1595" s="598"/>
      <c r="R1595" s="597" t="s">
        <v>40</v>
      </c>
      <c r="S1595" s="598"/>
      <c r="T1595" s="597" t="s">
        <v>40</v>
      </c>
      <c r="U1595" s="598"/>
      <c r="V1595" s="597" t="s">
        <v>40</v>
      </c>
      <c r="W1595" s="598"/>
      <c r="X1595" s="597" t="s">
        <v>40</v>
      </c>
      <c r="Y1595" s="598"/>
      <c r="Z1595" s="597" t="s">
        <v>40</v>
      </c>
      <c r="AA1595" s="598"/>
      <c r="AB1595" s="597" t="s">
        <v>40</v>
      </c>
      <c r="AC1595" s="598"/>
      <c r="AD1595" s="598"/>
      <c r="AE1595" s="1239">
        <v>45647</v>
      </c>
      <c r="AF1595" s="597" t="s">
        <v>247</v>
      </c>
      <c r="AG1595" s="147">
        <v>2024</v>
      </c>
      <c r="AH1595" s="380">
        <f>SUM(AH1596:AH1598)</f>
        <v>308600</v>
      </c>
      <c r="AI1595" s="1240"/>
      <c r="AJ1595" s="380"/>
      <c r="AK1595" s="590" t="s">
        <v>43</v>
      </c>
      <c r="AL1595" s="590" t="s">
        <v>40</v>
      </c>
      <c r="AM1595" s="599">
        <v>0</v>
      </c>
      <c r="AN1595" s="590" t="s">
        <v>40</v>
      </c>
      <c r="AO1595" s="1226"/>
      <c r="AP1595" s="1226"/>
      <c r="AQ1595" s="1226"/>
      <c r="AR1595" s="1226"/>
      <c r="AS1595" s="1226"/>
      <c r="AT1595" s="1226"/>
      <c r="AU1595" s="1226"/>
      <c r="AV1595" s="1226"/>
      <c r="AW1595" s="1226"/>
      <c r="AX1595" s="1226"/>
      <c r="AY1595" s="1226"/>
      <c r="AZ1595" s="1226"/>
      <c r="BA1595" s="1226"/>
      <c r="BB1595" s="1226"/>
      <c r="BC1595" s="1226"/>
      <c r="BD1595" s="1226"/>
      <c r="BE1595" s="1226"/>
      <c r="BF1595" s="1226"/>
      <c r="BG1595" s="1226"/>
      <c r="BH1595" s="1226"/>
      <c r="BI1595" s="1226"/>
      <c r="BJ1595" s="1226"/>
      <c r="BK1595" s="1226"/>
      <c r="BL1595" s="1226"/>
      <c r="BM1595" s="1226"/>
      <c r="BN1595" s="1226"/>
      <c r="BO1595" s="1226"/>
      <c r="BP1595" s="1226"/>
      <c r="BQ1595" s="1226"/>
      <c r="BR1595" s="1226"/>
      <c r="BS1595" s="1226"/>
      <c r="BT1595" s="1226"/>
      <c r="BU1595" s="1226"/>
      <c r="BV1595" s="1226"/>
      <c r="BW1595" s="1226"/>
      <c r="BX1595" s="1226"/>
      <c r="BY1595" s="1226"/>
      <c r="BZ1595" s="1226"/>
      <c r="CA1595" s="1226"/>
      <c r="CB1595" s="1226"/>
      <c r="CC1595" s="1226"/>
      <c r="CD1595" s="1226"/>
      <c r="CE1595" s="1226"/>
      <c r="CF1595" s="1226"/>
      <c r="CG1595" s="1226"/>
      <c r="CH1595" s="1226"/>
      <c r="CI1595" s="1226"/>
      <c r="CJ1595" s="1226"/>
      <c r="CK1595" s="1226"/>
      <c r="CL1595" s="1226"/>
      <c r="CM1595" s="1226"/>
      <c r="CN1595" s="1226"/>
      <c r="CO1595" s="1226"/>
      <c r="CP1595" s="1226"/>
      <c r="CQ1595" s="1226"/>
      <c r="CR1595" s="1226"/>
      <c r="CS1595" s="1226"/>
      <c r="CT1595" s="1226"/>
      <c r="CU1595" s="1226"/>
      <c r="CV1595" s="1226"/>
      <c r="CW1595" s="1226"/>
      <c r="CX1595" s="1226"/>
      <c r="CY1595" s="1226"/>
      <c r="CZ1595" s="1226"/>
      <c r="DA1595" s="1226"/>
      <c r="DB1595" s="1226"/>
      <c r="DC1595" s="1226"/>
      <c r="DD1595" s="1226"/>
      <c r="DE1595" s="1226"/>
      <c r="DF1595" s="1226"/>
      <c r="DG1595" s="1226"/>
      <c r="DH1595" s="1226"/>
      <c r="DI1595" s="1226"/>
      <c r="DJ1595" s="1226"/>
      <c r="DK1595" s="1226"/>
      <c r="DL1595" s="1226"/>
      <c r="DM1595" s="1226"/>
      <c r="DN1595" s="1226"/>
      <c r="DO1595" s="1226"/>
      <c r="DP1595" s="1226"/>
      <c r="DQ1595" s="1226"/>
      <c r="DR1595" s="1226"/>
      <c r="DS1595" s="1226"/>
      <c r="DT1595" s="1226"/>
      <c r="DU1595" s="1226"/>
      <c r="DV1595" s="1226"/>
      <c r="DW1595" s="1226"/>
      <c r="DX1595" s="1226"/>
      <c r="DY1595" s="1226"/>
    </row>
    <row r="1596" spans="1:129" s="1236" customFormat="1" ht="43.2" x14ac:dyDescent="0.3">
      <c r="A1596" s="102" t="s">
        <v>3690</v>
      </c>
      <c r="B1596" s="490" t="s">
        <v>223</v>
      </c>
      <c r="C1596" s="1241" t="s">
        <v>3696</v>
      </c>
      <c r="D1596" s="138" t="s">
        <v>34</v>
      </c>
      <c r="E1596" s="102">
        <v>167</v>
      </c>
      <c r="F1596" s="138" t="s">
        <v>35</v>
      </c>
      <c r="G1596" s="138"/>
      <c r="H1596" s="5">
        <v>21144.578313253009</v>
      </c>
      <c r="I1596" s="492" t="s">
        <v>267</v>
      </c>
      <c r="J1596" s="5">
        <v>21144.578313253009</v>
      </c>
      <c r="K1596" s="1652">
        <v>21144.58</v>
      </c>
      <c r="L1596" s="1652">
        <v>21144.58</v>
      </c>
      <c r="M1596" s="107" t="s">
        <v>38</v>
      </c>
      <c r="N1596" s="107" t="s">
        <v>38</v>
      </c>
      <c r="O1596" s="107" t="s">
        <v>34</v>
      </c>
      <c r="P1596" s="493" t="s">
        <v>40</v>
      </c>
      <c r="Q1596" s="494"/>
      <c r="R1596" s="493" t="s">
        <v>40</v>
      </c>
      <c r="S1596" s="494"/>
      <c r="T1596" s="493" t="s">
        <v>40</v>
      </c>
      <c r="U1596" s="494"/>
      <c r="V1596" s="493" t="s">
        <v>40</v>
      </c>
      <c r="W1596" s="494"/>
      <c r="X1596" s="493" t="s">
        <v>40</v>
      </c>
      <c r="Y1596" s="494"/>
      <c r="Z1596" s="493" t="s">
        <v>40</v>
      </c>
      <c r="AA1596" s="494"/>
      <c r="AB1596" s="493" t="s">
        <v>64</v>
      </c>
      <c r="AC1596" s="494"/>
      <c r="AD1596" s="106" t="s">
        <v>3988</v>
      </c>
      <c r="AE1596" s="1242" t="s">
        <v>3989</v>
      </c>
      <c r="AF1596" s="493"/>
      <c r="AG1596" s="495"/>
      <c r="AH1596" s="109">
        <v>105300</v>
      </c>
      <c r="AI1596" s="1243"/>
      <c r="AJ1596" s="109"/>
      <c r="AK1596" s="102" t="s">
        <v>43</v>
      </c>
      <c r="AL1596" s="138" t="s">
        <v>40</v>
      </c>
      <c r="AM1596" s="110">
        <v>1</v>
      </c>
      <c r="AO1596" s="1226"/>
      <c r="AP1596" s="1226"/>
      <c r="AQ1596" s="1226"/>
      <c r="AR1596" s="1226"/>
      <c r="AS1596" s="1226"/>
      <c r="AT1596" s="1226"/>
      <c r="AU1596" s="1226"/>
      <c r="AV1596" s="1226"/>
      <c r="AW1596" s="1226"/>
      <c r="AX1596" s="1226"/>
      <c r="AY1596" s="1226"/>
      <c r="AZ1596" s="1226"/>
      <c r="BA1596" s="1226"/>
      <c r="BB1596" s="1226"/>
      <c r="BC1596" s="1226"/>
      <c r="BD1596" s="1226"/>
      <c r="BE1596" s="1226"/>
      <c r="BF1596" s="1226"/>
      <c r="BG1596" s="1226"/>
      <c r="BH1596" s="1226"/>
      <c r="BI1596" s="1226"/>
      <c r="BJ1596" s="1226"/>
      <c r="BK1596" s="1226"/>
      <c r="BL1596" s="1226"/>
      <c r="BM1596" s="1226"/>
      <c r="BN1596" s="1226"/>
      <c r="BO1596" s="1226"/>
      <c r="BP1596" s="1226"/>
      <c r="BQ1596" s="1226"/>
      <c r="BR1596" s="1226"/>
      <c r="BS1596" s="1226"/>
      <c r="BT1596" s="1226"/>
      <c r="BU1596" s="1226"/>
      <c r="BV1596" s="1226"/>
      <c r="BW1596" s="1226"/>
      <c r="BX1596" s="1226"/>
      <c r="BY1596" s="1226"/>
      <c r="BZ1596" s="1226"/>
      <c r="CA1596" s="1226"/>
      <c r="CB1596" s="1226"/>
      <c r="CC1596" s="1226"/>
      <c r="CD1596" s="1226"/>
      <c r="CE1596" s="1226"/>
      <c r="CF1596" s="1226"/>
      <c r="CG1596" s="1226"/>
      <c r="CH1596" s="1226"/>
      <c r="CI1596" s="1226"/>
      <c r="CJ1596" s="1226"/>
      <c r="CK1596" s="1226"/>
      <c r="CL1596" s="1226"/>
      <c r="CM1596" s="1226"/>
      <c r="CN1596" s="1226"/>
      <c r="CO1596" s="1226"/>
      <c r="CP1596" s="1226"/>
      <c r="CQ1596" s="1226"/>
      <c r="CR1596" s="1226"/>
      <c r="CS1596" s="1226"/>
      <c r="CT1596" s="1226"/>
      <c r="CU1596" s="1226"/>
      <c r="CV1596" s="1226"/>
      <c r="CW1596" s="1226"/>
      <c r="CX1596" s="1226"/>
      <c r="CY1596" s="1226"/>
      <c r="CZ1596" s="1226"/>
      <c r="DA1596" s="1226"/>
      <c r="DB1596" s="1226"/>
      <c r="DC1596" s="1226"/>
      <c r="DD1596" s="1226"/>
      <c r="DE1596" s="1226"/>
      <c r="DF1596" s="1226"/>
      <c r="DG1596" s="1226"/>
      <c r="DH1596" s="1226"/>
      <c r="DI1596" s="1226"/>
      <c r="DJ1596" s="1226"/>
      <c r="DK1596" s="1226"/>
      <c r="DL1596" s="1226"/>
      <c r="DM1596" s="1226"/>
      <c r="DN1596" s="1226"/>
      <c r="DO1596" s="1226"/>
      <c r="DP1596" s="1226"/>
      <c r="DQ1596" s="1226"/>
      <c r="DR1596" s="1226"/>
      <c r="DS1596" s="1226"/>
      <c r="DT1596" s="1226"/>
      <c r="DU1596" s="1226"/>
      <c r="DV1596" s="1226"/>
      <c r="DW1596" s="1226"/>
      <c r="DX1596" s="1226"/>
      <c r="DY1596" s="1226"/>
    </row>
    <row r="1597" spans="1:129" s="359" customFormat="1" ht="43.2" x14ac:dyDescent="0.3">
      <c r="A1597" s="102" t="s">
        <v>3690</v>
      </c>
      <c r="B1597" s="490" t="s">
        <v>223</v>
      </c>
      <c r="C1597" s="1241" t="s">
        <v>3697</v>
      </c>
      <c r="D1597" s="138" t="s">
        <v>34</v>
      </c>
      <c r="E1597" s="102">
        <v>167</v>
      </c>
      <c r="F1597" s="138" t="s">
        <v>35</v>
      </c>
      <c r="G1597" s="138"/>
      <c r="H1597" s="5">
        <v>21285.140562248995</v>
      </c>
      <c r="I1597" s="492" t="s">
        <v>267</v>
      </c>
      <c r="J1597" s="5">
        <v>21285.140562248995</v>
      </c>
      <c r="K1597" s="1652">
        <v>21285.14</v>
      </c>
      <c r="L1597" s="1652">
        <v>21285.14</v>
      </c>
      <c r="M1597" s="107" t="s">
        <v>38</v>
      </c>
      <c r="N1597" s="107" t="s">
        <v>38</v>
      </c>
      <c r="O1597" s="107" t="s">
        <v>34</v>
      </c>
      <c r="P1597" s="493" t="s">
        <v>40</v>
      </c>
      <c r="Q1597" s="494"/>
      <c r="R1597" s="493" t="s">
        <v>40</v>
      </c>
      <c r="S1597" s="494"/>
      <c r="T1597" s="493" t="s">
        <v>40</v>
      </c>
      <c r="U1597" s="494"/>
      <c r="V1597" s="493" t="s">
        <v>40</v>
      </c>
      <c r="W1597" s="494"/>
      <c r="X1597" s="493" t="s">
        <v>40</v>
      </c>
      <c r="Y1597" s="494"/>
      <c r="Z1597" s="493" t="s">
        <v>40</v>
      </c>
      <c r="AA1597" s="494"/>
      <c r="AB1597" s="493" t="s">
        <v>64</v>
      </c>
      <c r="AC1597" s="494"/>
      <c r="AD1597" s="106" t="s">
        <v>3988</v>
      </c>
      <c r="AE1597" s="1242" t="s">
        <v>3989</v>
      </c>
      <c r="AF1597" s="493"/>
      <c r="AG1597" s="495"/>
      <c r="AH1597" s="109">
        <v>106000</v>
      </c>
      <c r="AI1597" s="1243"/>
      <c r="AJ1597" s="109" t="s">
        <v>3990</v>
      </c>
      <c r="AK1597" s="102" t="s">
        <v>43</v>
      </c>
      <c r="AL1597" s="138" t="s">
        <v>40</v>
      </c>
      <c r="AM1597" s="110">
        <v>1</v>
      </c>
      <c r="AN1597" s="1236" t="s">
        <v>3991</v>
      </c>
      <c r="AO1597" s="102"/>
      <c r="AP1597" s="102"/>
      <c r="AQ1597" s="102"/>
      <c r="AR1597" s="102"/>
      <c r="AS1597" s="102"/>
      <c r="AT1597" s="102"/>
      <c r="AU1597" s="102"/>
      <c r="AV1597" s="102"/>
      <c r="AW1597" s="102"/>
      <c r="AX1597" s="102"/>
      <c r="AY1597" s="102"/>
      <c r="AZ1597" s="102"/>
      <c r="BA1597" s="102"/>
      <c r="BB1597" s="102"/>
      <c r="BC1597" s="102"/>
      <c r="BD1597" s="102"/>
      <c r="BE1597" s="102"/>
      <c r="BF1597" s="102"/>
      <c r="BG1597" s="102"/>
      <c r="BH1597" s="102"/>
      <c r="BI1597" s="102"/>
      <c r="BJ1597" s="102"/>
      <c r="BK1597" s="102"/>
      <c r="BL1597" s="102"/>
      <c r="BM1597" s="102"/>
      <c r="BN1597" s="102"/>
      <c r="BO1597" s="102"/>
      <c r="BP1597" s="102"/>
      <c r="BQ1597" s="102"/>
      <c r="BR1597" s="102"/>
      <c r="BS1597" s="102"/>
      <c r="BT1597" s="102"/>
      <c r="BU1597" s="102"/>
      <c r="BV1597" s="102"/>
      <c r="BW1597" s="102"/>
      <c r="BX1597" s="102"/>
      <c r="BY1597" s="102"/>
      <c r="BZ1597" s="102"/>
      <c r="CA1597" s="102"/>
      <c r="CB1597" s="102"/>
      <c r="CC1597" s="102"/>
      <c r="CD1597" s="102"/>
      <c r="CE1597" s="102"/>
      <c r="CF1597" s="102"/>
      <c r="CG1597" s="102"/>
      <c r="CH1597" s="102"/>
      <c r="CI1597" s="102"/>
      <c r="CJ1597" s="102"/>
      <c r="CK1597" s="102"/>
      <c r="CL1597" s="102"/>
      <c r="CM1597" s="102"/>
      <c r="CN1597" s="102"/>
      <c r="CO1597" s="102"/>
      <c r="CP1597" s="102"/>
      <c r="CQ1597" s="102"/>
      <c r="CR1597" s="102"/>
      <c r="CS1597" s="102"/>
      <c r="CT1597" s="102"/>
      <c r="CU1597" s="102"/>
      <c r="CV1597" s="102"/>
      <c r="CW1597" s="102"/>
      <c r="CX1597" s="102"/>
      <c r="CY1597" s="102"/>
      <c r="CZ1597" s="102"/>
      <c r="DA1597" s="102"/>
      <c r="DB1597" s="102"/>
      <c r="DC1597" s="102"/>
      <c r="DD1597" s="102"/>
      <c r="DE1597" s="102"/>
      <c r="DF1597" s="102"/>
      <c r="DG1597" s="102"/>
      <c r="DH1597" s="102"/>
      <c r="DI1597" s="102"/>
      <c r="DJ1597" s="102"/>
      <c r="DK1597" s="102"/>
      <c r="DL1597" s="102"/>
      <c r="DM1597" s="102"/>
      <c r="DN1597" s="102"/>
      <c r="DO1597" s="102"/>
      <c r="DP1597" s="102"/>
      <c r="DQ1597" s="102"/>
      <c r="DR1597" s="102"/>
      <c r="DS1597" s="102"/>
      <c r="DT1597" s="102"/>
      <c r="DU1597" s="102"/>
      <c r="DV1597" s="102"/>
      <c r="DW1597" s="102"/>
      <c r="DX1597" s="102"/>
      <c r="DY1597" s="102"/>
    </row>
    <row r="1598" spans="1:129" s="143" customFormat="1" ht="49.5" customHeight="1" x14ac:dyDescent="0.3">
      <c r="A1598" s="102" t="s">
        <v>3690</v>
      </c>
      <c r="B1598" s="490" t="s">
        <v>223</v>
      </c>
      <c r="C1598" s="1241" t="s">
        <v>3698</v>
      </c>
      <c r="D1598" s="138" t="s">
        <v>34</v>
      </c>
      <c r="E1598" s="102">
        <v>167</v>
      </c>
      <c r="F1598" s="138" t="s">
        <v>35</v>
      </c>
      <c r="G1598" s="138"/>
      <c r="H1598" s="5">
        <v>19538.152610441764</v>
      </c>
      <c r="I1598" s="492" t="s">
        <v>267</v>
      </c>
      <c r="J1598" s="5">
        <v>13815.26</v>
      </c>
      <c r="K1598" s="1652">
        <v>13815.26</v>
      </c>
      <c r="L1598" s="1652">
        <v>13815.26</v>
      </c>
      <c r="M1598" s="107" t="s">
        <v>38</v>
      </c>
      <c r="N1598" s="107" t="s">
        <v>38</v>
      </c>
      <c r="O1598" s="107" t="s">
        <v>34</v>
      </c>
      <c r="P1598" s="493" t="s">
        <v>40</v>
      </c>
      <c r="Q1598" s="494"/>
      <c r="R1598" s="493" t="s">
        <v>40</v>
      </c>
      <c r="S1598" s="494"/>
      <c r="T1598" s="493" t="s">
        <v>40</v>
      </c>
      <c r="U1598" s="494"/>
      <c r="V1598" s="493" t="s">
        <v>3992</v>
      </c>
      <c r="W1598" s="494"/>
      <c r="X1598" s="493" t="s">
        <v>40</v>
      </c>
      <c r="Y1598" s="494"/>
      <c r="Z1598" s="493" t="s">
        <v>40</v>
      </c>
      <c r="AA1598" s="494"/>
      <c r="AB1598" s="493" t="s">
        <v>64</v>
      </c>
      <c r="AC1598" s="494"/>
      <c r="AD1598" s="106" t="s">
        <v>3993</v>
      </c>
      <c r="AE1598" s="1242" t="s">
        <v>3994</v>
      </c>
      <c r="AF1598" s="493"/>
      <c r="AG1598" s="495"/>
      <c r="AH1598" s="109">
        <v>97300</v>
      </c>
      <c r="AI1598" s="1243"/>
      <c r="AJ1598" s="109" t="s">
        <v>3995</v>
      </c>
      <c r="AK1598" s="102" t="s">
        <v>43</v>
      </c>
      <c r="AL1598" s="138" t="s">
        <v>40</v>
      </c>
      <c r="AM1598" s="110">
        <v>0.2</v>
      </c>
      <c r="AN1598" s="1236" t="s">
        <v>3996</v>
      </c>
      <c r="AO1598" s="315"/>
    </row>
    <row r="1599" spans="1:129" s="1809" customFormat="1" ht="49.5" customHeight="1" x14ac:dyDescent="0.3">
      <c r="A1599" s="1742" t="s">
        <v>3690</v>
      </c>
      <c r="B1599" s="1794" t="s">
        <v>223</v>
      </c>
      <c r="C1599" s="1795" t="s">
        <v>3997</v>
      </c>
      <c r="D1599" s="1796" t="s">
        <v>34</v>
      </c>
      <c r="E1599" s="1742">
        <v>167</v>
      </c>
      <c r="F1599" s="1796" t="s">
        <v>35</v>
      </c>
      <c r="G1599" s="1796"/>
      <c r="H1599" s="1797">
        <v>6343509.4699999997</v>
      </c>
      <c r="I1599" s="1798" t="s">
        <v>267</v>
      </c>
      <c r="J1599" s="1797">
        <v>6343509.4699999997</v>
      </c>
      <c r="K1599" s="1797">
        <v>0</v>
      </c>
      <c r="L1599" s="1797">
        <v>0</v>
      </c>
      <c r="M1599" s="1799" t="s">
        <v>38</v>
      </c>
      <c r="N1599" s="1799" t="s">
        <v>38</v>
      </c>
      <c r="O1599" s="1799" t="s">
        <v>34</v>
      </c>
      <c r="P1599" s="1800" t="s">
        <v>40</v>
      </c>
      <c r="Q1599" s="1801"/>
      <c r="R1599" s="1800" t="s">
        <v>40</v>
      </c>
      <c r="S1599" s="1801"/>
      <c r="T1599" s="1800" t="s">
        <v>40</v>
      </c>
      <c r="U1599" s="1801"/>
      <c r="V1599" s="1800" t="s">
        <v>3998</v>
      </c>
      <c r="W1599" s="1801"/>
      <c r="X1599" s="1800" t="s">
        <v>40</v>
      </c>
      <c r="Y1599" s="1801"/>
      <c r="Z1599" s="1800" t="s">
        <v>40</v>
      </c>
      <c r="AA1599" s="1801"/>
      <c r="AB1599" s="1800" t="s">
        <v>64</v>
      </c>
      <c r="AC1599" s="1801"/>
      <c r="AD1599" s="1802" t="s">
        <v>3999</v>
      </c>
      <c r="AE1599" s="1803" t="s">
        <v>1482</v>
      </c>
      <c r="AF1599" s="1800"/>
      <c r="AG1599" s="1804"/>
      <c r="AH1599" s="1805">
        <v>31590667.18</v>
      </c>
      <c r="AI1599" s="1806"/>
      <c r="AJ1599" s="1805" t="s">
        <v>4000</v>
      </c>
      <c r="AK1599" s="1742" t="s">
        <v>43</v>
      </c>
      <c r="AL1599" s="1796"/>
      <c r="AM1599" s="1807"/>
      <c r="AN1599" s="1808"/>
    </row>
    <row r="1600" spans="1:129" s="259" customFormat="1" ht="28.8" x14ac:dyDescent="0.3">
      <c r="A1600" s="581" t="s">
        <v>3690</v>
      </c>
      <c r="B1600" s="579" t="s">
        <v>223</v>
      </c>
      <c r="C1600" s="1244" t="s">
        <v>3699</v>
      </c>
      <c r="D1600" s="581" t="s">
        <v>34</v>
      </c>
      <c r="E1600" s="581">
        <v>168</v>
      </c>
      <c r="F1600" s="581" t="s">
        <v>35</v>
      </c>
      <c r="G1600" s="581">
        <v>32</v>
      </c>
      <c r="H1600" s="582">
        <v>6000000</v>
      </c>
      <c r="I1600" s="583" t="s">
        <v>267</v>
      </c>
      <c r="J1600" s="582">
        <v>6000000</v>
      </c>
      <c r="K1600" s="1706">
        <f>K1602</f>
        <v>33604.42</v>
      </c>
      <c r="L1600" s="1706">
        <f>L1601</f>
        <v>56897.07</v>
      </c>
      <c r="M1600" s="585" t="s">
        <v>40</v>
      </c>
      <c r="N1600" s="585" t="s">
        <v>40</v>
      </c>
      <c r="O1600" s="585" t="s">
        <v>3686</v>
      </c>
      <c r="P1600" s="585" t="s">
        <v>40</v>
      </c>
      <c r="Q1600" s="586"/>
      <c r="R1600" s="585" t="s">
        <v>40</v>
      </c>
      <c r="S1600" s="586"/>
      <c r="T1600" s="585" t="s">
        <v>40</v>
      </c>
      <c r="U1600" s="586"/>
      <c r="V1600" s="585" t="s">
        <v>41</v>
      </c>
      <c r="W1600" s="586">
        <v>45047</v>
      </c>
      <c r="X1600" s="585" t="s">
        <v>41</v>
      </c>
      <c r="Y1600" s="586">
        <v>45047</v>
      </c>
      <c r="Z1600" s="585" t="s">
        <v>40</v>
      </c>
      <c r="AA1600" s="586"/>
      <c r="AB1600" s="585" t="s">
        <v>40</v>
      </c>
      <c r="AC1600" s="586"/>
      <c r="AD1600" s="586"/>
      <c r="AE1600" s="1245">
        <v>46112</v>
      </c>
      <c r="AF1600" s="585" t="s">
        <v>65</v>
      </c>
      <c r="AG1600" s="587">
        <v>2026</v>
      </c>
      <c r="AH1600" s="588">
        <f>AH1601</f>
        <v>1154605.8500000001</v>
      </c>
      <c r="AI1600" s="1246"/>
      <c r="AJ1600" s="588"/>
      <c r="AK1600" s="581" t="s">
        <v>43</v>
      </c>
      <c r="AL1600" s="581" t="s">
        <v>40</v>
      </c>
      <c r="AM1600" s="589">
        <v>0</v>
      </c>
      <c r="AN1600" s="581" t="s">
        <v>40</v>
      </c>
      <c r="AO1600" s="381"/>
    </row>
    <row r="1601" spans="1:79" s="259" customFormat="1" ht="53.25" customHeight="1" x14ac:dyDescent="0.3">
      <c r="A1601" s="520" t="s">
        <v>3690</v>
      </c>
      <c r="B1601" s="520" t="s">
        <v>223</v>
      </c>
      <c r="C1601" s="520" t="s">
        <v>3700</v>
      </c>
      <c r="D1601" s="368" t="s">
        <v>34</v>
      </c>
      <c r="E1601" s="368">
        <v>168</v>
      </c>
      <c r="F1601" s="368" t="s">
        <v>35</v>
      </c>
      <c r="G1601" s="368">
        <v>32</v>
      </c>
      <c r="H1601" s="367">
        <v>6000000</v>
      </c>
      <c r="I1601" s="1247" t="s">
        <v>267</v>
      </c>
      <c r="J1601" s="367">
        <v>6000000</v>
      </c>
      <c r="K1601" s="1659">
        <f>SUM(K1602:K1606)</f>
        <v>56897.07</v>
      </c>
      <c r="L1601" s="1661">
        <f>SUM(L1602:L1606)</f>
        <v>56897.07</v>
      </c>
      <c r="M1601" s="31" t="s">
        <v>3649</v>
      </c>
      <c r="N1601" s="31" t="s">
        <v>3649</v>
      </c>
      <c r="O1601" s="1248" t="s">
        <v>3686</v>
      </c>
      <c r="P1601" s="31" t="s">
        <v>40</v>
      </c>
      <c r="Q1601" s="1220"/>
      <c r="R1601" s="31" t="s">
        <v>40</v>
      </c>
      <c r="S1601" s="1220"/>
      <c r="T1601" s="31" t="s">
        <v>40</v>
      </c>
      <c r="U1601" s="1220"/>
      <c r="V1601" s="31" t="s">
        <v>64</v>
      </c>
      <c r="W1601" s="1221"/>
      <c r="X1601" s="31" t="s">
        <v>64</v>
      </c>
      <c r="Y1601" s="1221"/>
      <c r="Z1601" s="31" t="s">
        <v>41</v>
      </c>
      <c r="AA1601" s="1221"/>
      <c r="AB1601" s="31" t="s">
        <v>40</v>
      </c>
      <c r="AC1601" s="1221"/>
      <c r="AD1601" s="1221"/>
      <c r="AE1601" s="1249">
        <v>46021</v>
      </c>
      <c r="AF1601" s="1219" t="s">
        <v>65</v>
      </c>
      <c r="AG1601" s="1222">
        <v>2026</v>
      </c>
      <c r="AH1601" s="518">
        <f>SUM(AH1602:AH1606)</f>
        <v>1154605.8500000001</v>
      </c>
      <c r="AI1601" s="1250"/>
      <c r="AJ1601" s="518"/>
      <c r="AK1601" s="520" t="s">
        <v>43</v>
      </c>
      <c r="AL1601" s="368" t="s">
        <v>40</v>
      </c>
      <c r="AM1601" s="382">
        <v>0.02</v>
      </c>
      <c r="AN1601" s="383" t="s">
        <v>3701</v>
      </c>
    </row>
    <row r="1602" spans="1:79" s="259" customFormat="1" ht="35.4" customHeight="1" x14ac:dyDescent="0.25">
      <c r="A1602" s="259" t="s">
        <v>3690</v>
      </c>
      <c r="B1602" s="259" t="s">
        <v>223</v>
      </c>
      <c r="C1602" s="384" t="s">
        <v>3702</v>
      </c>
      <c r="D1602" s="260" t="s">
        <v>34</v>
      </c>
      <c r="E1602" s="260">
        <v>168</v>
      </c>
      <c r="F1602" s="260" t="s">
        <v>35</v>
      </c>
      <c r="G1602" s="260">
        <v>1</v>
      </c>
      <c r="H1602" s="387">
        <v>79978.509999999995</v>
      </c>
      <c r="I1602" s="385"/>
      <c r="J1602" s="70">
        <v>79978.509999999995</v>
      </c>
      <c r="K1602" s="1435">
        <v>33604.42</v>
      </c>
      <c r="L1602" s="1435">
        <v>33604.42</v>
      </c>
      <c r="M1602" s="263"/>
      <c r="N1602" s="263"/>
      <c r="O1602" s="263"/>
      <c r="P1602" s="263"/>
      <c r="Q1602" s="264"/>
      <c r="R1602" s="263"/>
      <c r="S1602" s="264"/>
      <c r="T1602" s="263"/>
      <c r="U1602" s="264"/>
      <c r="V1602" s="263" t="s">
        <v>64</v>
      </c>
      <c r="W1602" s="262" t="s">
        <v>3703</v>
      </c>
      <c r="X1602" s="263" t="s">
        <v>64</v>
      </c>
      <c r="Y1602" s="262" t="s">
        <v>3704</v>
      </c>
      <c r="Z1602" s="263" t="s">
        <v>40</v>
      </c>
      <c r="AA1602" s="262"/>
      <c r="AB1602" s="263" t="s">
        <v>40</v>
      </c>
      <c r="AC1602" s="262"/>
      <c r="AD1602" s="1819" t="s">
        <v>3705</v>
      </c>
      <c r="AE1602" s="1819" t="s">
        <v>3706</v>
      </c>
      <c r="AF1602" s="71"/>
      <c r="AG1602" s="265"/>
      <c r="AH1602" s="261">
        <v>398293</v>
      </c>
      <c r="AI1602" s="270" t="s">
        <v>3707</v>
      </c>
      <c r="AJ1602" s="386" t="s">
        <v>3708</v>
      </c>
      <c r="AL1602" s="260"/>
      <c r="AM1602" s="266"/>
    </row>
    <row r="1603" spans="1:79" s="259" customFormat="1" ht="10.5" customHeight="1" x14ac:dyDescent="0.3">
      <c r="A1603" s="259" t="s">
        <v>3690</v>
      </c>
      <c r="B1603" s="259" t="s">
        <v>223</v>
      </c>
      <c r="C1603" s="384" t="s">
        <v>3709</v>
      </c>
      <c r="D1603" s="260" t="s">
        <v>34</v>
      </c>
      <c r="E1603" s="260">
        <v>168</v>
      </c>
      <c r="F1603" s="260" t="s">
        <v>35</v>
      </c>
      <c r="G1603" s="260">
        <v>1</v>
      </c>
      <c r="H1603" s="387">
        <v>20080.32</v>
      </c>
      <c r="I1603" s="385"/>
      <c r="J1603" s="70">
        <v>20080.32</v>
      </c>
      <c r="K1603" s="1696"/>
      <c r="L1603" s="1707"/>
      <c r="M1603" s="263"/>
      <c r="N1603" s="263"/>
      <c r="O1603" s="263"/>
      <c r="P1603" s="263"/>
      <c r="Q1603" s="264"/>
      <c r="R1603" s="263"/>
      <c r="S1603" s="264"/>
      <c r="T1603" s="263"/>
      <c r="U1603" s="264"/>
      <c r="V1603" s="263" t="s">
        <v>41</v>
      </c>
      <c r="W1603" s="262"/>
      <c r="X1603" s="263" t="s">
        <v>64</v>
      </c>
      <c r="Y1603" s="262" t="s">
        <v>3710</v>
      </c>
      <c r="Z1603" s="263" t="s">
        <v>40</v>
      </c>
      <c r="AA1603" s="262"/>
      <c r="AB1603" s="263" t="s">
        <v>40</v>
      </c>
      <c r="AC1603" s="262"/>
      <c r="AD1603" s="1819"/>
      <c r="AE1603" s="1819"/>
      <c r="AF1603" s="71"/>
      <c r="AG1603" s="265"/>
      <c r="AH1603" s="261">
        <v>100000</v>
      </c>
      <c r="AI1603" s="270" t="s">
        <v>3711</v>
      </c>
      <c r="AJ1603" s="263" t="s">
        <v>3712</v>
      </c>
      <c r="AL1603" s="260"/>
      <c r="AM1603" s="266"/>
    </row>
    <row r="1604" spans="1:79" s="165" customFormat="1" ht="18" customHeight="1" x14ac:dyDescent="0.3">
      <c r="A1604" s="259" t="s">
        <v>3690</v>
      </c>
      <c r="B1604" s="259" t="s">
        <v>223</v>
      </c>
      <c r="C1604" s="384" t="s">
        <v>4001</v>
      </c>
      <c r="D1604" s="260" t="s">
        <v>34</v>
      </c>
      <c r="E1604" s="260">
        <v>168</v>
      </c>
      <c r="F1604" s="260" t="s">
        <v>35</v>
      </c>
      <c r="G1604" s="260">
        <v>1</v>
      </c>
      <c r="H1604" s="387">
        <v>465.86</v>
      </c>
      <c r="I1604" s="385"/>
      <c r="J1604" s="70">
        <v>465.86</v>
      </c>
      <c r="K1604" s="1696">
        <v>465.86</v>
      </c>
      <c r="L1604" s="1707">
        <v>465.86</v>
      </c>
      <c r="M1604" s="263" t="s">
        <v>38</v>
      </c>
      <c r="N1604" s="263" t="s">
        <v>38</v>
      </c>
      <c r="O1604" s="263" t="s">
        <v>3686</v>
      </c>
      <c r="P1604" s="263" t="s">
        <v>40</v>
      </c>
      <c r="Q1604" s="264"/>
      <c r="R1604" s="263" t="s">
        <v>40</v>
      </c>
      <c r="S1604" s="264"/>
      <c r="T1604" s="263" t="s">
        <v>40</v>
      </c>
      <c r="U1604" s="264"/>
      <c r="V1604" s="263" t="s">
        <v>3715</v>
      </c>
      <c r="W1604" s="262"/>
      <c r="X1604" s="263" t="s">
        <v>64</v>
      </c>
      <c r="Y1604" s="262"/>
      <c r="Z1604" s="263" t="s">
        <v>40</v>
      </c>
      <c r="AA1604" s="262"/>
      <c r="AB1604" s="263" t="s">
        <v>40</v>
      </c>
      <c r="AC1604" s="262"/>
      <c r="AD1604" s="1819" t="s">
        <v>3713</v>
      </c>
      <c r="AE1604" s="1819" t="s">
        <v>4002</v>
      </c>
      <c r="AF1604" s="71"/>
      <c r="AG1604" s="265"/>
      <c r="AH1604" s="261">
        <v>2320</v>
      </c>
      <c r="AI1604" s="270" t="s">
        <v>3714</v>
      </c>
      <c r="AJ1604" s="263" t="s">
        <v>3715</v>
      </c>
      <c r="AK1604" s="259" t="s">
        <v>43</v>
      </c>
      <c r="AL1604" s="260"/>
      <c r="AM1604" s="266"/>
      <c r="AN1604" s="259"/>
    </row>
    <row r="1605" spans="1:79" s="1809" customFormat="1" ht="18" customHeight="1" x14ac:dyDescent="0.3">
      <c r="A1605" s="1811" t="s">
        <v>4003</v>
      </c>
      <c r="B1605" s="1811" t="s">
        <v>245</v>
      </c>
      <c r="C1605" s="1812" t="s">
        <v>4004</v>
      </c>
      <c r="D1605" s="1813" t="s">
        <v>34</v>
      </c>
      <c r="E1605" s="1813">
        <v>168</v>
      </c>
      <c r="F1605" s="1813" t="s">
        <v>35</v>
      </c>
      <c r="G1605" s="1813"/>
      <c r="H1605" s="1810">
        <v>108499.07</v>
      </c>
      <c r="I1605" s="1814"/>
      <c r="J1605" s="1815">
        <v>108499.07</v>
      </c>
      <c r="K1605" s="1815"/>
      <c r="L1605" s="1816"/>
      <c r="M1605" s="1817" t="s">
        <v>38</v>
      </c>
      <c r="N1605" s="1817" t="s">
        <v>38</v>
      </c>
      <c r="O1605" s="1817" t="s">
        <v>3686</v>
      </c>
      <c r="P1605" s="1817" t="s">
        <v>40</v>
      </c>
      <c r="Q1605" s="1818"/>
      <c r="R1605" s="1817" t="s">
        <v>40</v>
      </c>
      <c r="S1605" s="1818"/>
      <c r="T1605" s="1817" t="s">
        <v>40</v>
      </c>
      <c r="U1605" s="1818"/>
      <c r="V1605" s="1817" t="s">
        <v>4005</v>
      </c>
      <c r="W1605" s="1819"/>
      <c r="X1605" s="1817" t="s">
        <v>64</v>
      </c>
      <c r="Y1605" s="1819"/>
      <c r="Z1605" s="1817" t="s">
        <v>40</v>
      </c>
      <c r="AA1605" s="1819"/>
      <c r="AB1605" s="1817" t="s">
        <v>40</v>
      </c>
      <c r="AC1605" s="1819"/>
      <c r="AD1605" s="1819" t="s">
        <v>4006</v>
      </c>
      <c r="AE1605" s="1819" t="s">
        <v>4006</v>
      </c>
      <c r="AF1605" s="1820"/>
      <c r="AG1605" s="1821"/>
      <c r="AH1605" s="1822">
        <v>540325.35</v>
      </c>
      <c r="AI1605" s="1823" t="s">
        <v>4007</v>
      </c>
      <c r="AJ1605" s="1817" t="s">
        <v>4008</v>
      </c>
      <c r="AK1605" s="1811"/>
      <c r="AL1605" s="1813"/>
      <c r="AM1605" s="1824"/>
      <c r="AN1605" s="1811" t="s">
        <v>4009</v>
      </c>
    </row>
    <row r="1606" spans="1:79" s="104" customFormat="1" ht="14.25" customHeight="1" x14ac:dyDescent="0.3">
      <c r="A1606" s="259" t="s">
        <v>3690</v>
      </c>
      <c r="B1606" s="259" t="s">
        <v>223</v>
      </c>
      <c r="C1606" s="384" t="s">
        <v>3716</v>
      </c>
      <c r="D1606" s="260" t="s">
        <v>34</v>
      </c>
      <c r="E1606" s="260">
        <v>168</v>
      </c>
      <c r="F1606" s="260" t="s">
        <v>35</v>
      </c>
      <c r="G1606" s="260">
        <v>30</v>
      </c>
      <c r="H1606" s="1810">
        <v>22826.81</v>
      </c>
      <c r="I1606" s="385"/>
      <c r="J1606" s="70">
        <v>22826.81</v>
      </c>
      <c r="K1606" s="1815">
        <v>22826.79</v>
      </c>
      <c r="L1606" s="1816">
        <v>22826.79</v>
      </c>
      <c r="M1606" s="263" t="s">
        <v>38</v>
      </c>
      <c r="N1606" s="263" t="s">
        <v>38</v>
      </c>
      <c r="O1606" s="263" t="s">
        <v>3686</v>
      </c>
      <c r="P1606" s="263" t="s">
        <v>40</v>
      </c>
      <c r="Q1606" s="264"/>
      <c r="R1606" s="263" t="s">
        <v>40</v>
      </c>
      <c r="S1606" s="264"/>
      <c r="T1606" s="263" t="s">
        <v>40</v>
      </c>
      <c r="U1606" s="264"/>
      <c r="V1606" s="263" t="s">
        <v>3719</v>
      </c>
      <c r="W1606" s="262"/>
      <c r="X1606" s="263" t="s">
        <v>64</v>
      </c>
      <c r="Y1606" s="262"/>
      <c r="Z1606" s="263" t="s">
        <v>40</v>
      </c>
      <c r="AA1606" s="262"/>
      <c r="AB1606" s="263" t="s">
        <v>40</v>
      </c>
      <c r="AC1606" s="262"/>
      <c r="AD1606" s="1819" t="s">
        <v>3717</v>
      </c>
      <c r="AE1606" s="1819" t="s">
        <v>4010</v>
      </c>
      <c r="AF1606" s="71"/>
      <c r="AG1606" s="265"/>
      <c r="AH1606" s="261">
        <v>113667.5</v>
      </c>
      <c r="AI1606" s="270" t="s">
        <v>3718</v>
      </c>
      <c r="AJ1606" s="263" t="s">
        <v>3719</v>
      </c>
      <c r="AK1606" s="259" t="s">
        <v>43</v>
      </c>
      <c r="AL1606" s="260"/>
      <c r="AM1606" s="266"/>
      <c r="AN1606" s="259"/>
    </row>
    <row r="1607" spans="1:79" s="102" customFormat="1" ht="15.75" customHeight="1" x14ac:dyDescent="0.3">
      <c r="B1607" s="165"/>
      <c r="C1607" s="165"/>
      <c r="D1607" s="1251"/>
      <c r="E1607" s="1251"/>
      <c r="F1607" s="1251"/>
      <c r="G1607" s="1251"/>
      <c r="H1607" s="1252"/>
      <c r="I1607" s="1253"/>
      <c r="J1607" s="1254"/>
      <c r="K1607" s="1640"/>
      <c r="L1607" s="1640"/>
      <c r="M1607" s="1255"/>
      <c r="N1607" s="1255"/>
      <c r="O1607" s="1255"/>
      <c r="P1607" s="1255"/>
      <c r="Q1607" s="1256"/>
      <c r="R1607" s="1255"/>
      <c r="S1607" s="1256"/>
      <c r="T1607" s="1255"/>
      <c r="U1607" s="1256"/>
      <c r="V1607" s="1255"/>
      <c r="W1607" s="1257"/>
      <c r="X1607" s="1255"/>
      <c r="Y1607" s="1257"/>
      <c r="Z1607" s="1255"/>
      <c r="AA1607" s="1257"/>
      <c r="AB1607" s="1255"/>
      <c r="AC1607" s="1257"/>
      <c r="AD1607" s="1257"/>
      <c r="AE1607" s="1556"/>
      <c r="AF1607" s="1258"/>
      <c r="AG1607" s="1259"/>
      <c r="AH1607" s="1254"/>
      <c r="AI1607" s="1260"/>
      <c r="AJ1607" s="1255"/>
      <c r="AK1607" s="165"/>
      <c r="AL1607" s="1251"/>
      <c r="AM1607" s="1261"/>
      <c r="AN1607" s="165"/>
    </row>
    <row r="1608" spans="1:79" s="1226" customFormat="1" ht="18" customHeight="1" x14ac:dyDescent="0.3">
      <c r="A1608" s="102"/>
      <c r="B1608" s="104"/>
      <c r="C1608" s="104"/>
      <c r="D1608" s="104"/>
      <c r="E1608" s="104"/>
      <c r="F1608" s="104"/>
      <c r="G1608" s="104"/>
      <c r="H1608" s="1262"/>
      <c r="I1608" s="1263"/>
      <c r="J1608" s="1262"/>
      <c r="K1608" s="1641"/>
      <c r="L1608" s="1641"/>
      <c r="M1608" s="1264" t="s">
        <v>3720</v>
      </c>
      <c r="N1608" s="1265"/>
      <c r="O1608" s="1264"/>
      <c r="P1608" s="1265"/>
      <c r="Q1608" s="1266"/>
      <c r="R1608" s="1265"/>
      <c r="S1608" s="1266"/>
      <c r="T1608" s="1265"/>
      <c r="U1608" s="1266"/>
      <c r="V1608" s="1265"/>
      <c r="W1608" s="1266"/>
      <c r="X1608" s="1265"/>
      <c r="Y1608" s="1266"/>
      <c r="Z1608" s="1265"/>
      <c r="AA1608" s="1266"/>
      <c r="AB1608" s="1265"/>
      <c r="AC1608" s="1266"/>
      <c r="AD1608" s="1266"/>
      <c r="AE1608" s="1557"/>
      <c r="AF1608" s="1265"/>
      <c r="AG1608" s="1267"/>
      <c r="AH1608" s="1262"/>
      <c r="AI1608" s="1267"/>
      <c r="AJ1608" s="1265"/>
      <c r="AK1608" s="104"/>
      <c r="AL1608" s="104"/>
      <c r="AM1608" s="1268"/>
      <c r="AN1608" s="104"/>
    </row>
    <row r="1609" spans="1:79" s="102" customFormat="1" ht="20.25" customHeight="1" x14ac:dyDescent="0.3">
      <c r="A1609" s="1269" t="s">
        <v>3721</v>
      </c>
      <c r="B1609" s="1270"/>
      <c r="C1609" s="1271"/>
      <c r="D1609" s="1269"/>
      <c r="E1609" s="1269"/>
      <c r="F1609" s="1269"/>
      <c r="G1609" s="1269"/>
      <c r="H1609" s="1272">
        <v>0</v>
      </c>
      <c r="I1609" s="1273" t="s">
        <v>267</v>
      </c>
      <c r="J1609" s="1272">
        <v>0</v>
      </c>
      <c r="K1609" s="1642">
        <v>0</v>
      </c>
      <c r="L1609" s="1642">
        <v>0</v>
      </c>
      <c r="M1609" s="1274">
        <v>0</v>
      </c>
      <c r="N1609" s="1275"/>
      <c r="O1609" s="1276"/>
      <c r="P1609" s="1275"/>
      <c r="Q1609" s="1277"/>
      <c r="R1609" s="1275"/>
      <c r="S1609" s="1277"/>
      <c r="T1609" s="1275"/>
      <c r="U1609" s="1277"/>
      <c r="V1609" s="1275"/>
      <c r="W1609" s="1277"/>
      <c r="X1609" s="1275"/>
      <c r="Y1609" s="1277"/>
      <c r="Z1609" s="1275"/>
      <c r="AA1609" s="1277"/>
      <c r="AB1609" s="1275"/>
      <c r="AC1609" s="1277"/>
      <c r="AD1609" s="1277"/>
      <c r="AE1609" s="1558"/>
      <c r="AF1609" s="1275"/>
      <c r="AG1609" s="1278"/>
      <c r="AH1609" s="1272">
        <v>0</v>
      </c>
      <c r="AI1609" s="1279"/>
      <c r="AJ1609" s="1280"/>
      <c r="AM1609" s="110"/>
    </row>
    <row r="1610" spans="1:79" s="1226" customFormat="1" ht="12" customHeight="1" x14ac:dyDescent="0.3">
      <c r="A1610" s="1269" t="s">
        <v>3721</v>
      </c>
      <c r="B1610" s="1270"/>
      <c r="C1610" s="1271"/>
      <c r="D1610" s="1269"/>
      <c r="E1610" s="1269"/>
      <c r="F1610" s="1269"/>
      <c r="G1610" s="1269"/>
      <c r="H1610" s="1272">
        <f>H2+H6+H43+H110+H163+H177+H190+H221+H289+H300+H302</f>
        <v>107500000</v>
      </c>
      <c r="I1610" s="1273" t="s">
        <v>36</v>
      </c>
      <c r="J1610" s="1272">
        <f>J2+J6+J43+J110+J163+J177+J190+J221+J289+J300+J302</f>
        <v>86453165.451365471</v>
      </c>
      <c r="K1610" s="1642">
        <f>K2+K6+K43+K110+K163+K177+K190+K221+K289+K300+K302</f>
        <v>180</v>
      </c>
      <c r="L1610" s="1642">
        <f>L2+L6+L43+L110+L163+L177+L190+L221+L289+L300+L302</f>
        <v>180</v>
      </c>
      <c r="M1610" s="1274">
        <f>K1610/H1610</f>
        <v>1.6744186046511629E-6</v>
      </c>
      <c r="N1610" s="1276"/>
      <c r="O1610" s="1276"/>
      <c r="P1610" s="1276"/>
      <c r="Q1610" s="1281"/>
      <c r="R1610" s="1276"/>
      <c r="S1610" s="1281"/>
      <c r="T1610" s="1276"/>
      <c r="U1610" s="1281"/>
      <c r="V1610" s="1276"/>
      <c r="W1610" s="1281"/>
      <c r="X1610" s="1276"/>
      <c r="Y1610" s="1281"/>
      <c r="Z1610" s="1276"/>
      <c r="AA1610" s="1281"/>
      <c r="AB1610" s="1276"/>
      <c r="AC1610" s="1281"/>
      <c r="AD1610" s="1281"/>
      <c r="AE1610" s="1559"/>
      <c r="AF1610" s="1276"/>
      <c r="AG1610" s="1282"/>
      <c r="AH1610" s="1272">
        <f>AH2+AH6+AH43+AH110+AH163+AH177+AH190+AH221+AH289+AH300+AH302</f>
        <v>895</v>
      </c>
      <c r="AI1610" s="1279"/>
      <c r="AJ1610" s="1280"/>
      <c r="AM1610" s="1283"/>
    </row>
    <row r="1611" spans="1:79" s="102" customFormat="1" ht="12.75" customHeight="1" x14ac:dyDescent="0.3">
      <c r="A1611" s="1269" t="s">
        <v>3722</v>
      </c>
      <c r="B1611" s="1270"/>
      <c r="C1611" s="1269"/>
      <c r="D1611" s="1269"/>
      <c r="E1611" s="1269"/>
      <c r="F1611" s="1269"/>
      <c r="G1611" s="1269"/>
      <c r="H1611" s="1272">
        <f>SUM(H306+H314+H609)</f>
        <v>511880000</v>
      </c>
      <c r="I1611" s="1273" t="s">
        <v>267</v>
      </c>
      <c r="J1611" s="1272">
        <f>SUM(J306+J316+J530+H611+H646)</f>
        <v>107728543.48371059</v>
      </c>
      <c r="K1611" s="1642">
        <f>SUM(K306+K314+K609)</f>
        <v>16406500.563334538</v>
      </c>
      <c r="L1611" s="1642">
        <f>SUM(L306+L316+L530+L611+L646)</f>
        <v>16720975.710386317</v>
      </c>
      <c r="M1611" s="1274">
        <f>K1611/H1611</f>
        <v>3.205145847334246E-2</v>
      </c>
      <c r="N1611" s="1275"/>
      <c r="O1611" s="1276"/>
      <c r="P1611" s="1275"/>
      <c r="Q1611" s="1277"/>
      <c r="R1611" s="1275"/>
      <c r="S1611" s="1277"/>
      <c r="T1611" s="1275"/>
      <c r="U1611" s="1277"/>
      <c r="V1611" s="1275"/>
      <c r="W1611" s="1277"/>
      <c r="X1611" s="1275"/>
      <c r="Y1611" s="1277"/>
      <c r="Z1611" s="1275"/>
      <c r="AA1611" s="1277"/>
      <c r="AB1611" s="1275"/>
      <c r="AC1611" s="1277"/>
      <c r="AD1611" s="1277"/>
      <c r="AE1611" s="1558"/>
      <c r="AF1611" s="1275"/>
      <c r="AG1611" s="1278"/>
      <c r="AH1611" s="1272">
        <f>SUM(AH306+AH314+AH610)</f>
        <v>185037008.15650702</v>
      </c>
      <c r="AI1611" s="1284"/>
      <c r="AJ1611" s="657"/>
      <c r="AM1611" s="110"/>
      <c r="AP1611" s="1285"/>
      <c r="AQ1611" s="104"/>
      <c r="AR1611" s="104"/>
      <c r="AS1611" s="104"/>
      <c r="AT1611" s="104"/>
      <c r="AU1611" s="104"/>
      <c r="AV1611" s="104"/>
      <c r="AW1611" s="104"/>
      <c r="AX1611" s="104"/>
      <c r="AY1611" s="104"/>
      <c r="AZ1611" s="104"/>
      <c r="BA1611" s="104"/>
      <c r="BB1611" s="104"/>
      <c r="BC1611" s="104"/>
      <c r="BD1611" s="104"/>
      <c r="BE1611" s="104"/>
      <c r="BF1611" s="104"/>
      <c r="BG1611" s="104"/>
      <c r="BH1611" s="104"/>
      <c r="BI1611" s="104"/>
      <c r="BJ1611" s="104"/>
      <c r="BK1611" s="104"/>
      <c r="BL1611" s="104"/>
      <c r="BM1611" s="104"/>
      <c r="BN1611" s="104"/>
      <c r="BO1611" s="104"/>
      <c r="BP1611" s="104"/>
      <c r="BQ1611" s="104"/>
      <c r="BR1611" s="104"/>
      <c r="BS1611" s="104"/>
      <c r="BT1611" s="104"/>
      <c r="BU1611" s="104"/>
      <c r="BV1611" s="104"/>
      <c r="BW1611" s="104"/>
      <c r="BX1611" s="104"/>
      <c r="BY1611" s="104"/>
      <c r="BZ1611" s="104"/>
      <c r="CA1611" s="358"/>
    </row>
    <row r="1612" spans="1:79" s="1226" customFormat="1" ht="17.25" customHeight="1" x14ac:dyDescent="0.3">
      <c r="A1612" s="1269" t="s">
        <v>3722</v>
      </c>
      <c r="B1612" s="1270"/>
      <c r="C1612" s="1269"/>
      <c r="D1612" s="1269"/>
      <c r="E1612" s="1269"/>
      <c r="F1612" s="1269"/>
      <c r="G1612" s="1269"/>
      <c r="H1612" s="1272">
        <f>SUM(H704+H706+H710+H715+H717+H723+H732+H738)</f>
        <v>392000000</v>
      </c>
      <c r="I1612" s="1273" t="s">
        <v>36</v>
      </c>
      <c r="J1612" s="1272">
        <f>SUM(J705+J706+J711+J716+J718+J723+J732+J739)</f>
        <v>248476161.79000002</v>
      </c>
      <c r="K1612" s="1642">
        <f>SUM(K704+K706+K710+K715+K717+K723+K732+K738)</f>
        <v>4218405.6333333328</v>
      </c>
      <c r="L1612" s="1642">
        <f>SUM(L704+L706+L710+L715+L717+L723+L732+L738)</f>
        <v>4291689.4423293173</v>
      </c>
      <c r="M1612" s="1274">
        <f>K1612/H1612</f>
        <v>1.0761238860544217E-2</v>
      </c>
      <c r="N1612" s="1276"/>
      <c r="O1612" s="1276"/>
      <c r="P1612" s="1276"/>
      <c r="Q1612" s="1281"/>
      <c r="R1612" s="1276"/>
      <c r="S1612" s="1281"/>
      <c r="T1612" s="1276"/>
      <c r="U1612" s="1281"/>
      <c r="V1612" s="1276"/>
      <c r="W1612" s="1281"/>
      <c r="X1612" s="1276"/>
      <c r="Y1612" s="1281"/>
      <c r="Z1612" s="1276"/>
      <c r="AA1612" s="1281"/>
      <c r="AB1612" s="1276"/>
      <c r="AC1612" s="1281"/>
      <c r="AD1612" s="1281"/>
      <c r="AE1612" s="1559"/>
      <c r="AF1612" s="1276"/>
      <c r="AG1612" s="1282"/>
      <c r="AH1612" s="1272">
        <f>AH704+AH706+AH710+AH715+AH717+AH723+AH732+AH738</f>
        <v>87288434.818599984</v>
      </c>
      <c r="AI1612" s="1284"/>
      <c r="AJ1612" s="657"/>
      <c r="AM1612" s="1283"/>
      <c r="AP1612" s="1286"/>
      <c r="AQ1612" s="1287"/>
      <c r="AR1612" s="1287"/>
      <c r="AS1612" s="1287"/>
      <c r="AT1612" s="1287"/>
      <c r="AU1612" s="1287"/>
      <c r="AV1612" s="1287"/>
      <c r="AW1612" s="1287"/>
      <c r="AX1612" s="1287"/>
      <c r="AY1612" s="1287"/>
      <c r="AZ1612" s="1287"/>
      <c r="BA1612" s="1287"/>
      <c r="BB1612" s="1287"/>
      <c r="BC1612" s="1287"/>
      <c r="BD1612" s="1287"/>
      <c r="BE1612" s="1287"/>
      <c r="BF1612" s="1287"/>
      <c r="BG1612" s="1287"/>
      <c r="BH1612" s="1287"/>
      <c r="BI1612" s="1287"/>
      <c r="BJ1612" s="1287"/>
      <c r="BK1612" s="1287"/>
      <c r="BL1612" s="1287"/>
      <c r="BM1612" s="1287"/>
      <c r="BN1612" s="1287"/>
      <c r="BO1612" s="1287"/>
      <c r="BP1612" s="1287"/>
      <c r="BQ1612" s="1287"/>
      <c r="BR1612" s="1287"/>
      <c r="BS1612" s="1287"/>
      <c r="BT1612" s="1287"/>
      <c r="BU1612" s="1287"/>
      <c r="BV1612" s="1287"/>
      <c r="BW1612" s="1287"/>
      <c r="BX1612" s="1287"/>
      <c r="BY1612" s="1287"/>
      <c r="BZ1612" s="1287"/>
      <c r="CA1612" s="1288"/>
    </row>
    <row r="1613" spans="1:79" s="1226" customFormat="1" ht="18" customHeight="1" x14ac:dyDescent="0.3">
      <c r="A1613" s="1269" t="s">
        <v>3723</v>
      </c>
      <c r="B1613" s="1270"/>
      <c r="C1613" s="1271"/>
      <c r="D1613" s="1269"/>
      <c r="E1613" s="1269"/>
      <c r="F1613" s="1269"/>
      <c r="G1613" s="1269"/>
      <c r="H1613" s="1272">
        <v>0</v>
      </c>
      <c r="I1613" s="1273" t="s">
        <v>267</v>
      </c>
      <c r="J1613" s="1272">
        <v>0</v>
      </c>
      <c r="K1613" s="1642">
        <v>0</v>
      </c>
      <c r="L1613" s="1642">
        <v>0</v>
      </c>
      <c r="M1613" s="1274">
        <v>0</v>
      </c>
      <c r="N1613" s="1275"/>
      <c r="O1613" s="1276"/>
      <c r="P1613" s="1275"/>
      <c r="Q1613" s="1277"/>
      <c r="R1613" s="1275"/>
      <c r="S1613" s="1277"/>
      <c r="T1613" s="1275"/>
      <c r="U1613" s="1277"/>
      <c r="V1613" s="1275"/>
      <c r="W1613" s="1277"/>
      <c r="X1613" s="1275"/>
      <c r="Y1613" s="1277"/>
      <c r="Z1613" s="1275"/>
      <c r="AA1613" s="1277"/>
      <c r="AB1613" s="1275"/>
      <c r="AC1613" s="1277"/>
      <c r="AD1613" s="1277"/>
      <c r="AE1613" s="1558"/>
      <c r="AF1613" s="1275"/>
      <c r="AG1613" s="1278"/>
      <c r="AH1613" s="1272">
        <v>0</v>
      </c>
      <c r="AI1613" s="1279"/>
      <c r="AJ1613" s="1280"/>
      <c r="AK1613" s="102"/>
      <c r="AL1613" s="102"/>
      <c r="AM1613" s="110"/>
      <c r="AN1613" s="658"/>
      <c r="AQ1613" s="1225"/>
      <c r="AR1613" s="1225"/>
      <c r="AS1613" s="1225"/>
      <c r="AT1613" s="1225"/>
      <c r="AU1613" s="1225"/>
      <c r="AV1613" s="1225"/>
      <c r="AW1613" s="1225"/>
      <c r="AX1613" s="1225"/>
      <c r="AY1613" s="1225"/>
      <c r="AZ1613" s="1225"/>
      <c r="BA1613" s="1225"/>
      <c r="BB1613" s="1225"/>
      <c r="BC1613" s="1225"/>
      <c r="BD1613" s="1225"/>
      <c r="BE1613" s="1225"/>
      <c r="BF1613" s="1225"/>
      <c r="BG1613" s="1225"/>
      <c r="BH1613" s="1225"/>
      <c r="BI1613" s="1225"/>
      <c r="BJ1613" s="1225"/>
      <c r="BK1613" s="1225"/>
      <c r="BL1613" s="1225"/>
      <c r="BM1613" s="1225"/>
      <c r="BN1613" s="1225"/>
      <c r="BO1613" s="1225"/>
      <c r="BP1613" s="1225"/>
      <c r="BQ1613" s="1225"/>
      <c r="BR1613" s="1225"/>
      <c r="BS1613" s="1225"/>
      <c r="BT1613" s="1225"/>
      <c r="BU1613" s="1225"/>
      <c r="BV1613" s="1225"/>
      <c r="BW1613" s="1225"/>
      <c r="BX1613" s="1225"/>
      <c r="BY1613" s="1225"/>
      <c r="BZ1613" s="1225"/>
    </row>
    <row r="1614" spans="1:79" s="102" customFormat="1" ht="17.25" customHeight="1" x14ac:dyDescent="0.3">
      <c r="A1614" s="1269" t="s">
        <v>3723</v>
      </c>
      <c r="B1614" s="1270"/>
      <c r="C1614" s="1271"/>
      <c r="D1614" s="1269"/>
      <c r="E1614" s="1269"/>
      <c r="F1614" s="1269"/>
      <c r="G1614" s="1269"/>
      <c r="H1614" s="1272">
        <f>H1588+H1571+H1568+H1567+H1551+H1381+H832</f>
        <v>1233420000</v>
      </c>
      <c r="I1614" s="1273" t="s">
        <v>36</v>
      </c>
      <c r="J1614" s="1272">
        <f>J1588+J1571+J1568+J1567+J1551+J1381+J832</f>
        <v>1369080000</v>
      </c>
      <c r="K1614" s="1642">
        <f>K1588+K1571+K1568+K1567+K1551+K1381+K832</f>
        <v>18665055.268999983</v>
      </c>
      <c r="L1614" s="1642">
        <f>L1588+L1571+L1568+L1567+L1551+L1381+L832</f>
        <v>16328894.682999982</v>
      </c>
      <c r="M1614" s="1274">
        <f>K1614/H1614</f>
        <v>1.513276521298502E-2</v>
      </c>
      <c r="N1614" s="1276"/>
      <c r="O1614" s="1276"/>
      <c r="P1614" s="1276"/>
      <c r="Q1614" s="1281"/>
      <c r="R1614" s="1276"/>
      <c r="S1614" s="1281"/>
      <c r="T1614" s="1276"/>
      <c r="U1614" s="1281"/>
      <c r="V1614" s="1276"/>
      <c r="W1614" s="1281"/>
      <c r="X1614" s="1276"/>
      <c r="Y1614" s="1281"/>
      <c r="Z1614" s="1276"/>
      <c r="AA1614" s="1281"/>
      <c r="AB1614" s="1276"/>
      <c r="AC1614" s="1281"/>
      <c r="AD1614" s="1281"/>
      <c r="AE1614" s="1559"/>
      <c r="AF1614" s="1276"/>
      <c r="AG1614" s="1282"/>
      <c r="AH1614" s="1272">
        <f>AH1588+AH1571+AH1568+AH1567+AH1551+AH1381+AH832</f>
        <v>91593425.179495379</v>
      </c>
      <c r="AI1614" s="1279"/>
      <c r="AJ1614" s="1280"/>
      <c r="AK1614" s="1226"/>
      <c r="AL1614" s="1226"/>
      <c r="AM1614" s="1283"/>
      <c r="AN1614" s="1289"/>
    </row>
    <row r="1615" spans="1:79" s="102" customFormat="1" ht="26.25" customHeight="1" x14ac:dyDescent="0.3">
      <c r="A1615" s="1269" t="s">
        <v>3724</v>
      </c>
      <c r="B1615" s="1270"/>
      <c r="C1615" s="1269"/>
      <c r="D1615" s="1269"/>
      <c r="E1615" s="1269"/>
      <c r="F1615" s="1269"/>
      <c r="G1615" s="1269"/>
      <c r="H1615" s="1272">
        <f>H1600+H1594</f>
        <v>52000000</v>
      </c>
      <c r="I1615" s="1273" t="s">
        <v>267</v>
      </c>
      <c r="J1615" s="1272">
        <f>J1600+J1594</f>
        <v>52000000</v>
      </c>
      <c r="K1615" s="1642">
        <f>K1593</f>
        <v>89849.4</v>
      </c>
      <c r="L1615" s="1642">
        <v>110137</v>
      </c>
      <c r="M1615" s="1274">
        <v>0</v>
      </c>
      <c r="N1615" s="1276"/>
      <c r="O1615" s="1276"/>
      <c r="P1615" s="1276"/>
      <c r="Q1615" s="1281"/>
      <c r="R1615" s="1276"/>
      <c r="S1615" s="1281"/>
      <c r="T1615" s="1276"/>
      <c r="U1615" s="1281"/>
      <c r="V1615" s="1276"/>
      <c r="W1615" s="1281"/>
      <c r="X1615" s="1276"/>
      <c r="Y1615" s="1281"/>
      <c r="Z1615" s="1276"/>
      <c r="AA1615" s="1281"/>
      <c r="AB1615" s="1276"/>
      <c r="AC1615" s="1281"/>
      <c r="AD1615" s="1281"/>
      <c r="AE1615" s="1559"/>
      <c r="AF1615" s="1276"/>
      <c r="AG1615" s="1282"/>
      <c r="AH1615" s="1272">
        <f>AH1593</f>
        <v>1463205.85</v>
      </c>
      <c r="AI1615" s="1284"/>
      <c r="AJ1615" s="657"/>
      <c r="AK1615" s="1226"/>
      <c r="AL1615" s="1226"/>
      <c r="AM1615" s="1283"/>
      <c r="AN1615" s="1226"/>
    </row>
    <row r="1616" spans="1:79" s="102" customFormat="1" ht="26.25" customHeight="1" x14ac:dyDescent="0.3">
      <c r="A1616" s="1269" t="s">
        <v>3724</v>
      </c>
      <c r="B1616" s="1270"/>
      <c r="C1616" s="1269"/>
      <c r="D1616" s="1269"/>
      <c r="E1616" s="1269"/>
      <c r="F1616" s="1269"/>
      <c r="G1616" s="1269"/>
      <c r="H1616" s="1272">
        <v>0</v>
      </c>
      <c r="I1616" s="1273" t="s">
        <v>36</v>
      </c>
      <c r="J1616" s="1272">
        <v>0</v>
      </c>
      <c r="K1616" s="1642">
        <v>0</v>
      </c>
      <c r="L1616" s="1642">
        <v>0</v>
      </c>
      <c r="M1616" s="1274">
        <v>0</v>
      </c>
      <c r="N1616" s="1276"/>
      <c r="O1616" s="1276"/>
      <c r="P1616" s="1276"/>
      <c r="Q1616" s="1281"/>
      <c r="R1616" s="1276"/>
      <c r="S1616" s="1281"/>
      <c r="T1616" s="1276"/>
      <c r="U1616" s="1281"/>
      <c r="V1616" s="1276"/>
      <c r="W1616" s="1281"/>
      <c r="X1616" s="1276"/>
      <c r="Y1616" s="1281"/>
      <c r="Z1616" s="1276"/>
      <c r="AA1616" s="1281"/>
      <c r="AB1616" s="1276"/>
      <c r="AC1616" s="1281"/>
      <c r="AD1616" s="1281"/>
      <c r="AE1616" s="1559"/>
      <c r="AF1616" s="1276"/>
      <c r="AG1616" s="1282"/>
      <c r="AH1616" s="1272"/>
      <c r="AI1616" s="1284"/>
      <c r="AJ1616" s="657"/>
      <c r="AK1616" s="1226"/>
      <c r="AL1616" s="1226"/>
      <c r="AM1616" s="1283"/>
      <c r="AN1616" s="1286"/>
      <c r="AO1616" s="104"/>
      <c r="AP1616" s="104"/>
      <c r="AQ1616" s="104"/>
      <c r="AR1616" s="104"/>
      <c r="AS1616" s="104"/>
      <c r="AT1616" s="358"/>
    </row>
    <row r="1617" spans="1:46" s="102" customFormat="1" ht="32.25" customHeight="1" x14ac:dyDescent="0.3">
      <c r="A1617" s="1226" t="s">
        <v>3725</v>
      </c>
      <c r="B1617" s="1288"/>
      <c r="C1617" s="1290"/>
      <c r="D1617" s="1226"/>
      <c r="E1617" s="1226"/>
      <c r="F1617" s="1226"/>
      <c r="G1617" s="1226"/>
      <c r="H1617" s="1291">
        <f>H306+H314+H609</f>
        <v>511880000</v>
      </c>
      <c r="I1617" s="1292" t="s">
        <v>267</v>
      </c>
      <c r="J1617" s="1291">
        <f>J306+J314+J610</f>
        <v>101298542.23769951</v>
      </c>
      <c r="K1617" s="1643">
        <f>K306+K314+K530</f>
        <v>22815488.232347883</v>
      </c>
      <c r="L1617" s="1643">
        <f>L306+L314+L530</f>
        <v>22815488.232347883</v>
      </c>
      <c r="M1617" s="1293">
        <f>K1617/H1617</f>
        <v>4.4571947003883491E-2</v>
      </c>
      <c r="N1617" s="107"/>
      <c r="O1617" s="657"/>
      <c r="P1617" s="107"/>
      <c r="Q1617" s="106"/>
      <c r="R1617" s="107"/>
      <c r="S1617" s="106"/>
      <c r="T1617" s="107"/>
      <c r="U1617" s="106"/>
      <c r="V1617" s="107"/>
      <c r="W1617" s="106"/>
      <c r="X1617" s="107"/>
      <c r="Y1617" s="106"/>
      <c r="Z1617" s="107"/>
      <c r="AA1617" s="106"/>
      <c r="AB1617" s="107"/>
      <c r="AC1617" s="106"/>
      <c r="AD1617" s="106"/>
      <c r="AE1617" s="1560"/>
      <c r="AF1617" s="107"/>
      <c r="AG1617" s="108"/>
      <c r="AH1617" s="1291">
        <f>AH306+AH314+AH609</f>
        <v>217353278.09650701</v>
      </c>
      <c r="AI1617" s="1279"/>
      <c r="AJ1617" s="1280"/>
      <c r="AM1617" s="110"/>
      <c r="AN1617" s="1294"/>
      <c r="AO1617" s="104"/>
      <c r="AP1617" s="104"/>
      <c r="AQ1617" s="104"/>
      <c r="AR1617" s="104"/>
      <c r="AS1617" s="104"/>
      <c r="AT1617" s="358"/>
    </row>
    <row r="1618" spans="1:46" s="104" customFormat="1" ht="33.75" customHeight="1" x14ac:dyDescent="0.3">
      <c r="A1618" s="1226" t="s">
        <v>3726</v>
      </c>
      <c r="B1618" s="1288"/>
      <c r="C1618" s="1290"/>
      <c r="D1618" s="1226"/>
      <c r="E1618" s="1226"/>
      <c r="F1618" s="1226"/>
      <c r="G1618" s="1226"/>
      <c r="H1618" s="1291">
        <f>H704+H706+H710+H715+H717+H723+H732+H738</f>
        <v>392000000</v>
      </c>
      <c r="I1618" s="1292" t="s">
        <v>36</v>
      </c>
      <c r="J1618" s="1291">
        <f>J705+J708+J712+J716+J718+J724+J733+J739</f>
        <v>247504978.12</v>
      </c>
      <c r="K1618" s="1643">
        <f>K706+K710+K715+K717+K723+K732+K738</f>
        <v>4218405.6333333328</v>
      </c>
      <c r="L1618" s="1643">
        <f>L706+L710+L715+L717+L723+L732+L738</f>
        <v>4291689.4423293173</v>
      </c>
      <c r="M1618" s="1293">
        <f>K1618/H1618</f>
        <v>1.0761238860544217E-2</v>
      </c>
      <c r="N1618" s="107"/>
      <c r="O1618" s="657"/>
      <c r="P1618" s="107"/>
      <c r="Q1618" s="106"/>
      <c r="R1618" s="107"/>
      <c r="S1618" s="106"/>
      <c r="T1618" s="107"/>
      <c r="U1618" s="106"/>
      <c r="V1618" s="107"/>
      <c r="W1618" s="106"/>
      <c r="X1618" s="107"/>
      <c r="Y1618" s="106"/>
      <c r="Z1618" s="107"/>
      <c r="AA1618" s="106"/>
      <c r="AB1618" s="107"/>
      <c r="AC1618" s="106"/>
      <c r="AD1618" s="106"/>
      <c r="AE1618" s="1560"/>
      <c r="AF1618" s="107"/>
      <c r="AG1618" s="108"/>
      <c r="AH1618" s="1291">
        <f>AH704+AH706+AH710+AH715+AH717+AH723+AH732+AH738</f>
        <v>87288434.818599984</v>
      </c>
      <c r="AI1618" s="1279"/>
      <c r="AJ1618" s="1280"/>
      <c r="AK1618" s="102"/>
      <c r="AL1618" s="102"/>
      <c r="AM1618" s="110"/>
      <c r="AN1618" s="1294"/>
    </row>
    <row r="1619" spans="1:46" s="1087" customFormat="1" ht="31.5" customHeight="1" x14ac:dyDescent="0.3">
      <c r="A1619" s="1226" t="s">
        <v>3727</v>
      </c>
      <c r="B1619" s="1288"/>
      <c r="C1619" s="1290"/>
      <c r="D1619" s="1236"/>
      <c r="E1619" s="1236"/>
      <c r="F1619" s="1236"/>
      <c r="G1619" s="1236"/>
      <c r="H1619" s="1295">
        <f>H1609+H1610+H1611+H1612+H1613+H1614+H1615</f>
        <v>2296800000</v>
      </c>
      <c r="I1619" s="1296" t="s">
        <v>3728</v>
      </c>
      <c r="J1619" s="1291">
        <f>J1618+J1617</f>
        <v>348803520.35769951</v>
      </c>
      <c r="K1619" s="1643">
        <f>K1618+K1617</f>
        <v>27033893.865681216</v>
      </c>
      <c r="L1619" s="1643">
        <f>L1618+L1617</f>
        <v>27107177.674677201</v>
      </c>
      <c r="M1619" s="1293">
        <f>K1619/H1619</f>
        <v>1.1770242888227629E-2</v>
      </c>
      <c r="N1619" s="107"/>
      <c r="O1619" s="657"/>
      <c r="P1619" s="107"/>
      <c r="Q1619" s="494"/>
      <c r="R1619" s="107"/>
      <c r="S1619" s="494"/>
      <c r="T1619" s="107"/>
      <c r="U1619" s="494"/>
      <c r="V1619" s="107"/>
      <c r="W1619" s="106"/>
      <c r="X1619" s="107"/>
      <c r="Y1619" s="106"/>
      <c r="Z1619" s="107"/>
      <c r="AA1619" s="106"/>
      <c r="AB1619" s="107"/>
      <c r="AC1619" s="106"/>
      <c r="AD1619" s="106"/>
      <c r="AE1619" s="1560"/>
      <c r="AF1619" s="493"/>
      <c r="AG1619" s="495"/>
      <c r="AH1619" s="1295">
        <f>AH1618+AH1617</f>
        <v>304641712.91510701</v>
      </c>
      <c r="AI1619" s="1297"/>
      <c r="AJ1619" s="1298"/>
      <c r="AK1619" s="102"/>
      <c r="AL1619" s="138"/>
      <c r="AM1619" s="110"/>
      <c r="AN1619" s="1294"/>
    </row>
    <row r="1620" spans="1:46" s="1087" customFormat="1" ht="12" customHeight="1" x14ac:dyDescent="0.3">
      <c r="A1620" s="102"/>
      <c r="B1620" s="104"/>
      <c r="C1620" s="104"/>
      <c r="D1620" s="1299"/>
      <c r="E1620" s="1299"/>
      <c r="F1620" s="1299"/>
      <c r="G1620" s="1299"/>
      <c r="H1620" s="1300"/>
      <c r="I1620" s="1301"/>
      <c r="J1620" s="1262"/>
      <c r="K1620" s="1641"/>
      <c r="L1620" s="1641"/>
      <c r="M1620" s="1265"/>
      <c r="N1620" s="1265"/>
      <c r="O1620" s="1264"/>
      <c r="P1620" s="1265"/>
      <c r="Q1620" s="1302"/>
      <c r="R1620" s="1265"/>
      <c r="S1620" s="1302"/>
      <c r="T1620" s="1265"/>
      <c r="U1620" s="1302"/>
      <c r="V1620" s="1265"/>
      <c r="W1620" s="1266"/>
      <c r="X1620" s="1265"/>
      <c r="Y1620" s="1266"/>
      <c r="Z1620" s="1265"/>
      <c r="AA1620" s="1266"/>
      <c r="AB1620" s="1265"/>
      <c r="AC1620" s="1266"/>
      <c r="AD1620" s="1266"/>
      <c r="AE1620" s="1557"/>
      <c r="AF1620" s="1303"/>
      <c r="AG1620" s="1304"/>
      <c r="AH1620" s="1262"/>
      <c r="AI1620" s="1267"/>
      <c r="AJ1620" s="1265"/>
      <c r="AK1620" s="104"/>
      <c r="AL1620" s="1299"/>
      <c r="AM1620" s="1268"/>
      <c r="AN1620" s="104"/>
    </row>
    <row r="1621" spans="1:46" s="1087" customFormat="1" ht="409.6" x14ac:dyDescent="0.3">
      <c r="A1621" s="167" t="s">
        <v>3739</v>
      </c>
      <c r="B1621" s="104"/>
      <c r="C1621" s="104"/>
      <c r="D1621" s="1305"/>
      <c r="E1621" s="1305"/>
      <c r="F1621" s="104"/>
      <c r="G1621" s="1305"/>
      <c r="H1621" s="1262"/>
      <c r="I1621" s="104"/>
      <c r="J1621" s="1306"/>
      <c r="K1621" s="1644"/>
      <c r="L1621" s="1644"/>
      <c r="M1621" s="1307"/>
      <c r="N1621" s="1307"/>
      <c r="O1621" s="1307"/>
      <c r="P1621" s="1307"/>
      <c r="Q1621" s="1308"/>
      <c r="R1621" s="1307"/>
      <c r="S1621" s="1308"/>
      <c r="T1621" s="1307"/>
      <c r="U1621" s="1308"/>
      <c r="V1621" s="1307"/>
      <c r="W1621" s="1308"/>
      <c r="X1621" s="1307"/>
      <c r="Y1621" s="1308"/>
      <c r="Z1621" s="1307"/>
      <c r="AA1621" s="1308"/>
      <c r="AB1621" s="1307"/>
      <c r="AC1621" s="1308"/>
      <c r="AD1621" s="1308"/>
      <c r="AE1621" s="1561"/>
      <c r="AF1621" s="1307"/>
      <c r="AG1621" s="1309"/>
      <c r="AH1621" s="1306"/>
      <c r="AI1621" s="1309"/>
      <c r="AJ1621" s="1307"/>
      <c r="AM1621" s="1310"/>
    </row>
    <row r="1622" spans="1:46" s="1087" customFormat="1" ht="20.25" customHeight="1" x14ac:dyDescent="0.3">
      <c r="A1622" s="167"/>
      <c r="B1622" s="104"/>
      <c r="C1622" s="104"/>
      <c r="D1622" s="1305"/>
      <c r="E1622" s="1305"/>
      <c r="F1622" s="104"/>
      <c r="G1622" s="1305"/>
      <c r="H1622" s="1262"/>
      <c r="I1622" s="104"/>
      <c r="J1622" s="1306"/>
      <c r="K1622" s="1644"/>
      <c r="L1622" s="1644"/>
      <c r="M1622" s="1307"/>
      <c r="N1622" s="1307"/>
      <c r="O1622" s="1307"/>
      <c r="P1622" s="1307"/>
      <c r="Q1622" s="1308"/>
      <c r="R1622" s="1307"/>
      <c r="S1622" s="1308"/>
      <c r="T1622" s="1307"/>
      <c r="U1622" s="1308"/>
      <c r="V1622" s="1307"/>
      <c r="W1622" s="1308"/>
      <c r="X1622" s="1307"/>
      <c r="Y1622" s="1308"/>
      <c r="Z1622" s="1307"/>
      <c r="AA1622" s="1308"/>
      <c r="AB1622" s="1307"/>
      <c r="AC1622" s="1308"/>
      <c r="AD1622" s="1308"/>
      <c r="AE1622" s="1561"/>
      <c r="AF1622" s="1307"/>
      <c r="AG1622" s="1309"/>
      <c r="AH1622" s="1306"/>
      <c r="AI1622" s="1309"/>
      <c r="AJ1622" s="1307"/>
      <c r="AM1622" s="1310"/>
    </row>
    <row r="1623" spans="1:46" s="1087" customFormat="1" ht="18" customHeight="1" x14ac:dyDescent="0.3">
      <c r="A1623" s="1311"/>
      <c r="B1623" s="1312"/>
      <c r="C1623" s="104"/>
      <c r="D1623" s="1312"/>
      <c r="E1623" s="1312"/>
      <c r="F1623" s="1312"/>
      <c r="G1623" s="1312"/>
      <c r="H1623" s="1313"/>
      <c r="I1623" s="1312"/>
      <c r="J1623" s="1306"/>
      <c r="K1623" s="1644"/>
      <c r="L1623" s="1644"/>
      <c r="M1623" s="1307"/>
      <c r="N1623" s="1307"/>
      <c r="O1623" s="1307"/>
      <c r="P1623" s="1307"/>
      <c r="Q1623" s="1308"/>
      <c r="R1623" s="1307"/>
      <c r="S1623" s="1308"/>
      <c r="T1623" s="1307"/>
      <c r="U1623" s="1308"/>
      <c r="V1623" s="1307"/>
      <c r="W1623" s="1308"/>
      <c r="X1623" s="1307"/>
      <c r="Y1623" s="1308"/>
      <c r="Z1623" s="1307"/>
      <c r="AA1623" s="1308"/>
      <c r="AB1623" s="1307"/>
      <c r="AC1623" s="1308"/>
      <c r="AD1623" s="1308"/>
      <c r="AE1623" s="1561"/>
      <c r="AF1623" s="1307"/>
      <c r="AG1623" s="1309"/>
      <c r="AH1623" s="1306"/>
      <c r="AI1623" s="1309"/>
      <c r="AJ1623" s="1307"/>
      <c r="AM1623" s="1310"/>
    </row>
    <row r="1624" spans="1:46" s="1087" customFormat="1" ht="15.75" customHeight="1" x14ac:dyDescent="0.3">
      <c r="A1624" s="1311"/>
      <c r="B1624" s="1312"/>
      <c r="C1624" s="104"/>
      <c r="D1624" s="1312"/>
      <c r="E1624" s="1312"/>
      <c r="F1624" s="1312"/>
      <c r="G1624" s="1312"/>
      <c r="H1624" s="1313"/>
      <c r="I1624" s="1312"/>
      <c r="J1624" s="1306"/>
      <c r="K1624" s="1644"/>
      <c r="L1624" s="1644"/>
      <c r="M1624" s="1307"/>
      <c r="N1624" s="1307"/>
      <c r="O1624" s="1307"/>
      <c r="P1624" s="1307"/>
      <c r="Q1624" s="1308"/>
      <c r="R1624" s="1307"/>
      <c r="S1624" s="1308"/>
      <c r="T1624" s="1307"/>
      <c r="U1624" s="1308"/>
      <c r="V1624" s="1307"/>
      <c r="W1624" s="1308"/>
      <c r="X1624" s="1307"/>
      <c r="Y1624" s="1308"/>
      <c r="Z1624" s="1307"/>
      <c r="AA1624" s="1308"/>
      <c r="AB1624" s="1307"/>
      <c r="AC1624" s="1308"/>
      <c r="AD1624" s="1308"/>
      <c r="AE1624" s="1561"/>
      <c r="AF1624" s="1307"/>
      <c r="AG1624" s="1309"/>
      <c r="AH1624" s="1306"/>
      <c r="AI1624" s="1309"/>
      <c r="AJ1624" s="1307"/>
      <c r="AM1624" s="1310"/>
    </row>
    <row r="1625" spans="1:46" s="1087" customFormat="1" ht="14.25" customHeight="1" x14ac:dyDescent="0.3">
      <c r="A1625" s="1311"/>
      <c r="B1625" s="1312"/>
      <c r="C1625" s="104"/>
      <c r="D1625" s="1312"/>
      <c r="E1625" s="1312"/>
      <c r="F1625" s="1312"/>
      <c r="G1625" s="1312"/>
      <c r="H1625" s="1313"/>
      <c r="I1625" s="1312"/>
      <c r="J1625" s="1306"/>
      <c r="K1625" s="1644"/>
      <c r="L1625" s="1644"/>
      <c r="M1625" s="1307"/>
      <c r="N1625" s="1307"/>
      <c r="O1625" s="1307"/>
      <c r="P1625" s="1307"/>
      <c r="Q1625" s="1308"/>
      <c r="R1625" s="1307"/>
      <c r="S1625" s="1308"/>
      <c r="T1625" s="1307"/>
      <c r="U1625" s="1308"/>
      <c r="V1625" s="1307"/>
      <c r="W1625" s="1308"/>
      <c r="X1625" s="1307"/>
      <c r="Y1625" s="1308"/>
      <c r="Z1625" s="1307"/>
      <c r="AA1625" s="1308"/>
      <c r="AB1625" s="1307"/>
      <c r="AC1625" s="1308"/>
      <c r="AD1625" s="1308"/>
      <c r="AE1625" s="1561"/>
      <c r="AF1625" s="1307"/>
      <c r="AG1625" s="1309"/>
      <c r="AH1625" s="1306"/>
      <c r="AI1625" s="1309"/>
      <c r="AJ1625" s="1307"/>
      <c r="AM1625" s="1310"/>
    </row>
    <row r="1626" spans="1:46" s="1087" customFormat="1" ht="15.75" customHeight="1" x14ac:dyDescent="0.3">
      <c r="A1626" s="1311"/>
      <c r="B1626" s="1312"/>
      <c r="C1626" s="104"/>
      <c r="D1626" s="1312"/>
      <c r="E1626" s="1312"/>
      <c r="F1626" s="1312"/>
      <c r="G1626" s="1312"/>
      <c r="H1626" s="1313"/>
      <c r="I1626" s="1312"/>
      <c r="J1626" s="1306"/>
      <c r="K1626" s="1644"/>
      <c r="L1626" s="1644"/>
      <c r="M1626" s="1307"/>
      <c r="N1626" s="1307"/>
      <c r="O1626" s="1307"/>
      <c r="P1626" s="1307"/>
      <c r="Q1626" s="1308"/>
      <c r="R1626" s="1307"/>
      <c r="S1626" s="1308"/>
      <c r="T1626" s="1307"/>
      <c r="U1626" s="1308"/>
      <c r="V1626" s="1307"/>
      <c r="W1626" s="1308"/>
      <c r="X1626" s="1307"/>
      <c r="Y1626" s="1308"/>
      <c r="Z1626" s="1307"/>
      <c r="AA1626" s="1308"/>
      <c r="AB1626" s="1307"/>
      <c r="AC1626" s="1308"/>
      <c r="AD1626" s="1308"/>
      <c r="AE1626" s="1561"/>
      <c r="AF1626" s="1307"/>
      <c r="AG1626" s="1309"/>
      <c r="AH1626" s="1306"/>
      <c r="AI1626" s="1309"/>
      <c r="AJ1626" s="1307"/>
      <c r="AM1626" s="1310"/>
    </row>
    <row r="1627" spans="1:46" s="1087" customFormat="1" ht="17.25" customHeight="1" x14ac:dyDescent="0.3">
      <c r="A1627" s="1311"/>
      <c r="B1627" s="1312"/>
      <c r="C1627" s="104"/>
      <c r="D1627" s="1312"/>
      <c r="E1627" s="1312"/>
      <c r="F1627" s="1312"/>
      <c r="G1627" s="1312"/>
      <c r="H1627" s="1313"/>
      <c r="I1627" s="1312"/>
      <c r="J1627" s="1306"/>
      <c r="K1627" s="1644"/>
      <c r="L1627" s="1644"/>
      <c r="M1627" s="1307"/>
      <c r="N1627" s="1307"/>
      <c r="O1627" s="1307"/>
      <c r="P1627" s="1307"/>
      <c r="Q1627" s="1308"/>
      <c r="R1627" s="1307"/>
      <c r="S1627" s="1308"/>
      <c r="T1627" s="1307"/>
      <c r="U1627" s="1308"/>
      <c r="V1627" s="1307"/>
      <c r="W1627" s="1308"/>
      <c r="X1627" s="1307"/>
      <c r="Y1627" s="1308"/>
      <c r="Z1627" s="1307"/>
      <c r="AA1627" s="1308"/>
      <c r="AB1627" s="1307"/>
      <c r="AC1627" s="1308"/>
      <c r="AD1627" s="1308"/>
      <c r="AE1627" s="1561"/>
      <c r="AF1627" s="1307"/>
      <c r="AG1627" s="1309"/>
      <c r="AH1627" s="1306"/>
      <c r="AI1627" s="1309"/>
      <c r="AJ1627" s="1307"/>
      <c r="AM1627" s="1310"/>
    </row>
    <row r="1628" spans="1:46" s="1087" customFormat="1" ht="22.5" customHeight="1" x14ac:dyDescent="0.3">
      <c r="A1628" s="1311"/>
      <c r="B1628" s="1312"/>
      <c r="C1628" s="104"/>
      <c r="D1628" s="1312"/>
      <c r="E1628" s="1312"/>
      <c r="F1628" s="1312"/>
      <c r="G1628" s="1312"/>
      <c r="H1628" s="1313"/>
      <c r="I1628" s="1312"/>
      <c r="J1628" s="1306"/>
      <c r="K1628" s="1644"/>
      <c r="L1628" s="1644"/>
      <c r="M1628" s="1307"/>
      <c r="N1628" s="1307"/>
      <c r="O1628" s="1307"/>
      <c r="P1628" s="1307"/>
      <c r="Q1628" s="1308"/>
      <c r="R1628" s="1307"/>
      <c r="S1628" s="1308"/>
      <c r="T1628" s="1307"/>
      <c r="U1628" s="1308"/>
      <c r="V1628" s="1307"/>
      <c r="W1628" s="1308"/>
      <c r="X1628" s="1307"/>
      <c r="Y1628" s="1308"/>
      <c r="Z1628" s="1307"/>
      <c r="AA1628" s="1308"/>
      <c r="AB1628" s="1307"/>
      <c r="AC1628" s="1308"/>
      <c r="AD1628" s="1308"/>
      <c r="AE1628" s="1561"/>
      <c r="AF1628" s="1307"/>
      <c r="AG1628" s="1309"/>
      <c r="AH1628" s="1306"/>
      <c r="AI1628" s="1309"/>
      <c r="AJ1628" s="1307"/>
      <c r="AM1628" s="1310"/>
    </row>
    <row r="1629" spans="1:46" s="1087" customFormat="1" ht="15" customHeight="1" x14ac:dyDescent="0.3">
      <c r="A1629" s="1311"/>
      <c r="B1629" s="1312"/>
      <c r="C1629" s="104"/>
      <c r="D1629" s="1312"/>
      <c r="E1629" s="1312"/>
      <c r="F1629" s="1312"/>
      <c r="G1629" s="1312"/>
      <c r="H1629" s="1313"/>
      <c r="I1629" s="1312"/>
      <c r="J1629" s="1306"/>
      <c r="K1629" s="1644"/>
      <c r="L1629" s="1644"/>
      <c r="M1629" s="1307"/>
      <c r="N1629" s="1307"/>
      <c r="O1629" s="1307"/>
      <c r="P1629" s="1307"/>
      <c r="Q1629" s="1308"/>
      <c r="R1629" s="1307"/>
      <c r="S1629" s="1308"/>
      <c r="T1629" s="1307"/>
      <c r="U1629" s="1308"/>
      <c r="V1629" s="1307"/>
      <c r="W1629" s="1308"/>
      <c r="X1629" s="1307"/>
      <c r="Y1629" s="1308"/>
      <c r="Z1629" s="1307"/>
      <c r="AA1629" s="1308"/>
      <c r="AB1629" s="1307"/>
      <c r="AC1629" s="1308"/>
      <c r="AD1629" s="1308"/>
      <c r="AE1629" s="1561"/>
      <c r="AF1629" s="1307"/>
      <c r="AG1629" s="1309"/>
      <c r="AH1629" s="1306"/>
      <c r="AI1629" s="1309"/>
      <c r="AJ1629" s="1307"/>
      <c r="AM1629" s="1310"/>
    </row>
    <row r="1630" spans="1:46" s="1087" customFormat="1" ht="20.25" customHeight="1" x14ac:dyDescent="0.3">
      <c r="A1630" s="1311"/>
      <c r="B1630" s="1312"/>
      <c r="C1630" s="104"/>
      <c r="D1630" s="1312"/>
      <c r="E1630" s="1312"/>
      <c r="F1630" s="1312"/>
      <c r="G1630" s="1312"/>
      <c r="H1630" s="1313"/>
      <c r="I1630" s="1312"/>
      <c r="J1630" s="1306"/>
      <c r="K1630" s="1644"/>
      <c r="L1630" s="1644"/>
      <c r="M1630" s="1307"/>
      <c r="N1630" s="1307"/>
      <c r="O1630" s="1307"/>
      <c r="P1630" s="1307"/>
      <c r="Q1630" s="1308"/>
      <c r="R1630" s="1307"/>
      <c r="S1630" s="1308"/>
      <c r="T1630" s="1307"/>
      <c r="U1630" s="1308"/>
      <c r="V1630" s="1307"/>
      <c r="W1630" s="1308"/>
      <c r="X1630" s="1307"/>
      <c r="Y1630" s="1308"/>
      <c r="Z1630" s="1307"/>
      <c r="AA1630" s="1308"/>
      <c r="AB1630" s="1307"/>
      <c r="AC1630" s="1308"/>
      <c r="AD1630" s="1308"/>
      <c r="AE1630" s="1561"/>
      <c r="AF1630" s="1307"/>
      <c r="AG1630" s="1309"/>
      <c r="AH1630" s="1306"/>
      <c r="AI1630" s="1309"/>
      <c r="AJ1630" s="1307"/>
      <c r="AM1630" s="1310"/>
    </row>
    <row r="1631" spans="1:46" s="1087" customFormat="1" ht="17.25" customHeight="1" x14ac:dyDescent="0.3">
      <c r="A1631" s="1311"/>
      <c r="B1631" s="1312"/>
      <c r="C1631" s="104"/>
      <c r="D1631" s="1312"/>
      <c r="E1631" s="1312"/>
      <c r="F1631" s="1312"/>
      <c r="G1631" s="1312"/>
      <c r="H1631" s="1313"/>
      <c r="I1631" s="1312"/>
      <c r="J1631" s="1306"/>
      <c r="K1631" s="1644"/>
      <c r="L1631" s="1644"/>
      <c r="M1631" s="1307"/>
      <c r="N1631" s="1307"/>
      <c r="O1631" s="1307"/>
      <c r="P1631" s="1307"/>
      <c r="Q1631" s="1308"/>
      <c r="R1631" s="1307"/>
      <c r="S1631" s="1308"/>
      <c r="T1631" s="1307"/>
      <c r="U1631" s="1308"/>
      <c r="V1631" s="1307"/>
      <c r="W1631" s="1308"/>
      <c r="X1631" s="1307"/>
      <c r="Y1631" s="1308"/>
      <c r="Z1631" s="1307"/>
      <c r="AA1631" s="1308"/>
      <c r="AB1631" s="1307"/>
      <c r="AC1631" s="1308"/>
      <c r="AD1631" s="1308"/>
      <c r="AE1631" s="1561"/>
      <c r="AF1631" s="1307"/>
      <c r="AG1631" s="1309"/>
      <c r="AH1631" s="1306"/>
      <c r="AI1631" s="1309"/>
      <c r="AJ1631" s="1307"/>
      <c r="AM1631" s="1310"/>
    </row>
    <row r="1632" spans="1:46" s="1087" customFormat="1" ht="17.25" customHeight="1" x14ac:dyDescent="0.3">
      <c r="A1632" s="1311"/>
      <c r="B1632" s="1312"/>
      <c r="C1632" s="104"/>
      <c r="D1632" s="1312"/>
      <c r="E1632" s="1312"/>
      <c r="F1632" s="1312"/>
      <c r="G1632" s="1312"/>
      <c r="H1632" s="1313"/>
      <c r="I1632" s="1312"/>
      <c r="J1632" s="1306"/>
      <c r="K1632" s="1644"/>
      <c r="L1632" s="1644"/>
      <c r="M1632" s="1307"/>
      <c r="N1632" s="1307"/>
      <c r="O1632" s="1307"/>
      <c r="P1632" s="1307"/>
      <c r="Q1632" s="1308"/>
      <c r="R1632" s="1307"/>
      <c r="S1632" s="1308"/>
      <c r="T1632" s="1307"/>
      <c r="U1632" s="1308"/>
      <c r="V1632" s="1307"/>
      <c r="W1632" s="1308"/>
      <c r="X1632" s="1307"/>
      <c r="Y1632" s="1308"/>
      <c r="Z1632" s="1307"/>
      <c r="AA1632" s="1308"/>
      <c r="AB1632" s="1307"/>
      <c r="AC1632" s="1308"/>
      <c r="AD1632" s="1308"/>
      <c r="AE1632" s="1561"/>
      <c r="AF1632" s="1307"/>
      <c r="AG1632" s="1309"/>
      <c r="AH1632" s="1306"/>
      <c r="AI1632" s="1309"/>
      <c r="AJ1632" s="1307"/>
      <c r="AM1632" s="1310"/>
    </row>
    <row r="1633" spans="1:39" s="1087" customFormat="1" ht="14.25" customHeight="1" x14ac:dyDescent="0.3">
      <c r="A1633" s="1311"/>
      <c r="B1633" s="1312"/>
      <c r="C1633" s="104"/>
      <c r="D1633" s="1312"/>
      <c r="E1633" s="1312"/>
      <c r="F1633" s="1312"/>
      <c r="G1633" s="1312"/>
      <c r="H1633" s="1313"/>
      <c r="I1633" s="1312"/>
      <c r="J1633" s="1306"/>
      <c r="K1633" s="1644"/>
      <c r="L1633" s="1644"/>
      <c r="M1633" s="1307"/>
      <c r="N1633" s="1307"/>
      <c r="O1633" s="1307"/>
      <c r="P1633" s="1307"/>
      <c r="Q1633" s="1308"/>
      <c r="R1633" s="1307"/>
      <c r="S1633" s="1308"/>
      <c r="T1633" s="1307"/>
      <c r="U1633" s="1308"/>
      <c r="V1633" s="1307"/>
      <c r="W1633" s="1308"/>
      <c r="X1633" s="1307"/>
      <c r="Y1633" s="1308"/>
      <c r="Z1633" s="1307"/>
      <c r="AA1633" s="1308"/>
      <c r="AB1633" s="1307"/>
      <c r="AC1633" s="1308"/>
      <c r="AD1633" s="1308"/>
      <c r="AE1633" s="1561"/>
      <c r="AF1633" s="1307"/>
      <c r="AG1633" s="1309"/>
      <c r="AH1633" s="1306"/>
      <c r="AI1633" s="1309"/>
      <c r="AJ1633" s="1307"/>
      <c r="AM1633" s="1310"/>
    </row>
    <row r="1634" spans="1:39" s="1087" customFormat="1" ht="19.5" customHeight="1" x14ac:dyDescent="0.3">
      <c r="A1634" s="1311"/>
      <c r="B1634" s="1312"/>
      <c r="C1634" s="104"/>
      <c r="D1634" s="1312"/>
      <c r="E1634" s="1312"/>
      <c r="F1634" s="1312"/>
      <c r="G1634" s="1312"/>
      <c r="H1634" s="1313"/>
      <c r="I1634" s="1312"/>
      <c r="J1634" s="1306"/>
      <c r="K1634" s="1644"/>
      <c r="L1634" s="1644"/>
      <c r="M1634" s="1307"/>
      <c r="N1634" s="1307"/>
      <c r="O1634" s="1307"/>
      <c r="P1634" s="1307"/>
      <c r="Q1634" s="1308"/>
      <c r="R1634" s="1307"/>
      <c r="S1634" s="1308"/>
      <c r="T1634" s="1307"/>
      <c r="U1634" s="1308"/>
      <c r="V1634" s="1307"/>
      <c r="W1634" s="1308"/>
      <c r="X1634" s="1307"/>
      <c r="Y1634" s="1308"/>
      <c r="Z1634" s="1307"/>
      <c r="AA1634" s="1308"/>
      <c r="AB1634" s="1307"/>
      <c r="AC1634" s="1308"/>
      <c r="AD1634" s="1308"/>
      <c r="AE1634" s="1561"/>
      <c r="AF1634" s="1307"/>
      <c r="AG1634" s="1309"/>
      <c r="AH1634" s="1306"/>
      <c r="AI1634" s="1309"/>
      <c r="AJ1634" s="1307"/>
      <c r="AM1634" s="1310"/>
    </row>
    <row r="1635" spans="1:39" s="1087" customFormat="1" ht="15.75" customHeight="1" x14ac:dyDescent="0.3">
      <c r="A1635" s="1311"/>
      <c r="B1635" s="1312"/>
      <c r="C1635" s="104"/>
      <c r="D1635" s="1312"/>
      <c r="E1635" s="1312"/>
      <c r="F1635" s="1312"/>
      <c r="G1635" s="1312"/>
      <c r="H1635" s="1313"/>
      <c r="I1635" s="1312"/>
      <c r="J1635" s="1306"/>
      <c r="K1635" s="1644"/>
      <c r="L1635" s="1644"/>
      <c r="M1635" s="1307"/>
      <c r="N1635" s="1307"/>
      <c r="O1635" s="1307"/>
      <c r="P1635" s="1307"/>
      <c r="Q1635" s="1308"/>
      <c r="R1635" s="1307"/>
      <c r="S1635" s="1308"/>
      <c r="T1635" s="1307"/>
      <c r="U1635" s="1308"/>
      <c r="V1635" s="1307"/>
      <c r="W1635" s="1308"/>
      <c r="X1635" s="1307"/>
      <c r="Y1635" s="1308"/>
      <c r="Z1635" s="1307"/>
      <c r="AA1635" s="1308"/>
      <c r="AB1635" s="1307"/>
      <c r="AC1635" s="1308"/>
      <c r="AD1635" s="1308"/>
      <c r="AE1635" s="1561"/>
      <c r="AF1635" s="1307"/>
      <c r="AG1635" s="1309"/>
      <c r="AH1635" s="1306"/>
      <c r="AI1635" s="1309"/>
      <c r="AJ1635" s="1307"/>
      <c r="AM1635" s="1310"/>
    </row>
    <row r="1636" spans="1:39" s="1087" customFormat="1" ht="14.25" customHeight="1" x14ac:dyDescent="0.3">
      <c r="A1636" s="1311"/>
      <c r="B1636" s="1312"/>
      <c r="C1636" s="104"/>
      <c r="D1636" s="1312"/>
      <c r="E1636" s="1312"/>
      <c r="F1636" s="1312"/>
      <c r="G1636" s="1312"/>
      <c r="H1636" s="1313"/>
      <c r="I1636" s="1312"/>
      <c r="J1636" s="1306"/>
      <c r="K1636" s="1644"/>
      <c r="L1636" s="1644"/>
      <c r="M1636" s="1307"/>
      <c r="N1636" s="1307"/>
      <c r="O1636" s="1307"/>
      <c r="P1636" s="1307"/>
      <c r="Q1636" s="1308"/>
      <c r="R1636" s="1307"/>
      <c r="S1636" s="1308"/>
      <c r="T1636" s="1307"/>
      <c r="U1636" s="1308"/>
      <c r="V1636" s="1307"/>
      <c r="W1636" s="1308"/>
      <c r="X1636" s="1307"/>
      <c r="Y1636" s="1308"/>
      <c r="Z1636" s="1307"/>
      <c r="AA1636" s="1308"/>
      <c r="AB1636" s="1307"/>
      <c r="AC1636" s="1308"/>
      <c r="AD1636" s="1308"/>
      <c r="AE1636" s="1561"/>
      <c r="AF1636" s="1307"/>
      <c r="AG1636" s="1309"/>
      <c r="AH1636" s="1306"/>
      <c r="AI1636" s="1309"/>
      <c r="AJ1636" s="1307"/>
      <c r="AM1636" s="1310"/>
    </row>
    <row r="1637" spans="1:39" s="1087" customFormat="1" ht="29.25" customHeight="1" x14ac:dyDescent="0.3">
      <c r="A1637" s="1311"/>
      <c r="B1637" s="1312"/>
      <c r="C1637" s="104"/>
      <c r="D1637" s="1312"/>
      <c r="E1637" s="1312"/>
      <c r="F1637" s="1312"/>
      <c r="G1637" s="1312"/>
      <c r="H1637" s="1313"/>
      <c r="I1637" s="1312"/>
      <c r="J1637" s="1306"/>
      <c r="K1637" s="1644"/>
      <c r="L1637" s="1644"/>
      <c r="M1637" s="1307"/>
      <c r="N1637" s="1307"/>
      <c r="O1637" s="1307"/>
      <c r="P1637" s="1307"/>
      <c r="Q1637" s="1308"/>
      <c r="R1637" s="1307"/>
      <c r="S1637" s="1308"/>
      <c r="T1637" s="1307"/>
      <c r="U1637" s="1308"/>
      <c r="V1637" s="1307"/>
      <c r="W1637" s="1308"/>
      <c r="X1637" s="1307"/>
      <c r="Y1637" s="1308"/>
      <c r="Z1637" s="1307"/>
      <c r="AA1637" s="1308"/>
      <c r="AB1637" s="1307"/>
      <c r="AC1637" s="1308"/>
      <c r="AD1637" s="1308"/>
      <c r="AE1637" s="1561"/>
      <c r="AF1637" s="1307"/>
      <c r="AG1637" s="1309"/>
      <c r="AH1637" s="1306"/>
      <c r="AI1637" s="1309"/>
      <c r="AJ1637" s="1307"/>
      <c r="AM1637" s="1310"/>
    </row>
    <row r="1638" spans="1:39" s="1087" customFormat="1" ht="21.75" customHeight="1" x14ac:dyDescent="0.3">
      <c r="A1638" s="1311"/>
      <c r="B1638" s="1312"/>
      <c r="C1638" s="104"/>
      <c r="D1638" s="1312"/>
      <c r="E1638" s="1312"/>
      <c r="F1638" s="1312"/>
      <c r="G1638" s="1312"/>
      <c r="H1638" s="1313"/>
      <c r="I1638" s="1312"/>
      <c r="J1638" s="1306"/>
      <c r="K1638" s="1644"/>
      <c r="L1638" s="1644"/>
      <c r="M1638" s="1307"/>
      <c r="N1638" s="1307"/>
      <c r="O1638" s="1307"/>
      <c r="P1638" s="1307"/>
      <c r="Q1638" s="1308"/>
      <c r="R1638" s="1307"/>
      <c r="S1638" s="1308"/>
      <c r="T1638" s="1307"/>
      <c r="U1638" s="1308"/>
      <c r="V1638" s="1307"/>
      <c r="W1638" s="1308"/>
      <c r="X1638" s="1307"/>
      <c r="Y1638" s="1308"/>
      <c r="Z1638" s="1307"/>
      <c r="AA1638" s="1308"/>
      <c r="AB1638" s="1307"/>
      <c r="AC1638" s="1308"/>
      <c r="AD1638" s="1308"/>
      <c r="AE1638" s="1561"/>
      <c r="AF1638" s="1307"/>
      <c r="AG1638" s="1309"/>
      <c r="AH1638" s="1306"/>
      <c r="AI1638" s="1309"/>
      <c r="AJ1638" s="1307"/>
      <c r="AM1638" s="1310"/>
    </row>
    <row r="1639" spans="1:39" s="1087" customFormat="1" ht="20.25" customHeight="1" x14ac:dyDescent="0.3">
      <c r="A1639" s="1311"/>
      <c r="B1639" s="1312"/>
      <c r="C1639" s="104"/>
      <c r="D1639" s="1312"/>
      <c r="E1639" s="1312"/>
      <c r="F1639" s="1312"/>
      <c r="G1639" s="1312"/>
      <c r="H1639" s="1313"/>
      <c r="I1639" s="1312"/>
      <c r="J1639" s="1306"/>
      <c r="K1639" s="1644"/>
      <c r="L1639" s="1644"/>
      <c r="M1639" s="1307"/>
      <c r="N1639" s="1307"/>
      <c r="O1639" s="1307"/>
      <c r="P1639" s="1307"/>
      <c r="Q1639" s="1308"/>
      <c r="R1639" s="1307"/>
      <c r="S1639" s="1308"/>
      <c r="T1639" s="1307"/>
      <c r="U1639" s="1308"/>
      <c r="V1639" s="1307"/>
      <c r="W1639" s="1308"/>
      <c r="X1639" s="1307"/>
      <c r="Y1639" s="1308"/>
      <c r="Z1639" s="1307"/>
      <c r="AA1639" s="1308"/>
      <c r="AB1639" s="1307"/>
      <c r="AC1639" s="1308"/>
      <c r="AD1639" s="1308"/>
      <c r="AE1639" s="1561"/>
      <c r="AF1639" s="1307"/>
      <c r="AG1639" s="1309"/>
      <c r="AH1639" s="1306"/>
      <c r="AI1639" s="1309"/>
      <c r="AJ1639" s="1307"/>
      <c r="AM1639" s="1310"/>
    </row>
    <row r="1640" spans="1:39" s="1087" customFormat="1" ht="27" customHeight="1" x14ac:dyDescent="0.3">
      <c r="A1640" s="1311"/>
      <c r="B1640" s="1312"/>
      <c r="C1640" s="104"/>
      <c r="D1640" s="1312"/>
      <c r="E1640" s="1312"/>
      <c r="F1640" s="1312"/>
      <c r="G1640" s="1312"/>
      <c r="H1640" s="1313"/>
      <c r="I1640" s="1312"/>
      <c r="J1640" s="1306"/>
      <c r="K1640" s="1644"/>
      <c r="L1640" s="1644"/>
      <c r="M1640" s="1307"/>
      <c r="N1640" s="1307"/>
      <c r="O1640" s="1307"/>
      <c r="P1640" s="1307"/>
      <c r="Q1640" s="1308"/>
      <c r="R1640" s="1307"/>
      <c r="S1640" s="1308"/>
      <c r="T1640" s="1307"/>
      <c r="U1640" s="1308"/>
      <c r="V1640" s="1307"/>
      <c r="W1640" s="1308"/>
      <c r="X1640" s="1307"/>
      <c r="Y1640" s="1308"/>
      <c r="Z1640" s="1307"/>
      <c r="AA1640" s="1308"/>
      <c r="AB1640" s="1307"/>
      <c r="AC1640" s="1308"/>
      <c r="AD1640" s="1308"/>
      <c r="AE1640" s="1561"/>
      <c r="AF1640" s="1307"/>
      <c r="AG1640" s="1309"/>
      <c r="AH1640" s="1306"/>
      <c r="AI1640" s="1309"/>
      <c r="AJ1640" s="1307"/>
      <c r="AM1640" s="1310"/>
    </row>
    <row r="1641" spans="1:39" s="1087" customFormat="1" ht="27.75" customHeight="1" x14ac:dyDescent="0.3">
      <c r="A1641" s="1311"/>
      <c r="B1641" s="1312"/>
      <c r="C1641" s="104"/>
      <c r="D1641" s="1312"/>
      <c r="E1641" s="1312"/>
      <c r="F1641" s="1312"/>
      <c r="G1641" s="1312"/>
      <c r="H1641" s="1313"/>
      <c r="I1641" s="1312"/>
      <c r="J1641" s="1306"/>
      <c r="K1641" s="1644"/>
      <c r="L1641" s="1644"/>
      <c r="M1641" s="1307"/>
      <c r="N1641" s="1307"/>
      <c r="O1641" s="1307"/>
      <c r="P1641" s="1307"/>
      <c r="Q1641" s="1308"/>
      <c r="R1641" s="1307"/>
      <c r="S1641" s="1308"/>
      <c r="T1641" s="1307"/>
      <c r="U1641" s="1308"/>
      <c r="V1641" s="1307"/>
      <c r="W1641" s="1308"/>
      <c r="X1641" s="1307"/>
      <c r="Y1641" s="1308"/>
      <c r="Z1641" s="1307"/>
      <c r="AA1641" s="1308"/>
      <c r="AB1641" s="1307"/>
      <c r="AC1641" s="1308"/>
      <c r="AD1641" s="1308"/>
      <c r="AE1641" s="1561"/>
      <c r="AF1641" s="1307"/>
      <c r="AG1641" s="1309"/>
      <c r="AH1641" s="1306"/>
      <c r="AI1641" s="1309"/>
      <c r="AJ1641" s="1307"/>
      <c r="AM1641" s="1310"/>
    </row>
    <row r="1642" spans="1:39" s="1087" customFormat="1" ht="21.75" customHeight="1" x14ac:dyDescent="0.3">
      <c r="A1642" s="1311"/>
      <c r="B1642" s="1312"/>
      <c r="C1642" s="104"/>
      <c r="D1642" s="1312"/>
      <c r="E1642" s="1312"/>
      <c r="F1642" s="1312"/>
      <c r="G1642" s="1312"/>
      <c r="H1642" s="1313"/>
      <c r="I1642" s="1312"/>
      <c r="J1642" s="1306"/>
      <c r="K1642" s="1644"/>
      <c r="L1642" s="1644"/>
      <c r="M1642" s="1307"/>
      <c r="N1642" s="1307"/>
      <c r="O1642" s="1307"/>
      <c r="P1642" s="1307"/>
      <c r="Q1642" s="1308"/>
      <c r="R1642" s="1307"/>
      <c r="S1642" s="1308"/>
      <c r="T1642" s="1307"/>
      <c r="U1642" s="1308"/>
      <c r="V1642" s="1307"/>
      <c r="W1642" s="1308"/>
      <c r="X1642" s="1307"/>
      <c r="Y1642" s="1308"/>
      <c r="Z1642" s="1307"/>
      <c r="AA1642" s="1308"/>
      <c r="AB1642" s="1307"/>
      <c r="AC1642" s="1308"/>
      <c r="AD1642" s="1308"/>
      <c r="AE1642" s="1561"/>
      <c r="AF1642" s="1307"/>
      <c r="AG1642" s="1309"/>
      <c r="AH1642" s="1306"/>
      <c r="AI1642" s="1309"/>
      <c r="AJ1642" s="1307"/>
      <c r="AM1642" s="1310"/>
    </row>
    <row r="1643" spans="1:39" s="1087" customFormat="1" ht="19.5" customHeight="1" x14ac:dyDescent="0.3">
      <c r="A1643" s="1311"/>
      <c r="B1643" s="1312"/>
      <c r="C1643" s="104"/>
      <c r="D1643" s="1312"/>
      <c r="E1643" s="1312"/>
      <c r="F1643" s="1312"/>
      <c r="G1643" s="1312"/>
      <c r="H1643" s="1313"/>
      <c r="I1643" s="1312"/>
      <c r="J1643" s="1306"/>
      <c r="K1643" s="1644"/>
      <c r="L1643" s="1644"/>
      <c r="M1643" s="1307"/>
      <c r="N1643" s="1307"/>
      <c r="O1643" s="1307"/>
      <c r="P1643" s="1307"/>
      <c r="Q1643" s="1308"/>
      <c r="R1643" s="1307"/>
      <c r="S1643" s="1308"/>
      <c r="T1643" s="1307"/>
      <c r="U1643" s="1308"/>
      <c r="V1643" s="1307"/>
      <c r="W1643" s="1308"/>
      <c r="X1643" s="1307"/>
      <c r="Y1643" s="1308"/>
      <c r="Z1643" s="1307"/>
      <c r="AA1643" s="1308"/>
      <c r="AB1643" s="1307"/>
      <c r="AC1643" s="1308"/>
      <c r="AD1643" s="1308"/>
      <c r="AE1643" s="1561"/>
      <c r="AF1643" s="1307"/>
      <c r="AG1643" s="1309"/>
      <c r="AH1643" s="1306"/>
      <c r="AI1643" s="1309"/>
      <c r="AJ1643" s="1307"/>
      <c r="AM1643" s="1310"/>
    </row>
    <row r="1644" spans="1:39" s="1087" customFormat="1" ht="27" customHeight="1" x14ac:dyDescent="0.3">
      <c r="A1644" s="1311"/>
      <c r="B1644" s="1312"/>
      <c r="C1644" s="104"/>
      <c r="D1644" s="1312"/>
      <c r="E1644" s="1312"/>
      <c r="F1644" s="1312"/>
      <c r="G1644" s="1312"/>
      <c r="H1644" s="1313"/>
      <c r="I1644" s="1312"/>
      <c r="J1644" s="1306"/>
      <c r="K1644" s="1644"/>
      <c r="L1644" s="1644"/>
      <c r="M1644" s="1307"/>
      <c r="N1644" s="1307"/>
      <c r="O1644" s="1307"/>
      <c r="P1644" s="1307"/>
      <c r="Q1644" s="1308"/>
      <c r="R1644" s="1307"/>
      <c r="S1644" s="1308"/>
      <c r="T1644" s="1307"/>
      <c r="U1644" s="1308"/>
      <c r="V1644" s="1307"/>
      <c r="W1644" s="1308"/>
      <c r="X1644" s="1307"/>
      <c r="Y1644" s="1308"/>
      <c r="Z1644" s="1307"/>
      <c r="AA1644" s="1308"/>
      <c r="AB1644" s="1307"/>
      <c r="AC1644" s="1308"/>
      <c r="AD1644" s="1308"/>
      <c r="AE1644" s="1561"/>
      <c r="AF1644" s="1307"/>
      <c r="AG1644" s="1309"/>
      <c r="AH1644" s="1306"/>
      <c r="AI1644" s="1309"/>
      <c r="AJ1644" s="1307"/>
      <c r="AM1644" s="1310"/>
    </row>
    <row r="1645" spans="1:39" s="1087" customFormat="1" ht="21.75" customHeight="1" x14ac:dyDescent="0.3">
      <c r="A1645" s="1311"/>
      <c r="B1645" s="1312"/>
      <c r="C1645" s="104"/>
      <c r="D1645" s="1312"/>
      <c r="E1645" s="1312"/>
      <c r="F1645" s="1312"/>
      <c r="G1645" s="1312"/>
      <c r="H1645" s="1313"/>
      <c r="I1645" s="1312"/>
      <c r="J1645" s="1306"/>
      <c r="K1645" s="1644"/>
      <c r="L1645" s="1644"/>
      <c r="M1645" s="1307"/>
      <c r="N1645" s="1307"/>
      <c r="O1645" s="1307"/>
      <c r="P1645" s="1307"/>
      <c r="Q1645" s="1308"/>
      <c r="R1645" s="1307"/>
      <c r="S1645" s="1308"/>
      <c r="T1645" s="1307"/>
      <c r="U1645" s="1308"/>
      <c r="V1645" s="1307"/>
      <c r="W1645" s="1308"/>
      <c r="X1645" s="1307"/>
      <c r="Y1645" s="1308"/>
      <c r="Z1645" s="1307"/>
      <c r="AA1645" s="1308"/>
      <c r="AB1645" s="1307"/>
      <c r="AC1645" s="1308"/>
      <c r="AD1645" s="1308"/>
      <c r="AE1645" s="1561"/>
      <c r="AF1645" s="1307"/>
      <c r="AG1645" s="1309"/>
      <c r="AH1645" s="1306"/>
      <c r="AI1645" s="1309"/>
      <c r="AJ1645" s="1307"/>
      <c r="AM1645" s="1310"/>
    </row>
    <row r="1646" spans="1:39" s="1087" customFormat="1" ht="22.5" customHeight="1" x14ac:dyDescent="0.3">
      <c r="A1646" s="1311"/>
      <c r="B1646" s="1312"/>
      <c r="C1646" s="104"/>
      <c r="D1646" s="1312"/>
      <c r="E1646" s="1312"/>
      <c r="F1646" s="1312"/>
      <c r="G1646" s="1312"/>
      <c r="H1646" s="1313"/>
      <c r="I1646" s="1312"/>
      <c r="J1646" s="1306"/>
      <c r="K1646" s="1644"/>
      <c r="L1646" s="1644"/>
      <c r="M1646" s="1307"/>
      <c r="N1646" s="1307"/>
      <c r="O1646" s="1307"/>
      <c r="P1646" s="1307"/>
      <c r="Q1646" s="1308"/>
      <c r="R1646" s="1307"/>
      <c r="S1646" s="1308"/>
      <c r="T1646" s="1307"/>
      <c r="U1646" s="1308"/>
      <c r="V1646" s="1307"/>
      <c r="W1646" s="1308"/>
      <c r="X1646" s="1307"/>
      <c r="Y1646" s="1308"/>
      <c r="Z1646" s="1307"/>
      <c r="AA1646" s="1308"/>
      <c r="AB1646" s="1307"/>
      <c r="AC1646" s="1308"/>
      <c r="AD1646" s="1308"/>
      <c r="AE1646" s="1561"/>
      <c r="AF1646" s="1307"/>
      <c r="AG1646" s="1309"/>
      <c r="AH1646" s="1306"/>
      <c r="AI1646" s="1309"/>
      <c r="AJ1646" s="1307"/>
      <c r="AM1646" s="1310"/>
    </row>
    <row r="1647" spans="1:39" s="1087" customFormat="1" ht="25.5" customHeight="1" x14ac:dyDescent="0.3">
      <c r="A1647" s="1311"/>
      <c r="B1647" s="1312"/>
      <c r="C1647" s="104"/>
      <c r="D1647" s="1312"/>
      <c r="E1647" s="1312"/>
      <c r="F1647" s="1312"/>
      <c r="G1647" s="1312"/>
      <c r="H1647" s="1313"/>
      <c r="I1647" s="1312"/>
      <c r="J1647" s="1306"/>
      <c r="K1647" s="1644"/>
      <c r="L1647" s="1644"/>
      <c r="M1647" s="1307"/>
      <c r="N1647" s="1307"/>
      <c r="O1647" s="1307"/>
      <c r="P1647" s="1307"/>
      <c r="Q1647" s="1308"/>
      <c r="R1647" s="1307"/>
      <c r="S1647" s="1308"/>
      <c r="T1647" s="1307"/>
      <c r="U1647" s="1308"/>
      <c r="V1647" s="1307"/>
      <c r="W1647" s="1308"/>
      <c r="X1647" s="1307"/>
      <c r="Y1647" s="1308"/>
      <c r="Z1647" s="1307"/>
      <c r="AA1647" s="1308"/>
      <c r="AB1647" s="1307"/>
      <c r="AC1647" s="1308"/>
      <c r="AD1647" s="1308"/>
      <c r="AE1647" s="1561"/>
      <c r="AF1647" s="1307"/>
      <c r="AG1647" s="1309"/>
      <c r="AH1647" s="1306"/>
      <c r="AI1647" s="1309"/>
      <c r="AJ1647" s="1307"/>
      <c r="AM1647" s="1310"/>
    </row>
    <row r="1648" spans="1:39" s="1087" customFormat="1" ht="25.5" customHeight="1" x14ac:dyDescent="0.3">
      <c r="A1648" s="1311"/>
      <c r="B1648" s="1312"/>
      <c r="C1648" s="104"/>
      <c r="D1648" s="1312"/>
      <c r="E1648" s="1312"/>
      <c r="F1648" s="1312"/>
      <c r="G1648" s="1312"/>
      <c r="H1648" s="1313"/>
      <c r="I1648" s="1312"/>
      <c r="J1648" s="1306"/>
      <c r="K1648" s="1644"/>
      <c r="L1648" s="1644"/>
      <c r="M1648" s="1307"/>
      <c r="N1648" s="1307"/>
      <c r="O1648" s="1307"/>
      <c r="P1648" s="1307"/>
      <c r="Q1648" s="1308"/>
      <c r="R1648" s="1307"/>
      <c r="S1648" s="1308"/>
      <c r="T1648" s="1307"/>
      <c r="U1648" s="1308"/>
      <c r="V1648" s="1307"/>
      <c r="W1648" s="1308"/>
      <c r="X1648" s="1307"/>
      <c r="Y1648" s="1308"/>
      <c r="Z1648" s="1307"/>
      <c r="AA1648" s="1308"/>
      <c r="AB1648" s="1307"/>
      <c r="AC1648" s="1308"/>
      <c r="AD1648" s="1308"/>
      <c r="AE1648" s="1561"/>
      <c r="AF1648" s="1307"/>
      <c r="AG1648" s="1309"/>
      <c r="AH1648" s="1306"/>
      <c r="AI1648" s="1309"/>
      <c r="AJ1648" s="1307"/>
      <c r="AM1648" s="1310"/>
    </row>
    <row r="1649" spans="1:39" s="1087" customFormat="1" ht="27" customHeight="1" x14ac:dyDescent="0.3">
      <c r="A1649" s="1311"/>
      <c r="B1649" s="1312"/>
      <c r="C1649" s="104"/>
      <c r="D1649" s="1312"/>
      <c r="E1649" s="1312"/>
      <c r="F1649" s="1312"/>
      <c r="G1649" s="1312"/>
      <c r="H1649" s="1313"/>
      <c r="I1649" s="1312"/>
      <c r="J1649" s="1306"/>
      <c r="K1649" s="1644"/>
      <c r="L1649" s="1644"/>
      <c r="M1649" s="1307"/>
      <c r="N1649" s="1307"/>
      <c r="O1649" s="1307"/>
      <c r="P1649" s="1307"/>
      <c r="Q1649" s="1308"/>
      <c r="R1649" s="1307"/>
      <c r="S1649" s="1308"/>
      <c r="T1649" s="1307"/>
      <c r="U1649" s="1308"/>
      <c r="V1649" s="1307"/>
      <c r="W1649" s="1308"/>
      <c r="X1649" s="1307"/>
      <c r="Y1649" s="1308"/>
      <c r="Z1649" s="1307"/>
      <c r="AA1649" s="1308"/>
      <c r="AB1649" s="1307"/>
      <c r="AC1649" s="1308"/>
      <c r="AD1649" s="1308"/>
      <c r="AE1649" s="1561"/>
      <c r="AF1649" s="1307"/>
      <c r="AG1649" s="1309"/>
      <c r="AH1649" s="1306"/>
      <c r="AI1649" s="1309"/>
      <c r="AJ1649" s="1307"/>
      <c r="AM1649" s="1310"/>
    </row>
    <row r="1650" spans="1:39" s="1087" customFormat="1" ht="21.75" customHeight="1" x14ac:dyDescent="0.3">
      <c r="A1650" s="1311"/>
      <c r="B1650" s="1312"/>
      <c r="C1650" s="104"/>
      <c r="D1650" s="1312"/>
      <c r="E1650" s="1312"/>
      <c r="F1650" s="1312"/>
      <c r="G1650" s="1312"/>
      <c r="H1650" s="1313"/>
      <c r="I1650" s="1312"/>
      <c r="J1650" s="1306"/>
      <c r="K1650" s="1644"/>
      <c r="L1650" s="1644"/>
      <c r="M1650" s="1307"/>
      <c r="N1650" s="1307"/>
      <c r="O1650" s="1307"/>
      <c r="P1650" s="1307"/>
      <c r="Q1650" s="1308"/>
      <c r="R1650" s="1307"/>
      <c r="S1650" s="1308"/>
      <c r="T1650" s="1307"/>
      <c r="U1650" s="1308"/>
      <c r="V1650" s="1307"/>
      <c r="W1650" s="1308"/>
      <c r="X1650" s="1307"/>
      <c r="Y1650" s="1308"/>
      <c r="Z1650" s="1307"/>
      <c r="AA1650" s="1308"/>
      <c r="AB1650" s="1307"/>
      <c r="AC1650" s="1308"/>
      <c r="AD1650" s="1308"/>
      <c r="AE1650" s="1561"/>
      <c r="AF1650" s="1307"/>
      <c r="AG1650" s="1309"/>
      <c r="AH1650" s="1306"/>
      <c r="AI1650" s="1309"/>
      <c r="AJ1650" s="1307"/>
      <c r="AM1650" s="1310"/>
    </row>
    <row r="1651" spans="1:39" s="1087" customFormat="1" ht="12" customHeight="1" x14ac:dyDescent="0.3">
      <c r="A1651" s="1311"/>
      <c r="B1651" s="1312"/>
      <c r="C1651" s="104"/>
      <c r="D1651" s="1312"/>
      <c r="E1651" s="1312"/>
      <c r="F1651" s="1312"/>
      <c r="G1651" s="1312"/>
      <c r="H1651" s="1313"/>
      <c r="I1651" s="1312"/>
      <c r="J1651" s="1306"/>
      <c r="K1651" s="1644"/>
      <c r="L1651" s="1644"/>
      <c r="M1651" s="1307"/>
      <c r="N1651" s="1307"/>
      <c r="O1651" s="1307"/>
      <c r="P1651" s="1307"/>
      <c r="Q1651" s="1308"/>
      <c r="R1651" s="1307"/>
      <c r="S1651" s="1308"/>
      <c r="T1651" s="1307"/>
      <c r="U1651" s="1308"/>
      <c r="V1651" s="1307"/>
      <c r="W1651" s="1308"/>
      <c r="X1651" s="1307"/>
      <c r="Y1651" s="1308"/>
      <c r="Z1651" s="1307"/>
      <c r="AA1651" s="1308"/>
      <c r="AB1651" s="1307"/>
      <c r="AC1651" s="1308"/>
      <c r="AD1651" s="1308"/>
      <c r="AE1651" s="1561"/>
      <c r="AF1651" s="1307"/>
      <c r="AG1651" s="1309"/>
      <c r="AH1651" s="1306"/>
      <c r="AI1651" s="1309"/>
      <c r="AJ1651" s="1307"/>
      <c r="AM1651" s="1310"/>
    </row>
    <row r="1652" spans="1:39" s="1087" customFormat="1" ht="14.4" x14ac:dyDescent="0.3">
      <c r="A1652" s="1311"/>
      <c r="B1652" s="1312"/>
      <c r="C1652" s="104"/>
      <c r="D1652" s="1312"/>
      <c r="E1652" s="1312"/>
      <c r="F1652" s="1312"/>
      <c r="G1652" s="1312"/>
      <c r="H1652" s="1313"/>
      <c r="I1652" s="1312"/>
      <c r="J1652" s="1306"/>
      <c r="K1652" s="1644"/>
      <c r="L1652" s="1644"/>
      <c r="M1652" s="1307"/>
      <c r="N1652" s="1307"/>
      <c r="O1652" s="1307"/>
      <c r="P1652" s="1307"/>
      <c r="Q1652" s="1308"/>
      <c r="R1652" s="1307"/>
      <c r="S1652" s="1308"/>
      <c r="T1652" s="1307"/>
      <c r="U1652" s="1308"/>
      <c r="V1652" s="1307"/>
      <c r="W1652" s="1308"/>
      <c r="X1652" s="1307"/>
      <c r="Y1652" s="1308"/>
      <c r="Z1652" s="1307"/>
      <c r="AA1652" s="1308"/>
      <c r="AB1652" s="1307"/>
      <c r="AC1652" s="1308"/>
      <c r="AD1652" s="1308"/>
      <c r="AE1652" s="1561"/>
      <c r="AF1652" s="1307"/>
      <c r="AG1652" s="1309"/>
      <c r="AH1652" s="1306"/>
      <c r="AI1652" s="1309"/>
      <c r="AJ1652" s="1307"/>
      <c r="AM1652" s="1310"/>
    </row>
    <row r="1653" spans="1:39" s="1087" customFormat="1" ht="23.25" customHeight="1" x14ac:dyDescent="0.3">
      <c r="A1653" s="1311"/>
      <c r="B1653" s="1312"/>
      <c r="C1653" s="104"/>
      <c r="D1653" s="1312"/>
      <c r="E1653" s="1312"/>
      <c r="F1653" s="1312"/>
      <c r="G1653" s="1312"/>
      <c r="H1653" s="1313"/>
      <c r="I1653" s="1312"/>
      <c r="J1653" s="1306"/>
      <c r="K1653" s="1644"/>
      <c r="L1653" s="1644"/>
      <c r="M1653" s="1307"/>
      <c r="N1653" s="1307"/>
      <c r="O1653" s="1307"/>
      <c r="P1653" s="1307"/>
      <c r="Q1653" s="1308"/>
      <c r="R1653" s="1307"/>
      <c r="S1653" s="1308"/>
      <c r="T1653" s="1307"/>
      <c r="U1653" s="1308"/>
      <c r="V1653" s="1307"/>
      <c r="W1653" s="1308"/>
      <c r="X1653" s="1307"/>
      <c r="Y1653" s="1308"/>
      <c r="Z1653" s="1307"/>
      <c r="AA1653" s="1308"/>
      <c r="AB1653" s="1307"/>
      <c r="AC1653" s="1308"/>
      <c r="AD1653" s="1308"/>
      <c r="AE1653" s="1561"/>
      <c r="AF1653" s="1307"/>
      <c r="AG1653" s="1309"/>
      <c r="AH1653" s="1306"/>
      <c r="AI1653" s="1309"/>
      <c r="AJ1653" s="1307"/>
      <c r="AM1653" s="1310"/>
    </row>
    <row r="1654" spans="1:39" s="1087" customFormat="1" ht="30" customHeight="1" x14ac:dyDescent="0.3">
      <c r="A1654" s="1311"/>
      <c r="B1654" s="1312"/>
      <c r="C1654" s="104"/>
      <c r="D1654" s="1312"/>
      <c r="E1654" s="1312"/>
      <c r="F1654" s="1312"/>
      <c r="G1654" s="1312"/>
      <c r="H1654" s="1313"/>
      <c r="I1654" s="1312"/>
      <c r="J1654" s="1306"/>
      <c r="K1654" s="1644"/>
      <c r="L1654" s="1644"/>
      <c r="M1654" s="1307"/>
      <c r="N1654" s="1307"/>
      <c r="O1654" s="1307"/>
      <c r="P1654" s="1307"/>
      <c r="Q1654" s="1308"/>
      <c r="R1654" s="1307"/>
      <c r="S1654" s="1308"/>
      <c r="T1654" s="1307"/>
      <c r="U1654" s="1308"/>
      <c r="V1654" s="1307"/>
      <c r="W1654" s="1308"/>
      <c r="X1654" s="1307"/>
      <c r="Y1654" s="1308"/>
      <c r="Z1654" s="1307"/>
      <c r="AA1654" s="1308"/>
      <c r="AB1654" s="1307"/>
      <c r="AC1654" s="1308"/>
      <c r="AD1654" s="1308"/>
      <c r="AE1654" s="1561"/>
      <c r="AF1654" s="1307"/>
      <c r="AG1654" s="1309"/>
      <c r="AH1654" s="1306"/>
      <c r="AI1654" s="1309"/>
      <c r="AJ1654" s="1307"/>
      <c r="AM1654" s="1310"/>
    </row>
    <row r="1655" spans="1:39" s="1087" customFormat="1" ht="21.75" customHeight="1" x14ac:dyDescent="0.3">
      <c r="A1655" s="1311"/>
      <c r="B1655" s="1312"/>
      <c r="C1655" s="104"/>
      <c r="D1655" s="1312"/>
      <c r="E1655" s="1312"/>
      <c r="F1655" s="1312"/>
      <c r="G1655" s="1312"/>
      <c r="H1655" s="1313"/>
      <c r="I1655" s="1312"/>
      <c r="J1655" s="1306"/>
      <c r="K1655" s="1644"/>
      <c r="L1655" s="1644"/>
      <c r="M1655" s="1307"/>
      <c r="N1655" s="1307"/>
      <c r="O1655" s="1307"/>
      <c r="P1655" s="1307"/>
      <c r="Q1655" s="1308"/>
      <c r="R1655" s="1307"/>
      <c r="S1655" s="1308"/>
      <c r="T1655" s="1307"/>
      <c r="U1655" s="1308"/>
      <c r="V1655" s="1307"/>
      <c r="W1655" s="1308"/>
      <c r="X1655" s="1307"/>
      <c r="Y1655" s="1308"/>
      <c r="Z1655" s="1307"/>
      <c r="AA1655" s="1308"/>
      <c r="AB1655" s="1307"/>
      <c r="AC1655" s="1308"/>
      <c r="AD1655" s="1308"/>
      <c r="AE1655" s="1561"/>
      <c r="AF1655" s="1307"/>
      <c r="AG1655" s="1309"/>
      <c r="AH1655" s="1306"/>
      <c r="AI1655" s="1309"/>
      <c r="AJ1655" s="1307"/>
      <c r="AM1655" s="1310"/>
    </row>
    <row r="1656" spans="1:39" s="1087" customFormat="1" ht="9.75" customHeight="1" x14ac:dyDescent="0.3">
      <c r="A1656" s="1311"/>
      <c r="B1656" s="1312"/>
      <c r="C1656" s="104"/>
      <c r="D1656" s="1312"/>
      <c r="E1656" s="1312"/>
      <c r="F1656" s="1312"/>
      <c r="G1656" s="1312"/>
      <c r="H1656" s="1313"/>
      <c r="I1656" s="1312"/>
      <c r="J1656" s="1306"/>
      <c r="K1656" s="1644"/>
      <c r="L1656" s="1644"/>
      <c r="M1656" s="1307"/>
      <c r="N1656" s="1307"/>
      <c r="O1656" s="1307"/>
      <c r="P1656" s="1307"/>
      <c r="Q1656" s="1308"/>
      <c r="R1656" s="1307"/>
      <c r="S1656" s="1308"/>
      <c r="T1656" s="1307"/>
      <c r="U1656" s="1308"/>
      <c r="V1656" s="1307"/>
      <c r="W1656" s="1308"/>
      <c r="X1656" s="1307"/>
      <c r="Y1656" s="1308"/>
      <c r="Z1656" s="1307"/>
      <c r="AA1656" s="1308"/>
      <c r="AB1656" s="1307"/>
      <c r="AC1656" s="1308"/>
      <c r="AD1656" s="1308"/>
      <c r="AE1656" s="1561"/>
      <c r="AF1656" s="1307"/>
      <c r="AG1656" s="1309"/>
      <c r="AH1656" s="1306"/>
      <c r="AI1656" s="1309"/>
      <c r="AJ1656" s="1307"/>
      <c r="AM1656" s="1310"/>
    </row>
    <row r="1657" spans="1:39" s="1087" customFormat="1" ht="15.75" customHeight="1" x14ac:dyDescent="0.3">
      <c r="A1657" s="1311"/>
      <c r="B1657" s="1312"/>
      <c r="C1657" s="104"/>
      <c r="D1657" s="1312"/>
      <c r="E1657" s="1312"/>
      <c r="F1657" s="1312"/>
      <c r="G1657" s="1312"/>
      <c r="H1657" s="1313"/>
      <c r="I1657" s="1312"/>
      <c r="J1657" s="1306"/>
      <c r="K1657" s="1644"/>
      <c r="L1657" s="1644"/>
      <c r="M1657" s="1307"/>
      <c r="N1657" s="1307"/>
      <c r="O1657" s="1307"/>
      <c r="P1657" s="1307"/>
      <c r="Q1657" s="1308"/>
      <c r="R1657" s="1307"/>
      <c r="S1657" s="1308"/>
      <c r="T1657" s="1307"/>
      <c r="U1657" s="1308"/>
      <c r="V1657" s="1307"/>
      <c r="W1657" s="1308"/>
      <c r="X1657" s="1307"/>
      <c r="Y1657" s="1308"/>
      <c r="Z1657" s="1307"/>
      <c r="AA1657" s="1308"/>
      <c r="AB1657" s="1307"/>
      <c r="AC1657" s="1308"/>
      <c r="AD1657" s="1308"/>
      <c r="AE1657" s="1561"/>
      <c r="AF1657" s="1307"/>
      <c r="AG1657" s="1309"/>
      <c r="AH1657" s="1306"/>
      <c r="AI1657" s="1309"/>
      <c r="AJ1657" s="1307"/>
      <c r="AM1657" s="1310"/>
    </row>
    <row r="1658" spans="1:39" s="1087" customFormat="1" ht="14.4" x14ac:dyDescent="0.3">
      <c r="A1658" s="1311"/>
      <c r="B1658" s="1312"/>
      <c r="C1658" s="1305"/>
      <c r="D1658" s="1312"/>
      <c r="E1658" s="1312"/>
      <c r="F1658" s="1312"/>
      <c r="G1658" s="1312"/>
      <c r="H1658" s="1313"/>
      <c r="I1658" s="1314"/>
      <c r="J1658" s="1306"/>
      <c r="K1658" s="1644"/>
      <c r="L1658" s="1644"/>
      <c r="M1658" s="1307"/>
      <c r="N1658" s="1307"/>
      <c r="O1658" s="1307"/>
      <c r="P1658" s="1307"/>
      <c r="Q1658" s="1308"/>
      <c r="R1658" s="1307"/>
      <c r="S1658" s="1308"/>
      <c r="T1658" s="1307"/>
      <c r="U1658" s="1308"/>
      <c r="V1658" s="1307"/>
      <c r="W1658" s="1308"/>
      <c r="X1658" s="1307"/>
      <c r="Y1658" s="1308"/>
      <c r="Z1658" s="1307"/>
      <c r="AA1658" s="1308"/>
      <c r="AB1658" s="1307"/>
      <c r="AC1658" s="1308"/>
      <c r="AD1658" s="1308"/>
      <c r="AE1658" s="1561"/>
      <c r="AF1658" s="1307"/>
      <c r="AG1658" s="1309"/>
      <c r="AH1658" s="1306"/>
      <c r="AI1658" s="1309"/>
      <c r="AJ1658" s="1307"/>
      <c r="AM1658" s="1310"/>
    </row>
    <row r="1659" spans="1:39" s="1087" customFormat="1" ht="14.4" x14ac:dyDescent="0.3">
      <c r="A1659" s="1311"/>
      <c r="B1659" s="1312"/>
      <c r="C1659" s="1305"/>
      <c r="D1659" s="1312"/>
      <c r="E1659" s="1312"/>
      <c r="F1659" s="1312"/>
      <c r="G1659" s="1312"/>
      <c r="H1659" s="1313"/>
      <c r="I1659" s="1314"/>
      <c r="J1659" s="1306"/>
      <c r="K1659" s="1644"/>
      <c r="L1659" s="1644"/>
      <c r="M1659" s="1307"/>
      <c r="N1659" s="1307"/>
      <c r="O1659" s="1307"/>
      <c r="P1659" s="1307"/>
      <c r="Q1659" s="1308"/>
      <c r="R1659" s="1307"/>
      <c r="S1659" s="1308"/>
      <c r="T1659" s="1307"/>
      <c r="U1659" s="1308"/>
      <c r="V1659" s="1307"/>
      <c r="W1659" s="1308"/>
      <c r="X1659" s="1307"/>
      <c r="Y1659" s="1308"/>
      <c r="Z1659" s="1307"/>
      <c r="AA1659" s="1308"/>
      <c r="AB1659" s="1307"/>
      <c r="AC1659" s="1308"/>
      <c r="AD1659" s="1308"/>
      <c r="AE1659" s="1561"/>
      <c r="AF1659" s="1307"/>
      <c r="AG1659" s="1309"/>
      <c r="AH1659" s="1306"/>
      <c r="AI1659" s="1309"/>
      <c r="AJ1659" s="1307"/>
      <c r="AM1659" s="1310"/>
    </row>
    <row r="1660" spans="1:39" s="1087" customFormat="1" ht="14.4" x14ac:dyDescent="0.3">
      <c r="A1660" s="1311"/>
      <c r="B1660" s="1312"/>
      <c r="C1660" s="1305"/>
      <c r="D1660" s="1312"/>
      <c r="E1660" s="1312"/>
      <c r="F1660" s="1312"/>
      <c r="G1660" s="1312"/>
      <c r="H1660" s="1313"/>
      <c r="I1660" s="1314"/>
      <c r="J1660" s="1306"/>
      <c r="K1660" s="1644"/>
      <c r="L1660" s="1644"/>
      <c r="M1660" s="1307"/>
      <c r="N1660" s="1307"/>
      <c r="O1660" s="1307"/>
      <c r="P1660" s="1307"/>
      <c r="Q1660" s="1308"/>
      <c r="R1660" s="1307"/>
      <c r="S1660" s="1308"/>
      <c r="T1660" s="1307"/>
      <c r="U1660" s="1308"/>
      <c r="V1660" s="1307"/>
      <c r="W1660" s="1308"/>
      <c r="X1660" s="1307"/>
      <c r="Y1660" s="1308"/>
      <c r="Z1660" s="1307"/>
      <c r="AA1660" s="1308"/>
      <c r="AB1660" s="1307"/>
      <c r="AC1660" s="1308"/>
      <c r="AD1660" s="1308"/>
      <c r="AE1660" s="1561"/>
      <c r="AF1660" s="1307"/>
      <c r="AG1660" s="1309"/>
      <c r="AH1660" s="1306"/>
      <c r="AI1660" s="1309"/>
      <c r="AJ1660" s="1307"/>
      <c r="AM1660" s="1310"/>
    </row>
    <row r="1661" spans="1:39" s="1087" customFormat="1" ht="14.4" x14ac:dyDescent="0.3">
      <c r="A1661" s="1311"/>
      <c r="B1661" s="1312"/>
      <c r="C1661" s="1305"/>
      <c r="D1661" s="1312"/>
      <c r="E1661" s="1312"/>
      <c r="F1661" s="1312"/>
      <c r="G1661" s="1312"/>
      <c r="H1661" s="1313"/>
      <c r="I1661" s="1314"/>
      <c r="J1661" s="1306"/>
      <c r="K1661" s="1644"/>
      <c r="L1661" s="1644"/>
      <c r="M1661" s="1307"/>
      <c r="N1661" s="1307"/>
      <c r="O1661" s="1307"/>
      <c r="P1661" s="1307"/>
      <c r="Q1661" s="1308"/>
      <c r="R1661" s="1307"/>
      <c r="S1661" s="1308"/>
      <c r="T1661" s="1307"/>
      <c r="U1661" s="1308"/>
      <c r="V1661" s="1307"/>
      <c r="W1661" s="1308"/>
      <c r="X1661" s="1307"/>
      <c r="Y1661" s="1308"/>
      <c r="Z1661" s="1307"/>
      <c r="AA1661" s="1308"/>
      <c r="AB1661" s="1307"/>
      <c r="AC1661" s="1308"/>
      <c r="AD1661" s="1308"/>
      <c r="AE1661" s="1561"/>
      <c r="AF1661" s="1307"/>
      <c r="AG1661" s="1309"/>
      <c r="AH1661" s="1306"/>
      <c r="AI1661" s="1309"/>
      <c r="AJ1661" s="1307"/>
      <c r="AM1661" s="1310"/>
    </row>
    <row r="1662" spans="1:39" s="1087" customFormat="1" ht="14.4" x14ac:dyDescent="0.3">
      <c r="A1662" s="1311"/>
      <c r="B1662" s="1312"/>
      <c r="C1662" s="1305"/>
      <c r="D1662" s="1312"/>
      <c r="E1662" s="1312"/>
      <c r="F1662" s="1312"/>
      <c r="G1662" s="1312"/>
      <c r="H1662" s="1313"/>
      <c r="I1662" s="1314"/>
      <c r="J1662" s="1306"/>
      <c r="K1662" s="1644"/>
      <c r="L1662" s="1644"/>
      <c r="M1662" s="1307"/>
      <c r="N1662" s="1307"/>
      <c r="O1662" s="1307"/>
      <c r="P1662" s="1307"/>
      <c r="Q1662" s="1308"/>
      <c r="R1662" s="1307"/>
      <c r="S1662" s="1308"/>
      <c r="T1662" s="1307"/>
      <c r="U1662" s="1308"/>
      <c r="V1662" s="1307"/>
      <c r="W1662" s="1308"/>
      <c r="X1662" s="1307"/>
      <c r="Y1662" s="1308"/>
      <c r="Z1662" s="1307"/>
      <c r="AA1662" s="1308"/>
      <c r="AB1662" s="1307"/>
      <c r="AC1662" s="1308"/>
      <c r="AD1662" s="1308"/>
      <c r="AE1662" s="1561"/>
      <c r="AF1662" s="1307"/>
      <c r="AG1662" s="1309"/>
      <c r="AH1662" s="1306"/>
      <c r="AI1662" s="1309"/>
      <c r="AJ1662" s="1307"/>
      <c r="AM1662" s="1310"/>
    </row>
    <row r="1663" spans="1:39" s="1087" customFormat="1" ht="14.4" x14ac:dyDescent="0.3">
      <c r="A1663" s="1311"/>
      <c r="B1663" s="1312"/>
      <c r="C1663" s="1305"/>
      <c r="D1663" s="1312"/>
      <c r="E1663" s="1312"/>
      <c r="F1663" s="1312"/>
      <c r="G1663" s="1312"/>
      <c r="H1663" s="1313"/>
      <c r="I1663" s="1314"/>
      <c r="J1663" s="1306"/>
      <c r="K1663" s="1644"/>
      <c r="L1663" s="1644"/>
      <c r="M1663" s="1307"/>
      <c r="N1663" s="1307"/>
      <c r="O1663" s="1307"/>
      <c r="P1663" s="1307"/>
      <c r="Q1663" s="1308"/>
      <c r="R1663" s="1307"/>
      <c r="S1663" s="1308"/>
      <c r="T1663" s="1307"/>
      <c r="U1663" s="1308"/>
      <c r="V1663" s="1307"/>
      <c r="W1663" s="1308"/>
      <c r="X1663" s="1307"/>
      <c r="Y1663" s="1308"/>
      <c r="Z1663" s="1307"/>
      <c r="AA1663" s="1308"/>
      <c r="AB1663" s="1307"/>
      <c r="AC1663" s="1308"/>
      <c r="AD1663" s="1308"/>
      <c r="AE1663" s="1561"/>
      <c r="AF1663" s="1307"/>
      <c r="AG1663" s="1309"/>
      <c r="AH1663" s="1306"/>
      <c r="AI1663" s="1309"/>
      <c r="AJ1663" s="1307"/>
      <c r="AM1663" s="1310"/>
    </row>
    <row r="1664" spans="1:39" s="1087" customFormat="1" ht="14.4" x14ac:dyDescent="0.3">
      <c r="A1664" s="1311"/>
      <c r="B1664" s="1312"/>
      <c r="C1664" s="1305"/>
      <c r="D1664" s="1312"/>
      <c r="E1664" s="1312"/>
      <c r="F1664" s="1312"/>
      <c r="G1664" s="1312"/>
      <c r="H1664" s="1313"/>
      <c r="I1664" s="1314"/>
      <c r="J1664" s="1306"/>
      <c r="K1664" s="1644"/>
      <c r="L1664" s="1644"/>
      <c r="M1664" s="1307"/>
      <c r="N1664" s="1307"/>
      <c r="O1664" s="1307"/>
      <c r="P1664" s="1307"/>
      <c r="Q1664" s="1308"/>
      <c r="R1664" s="1307"/>
      <c r="S1664" s="1308"/>
      <c r="T1664" s="1307"/>
      <c r="U1664" s="1308"/>
      <c r="V1664" s="1307"/>
      <c r="W1664" s="1308"/>
      <c r="X1664" s="1307"/>
      <c r="Y1664" s="1308"/>
      <c r="Z1664" s="1307"/>
      <c r="AA1664" s="1308"/>
      <c r="AB1664" s="1307"/>
      <c r="AC1664" s="1308"/>
      <c r="AD1664" s="1308"/>
      <c r="AE1664" s="1561"/>
      <c r="AF1664" s="1307"/>
      <c r="AG1664" s="1309"/>
      <c r="AH1664" s="1306"/>
      <c r="AI1664" s="1309"/>
      <c r="AJ1664" s="1307"/>
      <c r="AM1664" s="1310"/>
    </row>
    <row r="1665" spans="1:39" s="1087" customFormat="1" ht="14.4" x14ac:dyDescent="0.3">
      <c r="A1665" s="1311"/>
      <c r="B1665" s="1312"/>
      <c r="C1665" s="1305"/>
      <c r="D1665" s="1312"/>
      <c r="E1665" s="1312"/>
      <c r="F1665" s="1312"/>
      <c r="G1665" s="1312"/>
      <c r="H1665" s="1313"/>
      <c r="I1665" s="1314"/>
      <c r="J1665" s="1306"/>
      <c r="K1665" s="1644"/>
      <c r="L1665" s="1644"/>
      <c r="M1665" s="1307"/>
      <c r="N1665" s="1307"/>
      <c r="O1665" s="1307"/>
      <c r="P1665" s="1307"/>
      <c r="Q1665" s="1308"/>
      <c r="R1665" s="1307"/>
      <c r="S1665" s="1308"/>
      <c r="T1665" s="1307"/>
      <c r="U1665" s="1308"/>
      <c r="V1665" s="1307"/>
      <c r="W1665" s="1308"/>
      <c r="X1665" s="1307"/>
      <c r="Y1665" s="1308"/>
      <c r="Z1665" s="1307"/>
      <c r="AA1665" s="1308"/>
      <c r="AB1665" s="1307"/>
      <c r="AC1665" s="1308"/>
      <c r="AD1665" s="1308"/>
      <c r="AE1665" s="1561"/>
      <c r="AF1665" s="1307"/>
      <c r="AG1665" s="1309"/>
      <c r="AH1665" s="1306"/>
      <c r="AI1665" s="1309"/>
      <c r="AJ1665" s="1307"/>
      <c r="AM1665" s="1310"/>
    </row>
    <row r="1666" spans="1:39" s="1087" customFormat="1" ht="14.4" x14ac:dyDescent="0.3">
      <c r="A1666" s="1311"/>
      <c r="B1666" s="1312"/>
      <c r="C1666" s="1305"/>
      <c r="D1666" s="1312"/>
      <c r="E1666" s="1312"/>
      <c r="F1666" s="1312"/>
      <c r="G1666" s="1312"/>
      <c r="H1666" s="1313"/>
      <c r="I1666" s="1314"/>
      <c r="J1666" s="1306"/>
      <c r="K1666" s="1644"/>
      <c r="L1666" s="1644"/>
      <c r="M1666" s="1307"/>
      <c r="N1666" s="1307"/>
      <c r="O1666" s="1307"/>
      <c r="P1666" s="1307"/>
      <c r="Q1666" s="1308"/>
      <c r="R1666" s="1307"/>
      <c r="S1666" s="1308"/>
      <c r="T1666" s="1307"/>
      <c r="U1666" s="1308"/>
      <c r="V1666" s="1307"/>
      <c r="W1666" s="1308"/>
      <c r="X1666" s="1307"/>
      <c r="Y1666" s="1308"/>
      <c r="Z1666" s="1307"/>
      <c r="AA1666" s="1308"/>
      <c r="AB1666" s="1307"/>
      <c r="AC1666" s="1308"/>
      <c r="AD1666" s="1308"/>
      <c r="AE1666" s="1561"/>
      <c r="AF1666" s="1307"/>
      <c r="AG1666" s="1309"/>
      <c r="AH1666" s="1306"/>
      <c r="AI1666" s="1309"/>
      <c r="AJ1666" s="1307"/>
      <c r="AM1666" s="1310"/>
    </row>
    <row r="1667" spans="1:39" s="1087" customFormat="1" ht="14.4" x14ac:dyDescent="0.3">
      <c r="A1667" s="1311"/>
      <c r="B1667" s="1312"/>
      <c r="C1667" s="1305"/>
      <c r="D1667" s="1312"/>
      <c r="E1667" s="1312"/>
      <c r="F1667" s="1312"/>
      <c r="G1667" s="1312"/>
      <c r="H1667" s="1313"/>
      <c r="I1667" s="1314"/>
      <c r="J1667" s="1306"/>
      <c r="K1667" s="1644"/>
      <c r="L1667" s="1644"/>
      <c r="M1667" s="1307"/>
      <c r="N1667" s="1307"/>
      <c r="O1667" s="1307"/>
      <c r="P1667" s="1307"/>
      <c r="Q1667" s="1308"/>
      <c r="R1667" s="1307"/>
      <c r="S1667" s="1308"/>
      <c r="T1667" s="1307"/>
      <c r="U1667" s="1308"/>
      <c r="V1667" s="1307"/>
      <c r="W1667" s="1308"/>
      <c r="X1667" s="1307"/>
      <c r="Y1667" s="1308"/>
      <c r="Z1667" s="1307"/>
      <c r="AA1667" s="1308"/>
      <c r="AB1667" s="1307"/>
      <c r="AC1667" s="1308"/>
      <c r="AD1667" s="1308"/>
      <c r="AE1667" s="1561"/>
      <c r="AF1667" s="1307"/>
      <c r="AG1667" s="1309"/>
      <c r="AH1667" s="1306"/>
      <c r="AI1667" s="1309"/>
      <c r="AJ1667" s="1307"/>
      <c r="AM1667" s="1310"/>
    </row>
    <row r="1668" spans="1:39" s="1087" customFormat="1" ht="14.4" x14ac:dyDescent="0.3">
      <c r="A1668" s="1311"/>
      <c r="B1668" s="1312"/>
      <c r="C1668" s="1305"/>
      <c r="D1668" s="1312"/>
      <c r="E1668" s="1312"/>
      <c r="F1668" s="1312"/>
      <c r="G1668" s="1312"/>
      <c r="H1668" s="1313"/>
      <c r="I1668" s="1314"/>
      <c r="J1668" s="1306"/>
      <c r="K1668" s="1644"/>
      <c r="L1668" s="1644"/>
      <c r="M1668" s="1307"/>
      <c r="N1668" s="1307"/>
      <c r="O1668" s="1307"/>
      <c r="P1668" s="1307"/>
      <c r="Q1668" s="1308"/>
      <c r="R1668" s="1307"/>
      <c r="S1668" s="1308"/>
      <c r="T1668" s="1307"/>
      <c r="U1668" s="1308"/>
      <c r="V1668" s="1307"/>
      <c r="W1668" s="1308"/>
      <c r="X1668" s="1307"/>
      <c r="Y1668" s="1308"/>
      <c r="Z1668" s="1307"/>
      <c r="AA1668" s="1308"/>
      <c r="AB1668" s="1307"/>
      <c r="AC1668" s="1308"/>
      <c r="AD1668" s="1308"/>
      <c r="AE1668" s="1561"/>
      <c r="AF1668" s="1307"/>
      <c r="AG1668" s="1309"/>
      <c r="AH1668" s="1306"/>
      <c r="AI1668" s="1309"/>
      <c r="AJ1668" s="1307"/>
      <c r="AM1668" s="1310"/>
    </row>
    <row r="1669" spans="1:39" s="1087" customFormat="1" ht="14.4" x14ac:dyDescent="0.3">
      <c r="A1669" s="1311"/>
      <c r="B1669" s="1312"/>
      <c r="C1669" s="1305"/>
      <c r="D1669" s="1312"/>
      <c r="E1669" s="1312"/>
      <c r="F1669" s="1312"/>
      <c r="G1669" s="1312"/>
      <c r="H1669" s="1313"/>
      <c r="I1669" s="1314"/>
      <c r="J1669" s="1306"/>
      <c r="K1669" s="1644"/>
      <c r="L1669" s="1644"/>
      <c r="M1669" s="1307"/>
      <c r="N1669" s="1307"/>
      <c r="O1669" s="1307"/>
      <c r="P1669" s="1307"/>
      <c r="Q1669" s="1308"/>
      <c r="R1669" s="1307"/>
      <c r="S1669" s="1308"/>
      <c r="T1669" s="1307"/>
      <c r="U1669" s="1308"/>
      <c r="V1669" s="1307"/>
      <c r="W1669" s="1308"/>
      <c r="X1669" s="1307"/>
      <c r="Y1669" s="1308"/>
      <c r="Z1669" s="1307"/>
      <c r="AA1669" s="1308"/>
      <c r="AB1669" s="1307"/>
      <c r="AC1669" s="1308"/>
      <c r="AD1669" s="1308"/>
      <c r="AE1669" s="1561"/>
      <c r="AF1669" s="1307"/>
      <c r="AG1669" s="1309"/>
      <c r="AH1669" s="1306"/>
      <c r="AI1669" s="1309"/>
      <c r="AJ1669" s="1307"/>
      <c r="AM1669" s="1310"/>
    </row>
    <row r="1670" spans="1:39" s="1087" customFormat="1" ht="14.4" x14ac:dyDescent="0.3">
      <c r="A1670" s="1311"/>
      <c r="B1670" s="1312"/>
      <c r="C1670" s="1305"/>
      <c r="D1670" s="1312"/>
      <c r="E1670" s="1312"/>
      <c r="F1670" s="1312"/>
      <c r="G1670" s="1312"/>
      <c r="H1670" s="1313"/>
      <c r="I1670" s="1314"/>
      <c r="J1670" s="1306"/>
      <c r="K1670" s="1644"/>
      <c r="L1670" s="1644"/>
      <c r="M1670" s="1307"/>
      <c r="N1670" s="1307"/>
      <c r="O1670" s="1307"/>
      <c r="P1670" s="1307"/>
      <c r="Q1670" s="1308"/>
      <c r="R1670" s="1307"/>
      <c r="S1670" s="1308"/>
      <c r="T1670" s="1307"/>
      <c r="U1670" s="1308"/>
      <c r="V1670" s="1307"/>
      <c r="W1670" s="1308"/>
      <c r="X1670" s="1307"/>
      <c r="Y1670" s="1308"/>
      <c r="Z1670" s="1307"/>
      <c r="AA1670" s="1308"/>
      <c r="AB1670" s="1307"/>
      <c r="AC1670" s="1308"/>
      <c r="AD1670" s="1308"/>
      <c r="AE1670" s="1561"/>
      <c r="AF1670" s="1307"/>
      <c r="AG1670" s="1309"/>
      <c r="AH1670" s="1306"/>
      <c r="AI1670" s="1309"/>
      <c r="AJ1670" s="1307"/>
      <c r="AM1670" s="1310"/>
    </row>
    <row r="1671" spans="1:39" s="1087" customFormat="1" ht="14.4" x14ac:dyDescent="0.3">
      <c r="A1671" s="1311"/>
      <c r="B1671" s="1312"/>
      <c r="C1671" s="1305"/>
      <c r="D1671" s="1312"/>
      <c r="E1671" s="1312"/>
      <c r="F1671" s="1312"/>
      <c r="G1671" s="1312"/>
      <c r="H1671" s="1313"/>
      <c r="I1671" s="1314"/>
      <c r="J1671" s="1306"/>
      <c r="K1671" s="1644"/>
      <c r="L1671" s="1644"/>
      <c r="M1671" s="1307"/>
      <c r="N1671" s="1307"/>
      <c r="O1671" s="1307"/>
      <c r="P1671" s="1307"/>
      <c r="Q1671" s="1308"/>
      <c r="R1671" s="1307"/>
      <c r="S1671" s="1308"/>
      <c r="T1671" s="1307"/>
      <c r="U1671" s="1308"/>
      <c r="V1671" s="1307"/>
      <c r="W1671" s="1308"/>
      <c r="X1671" s="1307"/>
      <c r="Y1671" s="1308"/>
      <c r="Z1671" s="1307"/>
      <c r="AA1671" s="1308"/>
      <c r="AB1671" s="1307"/>
      <c r="AC1671" s="1308"/>
      <c r="AD1671" s="1308"/>
      <c r="AE1671" s="1561"/>
      <c r="AF1671" s="1307"/>
      <c r="AG1671" s="1309"/>
      <c r="AH1671" s="1306"/>
      <c r="AI1671" s="1309"/>
      <c r="AJ1671" s="1307"/>
      <c r="AM1671" s="1310"/>
    </row>
    <row r="1672" spans="1:39" s="1087" customFormat="1" ht="14.4" x14ac:dyDescent="0.3">
      <c r="A1672" s="1311"/>
      <c r="B1672" s="1312"/>
      <c r="C1672" s="1305"/>
      <c r="D1672" s="1312"/>
      <c r="E1672" s="1312"/>
      <c r="F1672" s="1312"/>
      <c r="G1672" s="1312"/>
      <c r="H1672" s="1313"/>
      <c r="I1672" s="1314"/>
      <c r="J1672" s="1306"/>
      <c r="K1672" s="1644"/>
      <c r="L1672" s="1644"/>
      <c r="M1672" s="1307"/>
      <c r="N1672" s="1307"/>
      <c r="O1672" s="1307"/>
      <c r="P1672" s="1307"/>
      <c r="Q1672" s="1308"/>
      <c r="R1672" s="1307"/>
      <c r="S1672" s="1308"/>
      <c r="T1672" s="1307"/>
      <c r="U1672" s="1308"/>
      <c r="V1672" s="1307"/>
      <c r="W1672" s="1308"/>
      <c r="X1672" s="1307"/>
      <c r="Y1672" s="1308"/>
      <c r="Z1672" s="1307"/>
      <c r="AA1672" s="1308"/>
      <c r="AB1672" s="1307"/>
      <c r="AC1672" s="1308"/>
      <c r="AD1672" s="1308"/>
      <c r="AE1672" s="1561"/>
      <c r="AF1672" s="1307"/>
      <c r="AG1672" s="1309"/>
      <c r="AH1672" s="1306"/>
      <c r="AI1672" s="1309"/>
      <c r="AJ1672" s="1307"/>
      <c r="AM1672" s="1310"/>
    </row>
    <row r="1673" spans="1:39" s="1087" customFormat="1" ht="14.4" x14ac:dyDescent="0.3">
      <c r="A1673" s="1311"/>
      <c r="B1673" s="1312"/>
      <c r="C1673" s="1305"/>
      <c r="D1673" s="1312"/>
      <c r="E1673" s="1312"/>
      <c r="F1673" s="1312"/>
      <c r="G1673" s="1312"/>
      <c r="H1673" s="1313"/>
      <c r="I1673" s="1314"/>
      <c r="J1673" s="1306"/>
      <c r="K1673" s="1644"/>
      <c r="L1673" s="1644"/>
      <c r="M1673" s="1307"/>
      <c r="N1673" s="1307"/>
      <c r="O1673" s="1307"/>
      <c r="P1673" s="1307"/>
      <c r="Q1673" s="1308"/>
      <c r="R1673" s="1307"/>
      <c r="S1673" s="1308"/>
      <c r="T1673" s="1307"/>
      <c r="U1673" s="1308"/>
      <c r="V1673" s="1307"/>
      <c r="W1673" s="1308"/>
      <c r="X1673" s="1307"/>
      <c r="Y1673" s="1308"/>
      <c r="Z1673" s="1307"/>
      <c r="AA1673" s="1308"/>
      <c r="AB1673" s="1307"/>
      <c r="AC1673" s="1308"/>
      <c r="AD1673" s="1308"/>
      <c r="AE1673" s="1561"/>
      <c r="AF1673" s="1307"/>
      <c r="AG1673" s="1309"/>
      <c r="AH1673" s="1306"/>
      <c r="AI1673" s="1309"/>
      <c r="AJ1673" s="1307"/>
      <c r="AM1673" s="1310"/>
    </row>
    <row r="1674" spans="1:39" s="1087" customFormat="1" ht="14.4" x14ac:dyDescent="0.3">
      <c r="A1674" s="1311"/>
      <c r="B1674" s="1312"/>
      <c r="C1674" s="1305"/>
      <c r="D1674" s="1312"/>
      <c r="E1674" s="1312"/>
      <c r="F1674" s="1312"/>
      <c r="G1674" s="1312"/>
      <c r="H1674" s="1313"/>
      <c r="I1674" s="1314"/>
      <c r="J1674" s="1306"/>
      <c r="K1674" s="1644"/>
      <c r="L1674" s="1644"/>
      <c r="M1674" s="1307"/>
      <c r="N1674" s="1307"/>
      <c r="O1674" s="1307"/>
      <c r="P1674" s="1307"/>
      <c r="Q1674" s="1308"/>
      <c r="R1674" s="1307"/>
      <c r="S1674" s="1308"/>
      <c r="T1674" s="1307"/>
      <c r="U1674" s="1308"/>
      <c r="V1674" s="1307"/>
      <c r="W1674" s="1308"/>
      <c r="X1674" s="1307"/>
      <c r="Y1674" s="1308"/>
      <c r="Z1674" s="1307"/>
      <c r="AA1674" s="1308"/>
      <c r="AB1674" s="1307"/>
      <c r="AC1674" s="1308"/>
      <c r="AD1674" s="1308"/>
      <c r="AE1674" s="1561"/>
      <c r="AF1674" s="1307"/>
      <c r="AG1674" s="1309"/>
      <c r="AH1674" s="1306"/>
      <c r="AI1674" s="1309"/>
      <c r="AJ1674" s="1307"/>
      <c r="AM1674" s="1310"/>
    </row>
    <row r="1675" spans="1:39" s="1087" customFormat="1" ht="14.4" x14ac:dyDescent="0.3">
      <c r="A1675" s="1311"/>
      <c r="B1675" s="1312"/>
      <c r="C1675" s="1305"/>
      <c r="D1675" s="1312"/>
      <c r="E1675" s="1312"/>
      <c r="F1675" s="1312"/>
      <c r="G1675" s="1312"/>
      <c r="H1675" s="1313"/>
      <c r="I1675" s="1314"/>
      <c r="J1675" s="1306"/>
      <c r="K1675" s="1644"/>
      <c r="L1675" s="1644"/>
      <c r="M1675" s="1307"/>
      <c r="N1675" s="1307"/>
      <c r="O1675" s="1307"/>
      <c r="P1675" s="1307"/>
      <c r="Q1675" s="1308"/>
      <c r="R1675" s="1307"/>
      <c r="S1675" s="1308"/>
      <c r="T1675" s="1307"/>
      <c r="U1675" s="1308"/>
      <c r="V1675" s="1307"/>
      <c r="W1675" s="1308"/>
      <c r="X1675" s="1307"/>
      <c r="Y1675" s="1308"/>
      <c r="Z1675" s="1307"/>
      <c r="AA1675" s="1308"/>
      <c r="AB1675" s="1307"/>
      <c r="AC1675" s="1308"/>
      <c r="AD1675" s="1308"/>
      <c r="AE1675" s="1561"/>
      <c r="AF1675" s="1307"/>
      <c r="AG1675" s="1309"/>
      <c r="AH1675" s="1306"/>
      <c r="AI1675" s="1309"/>
      <c r="AJ1675" s="1307"/>
      <c r="AM1675" s="1310"/>
    </row>
    <row r="1676" spans="1:39" s="1087" customFormat="1" ht="14.4" x14ac:dyDescent="0.3">
      <c r="A1676" s="1311"/>
      <c r="B1676" s="1312"/>
      <c r="C1676" s="1305"/>
      <c r="D1676" s="1312"/>
      <c r="E1676" s="1312"/>
      <c r="F1676" s="1312"/>
      <c r="G1676" s="1312"/>
      <c r="H1676" s="1313"/>
      <c r="I1676" s="1314"/>
      <c r="J1676" s="1306"/>
      <c r="K1676" s="1644"/>
      <c r="L1676" s="1644"/>
      <c r="M1676" s="1307"/>
      <c r="N1676" s="1307"/>
      <c r="O1676" s="1307"/>
      <c r="P1676" s="1307"/>
      <c r="Q1676" s="1308"/>
      <c r="R1676" s="1307"/>
      <c r="S1676" s="1308"/>
      <c r="T1676" s="1307"/>
      <c r="U1676" s="1308"/>
      <c r="V1676" s="1307"/>
      <c r="W1676" s="1308"/>
      <c r="X1676" s="1307"/>
      <c r="Y1676" s="1308"/>
      <c r="Z1676" s="1307"/>
      <c r="AA1676" s="1308"/>
      <c r="AB1676" s="1307"/>
      <c r="AC1676" s="1308"/>
      <c r="AD1676" s="1308"/>
      <c r="AE1676" s="1561"/>
      <c r="AF1676" s="1307"/>
      <c r="AG1676" s="1309"/>
      <c r="AH1676" s="1306"/>
      <c r="AI1676" s="1309"/>
      <c r="AJ1676" s="1307"/>
      <c r="AM1676" s="1310"/>
    </row>
    <row r="1677" spans="1:39" s="1087" customFormat="1" ht="14.4" x14ac:dyDescent="0.3">
      <c r="A1677" s="1311"/>
      <c r="B1677" s="1312"/>
      <c r="C1677" s="1305"/>
      <c r="D1677" s="1312"/>
      <c r="E1677" s="1312"/>
      <c r="F1677" s="1312"/>
      <c r="G1677" s="1312"/>
      <c r="H1677" s="1313"/>
      <c r="I1677" s="1314"/>
      <c r="J1677" s="1306"/>
      <c r="K1677" s="1644"/>
      <c r="L1677" s="1644"/>
      <c r="M1677" s="1307"/>
      <c r="N1677" s="1307"/>
      <c r="O1677" s="1307"/>
      <c r="P1677" s="1307"/>
      <c r="Q1677" s="1308"/>
      <c r="R1677" s="1307"/>
      <c r="S1677" s="1308"/>
      <c r="T1677" s="1307"/>
      <c r="U1677" s="1308"/>
      <c r="V1677" s="1307"/>
      <c r="W1677" s="1308"/>
      <c r="X1677" s="1307"/>
      <c r="Y1677" s="1308"/>
      <c r="Z1677" s="1307"/>
      <c r="AA1677" s="1308"/>
      <c r="AB1677" s="1307"/>
      <c r="AC1677" s="1308"/>
      <c r="AD1677" s="1308"/>
      <c r="AE1677" s="1561"/>
      <c r="AF1677" s="1307"/>
      <c r="AG1677" s="1309"/>
      <c r="AH1677" s="1306"/>
      <c r="AI1677" s="1309"/>
      <c r="AJ1677" s="1307"/>
      <c r="AM1677" s="1310"/>
    </row>
    <row r="1678" spans="1:39" s="1087" customFormat="1" ht="14.4" x14ac:dyDescent="0.3">
      <c r="A1678" s="1311"/>
      <c r="B1678" s="1312"/>
      <c r="C1678" s="1305"/>
      <c r="D1678" s="1312"/>
      <c r="E1678" s="1312"/>
      <c r="F1678" s="1312"/>
      <c r="G1678" s="1312"/>
      <c r="H1678" s="1313"/>
      <c r="I1678" s="1314"/>
      <c r="J1678" s="1306"/>
      <c r="K1678" s="1644"/>
      <c r="L1678" s="1644"/>
      <c r="M1678" s="1307"/>
      <c r="N1678" s="1307"/>
      <c r="O1678" s="1307"/>
      <c r="P1678" s="1307"/>
      <c r="Q1678" s="1308"/>
      <c r="R1678" s="1307"/>
      <c r="S1678" s="1308"/>
      <c r="T1678" s="1307"/>
      <c r="U1678" s="1308"/>
      <c r="V1678" s="1307"/>
      <c r="W1678" s="1308"/>
      <c r="X1678" s="1307"/>
      <c r="Y1678" s="1308"/>
      <c r="Z1678" s="1307"/>
      <c r="AA1678" s="1308"/>
      <c r="AB1678" s="1307"/>
      <c r="AC1678" s="1308"/>
      <c r="AD1678" s="1308"/>
      <c r="AE1678" s="1561"/>
      <c r="AF1678" s="1307"/>
      <c r="AG1678" s="1309"/>
      <c r="AH1678" s="1306"/>
      <c r="AI1678" s="1309"/>
      <c r="AJ1678" s="1307"/>
      <c r="AM1678" s="1310"/>
    </row>
    <row r="1679" spans="1:39" s="1087" customFormat="1" ht="14.4" x14ac:dyDescent="0.3">
      <c r="A1679" s="1311"/>
      <c r="B1679" s="1312"/>
      <c r="C1679" s="1305"/>
      <c r="D1679" s="1312"/>
      <c r="E1679" s="1312"/>
      <c r="F1679" s="1312"/>
      <c r="G1679" s="1312"/>
      <c r="H1679" s="1313"/>
      <c r="I1679" s="1314"/>
      <c r="J1679" s="1306"/>
      <c r="K1679" s="1644"/>
      <c r="L1679" s="1644"/>
      <c r="M1679" s="1307"/>
      <c r="N1679" s="1307"/>
      <c r="O1679" s="1307"/>
      <c r="P1679" s="1307"/>
      <c r="Q1679" s="1308"/>
      <c r="R1679" s="1307"/>
      <c r="S1679" s="1308"/>
      <c r="T1679" s="1307"/>
      <c r="U1679" s="1308"/>
      <c r="V1679" s="1307"/>
      <c r="W1679" s="1308"/>
      <c r="X1679" s="1307"/>
      <c r="Y1679" s="1308"/>
      <c r="Z1679" s="1307"/>
      <c r="AA1679" s="1308"/>
      <c r="AB1679" s="1307"/>
      <c r="AC1679" s="1308"/>
      <c r="AD1679" s="1308"/>
      <c r="AE1679" s="1561"/>
      <c r="AF1679" s="1307"/>
      <c r="AG1679" s="1309"/>
      <c r="AH1679" s="1306"/>
      <c r="AI1679" s="1309"/>
      <c r="AJ1679" s="1307"/>
      <c r="AM1679" s="1310"/>
    </row>
    <row r="1680" spans="1:39" s="1087" customFormat="1" ht="14.4" x14ac:dyDescent="0.3">
      <c r="A1680" s="1311"/>
      <c r="B1680" s="1312"/>
      <c r="C1680" s="1305"/>
      <c r="D1680" s="1312"/>
      <c r="E1680" s="1312"/>
      <c r="F1680" s="1312"/>
      <c r="G1680" s="1312"/>
      <c r="H1680" s="1313"/>
      <c r="I1680" s="1314"/>
      <c r="J1680" s="1306"/>
      <c r="K1680" s="1644"/>
      <c r="L1680" s="1644"/>
      <c r="M1680" s="1307"/>
      <c r="N1680" s="1307"/>
      <c r="O1680" s="1307"/>
      <c r="P1680" s="1307"/>
      <c r="Q1680" s="1308"/>
      <c r="R1680" s="1307"/>
      <c r="S1680" s="1308"/>
      <c r="T1680" s="1307"/>
      <c r="U1680" s="1308"/>
      <c r="V1680" s="1307"/>
      <c r="W1680" s="1308"/>
      <c r="X1680" s="1307"/>
      <c r="Y1680" s="1308"/>
      <c r="Z1680" s="1307"/>
      <c r="AA1680" s="1308"/>
      <c r="AB1680" s="1307"/>
      <c r="AC1680" s="1308"/>
      <c r="AD1680" s="1308"/>
      <c r="AE1680" s="1561"/>
      <c r="AF1680" s="1307"/>
      <c r="AG1680" s="1309"/>
      <c r="AH1680" s="1306"/>
      <c r="AI1680" s="1309"/>
      <c r="AJ1680" s="1307"/>
      <c r="AM1680" s="1310"/>
    </row>
    <row r="1681" spans="1:40" s="1087" customFormat="1" ht="14.4" x14ac:dyDescent="0.3">
      <c r="A1681" s="1311"/>
      <c r="B1681" s="1312"/>
      <c r="C1681" s="1305"/>
      <c r="D1681" s="1312"/>
      <c r="E1681" s="1312"/>
      <c r="F1681" s="1312"/>
      <c r="G1681" s="1312"/>
      <c r="H1681" s="1313"/>
      <c r="I1681" s="1314"/>
      <c r="J1681" s="1306"/>
      <c r="K1681" s="1644"/>
      <c r="L1681" s="1644"/>
      <c r="M1681" s="1307"/>
      <c r="N1681" s="1307"/>
      <c r="O1681" s="1307"/>
      <c r="P1681" s="1307"/>
      <c r="Q1681" s="1308"/>
      <c r="R1681" s="1307"/>
      <c r="S1681" s="1308"/>
      <c r="T1681" s="1307"/>
      <c r="U1681" s="1308"/>
      <c r="V1681" s="1307"/>
      <c r="W1681" s="1308"/>
      <c r="X1681" s="1307"/>
      <c r="Y1681" s="1308"/>
      <c r="Z1681" s="1307"/>
      <c r="AA1681" s="1308"/>
      <c r="AB1681" s="1307"/>
      <c r="AC1681" s="1308"/>
      <c r="AD1681" s="1308"/>
      <c r="AE1681" s="1561"/>
      <c r="AF1681" s="1307"/>
      <c r="AG1681" s="1309"/>
      <c r="AH1681" s="1306"/>
      <c r="AI1681" s="1309"/>
      <c r="AJ1681" s="1307"/>
      <c r="AM1681" s="1310"/>
    </row>
    <row r="1682" spans="1:40" s="1087" customFormat="1" ht="14.4" x14ac:dyDescent="0.3">
      <c r="A1682" s="1311"/>
      <c r="B1682" s="1312"/>
      <c r="C1682" s="1305"/>
      <c r="D1682" s="1312"/>
      <c r="E1682" s="1312"/>
      <c r="F1682" s="1312"/>
      <c r="G1682" s="1312"/>
      <c r="H1682" s="1313"/>
      <c r="I1682" s="1314"/>
      <c r="J1682" s="1306"/>
      <c r="K1682" s="1644"/>
      <c r="L1682" s="1644"/>
      <c r="M1682" s="1307"/>
      <c r="N1682" s="1307"/>
      <c r="O1682" s="1307"/>
      <c r="P1682" s="1307"/>
      <c r="Q1682" s="1308"/>
      <c r="R1682" s="1307"/>
      <c r="S1682" s="1308"/>
      <c r="T1682" s="1307"/>
      <c r="U1682" s="1308"/>
      <c r="V1682" s="1307"/>
      <c r="W1682" s="1308"/>
      <c r="X1682" s="1307"/>
      <c r="Y1682" s="1308"/>
      <c r="Z1682" s="1307"/>
      <c r="AA1682" s="1308"/>
      <c r="AB1682" s="1307"/>
      <c r="AC1682" s="1308"/>
      <c r="AD1682" s="1308"/>
      <c r="AE1682" s="1561"/>
      <c r="AF1682" s="1307"/>
      <c r="AG1682" s="1309"/>
      <c r="AH1682" s="1306"/>
      <c r="AI1682" s="1309"/>
      <c r="AJ1682" s="1307"/>
      <c r="AM1682" s="1310"/>
    </row>
    <row r="1683" spans="1:40" s="1087" customFormat="1" ht="14.4" x14ac:dyDescent="0.3">
      <c r="A1683" s="1311"/>
      <c r="B1683" s="1312"/>
      <c r="C1683" s="1305"/>
      <c r="D1683" s="1312"/>
      <c r="E1683" s="1312"/>
      <c r="F1683" s="1312"/>
      <c r="G1683" s="1312"/>
      <c r="H1683" s="1313"/>
      <c r="I1683" s="1314"/>
      <c r="J1683" s="1306"/>
      <c r="K1683" s="1644"/>
      <c r="L1683" s="1644"/>
      <c r="M1683" s="1307"/>
      <c r="N1683" s="1307"/>
      <c r="O1683" s="1307"/>
      <c r="P1683" s="1307"/>
      <c r="Q1683" s="1308"/>
      <c r="R1683" s="1307"/>
      <c r="S1683" s="1308"/>
      <c r="T1683" s="1307"/>
      <c r="U1683" s="1308"/>
      <c r="V1683" s="1307"/>
      <c r="W1683" s="1308"/>
      <c r="X1683" s="1307"/>
      <c r="Y1683" s="1308"/>
      <c r="Z1683" s="1307"/>
      <c r="AA1683" s="1308"/>
      <c r="AB1683" s="1307"/>
      <c r="AC1683" s="1308"/>
      <c r="AD1683" s="1308"/>
      <c r="AE1683" s="1561"/>
      <c r="AF1683" s="1307"/>
      <c r="AG1683" s="1309"/>
      <c r="AH1683" s="1306"/>
      <c r="AI1683" s="1309"/>
      <c r="AJ1683" s="1307"/>
      <c r="AM1683" s="1310"/>
    </row>
    <row r="1684" spans="1:40" s="1087" customFormat="1" ht="14.4" x14ac:dyDescent="0.3">
      <c r="A1684" s="1311"/>
      <c r="B1684" s="1312"/>
      <c r="C1684" s="1305"/>
      <c r="D1684" s="1312"/>
      <c r="E1684" s="1312"/>
      <c r="F1684" s="1312"/>
      <c r="G1684" s="1312"/>
      <c r="H1684" s="1313"/>
      <c r="I1684" s="1314"/>
      <c r="J1684" s="1306"/>
      <c r="K1684" s="1644"/>
      <c r="L1684" s="1644"/>
      <c r="M1684" s="1307"/>
      <c r="N1684" s="1307"/>
      <c r="O1684" s="1307"/>
      <c r="P1684" s="1307"/>
      <c r="Q1684" s="1308"/>
      <c r="R1684" s="1307"/>
      <c r="S1684" s="1308"/>
      <c r="T1684" s="1307"/>
      <c r="U1684" s="1308"/>
      <c r="V1684" s="1307"/>
      <c r="W1684" s="1308"/>
      <c r="X1684" s="1307"/>
      <c r="Y1684" s="1308"/>
      <c r="Z1684" s="1307"/>
      <c r="AA1684" s="1308"/>
      <c r="AB1684" s="1307"/>
      <c r="AC1684" s="1308"/>
      <c r="AD1684" s="1308"/>
      <c r="AE1684" s="1561"/>
      <c r="AF1684" s="1307"/>
      <c r="AG1684" s="1309"/>
      <c r="AH1684" s="1306"/>
      <c r="AI1684" s="1309"/>
      <c r="AJ1684" s="1307"/>
      <c r="AM1684" s="1310"/>
    </row>
    <row r="1685" spans="1:40" s="1087" customFormat="1" ht="14.4" x14ac:dyDescent="0.3">
      <c r="A1685" s="1311"/>
      <c r="B1685" s="1312"/>
      <c r="C1685" s="1305"/>
      <c r="D1685" s="1312"/>
      <c r="E1685" s="1312"/>
      <c r="F1685" s="1312"/>
      <c r="G1685" s="1312"/>
      <c r="H1685" s="1313"/>
      <c r="I1685" s="1314"/>
      <c r="J1685" s="1306"/>
      <c r="K1685" s="1644"/>
      <c r="L1685" s="1644"/>
      <c r="M1685" s="1307"/>
      <c r="N1685" s="1307"/>
      <c r="O1685" s="1307"/>
      <c r="P1685" s="1307"/>
      <c r="Q1685" s="1308"/>
      <c r="R1685" s="1307"/>
      <c r="S1685" s="1308"/>
      <c r="T1685" s="1307"/>
      <c r="U1685" s="1308"/>
      <c r="V1685" s="1307"/>
      <c r="W1685" s="1308"/>
      <c r="X1685" s="1307"/>
      <c r="Y1685" s="1308"/>
      <c r="Z1685" s="1307"/>
      <c r="AA1685" s="1308"/>
      <c r="AB1685" s="1307"/>
      <c r="AC1685" s="1308"/>
      <c r="AD1685" s="1308"/>
      <c r="AE1685" s="1561"/>
      <c r="AF1685" s="1307"/>
      <c r="AG1685" s="1309"/>
      <c r="AH1685" s="1306"/>
      <c r="AI1685" s="1309"/>
      <c r="AJ1685" s="1307"/>
      <c r="AM1685" s="1310"/>
    </row>
    <row r="1686" spans="1:40" s="1087" customFormat="1" ht="14.4" x14ac:dyDescent="0.3">
      <c r="A1686" s="1311"/>
      <c r="B1686" s="1312"/>
      <c r="C1686" s="1305"/>
      <c r="D1686" s="1312"/>
      <c r="E1686" s="1312"/>
      <c r="F1686" s="1312"/>
      <c r="G1686" s="1312"/>
      <c r="H1686" s="1313"/>
      <c r="I1686" s="1314"/>
      <c r="J1686" s="1306"/>
      <c r="K1686" s="1644"/>
      <c r="L1686" s="1644"/>
      <c r="M1686" s="1307"/>
      <c r="N1686" s="1307"/>
      <c r="O1686" s="1307"/>
      <c r="P1686" s="1307"/>
      <c r="Q1686" s="1308"/>
      <c r="R1686" s="1307"/>
      <c r="S1686" s="1308"/>
      <c r="T1686" s="1307"/>
      <c r="U1686" s="1308"/>
      <c r="V1686" s="1307"/>
      <c r="W1686" s="1308"/>
      <c r="X1686" s="1307"/>
      <c r="Y1686" s="1308"/>
      <c r="Z1686" s="1307"/>
      <c r="AA1686" s="1308"/>
      <c r="AB1686" s="1307"/>
      <c r="AC1686" s="1308"/>
      <c r="AD1686" s="1308"/>
      <c r="AE1686" s="1561"/>
      <c r="AF1686" s="1307"/>
      <c r="AG1686" s="1309"/>
      <c r="AH1686" s="1306"/>
      <c r="AI1686" s="1309"/>
      <c r="AJ1686" s="1307"/>
      <c r="AM1686" s="1310"/>
    </row>
    <row r="1687" spans="1:40" s="1087" customFormat="1" ht="14.4" x14ac:dyDescent="0.3">
      <c r="A1687" s="1311"/>
      <c r="B1687" s="1312"/>
      <c r="C1687" s="1305"/>
      <c r="D1687" s="1312"/>
      <c r="E1687" s="1312"/>
      <c r="F1687" s="1312"/>
      <c r="G1687" s="1312"/>
      <c r="H1687" s="1313"/>
      <c r="I1687" s="1314"/>
      <c r="J1687" s="1306"/>
      <c r="K1687" s="1644"/>
      <c r="L1687" s="1644"/>
      <c r="M1687" s="1307"/>
      <c r="N1687" s="1307"/>
      <c r="O1687" s="1307"/>
      <c r="P1687" s="1307"/>
      <c r="Q1687" s="1308"/>
      <c r="R1687" s="1307"/>
      <c r="S1687" s="1308"/>
      <c r="T1687" s="1307"/>
      <c r="U1687" s="1308"/>
      <c r="V1687" s="1307"/>
      <c r="W1687" s="1308"/>
      <c r="X1687" s="1307"/>
      <c r="Y1687" s="1308"/>
      <c r="Z1687" s="1307"/>
      <c r="AA1687" s="1308"/>
      <c r="AB1687" s="1307"/>
      <c r="AC1687" s="1308"/>
      <c r="AD1687" s="1308"/>
      <c r="AE1687" s="1561"/>
      <c r="AF1687" s="1307"/>
      <c r="AG1687" s="1309"/>
      <c r="AH1687" s="1306"/>
      <c r="AI1687" s="1309"/>
      <c r="AJ1687" s="1307"/>
      <c r="AM1687" s="1310"/>
    </row>
    <row r="1688" spans="1:40" s="1087" customFormat="1" ht="14.4" x14ac:dyDescent="0.3">
      <c r="A1688" s="1311"/>
      <c r="B1688" s="1312"/>
      <c r="C1688" s="1305"/>
      <c r="D1688" s="1312"/>
      <c r="E1688" s="1312"/>
      <c r="F1688" s="1312"/>
      <c r="G1688" s="1312"/>
      <c r="H1688" s="1313"/>
      <c r="I1688" s="1314"/>
      <c r="J1688" s="1306"/>
      <c r="K1688" s="1644"/>
      <c r="L1688" s="1644"/>
      <c r="M1688" s="1307"/>
      <c r="N1688" s="1307"/>
      <c r="O1688" s="1307"/>
      <c r="P1688" s="1307"/>
      <c r="Q1688" s="1308"/>
      <c r="R1688" s="1307"/>
      <c r="S1688" s="1308"/>
      <c r="T1688" s="1307"/>
      <c r="U1688" s="1308"/>
      <c r="V1688" s="1307"/>
      <c r="W1688" s="1308"/>
      <c r="X1688" s="1307"/>
      <c r="Y1688" s="1308"/>
      <c r="Z1688" s="1307"/>
      <c r="AA1688" s="1308"/>
      <c r="AB1688" s="1307"/>
      <c r="AC1688" s="1308"/>
      <c r="AD1688" s="1308"/>
      <c r="AE1688" s="1561"/>
      <c r="AF1688" s="1307"/>
      <c r="AG1688" s="1309"/>
      <c r="AH1688" s="1306"/>
      <c r="AI1688" s="1309"/>
      <c r="AJ1688" s="1307"/>
      <c r="AM1688" s="1310"/>
    </row>
    <row r="1689" spans="1:40" s="1087" customFormat="1" ht="14.4" x14ac:dyDescent="0.3">
      <c r="A1689" s="1311"/>
      <c r="B1689" s="1312"/>
      <c r="C1689" s="1305"/>
      <c r="D1689" s="1312"/>
      <c r="E1689" s="1312"/>
      <c r="F1689" s="1312"/>
      <c r="G1689" s="1312"/>
      <c r="H1689" s="1313"/>
      <c r="I1689" s="1314"/>
      <c r="J1689" s="1306"/>
      <c r="K1689" s="1644"/>
      <c r="L1689" s="1644"/>
      <c r="M1689" s="1307"/>
      <c r="N1689" s="1307"/>
      <c r="O1689" s="1307"/>
      <c r="P1689" s="1307"/>
      <c r="Q1689" s="1308"/>
      <c r="R1689" s="1307"/>
      <c r="S1689" s="1308"/>
      <c r="T1689" s="1307"/>
      <c r="U1689" s="1308"/>
      <c r="V1689" s="1307"/>
      <c r="W1689" s="1308"/>
      <c r="X1689" s="1307"/>
      <c r="Y1689" s="1308"/>
      <c r="Z1689" s="1307"/>
      <c r="AA1689" s="1308"/>
      <c r="AB1689" s="1307"/>
      <c r="AC1689" s="1308"/>
      <c r="AD1689" s="1308"/>
      <c r="AE1689" s="1561"/>
      <c r="AF1689" s="1307"/>
      <c r="AG1689" s="1309"/>
      <c r="AH1689" s="1306"/>
      <c r="AI1689" s="1309"/>
      <c r="AJ1689" s="1307"/>
      <c r="AM1689" s="1310"/>
    </row>
    <row r="1690" spans="1:40" s="1087" customFormat="1" ht="14.4" x14ac:dyDescent="0.3">
      <c r="A1690" s="1311"/>
      <c r="B1690" s="1312"/>
      <c r="C1690" s="1305"/>
      <c r="D1690" s="1312"/>
      <c r="E1690" s="1312"/>
      <c r="F1690" s="1312"/>
      <c r="G1690" s="1312"/>
      <c r="H1690" s="1313"/>
      <c r="I1690" s="1314"/>
      <c r="J1690" s="1306"/>
      <c r="K1690" s="1644"/>
      <c r="L1690" s="1644"/>
      <c r="M1690" s="1307"/>
      <c r="N1690" s="1307"/>
      <c r="O1690" s="1307"/>
      <c r="P1690" s="1307"/>
      <c r="Q1690" s="1308"/>
      <c r="R1690" s="1307"/>
      <c r="S1690" s="1308"/>
      <c r="T1690" s="1307"/>
      <c r="U1690" s="1308"/>
      <c r="V1690" s="1307"/>
      <c r="W1690" s="1308"/>
      <c r="X1690" s="1307"/>
      <c r="Y1690" s="1308"/>
      <c r="Z1690" s="1307"/>
      <c r="AA1690" s="1308"/>
      <c r="AB1690" s="1307"/>
      <c r="AC1690" s="1308"/>
      <c r="AD1690" s="1308"/>
      <c r="AE1690" s="1561"/>
      <c r="AF1690" s="1307"/>
      <c r="AG1690" s="1309"/>
      <c r="AH1690" s="1306"/>
      <c r="AI1690" s="1309"/>
      <c r="AJ1690" s="1307"/>
      <c r="AM1690" s="1310"/>
    </row>
    <row r="1691" spans="1:40" s="1087" customFormat="1" ht="14.4" x14ac:dyDescent="0.3">
      <c r="A1691" s="1311"/>
      <c r="B1691" s="1312"/>
      <c r="C1691" s="1305"/>
      <c r="D1691" s="1312"/>
      <c r="E1691" s="1312"/>
      <c r="F1691" s="1312"/>
      <c r="G1691" s="1312"/>
      <c r="H1691" s="1313"/>
      <c r="I1691" s="1314"/>
      <c r="J1691" s="1306"/>
      <c r="K1691" s="1644"/>
      <c r="L1691" s="1644"/>
      <c r="M1691" s="1307"/>
      <c r="N1691" s="1307"/>
      <c r="O1691" s="1307"/>
      <c r="P1691" s="1307"/>
      <c r="Q1691" s="1308"/>
      <c r="R1691" s="1307"/>
      <c r="S1691" s="1308"/>
      <c r="T1691" s="1307"/>
      <c r="U1691" s="1308"/>
      <c r="V1691" s="1307"/>
      <c r="W1691" s="1308"/>
      <c r="X1691" s="1307"/>
      <c r="Y1691" s="1308"/>
      <c r="Z1691" s="1307"/>
      <c r="AA1691" s="1308"/>
      <c r="AB1691" s="1307"/>
      <c r="AC1691" s="1308"/>
      <c r="AD1691" s="1308"/>
      <c r="AE1691" s="1561"/>
      <c r="AF1691" s="1307"/>
      <c r="AG1691" s="1309"/>
      <c r="AH1691" s="1306"/>
      <c r="AI1691" s="1309"/>
      <c r="AJ1691" s="1307"/>
      <c r="AM1691" s="1310"/>
    </row>
    <row r="1692" spans="1:40" s="1087" customFormat="1" ht="14.4" x14ac:dyDescent="0.3">
      <c r="A1692" s="1311"/>
      <c r="B1692" s="1312"/>
      <c r="C1692" s="1305"/>
      <c r="D1692" s="1312"/>
      <c r="E1692" s="1312"/>
      <c r="F1692" s="1312"/>
      <c r="G1692" s="1312"/>
      <c r="H1692" s="1313"/>
      <c r="I1692" s="1314"/>
      <c r="J1692" s="1306"/>
      <c r="K1692" s="1644"/>
      <c r="L1692" s="1644"/>
      <c r="M1692" s="1307"/>
      <c r="N1692" s="1307"/>
      <c r="O1692" s="1307"/>
      <c r="P1692" s="1307"/>
      <c r="Q1692" s="1308"/>
      <c r="R1692" s="1307"/>
      <c r="S1692" s="1308"/>
      <c r="T1692" s="1307"/>
      <c r="U1692" s="1308"/>
      <c r="V1692" s="1307"/>
      <c r="W1692" s="1308"/>
      <c r="X1692" s="1307"/>
      <c r="Y1692" s="1308"/>
      <c r="Z1692" s="1307"/>
      <c r="AA1692" s="1308"/>
      <c r="AB1692" s="1307"/>
      <c r="AC1692" s="1308"/>
      <c r="AD1692" s="1308"/>
      <c r="AE1692" s="1561"/>
      <c r="AF1692" s="1307"/>
      <c r="AG1692" s="1309"/>
      <c r="AH1692" s="1306"/>
      <c r="AI1692" s="1309"/>
      <c r="AJ1692" s="1307"/>
      <c r="AM1692" s="1310"/>
    </row>
    <row r="1693" spans="1:40" s="1087" customFormat="1" ht="14.4" x14ac:dyDescent="0.3">
      <c r="A1693" s="1311"/>
      <c r="B1693" s="1312"/>
      <c r="C1693" s="1305"/>
      <c r="D1693" s="1312"/>
      <c r="E1693" s="1312"/>
      <c r="F1693" s="1312"/>
      <c r="G1693" s="1312"/>
      <c r="H1693" s="1313"/>
      <c r="I1693" s="1314"/>
      <c r="J1693" s="1306"/>
      <c r="K1693" s="1644"/>
      <c r="L1693" s="1644"/>
      <c r="M1693" s="1307"/>
      <c r="N1693" s="1307"/>
      <c r="O1693" s="1307"/>
      <c r="P1693" s="1307"/>
      <c r="Q1693" s="1308"/>
      <c r="R1693" s="1307"/>
      <c r="S1693" s="1308"/>
      <c r="T1693" s="1307"/>
      <c r="U1693" s="1308"/>
      <c r="V1693" s="1307"/>
      <c r="W1693" s="1308"/>
      <c r="X1693" s="1307"/>
      <c r="Y1693" s="1308"/>
      <c r="Z1693" s="1307"/>
      <c r="AA1693" s="1308"/>
      <c r="AB1693" s="1307"/>
      <c r="AC1693" s="1308"/>
      <c r="AD1693" s="1308"/>
      <c r="AE1693" s="1561"/>
      <c r="AF1693" s="1307"/>
      <c r="AG1693" s="1309"/>
      <c r="AH1693" s="1306"/>
      <c r="AI1693" s="1309"/>
      <c r="AJ1693" s="1307"/>
      <c r="AM1693" s="1310"/>
    </row>
    <row r="1694" spans="1:40" s="1087" customFormat="1" ht="14.4" x14ac:dyDescent="0.3">
      <c r="A1694" s="1311"/>
      <c r="B1694" s="1312"/>
      <c r="C1694" s="1305"/>
      <c r="D1694" s="1312"/>
      <c r="E1694" s="1312"/>
      <c r="F1694" s="1312"/>
      <c r="G1694" s="1312"/>
      <c r="H1694" s="1313"/>
      <c r="I1694" s="1314"/>
      <c r="J1694" s="1306"/>
      <c r="K1694" s="1644"/>
      <c r="L1694" s="1644"/>
      <c r="M1694" s="1307"/>
      <c r="N1694" s="1307"/>
      <c r="O1694" s="1307"/>
      <c r="P1694" s="1307"/>
      <c r="Q1694" s="1308"/>
      <c r="R1694" s="1307"/>
      <c r="S1694" s="1308"/>
      <c r="T1694" s="1307"/>
      <c r="U1694" s="1308"/>
      <c r="V1694" s="1307"/>
      <c r="W1694" s="1308"/>
      <c r="X1694" s="1307"/>
      <c r="Y1694" s="1308"/>
      <c r="Z1694" s="1307"/>
      <c r="AA1694" s="1308"/>
      <c r="AB1694" s="1307"/>
      <c r="AC1694" s="1308"/>
      <c r="AD1694" s="1308"/>
      <c r="AE1694" s="1561"/>
      <c r="AF1694" s="1307"/>
      <c r="AG1694" s="1309"/>
      <c r="AH1694" s="1306"/>
      <c r="AI1694" s="1309"/>
      <c r="AJ1694" s="1307"/>
      <c r="AM1694" s="1310"/>
    </row>
    <row r="1695" spans="1:40" s="1087" customFormat="1" ht="14.4" x14ac:dyDescent="0.3">
      <c r="A1695" s="1311"/>
      <c r="B1695" s="1312"/>
      <c r="C1695" s="1305"/>
      <c r="D1695" s="1312"/>
      <c r="E1695" s="1312"/>
      <c r="F1695" s="1312"/>
      <c r="G1695" s="1312"/>
      <c r="H1695" s="1313"/>
      <c r="I1695" s="1314"/>
      <c r="J1695" s="1306"/>
      <c r="K1695" s="1644"/>
      <c r="L1695" s="1644"/>
      <c r="M1695" s="1307"/>
      <c r="N1695" s="1307"/>
      <c r="O1695" s="1307"/>
      <c r="P1695" s="1307"/>
      <c r="Q1695" s="1308"/>
      <c r="R1695" s="1307"/>
      <c r="S1695" s="1308"/>
      <c r="T1695" s="1307"/>
      <c r="U1695" s="1308"/>
      <c r="V1695" s="1307"/>
      <c r="W1695" s="1308"/>
      <c r="X1695" s="1307"/>
      <c r="Y1695" s="1308"/>
      <c r="Z1695" s="1307"/>
      <c r="AA1695" s="1308"/>
      <c r="AB1695" s="1307"/>
      <c r="AC1695" s="1308"/>
      <c r="AD1695" s="1308"/>
      <c r="AE1695" s="1561"/>
      <c r="AF1695" s="1307"/>
      <c r="AG1695" s="1309"/>
      <c r="AH1695" s="1306"/>
      <c r="AI1695" s="1309"/>
      <c r="AJ1695" s="1307"/>
      <c r="AM1695" s="1310"/>
    </row>
    <row r="1696" spans="1:40" ht="23.4" customHeight="1" x14ac:dyDescent="0.3">
      <c r="H1696" s="1313"/>
      <c r="M1696" s="1307"/>
      <c r="N1696" s="1307"/>
      <c r="O1696" s="1307"/>
      <c r="P1696" s="1307"/>
      <c r="Q1696" s="1308"/>
      <c r="R1696" s="1307"/>
      <c r="S1696" s="1308"/>
      <c r="T1696" s="1307"/>
      <c r="U1696" s="1308"/>
      <c r="V1696" s="1307"/>
      <c r="W1696" s="1308"/>
      <c r="X1696" s="1307"/>
      <c r="Y1696" s="1308"/>
      <c r="Z1696" s="1307"/>
      <c r="AA1696" s="1308"/>
      <c r="AB1696" s="1307"/>
      <c r="AC1696" s="1308"/>
      <c r="AD1696" s="1308"/>
      <c r="AE1696" s="1561"/>
      <c r="AF1696" s="1307"/>
      <c r="AG1696" s="1309"/>
      <c r="AI1696" s="1309"/>
      <c r="AJ1696" s="1307"/>
      <c r="AK1696" s="1087"/>
      <c r="AL1696" s="1087"/>
      <c r="AM1696" s="1310"/>
      <c r="AN1696" s="1087"/>
    </row>
    <row r="1697" spans="1:40" ht="23.4" customHeight="1" x14ac:dyDescent="0.3">
      <c r="H1697" s="1313"/>
      <c r="M1697" s="1307"/>
      <c r="N1697" s="1307"/>
      <c r="O1697" s="1307"/>
      <c r="P1697" s="1307"/>
      <c r="Q1697" s="1308"/>
      <c r="R1697" s="1307"/>
      <c r="S1697" s="1308"/>
      <c r="T1697" s="1307"/>
      <c r="U1697" s="1308"/>
      <c r="V1697" s="1307"/>
      <c r="W1697" s="1308"/>
      <c r="X1697" s="1307"/>
      <c r="Y1697" s="1308"/>
      <c r="Z1697" s="1307"/>
      <c r="AA1697" s="1308"/>
      <c r="AB1697" s="1307"/>
      <c r="AC1697" s="1308"/>
      <c r="AD1697" s="1308"/>
      <c r="AE1697" s="1561"/>
      <c r="AF1697" s="1307"/>
      <c r="AG1697" s="1309"/>
      <c r="AI1697" s="1309"/>
      <c r="AJ1697" s="1307"/>
      <c r="AK1697" s="1087"/>
      <c r="AL1697" s="1087"/>
      <c r="AM1697" s="1310"/>
      <c r="AN1697" s="1087"/>
    </row>
    <row r="1698" spans="1:40" ht="23.4" customHeight="1" x14ac:dyDescent="0.3">
      <c r="A1698" s="102"/>
      <c r="B1698" s="104"/>
      <c r="D1698" s="104"/>
      <c r="E1698" s="104"/>
      <c r="F1698" s="104"/>
      <c r="G1698" s="104"/>
      <c r="H1698" s="1262"/>
      <c r="I1698" s="1315"/>
      <c r="J1698" s="1262"/>
      <c r="K1698" s="1641"/>
      <c r="L1698" s="1641"/>
      <c r="M1698" s="1315"/>
      <c r="N1698" s="1315"/>
      <c r="O1698" s="1315"/>
      <c r="P1698" s="1315"/>
      <c r="Q1698" s="1316"/>
      <c r="R1698" s="1315"/>
      <c r="S1698" s="1316"/>
      <c r="T1698" s="1315"/>
      <c r="U1698" s="1316"/>
      <c r="V1698" s="1315"/>
      <c r="W1698" s="1316"/>
      <c r="X1698" s="1315"/>
      <c r="Y1698" s="1316"/>
      <c r="Z1698" s="1315"/>
      <c r="AA1698" s="1316"/>
      <c r="AB1698" s="1315"/>
      <c r="AC1698" s="1316"/>
      <c r="AD1698" s="1316"/>
      <c r="AE1698" s="1562"/>
      <c r="AF1698" s="1315"/>
      <c r="AG1698" s="1317"/>
      <c r="AH1698" s="1262"/>
      <c r="AI1698" s="398"/>
      <c r="AJ1698" s="246"/>
      <c r="AK1698" s="104"/>
      <c r="AL1698" s="104"/>
      <c r="AM1698" s="1268"/>
      <c r="AN1698" s="1318"/>
    </row>
    <row r="1699" spans="1:40" ht="23.4" customHeight="1" x14ac:dyDescent="0.3">
      <c r="A1699" s="102"/>
      <c r="B1699" s="104"/>
      <c r="D1699" s="104"/>
      <c r="E1699" s="104"/>
      <c r="F1699" s="104"/>
      <c r="G1699" s="104"/>
      <c r="H1699" s="1262"/>
      <c r="I1699" s="1315"/>
      <c r="J1699" s="1262"/>
      <c r="K1699" s="1641"/>
      <c r="L1699" s="1641"/>
      <c r="M1699" s="1315"/>
      <c r="N1699" s="1315"/>
      <c r="O1699" s="1315"/>
      <c r="P1699" s="1315"/>
      <c r="Q1699" s="1316"/>
      <c r="R1699" s="1315"/>
      <c r="S1699" s="1316"/>
      <c r="T1699" s="1315"/>
      <c r="U1699" s="1316"/>
      <c r="V1699" s="1315"/>
      <c r="W1699" s="1316"/>
      <c r="X1699" s="1315"/>
      <c r="Y1699" s="1316"/>
      <c r="Z1699" s="1315"/>
      <c r="AA1699" s="1316"/>
      <c r="AB1699" s="1315"/>
      <c r="AC1699" s="1316"/>
      <c r="AD1699" s="1316"/>
      <c r="AE1699" s="1562"/>
      <c r="AF1699" s="1315"/>
      <c r="AG1699" s="1317"/>
      <c r="AH1699" s="1262"/>
      <c r="AI1699" s="398"/>
      <c r="AJ1699" s="246"/>
      <c r="AK1699" s="104"/>
      <c r="AL1699" s="104"/>
      <c r="AM1699" s="1268"/>
      <c r="AN1699" s="1318"/>
    </row>
  </sheetData>
  <autoFilter ref="A1:AN1606" xr:uid="{00000000-0009-0000-0000-000000000000}"/>
  <mergeCells count="32">
    <mergeCell ref="M1586:N1586"/>
    <mergeCell ref="M1587:N1587"/>
    <mergeCell ref="M1580:N1580"/>
    <mergeCell ref="M1581:N1581"/>
    <mergeCell ref="M1582:N1582"/>
    <mergeCell ref="M1583:N1583"/>
    <mergeCell ref="M1584:N1584"/>
    <mergeCell ref="M1585:N1585"/>
    <mergeCell ref="M1579:N1579"/>
    <mergeCell ref="M728:N728"/>
    <mergeCell ref="M729:N729"/>
    <mergeCell ref="M731:N731"/>
    <mergeCell ref="M1571:N1571"/>
    <mergeCell ref="M1572:N1572"/>
    <mergeCell ref="M1573:N1573"/>
    <mergeCell ref="M1574:N1574"/>
    <mergeCell ref="M1575:N1575"/>
    <mergeCell ref="M1576:N1576"/>
    <mergeCell ref="M1577:N1577"/>
    <mergeCell ref="M1578:N1578"/>
    <mergeCell ref="M727:N727"/>
    <mergeCell ref="M289:N289"/>
    <mergeCell ref="M290:N290"/>
    <mergeCell ref="M291:N291"/>
    <mergeCell ref="M302:N302"/>
    <mergeCell ref="M303:N303"/>
    <mergeCell ref="M304:N304"/>
    <mergeCell ref="M305:N305"/>
    <mergeCell ref="M723:N723"/>
    <mergeCell ref="M724:N724"/>
    <mergeCell ref="M725:N725"/>
    <mergeCell ref="M726:N726"/>
  </mergeCells>
  <phoneticPr fontId="32" type="noConversion"/>
  <pageMargins left="0.70000000000000007" right="0.70000000000000007" top="0.75" bottom="0.75" header="0.30000000000000004" footer="0.30000000000000004"/>
  <pageSetup scale="10" fitToWidth="0"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rgb="FF00B050"/>
  </sheetPr>
  <dimension ref="A1:AS16"/>
  <sheetViews>
    <sheetView tabSelected="1" topLeftCell="A7" zoomScale="85" zoomScaleNormal="85" workbookViewId="0">
      <selection activeCell="O10" sqref="O10"/>
    </sheetView>
  </sheetViews>
  <sheetFormatPr defaultColWidth="9.109375" defaultRowHeight="13.2" x14ac:dyDescent="0.3"/>
  <cols>
    <col min="1" max="1" width="20.6640625" style="1856" customWidth="1"/>
    <col min="2" max="2" width="17.5546875" style="1856" hidden="1" customWidth="1"/>
    <col min="3" max="3" width="19.33203125" style="1856" hidden="1" customWidth="1"/>
    <col min="4" max="4" width="26.6640625" style="1856" hidden="1" customWidth="1"/>
    <col min="5" max="5" width="27.6640625" style="1856" hidden="1" customWidth="1"/>
    <col min="6" max="8" width="23.33203125" style="1856" hidden="1" customWidth="1"/>
    <col min="9" max="9" width="33.6640625" style="1856" hidden="1" customWidth="1"/>
    <col min="10" max="11" width="26.33203125" style="1856" hidden="1" customWidth="1"/>
    <col min="12" max="12" width="23.44140625" style="1856" customWidth="1"/>
    <col min="13" max="13" width="26.5546875" style="1856" customWidth="1"/>
    <col min="14" max="14" width="16.33203125" style="1856" customWidth="1"/>
    <col min="15" max="15" width="17" style="1856" customWidth="1"/>
    <col min="16" max="16" width="16" style="1856" customWidth="1"/>
    <col min="17" max="17" width="16.88671875" style="1856" customWidth="1"/>
    <col min="18" max="18" width="23" style="1856" customWidth="1"/>
    <col min="19" max="19" width="29.33203125" style="1856" customWidth="1"/>
    <col min="20" max="20" width="31.6640625" style="1856" customWidth="1"/>
    <col min="21" max="21" width="19.88671875" style="1856" customWidth="1"/>
    <col min="22" max="22" width="19.44140625" style="1856" customWidth="1"/>
    <col min="23" max="23" width="22.109375" style="1856" customWidth="1"/>
    <col min="24" max="24" width="18.88671875" style="1856" customWidth="1"/>
    <col min="25" max="25" width="22.6640625" style="1856" customWidth="1"/>
    <col min="26" max="28" width="26.88671875" style="1856" customWidth="1"/>
    <col min="29" max="32" width="29" style="1856" customWidth="1"/>
    <col min="33" max="33" width="25.5546875" style="1856" customWidth="1"/>
    <col min="34" max="34" width="29.6640625" style="1856" customWidth="1"/>
    <col min="35" max="35" width="41.109375" style="1856" customWidth="1"/>
    <col min="36" max="36" width="25.109375" style="1856" customWidth="1"/>
    <col min="37" max="37" width="29.5546875" style="1856" customWidth="1"/>
    <col min="38" max="38" width="25.6640625" style="1856" customWidth="1"/>
    <col min="39" max="39" width="30.44140625" style="1856" customWidth="1"/>
    <col min="40" max="40" width="31.5546875" style="1856" customWidth="1"/>
    <col min="41" max="41" width="32" style="1856" customWidth="1"/>
    <col min="42" max="43" width="35" style="1856" customWidth="1"/>
    <col min="44" max="44" width="29.109375" style="1856" customWidth="1"/>
    <col min="45" max="45" width="32.5546875" style="1856" customWidth="1"/>
    <col min="46" max="16384" width="9.109375" style="1856"/>
  </cols>
  <sheetData>
    <row r="1" spans="1:45" ht="13.8" thickBot="1" x14ac:dyDescent="0.35">
      <c r="A1" s="1898"/>
      <c r="B1" s="1898"/>
      <c r="C1" s="1898"/>
      <c r="D1" s="1898"/>
      <c r="E1" s="1898"/>
      <c r="F1" s="1898"/>
      <c r="G1" s="1898"/>
      <c r="H1" s="1898"/>
      <c r="I1" s="1898"/>
      <c r="J1" s="1899"/>
      <c r="K1" s="1892" t="s">
        <v>4056</v>
      </c>
      <c r="L1" s="1893"/>
      <c r="M1" s="1893"/>
      <c r="N1" s="1893"/>
      <c r="O1" s="1893"/>
      <c r="P1" s="1893"/>
      <c r="Q1" s="1893"/>
      <c r="R1" s="1893"/>
      <c r="S1" s="1893"/>
      <c r="T1" s="1893"/>
      <c r="U1" s="1893"/>
      <c r="V1" s="1893"/>
      <c r="W1" s="1893"/>
      <c r="X1" s="1893"/>
      <c r="Y1" s="1893"/>
      <c r="Z1" s="1893"/>
      <c r="AA1" s="1893"/>
      <c r="AB1" s="1893"/>
      <c r="AC1" s="1893"/>
      <c r="AD1" s="1893"/>
      <c r="AE1" s="1893"/>
      <c r="AF1" s="1893"/>
      <c r="AG1" s="1893"/>
      <c r="AH1" s="1893"/>
      <c r="AI1" s="1894"/>
      <c r="AJ1" s="1895" t="s">
        <v>4058</v>
      </c>
      <c r="AK1" s="1896"/>
      <c r="AL1" s="1896"/>
      <c r="AM1" s="1896"/>
      <c r="AN1" s="1896"/>
      <c r="AO1" s="1896"/>
      <c r="AP1" s="1896"/>
      <c r="AQ1" s="1897"/>
      <c r="AR1" s="1854" t="s">
        <v>4059</v>
      </c>
      <c r="AS1" s="1855" t="s">
        <v>4060</v>
      </c>
    </row>
    <row r="2" spans="1:45" s="1857" customFormat="1" ht="222" customHeight="1" thickBot="1" x14ac:dyDescent="0.35">
      <c r="A2" s="1831" t="s">
        <v>4017</v>
      </c>
      <c r="B2" s="1832" t="s">
        <v>4013</v>
      </c>
      <c r="C2" s="1832" t="s">
        <v>4014</v>
      </c>
      <c r="D2" s="1832" t="s">
        <v>4020</v>
      </c>
      <c r="E2" s="1832" t="s">
        <v>4019</v>
      </c>
      <c r="F2" s="1830" t="s">
        <v>4015</v>
      </c>
      <c r="G2" s="1830" t="s">
        <v>4018</v>
      </c>
      <c r="H2" s="1830" t="s">
        <v>4016</v>
      </c>
      <c r="I2" s="1833" t="s">
        <v>4021</v>
      </c>
      <c r="J2" s="1834" t="s">
        <v>4022</v>
      </c>
      <c r="K2" s="1835" t="s">
        <v>16</v>
      </c>
      <c r="L2" s="1836" t="s">
        <v>4023</v>
      </c>
      <c r="M2" s="1837" t="s">
        <v>4024</v>
      </c>
      <c r="N2" s="1836" t="s">
        <v>4025</v>
      </c>
      <c r="O2" s="1838" t="s">
        <v>4027</v>
      </c>
      <c r="P2" s="1839" t="s">
        <v>4026</v>
      </c>
      <c r="Q2" s="1837" t="s">
        <v>4028</v>
      </c>
      <c r="R2" s="1837" t="s">
        <v>4031</v>
      </c>
      <c r="S2" s="1840" t="s">
        <v>4029</v>
      </c>
      <c r="T2" s="1840" t="s">
        <v>4030</v>
      </c>
      <c r="U2" s="1841" t="s">
        <v>4032</v>
      </c>
      <c r="V2" s="1842" t="s">
        <v>4033</v>
      </c>
      <c r="W2" s="1843" t="s">
        <v>4034</v>
      </c>
      <c r="X2" s="1842" t="s">
        <v>4035</v>
      </c>
      <c r="Y2" s="1842" t="s">
        <v>4036</v>
      </c>
      <c r="Z2" s="1844" t="s">
        <v>4037</v>
      </c>
      <c r="AA2" s="1844" t="s">
        <v>4045</v>
      </c>
      <c r="AB2" s="1845" t="s">
        <v>4039</v>
      </c>
      <c r="AC2" s="1845" t="s">
        <v>4040</v>
      </c>
      <c r="AD2" s="1845" t="s">
        <v>4042</v>
      </c>
      <c r="AE2" s="1845" t="s">
        <v>4043</v>
      </c>
      <c r="AF2" s="1846" t="s">
        <v>4038</v>
      </c>
      <c r="AG2" s="1846" t="s">
        <v>4041</v>
      </c>
      <c r="AH2" s="1847" t="s">
        <v>4044</v>
      </c>
      <c r="AI2" s="1848" t="s">
        <v>4046</v>
      </c>
      <c r="AJ2" s="1849" t="s">
        <v>4047</v>
      </c>
      <c r="AK2" s="1849" t="s">
        <v>4055</v>
      </c>
      <c r="AL2" s="1850" t="s">
        <v>4048</v>
      </c>
      <c r="AM2" s="1851" t="s">
        <v>4049</v>
      </c>
      <c r="AN2" s="1828" t="s">
        <v>4050</v>
      </c>
      <c r="AO2" s="1852" t="s">
        <v>4051</v>
      </c>
      <c r="AP2" s="1828" t="s">
        <v>4052</v>
      </c>
      <c r="AQ2" s="1828" t="s">
        <v>4057</v>
      </c>
      <c r="AR2" s="1853" t="s">
        <v>4053</v>
      </c>
      <c r="AS2" s="1829" t="s">
        <v>4054</v>
      </c>
    </row>
    <row r="3" spans="1:45" hidden="1" x14ac:dyDescent="0.3"/>
    <row r="4" spans="1:45" ht="39.6" x14ac:dyDescent="0.3">
      <c r="A4" s="1856" t="s">
        <v>4061</v>
      </c>
      <c r="L4" s="1859" t="s">
        <v>4062</v>
      </c>
      <c r="M4" s="1858" t="s">
        <v>4063</v>
      </c>
      <c r="N4" s="1856" t="s">
        <v>4064</v>
      </c>
      <c r="O4" s="1856">
        <v>306.36</v>
      </c>
      <c r="P4" s="1860">
        <v>1500</v>
      </c>
      <c r="Q4" s="1859">
        <v>4.8962000000000003</v>
      </c>
      <c r="R4" s="1856" t="s">
        <v>4065</v>
      </c>
      <c r="S4" s="1862">
        <v>44960</v>
      </c>
      <c r="T4" s="1862">
        <v>44967</v>
      </c>
      <c r="U4" s="1859" t="s">
        <v>4066</v>
      </c>
      <c r="V4" s="1856" t="s">
        <v>4066</v>
      </c>
      <c r="W4" s="1859" t="s">
        <v>4069</v>
      </c>
      <c r="X4" s="1859" t="s">
        <v>4069</v>
      </c>
      <c r="Y4" s="1856" t="s">
        <v>4070</v>
      </c>
      <c r="Z4" s="1858" t="s">
        <v>4071</v>
      </c>
      <c r="AA4" s="1859">
        <v>31600943</v>
      </c>
      <c r="AB4" s="1859" t="s">
        <v>4072</v>
      </c>
      <c r="AC4" s="1856" t="s">
        <v>4073</v>
      </c>
      <c r="AD4" s="1861">
        <v>1500</v>
      </c>
      <c r="AE4" s="1859">
        <v>306.36</v>
      </c>
      <c r="AF4" s="1862">
        <v>45016</v>
      </c>
      <c r="AG4" s="1856" t="s">
        <v>4074</v>
      </c>
      <c r="AH4" s="1856" t="s">
        <v>4075</v>
      </c>
      <c r="AI4" s="1856" t="s">
        <v>4076</v>
      </c>
      <c r="AJ4" s="1856" t="s">
        <v>4074</v>
      </c>
      <c r="AK4" s="1861">
        <v>1500</v>
      </c>
      <c r="AL4" s="1862">
        <v>45016</v>
      </c>
      <c r="AM4" s="1856" t="s">
        <v>4078</v>
      </c>
      <c r="AN4" s="1861">
        <v>1500</v>
      </c>
      <c r="AO4" s="1859">
        <v>150</v>
      </c>
      <c r="AP4" s="1856" t="s">
        <v>4079</v>
      </c>
      <c r="AQ4" s="1856" t="s">
        <v>4080</v>
      </c>
      <c r="AR4" s="1859">
        <v>528</v>
      </c>
    </row>
    <row r="5" spans="1:45" ht="105.6" x14ac:dyDescent="0.3">
      <c r="A5" s="1856" t="s">
        <v>4061</v>
      </c>
      <c r="L5" s="1859" t="s">
        <v>4062</v>
      </c>
      <c r="M5" s="1858" t="s">
        <v>4081</v>
      </c>
      <c r="N5" s="1856" t="s">
        <v>4064</v>
      </c>
      <c r="O5" s="1863">
        <v>1838.16</v>
      </c>
      <c r="P5" s="1860">
        <v>9000</v>
      </c>
      <c r="Q5" s="1859">
        <v>4.8962000000000003</v>
      </c>
      <c r="R5" s="1856" t="s">
        <v>4065</v>
      </c>
      <c r="S5" s="1862">
        <v>44960</v>
      </c>
      <c r="T5" s="1862">
        <v>44967</v>
      </c>
      <c r="U5" s="1856" t="s">
        <v>4083</v>
      </c>
      <c r="V5" s="1856" t="s">
        <v>4083</v>
      </c>
      <c r="W5" s="1856" t="s">
        <v>4068</v>
      </c>
      <c r="X5" s="1856" t="s">
        <v>4084</v>
      </c>
      <c r="Y5" s="1856" t="s">
        <v>4085</v>
      </c>
      <c r="Z5" s="1858" t="s">
        <v>4071</v>
      </c>
      <c r="AA5" s="1859">
        <v>31600943</v>
      </c>
      <c r="AB5" s="1859" t="s">
        <v>4086</v>
      </c>
      <c r="AC5" s="1856" t="s">
        <v>4073</v>
      </c>
      <c r="AD5" s="1861">
        <v>9000</v>
      </c>
      <c r="AE5" s="1864">
        <v>1838.16</v>
      </c>
      <c r="AF5" s="1862">
        <v>45016</v>
      </c>
      <c r="AG5" s="1856" t="s">
        <v>4070</v>
      </c>
      <c r="AH5" s="1856" t="s">
        <v>4077</v>
      </c>
      <c r="AI5" s="1856" t="s">
        <v>4087</v>
      </c>
      <c r="AJ5" s="1856" t="s">
        <v>4088</v>
      </c>
      <c r="AK5" s="1861">
        <v>9000</v>
      </c>
      <c r="AL5" s="1862">
        <v>45016</v>
      </c>
      <c r="AM5" s="1856" t="s">
        <v>4078</v>
      </c>
      <c r="AN5" s="1861">
        <v>9000</v>
      </c>
      <c r="AO5" s="1859">
        <v>151</v>
      </c>
      <c r="AP5" s="1856" t="s">
        <v>4075</v>
      </c>
      <c r="AQ5" s="1856" t="s">
        <v>4089</v>
      </c>
      <c r="AR5" s="1859">
        <v>527</v>
      </c>
    </row>
    <row r="6" spans="1:45" ht="171.6" x14ac:dyDescent="0.3">
      <c r="A6" s="1856" t="s">
        <v>4061</v>
      </c>
      <c r="L6" s="1859" t="s">
        <v>4062</v>
      </c>
      <c r="M6" s="1858" t="s">
        <v>4100</v>
      </c>
      <c r="N6" s="1856" t="s">
        <v>4090</v>
      </c>
      <c r="O6" s="1863">
        <v>4901.76</v>
      </c>
      <c r="P6" s="1860">
        <v>24000</v>
      </c>
      <c r="Q6" s="1859">
        <v>4.8962000000000003</v>
      </c>
      <c r="R6" s="1856" t="s">
        <v>4065</v>
      </c>
      <c r="S6" s="1862">
        <v>44960</v>
      </c>
      <c r="T6" s="1862">
        <v>44967</v>
      </c>
      <c r="U6" s="1856" t="s">
        <v>4091</v>
      </c>
      <c r="V6" s="1856" t="s">
        <v>4092</v>
      </c>
      <c r="W6" s="1856" t="s">
        <v>4082</v>
      </c>
      <c r="X6" s="1856" t="s">
        <v>4084</v>
      </c>
      <c r="Y6" s="1856" t="s">
        <v>4085</v>
      </c>
      <c r="Z6" s="1856" t="s">
        <v>4093</v>
      </c>
      <c r="AA6" s="1859">
        <v>36296927</v>
      </c>
      <c r="AB6" s="1859" t="s">
        <v>4094</v>
      </c>
      <c r="AC6" s="1856" t="s">
        <v>4088</v>
      </c>
      <c r="AD6" s="1861">
        <v>24000</v>
      </c>
      <c r="AE6" s="1864">
        <v>4901.76</v>
      </c>
      <c r="AF6" s="1862">
        <v>45016</v>
      </c>
      <c r="AG6" s="1856" t="s">
        <v>4088</v>
      </c>
      <c r="AH6" s="1856" t="s">
        <v>4095</v>
      </c>
      <c r="AK6" s="1861">
        <v>28560</v>
      </c>
      <c r="AL6" s="1862">
        <v>45016</v>
      </c>
      <c r="AM6" s="1856" t="s">
        <v>4096</v>
      </c>
      <c r="AN6" s="1861">
        <v>28560</v>
      </c>
      <c r="AO6" s="1859">
        <v>4</v>
      </c>
      <c r="AP6" s="1856" t="s">
        <v>4089</v>
      </c>
      <c r="AQ6" s="1856" t="s">
        <v>4079</v>
      </c>
      <c r="AR6" s="1859" t="s">
        <v>4097</v>
      </c>
    </row>
    <row r="7" spans="1:45" ht="145.19999999999999" x14ac:dyDescent="0.3">
      <c r="A7" s="1856" t="s">
        <v>4061</v>
      </c>
      <c r="L7" s="1856" t="s">
        <v>4062</v>
      </c>
      <c r="M7" s="1858" t="s">
        <v>4098</v>
      </c>
      <c r="N7" s="1856" t="s">
        <v>4099</v>
      </c>
      <c r="O7" s="1863">
        <v>7756.21</v>
      </c>
      <c r="P7" s="1860">
        <v>38000</v>
      </c>
      <c r="Q7" s="1856">
        <v>4.8993000000000002</v>
      </c>
      <c r="R7" s="1856" t="s">
        <v>4065</v>
      </c>
      <c r="S7" s="1862">
        <v>44966</v>
      </c>
      <c r="T7" s="1862">
        <v>44972</v>
      </c>
      <c r="U7" s="1856" t="s">
        <v>4101</v>
      </c>
      <c r="V7" s="1856" t="s">
        <v>4101</v>
      </c>
      <c r="W7" s="1856" t="s">
        <v>4082</v>
      </c>
      <c r="X7" s="1856" t="s">
        <v>4084</v>
      </c>
      <c r="Y7" s="1856" t="s">
        <v>4085</v>
      </c>
      <c r="Z7" s="1858" t="s">
        <v>4102</v>
      </c>
      <c r="AA7" s="1859">
        <v>19893984</v>
      </c>
      <c r="AB7" s="1859" t="s">
        <v>4103</v>
      </c>
      <c r="AC7" s="1856" t="s">
        <v>4088</v>
      </c>
      <c r="AD7" s="1861">
        <v>38000</v>
      </c>
      <c r="AE7" s="1864">
        <v>7756.21</v>
      </c>
      <c r="AF7" s="1862">
        <v>46206</v>
      </c>
      <c r="AG7" s="1856" t="s">
        <v>4074</v>
      </c>
      <c r="AH7" s="1856" t="s">
        <v>4073</v>
      </c>
      <c r="AK7" s="1861">
        <v>45220</v>
      </c>
      <c r="AL7" s="1862">
        <v>46206</v>
      </c>
      <c r="AM7" s="1856" t="s">
        <v>4104</v>
      </c>
      <c r="AN7" s="1861">
        <v>5950</v>
      </c>
      <c r="AO7" s="1859">
        <v>7</v>
      </c>
      <c r="AP7" s="1856" t="s">
        <v>4089</v>
      </c>
      <c r="AQ7" s="1856" t="s">
        <v>4105</v>
      </c>
      <c r="AR7" s="1859">
        <v>385</v>
      </c>
    </row>
    <row r="8" spans="1:45" ht="132" x14ac:dyDescent="0.3">
      <c r="A8" s="1856" t="s">
        <v>4061</v>
      </c>
      <c r="L8" s="1856" t="s">
        <v>4062</v>
      </c>
      <c r="M8" s="1858" t="s">
        <v>4112</v>
      </c>
      <c r="N8" s="1856" t="s">
        <v>4099</v>
      </c>
      <c r="O8" s="1863">
        <v>8645.65</v>
      </c>
      <c r="P8" s="1863">
        <v>43000</v>
      </c>
      <c r="Q8" s="1859">
        <v>4.9736000000000002</v>
      </c>
      <c r="R8" s="1856" t="s">
        <v>4065</v>
      </c>
      <c r="S8" s="1862">
        <v>45482</v>
      </c>
      <c r="T8" s="1862">
        <v>45484</v>
      </c>
      <c r="U8" s="1856" t="s">
        <v>4113</v>
      </c>
      <c r="V8" s="1856" t="s">
        <v>4114</v>
      </c>
      <c r="W8" s="1856" t="s">
        <v>4084</v>
      </c>
      <c r="X8" s="1856" t="s">
        <v>4067</v>
      </c>
      <c r="Y8" s="1856" t="s">
        <v>4085</v>
      </c>
      <c r="Z8" s="1858" t="s">
        <v>4102</v>
      </c>
      <c r="AA8" s="1859">
        <v>19893984</v>
      </c>
      <c r="AB8" s="1859" t="s">
        <v>4115</v>
      </c>
      <c r="AC8" s="1856" t="s">
        <v>4088</v>
      </c>
      <c r="AD8" s="1861">
        <v>43000</v>
      </c>
      <c r="AE8" s="1864">
        <v>8645.65</v>
      </c>
      <c r="AF8" s="1862">
        <v>46206</v>
      </c>
      <c r="AG8" s="1856" t="s">
        <v>4074</v>
      </c>
      <c r="AH8" s="1856" t="s">
        <v>4095</v>
      </c>
      <c r="AI8" s="1856" t="s">
        <v>4087</v>
      </c>
      <c r="AJ8" s="1856" t="s">
        <v>4075</v>
      </c>
      <c r="AK8" s="1856" t="s">
        <v>4116</v>
      </c>
      <c r="AL8" s="1856" t="s">
        <v>4075</v>
      </c>
      <c r="AM8" s="1856" t="s">
        <v>4075</v>
      </c>
      <c r="AN8" s="1856" t="s">
        <v>4079</v>
      </c>
      <c r="AO8" s="1856" t="s">
        <v>4105</v>
      </c>
      <c r="AP8" s="1856" t="s">
        <v>4080</v>
      </c>
      <c r="AQ8" s="1856" t="s">
        <v>4080</v>
      </c>
      <c r="AR8" s="1856" t="s">
        <v>4077</v>
      </c>
    </row>
    <row r="9" spans="1:45" ht="105.6" x14ac:dyDescent="0.3">
      <c r="A9" s="1856" t="s">
        <v>4061</v>
      </c>
      <c r="L9" s="1856" t="s">
        <v>4106</v>
      </c>
      <c r="M9" s="1858" t="s">
        <v>4107</v>
      </c>
      <c r="N9" s="1856" t="s">
        <v>4108</v>
      </c>
      <c r="O9" s="1863">
        <v>271334.36</v>
      </c>
      <c r="P9" s="1863">
        <v>1350485.4</v>
      </c>
      <c r="Q9" s="1859">
        <v>4.9771999999999998</v>
      </c>
      <c r="R9" s="1856" t="s">
        <v>4109</v>
      </c>
      <c r="S9" s="1862">
        <v>45477</v>
      </c>
      <c r="T9" s="1862">
        <v>45523</v>
      </c>
      <c r="U9" s="1856" t="s">
        <v>4110</v>
      </c>
      <c r="V9" s="1856" t="s">
        <v>4067</v>
      </c>
      <c r="W9" s="1856" t="s">
        <v>4111</v>
      </c>
      <c r="X9" s="1856" t="s">
        <v>4084</v>
      </c>
      <c r="Y9" s="1856" t="s">
        <v>4085</v>
      </c>
      <c r="Z9" s="1856" t="s">
        <v>4088</v>
      </c>
      <c r="AA9" s="1856" t="s">
        <v>4073</v>
      </c>
      <c r="AB9" s="1856" t="s">
        <v>4088</v>
      </c>
      <c r="AC9" s="1856" t="s">
        <v>4088</v>
      </c>
      <c r="AD9" s="1856" t="s">
        <v>4075</v>
      </c>
      <c r="AE9" s="1856" t="s">
        <v>4116</v>
      </c>
      <c r="AF9" s="1856" t="s">
        <v>4077</v>
      </c>
      <c r="AG9" s="1856" t="s">
        <v>4074</v>
      </c>
      <c r="AH9" s="1856" t="s">
        <v>4077</v>
      </c>
      <c r="AI9" s="1856" t="s">
        <v>4117</v>
      </c>
      <c r="AJ9" s="1856" t="s">
        <v>4088</v>
      </c>
      <c r="AK9" s="1856" t="s">
        <v>4075</v>
      </c>
      <c r="AL9" s="1856" t="s">
        <v>4079</v>
      </c>
      <c r="AM9" s="1856" t="s">
        <v>4075</v>
      </c>
      <c r="AN9" s="1856" t="s">
        <v>4080</v>
      </c>
      <c r="AO9" s="1856" t="s">
        <v>4089</v>
      </c>
      <c r="AP9" s="1856" t="s">
        <v>4118</v>
      </c>
      <c r="AQ9" s="1856" t="s">
        <v>4118</v>
      </c>
      <c r="AR9" s="1856" t="s">
        <v>4077</v>
      </c>
      <c r="AS9" s="1856" t="s">
        <v>4119</v>
      </c>
    </row>
    <row r="10" spans="1:45" ht="145.19999999999999" x14ac:dyDescent="0.3">
      <c r="A10" s="1856" t="s">
        <v>4061</v>
      </c>
      <c r="L10" s="1856" t="s">
        <v>4062</v>
      </c>
      <c r="M10" s="1858" t="s">
        <v>4120</v>
      </c>
      <c r="N10" s="1865" t="s">
        <v>4122</v>
      </c>
      <c r="O10" s="1866">
        <v>1909.64</v>
      </c>
      <c r="P10" s="1867">
        <v>9350</v>
      </c>
      <c r="Q10" s="1865">
        <v>4.8962000000000003</v>
      </c>
      <c r="R10" s="1868" t="s">
        <v>4065</v>
      </c>
      <c r="S10" s="1869">
        <v>45359</v>
      </c>
      <c r="T10" s="1869">
        <v>45517</v>
      </c>
      <c r="U10" s="1865" t="s">
        <v>4123</v>
      </c>
      <c r="V10" s="1865" t="s">
        <v>4123</v>
      </c>
      <c r="W10" s="1865" t="s">
        <v>4121</v>
      </c>
      <c r="X10" s="1865" t="s">
        <v>4121</v>
      </c>
      <c r="Y10" s="1865" t="s">
        <v>4121</v>
      </c>
      <c r="Z10" s="1868" t="s">
        <v>4124</v>
      </c>
      <c r="AA10" s="1865" t="s">
        <v>4125</v>
      </c>
      <c r="AB10" s="1865" t="s">
        <v>4126</v>
      </c>
      <c r="AC10" s="1865" t="s">
        <v>4121</v>
      </c>
      <c r="AD10" s="1870">
        <v>9350</v>
      </c>
      <c r="AE10" s="1871">
        <v>1909.64</v>
      </c>
      <c r="AF10" s="1869">
        <v>46207</v>
      </c>
      <c r="AG10" s="1856" t="s">
        <v>4074</v>
      </c>
      <c r="AH10" s="1856" t="s">
        <v>4074</v>
      </c>
      <c r="AI10" s="1856" t="s">
        <v>4074</v>
      </c>
      <c r="AJ10" s="1856" t="s">
        <v>4074</v>
      </c>
      <c r="AK10" s="1870">
        <v>9350</v>
      </c>
      <c r="AL10" s="1869">
        <v>46207</v>
      </c>
      <c r="AM10" s="1856" t="s">
        <v>4075</v>
      </c>
      <c r="AN10" s="1856" t="s">
        <v>4075</v>
      </c>
      <c r="AO10" s="1856" t="s">
        <v>4075</v>
      </c>
      <c r="AP10" s="1856" t="s">
        <v>4075</v>
      </c>
      <c r="AQ10" s="1856" t="s">
        <v>4075</v>
      </c>
      <c r="AR10" s="1856" t="s">
        <v>4075</v>
      </c>
      <c r="AS10" s="1856" t="s">
        <v>4075</v>
      </c>
    </row>
    <row r="11" spans="1:45" ht="132" x14ac:dyDescent="0.3">
      <c r="A11" s="1856" t="s">
        <v>4061</v>
      </c>
      <c r="L11" s="1856" t="s">
        <v>4062</v>
      </c>
      <c r="M11" s="1858" t="s">
        <v>4127</v>
      </c>
      <c r="N11" s="1868" t="s">
        <v>4128</v>
      </c>
      <c r="O11" s="1865">
        <v>878.23</v>
      </c>
      <c r="P11" s="1870">
        <v>4300</v>
      </c>
      <c r="Q11" s="1865">
        <v>4.8962000000000003</v>
      </c>
      <c r="R11" s="1865" t="s">
        <v>4065</v>
      </c>
      <c r="S11" s="1869">
        <v>45503</v>
      </c>
      <c r="T11" s="1869">
        <v>45505</v>
      </c>
      <c r="U11" s="1865" t="s">
        <v>4129</v>
      </c>
      <c r="V11" s="1865" t="s">
        <v>4129</v>
      </c>
      <c r="W11" s="1865" t="s">
        <v>4121</v>
      </c>
      <c r="X11" s="1865" t="s">
        <v>4121</v>
      </c>
      <c r="Y11" s="1865" t="s">
        <v>4121</v>
      </c>
      <c r="Z11" s="1872" t="s">
        <v>4130</v>
      </c>
      <c r="AA11" s="1872">
        <v>49062839</v>
      </c>
      <c r="AB11" s="1865" t="s">
        <v>4131</v>
      </c>
      <c r="AC11" s="1865" t="s">
        <v>4121</v>
      </c>
      <c r="AD11" s="1870">
        <v>4300</v>
      </c>
      <c r="AE11" s="1865">
        <v>878.23</v>
      </c>
      <c r="AF11" s="1869">
        <v>46207</v>
      </c>
      <c r="AG11" s="1856" t="s">
        <v>4074</v>
      </c>
      <c r="AH11" s="1856" t="s">
        <v>4074</v>
      </c>
      <c r="AI11" s="1856" t="s">
        <v>4074</v>
      </c>
      <c r="AJ11" s="1856" t="s">
        <v>4074</v>
      </c>
      <c r="AK11" s="1865">
        <v>4300</v>
      </c>
      <c r="AL11" s="1869">
        <v>46207</v>
      </c>
      <c r="AM11" s="1856" t="s">
        <v>4075</v>
      </c>
      <c r="AN11" s="1856" t="s">
        <v>4075</v>
      </c>
      <c r="AO11" s="1856" t="s">
        <v>4075</v>
      </c>
      <c r="AP11" s="1856" t="s">
        <v>4075</v>
      </c>
      <c r="AQ11" s="1856" t="s">
        <v>4075</v>
      </c>
      <c r="AR11" s="1856" t="s">
        <v>4075</v>
      </c>
      <c r="AS11" s="1856" t="s">
        <v>4075</v>
      </c>
    </row>
    <row r="16" spans="1:45" x14ac:dyDescent="0.3">
      <c r="AJ16" s="1856" t="s">
        <v>4074</v>
      </c>
    </row>
  </sheetData>
  <autoFilter ref="A2:AS3" xr:uid="{00000000-0009-0000-0000-000001000000}">
    <filterColumn colId="0">
      <customFilters>
        <customFilter operator="notEqual" val=" "/>
      </customFilters>
    </filterColumn>
  </autoFilter>
  <mergeCells count="3">
    <mergeCell ref="K1:AI1"/>
    <mergeCell ref="AJ1:AQ1"/>
    <mergeCell ref="A1:J1"/>
  </mergeCells>
  <phoneticPr fontId="3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MMAP</vt:lpstr>
      <vt:lpstr>DGPNRR</vt:lpstr>
      <vt:lpstr>MMAP!_Hlk140173324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cristian.califar@outlook.com</dc:creator>
  <cp:lastModifiedBy>FONDURI EUROPENE</cp:lastModifiedBy>
  <dcterms:created xsi:type="dcterms:W3CDTF">2024-04-30T06:29:16Z</dcterms:created>
  <dcterms:modified xsi:type="dcterms:W3CDTF">2026-01-21T10:53:01Z</dcterms:modified>
</cp:coreProperties>
</file>